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827"/>
  <workbookPr/>
  <mc:AlternateContent xmlns:mc="http://schemas.openxmlformats.org/markup-compatibility/2006">
    <mc:Choice Requires="x15">
      <x15ac:absPath xmlns:x15ac="http://schemas.microsoft.com/office/spreadsheetml/2010/11/ac" url="Y:\11.ปี 2566\1.รายงานแผนงาน-ผลงาน ปี66\2.ข้อมูล Export จาก Google Sheet\1. 15 ธ.ค. 65\"/>
    </mc:Choice>
  </mc:AlternateContent>
  <xr:revisionPtr revIDLastSave="0" documentId="13_ncr:1_{80605281-5043-4793-A9DE-4A9C759B63B2}" xr6:coauthVersionLast="37" xr6:coauthVersionMax="37" xr10:uidLastSave="{00000000-0000-0000-0000-000000000000}"/>
  <bookViews>
    <workbookView xWindow="0" yWindow="0" windowWidth="24000" windowHeight="9225" tabRatio="774" xr2:uid="{00000000-000D-0000-FFFF-FFFF00000000}"/>
  </bookViews>
  <sheets>
    <sheet name="รวมเหนือ" sheetId="1" r:id="rId1"/>
    <sheet name="กำแพงเพชร" sheetId="2" r:id="rId2"/>
    <sheet name="เชียงราย" sheetId="3" r:id="rId3"/>
    <sheet name="เชียงใหม่" sheetId="4" r:id="rId4"/>
    <sheet name="ตาก" sheetId="5" r:id="rId5"/>
    <sheet name="นครสวรรค์" sheetId="6" r:id="rId6"/>
    <sheet name="น่าน" sheetId="7" r:id="rId7"/>
    <sheet name="พะเยา" sheetId="8" r:id="rId8"/>
    <sheet name="พิจิตร" sheetId="9" r:id="rId9"/>
    <sheet name="พิษณุโลก" sheetId="10" r:id="rId10"/>
    <sheet name="เพชรบูรณ์" sheetId="11" r:id="rId11"/>
    <sheet name="แพร่" sheetId="12" r:id="rId12"/>
    <sheet name="แม่ฮ่องสอน" sheetId="13" r:id="rId13"/>
    <sheet name="ลำปาง" sheetId="14" r:id="rId14"/>
    <sheet name="ลำพูน" sheetId="15" r:id="rId15"/>
    <sheet name="สุโขทัย" sheetId="16" r:id="rId16"/>
    <sheet name="อุตรดิตถ์" sheetId="17" r:id="rId17"/>
    <sheet name="อุทัยธานี" sheetId="18" r:id="rId18"/>
  </sheets>
  <definedNames>
    <definedName name="_xlnm.Print_Area" localSheetId="1">กำแพงเพชร!$A$1:$P$828</definedName>
    <definedName name="_xlnm.Print_Area" localSheetId="2">เชียงราย!$A$1:$P$828</definedName>
    <definedName name="_xlnm.Print_Area" localSheetId="3">เชียงใหม่!$A$1:$P$828</definedName>
    <definedName name="_xlnm.Print_Area" localSheetId="4">ตาก!$A$1:$P$828</definedName>
    <definedName name="_xlnm.Print_Area" localSheetId="5">นครสวรรค์!$A$1:$P$828</definedName>
    <definedName name="_xlnm.Print_Area" localSheetId="6">น่าน!$A$1:$P$828</definedName>
    <definedName name="_xlnm.Print_Area" localSheetId="7">พะเยา!$A$1:$P$828</definedName>
    <definedName name="_xlnm.Print_Area" localSheetId="8">พิจิตร!$A$1:$P$828</definedName>
    <definedName name="_xlnm.Print_Area" localSheetId="9">พิษณุโลก!$A$1:$P$828</definedName>
    <definedName name="_xlnm.Print_Area" localSheetId="10">เพชรบูรณ์!$A$1:$P$828</definedName>
    <definedName name="_xlnm.Print_Area" localSheetId="11">แพร่!$A$1:$P$828</definedName>
    <definedName name="_xlnm.Print_Area" localSheetId="12">แม่ฮ่องสอน!$A$1:$P$828</definedName>
    <definedName name="_xlnm.Print_Area" localSheetId="0">รวมเหนือ!$A$1:$P$828</definedName>
    <definedName name="_xlnm.Print_Area" localSheetId="13">ลำปาง!$A$1:$P$828</definedName>
    <definedName name="_xlnm.Print_Area" localSheetId="14">ลำพูน!$A$1:$P$828</definedName>
    <definedName name="_xlnm.Print_Area" localSheetId="15">สุโขทัย!$A$1:$P$828</definedName>
    <definedName name="_xlnm.Print_Area" localSheetId="16">อุตรดิตถ์!$A$1:$P$828</definedName>
    <definedName name="_xlnm.Print_Area" localSheetId="17">อุทัยธานี!$A$1:$P$828</definedName>
    <definedName name="_xlnm.Print_Titles" localSheetId="1">กำแพงเพชร!$1:$6</definedName>
    <definedName name="_xlnm.Print_Titles" localSheetId="2">เชียงราย!$1:$6</definedName>
    <definedName name="_xlnm.Print_Titles" localSheetId="3">เชียงใหม่!$1:$6</definedName>
    <definedName name="_xlnm.Print_Titles" localSheetId="4">ตาก!$1:$6</definedName>
    <definedName name="_xlnm.Print_Titles" localSheetId="5">นครสวรรค์!$1:$6</definedName>
    <definedName name="_xlnm.Print_Titles" localSheetId="6">น่าน!$1:$6</definedName>
    <definedName name="_xlnm.Print_Titles" localSheetId="7">พะเยา!$1:$6</definedName>
    <definedName name="_xlnm.Print_Titles" localSheetId="8">พิจิตร!$1:$6</definedName>
    <definedName name="_xlnm.Print_Titles" localSheetId="9">พิษณุโลก!$1:$6</definedName>
    <definedName name="_xlnm.Print_Titles" localSheetId="10">เพชรบูรณ์!$1:$6</definedName>
    <definedName name="_xlnm.Print_Titles" localSheetId="11">แพร่!$1:$6</definedName>
    <definedName name="_xlnm.Print_Titles" localSheetId="12">แม่ฮ่องสอน!$1:$6</definedName>
    <definedName name="_xlnm.Print_Titles" localSheetId="0">รวมเหนือ!$1:$6</definedName>
    <definedName name="_xlnm.Print_Titles" localSheetId="13">ลำปาง!$1:$6</definedName>
    <definedName name="_xlnm.Print_Titles" localSheetId="14">ลำพูน!$1:$6</definedName>
    <definedName name="_xlnm.Print_Titles" localSheetId="15">สุโขทัย!$1:$6</definedName>
    <definedName name="_xlnm.Print_Titles" localSheetId="16">อุตรดิตถ์!$1:$6</definedName>
    <definedName name="_xlnm.Print_Titles" localSheetId="17">อุทัยธานี!$1:$6</definedName>
  </definedNames>
  <calcPr calcId="179021"/>
</workbook>
</file>

<file path=xl/calcChain.xml><?xml version="1.0" encoding="utf-8"?>
<calcChain xmlns="http://schemas.openxmlformats.org/spreadsheetml/2006/main">
  <c r="L353" i="15" l="1"/>
  <c r="J828" i="18"/>
  <c r="I828" i="18"/>
  <c r="J827" i="18"/>
  <c r="I827" i="18"/>
  <c r="J826" i="18"/>
  <c r="I826" i="18"/>
  <c r="J825" i="18"/>
  <c r="I825" i="18"/>
  <c r="J824" i="18"/>
  <c r="I824" i="18"/>
  <c r="J823" i="18"/>
  <c r="I823" i="18"/>
  <c r="J822" i="18"/>
  <c r="I822" i="18"/>
  <c r="J821" i="18"/>
  <c r="I821" i="18"/>
  <c r="P817" i="18"/>
  <c r="O817" i="18"/>
  <c r="P816" i="18"/>
  <c r="O816" i="18"/>
  <c r="N815" i="18"/>
  <c r="M815" i="18"/>
  <c r="P815" i="18" s="1"/>
  <c r="L815" i="18"/>
  <c r="O815" i="18" s="1"/>
  <c r="P810" i="18"/>
  <c r="O810" i="18"/>
  <c r="N810" i="18"/>
  <c r="P809" i="18"/>
  <c r="O809" i="18"/>
  <c r="P808" i="18"/>
  <c r="O808" i="18"/>
  <c r="N808" i="18"/>
  <c r="M808" i="18"/>
  <c r="L808" i="18"/>
  <c r="P807" i="18"/>
  <c r="O807" i="18"/>
  <c r="N807" i="18"/>
  <c r="M807" i="18"/>
  <c r="L807" i="18"/>
  <c r="O806" i="18"/>
  <c r="N806" i="18"/>
  <c r="M806" i="18"/>
  <c r="P806" i="18" s="1"/>
  <c r="L806" i="18"/>
  <c r="N805" i="18"/>
  <c r="M805" i="18"/>
  <c r="P805" i="18" s="1"/>
  <c r="L805" i="18"/>
  <c r="O805" i="18" s="1"/>
  <c r="K804" i="18"/>
  <c r="J804" i="18"/>
  <c r="K802" i="18"/>
  <c r="J801" i="18"/>
  <c r="J800" i="18"/>
  <c r="J785" i="18" s="1"/>
  <c r="I800" i="18"/>
  <c r="K800" i="18" s="1"/>
  <c r="P798" i="18"/>
  <c r="O798" i="18"/>
  <c r="P797" i="18"/>
  <c r="O797" i="18"/>
  <c r="P796" i="18"/>
  <c r="N796" i="18"/>
  <c r="M796" i="18"/>
  <c r="L796" i="18"/>
  <c r="O796" i="18" s="1"/>
  <c r="P791" i="18"/>
  <c r="N791" i="18"/>
  <c r="L791" i="18"/>
  <c r="L789" i="18" s="1"/>
  <c r="O789" i="18" s="1"/>
  <c r="P790" i="18"/>
  <c r="O790" i="18"/>
  <c r="P789" i="18"/>
  <c r="N789" i="18"/>
  <c r="M789" i="18"/>
  <c r="P788" i="18"/>
  <c r="N788" i="18"/>
  <c r="M788" i="18"/>
  <c r="O787" i="18"/>
  <c r="N787" i="18"/>
  <c r="N786" i="18" s="1"/>
  <c r="M787" i="18"/>
  <c r="P787" i="18" s="1"/>
  <c r="L787" i="18"/>
  <c r="I785" i="18"/>
  <c r="K785" i="18" s="1"/>
  <c r="P782" i="18"/>
  <c r="O782" i="18"/>
  <c r="P781" i="18"/>
  <c r="O781" i="18"/>
  <c r="N780" i="18"/>
  <c r="M780" i="18"/>
  <c r="P780" i="18" s="1"/>
  <c r="L780" i="18"/>
  <c r="O780" i="18" s="1"/>
  <c r="P775" i="18"/>
  <c r="O775" i="18"/>
  <c r="N775" i="18"/>
  <c r="N772" i="18" s="1"/>
  <c r="P774" i="18"/>
  <c r="O774" i="18"/>
  <c r="P773" i="18"/>
  <c r="M773" i="18"/>
  <c r="L773" i="18"/>
  <c r="O773" i="18" s="1"/>
  <c r="P772" i="18"/>
  <c r="O772" i="18"/>
  <c r="M772" i="18"/>
  <c r="L772" i="18"/>
  <c r="P771" i="18"/>
  <c r="O771" i="18"/>
  <c r="N771" i="18"/>
  <c r="N770" i="18" s="1"/>
  <c r="M771" i="18"/>
  <c r="L771" i="18"/>
  <c r="L770" i="18" s="1"/>
  <c r="O770" i="18" s="1"/>
  <c r="M770" i="18"/>
  <c r="P770" i="18" s="1"/>
  <c r="K769" i="18"/>
  <c r="J769" i="18"/>
  <c r="P766" i="18"/>
  <c r="O766" i="18"/>
  <c r="P765" i="18"/>
  <c r="O765" i="18"/>
  <c r="N764" i="18"/>
  <c r="M764" i="18"/>
  <c r="P764" i="18" s="1"/>
  <c r="L764" i="18"/>
  <c r="O764" i="18" s="1"/>
  <c r="P759" i="18"/>
  <c r="O759" i="18"/>
  <c r="N759" i="18"/>
  <c r="N756" i="18" s="1"/>
  <c r="P758" i="18"/>
  <c r="O758" i="18"/>
  <c r="P757" i="18"/>
  <c r="M757" i="18"/>
  <c r="L757" i="18"/>
  <c r="O757" i="18" s="1"/>
  <c r="P756" i="18"/>
  <c r="O756" i="18"/>
  <c r="M756" i="18"/>
  <c r="L756" i="18"/>
  <c r="P755" i="18"/>
  <c r="O755" i="18"/>
  <c r="N755" i="18"/>
  <c r="N754" i="18" s="1"/>
  <c r="M755" i="18"/>
  <c r="L755" i="18"/>
  <c r="L754" i="18" s="1"/>
  <c r="O754" i="18" s="1"/>
  <c r="M754" i="18"/>
  <c r="P754" i="18" s="1"/>
  <c r="K753" i="18"/>
  <c r="J753" i="18"/>
  <c r="P749" i="18"/>
  <c r="O749" i="18"/>
  <c r="P748" i="18"/>
  <c r="O748" i="18"/>
  <c r="N747" i="18"/>
  <c r="M747" i="18"/>
  <c r="P747" i="18" s="1"/>
  <c r="L747" i="18"/>
  <c r="O747" i="18" s="1"/>
  <c r="P742" i="18"/>
  <c r="O742" i="18"/>
  <c r="N742" i="18"/>
  <c r="N739" i="18" s="1"/>
  <c r="P741" i="18"/>
  <c r="O741" i="18"/>
  <c r="P740" i="18"/>
  <c r="M740" i="18"/>
  <c r="L740" i="18"/>
  <c r="O740" i="18" s="1"/>
  <c r="P739" i="18"/>
  <c r="O739" i="18"/>
  <c r="M739" i="18"/>
  <c r="L739" i="18"/>
  <c r="P738" i="18"/>
  <c r="O738" i="18"/>
  <c r="N738" i="18"/>
  <c r="N737" i="18" s="1"/>
  <c r="M738" i="18"/>
  <c r="L738" i="18"/>
  <c r="L737" i="18" s="1"/>
  <c r="O737" i="18" s="1"/>
  <c r="M737" i="18"/>
  <c r="P737" i="18" s="1"/>
  <c r="K736" i="18"/>
  <c r="J736" i="18"/>
  <c r="J729" i="18"/>
  <c r="I729" i="18"/>
  <c r="K729" i="18" s="1"/>
  <c r="J728" i="18"/>
  <c r="I728" i="18"/>
  <c r="J727" i="18"/>
  <c r="J726" i="18"/>
  <c r="I726" i="18"/>
  <c r="J725" i="18"/>
  <c r="I725" i="18"/>
  <c r="J724" i="18"/>
  <c r="J723" i="18"/>
  <c r="I723" i="18"/>
  <c r="I722" i="18"/>
  <c r="I721" i="18"/>
  <c r="J720" i="18"/>
  <c r="I720" i="18"/>
  <c r="J719" i="18"/>
  <c r="J718" i="18"/>
  <c r="J708" i="18"/>
  <c r="I708" i="18"/>
  <c r="K708" i="18" s="1"/>
  <c r="I707" i="18"/>
  <c r="I704" i="18"/>
  <c r="J701" i="18"/>
  <c r="I701" i="18"/>
  <c r="K701" i="18" s="1"/>
  <c r="J700" i="18"/>
  <c r="I700" i="18"/>
  <c r="J699" i="18"/>
  <c r="I699" i="18"/>
  <c r="P697" i="18"/>
  <c r="O697" i="18"/>
  <c r="P696" i="18"/>
  <c r="O696" i="18"/>
  <c r="N695" i="18"/>
  <c r="M695" i="18"/>
  <c r="P695" i="18" s="1"/>
  <c r="L695" i="18"/>
  <c r="O695" i="18" s="1"/>
  <c r="P690" i="18"/>
  <c r="N690" i="18"/>
  <c r="N688" i="18" s="1"/>
  <c r="L690" i="18"/>
  <c r="L688" i="18" s="1"/>
  <c r="P688" i="18"/>
  <c r="M688" i="18"/>
  <c r="P687" i="18"/>
  <c r="N687" i="18"/>
  <c r="M687" i="18"/>
  <c r="O686" i="18"/>
  <c r="N686" i="18"/>
  <c r="N685" i="18" s="1"/>
  <c r="M686" i="18"/>
  <c r="P686" i="18" s="1"/>
  <c r="L686" i="18"/>
  <c r="M685" i="18"/>
  <c r="P685" i="18" s="1"/>
  <c r="J679" i="18"/>
  <c r="J678" i="18"/>
  <c r="I678" i="18"/>
  <c r="K678" i="18" s="1"/>
  <c r="J675" i="18"/>
  <c r="J669" i="18" s="1"/>
  <c r="J654" i="18" s="1"/>
  <c r="I671" i="18"/>
  <c r="K671" i="18" s="1"/>
  <c r="I670" i="18"/>
  <c r="K670" i="18" s="1"/>
  <c r="I669" i="18"/>
  <c r="K672" i="18" s="1"/>
  <c r="P667" i="18"/>
  <c r="O667" i="18"/>
  <c r="P666" i="18"/>
  <c r="O666" i="18"/>
  <c r="O665" i="18"/>
  <c r="N665" i="18"/>
  <c r="M665" i="18"/>
  <c r="P665" i="18" s="1"/>
  <c r="L665" i="18"/>
  <c r="P660" i="18"/>
  <c r="N660" i="18"/>
  <c r="N657" i="18" s="1"/>
  <c r="N655" i="18" s="1"/>
  <c r="L660" i="18"/>
  <c r="O660" i="18" s="1"/>
  <c r="P659" i="18"/>
  <c r="O659" i="18"/>
  <c r="N658" i="18"/>
  <c r="M658" i="18"/>
  <c r="P658" i="18" s="1"/>
  <c r="M657" i="18"/>
  <c r="P657" i="18" s="1"/>
  <c r="P656" i="18"/>
  <c r="N656" i="18"/>
  <c r="M656" i="18"/>
  <c r="M655" i="18" s="1"/>
  <c r="P655" i="18" s="1"/>
  <c r="L656" i="18"/>
  <c r="K652" i="18"/>
  <c r="J652" i="18"/>
  <c r="J651" i="18"/>
  <c r="J628" i="18" s="1"/>
  <c r="I651" i="18"/>
  <c r="K650" i="18"/>
  <c r="J650" i="18"/>
  <c r="J649" i="18"/>
  <c r="I649" i="18"/>
  <c r="K648" i="18"/>
  <c r="J648" i="18"/>
  <c r="J647" i="18"/>
  <c r="I647" i="18"/>
  <c r="K646" i="18"/>
  <c r="J646" i="18"/>
  <c r="K645" i="18"/>
  <c r="J645" i="18"/>
  <c r="I644" i="18"/>
  <c r="K644" i="18" s="1"/>
  <c r="I643" i="18"/>
  <c r="K643" i="18" s="1"/>
  <c r="P641" i="18"/>
  <c r="L641" i="18"/>
  <c r="O641" i="18" s="1"/>
  <c r="P640" i="18"/>
  <c r="O640" i="18"/>
  <c r="P639" i="18"/>
  <c r="N639" i="18"/>
  <c r="M639" i="18"/>
  <c r="L639" i="18"/>
  <c r="O639" i="18" s="1"/>
  <c r="P634" i="18"/>
  <c r="N634" i="18"/>
  <c r="L634" i="18"/>
  <c r="L632" i="18" s="1"/>
  <c r="O632" i="18" s="1"/>
  <c r="P633" i="18"/>
  <c r="O633" i="18"/>
  <c r="P632" i="18"/>
  <c r="N632" i="18"/>
  <c r="M632" i="18"/>
  <c r="N631" i="18"/>
  <c r="M631" i="18"/>
  <c r="P631" i="18" s="1"/>
  <c r="N630" i="18"/>
  <c r="N629" i="18" s="1"/>
  <c r="M630" i="18"/>
  <c r="M629" i="18" s="1"/>
  <c r="P629" i="18" s="1"/>
  <c r="L630" i="18"/>
  <c r="O630" i="18" s="1"/>
  <c r="J621" i="18"/>
  <c r="I621" i="18"/>
  <c r="K621" i="18" s="1"/>
  <c r="J620" i="18"/>
  <c r="I620" i="18"/>
  <c r="K620" i="18" s="1"/>
  <c r="K613" i="18"/>
  <c r="J613" i="18"/>
  <c r="K612" i="18"/>
  <c r="J612" i="18"/>
  <c r="K611" i="18"/>
  <c r="J611" i="18"/>
  <c r="J604" i="18"/>
  <c r="J603" i="18"/>
  <c r="J596" i="18"/>
  <c r="J594" i="18" s="1"/>
  <c r="J595" i="18"/>
  <c r="I594" i="18"/>
  <c r="K594" i="18" s="1"/>
  <c r="J593" i="18"/>
  <c r="J592" i="18" s="1"/>
  <c r="I593" i="18"/>
  <c r="I592" i="18" s="1"/>
  <c r="J583" i="18"/>
  <c r="J577" i="18" s="1"/>
  <c r="J582" i="18"/>
  <c r="J576" i="18" s="1"/>
  <c r="J559" i="18" s="1"/>
  <c r="J543" i="18" s="1"/>
  <c r="I577" i="18"/>
  <c r="I576" i="18"/>
  <c r="K576" i="18" s="1"/>
  <c r="J569" i="18"/>
  <c r="I569" i="18"/>
  <c r="K569" i="18" s="1"/>
  <c r="J568" i="18"/>
  <c r="I568" i="18"/>
  <c r="K568" i="18" s="1"/>
  <c r="J561" i="18"/>
  <c r="I561" i="18"/>
  <c r="K561" i="18" s="1"/>
  <c r="J560" i="18"/>
  <c r="I560" i="18"/>
  <c r="K560" i="18" s="1"/>
  <c r="P557" i="18"/>
  <c r="L557" i="18"/>
  <c r="O557" i="18" s="1"/>
  <c r="P556" i="18"/>
  <c r="O556" i="18"/>
  <c r="N555" i="18"/>
  <c r="N545" i="18" s="1"/>
  <c r="M555" i="18"/>
  <c r="P555" i="18" s="1"/>
  <c r="P549" i="18"/>
  <c r="N549" i="18"/>
  <c r="N546" i="18" s="1"/>
  <c r="L549" i="18"/>
  <c r="O549" i="18" s="1"/>
  <c r="P548" i="18"/>
  <c r="O548" i="18"/>
  <c r="N547" i="18"/>
  <c r="M547" i="18"/>
  <c r="P547" i="18" s="1"/>
  <c r="P546" i="18"/>
  <c r="M546" i="18"/>
  <c r="O545" i="18"/>
  <c r="L545" i="18"/>
  <c r="I542" i="18"/>
  <c r="K542" i="18" s="1"/>
  <c r="I541" i="18"/>
  <c r="K541" i="18" s="1"/>
  <c r="I540" i="18"/>
  <c r="K540" i="18" s="1"/>
  <c r="I539" i="18"/>
  <c r="I538" i="18"/>
  <c r="K538" i="18" s="1"/>
  <c r="I537" i="18"/>
  <c r="I522" i="18" s="1"/>
  <c r="P535" i="18"/>
  <c r="L535" i="18"/>
  <c r="O535" i="18" s="1"/>
  <c r="P534" i="18"/>
  <c r="O534" i="18"/>
  <c r="P533" i="18"/>
  <c r="N533" i="18"/>
  <c r="M533" i="18"/>
  <c r="P528" i="18"/>
  <c r="N528" i="18"/>
  <c r="L528" i="18"/>
  <c r="O528" i="18" s="1"/>
  <c r="P527" i="18"/>
  <c r="O527" i="18"/>
  <c r="P526" i="18"/>
  <c r="N526" i="18"/>
  <c r="M526" i="18"/>
  <c r="P525" i="18"/>
  <c r="N525" i="18"/>
  <c r="M525" i="18"/>
  <c r="O524" i="18"/>
  <c r="N524" i="18"/>
  <c r="N523" i="18" s="1"/>
  <c r="M524" i="18"/>
  <c r="P524" i="18" s="1"/>
  <c r="L524" i="18"/>
  <c r="M523" i="18"/>
  <c r="P523" i="18" s="1"/>
  <c r="K517" i="18"/>
  <c r="J517" i="18"/>
  <c r="J501" i="18" s="1"/>
  <c r="K516" i="18"/>
  <c r="P514" i="18"/>
  <c r="O514" i="18"/>
  <c r="P513" i="18"/>
  <c r="O513" i="18"/>
  <c r="P512" i="18"/>
  <c r="O512" i="18"/>
  <c r="N512" i="18"/>
  <c r="M512" i="18"/>
  <c r="L512" i="18"/>
  <c r="P507" i="18"/>
  <c r="O507" i="18"/>
  <c r="N507" i="18"/>
  <c r="N504" i="18" s="1"/>
  <c r="P506" i="18"/>
  <c r="O506" i="18"/>
  <c r="O505" i="18"/>
  <c r="N505" i="18"/>
  <c r="M505" i="18"/>
  <c r="P505" i="18" s="1"/>
  <c r="L505" i="18"/>
  <c r="M504" i="18"/>
  <c r="P504" i="18" s="1"/>
  <c r="L504" i="18"/>
  <c r="O504" i="18" s="1"/>
  <c r="N503" i="18"/>
  <c r="M503" i="18"/>
  <c r="M502" i="18" s="1"/>
  <c r="P502" i="18" s="1"/>
  <c r="L503" i="18"/>
  <c r="K501" i="18"/>
  <c r="K500" i="18"/>
  <c r="J500" i="18"/>
  <c r="I498" i="18"/>
  <c r="K498" i="18" s="1"/>
  <c r="I495" i="18"/>
  <c r="K495" i="18" s="1"/>
  <c r="I492" i="18"/>
  <c r="K492" i="18" s="1"/>
  <c r="I489" i="18"/>
  <c r="K489" i="18" s="1"/>
  <c r="I487" i="18"/>
  <c r="K487" i="18" s="1"/>
  <c r="I485" i="18"/>
  <c r="K485" i="18" s="1"/>
  <c r="I483" i="18"/>
  <c r="K483" i="18" s="1"/>
  <c r="P479" i="18"/>
  <c r="L479" i="18"/>
  <c r="L477" i="18" s="1"/>
  <c r="O477" i="18" s="1"/>
  <c r="P478" i="18"/>
  <c r="O478" i="18"/>
  <c r="P477" i="18"/>
  <c r="N477" i="18"/>
  <c r="M477" i="18"/>
  <c r="P472" i="18"/>
  <c r="N472" i="18"/>
  <c r="N469" i="18" s="1"/>
  <c r="L472" i="18"/>
  <c r="P471" i="18"/>
  <c r="O471" i="18"/>
  <c r="N470" i="18"/>
  <c r="M470" i="18"/>
  <c r="P470" i="18" s="1"/>
  <c r="M469" i="18"/>
  <c r="P469" i="18" s="1"/>
  <c r="N468" i="18"/>
  <c r="N467" i="18" s="1"/>
  <c r="M468" i="18"/>
  <c r="M467" i="18" s="1"/>
  <c r="P467" i="18" s="1"/>
  <c r="L468" i="18"/>
  <c r="J466" i="18"/>
  <c r="I466" i="18"/>
  <c r="K466" i="18" s="1"/>
  <c r="J465" i="18"/>
  <c r="I465" i="18"/>
  <c r="K465" i="18" s="1"/>
  <c r="I464" i="18"/>
  <c r="I463" i="18"/>
  <c r="I462" i="18"/>
  <c r="K462" i="18" s="1"/>
  <c r="I460" i="18"/>
  <c r="K460" i="18" s="1"/>
  <c r="K458" i="18"/>
  <c r="P456" i="18"/>
  <c r="L456" i="18"/>
  <c r="L454" i="18" s="1"/>
  <c r="O454" i="18" s="1"/>
  <c r="P455" i="18"/>
  <c r="O455" i="18"/>
  <c r="P454" i="18"/>
  <c r="N454" i="18"/>
  <c r="M454" i="18"/>
  <c r="P449" i="18"/>
  <c r="N449" i="18"/>
  <c r="L449" i="18"/>
  <c r="L447" i="18" s="1"/>
  <c r="O447" i="18" s="1"/>
  <c r="P448" i="18"/>
  <c r="O448" i="18"/>
  <c r="P447" i="18"/>
  <c r="N447" i="18"/>
  <c r="M447" i="18"/>
  <c r="N446" i="18"/>
  <c r="M446" i="18"/>
  <c r="P446" i="18" s="1"/>
  <c r="N445" i="18"/>
  <c r="M445" i="18"/>
  <c r="P445" i="18" s="1"/>
  <c r="L445" i="18"/>
  <c r="O445" i="18" s="1"/>
  <c r="J443" i="18"/>
  <c r="J442" i="18"/>
  <c r="I441" i="18"/>
  <c r="K441" i="18" s="1"/>
  <c r="I440" i="18"/>
  <c r="K440" i="18" s="1"/>
  <c r="I439" i="18"/>
  <c r="K439" i="18" s="1"/>
  <c r="I438" i="18"/>
  <c r="I437" i="18"/>
  <c r="K437" i="18" s="1"/>
  <c r="I435" i="18"/>
  <c r="K435" i="18" s="1"/>
  <c r="J434" i="18"/>
  <c r="P431" i="18"/>
  <c r="L431" i="18"/>
  <c r="L429" i="18" s="1"/>
  <c r="O429" i="18" s="1"/>
  <c r="P430" i="18"/>
  <c r="O430" i="18"/>
  <c r="P429" i="18"/>
  <c r="N429" i="18"/>
  <c r="M429" i="18"/>
  <c r="P424" i="18"/>
  <c r="N424" i="18"/>
  <c r="L424" i="18"/>
  <c r="L422" i="18" s="1"/>
  <c r="O422" i="18" s="1"/>
  <c r="P423" i="18"/>
  <c r="O423" i="18"/>
  <c r="P422" i="18"/>
  <c r="N422" i="18"/>
  <c r="M422" i="18"/>
  <c r="N421" i="18"/>
  <c r="M421" i="18"/>
  <c r="N420" i="18"/>
  <c r="M420" i="18"/>
  <c r="P420" i="18" s="1"/>
  <c r="L420" i="18"/>
  <c r="O420" i="18" s="1"/>
  <c r="J418" i="18"/>
  <c r="K413" i="18"/>
  <c r="K412" i="18"/>
  <c r="N410" i="18"/>
  <c r="N408" i="18" s="1"/>
  <c r="M410" i="18"/>
  <c r="P410" i="18" s="1"/>
  <c r="L410" i="18"/>
  <c r="O410" i="18" s="1"/>
  <c r="P409" i="18"/>
  <c r="O409" i="18"/>
  <c r="N407" i="18"/>
  <c r="N405" i="18" s="1"/>
  <c r="M407" i="18"/>
  <c r="M405" i="18" s="1"/>
  <c r="P405" i="18" s="1"/>
  <c r="L407" i="18"/>
  <c r="O407" i="18" s="1"/>
  <c r="P406" i="18"/>
  <c r="O406" i="18"/>
  <c r="P403" i="18"/>
  <c r="N403" i="18"/>
  <c r="M403" i="18"/>
  <c r="L403" i="18"/>
  <c r="J401" i="18"/>
  <c r="I401" i="18"/>
  <c r="K401" i="18" s="1"/>
  <c r="K400" i="18"/>
  <c r="K399" i="18"/>
  <c r="N397" i="18"/>
  <c r="N395" i="18" s="1"/>
  <c r="M397" i="18"/>
  <c r="L397" i="18"/>
  <c r="L395" i="18" s="1"/>
  <c r="O395" i="18" s="1"/>
  <c r="P396" i="18"/>
  <c r="O396" i="18"/>
  <c r="N394" i="18"/>
  <c r="M394" i="18"/>
  <c r="L394" i="18"/>
  <c r="L392" i="18" s="1"/>
  <c r="O392" i="18" s="1"/>
  <c r="P393" i="18"/>
  <c r="O393" i="18"/>
  <c r="N390" i="18"/>
  <c r="M390" i="18"/>
  <c r="P390" i="18" s="1"/>
  <c r="L390" i="18"/>
  <c r="O390" i="18" s="1"/>
  <c r="K388" i="18"/>
  <c r="J388" i="18"/>
  <c r="I388" i="18"/>
  <c r="J385" i="18"/>
  <c r="I385" i="18"/>
  <c r="K382" i="18"/>
  <c r="J382" i="18"/>
  <c r="J381" i="18"/>
  <c r="J374" i="18" s="1"/>
  <c r="I381" i="18"/>
  <c r="K380" i="18"/>
  <c r="J380" i="18"/>
  <c r="J379" i="18"/>
  <c r="I379" i="18"/>
  <c r="J378" i="18"/>
  <c r="I378" i="18"/>
  <c r="K377" i="18"/>
  <c r="J377" i="18"/>
  <c r="I374" i="18"/>
  <c r="K373" i="18"/>
  <c r="J373" i="18"/>
  <c r="J372" i="18"/>
  <c r="J365" i="18" s="1"/>
  <c r="I372" i="18"/>
  <c r="K371" i="18"/>
  <c r="J371" i="18"/>
  <c r="J370" i="18"/>
  <c r="I370" i="18"/>
  <c r="J369" i="18"/>
  <c r="I369" i="18"/>
  <c r="K368" i="18"/>
  <c r="J368" i="18"/>
  <c r="I365" i="18"/>
  <c r="K363" i="18"/>
  <c r="J363" i="18"/>
  <c r="J362" i="18"/>
  <c r="I362" i="18"/>
  <c r="K361" i="18"/>
  <c r="J361" i="18"/>
  <c r="J360" i="18"/>
  <c r="I360" i="18"/>
  <c r="J359" i="18"/>
  <c r="I359" i="18"/>
  <c r="K358" i="18"/>
  <c r="J358" i="18"/>
  <c r="I355" i="18"/>
  <c r="N353" i="18"/>
  <c r="M353" i="18"/>
  <c r="L353" i="18"/>
  <c r="L351" i="18" s="1"/>
  <c r="P352" i="18"/>
  <c r="O352" i="18"/>
  <c r="N350" i="18"/>
  <c r="M350" i="18"/>
  <c r="L350" i="18"/>
  <c r="L348" i="18" s="1"/>
  <c r="P349" i="18"/>
  <c r="O349" i="18"/>
  <c r="N346" i="18"/>
  <c r="M346" i="18"/>
  <c r="P346" i="18" s="1"/>
  <c r="L346" i="18"/>
  <c r="J343" i="18"/>
  <c r="J342" i="18"/>
  <c r="J341" i="18"/>
  <c r="J340" i="18"/>
  <c r="I340" i="18"/>
  <c r="J338" i="18"/>
  <c r="I338" i="18"/>
  <c r="N336" i="18"/>
  <c r="N334" i="18" s="1"/>
  <c r="M336" i="18"/>
  <c r="L336" i="18"/>
  <c r="L334" i="18" s="1"/>
  <c r="O334" i="18" s="1"/>
  <c r="P335" i="18"/>
  <c r="O335" i="18"/>
  <c r="N333" i="18"/>
  <c r="M333" i="18"/>
  <c r="L333" i="18"/>
  <c r="L331" i="18" s="1"/>
  <c r="P332" i="18"/>
  <c r="O332" i="18"/>
  <c r="N329" i="18"/>
  <c r="M329" i="18"/>
  <c r="P329" i="18" s="1"/>
  <c r="L329" i="18"/>
  <c r="O329" i="18" s="1"/>
  <c r="I327" i="18"/>
  <c r="I325" i="18"/>
  <c r="K325" i="18" s="1"/>
  <c r="N323" i="18"/>
  <c r="N321" i="18" s="1"/>
  <c r="M323" i="18"/>
  <c r="M321" i="18" s="1"/>
  <c r="P321" i="18" s="1"/>
  <c r="L323" i="18"/>
  <c r="O323" i="18" s="1"/>
  <c r="P322" i="18"/>
  <c r="O322" i="18"/>
  <c r="N320" i="18"/>
  <c r="N318" i="18" s="1"/>
  <c r="M320" i="18"/>
  <c r="L320" i="18"/>
  <c r="L318" i="18" s="1"/>
  <c r="P319" i="18"/>
  <c r="O319" i="18"/>
  <c r="P316" i="18"/>
  <c r="O316" i="18"/>
  <c r="N316" i="18"/>
  <c r="M316" i="18"/>
  <c r="L316" i="18"/>
  <c r="J314" i="18"/>
  <c r="I312" i="18"/>
  <c r="K312" i="18" s="1"/>
  <c r="I311" i="18"/>
  <c r="K311" i="18" s="1"/>
  <c r="I310" i="18"/>
  <c r="K310" i="18" s="1"/>
  <c r="I309" i="18"/>
  <c r="I297" i="18" s="1"/>
  <c r="K297" i="18" s="1"/>
  <c r="N306" i="18"/>
  <c r="M306" i="18"/>
  <c r="M304" i="18" s="1"/>
  <c r="P304" i="18" s="1"/>
  <c r="L306" i="18"/>
  <c r="O306" i="18" s="1"/>
  <c r="P305" i="18"/>
  <c r="O305" i="18"/>
  <c r="N303" i="18"/>
  <c r="N301" i="18" s="1"/>
  <c r="M303" i="18"/>
  <c r="M301" i="18" s="1"/>
  <c r="L303" i="18"/>
  <c r="P302" i="18"/>
  <c r="O302" i="18"/>
  <c r="P299" i="18"/>
  <c r="O299" i="18"/>
  <c r="N299" i="18"/>
  <c r="M299" i="18"/>
  <c r="L299" i="18"/>
  <c r="J297" i="18"/>
  <c r="I294" i="18"/>
  <c r="K294" i="18" s="1"/>
  <c r="I293" i="18"/>
  <c r="K293" i="18" s="1"/>
  <c r="I291" i="18"/>
  <c r="K291" i="18" s="1"/>
  <c r="I290" i="18"/>
  <c r="K290" i="18" s="1"/>
  <c r="I288" i="18"/>
  <c r="I275" i="18" s="1"/>
  <c r="I287" i="18"/>
  <c r="K287" i="18" s="1"/>
  <c r="N285" i="18"/>
  <c r="N283" i="18" s="1"/>
  <c r="M285" i="18"/>
  <c r="P285" i="18" s="1"/>
  <c r="L285" i="18"/>
  <c r="O285" i="18" s="1"/>
  <c r="P284" i="18"/>
  <c r="O284" i="18"/>
  <c r="N282" i="18"/>
  <c r="M282" i="18"/>
  <c r="L282" i="18"/>
  <c r="L280" i="18" s="1"/>
  <c r="P281" i="18"/>
  <c r="O281" i="18"/>
  <c r="P278" i="18"/>
  <c r="O278" i="18"/>
  <c r="N278" i="18"/>
  <c r="M278" i="18"/>
  <c r="L278" i="18"/>
  <c r="J276" i="18"/>
  <c r="I271" i="18"/>
  <c r="K271" i="18" s="1"/>
  <c r="N269" i="18"/>
  <c r="N267" i="18" s="1"/>
  <c r="M269" i="18"/>
  <c r="P269" i="18" s="1"/>
  <c r="L269" i="18"/>
  <c r="O269" i="18" s="1"/>
  <c r="P268" i="18"/>
  <c r="O268" i="18"/>
  <c r="N266" i="18"/>
  <c r="M266" i="18"/>
  <c r="L266" i="18"/>
  <c r="L264" i="18" s="1"/>
  <c r="P265" i="18"/>
  <c r="O265" i="18"/>
  <c r="P262" i="18"/>
  <c r="O262" i="18"/>
  <c r="N262" i="18"/>
  <c r="M262" i="18"/>
  <c r="L262" i="18"/>
  <c r="J260" i="18"/>
  <c r="K258" i="18"/>
  <c r="K257" i="18"/>
  <c r="I255" i="18"/>
  <c r="L253" i="18"/>
  <c r="L252" i="18"/>
  <c r="L251" i="18"/>
  <c r="L250" i="18"/>
  <c r="P249" i="18"/>
  <c r="N249" i="18"/>
  <c r="J248" i="18"/>
  <c r="K247" i="18"/>
  <c r="K246" i="18"/>
  <c r="I244" i="18"/>
  <c r="L242" i="18"/>
  <c r="L241" i="18"/>
  <c r="L240" i="18"/>
  <c r="L239" i="18"/>
  <c r="P238" i="18"/>
  <c r="N238" i="18"/>
  <c r="J237" i="18"/>
  <c r="K236" i="18"/>
  <c r="J236" i="18"/>
  <c r="I236" i="18"/>
  <c r="K235" i="18"/>
  <c r="J235" i="18"/>
  <c r="I235" i="18"/>
  <c r="J233" i="18"/>
  <c r="N231" i="18"/>
  <c r="N230" i="18"/>
  <c r="N229" i="18"/>
  <c r="N228" i="18"/>
  <c r="N227" i="18"/>
  <c r="I225" i="18"/>
  <c r="K225" i="18" s="1"/>
  <c r="I224" i="18"/>
  <c r="I216" i="18" s="1"/>
  <c r="K216" i="18" s="1"/>
  <c r="I223" i="18"/>
  <c r="K223" i="18" s="1"/>
  <c r="L220" i="18"/>
  <c r="L219" i="18"/>
  <c r="L218" i="18"/>
  <c r="P217" i="18"/>
  <c r="N217" i="18"/>
  <c r="J216" i="18"/>
  <c r="I215" i="18"/>
  <c r="K215" i="18" s="1"/>
  <c r="I214" i="18"/>
  <c r="K214" i="18" s="1"/>
  <c r="L212" i="18"/>
  <c r="L211" i="18"/>
  <c r="L210" i="18"/>
  <c r="P209" i="18"/>
  <c r="N209" i="18"/>
  <c r="J208" i="18"/>
  <c r="K207" i="18"/>
  <c r="K206" i="18"/>
  <c r="I204" i="18"/>
  <c r="K204" i="18" s="1"/>
  <c r="L202" i="18"/>
  <c r="L201" i="18"/>
  <c r="L200" i="18"/>
  <c r="L199" i="18"/>
  <c r="P198" i="18"/>
  <c r="N198" i="18"/>
  <c r="J197" i="18"/>
  <c r="J194" i="18"/>
  <c r="I193" i="18"/>
  <c r="K193" i="18" s="1"/>
  <c r="P191" i="18"/>
  <c r="L191" i="18"/>
  <c r="O191" i="18" s="1"/>
  <c r="J190" i="18"/>
  <c r="N189" i="18"/>
  <c r="N187" i="18" s="1"/>
  <c r="M189" i="18"/>
  <c r="M187" i="18" s="1"/>
  <c r="P187" i="18" s="1"/>
  <c r="L189" i="18"/>
  <c r="O189" i="18" s="1"/>
  <c r="P188" i="18"/>
  <c r="O188" i="18"/>
  <c r="N186" i="18"/>
  <c r="M186" i="18"/>
  <c r="M184" i="18" s="1"/>
  <c r="L186" i="18"/>
  <c r="P185" i="18"/>
  <c r="O185" i="18"/>
  <c r="N182" i="18"/>
  <c r="M182" i="18"/>
  <c r="L182" i="18"/>
  <c r="O182" i="18" s="1"/>
  <c r="K180" i="18"/>
  <c r="J177" i="18"/>
  <c r="I176" i="18"/>
  <c r="I174" i="18" s="1"/>
  <c r="I164" i="18" s="1"/>
  <c r="J174" i="18"/>
  <c r="N173" i="18"/>
  <c r="N171" i="18" s="1"/>
  <c r="M173" i="18"/>
  <c r="M171" i="18" s="1"/>
  <c r="P171" i="18" s="1"/>
  <c r="L173" i="18"/>
  <c r="L171" i="18" s="1"/>
  <c r="O171" i="18" s="1"/>
  <c r="P172" i="18"/>
  <c r="O172" i="18"/>
  <c r="N170" i="18"/>
  <c r="M170" i="18"/>
  <c r="M168" i="18" s="1"/>
  <c r="L170" i="18"/>
  <c r="L168" i="18" s="1"/>
  <c r="P169" i="18"/>
  <c r="O169" i="18"/>
  <c r="N166" i="18"/>
  <c r="M166" i="18"/>
  <c r="P166" i="18" s="1"/>
  <c r="L166" i="18"/>
  <c r="J164" i="18"/>
  <c r="I159" i="18"/>
  <c r="K159" i="18" s="1"/>
  <c r="N157" i="18"/>
  <c r="N155" i="18" s="1"/>
  <c r="M157" i="18"/>
  <c r="L157" i="18"/>
  <c r="O157" i="18" s="1"/>
  <c r="P156" i="18"/>
  <c r="O156" i="18"/>
  <c r="N154" i="18"/>
  <c r="N152" i="18" s="1"/>
  <c r="M154" i="18"/>
  <c r="M152" i="18" s="1"/>
  <c r="L154" i="18"/>
  <c r="P153" i="18"/>
  <c r="O153" i="18"/>
  <c r="P150" i="18"/>
  <c r="O150" i="18"/>
  <c r="N150" i="18"/>
  <c r="M150" i="18"/>
  <c r="L150" i="18"/>
  <c r="J148" i="18"/>
  <c r="I146" i="18"/>
  <c r="K146" i="18" s="1"/>
  <c r="I145" i="18"/>
  <c r="K145" i="18" s="1"/>
  <c r="I144" i="18"/>
  <c r="K144" i="18" s="1"/>
  <c r="N140" i="18"/>
  <c r="N138" i="18" s="1"/>
  <c r="M140" i="18"/>
  <c r="M138" i="18" s="1"/>
  <c r="L140" i="18"/>
  <c r="L138" i="18" s="1"/>
  <c r="P139" i="18"/>
  <c r="O139" i="18"/>
  <c r="N137" i="18"/>
  <c r="N135" i="18" s="1"/>
  <c r="M137" i="18"/>
  <c r="L137" i="18"/>
  <c r="P136" i="18"/>
  <c r="O136" i="18"/>
  <c r="N133" i="18"/>
  <c r="M133" i="18"/>
  <c r="P133" i="18" s="1"/>
  <c r="L133" i="18"/>
  <c r="O133" i="18" s="1"/>
  <c r="J130" i="18"/>
  <c r="N127" i="18"/>
  <c r="N125" i="18" s="1"/>
  <c r="M127" i="18"/>
  <c r="M125" i="18" s="1"/>
  <c r="P125" i="18" s="1"/>
  <c r="L127" i="18"/>
  <c r="O127" i="18" s="1"/>
  <c r="P126" i="18"/>
  <c r="O126" i="18"/>
  <c r="N124" i="18"/>
  <c r="N122" i="18" s="1"/>
  <c r="M124" i="18"/>
  <c r="P124" i="18" s="1"/>
  <c r="L124" i="18"/>
  <c r="O124" i="18" s="1"/>
  <c r="P123" i="18"/>
  <c r="O123" i="18"/>
  <c r="O120" i="18"/>
  <c r="N120" i="18"/>
  <c r="M120" i="18"/>
  <c r="L120" i="18"/>
  <c r="I116" i="18"/>
  <c r="K116" i="18" s="1"/>
  <c r="I115" i="18"/>
  <c r="K115" i="18" s="1"/>
  <c r="I114" i="18"/>
  <c r="K114" i="18" s="1"/>
  <c r="I113" i="18"/>
  <c r="K113" i="18" s="1"/>
  <c r="J112" i="18"/>
  <c r="J111" i="18"/>
  <c r="I111" i="18"/>
  <c r="K111" i="18" s="1"/>
  <c r="I110" i="18"/>
  <c r="K110" i="18" s="1"/>
  <c r="I109" i="18"/>
  <c r="K109" i="18" s="1"/>
  <c r="I107" i="18"/>
  <c r="K107" i="18" s="1"/>
  <c r="I106" i="18"/>
  <c r="K106" i="18" s="1"/>
  <c r="I104" i="18"/>
  <c r="K104" i="18" s="1"/>
  <c r="I103" i="18"/>
  <c r="K103" i="18" s="1"/>
  <c r="I102" i="18"/>
  <c r="K102" i="18" s="1"/>
  <c r="J100" i="18"/>
  <c r="I100" i="18"/>
  <c r="K100" i="18" s="1"/>
  <c r="J99" i="18"/>
  <c r="J87" i="18" s="1"/>
  <c r="I99" i="18"/>
  <c r="I87" i="18" s="1"/>
  <c r="J98" i="18"/>
  <c r="I98" i="18"/>
  <c r="I86" i="18" s="1"/>
  <c r="K86" i="18" s="1"/>
  <c r="N96" i="18"/>
  <c r="N94" i="18" s="1"/>
  <c r="M96" i="18"/>
  <c r="P96" i="18" s="1"/>
  <c r="L96" i="18"/>
  <c r="L94" i="18" s="1"/>
  <c r="O94" i="18" s="1"/>
  <c r="P95" i="18"/>
  <c r="O95" i="18"/>
  <c r="N93" i="18"/>
  <c r="M93" i="18"/>
  <c r="L93" i="18"/>
  <c r="L91" i="18" s="1"/>
  <c r="P92" i="18"/>
  <c r="O92" i="18"/>
  <c r="O89" i="18"/>
  <c r="N89" i="18"/>
  <c r="M89" i="18"/>
  <c r="P89" i="18" s="1"/>
  <c r="L89" i="18"/>
  <c r="J86" i="18"/>
  <c r="I84" i="18"/>
  <c r="K84" i="18" s="1"/>
  <c r="I83" i="18"/>
  <c r="K83" i="18" s="1"/>
  <c r="I82" i="18"/>
  <c r="K82" i="18" s="1"/>
  <c r="I81" i="18"/>
  <c r="K81" i="18" s="1"/>
  <c r="I80" i="18"/>
  <c r="K80" i="18" s="1"/>
  <c r="I79" i="18"/>
  <c r="K79" i="18" s="1"/>
  <c r="I78" i="18"/>
  <c r="K78" i="18" s="1"/>
  <c r="J77" i="18"/>
  <c r="J76" i="18"/>
  <c r="J64" i="18" s="1"/>
  <c r="N74" i="18"/>
  <c r="N72" i="18" s="1"/>
  <c r="M74" i="18"/>
  <c r="P74" i="18" s="1"/>
  <c r="L74" i="18"/>
  <c r="L72" i="18" s="1"/>
  <c r="O72" i="18" s="1"/>
  <c r="P73" i="18"/>
  <c r="O73" i="18"/>
  <c r="N71" i="18"/>
  <c r="N69" i="18" s="1"/>
  <c r="M71" i="18"/>
  <c r="M69" i="18" s="1"/>
  <c r="L71" i="18"/>
  <c r="P70" i="18"/>
  <c r="O70" i="18"/>
  <c r="N67" i="18"/>
  <c r="M67" i="18"/>
  <c r="P67" i="18" s="1"/>
  <c r="L67" i="18"/>
  <c r="O67" i="18" s="1"/>
  <c r="J65" i="18"/>
  <c r="N61" i="18"/>
  <c r="N59" i="18" s="1"/>
  <c r="M61" i="18"/>
  <c r="L61" i="18"/>
  <c r="L59" i="18" s="1"/>
  <c r="P60" i="18"/>
  <c r="O60" i="18"/>
  <c r="N58" i="18"/>
  <c r="N56" i="18" s="1"/>
  <c r="M58" i="18"/>
  <c r="M56" i="18" s="1"/>
  <c r="L58" i="18"/>
  <c r="L56" i="18" s="1"/>
  <c r="P57" i="18"/>
  <c r="O57" i="18"/>
  <c r="P54" i="18"/>
  <c r="O54" i="18"/>
  <c r="N54" i="18"/>
  <c r="M54" i="18"/>
  <c r="L54" i="18"/>
  <c r="N49" i="18"/>
  <c r="M49" i="18"/>
  <c r="P49" i="18" s="1"/>
  <c r="L49" i="18"/>
  <c r="L47" i="18" s="1"/>
  <c r="O47" i="18" s="1"/>
  <c r="P48" i="18"/>
  <c r="O48" i="18"/>
  <c r="N46" i="18"/>
  <c r="M46" i="18"/>
  <c r="L46" i="18"/>
  <c r="L44" i="18" s="1"/>
  <c r="P45" i="18"/>
  <c r="O45" i="18"/>
  <c r="N42" i="18"/>
  <c r="M42" i="18"/>
  <c r="L42" i="18"/>
  <c r="O42" i="18" s="1"/>
  <c r="P36" i="18"/>
  <c r="N36" i="18"/>
  <c r="M36" i="18"/>
  <c r="P35" i="18"/>
  <c r="O35" i="18"/>
  <c r="N35" i="18"/>
  <c r="M35" i="18"/>
  <c r="L35" i="18"/>
  <c r="N34" i="18"/>
  <c r="M34" i="18"/>
  <c r="P34" i="18" s="1"/>
  <c r="N33" i="18"/>
  <c r="N30" i="18" s="1"/>
  <c r="N28" i="18" s="1"/>
  <c r="M33" i="18"/>
  <c r="P33" i="18" s="1"/>
  <c r="N32" i="18"/>
  <c r="N31" i="18" s="1"/>
  <c r="M32" i="18"/>
  <c r="M31" i="18" s="1"/>
  <c r="P31" i="18" s="1"/>
  <c r="L32" i="18"/>
  <c r="N29" i="18"/>
  <c r="N25" i="18"/>
  <c r="M25" i="18"/>
  <c r="L25" i="18"/>
  <c r="P22" i="18"/>
  <c r="O22" i="18"/>
  <c r="N22" i="18"/>
  <c r="N19" i="18" s="1"/>
  <c r="M22" i="18"/>
  <c r="L22" i="18"/>
  <c r="M19" i="18"/>
  <c r="L19" i="18"/>
  <c r="N15" i="18"/>
  <c r="M12" i="18"/>
  <c r="L12" i="18"/>
  <c r="J828" i="17"/>
  <c r="I828" i="17"/>
  <c r="J827" i="17"/>
  <c r="I827" i="17"/>
  <c r="J826" i="17"/>
  <c r="I826" i="17"/>
  <c r="J825" i="17"/>
  <c r="I825" i="17"/>
  <c r="J824" i="17"/>
  <c r="I824" i="17"/>
  <c r="J823" i="17"/>
  <c r="I823" i="17"/>
  <c r="J822" i="17"/>
  <c r="I822" i="17"/>
  <c r="J821" i="17"/>
  <c r="I821" i="17"/>
  <c r="P817" i="17"/>
  <c r="O817" i="17"/>
  <c r="P816" i="17"/>
  <c r="O816" i="17"/>
  <c r="N815" i="17"/>
  <c r="M815" i="17"/>
  <c r="P815" i="17" s="1"/>
  <c r="L815" i="17"/>
  <c r="O815" i="17" s="1"/>
  <c r="P810" i="17"/>
  <c r="O810" i="17"/>
  <c r="N810" i="17"/>
  <c r="N808" i="17" s="1"/>
  <c r="P809" i="17"/>
  <c r="O809" i="17"/>
  <c r="P808" i="17"/>
  <c r="O808" i="17"/>
  <c r="M808" i="17"/>
  <c r="L808" i="17"/>
  <c r="P807" i="17"/>
  <c r="O807" i="17"/>
  <c r="N807" i="17"/>
  <c r="M807" i="17"/>
  <c r="L807" i="17"/>
  <c r="O806" i="17"/>
  <c r="N806" i="17"/>
  <c r="N805" i="17" s="1"/>
  <c r="M806" i="17"/>
  <c r="P806" i="17" s="1"/>
  <c r="L806" i="17"/>
  <c r="M805" i="17"/>
  <c r="P805" i="17" s="1"/>
  <c r="L805" i="17"/>
  <c r="O805" i="17" s="1"/>
  <c r="K804" i="17"/>
  <c r="J804" i="17"/>
  <c r="K802" i="17"/>
  <c r="J801" i="17"/>
  <c r="J800" i="17"/>
  <c r="I800" i="17"/>
  <c r="I785" i="17" s="1"/>
  <c r="P798" i="17"/>
  <c r="O798" i="17"/>
  <c r="P797" i="17"/>
  <c r="O797" i="17"/>
  <c r="P796" i="17"/>
  <c r="N796" i="17"/>
  <c r="M796" i="17"/>
  <c r="L796" i="17"/>
  <c r="O796" i="17" s="1"/>
  <c r="P791" i="17"/>
  <c r="N791" i="17"/>
  <c r="L791" i="17"/>
  <c r="L789" i="17" s="1"/>
  <c r="O789" i="17" s="1"/>
  <c r="P790" i="17"/>
  <c r="O790" i="17"/>
  <c r="P789" i="17"/>
  <c r="N789" i="17"/>
  <c r="M789" i="17"/>
  <c r="P788" i="17"/>
  <c r="N788" i="17"/>
  <c r="M788" i="17"/>
  <c r="O787" i="17"/>
  <c r="N787" i="17"/>
  <c r="N786" i="17" s="1"/>
  <c r="M787" i="17"/>
  <c r="P787" i="17" s="1"/>
  <c r="L787" i="17"/>
  <c r="P782" i="17"/>
  <c r="O782" i="17"/>
  <c r="P781" i="17"/>
  <c r="O781" i="17"/>
  <c r="N780" i="17"/>
  <c r="M780" i="17"/>
  <c r="P780" i="17" s="1"/>
  <c r="L780" i="17"/>
  <c r="O780" i="17" s="1"/>
  <c r="P775" i="17"/>
  <c r="O775" i="17"/>
  <c r="N775" i="17"/>
  <c r="P774" i="17"/>
  <c r="O774" i="17"/>
  <c r="P773" i="17"/>
  <c r="N773" i="17"/>
  <c r="M773" i="17"/>
  <c r="L773" i="17"/>
  <c r="O773" i="17" s="1"/>
  <c r="P772" i="17"/>
  <c r="O772" i="17"/>
  <c r="N772" i="17"/>
  <c r="M772" i="17"/>
  <c r="L772" i="17"/>
  <c r="P771" i="17"/>
  <c r="O771" i="17"/>
  <c r="N771" i="17"/>
  <c r="N770" i="17" s="1"/>
  <c r="M771" i="17"/>
  <c r="L771" i="17"/>
  <c r="O770" i="17"/>
  <c r="M770" i="17"/>
  <c r="P770" i="17" s="1"/>
  <c r="L770" i="17"/>
  <c r="K769" i="17"/>
  <c r="J769" i="17"/>
  <c r="P766" i="17"/>
  <c r="O766" i="17"/>
  <c r="P765" i="17"/>
  <c r="O765" i="17"/>
  <c r="N764" i="17"/>
  <c r="M764" i="17"/>
  <c r="P764" i="17" s="1"/>
  <c r="L764" i="17"/>
  <c r="O764" i="17" s="1"/>
  <c r="P759" i="17"/>
  <c r="O759" i="17"/>
  <c r="N759" i="17"/>
  <c r="P758" i="17"/>
  <c r="O758" i="17"/>
  <c r="P757" i="17"/>
  <c r="N757" i="17"/>
  <c r="M757" i="17"/>
  <c r="L757" i="17"/>
  <c r="O757" i="17" s="1"/>
  <c r="P756" i="17"/>
  <c r="O756" i="17"/>
  <c r="N756" i="17"/>
  <c r="M756" i="17"/>
  <c r="L756" i="17"/>
  <c r="P755" i="17"/>
  <c r="O755" i="17"/>
  <c r="N755" i="17"/>
  <c r="M755" i="17"/>
  <c r="L755" i="17"/>
  <c r="O754" i="17"/>
  <c r="N754" i="17"/>
  <c r="M754" i="17"/>
  <c r="P754" i="17" s="1"/>
  <c r="L754" i="17"/>
  <c r="K753" i="17"/>
  <c r="J753" i="17"/>
  <c r="P749" i="17"/>
  <c r="O749" i="17"/>
  <c r="P748" i="17"/>
  <c r="O748" i="17"/>
  <c r="N747" i="17"/>
  <c r="M747" i="17"/>
  <c r="P747" i="17" s="1"/>
  <c r="L747" i="17"/>
  <c r="O747" i="17" s="1"/>
  <c r="P742" i="17"/>
  <c r="O742" i="17"/>
  <c r="N742" i="17"/>
  <c r="P741" i="17"/>
  <c r="O741" i="17"/>
  <c r="P740" i="17"/>
  <c r="N740" i="17"/>
  <c r="M740" i="17"/>
  <c r="L740" i="17"/>
  <c r="O740" i="17" s="1"/>
  <c r="P739" i="17"/>
  <c r="O739" i="17"/>
  <c r="N739" i="17"/>
  <c r="M739" i="17"/>
  <c r="L739" i="17"/>
  <c r="P738" i="17"/>
  <c r="O738" i="17"/>
  <c r="N738" i="17"/>
  <c r="M738" i="17"/>
  <c r="L738" i="17"/>
  <c r="O737" i="17"/>
  <c r="N737" i="17"/>
  <c r="M737" i="17"/>
  <c r="P737" i="17" s="1"/>
  <c r="L737" i="17"/>
  <c r="K736" i="17"/>
  <c r="J736" i="17"/>
  <c r="J729" i="17"/>
  <c r="I729" i="17"/>
  <c r="K729" i="17" s="1"/>
  <c r="J728" i="17"/>
  <c r="I728" i="17"/>
  <c r="K728" i="17" s="1"/>
  <c r="J727" i="17"/>
  <c r="J726" i="17"/>
  <c r="I726" i="17"/>
  <c r="K726" i="17" s="1"/>
  <c r="J725" i="17"/>
  <c r="I725" i="17"/>
  <c r="K725" i="17" s="1"/>
  <c r="J724" i="17"/>
  <c r="J723" i="17"/>
  <c r="I723" i="17"/>
  <c r="K723" i="17" s="1"/>
  <c r="I722" i="17"/>
  <c r="K722" i="17" s="1"/>
  <c r="I721" i="17"/>
  <c r="K721" i="17" s="1"/>
  <c r="J720" i="17"/>
  <c r="I720" i="17"/>
  <c r="K720" i="17" s="1"/>
  <c r="J719" i="17"/>
  <c r="J718" i="17"/>
  <c r="J708" i="17"/>
  <c r="I708" i="17"/>
  <c r="K708" i="17" s="1"/>
  <c r="I707" i="17"/>
  <c r="I704" i="17"/>
  <c r="J701" i="17"/>
  <c r="I701" i="17"/>
  <c r="K701" i="17" s="1"/>
  <c r="J700" i="17"/>
  <c r="I700" i="17"/>
  <c r="K700" i="17" s="1"/>
  <c r="J699" i="17"/>
  <c r="I699" i="17"/>
  <c r="K699" i="17" s="1"/>
  <c r="P697" i="17"/>
  <c r="O697" i="17"/>
  <c r="P696" i="17"/>
  <c r="O696" i="17"/>
  <c r="N695" i="17"/>
  <c r="M695" i="17"/>
  <c r="P695" i="17" s="1"/>
  <c r="L695" i="17"/>
  <c r="O695" i="17" s="1"/>
  <c r="P690" i="17"/>
  <c r="N690" i="17"/>
  <c r="L690" i="17"/>
  <c r="L688" i="17" s="1"/>
  <c r="O688" i="17" s="1"/>
  <c r="P688" i="17"/>
  <c r="N688" i="17"/>
  <c r="M688" i="17"/>
  <c r="P687" i="17"/>
  <c r="N687" i="17"/>
  <c r="M687" i="17"/>
  <c r="O686" i="17"/>
  <c r="N686" i="17"/>
  <c r="N685" i="17" s="1"/>
  <c r="M686" i="17"/>
  <c r="P686" i="17" s="1"/>
  <c r="L686" i="17"/>
  <c r="M685" i="17"/>
  <c r="P685" i="17" s="1"/>
  <c r="J679" i="17"/>
  <c r="J678" i="17" s="1"/>
  <c r="I678" i="17"/>
  <c r="K678" i="17" s="1"/>
  <c r="J675" i="17"/>
  <c r="J669" i="17" s="1"/>
  <c r="J654" i="17" s="1"/>
  <c r="I671" i="17"/>
  <c r="K671" i="17" s="1"/>
  <c r="I670" i="17"/>
  <c r="K670" i="17" s="1"/>
  <c r="I669" i="17"/>
  <c r="K672" i="17" s="1"/>
  <c r="P667" i="17"/>
  <c r="O667" i="17"/>
  <c r="P666" i="17"/>
  <c r="O666" i="17"/>
  <c r="O665" i="17"/>
  <c r="N665" i="17"/>
  <c r="M665" i="17"/>
  <c r="P665" i="17" s="1"/>
  <c r="L665" i="17"/>
  <c r="P660" i="17"/>
  <c r="N660" i="17"/>
  <c r="N657" i="17" s="1"/>
  <c r="N655" i="17" s="1"/>
  <c r="L660" i="17"/>
  <c r="O660" i="17" s="1"/>
  <c r="P659" i="17"/>
  <c r="O659" i="17"/>
  <c r="N658" i="17"/>
  <c r="M658" i="17"/>
  <c r="P658" i="17" s="1"/>
  <c r="M657" i="17"/>
  <c r="P657" i="17" s="1"/>
  <c r="L657" i="17"/>
  <c r="O657" i="17" s="1"/>
  <c r="P656" i="17"/>
  <c r="N656" i="17"/>
  <c r="M656" i="17"/>
  <c r="L656" i="17"/>
  <c r="K652" i="17"/>
  <c r="J652" i="17"/>
  <c r="J651" i="17"/>
  <c r="J628" i="17" s="1"/>
  <c r="I651" i="17"/>
  <c r="K650" i="17"/>
  <c r="J650" i="17"/>
  <c r="J649" i="17"/>
  <c r="I649" i="17"/>
  <c r="K648" i="17"/>
  <c r="J648" i="17"/>
  <c r="J647" i="17"/>
  <c r="I647" i="17"/>
  <c r="K646" i="17"/>
  <c r="J646" i="17"/>
  <c r="K645" i="17"/>
  <c r="J645" i="17"/>
  <c r="I644" i="17"/>
  <c r="K644" i="17" s="1"/>
  <c r="I643" i="17"/>
  <c r="K643" i="17" s="1"/>
  <c r="P641" i="17"/>
  <c r="L641" i="17"/>
  <c r="L639" i="17" s="1"/>
  <c r="O639" i="17" s="1"/>
  <c r="P640" i="17"/>
  <c r="O640" i="17"/>
  <c r="P639" i="17"/>
  <c r="N639" i="17"/>
  <c r="M639" i="17"/>
  <c r="P634" i="17"/>
  <c r="N634" i="17"/>
  <c r="L634" i="17"/>
  <c r="L632" i="17" s="1"/>
  <c r="O632" i="17" s="1"/>
  <c r="P633" i="17"/>
  <c r="O633" i="17"/>
  <c r="P632" i="17"/>
  <c r="N632" i="17"/>
  <c r="M632" i="17"/>
  <c r="N631" i="17"/>
  <c r="M631" i="17"/>
  <c r="P631" i="17" s="1"/>
  <c r="N630" i="17"/>
  <c r="M630" i="17"/>
  <c r="L630" i="17"/>
  <c r="O630" i="17" s="1"/>
  <c r="J621" i="17"/>
  <c r="I621" i="17"/>
  <c r="K621" i="17" s="1"/>
  <c r="J620" i="17"/>
  <c r="I620" i="17"/>
  <c r="K620" i="17" s="1"/>
  <c r="K613" i="17"/>
  <c r="J613" i="17"/>
  <c r="K612" i="17"/>
  <c r="J612" i="17"/>
  <c r="K611" i="17"/>
  <c r="J611" i="17"/>
  <c r="J604" i="17"/>
  <c r="J603" i="17"/>
  <c r="J596" i="17"/>
  <c r="J594" i="17" s="1"/>
  <c r="J595" i="17"/>
  <c r="I594" i="17"/>
  <c r="K594" i="17" s="1"/>
  <c r="J593" i="17"/>
  <c r="J592" i="17" s="1"/>
  <c r="I593" i="17"/>
  <c r="J583" i="17"/>
  <c r="J577" i="17" s="1"/>
  <c r="J582" i="17"/>
  <c r="J576" i="17" s="1"/>
  <c r="J559" i="17" s="1"/>
  <c r="J543" i="17" s="1"/>
  <c r="I577" i="17"/>
  <c r="I576" i="17"/>
  <c r="J569" i="17"/>
  <c r="I569" i="17"/>
  <c r="K569" i="17" s="1"/>
  <c r="J568" i="17"/>
  <c r="I568" i="17"/>
  <c r="K568" i="17" s="1"/>
  <c r="J561" i="17"/>
  <c r="I561" i="17"/>
  <c r="K561" i="17" s="1"/>
  <c r="J560" i="17"/>
  <c r="I560" i="17"/>
  <c r="K560" i="17" s="1"/>
  <c r="P557" i="17"/>
  <c r="L557" i="17"/>
  <c r="L555" i="17" s="1"/>
  <c r="O555" i="17" s="1"/>
  <c r="P556" i="17"/>
  <c r="O556" i="17"/>
  <c r="N555" i="17"/>
  <c r="N545" i="17" s="1"/>
  <c r="M555" i="17"/>
  <c r="P549" i="17"/>
  <c r="N549" i="17"/>
  <c r="L549" i="17"/>
  <c r="O549" i="17" s="1"/>
  <c r="P548" i="17"/>
  <c r="O548" i="17"/>
  <c r="N547" i="17"/>
  <c r="M547" i="17"/>
  <c r="P547" i="17" s="1"/>
  <c r="P546" i="17"/>
  <c r="N546" i="17"/>
  <c r="M546" i="17"/>
  <c r="O545" i="17"/>
  <c r="L545" i="17"/>
  <c r="N544" i="17"/>
  <c r="I542" i="17"/>
  <c r="K542" i="17" s="1"/>
  <c r="I541" i="17"/>
  <c r="K541" i="17" s="1"/>
  <c r="I540" i="17"/>
  <c r="K540" i="17" s="1"/>
  <c r="I539" i="17"/>
  <c r="K539" i="17" s="1"/>
  <c r="I538" i="17"/>
  <c r="K538" i="17" s="1"/>
  <c r="I537" i="17"/>
  <c r="P535" i="17"/>
  <c r="L535" i="17"/>
  <c r="O535" i="17" s="1"/>
  <c r="P534" i="17"/>
  <c r="O534" i="17"/>
  <c r="P533" i="17"/>
  <c r="N533" i="17"/>
  <c r="M533" i="17"/>
  <c r="L533" i="17"/>
  <c r="O533" i="17" s="1"/>
  <c r="P528" i="17"/>
  <c r="N528" i="17"/>
  <c r="L528" i="17"/>
  <c r="L526" i="17" s="1"/>
  <c r="O526" i="17" s="1"/>
  <c r="P527" i="17"/>
  <c r="O527" i="17"/>
  <c r="P526" i="17"/>
  <c r="N526" i="17"/>
  <c r="M526" i="17"/>
  <c r="P525" i="17"/>
  <c r="N525" i="17"/>
  <c r="M525" i="17"/>
  <c r="O524" i="17"/>
  <c r="N524" i="17"/>
  <c r="N523" i="17" s="1"/>
  <c r="M524" i="17"/>
  <c r="P524" i="17" s="1"/>
  <c r="L524" i="17"/>
  <c r="K517" i="17"/>
  <c r="J517" i="17"/>
  <c r="J501" i="17" s="1"/>
  <c r="K516" i="17"/>
  <c r="P514" i="17"/>
  <c r="O514" i="17"/>
  <c r="P513" i="17"/>
  <c r="O513" i="17"/>
  <c r="P512" i="17"/>
  <c r="O512" i="17"/>
  <c r="N512" i="17"/>
  <c r="M512" i="17"/>
  <c r="L512" i="17"/>
  <c r="P507" i="17"/>
  <c r="O507" i="17"/>
  <c r="N507" i="17"/>
  <c r="N504" i="17" s="1"/>
  <c r="N502" i="17" s="1"/>
  <c r="P506" i="17"/>
  <c r="O506" i="17"/>
  <c r="O505" i="17"/>
  <c r="N505" i="17"/>
  <c r="M505" i="17"/>
  <c r="P505" i="17" s="1"/>
  <c r="L505" i="17"/>
  <c r="M504" i="17"/>
  <c r="P504" i="17" s="1"/>
  <c r="L504" i="17"/>
  <c r="O504" i="17" s="1"/>
  <c r="N503" i="17"/>
  <c r="M503" i="17"/>
  <c r="M502" i="17" s="1"/>
  <c r="P502" i="17" s="1"/>
  <c r="L503" i="17"/>
  <c r="K501" i="17"/>
  <c r="K500" i="17"/>
  <c r="J500" i="17"/>
  <c r="I498" i="17"/>
  <c r="K498" i="17" s="1"/>
  <c r="I495" i="17"/>
  <c r="K495" i="17" s="1"/>
  <c r="I492" i="17"/>
  <c r="K492" i="17" s="1"/>
  <c r="I489" i="17"/>
  <c r="K489" i="17" s="1"/>
  <c r="I487" i="17"/>
  <c r="K487" i="17" s="1"/>
  <c r="I485" i="17"/>
  <c r="K485" i="17" s="1"/>
  <c r="I483" i="17"/>
  <c r="K483" i="17" s="1"/>
  <c r="P479" i="17"/>
  <c r="L479" i="17"/>
  <c r="L477" i="17" s="1"/>
  <c r="O477" i="17" s="1"/>
  <c r="P478" i="17"/>
  <c r="O478" i="17"/>
  <c r="P477" i="17"/>
  <c r="N477" i="17"/>
  <c r="M477" i="17"/>
  <c r="P472" i="17"/>
  <c r="N472" i="17"/>
  <c r="L472" i="17"/>
  <c r="P471" i="17"/>
  <c r="O471" i="17"/>
  <c r="N470" i="17"/>
  <c r="M470" i="17"/>
  <c r="P470" i="17" s="1"/>
  <c r="N469" i="17"/>
  <c r="N467" i="17" s="1"/>
  <c r="M469" i="17"/>
  <c r="P469" i="17" s="1"/>
  <c r="N468" i="17"/>
  <c r="M468" i="17"/>
  <c r="L468" i="17"/>
  <c r="O468" i="17" s="1"/>
  <c r="J466" i="17"/>
  <c r="I466" i="17"/>
  <c r="K466" i="17" s="1"/>
  <c r="J465" i="17"/>
  <c r="I465" i="17"/>
  <c r="K465" i="17" s="1"/>
  <c r="I464" i="17"/>
  <c r="I463" i="17"/>
  <c r="I462" i="17"/>
  <c r="K462" i="17" s="1"/>
  <c r="I460" i="17"/>
  <c r="K460" i="17" s="1"/>
  <c r="K458" i="17"/>
  <c r="P456" i="17"/>
  <c r="L456" i="17"/>
  <c r="L454" i="17" s="1"/>
  <c r="O454" i="17" s="1"/>
  <c r="P455" i="17"/>
  <c r="O455" i="17"/>
  <c r="P454" i="17"/>
  <c r="N454" i="17"/>
  <c r="M454" i="17"/>
  <c r="P449" i="17"/>
  <c r="N449" i="17"/>
  <c r="L449" i="17"/>
  <c r="L447" i="17" s="1"/>
  <c r="O447" i="17" s="1"/>
  <c r="P448" i="17"/>
  <c r="O448" i="17"/>
  <c r="P447" i="17"/>
  <c r="N447" i="17"/>
  <c r="M447" i="17"/>
  <c r="M446" i="17"/>
  <c r="P446" i="17" s="1"/>
  <c r="N445" i="17"/>
  <c r="M445" i="17"/>
  <c r="L445" i="17"/>
  <c r="O445" i="17" s="1"/>
  <c r="J443" i="17"/>
  <c r="J442" i="17"/>
  <c r="I441" i="17"/>
  <c r="K441" i="17" s="1"/>
  <c r="I440" i="17"/>
  <c r="K440" i="17" s="1"/>
  <c r="I439" i="17"/>
  <c r="K439" i="17" s="1"/>
  <c r="I438" i="17"/>
  <c r="I437" i="17"/>
  <c r="K437" i="17" s="1"/>
  <c r="I435" i="17"/>
  <c r="J434" i="17"/>
  <c r="P431" i="17"/>
  <c r="L431" i="17"/>
  <c r="L429" i="17" s="1"/>
  <c r="O429" i="17" s="1"/>
  <c r="P430" i="17"/>
  <c r="O430" i="17"/>
  <c r="P429" i="17"/>
  <c r="N429" i="17"/>
  <c r="M429" i="17"/>
  <c r="P424" i="17"/>
  <c r="N424" i="17"/>
  <c r="L424" i="17"/>
  <c r="L422" i="17" s="1"/>
  <c r="P423" i="17"/>
  <c r="O423" i="17"/>
  <c r="P422" i="17"/>
  <c r="M422" i="17"/>
  <c r="M421" i="17"/>
  <c r="P421" i="17" s="1"/>
  <c r="N420" i="17"/>
  <c r="M420" i="17"/>
  <c r="L420" i="17"/>
  <c r="O420" i="17" s="1"/>
  <c r="J418" i="17"/>
  <c r="K413" i="17"/>
  <c r="K412" i="17"/>
  <c r="N410" i="17"/>
  <c r="N408" i="17" s="1"/>
  <c r="M410" i="17"/>
  <c r="P410" i="17" s="1"/>
  <c r="L410" i="17"/>
  <c r="O410" i="17" s="1"/>
  <c r="P409" i="17"/>
  <c r="O409" i="17"/>
  <c r="N407" i="17"/>
  <c r="M407" i="17"/>
  <c r="P407" i="17" s="1"/>
  <c r="L407" i="17"/>
  <c r="O407" i="17" s="1"/>
  <c r="P406" i="17"/>
  <c r="O406" i="17"/>
  <c r="P403" i="17"/>
  <c r="N403" i="17"/>
  <c r="M403" i="17"/>
  <c r="L403" i="17"/>
  <c r="K401" i="17"/>
  <c r="J401" i="17"/>
  <c r="I401" i="17"/>
  <c r="K400" i="17"/>
  <c r="K399" i="17"/>
  <c r="N397" i="17"/>
  <c r="N395" i="17" s="1"/>
  <c r="M397" i="17"/>
  <c r="L397" i="17"/>
  <c r="L395" i="17" s="1"/>
  <c r="O395" i="17" s="1"/>
  <c r="P396" i="17"/>
  <c r="O396" i="17"/>
  <c r="N394" i="17"/>
  <c r="M394" i="17"/>
  <c r="L394" i="17"/>
  <c r="L392" i="17" s="1"/>
  <c r="O392" i="17" s="1"/>
  <c r="P393" i="17"/>
  <c r="O393" i="17"/>
  <c r="N390" i="17"/>
  <c r="M390" i="17"/>
  <c r="L390" i="17"/>
  <c r="O390" i="17" s="1"/>
  <c r="K388" i="17"/>
  <c r="J388" i="17"/>
  <c r="I388" i="17"/>
  <c r="J385" i="17"/>
  <c r="I385" i="17"/>
  <c r="K382" i="17"/>
  <c r="J382" i="17"/>
  <c r="J381" i="17"/>
  <c r="J374" i="17" s="1"/>
  <c r="I381" i="17"/>
  <c r="K380" i="17"/>
  <c r="J380" i="17"/>
  <c r="J379" i="17"/>
  <c r="I379" i="17"/>
  <c r="J378" i="17"/>
  <c r="I378" i="17"/>
  <c r="K377" i="17"/>
  <c r="J377" i="17"/>
  <c r="I374" i="17"/>
  <c r="K373" i="17"/>
  <c r="J373" i="17"/>
  <c r="J372" i="17"/>
  <c r="J365" i="17" s="1"/>
  <c r="I372" i="17"/>
  <c r="K371" i="17"/>
  <c r="J371" i="17"/>
  <c r="J370" i="17"/>
  <c r="I370" i="17"/>
  <c r="J369" i="17"/>
  <c r="I369" i="17"/>
  <c r="K368" i="17"/>
  <c r="J368" i="17"/>
  <c r="I365" i="17"/>
  <c r="K363" i="17"/>
  <c r="J363" i="17"/>
  <c r="J362" i="17"/>
  <c r="J355" i="17" s="1"/>
  <c r="I362" i="17"/>
  <c r="K361" i="17"/>
  <c r="J361" i="17"/>
  <c r="J360" i="17"/>
  <c r="I360" i="17"/>
  <c r="J359" i="17"/>
  <c r="I359" i="17"/>
  <c r="K358" i="17"/>
  <c r="J358" i="17"/>
  <c r="I355" i="17"/>
  <c r="N353" i="17"/>
  <c r="N351" i="17" s="1"/>
  <c r="M353" i="17"/>
  <c r="L353" i="17"/>
  <c r="L351" i="17" s="1"/>
  <c r="P352" i="17"/>
  <c r="O352" i="17"/>
  <c r="N350" i="17"/>
  <c r="M350" i="17"/>
  <c r="L350" i="17"/>
  <c r="L348" i="17" s="1"/>
  <c r="P349" i="17"/>
  <c r="O349" i="17"/>
  <c r="N346" i="17"/>
  <c r="M346" i="17"/>
  <c r="L346" i="17"/>
  <c r="J343" i="17"/>
  <c r="J342" i="17"/>
  <c r="J341" i="17"/>
  <c r="J340" i="17"/>
  <c r="I340" i="17"/>
  <c r="J338" i="17"/>
  <c r="I338" i="17"/>
  <c r="N336" i="17"/>
  <c r="M336" i="17"/>
  <c r="L336" i="17"/>
  <c r="O336" i="17" s="1"/>
  <c r="P335" i="17"/>
  <c r="O335" i="17"/>
  <c r="N333" i="17"/>
  <c r="N331" i="17" s="1"/>
  <c r="M333" i="17"/>
  <c r="L333" i="17"/>
  <c r="P332" i="17"/>
  <c r="O332" i="17"/>
  <c r="P329" i="17"/>
  <c r="O329" i="17"/>
  <c r="N329" i="17"/>
  <c r="M329" i="17"/>
  <c r="L329" i="17"/>
  <c r="I327" i="17"/>
  <c r="I325" i="17"/>
  <c r="I314" i="17" s="1"/>
  <c r="K314" i="17" s="1"/>
  <c r="N323" i="17"/>
  <c r="N321" i="17" s="1"/>
  <c r="M323" i="17"/>
  <c r="L323" i="17"/>
  <c r="P322" i="17"/>
  <c r="O322" i="17"/>
  <c r="N320" i="17"/>
  <c r="M320" i="17"/>
  <c r="P320" i="17" s="1"/>
  <c r="L320" i="17"/>
  <c r="P319" i="17"/>
  <c r="O319" i="17"/>
  <c r="P316" i="17"/>
  <c r="N316" i="17"/>
  <c r="M316" i="17"/>
  <c r="L316" i="17"/>
  <c r="J314" i="17"/>
  <c r="I312" i="17"/>
  <c r="K312" i="17" s="1"/>
  <c r="I311" i="17"/>
  <c r="K311" i="17" s="1"/>
  <c r="I310" i="17"/>
  <c r="K310" i="17" s="1"/>
  <c r="I309" i="17"/>
  <c r="K309" i="17" s="1"/>
  <c r="N306" i="17"/>
  <c r="N304" i="17" s="1"/>
  <c r="M306" i="17"/>
  <c r="M304" i="17" s="1"/>
  <c r="P304" i="17" s="1"/>
  <c r="L306" i="17"/>
  <c r="O306" i="17" s="1"/>
  <c r="P305" i="17"/>
  <c r="O305" i="17"/>
  <c r="N303" i="17"/>
  <c r="N301" i="17" s="1"/>
  <c r="M303" i="17"/>
  <c r="M301" i="17" s="1"/>
  <c r="L303" i="17"/>
  <c r="P302" i="17"/>
  <c r="O302" i="17"/>
  <c r="N299" i="17"/>
  <c r="M299" i="17"/>
  <c r="P299" i="17" s="1"/>
  <c r="L299" i="17"/>
  <c r="O299" i="17" s="1"/>
  <c r="J297" i="17"/>
  <c r="I294" i="17"/>
  <c r="K294" i="17" s="1"/>
  <c r="I293" i="17"/>
  <c r="K293" i="17" s="1"/>
  <c r="I291" i="17"/>
  <c r="K291" i="17" s="1"/>
  <c r="I290" i="17"/>
  <c r="K290" i="17" s="1"/>
  <c r="I288" i="17"/>
  <c r="I275" i="17" s="1"/>
  <c r="I287" i="17"/>
  <c r="I276" i="17" s="1"/>
  <c r="N285" i="17"/>
  <c r="N283" i="17" s="1"/>
  <c r="M285" i="17"/>
  <c r="P285" i="17" s="1"/>
  <c r="L285" i="17"/>
  <c r="L283" i="17" s="1"/>
  <c r="O283" i="17" s="1"/>
  <c r="P284" i="17"/>
  <c r="O284" i="17"/>
  <c r="N282" i="17"/>
  <c r="N280" i="17" s="1"/>
  <c r="M282" i="17"/>
  <c r="M280" i="17" s="1"/>
  <c r="L282" i="17"/>
  <c r="L280" i="17" s="1"/>
  <c r="P281" i="17"/>
  <c r="O281" i="17"/>
  <c r="O278" i="17"/>
  <c r="N278" i="17"/>
  <c r="M278" i="17"/>
  <c r="L278" i="17"/>
  <c r="J276" i="17"/>
  <c r="I271" i="17"/>
  <c r="K271" i="17" s="1"/>
  <c r="N269" i="17"/>
  <c r="N267" i="17" s="1"/>
  <c r="M269" i="17"/>
  <c r="L269" i="17"/>
  <c r="O269" i="17" s="1"/>
  <c r="P268" i="17"/>
  <c r="O268" i="17"/>
  <c r="N266" i="17"/>
  <c r="N264" i="17" s="1"/>
  <c r="M266" i="17"/>
  <c r="L266" i="17"/>
  <c r="L264" i="17" s="1"/>
  <c r="P265" i="17"/>
  <c r="O265" i="17"/>
  <c r="N262" i="17"/>
  <c r="M262" i="17"/>
  <c r="L262" i="17"/>
  <c r="O262" i="17" s="1"/>
  <c r="J260" i="17"/>
  <c r="K258" i="17"/>
  <c r="K257" i="17"/>
  <c r="I255" i="17"/>
  <c r="I248" i="17" s="1"/>
  <c r="K248" i="17" s="1"/>
  <c r="L253" i="17"/>
  <c r="L252" i="17"/>
  <c r="L251" i="17"/>
  <c r="L250" i="17"/>
  <c r="P249" i="17"/>
  <c r="N249" i="17"/>
  <c r="J248" i="17"/>
  <c r="J226" i="17" s="1"/>
  <c r="J180" i="17" s="1"/>
  <c r="K247" i="17"/>
  <c r="K246" i="17"/>
  <c r="I244" i="17"/>
  <c r="I237" i="17" s="1"/>
  <c r="L242" i="17"/>
  <c r="L241" i="17"/>
  <c r="L240" i="17"/>
  <c r="L239" i="17"/>
  <c r="P238" i="17"/>
  <c r="N238" i="17"/>
  <c r="N227" i="17" s="1"/>
  <c r="J237" i="17"/>
  <c r="J236" i="17"/>
  <c r="I236" i="17"/>
  <c r="K236" i="17" s="1"/>
  <c r="K235" i="17"/>
  <c r="J235" i="17"/>
  <c r="I235" i="17"/>
  <c r="J233" i="17"/>
  <c r="N231" i="17"/>
  <c r="N230" i="17"/>
  <c r="N229" i="17"/>
  <c r="N228" i="17"/>
  <c r="I225" i="17"/>
  <c r="K225" i="17" s="1"/>
  <c r="I224" i="17"/>
  <c r="K224" i="17" s="1"/>
  <c r="I223" i="17"/>
  <c r="K223" i="17" s="1"/>
  <c r="L220" i="17"/>
  <c r="L219" i="17"/>
  <c r="L218" i="17"/>
  <c r="P217" i="17"/>
  <c r="N217" i="17"/>
  <c r="J216" i="17"/>
  <c r="I215" i="17"/>
  <c r="K215" i="17" s="1"/>
  <c r="I214" i="17"/>
  <c r="K214" i="17" s="1"/>
  <c r="L212" i="17"/>
  <c r="L211" i="17"/>
  <c r="L210" i="17"/>
  <c r="P209" i="17"/>
  <c r="N209" i="17"/>
  <c r="J208" i="17"/>
  <c r="K207" i="17"/>
  <c r="K206" i="17"/>
  <c r="I204" i="17"/>
  <c r="L202" i="17"/>
  <c r="L201" i="17"/>
  <c r="L200" i="17"/>
  <c r="L199" i="17"/>
  <c r="P198" i="17"/>
  <c r="N198" i="17"/>
  <c r="J197" i="17"/>
  <c r="J194" i="17"/>
  <c r="I193" i="17"/>
  <c r="K193" i="17" s="1"/>
  <c r="P191" i="17"/>
  <c r="L191" i="17"/>
  <c r="O191" i="17" s="1"/>
  <c r="J190" i="17"/>
  <c r="N189" i="17"/>
  <c r="M189" i="17"/>
  <c r="P189" i="17" s="1"/>
  <c r="L189" i="17"/>
  <c r="O189" i="17" s="1"/>
  <c r="P188" i="17"/>
  <c r="O188" i="17"/>
  <c r="N186" i="17"/>
  <c r="N184" i="17" s="1"/>
  <c r="M186" i="17"/>
  <c r="M184" i="17" s="1"/>
  <c r="L186" i="17"/>
  <c r="P185" i="17"/>
  <c r="O185" i="17"/>
  <c r="P182" i="17"/>
  <c r="N182" i="17"/>
  <c r="M182" i="17"/>
  <c r="L182" i="17"/>
  <c r="K180" i="17"/>
  <c r="J177" i="17"/>
  <c r="J164" i="17" s="1"/>
  <c r="I176" i="17"/>
  <c r="K176" i="17" s="1"/>
  <c r="J174" i="17"/>
  <c r="N173" i="17"/>
  <c r="N171" i="17" s="1"/>
  <c r="M173" i="17"/>
  <c r="P173" i="17" s="1"/>
  <c r="L173" i="17"/>
  <c r="O173" i="17" s="1"/>
  <c r="P172" i="17"/>
  <c r="O172" i="17"/>
  <c r="N170" i="17"/>
  <c r="N168" i="17" s="1"/>
  <c r="M170" i="17"/>
  <c r="M168" i="17" s="1"/>
  <c r="L170" i="17"/>
  <c r="P169" i="17"/>
  <c r="O169" i="17"/>
  <c r="O166" i="17"/>
  <c r="N166" i="17"/>
  <c r="M166" i="17"/>
  <c r="L166" i="17"/>
  <c r="I159" i="17"/>
  <c r="K159" i="17" s="1"/>
  <c r="N157" i="17"/>
  <c r="N155" i="17" s="1"/>
  <c r="M157" i="17"/>
  <c r="P157" i="17" s="1"/>
  <c r="L157" i="17"/>
  <c r="P156" i="17"/>
  <c r="O156" i="17"/>
  <c r="N154" i="17"/>
  <c r="N152" i="17" s="1"/>
  <c r="M154" i="17"/>
  <c r="P154" i="17" s="1"/>
  <c r="L154" i="17"/>
  <c r="P153" i="17"/>
  <c r="O153" i="17"/>
  <c r="N150" i="17"/>
  <c r="M150" i="17"/>
  <c r="L150" i="17"/>
  <c r="O150" i="17" s="1"/>
  <c r="J148" i="17"/>
  <c r="I146" i="17"/>
  <c r="I130" i="17" s="1"/>
  <c r="K130" i="17" s="1"/>
  <c r="I145" i="17"/>
  <c r="K145" i="17" s="1"/>
  <c r="I144" i="17"/>
  <c r="K144" i="17" s="1"/>
  <c r="N140" i="17"/>
  <c r="N138" i="17" s="1"/>
  <c r="M140" i="17"/>
  <c r="M138" i="17" s="1"/>
  <c r="P138" i="17" s="1"/>
  <c r="L140" i="17"/>
  <c r="O140" i="17" s="1"/>
  <c r="P139" i="17"/>
  <c r="O139" i="17"/>
  <c r="N137" i="17"/>
  <c r="N135" i="17" s="1"/>
  <c r="M137" i="17"/>
  <c r="M135" i="17" s="1"/>
  <c r="P135" i="17" s="1"/>
  <c r="L137" i="17"/>
  <c r="O137" i="17" s="1"/>
  <c r="P136" i="17"/>
  <c r="O136" i="17"/>
  <c r="N133" i="17"/>
  <c r="M133" i="17"/>
  <c r="P133" i="17" s="1"/>
  <c r="L133" i="17"/>
  <c r="J130" i="17"/>
  <c r="N127" i="17"/>
  <c r="N125" i="17" s="1"/>
  <c r="M127" i="17"/>
  <c r="P127" i="17" s="1"/>
  <c r="L127" i="17"/>
  <c r="O127" i="17" s="1"/>
  <c r="P126" i="17"/>
  <c r="O126" i="17"/>
  <c r="N124" i="17"/>
  <c r="N122" i="17" s="1"/>
  <c r="M124" i="17"/>
  <c r="P124" i="17" s="1"/>
  <c r="L124" i="17"/>
  <c r="O124" i="17" s="1"/>
  <c r="P123" i="17"/>
  <c r="O123" i="17"/>
  <c r="P120" i="17"/>
  <c r="O120" i="17"/>
  <c r="N120" i="17"/>
  <c r="M120" i="17"/>
  <c r="L120" i="17"/>
  <c r="I116" i="17"/>
  <c r="K116" i="17" s="1"/>
  <c r="I115" i="17"/>
  <c r="I114" i="17"/>
  <c r="K114" i="17" s="1"/>
  <c r="I113" i="17"/>
  <c r="K113" i="17" s="1"/>
  <c r="J112" i="17"/>
  <c r="J111" i="17"/>
  <c r="I111" i="17"/>
  <c r="K111" i="17" s="1"/>
  <c r="I110" i="17"/>
  <c r="K110" i="17" s="1"/>
  <c r="I109" i="17"/>
  <c r="K109" i="17" s="1"/>
  <c r="I107" i="17"/>
  <c r="K107" i="17" s="1"/>
  <c r="I106" i="17"/>
  <c r="K106" i="17" s="1"/>
  <c r="I104" i="17"/>
  <c r="K104" i="17" s="1"/>
  <c r="I103" i="17"/>
  <c r="K103" i="17" s="1"/>
  <c r="I102" i="17"/>
  <c r="K102" i="17" s="1"/>
  <c r="J100" i="17"/>
  <c r="I100" i="17"/>
  <c r="K100" i="17" s="1"/>
  <c r="J99" i="17"/>
  <c r="J87" i="17" s="1"/>
  <c r="I99" i="17"/>
  <c r="K99" i="17" s="1"/>
  <c r="J98" i="17"/>
  <c r="I98" i="17"/>
  <c r="I86" i="17" s="1"/>
  <c r="N96" i="17"/>
  <c r="N94" i="17" s="1"/>
  <c r="M96" i="17"/>
  <c r="P96" i="17" s="1"/>
  <c r="L96" i="17"/>
  <c r="O96" i="17" s="1"/>
  <c r="P95" i="17"/>
  <c r="O95" i="17"/>
  <c r="N93" i="17"/>
  <c r="N91" i="17" s="1"/>
  <c r="M93" i="17"/>
  <c r="L93" i="17"/>
  <c r="P92" i="17"/>
  <c r="O92" i="17"/>
  <c r="P89" i="17"/>
  <c r="O89" i="17"/>
  <c r="N89" i="17"/>
  <c r="M89" i="17"/>
  <c r="L89" i="17"/>
  <c r="J86" i="17"/>
  <c r="I84" i="17"/>
  <c r="K84" i="17" s="1"/>
  <c r="I83" i="17"/>
  <c r="K83" i="17" s="1"/>
  <c r="I82" i="17"/>
  <c r="I81" i="17"/>
  <c r="K81" i="17" s="1"/>
  <c r="I80" i="17"/>
  <c r="K80" i="17" s="1"/>
  <c r="I79" i="17"/>
  <c r="K79" i="17" s="1"/>
  <c r="I78" i="17"/>
  <c r="K78" i="17" s="1"/>
  <c r="J77" i="17"/>
  <c r="J76" i="17"/>
  <c r="J64" i="17" s="1"/>
  <c r="N74" i="17"/>
  <c r="N72" i="17" s="1"/>
  <c r="M74" i="17"/>
  <c r="P74" i="17" s="1"/>
  <c r="L74" i="17"/>
  <c r="P73" i="17"/>
  <c r="O73" i="17"/>
  <c r="N71" i="17"/>
  <c r="N69" i="17" s="1"/>
  <c r="M71" i="17"/>
  <c r="P71" i="17" s="1"/>
  <c r="L71" i="17"/>
  <c r="P70" i="17"/>
  <c r="O70" i="17"/>
  <c r="N67" i="17"/>
  <c r="M67" i="17"/>
  <c r="P67" i="17" s="1"/>
  <c r="L67" i="17"/>
  <c r="O67" i="17" s="1"/>
  <c r="J65" i="17"/>
  <c r="N61" i="17"/>
  <c r="N59" i="17" s="1"/>
  <c r="M61" i="17"/>
  <c r="M59" i="17" s="1"/>
  <c r="L61" i="17"/>
  <c r="L59" i="17" s="1"/>
  <c r="P60" i="17"/>
  <c r="O60" i="17"/>
  <c r="N58" i="17"/>
  <c r="M58" i="17"/>
  <c r="M56" i="17" s="1"/>
  <c r="L58" i="17"/>
  <c r="P57" i="17"/>
  <c r="O57" i="17"/>
  <c r="P54" i="17"/>
  <c r="O54" i="17"/>
  <c r="N54" i="17"/>
  <c r="M54" i="17"/>
  <c r="L54" i="17"/>
  <c r="N49" i="17"/>
  <c r="M49" i="17"/>
  <c r="M47" i="17" s="1"/>
  <c r="P47" i="17" s="1"/>
  <c r="L49" i="17"/>
  <c r="P48" i="17"/>
  <c r="O48" i="17"/>
  <c r="N46" i="17"/>
  <c r="N44" i="17" s="1"/>
  <c r="M46" i="17"/>
  <c r="L46" i="17"/>
  <c r="P45" i="17"/>
  <c r="O45" i="17"/>
  <c r="N42" i="17"/>
  <c r="M42" i="17"/>
  <c r="P42" i="17" s="1"/>
  <c r="L42" i="17"/>
  <c r="P36" i="17"/>
  <c r="N36" i="17"/>
  <c r="M36" i="17"/>
  <c r="O35" i="17"/>
  <c r="N35" i="17"/>
  <c r="M35" i="17"/>
  <c r="P35" i="17" s="1"/>
  <c r="L35" i="17"/>
  <c r="M34" i="17"/>
  <c r="P34" i="17" s="1"/>
  <c r="M33" i="17"/>
  <c r="P33" i="17" s="1"/>
  <c r="P32" i="17"/>
  <c r="N32" i="17"/>
  <c r="M32" i="17"/>
  <c r="L32" i="17"/>
  <c r="O32" i="17" s="1"/>
  <c r="N29" i="17"/>
  <c r="P25" i="17"/>
  <c r="N25" i="17"/>
  <c r="M25" i="17"/>
  <c r="L25" i="17"/>
  <c r="O25" i="17" s="1"/>
  <c r="O22" i="17"/>
  <c r="N22" i="17"/>
  <c r="M22" i="17"/>
  <c r="L22" i="17"/>
  <c r="L19" i="17"/>
  <c r="O19" i="17" s="1"/>
  <c r="M15" i="17"/>
  <c r="P15" i="17" s="1"/>
  <c r="L12" i="17"/>
  <c r="O12" i="17" s="1"/>
  <c r="J828" i="16"/>
  <c r="I828" i="16"/>
  <c r="J827" i="16"/>
  <c r="I827" i="16"/>
  <c r="J826" i="16"/>
  <c r="I826" i="16"/>
  <c r="J825" i="16"/>
  <c r="I825" i="16"/>
  <c r="J824" i="16"/>
  <c r="I824" i="16"/>
  <c r="J823" i="16"/>
  <c r="I823" i="16"/>
  <c r="J822" i="16"/>
  <c r="I822" i="16"/>
  <c r="J821" i="16"/>
  <c r="I821" i="16"/>
  <c r="P817" i="16"/>
  <c r="O817" i="16"/>
  <c r="P816" i="16"/>
  <c r="O816" i="16"/>
  <c r="N815" i="16"/>
  <c r="M815" i="16"/>
  <c r="P815" i="16" s="1"/>
  <c r="L815" i="16"/>
  <c r="O815" i="16" s="1"/>
  <c r="P810" i="16"/>
  <c r="O810" i="16"/>
  <c r="N810" i="16"/>
  <c r="P809" i="16"/>
  <c r="O809" i="16"/>
  <c r="P808" i="16"/>
  <c r="O808" i="16"/>
  <c r="N808" i="16"/>
  <c r="M808" i="16"/>
  <c r="L808" i="16"/>
  <c r="O807" i="16"/>
  <c r="N807" i="16"/>
  <c r="M807" i="16"/>
  <c r="P807" i="16" s="1"/>
  <c r="L807" i="16"/>
  <c r="N806" i="16"/>
  <c r="M806" i="16"/>
  <c r="P806" i="16" s="1"/>
  <c r="L806" i="16"/>
  <c r="O806" i="16" s="1"/>
  <c r="N805" i="16"/>
  <c r="K804" i="16"/>
  <c r="J804" i="16"/>
  <c r="K802" i="16"/>
  <c r="J801" i="16"/>
  <c r="J800" i="16"/>
  <c r="J785" i="16" s="1"/>
  <c r="I800" i="16"/>
  <c r="I785" i="16" s="1"/>
  <c r="K785" i="16" s="1"/>
  <c r="P798" i="16"/>
  <c r="O798" i="16"/>
  <c r="P797" i="16"/>
  <c r="O797" i="16"/>
  <c r="P796" i="16"/>
  <c r="O796" i="16"/>
  <c r="N796" i="16"/>
  <c r="M796" i="16"/>
  <c r="L796" i="16"/>
  <c r="P791" i="16"/>
  <c r="N791" i="16"/>
  <c r="N788" i="16" s="1"/>
  <c r="N786" i="16" s="1"/>
  <c r="L791" i="16"/>
  <c r="P790" i="16"/>
  <c r="O790" i="16"/>
  <c r="P789" i="16"/>
  <c r="N789" i="16"/>
  <c r="M789" i="16"/>
  <c r="M788" i="16"/>
  <c r="P788" i="16" s="1"/>
  <c r="N787" i="16"/>
  <c r="M787" i="16"/>
  <c r="P787" i="16" s="1"/>
  <c r="L787" i="16"/>
  <c r="O787" i="16" s="1"/>
  <c r="P782" i="16"/>
  <c r="O782" i="16"/>
  <c r="P781" i="16"/>
  <c r="O781" i="16"/>
  <c r="N780" i="16"/>
  <c r="M780" i="16"/>
  <c r="P780" i="16" s="1"/>
  <c r="L780" i="16"/>
  <c r="O780" i="16" s="1"/>
  <c r="P775" i="16"/>
  <c r="O775" i="16"/>
  <c r="N775" i="16"/>
  <c r="N773" i="16" s="1"/>
  <c r="P774" i="16"/>
  <c r="O774" i="16"/>
  <c r="P773" i="16"/>
  <c r="O773" i="16"/>
  <c r="M773" i="16"/>
  <c r="L773" i="16"/>
  <c r="P772" i="16"/>
  <c r="O772" i="16"/>
  <c r="N772" i="16"/>
  <c r="M772" i="16"/>
  <c r="L772" i="16"/>
  <c r="O771" i="16"/>
  <c r="N771" i="16"/>
  <c r="N770" i="16" s="1"/>
  <c r="M771" i="16"/>
  <c r="P771" i="16" s="1"/>
  <c r="L771" i="16"/>
  <c r="L770" i="16"/>
  <c r="O770" i="16" s="1"/>
  <c r="K769" i="16"/>
  <c r="J769" i="16"/>
  <c r="P766" i="16"/>
  <c r="O766" i="16"/>
  <c r="P765" i="16"/>
  <c r="O765" i="16"/>
  <c r="N764" i="16"/>
  <c r="M764" i="16"/>
  <c r="P764" i="16" s="1"/>
  <c r="L764" i="16"/>
  <c r="O764" i="16" s="1"/>
  <c r="P759" i="16"/>
  <c r="O759" i="16"/>
  <c r="N759" i="16"/>
  <c r="N757" i="16" s="1"/>
  <c r="P758" i="16"/>
  <c r="O758" i="16"/>
  <c r="P757" i="16"/>
  <c r="O757" i="16"/>
  <c r="M757" i="16"/>
  <c r="L757" i="16"/>
  <c r="P756" i="16"/>
  <c r="O756" i="16"/>
  <c r="N756" i="16"/>
  <c r="N754" i="16" s="1"/>
  <c r="M756" i="16"/>
  <c r="L756" i="16"/>
  <c r="O755" i="16"/>
  <c r="N755" i="16"/>
  <c r="M755" i="16"/>
  <c r="P755" i="16" s="1"/>
  <c r="L755" i="16"/>
  <c r="L754" i="16"/>
  <c r="O754" i="16" s="1"/>
  <c r="K753" i="16"/>
  <c r="J753" i="16"/>
  <c r="P749" i="16"/>
  <c r="O749" i="16"/>
  <c r="P748" i="16"/>
  <c r="O748" i="16"/>
  <c r="N747" i="16"/>
  <c r="M747" i="16"/>
  <c r="P747" i="16" s="1"/>
  <c r="L747" i="16"/>
  <c r="O747" i="16" s="1"/>
  <c r="P742" i="16"/>
  <c r="O742" i="16"/>
  <c r="N742" i="16"/>
  <c r="N740" i="16" s="1"/>
  <c r="P741" i="16"/>
  <c r="O741" i="16"/>
  <c r="P740" i="16"/>
  <c r="O740" i="16"/>
  <c r="M740" i="16"/>
  <c r="L740" i="16"/>
  <c r="P739" i="16"/>
  <c r="O739" i="16"/>
  <c r="N739" i="16"/>
  <c r="N737" i="16" s="1"/>
  <c r="M739" i="16"/>
  <c r="L739" i="16"/>
  <c r="O738" i="16"/>
  <c r="N738" i="16"/>
  <c r="M738" i="16"/>
  <c r="P738" i="16" s="1"/>
  <c r="L738" i="16"/>
  <c r="L737" i="16"/>
  <c r="O737" i="16" s="1"/>
  <c r="K736" i="16"/>
  <c r="J736" i="16"/>
  <c r="J729" i="16"/>
  <c r="I729" i="16"/>
  <c r="K729" i="16" s="1"/>
  <c r="J728" i="16"/>
  <c r="I728" i="16"/>
  <c r="K728" i="16" s="1"/>
  <c r="J727" i="16"/>
  <c r="J726" i="16"/>
  <c r="I726" i="16"/>
  <c r="K726" i="16" s="1"/>
  <c r="J725" i="16"/>
  <c r="I725" i="16"/>
  <c r="J724" i="16"/>
  <c r="J723" i="16"/>
  <c r="I723" i="16"/>
  <c r="I722" i="16"/>
  <c r="I721" i="16"/>
  <c r="J720" i="16"/>
  <c r="I720" i="16"/>
  <c r="J719" i="16"/>
  <c r="J718" i="16"/>
  <c r="J708" i="16"/>
  <c r="I708" i="16"/>
  <c r="K708" i="16" s="1"/>
  <c r="I707" i="16"/>
  <c r="I704" i="16"/>
  <c r="J701" i="16"/>
  <c r="I701" i="16"/>
  <c r="K701" i="16" s="1"/>
  <c r="J700" i="16"/>
  <c r="I700" i="16"/>
  <c r="K700" i="16" s="1"/>
  <c r="J699" i="16"/>
  <c r="I699" i="16"/>
  <c r="K699" i="16" s="1"/>
  <c r="P697" i="16"/>
  <c r="O697" i="16"/>
  <c r="P696" i="16"/>
  <c r="O696" i="16"/>
  <c r="N695" i="16"/>
  <c r="M695" i="16"/>
  <c r="P695" i="16" s="1"/>
  <c r="L695" i="16"/>
  <c r="O695" i="16" s="1"/>
  <c r="P690" i="16"/>
  <c r="N690" i="16"/>
  <c r="L690" i="16"/>
  <c r="L688" i="16" s="1"/>
  <c r="O688" i="16" s="1"/>
  <c r="P688" i="16"/>
  <c r="N688" i="16"/>
  <c r="M688" i="16"/>
  <c r="N687" i="16"/>
  <c r="M687" i="16"/>
  <c r="P687" i="16" s="1"/>
  <c r="N686" i="16"/>
  <c r="M686" i="16"/>
  <c r="P686" i="16" s="1"/>
  <c r="L686" i="16"/>
  <c r="O686" i="16" s="1"/>
  <c r="N685" i="16"/>
  <c r="M685" i="16"/>
  <c r="P685" i="16" s="1"/>
  <c r="J679" i="16"/>
  <c r="J678" i="16" s="1"/>
  <c r="I678" i="16"/>
  <c r="K678" i="16" s="1"/>
  <c r="J675" i="16"/>
  <c r="J669" i="16" s="1"/>
  <c r="J654" i="16" s="1"/>
  <c r="I671" i="16"/>
  <c r="K671" i="16" s="1"/>
  <c r="I670" i="16"/>
  <c r="K670" i="16" s="1"/>
  <c r="I669" i="16"/>
  <c r="K672" i="16" s="1"/>
  <c r="P667" i="16"/>
  <c r="O667" i="16"/>
  <c r="P666" i="16"/>
  <c r="O666" i="16"/>
  <c r="N665" i="16"/>
  <c r="M665" i="16"/>
  <c r="P665" i="16" s="1"/>
  <c r="L665" i="16"/>
  <c r="O665" i="16" s="1"/>
  <c r="P660" i="16"/>
  <c r="N660" i="16"/>
  <c r="N657" i="16" s="1"/>
  <c r="N655" i="16" s="1"/>
  <c r="L660" i="16"/>
  <c r="O660" i="16" s="1"/>
  <c r="P659" i="16"/>
  <c r="O659" i="16"/>
  <c r="N658" i="16"/>
  <c r="M658" i="16"/>
  <c r="P658" i="16" s="1"/>
  <c r="M657" i="16"/>
  <c r="P657" i="16" s="1"/>
  <c r="P656" i="16"/>
  <c r="N656" i="16"/>
  <c r="M656" i="16"/>
  <c r="M655" i="16" s="1"/>
  <c r="P655" i="16" s="1"/>
  <c r="L656" i="16"/>
  <c r="K652" i="16"/>
  <c r="J652" i="16"/>
  <c r="J651" i="16"/>
  <c r="J628" i="16" s="1"/>
  <c r="I651" i="16"/>
  <c r="K650" i="16"/>
  <c r="J650" i="16"/>
  <c r="J649" i="16"/>
  <c r="I649" i="16"/>
  <c r="K648" i="16"/>
  <c r="J648" i="16"/>
  <c r="J647" i="16"/>
  <c r="I647" i="16"/>
  <c r="K646" i="16"/>
  <c r="J646" i="16"/>
  <c r="K645" i="16"/>
  <c r="J645" i="16"/>
  <c r="I644" i="16"/>
  <c r="K644" i="16" s="1"/>
  <c r="I643" i="16"/>
  <c r="K643" i="16" s="1"/>
  <c r="P641" i="16"/>
  <c r="L641" i="16"/>
  <c r="L639" i="16" s="1"/>
  <c r="O639" i="16" s="1"/>
  <c r="P640" i="16"/>
  <c r="O640" i="16"/>
  <c r="P639" i="16"/>
  <c r="N639" i="16"/>
  <c r="M639" i="16"/>
  <c r="P634" i="16"/>
  <c r="N634" i="16"/>
  <c r="L634" i="16"/>
  <c r="O634" i="16" s="1"/>
  <c r="P633" i="16"/>
  <c r="O633" i="16"/>
  <c r="P632" i="16"/>
  <c r="N632" i="16"/>
  <c r="M632" i="16"/>
  <c r="N631" i="16"/>
  <c r="M631" i="16"/>
  <c r="P631" i="16" s="1"/>
  <c r="N630" i="16"/>
  <c r="N629" i="16" s="1"/>
  <c r="M630" i="16"/>
  <c r="P630" i="16" s="1"/>
  <c r="L630" i="16"/>
  <c r="O630" i="16" s="1"/>
  <c r="M629" i="16"/>
  <c r="P629" i="16" s="1"/>
  <c r="J621" i="16"/>
  <c r="I621" i="16"/>
  <c r="K621" i="16" s="1"/>
  <c r="J620" i="16"/>
  <c r="I620" i="16"/>
  <c r="K620" i="16" s="1"/>
  <c r="K613" i="16"/>
  <c r="J613" i="16"/>
  <c r="K612" i="16"/>
  <c r="J612" i="16"/>
  <c r="K611" i="16"/>
  <c r="J611" i="16"/>
  <c r="J604" i="16"/>
  <c r="J603" i="16"/>
  <c r="J593" i="16" s="1"/>
  <c r="J596" i="16"/>
  <c r="J594" i="16" s="1"/>
  <c r="J595" i="16"/>
  <c r="I594" i="16"/>
  <c r="I593" i="16"/>
  <c r="I592" i="16" s="1"/>
  <c r="J583" i="16"/>
  <c r="J577" i="16" s="1"/>
  <c r="J582" i="16"/>
  <c r="I577" i="16"/>
  <c r="J576" i="16"/>
  <c r="I576" i="16"/>
  <c r="K576" i="16" s="1"/>
  <c r="J569" i="16"/>
  <c r="I569" i="16"/>
  <c r="J568" i="16"/>
  <c r="I568" i="16"/>
  <c r="K568" i="16" s="1"/>
  <c r="J561" i="16"/>
  <c r="I561" i="16"/>
  <c r="J560" i="16"/>
  <c r="I560" i="16"/>
  <c r="K560" i="16" s="1"/>
  <c r="J559" i="16"/>
  <c r="P557" i="16"/>
  <c r="L557" i="16"/>
  <c r="L555" i="16" s="1"/>
  <c r="O555" i="16" s="1"/>
  <c r="P556" i="16"/>
  <c r="O556" i="16"/>
  <c r="N555" i="16"/>
  <c r="N545" i="16" s="1"/>
  <c r="N544" i="16" s="1"/>
  <c r="M555" i="16"/>
  <c r="P555" i="16" s="1"/>
  <c r="P549" i="16"/>
  <c r="N549" i="16"/>
  <c r="N546" i="16" s="1"/>
  <c r="L549" i="16"/>
  <c r="P548" i="16"/>
  <c r="O548" i="16"/>
  <c r="N547" i="16"/>
  <c r="M547" i="16"/>
  <c r="P547" i="16" s="1"/>
  <c r="P546" i="16"/>
  <c r="M546" i="16"/>
  <c r="O545" i="16"/>
  <c r="L545" i="16"/>
  <c r="J543" i="16"/>
  <c r="I542" i="16"/>
  <c r="K542" i="16" s="1"/>
  <c r="I541" i="16"/>
  <c r="K541" i="16" s="1"/>
  <c r="I540" i="16"/>
  <c r="K540" i="16" s="1"/>
  <c r="I539" i="16"/>
  <c r="K539" i="16" s="1"/>
  <c r="I538" i="16"/>
  <c r="K538" i="16" s="1"/>
  <c r="I537" i="16"/>
  <c r="I522" i="16" s="1"/>
  <c r="K522" i="16" s="1"/>
  <c r="P535" i="16"/>
  <c r="L535" i="16"/>
  <c r="P534" i="16"/>
  <c r="O534" i="16"/>
  <c r="P533" i="16"/>
  <c r="N533" i="16"/>
  <c r="M533" i="16"/>
  <c r="P528" i="16"/>
  <c r="N528" i="16"/>
  <c r="N525" i="16" s="1"/>
  <c r="L528" i="16"/>
  <c r="O528" i="16" s="1"/>
  <c r="P527" i="16"/>
  <c r="O527" i="16"/>
  <c r="P526" i="16"/>
  <c r="N526" i="16"/>
  <c r="M526" i="16"/>
  <c r="L526" i="16"/>
  <c r="O526" i="16" s="1"/>
  <c r="M525" i="16"/>
  <c r="P525" i="16" s="1"/>
  <c r="O524" i="16"/>
  <c r="N524" i="16"/>
  <c r="N523" i="16" s="1"/>
  <c r="M524" i="16"/>
  <c r="P524" i="16" s="1"/>
  <c r="L524" i="16"/>
  <c r="M523" i="16"/>
  <c r="P523" i="16" s="1"/>
  <c r="K517" i="16"/>
  <c r="J517" i="16"/>
  <c r="J501" i="16" s="1"/>
  <c r="K516" i="16"/>
  <c r="P514" i="16"/>
  <c r="O514" i="16"/>
  <c r="P513" i="16"/>
  <c r="O513" i="16"/>
  <c r="P512" i="16"/>
  <c r="O512" i="16"/>
  <c r="N512" i="16"/>
  <c r="M512" i="16"/>
  <c r="L512" i="16"/>
  <c r="P507" i="16"/>
  <c r="O507" i="16"/>
  <c r="N507" i="16"/>
  <c r="P506" i="16"/>
  <c r="O506" i="16"/>
  <c r="O505" i="16"/>
  <c r="N505" i="16"/>
  <c r="M505" i="16"/>
  <c r="P505" i="16" s="1"/>
  <c r="L505" i="16"/>
  <c r="N504" i="16"/>
  <c r="M504" i="16"/>
  <c r="P504" i="16" s="1"/>
  <c r="L504" i="16"/>
  <c r="O504" i="16" s="1"/>
  <c r="P503" i="16"/>
  <c r="N503" i="16"/>
  <c r="N502" i="16" s="1"/>
  <c r="M503" i="16"/>
  <c r="L503" i="16"/>
  <c r="O503" i="16" s="1"/>
  <c r="L502" i="16"/>
  <c r="O502" i="16" s="1"/>
  <c r="K501" i="16"/>
  <c r="K500" i="16"/>
  <c r="J500" i="16"/>
  <c r="I498" i="16"/>
  <c r="K498" i="16" s="1"/>
  <c r="I495" i="16"/>
  <c r="K495" i="16" s="1"/>
  <c r="I492" i="16"/>
  <c r="K492" i="16" s="1"/>
  <c r="I489" i="16"/>
  <c r="K489" i="16" s="1"/>
  <c r="I487" i="16"/>
  <c r="K487" i="16" s="1"/>
  <c r="I485" i="16"/>
  <c r="K485" i="16" s="1"/>
  <c r="I483" i="16"/>
  <c r="K483" i="16" s="1"/>
  <c r="P479" i="16"/>
  <c r="L479" i="16"/>
  <c r="L477" i="16" s="1"/>
  <c r="O477" i="16" s="1"/>
  <c r="P478" i="16"/>
  <c r="O478" i="16"/>
  <c r="N477" i="16"/>
  <c r="M477" i="16"/>
  <c r="P477" i="16" s="1"/>
  <c r="P472" i="16"/>
  <c r="N472" i="16"/>
  <c r="N470" i="16" s="1"/>
  <c r="L472" i="16"/>
  <c r="P471" i="16"/>
  <c r="O471" i="16"/>
  <c r="M470" i="16"/>
  <c r="P470" i="16" s="1"/>
  <c r="N469" i="16"/>
  <c r="M469" i="16"/>
  <c r="P469" i="16" s="1"/>
  <c r="N468" i="16"/>
  <c r="M468" i="16"/>
  <c r="P468" i="16" s="1"/>
  <c r="L468" i="16"/>
  <c r="O468" i="16" s="1"/>
  <c r="J466" i="16"/>
  <c r="I466" i="16"/>
  <c r="K466" i="16" s="1"/>
  <c r="J465" i="16"/>
  <c r="I465" i="16"/>
  <c r="K465" i="16" s="1"/>
  <c r="I464" i="16"/>
  <c r="I463" i="16"/>
  <c r="I462" i="16"/>
  <c r="K462" i="16" s="1"/>
  <c r="I460" i="16"/>
  <c r="K460" i="16" s="1"/>
  <c r="K458" i="16"/>
  <c r="P456" i="16"/>
  <c r="L456" i="16"/>
  <c r="O456" i="16" s="1"/>
  <c r="P455" i="16"/>
  <c r="O455" i="16"/>
  <c r="P454" i="16"/>
  <c r="N454" i="16"/>
  <c r="M454" i="16"/>
  <c r="L454" i="16"/>
  <c r="O454" i="16" s="1"/>
  <c r="P449" i="16"/>
  <c r="N449" i="16"/>
  <c r="L449" i="16"/>
  <c r="L447" i="16" s="1"/>
  <c r="O447" i="16" s="1"/>
  <c r="P448" i="16"/>
  <c r="O448" i="16"/>
  <c r="P447" i="16"/>
  <c r="N447" i="16"/>
  <c r="M447" i="16"/>
  <c r="N446" i="16"/>
  <c r="M446" i="16"/>
  <c r="P446" i="16" s="1"/>
  <c r="N445" i="16"/>
  <c r="M445" i="16"/>
  <c r="P445" i="16" s="1"/>
  <c r="L445" i="16"/>
  <c r="O445" i="16" s="1"/>
  <c r="M444" i="16"/>
  <c r="P444" i="16" s="1"/>
  <c r="J443" i="16"/>
  <c r="J442" i="16"/>
  <c r="I441" i="16"/>
  <c r="K441" i="16" s="1"/>
  <c r="I440" i="16"/>
  <c r="K440" i="16" s="1"/>
  <c r="I439" i="16"/>
  <c r="K439" i="16" s="1"/>
  <c r="I438" i="16"/>
  <c r="I437" i="16"/>
  <c r="K437" i="16" s="1"/>
  <c r="I435" i="16"/>
  <c r="I433" i="16" s="1"/>
  <c r="I417" i="16" s="1"/>
  <c r="J434" i="16"/>
  <c r="J418" i="16" s="1"/>
  <c r="P431" i="16"/>
  <c r="L431" i="16"/>
  <c r="P430" i="16"/>
  <c r="O430" i="16"/>
  <c r="P429" i="16"/>
  <c r="N429" i="16"/>
  <c r="M429" i="16"/>
  <c r="P424" i="16"/>
  <c r="N424" i="16"/>
  <c r="L424" i="16"/>
  <c r="L422" i="16" s="1"/>
  <c r="O422" i="16" s="1"/>
  <c r="P423" i="16"/>
  <c r="O423" i="16"/>
  <c r="P422" i="16"/>
  <c r="N422" i="16"/>
  <c r="M422" i="16"/>
  <c r="N421" i="16"/>
  <c r="M421" i="16"/>
  <c r="P421" i="16" s="1"/>
  <c r="N420" i="16"/>
  <c r="M420" i="16"/>
  <c r="P420" i="16" s="1"/>
  <c r="L420" i="16"/>
  <c r="O420" i="16" s="1"/>
  <c r="K413" i="16"/>
  <c r="K412" i="16"/>
  <c r="N410" i="16"/>
  <c r="N408" i="16" s="1"/>
  <c r="M410" i="16"/>
  <c r="P410" i="16" s="1"/>
  <c r="L410" i="16"/>
  <c r="O410" i="16" s="1"/>
  <c r="P409" i="16"/>
  <c r="O409" i="16"/>
  <c r="N407" i="16"/>
  <c r="N405" i="16" s="1"/>
  <c r="M407" i="16"/>
  <c r="L407" i="16"/>
  <c r="L405" i="16" s="1"/>
  <c r="O405" i="16" s="1"/>
  <c r="P406" i="16"/>
  <c r="O406" i="16"/>
  <c r="O403" i="16"/>
  <c r="N403" i="16"/>
  <c r="M403" i="16"/>
  <c r="L403" i="16"/>
  <c r="K401" i="16"/>
  <c r="J401" i="16"/>
  <c r="I401" i="16"/>
  <c r="K400" i="16"/>
  <c r="K399" i="16"/>
  <c r="N397" i="16"/>
  <c r="M397" i="16"/>
  <c r="P397" i="16" s="1"/>
  <c r="L397" i="16"/>
  <c r="L395" i="16" s="1"/>
  <c r="O395" i="16" s="1"/>
  <c r="P396" i="16"/>
  <c r="O396" i="16"/>
  <c r="N394" i="16"/>
  <c r="N392" i="16" s="1"/>
  <c r="M394" i="16"/>
  <c r="L394" i="16"/>
  <c r="P393" i="16"/>
  <c r="O393" i="16"/>
  <c r="N390" i="16"/>
  <c r="M390" i="16"/>
  <c r="L390" i="16"/>
  <c r="K388" i="16"/>
  <c r="J388" i="16"/>
  <c r="I388" i="16"/>
  <c r="J385" i="16"/>
  <c r="I385" i="16"/>
  <c r="K382" i="16"/>
  <c r="J382" i="16"/>
  <c r="J381" i="16"/>
  <c r="J374" i="16" s="1"/>
  <c r="I381" i="16"/>
  <c r="K380" i="16"/>
  <c r="J380" i="16"/>
  <c r="J379" i="16"/>
  <c r="I379" i="16"/>
  <c r="J378" i="16"/>
  <c r="I378" i="16"/>
  <c r="K377" i="16"/>
  <c r="J377" i="16"/>
  <c r="I374" i="16"/>
  <c r="K373" i="16"/>
  <c r="J373" i="16"/>
  <c r="J372" i="16"/>
  <c r="J365" i="16" s="1"/>
  <c r="I372" i="16"/>
  <c r="K371" i="16"/>
  <c r="J371" i="16"/>
  <c r="J370" i="16"/>
  <c r="I370" i="16"/>
  <c r="J369" i="16"/>
  <c r="I369" i="16"/>
  <c r="K368" i="16"/>
  <c r="J368" i="16"/>
  <c r="I365" i="16"/>
  <c r="K363" i="16"/>
  <c r="J363" i="16"/>
  <c r="J362" i="16"/>
  <c r="J355" i="16" s="1"/>
  <c r="I362" i="16"/>
  <c r="K361" i="16"/>
  <c r="J361" i="16"/>
  <c r="J360" i="16"/>
  <c r="I360" i="16"/>
  <c r="J359" i="16"/>
  <c r="I359" i="16"/>
  <c r="K358" i="16"/>
  <c r="J358" i="16"/>
  <c r="I355" i="16"/>
  <c r="N353" i="16"/>
  <c r="N351" i="16" s="1"/>
  <c r="M353" i="16"/>
  <c r="M351" i="16" s="1"/>
  <c r="L353" i="16"/>
  <c r="L351" i="16" s="1"/>
  <c r="P352" i="16"/>
  <c r="O352" i="16"/>
  <c r="N350" i="16"/>
  <c r="M350" i="16"/>
  <c r="L350" i="16"/>
  <c r="L348" i="16" s="1"/>
  <c r="P349" i="16"/>
  <c r="O349" i="16"/>
  <c r="N346" i="16"/>
  <c r="M346" i="16"/>
  <c r="P346" i="16" s="1"/>
  <c r="L346" i="16"/>
  <c r="J343" i="16"/>
  <c r="J342" i="16"/>
  <c r="J341" i="16"/>
  <c r="J340" i="16"/>
  <c r="I340" i="16"/>
  <c r="J338" i="16"/>
  <c r="I338" i="16"/>
  <c r="N336" i="16"/>
  <c r="N334" i="16" s="1"/>
  <c r="M336" i="16"/>
  <c r="P336" i="16" s="1"/>
  <c r="L336" i="16"/>
  <c r="P335" i="16"/>
  <c r="O335" i="16"/>
  <c r="N333" i="16"/>
  <c r="M333" i="16"/>
  <c r="M331" i="16" s="1"/>
  <c r="L333" i="16"/>
  <c r="L331" i="16" s="1"/>
  <c r="P332" i="16"/>
  <c r="O332" i="16"/>
  <c r="N329" i="16"/>
  <c r="M329" i="16"/>
  <c r="L329" i="16"/>
  <c r="O329" i="16" s="1"/>
  <c r="I327" i="16"/>
  <c r="I325" i="16"/>
  <c r="I314" i="16" s="1"/>
  <c r="K314" i="16" s="1"/>
  <c r="N323" i="16"/>
  <c r="N321" i="16" s="1"/>
  <c r="M323" i="16"/>
  <c r="P323" i="16" s="1"/>
  <c r="L323" i="16"/>
  <c r="L321" i="16" s="1"/>
  <c r="O321" i="16" s="1"/>
  <c r="P322" i="16"/>
  <c r="O322" i="16"/>
  <c r="N320" i="16"/>
  <c r="N318" i="16" s="1"/>
  <c r="M320" i="16"/>
  <c r="M318" i="16" s="1"/>
  <c r="P318" i="16" s="1"/>
  <c r="L320" i="16"/>
  <c r="O320" i="16" s="1"/>
  <c r="P319" i="16"/>
  <c r="O319" i="16"/>
  <c r="N316" i="16"/>
  <c r="M316" i="16"/>
  <c r="L316" i="16"/>
  <c r="O316" i="16" s="1"/>
  <c r="J314" i="16"/>
  <c r="I312" i="16"/>
  <c r="K312" i="16" s="1"/>
  <c r="I311" i="16"/>
  <c r="K311" i="16" s="1"/>
  <c r="I310" i="16"/>
  <c r="K310" i="16" s="1"/>
  <c r="I309" i="16"/>
  <c r="K309" i="16" s="1"/>
  <c r="N306" i="16"/>
  <c r="N304" i="16" s="1"/>
  <c r="M306" i="16"/>
  <c r="P306" i="16" s="1"/>
  <c r="L306" i="16"/>
  <c r="L304" i="16" s="1"/>
  <c r="O304" i="16" s="1"/>
  <c r="P305" i="16"/>
  <c r="O305" i="16"/>
  <c r="N303" i="16"/>
  <c r="N301" i="16" s="1"/>
  <c r="M303" i="16"/>
  <c r="L303" i="16"/>
  <c r="P302" i="16"/>
  <c r="O302" i="16"/>
  <c r="O299" i="16"/>
  <c r="N299" i="16"/>
  <c r="M299" i="16"/>
  <c r="P299" i="16" s="1"/>
  <c r="L299" i="16"/>
  <c r="J297" i="16"/>
  <c r="I294" i="16"/>
  <c r="K294" i="16" s="1"/>
  <c r="I293" i="16"/>
  <c r="K293" i="16" s="1"/>
  <c r="I291" i="16"/>
  <c r="K291" i="16" s="1"/>
  <c r="I290" i="16"/>
  <c r="K290" i="16" s="1"/>
  <c r="I288" i="16"/>
  <c r="I287" i="16"/>
  <c r="I276" i="16" s="1"/>
  <c r="K276" i="16" s="1"/>
  <c r="N285" i="16"/>
  <c r="N283" i="16" s="1"/>
  <c r="M285" i="16"/>
  <c r="P285" i="16" s="1"/>
  <c r="L285" i="16"/>
  <c r="O285" i="16" s="1"/>
  <c r="P284" i="16"/>
  <c r="O284" i="16"/>
  <c r="N282" i="16"/>
  <c r="M282" i="16"/>
  <c r="M280" i="16" s="1"/>
  <c r="L282" i="16"/>
  <c r="L280" i="16" s="1"/>
  <c r="P281" i="16"/>
  <c r="O281" i="16"/>
  <c r="P278" i="16"/>
  <c r="O278" i="16"/>
  <c r="N278" i="16"/>
  <c r="M278" i="16"/>
  <c r="L278" i="16"/>
  <c r="J276" i="16"/>
  <c r="I271" i="16"/>
  <c r="K271" i="16" s="1"/>
  <c r="N269" i="16"/>
  <c r="N267" i="16" s="1"/>
  <c r="M269" i="16"/>
  <c r="P269" i="16" s="1"/>
  <c r="L269" i="16"/>
  <c r="O269" i="16" s="1"/>
  <c r="P268" i="16"/>
  <c r="O268" i="16"/>
  <c r="N266" i="16"/>
  <c r="M266" i="16"/>
  <c r="M264" i="16" s="1"/>
  <c r="L266" i="16"/>
  <c r="P265" i="16"/>
  <c r="O265" i="16"/>
  <c r="O262" i="16"/>
  <c r="N262" i="16"/>
  <c r="M262" i="16"/>
  <c r="P262" i="16" s="1"/>
  <c r="L262" i="16"/>
  <c r="J260" i="16"/>
  <c r="K258" i="16"/>
  <c r="K257" i="16"/>
  <c r="I255" i="16"/>
  <c r="K255" i="16" s="1"/>
  <c r="L253" i="16"/>
  <c r="L252" i="16"/>
  <c r="L251" i="16"/>
  <c r="L250" i="16"/>
  <c r="P249" i="16"/>
  <c r="N249" i="16"/>
  <c r="J248" i="16"/>
  <c r="J226" i="16" s="1"/>
  <c r="J180" i="16" s="1"/>
  <c r="K247" i="16"/>
  <c r="K246" i="16"/>
  <c r="I244" i="16"/>
  <c r="K244" i="16" s="1"/>
  <c r="L242" i="16"/>
  <c r="L241" i="16"/>
  <c r="L240" i="16"/>
  <c r="L239" i="16"/>
  <c r="P238" i="16"/>
  <c r="N238" i="16"/>
  <c r="N227" i="16" s="1"/>
  <c r="J237" i="16"/>
  <c r="J236" i="16"/>
  <c r="I236" i="16"/>
  <c r="K236" i="16" s="1"/>
  <c r="J235" i="16"/>
  <c r="I235" i="16"/>
  <c r="K235" i="16" s="1"/>
  <c r="J233" i="16"/>
  <c r="N231" i="16"/>
  <c r="N230" i="16"/>
  <c r="N229" i="16"/>
  <c r="N228" i="16"/>
  <c r="I225" i="16"/>
  <c r="K225" i="16" s="1"/>
  <c r="I224" i="16"/>
  <c r="K224" i="16" s="1"/>
  <c r="I223" i="16"/>
  <c r="K223" i="16" s="1"/>
  <c r="L220" i="16"/>
  <c r="L219" i="16"/>
  <c r="L218" i="16"/>
  <c r="P217" i="16"/>
  <c r="N217" i="16"/>
  <c r="J216" i="16"/>
  <c r="I215" i="16"/>
  <c r="I208" i="16" s="1"/>
  <c r="K208" i="16" s="1"/>
  <c r="I214" i="16"/>
  <c r="K214" i="16" s="1"/>
  <c r="L212" i="16"/>
  <c r="L211" i="16"/>
  <c r="L210" i="16"/>
  <c r="P209" i="16"/>
  <c r="N209" i="16"/>
  <c r="J208" i="16"/>
  <c r="K207" i="16"/>
  <c r="K206" i="16"/>
  <c r="I204" i="16"/>
  <c r="I197" i="16" s="1"/>
  <c r="K197" i="16" s="1"/>
  <c r="L202" i="16"/>
  <c r="L201" i="16"/>
  <c r="L200" i="16"/>
  <c r="L199" i="16"/>
  <c r="P198" i="16"/>
  <c r="N198" i="16"/>
  <c r="J197" i="16"/>
  <c r="J194" i="16"/>
  <c r="I193" i="16"/>
  <c r="K193" i="16" s="1"/>
  <c r="P191" i="16"/>
  <c r="L191" i="16"/>
  <c r="O191" i="16" s="1"/>
  <c r="J190" i="16"/>
  <c r="N189" i="16"/>
  <c r="N187" i="16" s="1"/>
  <c r="M189" i="16"/>
  <c r="P189" i="16" s="1"/>
  <c r="L189" i="16"/>
  <c r="L187" i="16" s="1"/>
  <c r="O187" i="16" s="1"/>
  <c r="P188" i="16"/>
  <c r="O188" i="16"/>
  <c r="N186" i="16"/>
  <c r="M186" i="16"/>
  <c r="M184" i="16" s="1"/>
  <c r="L186" i="16"/>
  <c r="L184" i="16" s="1"/>
  <c r="P185" i="16"/>
  <c r="O185" i="16"/>
  <c r="N182" i="16"/>
  <c r="M182" i="16"/>
  <c r="P182" i="16" s="1"/>
  <c r="L182" i="16"/>
  <c r="O182" i="16" s="1"/>
  <c r="K180" i="16"/>
  <c r="J177" i="16"/>
  <c r="I176" i="16"/>
  <c r="I174" i="16" s="1"/>
  <c r="J174" i="16"/>
  <c r="N173" i="16"/>
  <c r="N171" i="16" s="1"/>
  <c r="M173" i="16"/>
  <c r="P173" i="16" s="1"/>
  <c r="L173" i="16"/>
  <c r="L171" i="16" s="1"/>
  <c r="O171" i="16" s="1"/>
  <c r="P172" i="16"/>
  <c r="O172" i="16"/>
  <c r="N170" i="16"/>
  <c r="M170" i="16"/>
  <c r="M168" i="16" s="1"/>
  <c r="L170" i="16"/>
  <c r="L168" i="16" s="1"/>
  <c r="P169" i="16"/>
  <c r="O169" i="16"/>
  <c r="N166" i="16"/>
  <c r="M166" i="16"/>
  <c r="P166" i="16" s="1"/>
  <c r="L166" i="16"/>
  <c r="O166" i="16" s="1"/>
  <c r="J164" i="16"/>
  <c r="I159" i="16"/>
  <c r="K159" i="16" s="1"/>
  <c r="N157" i="16"/>
  <c r="N155" i="16" s="1"/>
  <c r="M157" i="16"/>
  <c r="M155" i="16" s="1"/>
  <c r="P155" i="16" s="1"/>
  <c r="L157" i="16"/>
  <c r="L155" i="16" s="1"/>
  <c r="O155" i="16" s="1"/>
  <c r="P156" i="16"/>
  <c r="O156" i="16"/>
  <c r="N154" i="16"/>
  <c r="N152" i="16" s="1"/>
  <c r="M154" i="16"/>
  <c r="M152" i="16" s="1"/>
  <c r="L154" i="16"/>
  <c r="L152" i="16" s="1"/>
  <c r="P153" i="16"/>
  <c r="O153" i="16"/>
  <c r="P150" i="16"/>
  <c r="N150" i="16"/>
  <c r="M150" i="16"/>
  <c r="L150" i="16"/>
  <c r="O150" i="16" s="1"/>
  <c r="J148" i="16"/>
  <c r="I146" i="16"/>
  <c r="K146" i="16" s="1"/>
  <c r="I145" i="16"/>
  <c r="I143" i="16" s="1"/>
  <c r="I144" i="16"/>
  <c r="K144" i="16" s="1"/>
  <c r="N140" i="16"/>
  <c r="N138" i="16" s="1"/>
  <c r="M140" i="16"/>
  <c r="L140" i="16"/>
  <c r="O140" i="16" s="1"/>
  <c r="P139" i="16"/>
  <c r="O139" i="16"/>
  <c r="N137" i="16"/>
  <c r="M137" i="16"/>
  <c r="P137" i="16" s="1"/>
  <c r="L137" i="16"/>
  <c r="O137" i="16" s="1"/>
  <c r="P136" i="16"/>
  <c r="O136" i="16"/>
  <c r="N133" i="16"/>
  <c r="M133" i="16"/>
  <c r="P133" i="16" s="1"/>
  <c r="L133" i="16"/>
  <c r="O133" i="16" s="1"/>
  <c r="J130" i="16"/>
  <c r="N127" i="16"/>
  <c r="M127" i="16"/>
  <c r="M125" i="16" s="1"/>
  <c r="L127" i="16"/>
  <c r="P126" i="16"/>
  <c r="O126" i="16"/>
  <c r="N124" i="16"/>
  <c r="N122" i="16" s="1"/>
  <c r="M124" i="16"/>
  <c r="M122" i="16" s="1"/>
  <c r="P122" i="16" s="1"/>
  <c r="L124" i="16"/>
  <c r="L122" i="16" s="1"/>
  <c r="O122" i="16" s="1"/>
  <c r="P123" i="16"/>
  <c r="O123" i="16"/>
  <c r="N120" i="16"/>
  <c r="M120" i="16"/>
  <c r="P120" i="16" s="1"/>
  <c r="L120" i="16"/>
  <c r="O120" i="16" s="1"/>
  <c r="I116" i="16"/>
  <c r="K116" i="16" s="1"/>
  <c r="I115" i="16"/>
  <c r="I114" i="16"/>
  <c r="K114" i="16" s="1"/>
  <c r="I113" i="16"/>
  <c r="K113" i="16" s="1"/>
  <c r="J112" i="16"/>
  <c r="J111" i="16"/>
  <c r="I111" i="16"/>
  <c r="K111" i="16" s="1"/>
  <c r="I110" i="16"/>
  <c r="K110" i="16" s="1"/>
  <c r="I109" i="16"/>
  <c r="K109" i="16" s="1"/>
  <c r="I107" i="16"/>
  <c r="K107" i="16" s="1"/>
  <c r="I106" i="16"/>
  <c r="K106" i="16" s="1"/>
  <c r="I104" i="16"/>
  <c r="K104" i="16" s="1"/>
  <c r="I103" i="16"/>
  <c r="K103" i="16" s="1"/>
  <c r="I102" i="16"/>
  <c r="K102" i="16" s="1"/>
  <c r="J100" i="16"/>
  <c r="I100" i="16"/>
  <c r="K100" i="16" s="1"/>
  <c r="J99" i="16"/>
  <c r="I99" i="16"/>
  <c r="K99" i="16" s="1"/>
  <c r="J98" i="16"/>
  <c r="I98" i="16"/>
  <c r="K98" i="16" s="1"/>
  <c r="N96" i="16"/>
  <c r="N94" i="16" s="1"/>
  <c r="M96" i="16"/>
  <c r="P96" i="16" s="1"/>
  <c r="L96" i="16"/>
  <c r="L94" i="16" s="1"/>
  <c r="O94" i="16" s="1"/>
  <c r="P95" i="16"/>
  <c r="O95" i="16"/>
  <c r="N93" i="16"/>
  <c r="N91" i="16" s="1"/>
  <c r="M93" i="16"/>
  <c r="M91" i="16" s="1"/>
  <c r="L93" i="16"/>
  <c r="P92" i="16"/>
  <c r="O92" i="16"/>
  <c r="N89" i="16"/>
  <c r="M89" i="16"/>
  <c r="P89" i="16" s="1"/>
  <c r="L89" i="16"/>
  <c r="O89" i="16" s="1"/>
  <c r="J87" i="16"/>
  <c r="J86" i="16"/>
  <c r="I84" i="16"/>
  <c r="K84" i="16" s="1"/>
  <c r="I83" i="16"/>
  <c r="K83" i="16" s="1"/>
  <c r="I82" i="16"/>
  <c r="I81" i="16"/>
  <c r="K81" i="16" s="1"/>
  <c r="I80" i="16"/>
  <c r="K80" i="16" s="1"/>
  <c r="I79" i="16"/>
  <c r="K79" i="16" s="1"/>
  <c r="I78" i="16"/>
  <c r="K78" i="16" s="1"/>
  <c r="J77" i="16"/>
  <c r="J76" i="16"/>
  <c r="J64" i="16" s="1"/>
  <c r="N74" i="16"/>
  <c r="N72" i="16" s="1"/>
  <c r="M74" i="16"/>
  <c r="M72" i="16" s="1"/>
  <c r="P72" i="16" s="1"/>
  <c r="L74" i="16"/>
  <c r="L72" i="16" s="1"/>
  <c r="O72" i="16" s="1"/>
  <c r="P73" i="16"/>
  <c r="O73" i="16"/>
  <c r="N71" i="16"/>
  <c r="N69" i="16" s="1"/>
  <c r="M71" i="16"/>
  <c r="M69" i="16" s="1"/>
  <c r="L71" i="16"/>
  <c r="L69" i="16" s="1"/>
  <c r="P70" i="16"/>
  <c r="O70" i="16"/>
  <c r="P67" i="16"/>
  <c r="N67" i="16"/>
  <c r="M67" i="16"/>
  <c r="L67" i="16"/>
  <c r="O67" i="16" s="1"/>
  <c r="J65" i="16"/>
  <c r="N61" i="16"/>
  <c r="M61" i="16"/>
  <c r="M59" i="16" s="1"/>
  <c r="P59" i="16" s="1"/>
  <c r="L61" i="16"/>
  <c r="L59" i="16" s="1"/>
  <c r="O59" i="16" s="1"/>
  <c r="P60" i="16"/>
  <c r="O60" i="16"/>
  <c r="N58" i="16"/>
  <c r="M58" i="16"/>
  <c r="M56" i="16" s="1"/>
  <c r="L58" i="16"/>
  <c r="L56" i="16" s="1"/>
  <c r="P57" i="16"/>
  <c r="O57" i="16"/>
  <c r="O54" i="16"/>
  <c r="N54" i="16"/>
  <c r="M54" i="16"/>
  <c r="P54" i="16" s="1"/>
  <c r="L54" i="16"/>
  <c r="N49" i="16"/>
  <c r="N47" i="16" s="1"/>
  <c r="M49" i="16"/>
  <c r="M47" i="16" s="1"/>
  <c r="P47" i="16" s="1"/>
  <c r="L49" i="16"/>
  <c r="L47" i="16" s="1"/>
  <c r="O47" i="16" s="1"/>
  <c r="P48" i="16"/>
  <c r="O48" i="16"/>
  <c r="N46" i="16"/>
  <c r="M46" i="16"/>
  <c r="M44" i="16" s="1"/>
  <c r="L46" i="16"/>
  <c r="L44" i="16" s="1"/>
  <c r="P45" i="16"/>
  <c r="O45" i="16"/>
  <c r="P42" i="16"/>
  <c r="N42" i="16"/>
  <c r="M42" i="16"/>
  <c r="L42" i="16"/>
  <c r="O42" i="16" s="1"/>
  <c r="N36" i="16"/>
  <c r="M36" i="16"/>
  <c r="P36" i="16" s="1"/>
  <c r="N35" i="16"/>
  <c r="N34" i="16" s="1"/>
  <c r="M35" i="16"/>
  <c r="P35" i="16" s="1"/>
  <c r="L35" i="16"/>
  <c r="O35" i="16" s="1"/>
  <c r="M34" i="16"/>
  <c r="P34" i="16" s="1"/>
  <c r="P33" i="16"/>
  <c r="N33" i="16"/>
  <c r="M33" i="16"/>
  <c r="P32" i="16"/>
  <c r="O32" i="16"/>
  <c r="N32" i="16"/>
  <c r="N31" i="16" s="1"/>
  <c r="M32" i="16"/>
  <c r="L32" i="16"/>
  <c r="P31" i="16"/>
  <c r="M31" i="16"/>
  <c r="N30" i="16"/>
  <c r="M30" i="16"/>
  <c r="P30" i="16" s="1"/>
  <c r="N29" i="16"/>
  <c r="N28" i="16" s="1"/>
  <c r="M29" i="16"/>
  <c r="P29" i="16" s="1"/>
  <c r="L29" i="16"/>
  <c r="O29" i="16" s="1"/>
  <c r="M28" i="16"/>
  <c r="P28" i="16" s="1"/>
  <c r="P25" i="16"/>
  <c r="O25" i="16"/>
  <c r="N25" i="16"/>
  <c r="M25" i="16"/>
  <c r="L25" i="16"/>
  <c r="N22" i="16"/>
  <c r="N19" i="16" s="1"/>
  <c r="M22" i="16"/>
  <c r="P22" i="16" s="1"/>
  <c r="L22" i="16"/>
  <c r="O22" i="16" s="1"/>
  <c r="N15" i="16"/>
  <c r="M15" i="16"/>
  <c r="P15" i="16" s="1"/>
  <c r="L15" i="16"/>
  <c r="O15" i="16" s="1"/>
  <c r="J828" i="15"/>
  <c r="I828" i="15"/>
  <c r="J827" i="15"/>
  <c r="I827" i="15"/>
  <c r="J826" i="15"/>
  <c r="I826" i="15"/>
  <c r="J825" i="15"/>
  <c r="I825" i="15"/>
  <c r="J824" i="15"/>
  <c r="I824" i="15"/>
  <c r="J823" i="15"/>
  <c r="I823" i="15"/>
  <c r="J822" i="15"/>
  <c r="I822" i="15"/>
  <c r="J821" i="15"/>
  <c r="I821" i="15"/>
  <c r="P817" i="15"/>
  <c r="O817" i="15"/>
  <c r="P816" i="15"/>
  <c r="O816" i="15"/>
  <c r="P815" i="15"/>
  <c r="N815" i="15"/>
  <c r="M815" i="15"/>
  <c r="L815" i="15"/>
  <c r="O815" i="15" s="1"/>
  <c r="P810" i="15"/>
  <c r="O810" i="15"/>
  <c r="N810" i="15"/>
  <c r="P809" i="15"/>
  <c r="O809" i="15"/>
  <c r="P808" i="15"/>
  <c r="O808" i="15"/>
  <c r="N808" i="15"/>
  <c r="M808" i="15"/>
  <c r="L808" i="15"/>
  <c r="O807" i="15"/>
  <c r="N807" i="15"/>
  <c r="N805" i="15" s="1"/>
  <c r="M807" i="15"/>
  <c r="P807" i="15" s="1"/>
  <c r="L807" i="15"/>
  <c r="N806" i="15"/>
  <c r="M806" i="15"/>
  <c r="P806" i="15" s="1"/>
  <c r="L806" i="15"/>
  <c r="O806" i="15" s="1"/>
  <c r="K804" i="15"/>
  <c r="J804" i="15"/>
  <c r="K802" i="15"/>
  <c r="J801" i="15"/>
  <c r="J800" i="15"/>
  <c r="J785" i="15" s="1"/>
  <c r="I800" i="15"/>
  <c r="I785" i="15" s="1"/>
  <c r="K785" i="15" s="1"/>
  <c r="P798" i="15"/>
  <c r="O798" i="15"/>
  <c r="P797" i="15"/>
  <c r="O797" i="15"/>
  <c r="P796" i="15"/>
  <c r="O796" i="15"/>
  <c r="N796" i="15"/>
  <c r="M796" i="15"/>
  <c r="L796" i="15"/>
  <c r="P791" i="15"/>
  <c r="N791" i="15"/>
  <c r="N788" i="15" s="1"/>
  <c r="L791" i="15"/>
  <c r="L789" i="15" s="1"/>
  <c r="O789" i="15" s="1"/>
  <c r="P790" i="15"/>
  <c r="O790" i="15"/>
  <c r="P789" i="15"/>
  <c r="N789" i="15"/>
  <c r="M789" i="15"/>
  <c r="M788" i="15"/>
  <c r="P788" i="15" s="1"/>
  <c r="N787" i="15"/>
  <c r="N786" i="15" s="1"/>
  <c r="M787" i="15"/>
  <c r="P787" i="15" s="1"/>
  <c r="L787" i="15"/>
  <c r="O787" i="15" s="1"/>
  <c r="P782" i="15"/>
  <c r="O782" i="15"/>
  <c r="P781" i="15"/>
  <c r="O781" i="15"/>
  <c r="N780" i="15"/>
  <c r="M780" i="15"/>
  <c r="P780" i="15" s="1"/>
  <c r="L780" i="15"/>
  <c r="O780" i="15" s="1"/>
  <c r="P775" i="15"/>
  <c r="O775" i="15"/>
  <c r="N775" i="15"/>
  <c r="N773" i="15" s="1"/>
  <c r="P774" i="15"/>
  <c r="O774" i="15"/>
  <c r="P773" i="15"/>
  <c r="O773" i="15"/>
  <c r="M773" i="15"/>
  <c r="L773" i="15"/>
  <c r="P772" i="15"/>
  <c r="O772" i="15"/>
  <c r="N772" i="15"/>
  <c r="M772" i="15"/>
  <c r="L772" i="15"/>
  <c r="O771" i="15"/>
  <c r="N771" i="15"/>
  <c r="N770" i="15" s="1"/>
  <c r="M771" i="15"/>
  <c r="P771" i="15" s="1"/>
  <c r="L771" i="15"/>
  <c r="L770" i="15"/>
  <c r="O770" i="15" s="1"/>
  <c r="K769" i="15"/>
  <c r="J769" i="15"/>
  <c r="P766" i="15"/>
  <c r="O766" i="15"/>
  <c r="P765" i="15"/>
  <c r="O765" i="15"/>
  <c r="N764" i="15"/>
  <c r="M764" i="15"/>
  <c r="P764" i="15" s="1"/>
  <c r="L764" i="15"/>
  <c r="O764" i="15" s="1"/>
  <c r="P759" i="15"/>
  <c r="O759" i="15"/>
  <c r="N759" i="15"/>
  <c r="N757" i="15" s="1"/>
  <c r="P758" i="15"/>
  <c r="O758" i="15"/>
  <c r="P757" i="15"/>
  <c r="O757" i="15"/>
  <c r="M757" i="15"/>
  <c r="L757" i="15"/>
  <c r="P756" i="15"/>
  <c r="O756" i="15"/>
  <c r="N756" i="15"/>
  <c r="M756" i="15"/>
  <c r="L756" i="15"/>
  <c r="O755" i="15"/>
  <c r="N755" i="15"/>
  <c r="N754" i="15" s="1"/>
  <c r="M755" i="15"/>
  <c r="P755" i="15" s="1"/>
  <c r="L755" i="15"/>
  <c r="L754" i="15"/>
  <c r="O754" i="15" s="1"/>
  <c r="K753" i="15"/>
  <c r="J753" i="15"/>
  <c r="P749" i="15"/>
  <c r="O749" i="15"/>
  <c r="P748" i="15"/>
  <c r="O748" i="15"/>
  <c r="N747" i="15"/>
  <c r="M747" i="15"/>
  <c r="P747" i="15" s="1"/>
  <c r="L747" i="15"/>
  <c r="O747" i="15" s="1"/>
  <c r="P742" i="15"/>
  <c r="O742" i="15"/>
  <c r="N742" i="15"/>
  <c r="N740" i="15" s="1"/>
  <c r="P741" i="15"/>
  <c r="O741" i="15"/>
  <c r="P740" i="15"/>
  <c r="O740" i="15"/>
  <c r="M740" i="15"/>
  <c r="L740" i="15"/>
  <c r="P739" i="15"/>
  <c r="O739" i="15"/>
  <c r="N739" i="15"/>
  <c r="M739" i="15"/>
  <c r="L739" i="15"/>
  <c r="O738" i="15"/>
  <c r="N738" i="15"/>
  <c r="N737" i="15" s="1"/>
  <c r="M738" i="15"/>
  <c r="P738" i="15" s="1"/>
  <c r="L738" i="15"/>
  <c r="L737" i="15"/>
  <c r="O737" i="15" s="1"/>
  <c r="K736" i="15"/>
  <c r="J736" i="15"/>
  <c r="J729" i="15"/>
  <c r="I729" i="15"/>
  <c r="J728" i="15"/>
  <c r="I728" i="15"/>
  <c r="J727" i="15"/>
  <c r="J726" i="15"/>
  <c r="I726" i="15"/>
  <c r="J725" i="15"/>
  <c r="I725" i="15"/>
  <c r="J724" i="15"/>
  <c r="J723" i="15"/>
  <c r="I723" i="15"/>
  <c r="I722" i="15"/>
  <c r="I721" i="15"/>
  <c r="J720" i="15"/>
  <c r="I720" i="15"/>
  <c r="J719" i="15"/>
  <c r="J718" i="15"/>
  <c r="J708" i="15"/>
  <c r="I708" i="15"/>
  <c r="I707" i="15"/>
  <c r="I704" i="15"/>
  <c r="J701" i="15"/>
  <c r="I701" i="15"/>
  <c r="K701" i="15" s="1"/>
  <c r="J700" i="15"/>
  <c r="I700" i="15"/>
  <c r="J699" i="15"/>
  <c r="I699" i="15"/>
  <c r="K699" i="15" s="1"/>
  <c r="P697" i="15"/>
  <c r="O697" i="15"/>
  <c r="P696" i="15"/>
  <c r="O696" i="15"/>
  <c r="N695" i="15"/>
  <c r="M695" i="15"/>
  <c r="P695" i="15" s="1"/>
  <c r="L695" i="15"/>
  <c r="O695" i="15" s="1"/>
  <c r="P690" i="15"/>
  <c r="N690" i="15"/>
  <c r="L690" i="15"/>
  <c r="L688" i="15" s="1"/>
  <c r="O688" i="15" s="1"/>
  <c r="P688" i="15"/>
  <c r="N688" i="15"/>
  <c r="M688" i="15"/>
  <c r="N687" i="15"/>
  <c r="M687" i="15"/>
  <c r="P687" i="15" s="1"/>
  <c r="N686" i="15"/>
  <c r="N685" i="15" s="1"/>
  <c r="M686" i="15"/>
  <c r="P686" i="15" s="1"/>
  <c r="L686" i="15"/>
  <c r="O686" i="15" s="1"/>
  <c r="J679" i="15"/>
  <c r="J678" i="15" s="1"/>
  <c r="I678" i="15"/>
  <c r="K678" i="15" s="1"/>
  <c r="J675" i="15"/>
  <c r="J669" i="15" s="1"/>
  <c r="J654" i="15" s="1"/>
  <c r="I671" i="15"/>
  <c r="K671" i="15" s="1"/>
  <c r="I670" i="15"/>
  <c r="K670" i="15" s="1"/>
  <c r="I669" i="15"/>
  <c r="K672" i="15" s="1"/>
  <c r="P667" i="15"/>
  <c r="O667" i="15"/>
  <c r="P666" i="15"/>
  <c r="O666" i="15"/>
  <c r="N665" i="15"/>
  <c r="M665" i="15"/>
  <c r="P665" i="15" s="1"/>
  <c r="L665" i="15"/>
  <c r="O665" i="15" s="1"/>
  <c r="P660" i="15"/>
  <c r="N660" i="15"/>
  <c r="N657" i="15" s="1"/>
  <c r="N655" i="15" s="1"/>
  <c r="L660" i="15"/>
  <c r="O660" i="15" s="1"/>
  <c r="P659" i="15"/>
  <c r="O659" i="15"/>
  <c r="N658" i="15"/>
  <c r="M658" i="15"/>
  <c r="P658" i="15" s="1"/>
  <c r="P657" i="15"/>
  <c r="M657" i="15"/>
  <c r="P656" i="15"/>
  <c r="O656" i="15"/>
  <c r="N656" i="15"/>
  <c r="M656" i="15"/>
  <c r="M655" i="15" s="1"/>
  <c r="P655" i="15" s="1"/>
  <c r="L656" i="15"/>
  <c r="K652" i="15"/>
  <c r="J652" i="15"/>
  <c r="J651" i="15"/>
  <c r="J628" i="15" s="1"/>
  <c r="I651" i="15"/>
  <c r="K651" i="15" s="1"/>
  <c r="K650" i="15"/>
  <c r="J650" i="15"/>
  <c r="J649" i="15"/>
  <c r="I649" i="15"/>
  <c r="K649" i="15" s="1"/>
  <c r="K648" i="15"/>
  <c r="J648" i="15"/>
  <c r="J647" i="15"/>
  <c r="I647" i="15"/>
  <c r="K647" i="15" s="1"/>
  <c r="K646" i="15"/>
  <c r="J646" i="15"/>
  <c r="K645" i="15"/>
  <c r="J645" i="15"/>
  <c r="I644" i="15"/>
  <c r="K644" i="15" s="1"/>
  <c r="I643" i="15"/>
  <c r="K643" i="15" s="1"/>
  <c r="P641" i="15"/>
  <c r="L641" i="15"/>
  <c r="O641" i="15" s="1"/>
  <c r="P640" i="15"/>
  <c r="O640" i="15"/>
  <c r="P639" i="15"/>
  <c r="N639" i="15"/>
  <c r="M639" i="15"/>
  <c r="P634" i="15"/>
  <c r="N634" i="15"/>
  <c r="L634" i="15"/>
  <c r="O634" i="15" s="1"/>
  <c r="P633" i="15"/>
  <c r="O633" i="15"/>
  <c r="N632" i="15"/>
  <c r="M632" i="15"/>
  <c r="P632" i="15" s="1"/>
  <c r="N631" i="15"/>
  <c r="M631" i="15"/>
  <c r="P631" i="15" s="1"/>
  <c r="N630" i="15"/>
  <c r="N629" i="15" s="1"/>
  <c r="M630" i="15"/>
  <c r="M629" i="15" s="1"/>
  <c r="P629" i="15" s="1"/>
  <c r="L630" i="15"/>
  <c r="O630" i="15" s="1"/>
  <c r="J621" i="15"/>
  <c r="I621" i="15"/>
  <c r="K621" i="15" s="1"/>
  <c r="J620" i="15"/>
  <c r="I620" i="15"/>
  <c r="K620" i="15" s="1"/>
  <c r="K613" i="15"/>
  <c r="J613" i="15"/>
  <c r="K612" i="15"/>
  <c r="J612" i="15"/>
  <c r="K611" i="15"/>
  <c r="J611" i="15"/>
  <c r="J604" i="15"/>
  <c r="J603" i="15"/>
  <c r="J596" i="15"/>
  <c r="J594" i="15" s="1"/>
  <c r="J595" i="15"/>
  <c r="I594" i="15"/>
  <c r="J593" i="15"/>
  <c r="J592" i="15" s="1"/>
  <c r="I593" i="15"/>
  <c r="I592" i="15" s="1"/>
  <c r="J583" i="15"/>
  <c r="J582" i="15"/>
  <c r="J576" i="15" s="1"/>
  <c r="J577" i="15"/>
  <c r="I577" i="15"/>
  <c r="I576" i="15"/>
  <c r="K576" i="15" s="1"/>
  <c r="J569" i="15"/>
  <c r="I569" i="15"/>
  <c r="J568" i="15"/>
  <c r="I568" i="15"/>
  <c r="K568" i="15" s="1"/>
  <c r="J561" i="15"/>
  <c r="I561" i="15"/>
  <c r="J560" i="15"/>
  <c r="I560" i="15"/>
  <c r="K560" i="15" s="1"/>
  <c r="J559" i="15"/>
  <c r="J543" i="15" s="1"/>
  <c r="P557" i="15"/>
  <c r="L557" i="15"/>
  <c r="O557" i="15" s="1"/>
  <c r="P556" i="15"/>
  <c r="O556" i="15"/>
  <c r="N555" i="15"/>
  <c r="M555" i="15"/>
  <c r="P555" i="15" s="1"/>
  <c r="P549" i="15"/>
  <c r="N549" i="15"/>
  <c r="N546" i="15" s="1"/>
  <c r="L549" i="15"/>
  <c r="O549" i="15" s="1"/>
  <c r="P548" i="15"/>
  <c r="O548" i="15"/>
  <c r="P547" i="15"/>
  <c r="N547" i="15"/>
  <c r="M547" i="15"/>
  <c r="L547" i="15"/>
  <c r="O547" i="15" s="1"/>
  <c r="P546" i="15"/>
  <c r="M546" i="15"/>
  <c r="O545" i="15"/>
  <c r="N545" i="15"/>
  <c r="N544" i="15" s="1"/>
  <c r="L545" i="15"/>
  <c r="I542" i="15"/>
  <c r="K542" i="15" s="1"/>
  <c r="I541" i="15"/>
  <c r="K541" i="15" s="1"/>
  <c r="I540" i="15"/>
  <c r="K540" i="15" s="1"/>
  <c r="I539" i="15"/>
  <c r="K539" i="15" s="1"/>
  <c r="I538" i="15"/>
  <c r="K538" i="15" s="1"/>
  <c r="I537" i="15"/>
  <c r="I522" i="15" s="1"/>
  <c r="K522" i="15" s="1"/>
  <c r="P535" i="15"/>
  <c r="L535" i="15"/>
  <c r="O535" i="15" s="1"/>
  <c r="P534" i="15"/>
  <c r="O534" i="15"/>
  <c r="P533" i="15"/>
  <c r="N533" i="15"/>
  <c r="M533" i="15"/>
  <c r="P528" i="15"/>
  <c r="N528" i="15"/>
  <c r="N525" i="15" s="1"/>
  <c r="L528" i="15"/>
  <c r="O528" i="15" s="1"/>
  <c r="P527" i="15"/>
  <c r="O527" i="15"/>
  <c r="P526" i="15"/>
  <c r="N526" i="15"/>
  <c r="M526" i="15"/>
  <c r="L526" i="15"/>
  <c r="O526" i="15" s="1"/>
  <c r="M525" i="15"/>
  <c r="P525" i="15" s="1"/>
  <c r="N524" i="15"/>
  <c r="M524" i="15"/>
  <c r="P524" i="15" s="1"/>
  <c r="L524" i="15"/>
  <c r="O524" i="15" s="1"/>
  <c r="M523" i="15"/>
  <c r="P523" i="15" s="1"/>
  <c r="K517" i="15"/>
  <c r="J517" i="15"/>
  <c r="K516" i="15"/>
  <c r="P514" i="15"/>
  <c r="O514" i="15"/>
  <c r="P513" i="15"/>
  <c r="O513" i="15"/>
  <c r="P512" i="15"/>
  <c r="O512" i="15"/>
  <c r="N512" i="15"/>
  <c r="M512" i="15"/>
  <c r="L512" i="15"/>
  <c r="P507" i="15"/>
  <c r="O507" i="15"/>
  <c r="N507" i="15"/>
  <c r="P506" i="15"/>
  <c r="O506" i="15"/>
  <c r="M505" i="15"/>
  <c r="P505" i="15" s="1"/>
  <c r="L505" i="15"/>
  <c r="O505" i="15" s="1"/>
  <c r="M504" i="15"/>
  <c r="P504" i="15" s="1"/>
  <c r="L504" i="15"/>
  <c r="O504" i="15" s="1"/>
  <c r="P503" i="15"/>
  <c r="N503" i="15"/>
  <c r="M503" i="15"/>
  <c r="L503" i="15"/>
  <c r="O503" i="15" s="1"/>
  <c r="K501" i="15"/>
  <c r="J501" i="15"/>
  <c r="K500" i="15"/>
  <c r="J500" i="15"/>
  <c r="I498" i="15"/>
  <c r="K498" i="15" s="1"/>
  <c r="I495" i="15"/>
  <c r="K495" i="15" s="1"/>
  <c r="I492" i="15"/>
  <c r="K492" i="15" s="1"/>
  <c r="I489" i="15"/>
  <c r="K489" i="15" s="1"/>
  <c r="I487" i="15"/>
  <c r="K487" i="15" s="1"/>
  <c r="I485" i="15"/>
  <c r="K485" i="15" s="1"/>
  <c r="I483" i="15"/>
  <c r="K483" i="15" s="1"/>
  <c r="P479" i="15"/>
  <c r="L479" i="15"/>
  <c r="L477" i="15" s="1"/>
  <c r="O477" i="15" s="1"/>
  <c r="P478" i="15"/>
  <c r="O478" i="15"/>
  <c r="P477" i="15"/>
  <c r="N477" i="15"/>
  <c r="M477" i="15"/>
  <c r="P472" i="15"/>
  <c r="N472" i="15"/>
  <c r="L472" i="15"/>
  <c r="L470" i="15" s="1"/>
  <c r="O470" i="15" s="1"/>
  <c r="P471" i="15"/>
  <c r="O471" i="15"/>
  <c r="N470" i="15"/>
  <c r="M470" i="15"/>
  <c r="P470" i="15" s="1"/>
  <c r="N469" i="15"/>
  <c r="M469" i="15"/>
  <c r="P469" i="15" s="1"/>
  <c r="N468" i="15"/>
  <c r="M468" i="15"/>
  <c r="L468" i="15"/>
  <c r="J466" i="15"/>
  <c r="I466" i="15"/>
  <c r="J465" i="15"/>
  <c r="I465" i="15"/>
  <c r="K465" i="15" s="1"/>
  <c r="I464" i="15"/>
  <c r="I463" i="15"/>
  <c r="I462" i="15"/>
  <c r="K462" i="15" s="1"/>
  <c r="I460" i="15"/>
  <c r="K460" i="15" s="1"/>
  <c r="K458" i="15"/>
  <c r="P456" i="15"/>
  <c r="L456" i="15"/>
  <c r="L454" i="15" s="1"/>
  <c r="O454" i="15" s="1"/>
  <c r="P455" i="15"/>
  <c r="O455" i="15"/>
  <c r="P454" i="15"/>
  <c r="N454" i="15"/>
  <c r="M454" i="15"/>
  <c r="P449" i="15"/>
  <c r="N449" i="15"/>
  <c r="L449" i="15"/>
  <c r="L447" i="15" s="1"/>
  <c r="O447" i="15" s="1"/>
  <c r="P448" i="15"/>
  <c r="O448" i="15"/>
  <c r="N447" i="15"/>
  <c r="M447" i="15"/>
  <c r="P447" i="15" s="1"/>
  <c r="N446" i="15"/>
  <c r="M446" i="15"/>
  <c r="P446" i="15" s="1"/>
  <c r="N445" i="15"/>
  <c r="M445" i="15"/>
  <c r="P445" i="15" s="1"/>
  <c r="L445" i="15"/>
  <c r="J443" i="15"/>
  <c r="J442" i="15"/>
  <c r="I441" i="15"/>
  <c r="K441" i="15" s="1"/>
  <c r="I440" i="15"/>
  <c r="K440" i="15" s="1"/>
  <c r="I439" i="15"/>
  <c r="K439" i="15" s="1"/>
  <c r="I438" i="15"/>
  <c r="I437" i="15"/>
  <c r="K437" i="15" s="1"/>
  <c r="I435" i="15"/>
  <c r="J434" i="15"/>
  <c r="P431" i="15"/>
  <c r="L431" i="15"/>
  <c r="O431" i="15" s="1"/>
  <c r="P430" i="15"/>
  <c r="O430" i="15"/>
  <c r="P429" i="15"/>
  <c r="N429" i="15"/>
  <c r="M429" i="15"/>
  <c r="P424" i="15"/>
  <c r="N424" i="15"/>
  <c r="N421" i="15" s="1"/>
  <c r="L424" i="15"/>
  <c r="P423" i="15"/>
  <c r="O423" i="15"/>
  <c r="N422" i="15"/>
  <c r="M422" i="15"/>
  <c r="P422" i="15" s="1"/>
  <c r="P421" i="15"/>
  <c r="M421" i="15"/>
  <c r="M419" i="15" s="1"/>
  <c r="O420" i="15"/>
  <c r="N420" i="15"/>
  <c r="N419" i="15" s="1"/>
  <c r="M420" i="15"/>
  <c r="P420" i="15" s="1"/>
  <c r="L420" i="15"/>
  <c r="J418" i="15"/>
  <c r="K413" i="15"/>
  <c r="K412" i="15"/>
  <c r="N410" i="15"/>
  <c r="N408" i="15" s="1"/>
  <c r="M410" i="15"/>
  <c r="M408" i="15" s="1"/>
  <c r="P408" i="15" s="1"/>
  <c r="L410" i="15"/>
  <c r="O410" i="15" s="1"/>
  <c r="P409" i="15"/>
  <c r="O409" i="15"/>
  <c r="N407" i="15"/>
  <c r="N405" i="15" s="1"/>
  <c r="M407" i="15"/>
  <c r="M405" i="15" s="1"/>
  <c r="P405" i="15" s="1"/>
  <c r="L407" i="15"/>
  <c r="O407" i="15" s="1"/>
  <c r="P406" i="15"/>
  <c r="O406" i="15"/>
  <c r="P403" i="15"/>
  <c r="N403" i="15"/>
  <c r="M403" i="15"/>
  <c r="L403" i="15"/>
  <c r="J401" i="15"/>
  <c r="I401" i="15"/>
  <c r="K401" i="15" s="1"/>
  <c r="K400" i="15"/>
  <c r="K399" i="15"/>
  <c r="N397" i="15"/>
  <c r="N395" i="15" s="1"/>
  <c r="M397" i="15"/>
  <c r="P397" i="15" s="1"/>
  <c r="L397" i="15"/>
  <c r="P396" i="15"/>
  <c r="O396" i="15"/>
  <c r="N394" i="15"/>
  <c r="N392" i="15" s="1"/>
  <c r="M394" i="15"/>
  <c r="P394" i="15" s="1"/>
  <c r="L394" i="15"/>
  <c r="L392" i="15" s="1"/>
  <c r="O392" i="15" s="1"/>
  <c r="P393" i="15"/>
  <c r="O393" i="15"/>
  <c r="N390" i="15"/>
  <c r="M390" i="15"/>
  <c r="P390" i="15" s="1"/>
  <c r="L390" i="15"/>
  <c r="K388" i="15"/>
  <c r="J388" i="15"/>
  <c r="I388" i="15"/>
  <c r="J385" i="15"/>
  <c r="I385" i="15"/>
  <c r="K382" i="15"/>
  <c r="J382" i="15"/>
  <c r="J381" i="15"/>
  <c r="J374" i="15" s="1"/>
  <c r="I381" i="15"/>
  <c r="K380" i="15"/>
  <c r="J380" i="15"/>
  <c r="J379" i="15"/>
  <c r="I379" i="15"/>
  <c r="J378" i="15"/>
  <c r="I378" i="15"/>
  <c r="K377" i="15"/>
  <c r="J377" i="15"/>
  <c r="I374" i="15"/>
  <c r="K373" i="15"/>
  <c r="J373" i="15"/>
  <c r="J372" i="15"/>
  <c r="J365" i="15" s="1"/>
  <c r="I372" i="15"/>
  <c r="K371" i="15"/>
  <c r="J371" i="15"/>
  <c r="J370" i="15"/>
  <c r="I370" i="15"/>
  <c r="J369" i="15"/>
  <c r="I369" i="15"/>
  <c r="K368" i="15"/>
  <c r="J368" i="15"/>
  <c r="I365" i="15"/>
  <c r="K363" i="15"/>
  <c r="J363" i="15"/>
  <c r="J362" i="15"/>
  <c r="J355" i="15" s="1"/>
  <c r="I362" i="15"/>
  <c r="K361" i="15"/>
  <c r="J361" i="15"/>
  <c r="J360" i="15"/>
  <c r="I360" i="15"/>
  <c r="J359" i="15"/>
  <c r="I359" i="15"/>
  <c r="K358" i="15"/>
  <c r="J358" i="15"/>
  <c r="I355" i="15"/>
  <c r="N353" i="15"/>
  <c r="N351" i="15" s="1"/>
  <c r="M353" i="15"/>
  <c r="P353" i="15" s="1"/>
  <c r="P352" i="15"/>
  <c r="O352" i="15"/>
  <c r="N350" i="15"/>
  <c r="N348" i="15" s="1"/>
  <c r="M350" i="15"/>
  <c r="M348" i="15" s="1"/>
  <c r="L350" i="15"/>
  <c r="P349" i="15"/>
  <c r="O349" i="15"/>
  <c r="N346" i="15"/>
  <c r="M346" i="15"/>
  <c r="L346" i="15"/>
  <c r="O346" i="15" s="1"/>
  <c r="J343" i="15"/>
  <c r="J342" i="15"/>
  <c r="J341" i="15"/>
  <c r="J340" i="15"/>
  <c r="I340" i="15"/>
  <c r="J338" i="15"/>
  <c r="I338" i="15"/>
  <c r="N336" i="15"/>
  <c r="N334" i="15" s="1"/>
  <c r="M336" i="15"/>
  <c r="M334" i="15" s="1"/>
  <c r="P334" i="15" s="1"/>
  <c r="L336" i="15"/>
  <c r="L334" i="15" s="1"/>
  <c r="O334" i="15" s="1"/>
  <c r="P335" i="15"/>
  <c r="O335" i="15"/>
  <c r="N333" i="15"/>
  <c r="N331" i="15" s="1"/>
  <c r="M333" i="15"/>
  <c r="M331" i="15" s="1"/>
  <c r="L333" i="15"/>
  <c r="L331" i="15" s="1"/>
  <c r="P332" i="15"/>
  <c r="O332" i="15"/>
  <c r="N329" i="15"/>
  <c r="M329" i="15"/>
  <c r="L329" i="15"/>
  <c r="I327" i="15"/>
  <c r="I325" i="15"/>
  <c r="K325" i="15" s="1"/>
  <c r="N323" i="15"/>
  <c r="N321" i="15" s="1"/>
  <c r="M323" i="15"/>
  <c r="L323" i="15"/>
  <c r="O323" i="15" s="1"/>
  <c r="P322" i="15"/>
  <c r="O322" i="15"/>
  <c r="N320" i="15"/>
  <c r="M320" i="15"/>
  <c r="P320" i="15" s="1"/>
  <c r="L320" i="15"/>
  <c r="P319" i="15"/>
  <c r="O319" i="15"/>
  <c r="P316" i="15"/>
  <c r="N316" i="15"/>
  <c r="M316" i="15"/>
  <c r="L316" i="15"/>
  <c r="J314" i="15"/>
  <c r="I312" i="15"/>
  <c r="K312" i="15" s="1"/>
  <c r="I311" i="15"/>
  <c r="K311" i="15" s="1"/>
  <c r="I310" i="15"/>
  <c r="K310" i="15" s="1"/>
  <c r="I309" i="15"/>
  <c r="K309" i="15" s="1"/>
  <c r="N306" i="15"/>
  <c r="N304" i="15" s="1"/>
  <c r="M306" i="15"/>
  <c r="P306" i="15" s="1"/>
  <c r="L306" i="15"/>
  <c r="O306" i="15" s="1"/>
  <c r="P305" i="15"/>
  <c r="O305" i="15"/>
  <c r="N303" i="15"/>
  <c r="N301" i="15" s="1"/>
  <c r="M303" i="15"/>
  <c r="M301" i="15" s="1"/>
  <c r="P301" i="15" s="1"/>
  <c r="L303" i="15"/>
  <c r="O303" i="15" s="1"/>
  <c r="P302" i="15"/>
  <c r="O302" i="15"/>
  <c r="P299" i="15"/>
  <c r="N299" i="15"/>
  <c r="M299" i="15"/>
  <c r="L299" i="15"/>
  <c r="O299" i="15" s="1"/>
  <c r="J297" i="15"/>
  <c r="I294" i="15"/>
  <c r="K294" i="15" s="1"/>
  <c r="I293" i="15"/>
  <c r="K293" i="15" s="1"/>
  <c r="I291" i="15"/>
  <c r="K291" i="15" s="1"/>
  <c r="I290" i="15"/>
  <c r="K290" i="15" s="1"/>
  <c r="I288" i="15"/>
  <c r="K288" i="15" s="1"/>
  <c r="I287" i="15"/>
  <c r="K287" i="15" s="1"/>
  <c r="N285" i="15"/>
  <c r="N283" i="15" s="1"/>
  <c r="M285" i="15"/>
  <c r="P285" i="15" s="1"/>
  <c r="L285" i="15"/>
  <c r="L283" i="15" s="1"/>
  <c r="O283" i="15" s="1"/>
  <c r="P284" i="15"/>
  <c r="O284" i="15"/>
  <c r="N282" i="15"/>
  <c r="M282" i="15"/>
  <c r="P282" i="15" s="1"/>
  <c r="L282" i="15"/>
  <c r="P281" i="15"/>
  <c r="O281" i="15"/>
  <c r="O278" i="15"/>
  <c r="N278" i="15"/>
  <c r="M278" i="15"/>
  <c r="P278" i="15" s="1"/>
  <c r="L278" i="15"/>
  <c r="J276" i="15"/>
  <c r="I271" i="15"/>
  <c r="K271" i="15" s="1"/>
  <c r="N269" i="15"/>
  <c r="N267" i="15" s="1"/>
  <c r="M269" i="15"/>
  <c r="P269" i="15" s="1"/>
  <c r="L269" i="15"/>
  <c r="L267" i="15" s="1"/>
  <c r="O267" i="15" s="1"/>
  <c r="P268" i="15"/>
  <c r="O268" i="15"/>
  <c r="N266" i="15"/>
  <c r="M266" i="15"/>
  <c r="M264" i="15" s="1"/>
  <c r="L266" i="15"/>
  <c r="L264" i="15" s="1"/>
  <c r="P265" i="15"/>
  <c r="O265" i="15"/>
  <c r="P262" i="15"/>
  <c r="N262" i="15"/>
  <c r="M262" i="15"/>
  <c r="L262" i="15"/>
  <c r="O262" i="15" s="1"/>
  <c r="J260" i="15"/>
  <c r="K258" i="15"/>
  <c r="K257" i="15"/>
  <c r="I255" i="15"/>
  <c r="K255" i="15" s="1"/>
  <c r="L253" i="15"/>
  <c r="L252" i="15"/>
  <c r="L251" i="15"/>
  <c r="L250" i="15"/>
  <c r="P249" i="15"/>
  <c r="N249" i="15"/>
  <c r="J248" i="15"/>
  <c r="K247" i="15"/>
  <c r="K246" i="15"/>
  <c r="I244" i="15"/>
  <c r="K244" i="15" s="1"/>
  <c r="L242" i="15"/>
  <c r="L241" i="15"/>
  <c r="L240" i="15"/>
  <c r="L239" i="15"/>
  <c r="P238" i="15"/>
  <c r="N238" i="15"/>
  <c r="J237" i="15"/>
  <c r="J236" i="15"/>
  <c r="I236" i="15"/>
  <c r="K236" i="15" s="1"/>
  <c r="J235" i="15"/>
  <c r="I235" i="15"/>
  <c r="K235" i="15" s="1"/>
  <c r="J233" i="15"/>
  <c r="N231" i="15"/>
  <c r="N230" i="15"/>
  <c r="N229" i="15"/>
  <c r="N228" i="15"/>
  <c r="N227" i="15"/>
  <c r="I225" i="15"/>
  <c r="K225" i="15" s="1"/>
  <c r="I224" i="15"/>
  <c r="K224" i="15" s="1"/>
  <c r="I223" i="15"/>
  <c r="K223" i="15" s="1"/>
  <c r="L220" i="15"/>
  <c r="L219" i="15"/>
  <c r="L218" i="15"/>
  <c r="P217" i="15"/>
  <c r="N217" i="15"/>
  <c r="J216" i="15"/>
  <c r="I215" i="15"/>
  <c r="I208" i="15" s="1"/>
  <c r="K208" i="15" s="1"/>
  <c r="I214" i="15"/>
  <c r="K214" i="15" s="1"/>
  <c r="L212" i="15"/>
  <c r="L211" i="15"/>
  <c r="L210" i="15"/>
  <c r="P209" i="15"/>
  <c r="N209" i="15"/>
  <c r="J208" i="15"/>
  <c r="K207" i="15"/>
  <c r="K206" i="15"/>
  <c r="I204" i="15"/>
  <c r="L202" i="15"/>
  <c r="L201" i="15"/>
  <c r="L200" i="15"/>
  <c r="L199" i="15"/>
  <c r="P198" i="15"/>
  <c r="N198" i="15"/>
  <c r="J197" i="15"/>
  <c r="J194" i="15"/>
  <c r="I193" i="15"/>
  <c r="K193" i="15" s="1"/>
  <c r="P191" i="15"/>
  <c r="L191" i="15"/>
  <c r="O191" i="15" s="1"/>
  <c r="J190" i="15"/>
  <c r="N189" i="15"/>
  <c r="M189" i="15"/>
  <c r="L189" i="15"/>
  <c r="L187" i="15" s="1"/>
  <c r="O187" i="15" s="1"/>
  <c r="P188" i="15"/>
  <c r="O188" i="15"/>
  <c r="N186" i="15"/>
  <c r="N184" i="15" s="1"/>
  <c r="M186" i="15"/>
  <c r="M184" i="15" s="1"/>
  <c r="L186" i="15"/>
  <c r="L184" i="15" s="1"/>
  <c r="P185" i="15"/>
  <c r="O185" i="15"/>
  <c r="P182" i="15"/>
  <c r="N182" i="15"/>
  <c r="M182" i="15"/>
  <c r="L182" i="15"/>
  <c r="K180" i="15"/>
  <c r="J177" i="15"/>
  <c r="I176" i="15"/>
  <c r="K176" i="15" s="1"/>
  <c r="J174" i="15"/>
  <c r="J164" i="15" s="1"/>
  <c r="N173" i="15"/>
  <c r="N171" i="15" s="1"/>
  <c r="M173" i="15"/>
  <c r="P173" i="15" s="1"/>
  <c r="L173" i="15"/>
  <c r="L171" i="15" s="1"/>
  <c r="O171" i="15" s="1"/>
  <c r="P172" i="15"/>
  <c r="O172" i="15"/>
  <c r="N170" i="15"/>
  <c r="N168" i="15" s="1"/>
  <c r="M170" i="15"/>
  <c r="M168" i="15" s="1"/>
  <c r="L170" i="15"/>
  <c r="L168" i="15" s="1"/>
  <c r="P169" i="15"/>
  <c r="O169" i="15"/>
  <c r="O166" i="15"/>
  <c r="N166" i="15"/>
  <c r="M166" i="15"/>
  <c r="P166" i="15" s="1"/>
  <c r="L166" i="15"/>
  <c r="I159" i="15"/>
  <c r="K159" i="15" s="1"/>
  <c r="N157" i="15"/>
  <c r="N155" i="15" s="1"/>
  <c r="M157" i="15"/>
  <c r="P157" i="15" s="1"/>
  <c r="L157" i="15"/>
  <c r="O157" i="15" s="1"/>
  <c r="P156" i="15"/>
  <c r="O156" i="15"/>
  <c r="N154" i="15"/>
  <c r="M154" i="15"/>
  <c r="M152" i="15" s="1"/>
  <c r="L154" i="15"/>
  <c r="P153" i="15"/>
  <c r="O153" i="15"/>
  <c r="P150" i="15"/>
  <c r="O150" i="15"/>
  <c r="N150" i="15"/>
  <c r="M150" i="15"/>
  <c r="L150" i="15"/>
  <c r="J148" i="15"/>
  <c r="I146" i="15"/>
  <c r="K146" i="15" s="1"/>
  <c r="I145" i="15"/>
  <c r="K145" i="15" s="1"/>
  <c r="I144" i="15"/>
  <c r="N140" i="15"/>
  <c r="N138" i="15" s="1"/>
  <c r="M140" i="15"/>
  <c r="M138" i="15" s="1"/>
  <c r="P138" i="15" s="1"/>
  <c r="L140" i="15"/>
  <c r="L138" i="15" s="1"/>
  <c r="O138" i="15" s="1"/>
  <c r="P139" i="15"/>
  <c r="O139" i="15"/>
  <c r="N137" i="15"/>
  <c r="N135" i="15" s="1"/>
  <c r="M137" i="15"/>
  <c r="M135" i="15" s="1"/>
  <c r="P135" i="15" s="1"/>
  <c r="L137" i="15"/>
  <c r="L135" i="15" s="1"/>
  <c r="O135" i="15" s="1"/>
  <c r="P136" i="15"/>
  <c r="O136" i="15"/>
  <c r="O133" i="15"/>
  <c r="N133" i="15"/>
  <c r="M133" i="15"/>
  <c r="P133" i="15" s="1"/>
  <c r="L133" i="15"/>
  <c r="J130" i="15"/>
  <c r="N127" i="15"/>
  <c r="N125" i="15" s="1"/>
  <c r="M127" i="15"/>
  <c r="P127" i="15" s="1"/>
  <c r="L127" i="15"/>
  <c r="O127" i="15" s="1"/>
  <c r="P126" i="15"/>
  <c r="O126" i="15"/>
  <c r="N124" i="15"/>
  <c r="N122" i="15" s="1"/>
  <c r="M124" i="15"/>
  <c r="P124" i="15" s="1"/>
  <c r="L124" i="15"/>
  <c r="O124" i="15" s="1"/>
  <c r="P123" i="15"/>
  <c r="O123" i="15"/>
  <c r="P120" i="15"/>
  <c r="N120" i="15"/>
  <c r="M120" i="15"/>
  <c r="L120" i="15"/>
  <c r="I116" i="15"/>
  <c r="K116" i="15" s="1"/>
  <c r="I115" i="15"/>
  <c r="I114" i="15"/>
  <c r="K114" i="15" s="1"/>
  <c r="I113" i="15"/>
  <c r="K113" i="15" s="1"/>
  <c r="J112" i="15"/>
  <c r="J111" i="15"/>
  <c r="I111" i="15"/>
  <c r="I110" i="15"/>
  <c r="K110" i="15" s="1"/>
  <c r="I109" i="15"/>
  <c r="K109" i="15" s="1"/>
  <c r="I107" i="15"/>
  <c r="K107" i="15" s="1"/>
  <c r="I106" i="15"/>
  <c r="K106" i="15" s="1"/>
  <c r="I104" i="15"/>
  <c r="K104" i="15" s="1"/>
  <c r="I103" i="15"/>
  <c r="K103" i="15" s="1"/>
  <c r="I102" i="15"/>
  <c r="K102" i="15" s="1"/>
  <c r="J100" i="15"/>
  <c r="I100" i="15"/>
  <c r="J99" i="15"/>
  <c r="I99" i="15"/>
  <c r="I87" i="15" s="1"/>
  <c r="J98" i="15"/>
  <c r="I98" i="15"/>
  <c r="N96" i="15"/>
  <c r="M96" i="15"/>
  <c r="M94" i="15" s="1"/>
  <c r="P94" i="15" s="1"/>
  <c r="L96" i="15"/>
  <c r="O96" i="15" s="1"/>
  <c r="P95" i="15"/>
  <c r="O95" i="15"/>
  <c r="N93" i="15"/>
  <c r="N91" i="15" s="1"/>
  <c r="M93" i="15"/>
  <c r="M91" i="15" s="1"/>
  <c r="L93" i="15"/>
  <c r="P92" i="15"/>
  <c r="O92" i="15"/>
  <c r="P89" i="15"/>
  <c r="O89" i="15"/>
  <c r="N89" i="15"/>
  <c r="M89" i="15"/>
  <c r="L89" i="15"/>
  <c r="J86" i="15"/>
  <c r="I84" i="15"/>
  <c r="K84" i="15" s="1"/>
  <c r="I83" i="15"/>
  <c r="K83" i="15" s="1"/>
  <c r="I82" i="15"/>
  <c r="K82" i="15" s="1"/>
  <c r="I81" i="15"/>
  <c r="K81" i="15" s="1"/>
  <c r="I80" i="15"/>
  <c r="I79" i="15"/>
  <c r="K79" i="15" s="1"/>
  <c r="I78" i="15"/>
  <c r="K78" i="15" s="1"/>
  <c r="J77" i="15"/>
  <c r="J65" i="15" s="1"/>
  <c r="J76" i="15"/>
  <c r="N74" i="15"/>
  <c r="N72" i="15" s="1"/>
  <c r="M74" i="15"/>
  <c r="P74" i="15" s="1"/>
  <c r="L74" i="15"/>
  <c r="O74" i="15" s="1"/>
  <c r="P73" i="15"/>
  <c r="O73" i="15"/>
  <c r="N71" i="15"/>
  <c r="N69" i="15" s="1"/>
  <c r="M71" i="15"/>
  <c r="M69" i="15" s="1"/>
  <c r="L71" i="15"/>
  <c r="P70" i="15"/>
  <c r="O70" i="15"/>
  <c r="P67" i="15"/>
  <c r="O67" i="15"/>
  <c r="N67" i="15"/>
  <c r="M67" i="15"/>
  <c r="L67" i="15"/>
  <c r="J64" i="15"/>
  <c r="N61" i="15"/>
  <c r="N59" i="15" s="1"/>
  <c r="M61" i="15"/>
  <c r="M59" i="15" s="1"/>
  <c r="L61" i="15"/>
  <c r="L59" i="15" s="1"/>
  <c r="P60" i="15"/>
  <c r="O60" i="15"/>
  <c r="N58" i="15"/>
  <c r="M58" i="15"/>
  <c r="L58" i="15"/>
  <c r="L56" i="15" s="1"/>
  <c r="P57" i="15"/>
  <c r="O57" i="15"/>
  <c r="P54" i="15"/>
  <c r="N54" i="15"/>
  <c r="M54" i="15"/>
  <c r="L54" i="15"/>
  <c r="O54" i="15" s="1"/>
  <c r="N49" i="15"/>
  <c r="N47" i="15" s="1"/>
  <c r="M49" i="15"/>
  <c r="M47" i="15" s="1"/>
  <c r="P47" i="15" s="1"/>
  <c r="L49" i="15"/>
  <c r="O49" i="15" s="1"/>
  <c r="P48" i="15"/>
  <c r="O48" i="15"/>
  <c r="N46" i="15"/>
  <c r="M46" i="15"/>
  <c r="L46" i="15"/>
  <c r="L44" i="15" s="1"/>
  <c r="P45" i="15"/>
  <c r="O45" i="15"/>
  <c r="P42" i="15"/>
  <c r="O42" i="15"/>
  <c r="N42" i="15"/>
  <c r="M42" i="15"/>
  <c r="L42" i="15"/>
  <c r="N36" i="15"/>
  <c r="M36" i="15"/>
  <c r="P36" i="15" s="1"/>
  <c r="P35" i="15"/>
  <c r="N35" i="15"/>
  <c r="M35" i="15"/>
  <c r="L35" i="15"/>
  <c r="N34" i="15"/>
  <c r="P33" i="15"/>
  <c r="N33" i="15"/>
  <c r="N30" i="15" s="1"/>
  <c r="N28" i="15" s="1"/>
  <c r="M33" i="15"/>
  <c r="O32" i="15"/>
  <c r="N32" i="15"/>
  <c r="N29" i="15" s="1"/>
  <c r="M32" i="15"/>
  <c r="M31" i="15" s="1"/>
  <c r="P31" i="15" s="1"/>
  <c r="L32" i="15"/>
  <c r="N31" i="15"/>
  <c r="O25" i="15"/>
  <c r="N25" i="15"/>
  <c r="N15" i="15" s="1"/>
  <c r="M25" i="15"/>
  <c r="L25" i="15"/>
  <c r="P22" i="15"/>
  <c r="N22" i="15"/>
  <c r="M22" i="15"/>
  <c r="L22" i="15"/>
  <c r="L12" i="15" s="1"/>
  <c r="N12" i="15"/>
  <c r="J828" i="14"/>
  <c r="I828" i="14"/>
  <c r="J827" i="14"/>
  <c r="I827" i="14"/>
  <c r="J826" i="14"/>
  <c r="I826" i="14"/>
  <c r="K826" i="14" s="1"/>
  <c r="J825" i="14"/>
  <c r="I825" i="14"/>
  <c r="K825" i="14" s="1"/>
  <c r="J824" i="14"/>
  <c r="I824" i="14"/>
  <c r="J823" i="14"/>
  <c r="I823" i="14"/>
  <c r="J822" i="14"/>
  <c r="I822" i="14"/>
  <c r="J821" i="14"/>
  <c r="I821" i="14"/>
  <c r="P817" i="14"/>
  <c r="O817" i="14"/>
  <c r="P816" i="14"/>
  <c r="O816" i="14"/>
  <c r="N815" i="14"/>
  <c r="M815" i="14"/>
  <c r="P815" i="14" s="1"/>
  <c r="L815" i="14"/>
  <c r="O815" i="14" s="1"/>
  <c r="P810" i="14"/>
  <c r="O810" i="14"/>
  <c r="N810" i="14"/>
  <c r="P809" i="14"/>
  <c r="O809" i="14"/>
  <c r="P808" i="14"/>
  <c r="O808" i="14"/>
  <c r="N808" i="14"/>
  <c r="M808" i="14"/>
  <c r="L808" i="14"/>
  <c r="O807" i="14"/>
  <c r="N807" i="14"/>
  <c r="M807" i="14"/>
  <c r="P807" i="14" s="1"/>
  <c r="L807" i="14"/>
  <c r="N806" i="14"/>
  <c r="M806" i="14"/>
  <c r="P806" i="14" s="1"/>
  <c r="L806" i="14"/>
  <c r="O806" i="14" s="1"/>
  <c r="N805" i="14"/>
  <c r="K804" i="14"/>
  <c r="J804" i="14"/>
  <c r="K802" i="14"/>
  <c r="J801" i="14"/>
  <c r="J800" i="14"/>
  <c r="J785" i="14" s="1"/>
  <c r="I800" i="14"/>
  <c r="I785" i="14" s="1"/>
  <c r="P798" i="14"/>
  <c r="O798" i="14"/>
  <c r="P797" i="14"/>
  <c r="O797" i="14"/>
  <c r="P796" i="14"/>
  <c r="O796" i="14"/>
  <c r="N796" i="14"/>
  <c r="M796" i="14"/>
  <c r="L796" i="14"/>
  <c r="P791" i="14"/>
  <c r="N791" i="14"/>
  <c r="L791" i="14"/>
  <c r="L788" i="14" s="1"/>
  <c r="P790" i="14"/>
  <c r="O790" i="14"/>
  <c r="P789" i="14"/>
  <c r="N789" i="14"/>
  <c r="M789" i="14"/>
  <c r="L789" i="14"/>
  <c r="M788" i="14"/>
  <c r="P788" i="14" s="1"/>
  <c r="N787" i="14"/>
  <c r="M787" i="14"/>
  <c r="P787" i="14" s="1"/>
  <c r="L787" i="14"/>
  <c r="O787" i="14" s="1"/>
  <c r="P782" i="14"/>
  <c r="O782" i="14"/>
  <c r="P781" i="14"/>
  <c r="O781" i="14"/>
  <c r="N780" i="14"/>
  <c r="M780" i="14"/>
  <c r="P780" i="14" s="1"/>
  <c r="L780" i="14"/>
  <c r="O780" i="14" s="1"/>
  <c r="P775" i="14"/>
  <c r="O775" i="14"/>
  <c r="N775" i="14"/>
  <c r="N773" i="14" s="1"/>
  <c r="P774" i="14"/>
  <c r="O774" i="14"/>
  <c r="P773" i="14"/>
  <c r="O773" i="14"/>
  <c r="M773" i="14"/>
  <c r="L773" i="14"/>
  <c r="P772" i="14"/>
  <c r="O772" i="14"/>
  <c r="N772" i="14"/>
  <c r="N770" i="14" s="1"/>
  <c r="M772" i="14"/>
  <c r="L772" i="14"/>
  <c r="O771" i="14"/>
  <c r="N771" i="14"/>
  <c r="M771" i="14"/>
  <c r="P771" i="14" s="1"/>
  <c r="L771" i="14"/>
  <c r="L770" i="14"/>
  <c r="O770" i="14" s="1"/>
  <c r="K769" i="14"/>
  <c r="J769" i="14"/>
  <c r="P766" i="14"/>
  <c r="O766" i="14"/>
  <c r="P765" i="14"/>
  <c r="O765" i="14"/>
  <c r="N764" i="14"/>
  <c r="M764" i="14"/>
  <c r="P764" i="14" s="1"/>
  <c r="L764" i="14"/>
  <c r="O764" i="14" s="1"/>
  <c r="P759" i="14"/>
  <c r="O759" i="14"/>
  <c r="N759" i="14"/>
  <c r="N757" i="14" s="1"/>
  <c r="P758" i="14"/>
  <c r="O758" i="14"/>
  <c r="P757" i="14"/>
  <c r="O757" i="14"/>
  <c r="M757" i="14"/>
  <c r="L757" i="14"/>
  <c r="P756" i="14"/>
  <c r="O756" i="14"/>
  <c r="N756" i="14"/>
  <c r="N754" i="14" s="1"/>
  <c r="M756" i="14"/>
  <c r="L756" i="14"/>
  <c r="O755" i="14"/>
  <c r="N755" i="14"/>
  <c r="M755" i="14"/>
  <c r="P755" i="14" s="1"/>
  <c r="L755" i="14"/>
  <c r="L754" i="14"/>
  <c r="O754" i="14" s="1"/>
  <c r="K753" i="14"/>
  <c r="J753" i="14"/>
  <c r="P749" i="14"/>
  <c r="O749" i="14"/>
  <c r="P748" i="14"/>
  <c r="O748" i="14"/>
  <c r="N747" i="14"/>
  <c r="M747" i="14"/>
  <c r="P747" i="14" s="1"/>
  <c r="L747" i="14"/>
  <c r="O747" i="14" s="1"/>
  <c r="P742" i="14"/>
  <c r="O742" i="14"/>
  <c r="N742" i="14"/>
  <c r="N740" i="14" s="1"/>
  <c r="P741" i="14"/>
  <c r="O741" i="14"/>
  <c r="P740" i="14"/>
  <c r="O740" i="14"/>
  <c r="M740" i="14"/>
  <c r="L740" i="14"/>
  <c r="P739" i="14"/>
  <c r="O739" i="14"/>
  <c r="N739" i="14"/>
  <c r="N737" i="14" s="1"/>
  <c r="M739" i="14"/>
  <c r="L739" i="14"/>
  <c r="O738" i="14"/>
  <c r="N738" i="14"/>
  <c r="M738" i="14"/>
  <c r="P738" i="14" s="1"/>
  <c r="L738" i="14"/>
  <c r="L737" i="14"/>
  <c r="O737" i="14" s="1"/>
  <c r="K736" i="14"/>
  <c r="J736" i="14"/>
  <c r="J729" i="14"/>
  <c r="I729" i="14"/>
  <c r="K729" i="14" s="1"/>
  <c r="J728" i="14"/>
  <c r="I728" i="14"/>
  <c r="K728" i="14" s="1"/>
  <c r="J727" i="14"/>
  <c r="J726" i="14"/>
  <c r="I726" i="14"/>
  <c r="K726" i="14" s="1"/>
  <c r="J725" i="14"/>
  <c r="I725" i="14"/>
  <c r="K725" i="14" s="1"/>
  <c r="J724" i="14"/>
  <c r="J723" i="14"/>
  <c r="I723" i="14"/>
  <c r="K723" i="14" s="1"/>
  <c r="I722" i="14"/>
  <c r="K722" i="14" s="1"/>
  <c r="I721" i="14"/>
  <c r="K721" i="14" s="1"/>
  <c r="J720" i="14"/>
  <c r="I720" i="14"/>
  <c r="K720" i="14" s="1"/>
  <c r="J719" i="14"/>
  <c r="J718" i="14"/>
  <c r="J708" i="14"/>
  <c r="I708" i="14"/>
  <c r="K708" i="14" s="1"/>
  <c r="I707" i="14"/>
  <c r="I704" i="14"/>
  <c r="J701" i="14"/>
  <c r="I701" i="14"/>
  <c r="K701" i="14" s="1"/>
  <c r="J700" i="14"/>
  <c r="I700" i="14"/>
  <c r="K700" i="14" s="1"/>
  <c r="J699" i="14"/>
  <c r="I699" i="14"/>
  <c r="K699" i="14" s="1"/>
  <c r="P697" i="14"/>
  <c r="O697" i="14"/>
  <c r="P696" i="14"/>
  <c r="O696" i="14"/>
  <c r="N695" i="14"/>
  <c r="M695" i="14"/>
  <c r="P695" i="14" s="1"/>
  <c r="L695" i="14"/>
  <c r="O695" i="14" s="1"/>
  <c r="P690" i="14"/>
  <c r="N690" i="14"/>
  <c r="L690" i="14"/>
  <c r="L688" i="14" s="1"/>
  <c r="O688" i="14" s="1"/>
  <c r="P688" i="14"/>
  <c r="N688" i="14"/>
  <c r="M688" i="14"/>
  <c r="N687" i="14"/>
  <c r="M687" i="14"/>
  <c r="P687" i="14" s="1"/>
  <c r="N686" i="14"/>
  <c r="M686" i="14"/>
  <c r="P686" i="14" s="1"/>
  <c r="L686" i="14"/>
  <c r="O686" i="14" s="1"/>
  <c r="N685" i="14"/>
  <c r="J679" i="14"/>
  <c r="J678" i="14" s="1"/>
  <c r="I678" i="14"/>
  <c r="K678" i="14" s="1"/>
  <c r="J675" i="14"/>
  <c r="J669" i="14" s="1"/>
  <c r="J654" i="14" s="1"/>
  <c r="I671" i="14"/>
  <c r="K671" i="14" s="1"/>
  <c r="I670" i="14"/>
  <c r="K670" i="14" s="1"/>
  <c r="I669" i="14"/>
  <c r="K672" i="14" s="1"/>
  <c r="P667" i="14"/>
  <c r="O667" i="14"/>
  <c r="P666" i="14"/>
  <c r="O666" i="14"/>
  <c r="O665" i="14"/>
  <c r="N665" i="14"/>
  <c r="M665" i="14"/>
  <c r="P665" i="14" s="1"/>
  <c r="L665" i="14"/>
  <c r="P660" i="14"/>
  <c r="N660" i="14"/>
  <c r="N657" i="14" s="1"/>
  <c r="N655" i="14" s="1"/>
  <c r="L660" i="14"/>
  <c r="O660" i="14" s="1"/>
  <c r="P659" i="14"/>
  <c r="O659" i="14"/>
  <c r="N658" i="14"/>
  <c r="M658" i="14"/>
  <c r="P658" i="14" s="1"/>
  <c r="M657" i="14"/>
  <c r="P657" i="14" s="1"/>
  <c r="P656" i="14"/>
  <c r="N656" i="14"/>
  <c r="M656" i="14"/>
  <c r="M655" i="14" s="1"/>
  <c r="P655" i="14" s="1"/>
  <c r="L656" i="14"/>
  <c r="K652" i="14"/>
  <c r="J652" i="14"/>
  <c r="J651" i="14"/>
  <c r="J628" i="14" s="1"/>
  <c r="I651" i="14"/>
  <c r="K650" i="14"/>
  <c r="J650" i="14"/>
  <c r="J649" i="14"/>
  <c r="I649" i="14"/>
  <c r="K648" i="14"/>
  <c r="J648" i="14"/>
  <c r="J647" i="14"/>
  <c r="I647" i="14"/>
  <c r="K646" i="14"/>
  <c r="J646" i="14"/>
  <c r="K645" i="14"/>
  <c r="J645" i="14"/>
  <c r="I644" i="14"/>
  <c r="K644" i="14" s="1"/>
  <c r="I643" i="14"/>
  <c r="K643" i="14" s="1"/>
  <c r="P641" i="14"/>
  <c r="L641" i="14"/>
  <c r="P640" i="14"/>
  <c r="O640" i="14"/>
  <c r="P639" i="14"/>
  <c r="N639" i="14"/>
  <c r="M639" i="14"/>
  <c r="P634" i="14"/>
  <c r="N634" i="14"/>
  <c r="L634" i="14"/>
  <c r="O634" i="14" s="1"/>
  <c r="P633" i="14"/>
  <c r="O633" i="14"/>
  <c r="P632" i="14"/>
  <c r="N632" i="14"/>
  <c r="M632" i="14"/>
  <c r="N631" i="14"/>
  <c r="M631" i="14"/>
  <c r="P631" i="14" s="1"/>
  <c r="N630" i="14"/>
  <c r="N629" i="14" s="1"/>
  <c r="M630" i="14"/>
  <c r="P630" i="14" s="1"/>
  <c r="L630" i="14"/>
  <c r="O630" i="14" s="1"/>
  <c r="M629" i="14"/>
  <c r="P629" i="14" s="1"/>
  <c r="J621" i="14"/>
  <c r="I621" i="14"/>
  <c r="K621" i="14" s="1"/>
  <c r="J620" i="14"/>
  <c r="I620" i="14"/>
  <c r="K620" i="14" s="1"/>
  <c r="K613" i="14"/>
  <c r="J613" i="14"/>
  <c r="K612" i="14"/>
  <c r="J612" i="14"/>
  <c r="K611" i="14"/>
  <c r="J611" i="14"/>
  <c r="J604" i="14"/>
  <c r="J603" i="14"/>
  <c r="J593" i="14" s="1"/>
  <c r="J596" i="14"/>
  <c r="J594" i="14" s="1"/>
  <c r="J595" i="14"/>
  <c r="I594" i="14"/>
  <c r="I593" i="14"/>
  <c r="I592" i="14" s="1"/>
  <c r="J583" i="14"/>
  <c r="J577" i="14" s="1"/>
  <c r="J582" i="14"/>
  <c r="I577" i="14"/>
  <c r="J576" i="14"/>
  <c r="I576" i="14"/>
  <c r="K576" i="14" s="1"/>
  <c r="J569" i="14"/>
  <c r="I569" i="14"/>
  <c r="J568" i="14"/>
  <c r="I568" i="14"/>
  <c r="J561" i="14"/>
  <c r="I561" i="14"/>
  <c r="J560" i="14"/>
  <c r="I560" i="14"/>
  <c r="K560" i="14" s="1"/>
  <c r="J559" i="14"/>
  <c r="J543" i="14" s="1"/>
  <c r="P557" i="14"/>
  <c r="L557" i="14"/>
  <c r="L555" i="14" s="1"/>
  <c r="O555" i="14" s="1"/>
  <c r="P556" i="14"/>
  <c r="O556" i="14"/>
  <c r="N555" i="14"/>
  <c r="N545" i="14" s="1"/>
  <c r="N544" i="14" s="1"/>
  <c r="M555" i="14"/>
  <c r="P555" i="14" s="1"/>
  <c r="P549" i="14"/>
  <c r="N549" i="14"/>
  <c r="N546" i="14" s="1"/>
  <c r="L549" i="14"/>
  <c r="P548" i="14"/>
  <c r="O548" i="14"/>
  <c r="N547" i="14"/>
  <c r="M547" i="14"/>
  <c r="P547" i="14" s="1"/>
  <c r="P546" i="14"/>
  <c r="M546" i="14"/>
  <c r="O545" i="14"/>
  <c r="L545" i="14"/>
  <c r="I542" i="14"/>
  <c r="K542" i="14" s="1"/>
  <c r="I541" i="14"/>
  <c r="K541" i="14" s="1"/>
  <c r="I540" i="14"/>
  <c r="K540" i="14" s="1"/>
  <c r="I539" i="14"/>
  <c r="I538" i="14"/>
  <c r="K538" i="14" s="1"/>
  <c r="I537" i="14"/>
  <c r="P535" i="14"/>
  <c r="L535" i="14"/>
  <c r="O535" i="14" s="1"/>
  <c r="P534" i="14"/>
  <c r="O534" i="14"/>
  <c r="P533" i="14"/>
  <c r="N533" i="14"/>
  <c r="M533" i="14"/>
  <c r="P528" i="14"/>
  <c r="N528" i="14"/>
  <c r="N525" i="14" s="1"/>
  <c r="L528" i="14"/>
  <c r="O528" i="14" s="1"/>
  <c r="P527" i="14"/>
  <c r="O527" i="14"/>
  <c r="P526" i="14"/>
  <c r="N526" i="14"/>
  <c r="M526" i="14"/>
  <c r="L526" i="14"/>
  <c r="O526" i="14" s="1"/>
  <c r="P525" i="14"/>
  <c r="M525" i="14"/>
  <c r="N524" i="14"/>
  <c r="N523" i="14" s="1"/>
  <c r="M524" i="14"/>
  <c r="P524" i="14" s="1"/>
  <c r="L524" i="14"/>
  <c r="O524" i="14" s="1"/>
  <c r="K517" i="14"/>
  <c r="J517" i="14"/>
  <c r="J501" i="14" s="1"/>
  <c r="K516" i="14"/>
  <c r="P514" i="14"/>
  <c r="O514" i="14"/>
  <c r="P513" i="14"/>
  <c r="O513" i="14"/>
  <c r="P512" i="14"/>
  <c r="O512" i="14"/>
  <c r="N512" i="14"/>
  <c r="M512" i="14"/>
  <c r="L512" i="14"/>
  <c r="P507" i="14"/>
  <c r="O507" i="14"/>
  <c r="N507" i="14"/>
  <c r="P506" i="14"/>
  <c r="O506" i="14"/>
  <c r="O505" i="14"/>
  <c r="N505" i="14"/>
  <c r="M505" i="14"/>
  <c r="P505" i="14" s="1"/>
  <c r="L505" i="14"/>
  <c r="N504" i="14"/>
  <c r="M504" i="14"/>
  <c r="P504" i="14" s="1"/>
  <c r="L504" i="14"/>
  <c r="O504" i="14" s="1"/>
  <c r="P503" i="14"/>
  <c r="N503" i="14"/>
  <c r="N502" i="14" s="1"/>
  <c r="M503" i="14"/>
  <c r="L503" i="14"/>
  <c r="O503" i="14" s="1"/>
  <c r="L502" i="14"/>
  <c r="O502" i="14" s="1"/>
  <c r="K501" i="14"/>
  <c r="K500" i="14"/>
  <c r="J500" i="14"/>
  <c r="I498" i="14"/>
  <c r="K498" i="14" s="1"/>
  <c r="I495" i="14"/>
  <c r="K495" i="14" s="1"/>
  <c r="I492" i="14"/>
  <c r="K492" i="14" s="1"/>
  <c r="I489" i="14"/>
  <c r="K489" i="14" s="1"/>
  <c r="I487" i="14"/>
  <c r="K487" i="14" s="1"/>
  <c r="I485" i="14"/>
  <c r="K485" i="14" s="1"/>
  <c r="I483" i="14"/>
  <c r="K483" i="14" s="1"/>
  <c r="P479" i="14"/>
  <c r="L479" i="14"/>
  <c r="L477" i="14" s="1"/>
  <c r="O477" i="14" s="1"/>
  <c r="P478" i="14"/>
  <c r="O478" i="14"/>
  <c r="N477" i="14"/>
  <c r="M477" i="14"/>
  <c r="P477" i="14" s="1"/>
  <c r="P472" i="14"/>
  <c r="N472" i="14"/>
  <c r="N470" i="14" s="1"/>
  <c r="L472" i="14"/>
  <c r="L470" i="14" s="1"/>
  <c r="P471" i="14"/>
  <c r="O471" i="14"/>
  <c r="M470" i="14"/>
  <c r="P470" i="14" s="1"/>
  <c r="N469" i="14"/>
  <c r="M469" i="14"/>
  <c r="P469" i="14" s="1"/>
  <c r="N468" i="14"/>
  <c r="M468" i="14"/>
  <c r="P468" i="14" s="1"/>
  <c r="L468" i="14"/>
  <c r="O468" i="14" s="1"/>
  <c r="J466" i="14"/>
  <c r="I466" i="14"/>
  <c r="K466" i="14" s="1"/>
  <c r="J465" i="14"/>
  <c r="I465" i="14"/>
  <c r="K465" i="14" s="1"/>
  <c r="I464" i="14"/>
  <c r="I463" i="14"/>
  <c r="I462" i="14"/>
  <c r="I460" i="14"/>
  <c r="K460" i="14" s="1"/>
  <c r="K458" i="14"/>
  <c r="P456" i="14"/>
  <c r="L456" i="14"/>
  <c r="O456" i="14" s="1"/>
  <c r="P455" i="14"/>
  <c r="O455" i="14"/>
  <c r="P454" i="14"/>
  <c r="N454" i="14"/>
  <c r="M454" i="14"/>
  <c r="P449" i="14"/>
  <c r="N449" i="14"/>
  <c r="L449" i="14"/>
  <c r="P448" i="14"/>
  <c r="O448" i="14"/>
  <c r="P447" i="14"/>
  <c r="N447" i="14"/>
  <c r="M447" i="14"/>
  <c r="N446" i="14"/>
  <c r="M446" i="14"/>
  <c r="P446" i="14" s="1"/>
  <c r="N445" i="14"/>
  <c r="M445" i="14"/>
  <c r="P445" i="14" s="1"/>
  <c r="L445" i="14"/>
  <c r="O445" i="14" s="1"/>
  <c r="M444" i="14"/>
  <c r="P444" i="14" s="1"/>
  <c r="J443" i="14"/>
  <c r="J442" i="14"/>
  <c r="I441" i="14"/>
  <c r="K441" i="14" s="1"/>
  <c r="I440" i="14"/>
  <c r="K440" i="14" s="1"/>
  <c r="I439" i="14"/>
  <c r="K439" i="14" s="1"/>
  <c r="I438" i="14"/>
  <c r="I437" i="14"/>
  <c r="K437" i="14" s="1"/>
  <c r="I435" i="14"/>
  <c r="I433" i="14" s="1"/>
  <c r="J434" i="14"/>
  <c r="P431" i="14"/>
  <c r="L431" i="14"/>
  <c r="P430" i="14"/>
  <c r="O430" i="14"/>
  <c r="P429" i="14"/>
  <c r="N429" i="14"/>
  <c r="M429" i="14"/>
  <c r="P424" i="14"/>
  <c r="N424" i="14"/>
  <c r="L424" i="14"/>
  <c r="L422" i="14" s="1"/>
  <c r="O422" i="14" s="1"/>
  <c r="P423" i="14"/>
  <c r="O423" i="14"/>
  <c r="P422" i="14"/>
  <c r="N422" i="14"/>
  <c r="M422" i="14"/>
  <c r="N421" i="14"/>
  <c r="M421" i="14"/>
  <c r="P421" i="14" s="1"/>
  <c r="N420" i="14"/>
  <c r="N419" i="14" s="1"/>
  <c r="M420" i="14"/>
  <c r="P420" i="14" s="1"/>
  <c r="L420" i="14"/>
  <c r="J418" i="14"/>
  <c r="K413" i="14"/>
  <c r="K412" i="14"/>
  <c r="N410" i="14"/>
  <c r="N408" i="14" s="1"/>
  <c r="M410" i="14"/>
  <c r="P410" i="14" s="1"/>
  <c r="L410" i="14"/>
  <c r="O410" i="14" s="1"/>
  <c r="P409" i="14"/>
  <c r="O409" i="14"/>
  <c r="N407" i="14"/>
  <c r="M407" i="14"/>
  <c r="L407" i="14"/>
  <c r="P406" i="14"/>
  <c r="O406" i="14"/>
  <c r="O403" i="14"/>
  <c r="N403" i="14"/>
  <c r="M403" i="14"/>
  <c r="L403" i="14"/>
  <c r="K401" i="14"/>
  <c r="J401" i="14"/>
  <c r="I401" i="14"/>
  <c r="K400" i="14"/>
  <c r="K399" i="14"/>
  <c r="N397" i="14"/>
  <c r="N395" i="14" s="1"/>
  <c r="M397" i="14"/>
  <c r="P397" i="14" s="1"/>
  <c r="L397" i="14"/>
  <c r="L395" i="14" s="1"/>
  <c r="O395" i="14" s="1"/>
  <c r="P396" i="14"/>
  <c r="O396" i="14"/>
  <c r="N394" i="14"/>
  <c r="M394" i="14"/>
  <c r="P394" i="14" s="1"/>
  <c r="L394" i="14"/>
  <c r="P393" i="14"/>
  <c r="O393" i="14"/>
  <c r="N390" i="14"/>
  <c r="M390" i="14"/>
  <c r="P390" i="14" s="1"/>
  <c r="L390" i="14"/>
  <c r="K388" i="14"/>
  <c r="J388" i="14"/>
  <c r="I388" i="14"/>
  <c r="J385" i="14"/>
  <c r="I385" i="14"/>
  <c r="K385" i="14" s="1"/>
  <c r="K382" i="14"/>
  <c r="J382" i="14"/>
  <c r="J381" i="14"/>
  <c r="J374" i="14" s="1"/>
  <c r="I381" i="14"/>
  <c r="K380" i="14"/>
  <c r="J380" i="14"/>
  <c r="J379" i="14"/>
  <c r="I379" i="14"/>
  <c r="J378" i="14"/>
  <c r="I378" i="14"/>
  <c r="K377" i="14"/>
  <c r="J377" i="14"/>
  <c r="I374" i="14"/>
  <c r="K373" i="14"/>
  <c r="J373" i="14"/>
  <c r="J372" i="14"/>
  <c r="J365" i="14" s="1"/>
  <c r="I372" i="14"/>
  <c r="K371" i="14"/>
  <c r="J371" i="14"/>
  <c r="J370" i="14"/>
  <c r="I370" i="14"/>
  <c r="J369" i="14"/>
  <c r="I369" i="14"/>
  <c r="K368" i="14"/>
  <c r="J368" i="14"/>
  <c r="I365" i="14"/>
  <c r="K363" i="14"/>
  <c r="J363" i="14"/>
  <c r="J362" i="14"/>
  <c r="J355" i="14" s="1"/>
  <c r="I362" i="14"/>
  <c r="K361" i="14"/>
  <c r="J361" i="14"/>
  <c r="J360" i="14"/>
  <c r="I360" i="14"/>
  <c r="J359" i="14"/>
  <c r="I359" i="14"/>
  <c r="K358" i="14"/>
  <c r="J358" i="14"/>
  <c r="I355" i="14"/>
  <c r="N353" i="14"/>
  <c r="M353" i="14"/>
  <c r="M351" i="14" s="1"/>
  <c r="L353" i="14"/>
  <c r="L351" i="14" s="1"/>
  <c r="P352" i="14"/>
  <c r="O352" i="14"/>
  <c r="N350" i="14"/>
  <c r="N348" i="14" s="1"/>
  <c r="M350" i="14"/>
  <c r="L350" i="14"/>
  <c r="P349" i="14"/>
  <c r="O349" i="14"/>
  <c r="N346" i="14"/>
  <c r="M346" i="14"/>
  <c r="P346" i="14" s="1"/>
  <c r="L346" i="14"/>
  <c r="O346" i="14" s="1"/>
  <c r="J343" i="14"/>
  <c r="J342" i="14"/>
  <c r="J341" i="14"/>
  <c r="J340" i="14"/>
  <c r="I340" i="14"/>
  <c r="J338" i="14"/>
  <c r="I338" i="14"/>
  <c r="N336" i="14"/>
  <c r="N334" i="14" s="1"/>
  <c r="M336" i="14"/>
  <c r="P336" i="14" s="1"/>
  <c r="L336" i="14"/>
  <c r="L334" i="14" s="1"/>
  <c r="O334" i="14" s="1"/>
  <c r="P335" i="14"/>
  <c r="O335" i="14"/>
  <c r="N333" i="14"/>
  <c r="M333" i="14"/>
  <c r="M331" i="14" s="1"/>
  <c r="L333" i="14"/>
  <c r="L331" i="14" s="1"/>
  <c r="P332" i="14"/>
  <c r="O332" i="14"/>
  <c r="O329" i="14"/>
  <c r="N329" i="14"/>
  <c r="M329" i="14"/>
  <c r="P329" i="14" s="1"/>
  <c r="L329" i="14"/>
  <c r="I327" i="14"/>
  <c r="I325" i="14"/>
  <c r="N323" i="14"/>
  <c r="N321" i="14" s="1"/>
  <c r="M323" i="14"/>
  <c r="P323" i="14" s="1"/>
  <c r="L323" i="14"/>
  <c r="O323" i="14" s="1"/>
  <c r="P322" i="14"/>
  <c r="O322" i="14"/>
  <c r="N320" i="14"/>
  <c r="N318" i="14" s="1"/>
  <c r="M320" i="14"/>
  <c r="L320" i="14"/>
  <c r="O320" i="14" s="1"/>
  <c r="P319" i="14"/>
  <c r="O319" i="14"/>
  <c r="N316" i="14"/>
  <c r="M316" i="14"/>
  <c r="P316" i="14" s="1"/>
  <c r="L316" i="14"/>
  <c r="O316" i="14" s="1"/>
  <c r="J314" i="14"/>
  <c r="I312" i="14"/>
  <c r="K312" i="14" s="1"/>
  <c r="I311" i="14"/>
  <c r="K311" i="14" s="1"/>
  <c r="I310" i="14"/>
  <c r="K310" i="14" s="1"/>
  <c r="I309" i="14"/>
  <c r="K309" i="14" s="1"/>
  <c r="N306" i="14"/>
  <c r="N304" i="14" s="1"/>
  <c r="M306" i="14"/>
  <c r="M304" i="14" s="1"/>
  <c r="P304" i="14" s="1"/>
  <c r="L306" i="14"/>
  <c r="P305" i="14"/>
  <c r="O305" i="14"/>
  <c r="N303" i="14"/>
  <c r="N301" i="14" s="1"/>
  <c r="M303" i="14"/>
  <c r="P303" i="14" s="1"/>
  <c r="L303" i="14"/>
  <c r="O303" i="14" s="1"/>
  <c r="P302" i="14"/>
  <c r="O302" i="14"/>
  <c r="P299" i="14"/>
  <c r="O299" i="14"/>
  <c r="N299" i="14"/>
  <c r="M299" i="14"/>
  <c r="L299" i="14"/>
  <c r="J297" i="14"/>
  <c r="I294" i="14"/>
  <c r="K294" i="14" s="1"/>
  <c r="I293" i="14"/>
  <c r="K293" i="14" s="1"/>
  <c r="I291" i="14"/>
  <c r="K291" i="14" s="1"/>
  <c r="I290" i="14"/>
  <c r="K290" i="14" s="1"/>
  <c r="I288" i="14"/>
  <c r="I287" i="14"/>
  <c r="I276" i="14" s="1"/>
  <c r="K276" i="14" s="1"/>
  <c r="N285" i="14"/>
  <c r="N283" i="14" s="1"/>
  <c r="M285" i="14"/>
  <c r="M283" i="14" s="1"/>
  <c r="P283" i="14" s="1"/>
  <c r="L285" i="14"/>
  <c r="L283" i="14" s="1"/>
  <c r="O283" i="14" s="1"/>
  <c r="P284" i="14"/>
  <c r="O284" i="14"/>
  <c r="N282" i="14"/>
  <c r="M282" i="14"/>
  <c r="L282" i="14"/>
  <c r="L280" i="14" s="1"/>
  <c r="P281" i="14"/>
  <c r="O281" i="14"/>
  <c r="P278" i="14"/>
  <c r="O278" i="14"/>
  <c r="N278" i="14"/>
  <c r="M278" i="14"/>
  <c r="L278" i="14"/>
  <c r="J276" i="14"/>
  <c r="I271" i="14"/>
  <c r="I260" i="14" s="1"/>
  <c r="K260" i="14" s="1"/>
  <c r="N269" i="14"/>
  <c r="N267" i="14" s="1"/>
  <c r="M269" i="14"/>
  <c r="L269" i="14"/>
  <c r="P268" i="14"/>
  <c r="O268" i="14"/>
  <c r="N266" i="14"/>
  <c r="N264" i="14" s="1"/>
  <c r="M266" i="14"/>
  <c r="L266" i="14"/>
  <c r="P265" i="14"/>
  <c r="O265" i="14"/>
  <c r="P262" i="14"/>
  <c r="O262" i="14"/>
  <c r="N262" i="14"/>
  <c r="M262" i="14"/>
  <c r="L262" i="14"/>
  <c r="J260" i="14"/>
  <c r="K258" i="14"/>
  <c r="K257" i="14"/>
  <c r="I255" i="14"/>
  <c r="L253" i="14"/>
  <c r="L252" i="14"/>
  <c r="L251" i="14"/>
  <c r="L250" i="14"/>
  <c r="P249" i="14"/>
  <c r="N249" i="14"/>
  <c r="J248" i="14"/>
  <c r="K247" i="14"/>
  <c r="K246" i="14"/>
  <c r="I244" i="14"/>
  <c r="L242" i="14"/>
  <c r="L241" i="14"/>
  <c r="L240" i="14"/>
  <c r="L239" i="14"/>
  <c r="P238" i="14"/>
  <c r="N238" i="14"/>
  <c r="J237" i="14"/>
  <c r="J226" i="14" s="1"/>
  <c r="J180" i="14" s="1"/>
  <c r="J236" i="14"/>
  <c r="I236" i="14"/>
  <c r="K236" i="14" s="1"/>
  <c r="J235" i="14"/>
  <c r="I235" i="14"/>
  <c r="K235" i="14" s="1"/>
  <c r="J233" i="14"/>
  <c r="N231" i="14"/>
  <c r="N230" i="14"/>
  <c r="N229" i="14"/>
  <c r="N228" i="14"/>
  <c r="N227" i="14"/>
  <c r="I225" i="14"/>
  <c r="K225" i="14" s="1"/>
  <c r="I224" i="14"/>
  <c r="I216" i="14" s="1"/>
  <c r="K216" i="14" s="1"/>
  <c r="I223" i="14"/>
  <c r="K223" i="14" s="1"/>
  <c r="L220" i="14"/>
  <c r="L219" i="14"/>
  <c r="L218" i="14"/>
  <c r="P217" i="14"/>
  <c r="N217" i="14"/>
  <c r="J216" i="14"/>
  <c r="I215" i="14"/>
  <c r="I208" i="14" s="1"/>
  <c r="K208" i="14" s="1"/>
  <c r="I214" i="14"/>
  <c r="K214" i="14" s="1"/>
  <c r="L212" i="14"/>
  <c r="L211" i="14"/>
  <c r="L210" i="14"/>
  <c r="P209" i="14"/>
  <c r="N209" i="14"/>
  <c r="J208" i="14"/>
  <c r="K207" i="14"/>
  <c r="K206" i="14"/>
  <c r="I204" i="14"/>
  <c r="K204" i="14" s="1"/>
  <c r="L202" i="14"/>
  <c r="L201" i="14"/>
  <c r="L200" i="14"/>
  <c r="L199" i="14"/>
  <c r="P198" i="14"/>
  <c r="N198" i="14"/>
  <c r="J197" i="14"/>
  <c r="J194" i="14"/>
  <c r="I193" i="14"/>
  <c r="K193" i="14" s="1"/>
  <c r="P191" i="14"/>
  <c r="L191" i="14"/>
  <c r="O191" i="14" s="1"/>
  <c r="J190" i="14"/>
  <c r="N189" i="14"/>
  <c r="N187" i="14" s="1"/>
  <c r="M189" i="14"/>
  <c r="P189" i="14" s="1"/>
  <c r="L189" i="14"/>
  <c r="L187" i="14" s="1"/>
  <c r="O187" i="14" s="1"/>
  <c r="P188" i="14"/>
  <c r="O188" i="14"/>
  <c r="N186" i="14"/>
  <c r="N184" i="14" s="1"/>
  <c r="M186" i="14"/>
  <c r="L186" i="14"/>
  <c r="L184" i="14" s="1"/>
  <c r="P185" i="14"/>
  <c r="O185" i="14"/>
  <c r="O182" i="14"/>
  <c r="N182" i="14"/>
  <c r="M182" i="14"/>
  <c r="P182" i="14" s="1"/>
  <c r="L182" i="14"/>
  <c r="K180" i="14"/>
  <c r="J177" i="14"/>
  <c r="I176" i="14"/>
  <c r="I174" i="14" s="1"/>
  <c r="J174" i="14"/>
  <c r="J164" i="14" s="1"/>
  <c r="N173" i="14"/>
  <c r="N171" i="14" s="1"/>
  <c r="M173" i="14"/>
  <c r="P173" i="14" s="1"/>
  <c r="L173" i="14"/>
  <c r="O173" i="14" s="1"/>
  <c r="P172" i="14"/>
  <c r="O172" i="14"/>
  <c r="N170" i="14"/>
  <c r="M170" i="14"/>
  <c r="L170" i="14"/>
  <c r="P169" i="14"/>
  <c r="O169" i="14"/>
  <c r="P166" i="14"/>
  <c r="N166" i="14"/>
  <c r="M166" i="14"/>
  <c r="L166" i="14"/>
  <c r="O166" i="14" s="1"/>
  <c r="I159" i="14"/>
  <c r="K159" i="14" s="1"/>
  <c r="N157" i="14"/>
  <c r="N155" i="14" s="1"/>
  <c r="M157" i="14"/>
  <c r="M155" i="14" s="1"/>
  <c r="P155" i="14" s="1"/>
  <c r="L157" i="14"/>
  <c r="O157" i="14" s="1"/>
  <c r="P156" i="14"/>
  <c r="O156" i="14"/>
  <c r="N154" i="14"/>
  <c r="N152" i="14" s="1"/>
  <c r="M154" i="14"/>
  <c r="M152" i="14" s="1"/>
  <c r="P152" i="14" s="1"/>
  <c r="L154" i="14"/>
  <c r="P153" i="14"/>
  <c r="O153" i="14"/>
  <c r="O150" i="14"/>
  <c r="N150" i="14"/>
  <c r="M150" i="14"/>
  <c r="P150" i="14" s="1"/>
  <c r="L150" i="14"/>
  <c r="J148" i="14"/>
  <c r="I146" i="14"/>
  <c r="K146" i="14" s="1"/>
  <c r="I145" i="14"/>
  <c r="I144" i="14"/>
  <c r="K144" i="14" s="1"/>
  <c r="N140" i="14"/>
  <c r="N138" i="14" s="1"/>
  <c r="M140" i="14"/>
  <c r="L140" i="14"/>
  <c r="O140" i="14" s="1"/>
  <c r="P139" i="14"/>
  <c r="O139" i="14"/>
  <c r="N137" i="14"/>
  <c r="M137" i="14"/>
  <c r="P137" i="14" s="1"/>
  <c r="L137" i="14"/>
  <c r="O137" i="14" s="1"/>
  <c r="P136" i="14"/>
  <c r="O136" i="14"/>
  <c r="P133" i="14"/>
  <c r="O133" i="14"/>
  <c r="N133" i="14"/>
  <c r="M133" i="14"/>
  <c r="L133" i="14"/>
  <c r="J130" i="14"/>
  <c r="N127" i="14"/>
  <c r="M127" i="14"/>
  <c r="M125" i="14" s="1"/>
  <c r="P125" i="14" s="1"/>
  <c r="L127" i="14"/>
  <c r="O127" i="14" s="1"/>
  <c r="P126" i="14"/>
  <c r="O126" i="14"/>
  <c r="N124" i="14"/>
  <c r="N122" i="14" s="1"/>
  <c r="M124" i="14"/>
  <c r="M122" i="14" s="1"/>
  <c r="P122" i="14" s="1"/>
  <c r="L124" i="14"/>
  <c r="O124" i="14" s="1"/>
  <c r="P123" i="14"/>
  <c r="O123" i="14"/>
  <c r="P120" i="14"/>
  <c r="O120" i="14"/>
  <c r="N120" i="14"/>
  <c r="M120" i="14"/>
  <c r="L120" i="14"/>
  <c r="I116" i="14"/>
  <c r="K116" i="14" s="1"/>
  <c r="I115" i="14"/>
  <c r="I114" i="14"/>
  <c r="K114" i="14" s="1"/>
  <c r="I113" i="14"/>
  <c r="K113" i="14" s="1"/>
  <c r="J112" i="14"/>
  <c r="J111" i="14"/>
  <c r="I111" i="14"/>
  <c r="I110" i="14"/>
  <c r="K110" i="14" s="1"/>
  <c r="I109" i="14"/>
  <c r="K109" i="14" s="1"/>
  <c r="I107" i="14"/>
  <c r="K107" i="14" s="1"/>
  <c r="I106" i="14"/>
  <c r="K106" i="14" s="1"/>
  <c r="I104" i="14"/>
  <c r="K104" i="14" s="1"/>
  <c r="I103" i="14"/>
  <c r="K103" i="14" s="1"/>
  <c r="I102" i="14"/>
  <c r="K102" i="14" s="1"/>
  <c r="J100" i="14"/>
  <c r="I100" i="14"/>
  <c r="K100" i="14" s="1"/>
  <c r="J99" i="14"/>
  <c r="I99" i="14"/>
  <c r="K99" i="14" s="1"/>
  <c r="J98" i="14"/>
  <c r="I98" i="14"/>
  <c r="I86" i="14" s="1"/>
  <c r="N96" i="14"/>
  <c r="N94" i="14" s="1"/>
  <c r="M96" i="14"/>
  <c r="P96" i="14" s="1"/>
  <c r="L96" i="14"/>
  <c r="P95" i="14"/>
  <c r="O95" i="14"/>
  <c r="N93" i="14"/>
  <c r="N91" i="14" s="1"/>
  <c r="M93" i="14"/>
  <c r="L93" i="14"/>
  <c r="P92" i="14"/>
  <c r="O92" i="14"/>
  <c r="N89" i="14"/>
  <c r="M89" i="14"/>
  <c r="L89" i="14"/>
  <c r="J87" i="14"/>
  <c r="I84" i="14"/>
  <c r="K84" i="14" s="1"/>
  <c r="I83" i="14"/>
  <c r="K83" i="14" s="1"/>
  <c r="I82" i="14"/>
  <c r="K82" i="14" s="1"/>
  <c r="I81" i="14"/>
  <c r="K81" i="14" s="1"/>
  <c r="I80" i="14"/>
  <c r="K80" i="14" s="1"/>
  <c r="I79" i="14"/>
  <c r="I78" i="14"/>
  <c r="K78" i="14" s="1"/>
  <c r="J77" i="14"/>
  <c r="J76" i="14"/>
  <c r="J64" i="14" s="1"/>
  <c r="N74" i="14"/>
  <c r="N72" i="14" s="1"/>
  <c r="M74" i="14"/>
  <c r="P74" i="14" s="1"/>
  <c r="L74" i="14"/>
  <c r="O74" i="14" s="1"/>
  <c r="P73" i="14"/>
  <c r="O73" i="14"/>
  <c r="N71" i="14"/>
  <c r="N69" i="14" s="1"/>
  <c r="M71" i="14"/>
  <c r="P71" i="14" s="1"/>
  <c r="L71" i="14"/>
  <c r="O71" i="14" s="1"/>
  <c r="P70" i="14"/>
  <c r="O70" i="14"/>
  <c r="P67" i="14"/>
  <c r="N67" i="14"/>
  <c r="M67" i="14"/>
  <c r="L67" i="14"/>
  <c r="J65" i="14"/>
  <c r="N61" i="14"/>
  <c r="N59" i="14" s="1"/>
  <c r="M61" i="14"/>
  <c r="M59" i="14" s="1"/>
  <c r="P59" i="14" s="1"/>
  <c r="L61" i="14"/>
  <c r="L59" i="14" s="1"/>
  <c r="O59" i="14" s="1"/>
  <c r="P60" i="14"/>
  <c r="O60" i="14"/>
  <c r="N58" i="14"/>
  <c r="N56" i="14" s="1"/>
  <c r="M58" i="14"/>
  <c r="M56" i="14" s="1"/>
  <c r="L58" i="14"/>
  <c r="L56" i="14" s="1"/>
  <c r="P57" i="14"/>
  <c r="O57" i="14"/>
  <c r="O54" i="14"/>
  <c r="N54" i="14"/>
  <c r="M54" i="14"/>
  <c r="P54" i="14" s="1"/>
  <c r="L54" i="14"/>
  <c r="N49" i="14"/>
  <c r="M49" i="14"/>
  <c r="L49" i="14"/>
  <c r="O49" i="14" s="1"/>
  <c r="P48" i="14"/>
  <c r="O48" i="14"/>
  <c r="N46" i="14"/>
  <c r="N44" i="14" s="1"/>
  <c r="M46" i="14"/>
  <c r="L46" i="14"/>
  <c r="P45" i="14"/>
  <c r="O45" i="14"/>
  <c r="P42" i="14"/>
  <c r="N42" i="14"/>
  <c r="M42" i="14"/>
  <c r="L42" i="14"/>
  <c r="N36" i="14"/>
  <c r="M36" i="14"/>
  <c r="P36" i="14" s="1"/>
  <c r="N35" i="14"/>
  <c r="N29" i="14" s="1"/>
  <c r="N28" i="14" s="1"/>
  <c r="M35" i="14"/>
  <c r="M15" i="14" s="1"/>
  <c r="L35" i="14"/>
  <c r="O35" i="14" s="1"/>
  <c r="M34" i="14"/>
  <c r="P34" i="14" s="1"/>
  <c r="P33" i="14"/>
  <c r="N33" i="14"/>
  <c r="N30" i="14" s="1"/>
  <c r="M33" i="14"/>
  <c r="P32" i="14"/>
  <c r="O32" i="14"/>
  <c r="N32" i="14"/>
  <c r="M32" i="14"/>
  <c r="M31" i="14" s="1"/>
  <c r="P31" i="14" s="1"/>
  <c r="L32" i="14"/>
  <c r="M30" i="14"/>
  <c r="P30" i="14" s="1"/>
  <c r="L29" i="14"/>
  <c r="O29" i="14" s="1"/>
  <c r="P25" i="14"/>
  <c r="O25" i="14"/>
  <c r="N25" i="14"/>
  <c r="M25" i="14"/>
  <c r="L25" i="14"/>
  <c r="N22" i="14"/>
  <c r="M22" i="14"/>
  <c r="P22" i="14" s="1"/>
  <c r="L22" i="14"/>
  <c r="L15" i="14"/>
  <c r="O15" i="14" s="1"/>
  <c r="M12" i="14"/>
  <c r="J828" i="13"/>
  <c r="I828" i="13"/>
  <c r="J827" i="13"/>
  <c r="I827" i="13"/>
  <c r="J826" i="13"/>
  <c r="I826" i="13"/>
  <c r="K826" i="13" s="1"/>
  <c r="J825" i="13"/>
  <c r="I825" i="13"/>
  <c r="K825" i="13" s="1"/>
  <c r="J824" i="13"/>
  <c r="I824" i="13"/>
  <c r="J823" i="13"/>
  <c r="I823" i="13"/>
  <c r="J822" i="13"/>
  <c r="I822" i="13"/>
  <c r="J821" i="13"/>
  <c r="I821" i="13"/>
  <c r="P817" i="13"/>
  <c r="O817" i="13"/>
  <c r="P816" i="13"/>
  <c r="O816" i="13"/>
  <c r="P815" i="13"/>
  <c r="N815" i="13"/>
  <c r="M815" i="13"/>
  <c r="L815" i="13"/>
  <c r="O815" i="13" s="1"/>
  <c r="P810" i="13"/>
  <c r="O810" i="13"/>
  <c r="N810" i="13"/>
  <c r="P809" i="13"/>
  <c r="O809" i="13"/>
  <c r="P808" i="13"/>
  <c r="O808" i="13"/>
  <c r="N808" i="13"/>
  <c r="M808" i="13"/>
  <c r="L808" i="13"/>
  <c r="O807" i="13"/>
  <c r="N807" i="13"/>
  <c r="M807" i="13"/>
  <c r="P807" i="13" s="1"/>
  <c r="L807" i="13"/>
  <c r="N806" i="13"/>
  <c r="M806" i="13"/>
  <c r="P806" i="13" s="1"/>
  <c r="L806" i="13"/>
  <c r="O806" i="13" s="1"/>
  <c r="N805" i="13"/>
  <c r="K804" i="13"/>
  <c r="J804" i="13"/>
  <c r="K802" i="13"/>
  <c r="J801" i="13"/>
  <c r="J800" i="13"/>
  <c r="J785" i="13" s="1"/>
  <c r="I800" i="13"/>
  <c r="I785" i="13" s="1"/>
  <c r="K785" i="13" s="1"/>
  <c r="P798" i="13"/>
  <c r="O798" i="13"/>
  <c r="P797" i="13"/>
  <c r="O797" i="13"/>
  <c r="P796" i="13"/>
  <c r="O796" i="13"/>
  <c r="N796" i="13"/>
  <c r="M796" i="13"/>
  <c r="L796" i="13"/>
  <c r="P791" i="13"/>
  <c r="N791" i="13"/>
  <c r="N788" i="13" s="1"/>
  <c r="N786" i="13" s="1"/>
  <c r="L791" i="13"/>
  <c r="O791" i="13" s="1"/>
  <c r="P790" i="13"/>
  <c r="O790" i="13"/>
  <c r="P789" i="13"/>
  <c r="N789" i="13"/>
  <c r="M789" i="13"/>
  <c r="L789" i="13"/>
  <c r="O789" i="13" s="1"/>
  <c r="M788" i="13"/>
  <c r="P788" i="13" s="1"/>
  <c r="N787" i="13"/>
  <c r="M787" i="13"/>
  <c r="P787" i="13" s="1"/>
  <c r="L787" i="13"/>
  <c r="O787" i="13" s="1"/>
  <c r="P782" i="13"/>
  <c r="O782" i="13"/>
  <c r="P781" i="13"/>
  <c r="O781" i="13"/>
  <c r="N780" i="13"/>
  <c r="M780" i="13"/>
  <c r="P780" i="13" s="1"/>
  <c r="L780" i="13"/>
  <c r="O780" i="13" s="1"/>
  <c r="P775" i="13"/>
  <c r="O775" i="13"/>
  <c r="N775" i="13"/>
  <c r="N773" i="13" s="1"/>
  <c r="P774" i="13"/>
  <c r="O774" i="13"/>
  <c r="P773" i="13"/>
  <c r="O773" i="13"/>
  <c r="M773" i="13"/>
  <c r="L773" i="13"/>
  <c r="P772" i="13"/>
  <c r="O772" i="13"/>
  <c r="N772" i="13"/>
  <c r="N770" i="13" s="1"/>
  <c r="M772" i="13"/>
  <c r="L772" i="13"/>
  <c r="O771" i="13"/>
  <c r="N771" i="13"/>
  <c r="M771" i="13"/>
  <c r="P771" i="13" s="1"/>
  <c r="L771" i="13"/>
  <c r="L770" i="13"/>
  <c r="O770" i="13" s="1"/>
  <c r="K769" i="13"/>
  <c r="J769" i="13"/>
  <c r="P766" i="13"/>
  <c r="O766" i="13"/>
  <c r="P765" i="13"/>
  <c r="O765" i="13"/>
  <c r="N764" i="13"/>
  <c r="M764" i="13"/>
  <c r="P764" i="13" s="1"/>
  <c r="L764" i="13"/>
  <c r="O764" i="13" s="1"/>
  <c r="P759" i="13"/>
  <c r="O759" i="13"/>
  <c r="N759" i="13"/>
  <c r="N757" i="13" s="1"/>
  <c r="P758" i="13"/>
  <c r="O758" i="13"/>
  <c r="P757" i="13"/>
  <c r="O757" i="13"/>
  <c r="M757" i="13"/>
  <c r="L757" i="13"/>
  <c r="P756" i="13"/>
  <c r="O756" i="13"/>
  <c r="N756" i="13"/>
  <c r="N754" i="13" s="1"/>
  <c r="M756" i="13"/>
  <c r="L756" i="13"/>
  <c r="O755" i="13"/>
  <c r="N755" i="13"/>
  <c r="M755" i="13"/>
  <c r="P755" i="13" s="1"/>
  <c r="L755" i="13"/>
  <c r="L754" i="13"/>
  <c r="O754" i="13" s="1"/>
  <c r="K753" i="13"/>
  <c r="J753" i="13"/>
  <c r="P749" i="13"/>
  <c r="O749" i="13"/>
  <c r="P748" i="13"/>
  <c r="O748" i="13"/>
  <c r="N747" i="13"/>
  <c r="M747" i="13"/>
  <c r="P747" i="13" s="1"/>
  <c r="L747" i="13"/>
  <c r="O747" i="13" s="1"/>
  <c r="P742" i="13"/>
  <c r="O742" i="13"/>
  <c r="N742" i="13"/>
  <c r="N740" i="13" s="1"/>
  <c r="P741" i="13"/>
  <c r="O741" i="13"/>
  <c r="P740" i="13"/>
  <c r="O740" i="13"/>
  <c r="M740" i="13"/>
  <c r="L740" i="13"/>
  <c r="P739" i="13"/>
  <c r="O739" i="13"/>
  <c r="N739" i="13"/>
  <c r="M739" i="13"/>
  <c r="L739" i="13"/>
  <c r="O738" i="13"/>
  <c r="N738" i="13"/>
  <c r="M738" i="13"/>
  <c r="P738" i="13" s="1"/>
  <c r="L738" i="13"/>
  <c r="N737" i="13"/>
  <c r="L737" i="13"/>
  <c r="O737" i="13" s="1"/>
  <c r="K736" i="13"/>
  <c r="J736" i="13"/>
  <c r="J729" i="13"/>
  <c r="I729" i="13"/>
  <c r="K729" i="13" s="1"/>
  <c r="J728" i="13"/>
  <c r="I728" i="13"/>
  <c r="K728" i="13" s="1"/>
  <c r="J727" i="13"/>
  <c r="J726" i="13"/>
  <c r="I726" i="13"/>
  <c r="K726" i="13" s="1"/>
  <c r="J725" i="13"/>
  <c r="I725" i="13"/>
  <c r="K725" i="13" s="1"/>
  <c r="J724" i="13"/>
  <c r="J723" i="13"/>
  <c r="I723" i="13"/>
  <c r="K723" i="13" s="1"/>
  <c r="I722" i="13"/>
  <c r="K722" i="13" s="1"/>
  <c r="I721" i="13"/>
  <c r="K721" i="13" s="1"/>
  <c r="J720" i="13"/>
  <c r="I720" i="13"/>
  <c r="K720" i="13" s="1"/>
  <c r="J719" i="13"/>
  <c r="J718" i="13"/>
  <c r="J708" i="13"/>
  <c r="I708" i="13"/>
  <c r="K708" i="13" s="1"/>
  <c r="I707" i="13"/>
  <c r="I704" i="13"/>
  <c r="J701" i="13"/>
  <c r="I701" i="13"/>
  <c r="K701" i="13" s="1"/>
  <c r="J700" i="13"/>
  <c r="I700" i="13"/>
  <c r="K700" i="13" s="1"/>
  <c r="J699" i="13"/>
  <c r="I699" i="13"/>
  <c r="K699" i="13" s="1"/>
  <c r="P697" i="13"/>
  <c r="O697" i="13"/>
  <c r="P696" i="13"/>
  <c r="O696" i="13"/>
  <c r="N695" i="13"/>
  <c r="M695" i="13"/>
  <c r="P695" i="13" s="1"/>
  <c r="L695" i="13"/>
  <c r="O695" i="13" s="1"/>
  <c r="P690" i="13"/>
  <c r="N690" i="13"/>
  <c r="L690" i="13"/>
  <c r="L688" i="13" s="1"/>
  <c r="O688" i="13" s="1"/>
  <c r="P688" i="13"/>
  <c r="N688" i="13"/>
  <c r="M688" i="13"/>
  <c r="N687" i="13"/>
  <c r="M687" i="13"/>
  <c r="P687" i="13" s="1"/>
  <c r="N686" i="13"/>
  <c r="N685" i="13" s="1"/>
  <c r="M686" i="13"/>
  <c r="P686" i="13" s="1"/>
  <c r="L686" i="13"/>
  <c r="O686" i="13" s="1"/>
  <c r="M685" i="13"/>
  <c r="P685" i="13" s="1"/>
  <c r="J679" i="13"/>
  <c r="J678" i="13" s="1"/>
  <c r="I678" i="13"/>
  <c r="K678" i="13" s="1"/>
  <c r="J675" i="13"/>
  <c r="J669" i="13" s="1"/>
  <c r="J654" i="13" s="1"/>
  <c r="I671" i="13"/>
  <c r="K671" i="13" s="1"/>
  <c r="I670" i="13"/>
  <c r="K670" i="13" s="1"/>
  <c r="I669" i="13"/>
  <c r="K672" i="13" s="1"/>
  <c r="P667" i="13"/>
  <c r="O667" i="13"/>
  <c r="P666" i="13"/>
  <c r="O666" i="13"/>
  <c r="N665" i="13"/>
  <c r="M665" i="13"/>
  <c r="P665" i="13" s="1"/>
  <c r="L665" i="13"/>
  <c r="O665" i="13" s="1"/>
  <c r="P660" i="13"/>
  <c r="N660" i="13"/>
  <c r="N657" i="13" s="1"/>
  <c r="N655" i="13" s="1"/>
  <c r="L660" i="13"/>
  <c r="P659" i="13"/>
  <c r="O659" i="13"/>
  <c r="N658" i="13"/>
  <c r="M658" i="13"/>
  <c r="P658" i="13" s="1"/>
  <c r="P657" i="13"/>
  <c r="M657" i="13"/>
  <c r="P656" i="13"/>
  <c r="O656" i="13"/>
  <c r="N656" i="13"/>
  <c r="M656" i="13"/>
  <c r="M655" i="13" s="1"/>
  <c r="P655" i="13" s="1"/>
  <c r="L656" i="13"/>
  <c r="K652" i="13"/>
  <c r="J652" i="13"/>
  <c r="J651" i="13"/>
  <c r="J628" i="13" s="1"/>
  <c r="I651" i="13"/>
  <c r="K651" i="13" s="1"/>
  <c r="K650" i="13"/>
  <c r="J650" i="13"/>
  <c r="J649" i="13"/>
  <c r="I649" i="13"/>
  <c r="K649" i="13" s="1"/>
  <c r="K648" i="13"/>
  <c r="J648" i="13"/>
  <c r="J647" i="13"/>
  <c r="I647" i="13"/>
  <c r="K647" i="13" s="1"/>
  <c r="K646" i="13"/>
  <c r="J646" i="13"/>
  <c r="K645" i="13"/>
  <c r="J645" i="13"/>
  <c r="I644" i="13"/>
  <c r="K644" i="13" s="1"/>
  <c r="I643" i="13"/>
  <c r="K643" i="13" s="1"/>
  <c r="P641" i="13"/>
  <c r="L641" i="13"/>
  <c r="O641" i="13" s="1"/>
  <c r="P640" i="13"/>
  <c r="O640" i="13"/>
  <c r="P639" i="13"/>
  <c r="N639" i="13"/>
  <c r="M639" i="13"/>
  <c r="L639" i="13"/>
  <c r="O639" i="13" s="1"/>
  <c r="P634" i="13"/>
  <c r="N634" i="13"/>
  <c r="L634" i="13"/>
  <c r="O634" i="13" s="1"/>
  <c r="P633" i="13"/>
  <c r="O633" i="13"/>
  <c r="N632" i="13"/>
  <c r="M632" i="13"/>
  <c r="P632" i="13" s="1"/>
  <c r="N631" i="13"/>
  <c r="M631" i="13"/>
  <c r="P631" i="13" s="1"/>
  <c r="N630" i="13"/>
  <c r="N629" i="13" s="1"/>
  <c r="M630" i="13"/>
  <c r="M629" i="13" s="1"/>
  <c r="P629" i="13" s="1"/>
  <c r="L630" i="13"/>
  <c r="O630" i="13" s="1"/>
  <c r="J621" i="13"/>
  <c r="I621" i="13"/>
  <c r="K621" i="13" s="1"/>
  <c r="J620" i="13"/>
  <c r="I620" i="13"/>
  <c r="K620" i="13" s="1"/>
  <c r="K613" i="13"/>
  <c r="J613" i="13"/>
  <c r="K612" i="13"/>
  <c r="J612" i="13"/>
  <c r="K611" i="13"/>
  <c r="J611" i="13"/>
  <c r="J604" i="13"/>
  <c r="J603" i="13"/>
  <c r="J596" i="13"/>
  <c r="J594" i="13" s="1"/>
  <c r="J595" i="13"/>
  <c r="I594" i="13"/>
  <c r="J593" i="13"/>
  <c r="J592" i="13" s="1"/>
  <c r="I593" i="13"/>
  <c r="J583" i="13"/>
  <c r="J582" i="13"/>
  <c r="J576" i="13" s="1"/>
  <c r="J577" i="13"/>
  <c r="I577" i="13"/>
  <c r="K577" i="13" s="1"/>
  <c r="I576" i="13"/>
  <c r="J569" i="13"/>
  <c r="I569" i="13"/>
  <c r="K569" i="13" s="1"/>
  <c r="J568" i="13"/>
  <c r="I568" i="13"/>
  <c r="K568" i="13" s="1"/>
  <c r="J561" i="13"/>
  <c r="I561" i="13"/>
  <c r="K561" i="13" s="1"/>
  <c r="J560" i="13"/>
  <c r="I560" i="13"/>
  <c r="K560" i="13" s="1"/>
  <c r="J559" i="13"/>
  <c r="P557" i="13"/>
  <c r="L557" i="13"/>
  <c r="O557" i="13" s="1"/>
  <c r="P556" i="13"/>
  <c r="O556" i="13"/>
  <c r="N555" i="13"/>
  <c r="M555" i="13"/>
  <c r="P549" i="13"/>
  <c r="N549" i="13"/>
  <c r="N546" i="13" s="1"/>
  <c r="L549" i="13"/>
  <c r="O549" i="13" s="1"/>
  <c r="P548" i="13"/>
  <c r="O548" i="13"/>
  <c r="N547" i="13"/>
  <c r="M547" i="13"/>
  <c r="P547" i="13" s="1"/>
  <c r="P546" i="13"/>
  <c r="M546" i="13"/>
  <c r="O545" i="13"/>
  <c r="N545" i="13"/>
  <c r="N544" i="13" s="1"/>
  <c r="L545" i="13"/>
  <c r="J543" i="13"/>
  <c r="I542" i="13"/>
  <c r="K542" i="13" s="1"/>
  <c r="I541" i="13"/>
  <c r="K541" i="13" s="1"/>
  <c r="I540" i="13"/>
  <c r="K540" i="13" s="1"/>
  <c r="I539" i="13"/>
  <c r="K539" i="13" s="1"/>
  <c r="I538" i="13"/>
  <c r="K538" i="13" s="1"/>
  <c r="I537" i="13"/>
  <c r="I522" i="13" s="1"/>
  <c r="K522" i="13" s="1"/>
  <c r="P535" i="13"/>
  <c r="L535" i="13"/>
  <c r="O535" i="13" s="1"/>
  <c r="P534" i="13"/>
  <c r="O534" i="13"/>
  <c r="P533" i="13"/>
  <c r="N533" i="13"/>
  <c r="M533" i="13"/>
  <c r="P528" i="13"/>
  <c r="N528" i="13"/>
  <c r="N525" i="13" s="1"/>
  <c r="N523" i="13" s="1"/>
  <c r="L528" i="13"/>
  <c r="P527" i="13"/>
  <c r="O527" i="13"/>
  <c r="P526" i="13"/>
  <c r="N526" i="13"/>
  <c r="M526" i="13"/>
  <c r="M525" i="13"/>
  <c r="P525" i="13" s="1"/>
  <c r="O524" i="13"/>
  <c r="N524" i="13"/>
  <c r="M524" i="13"/>
  <c r="P524" i="13" s="1"/>
  <c r="L524" i="13"/>
  <c r="M523" i="13"/>
  <c r="P523" i="13" s="1"/>
  <c r="K517" i="13"/>
  <c r="J517" i="13"/>
  <c r="K516" i="13"/>
  <c r="P514" i="13"/>
  <c r="O514" i="13"/>
  <c r="P513" i="13"/>
  <c r="O513" i="13"/>
  <c r="P512" i="13"/>
  <c r="O512" i="13"/>
  <c r="N512" i="13"/>
  <c r="M512" i="13"/>
  <c r="L512" i="13"/>
  <c r="P507" i="13"/>
  <c r="O507" i="13"/>
  <c r="N507" i="13"/>
  <c r="N505" i="13" s="1"/>
  <c r="P506" i="13"/>
  <c r="O506" i="13"/>
  <c r="M505" i="13"/>
  <c r="P505" i="13" s="1"/>
  <c r="L505" i="13"/>
  <c r="O505" i="13" s="1"/>
  <c r="N504" i="13"/>
  <c r="M504" i="13"/>
  <c r="P504" i="13" s="1"/>
  <c r="L504" i="13"/>
  <c r="O504" i="13" s="1"/>
  <c r="N503" i="13"/>
  <c r="M503" i="13"/>
  <c r="M502" i="13" s="1"/>
  <c r="P502" i="13" s="1"/>
  <c r="L503" i="13"/>
  <c r="O503" i="13" s="1"/>
  <c r="K501" i="13"/>
  <c r="J501" i="13"/>
  <c r="K500" i="13"/>
  <c r="J500" i="13"/>
  <c r="I498" i="13"/>
  <c r="K498" i="13" s="1"/>
  <c r="I495" i="13"/>
  <c r="K495" i="13" s="1"/>
  <c r="I492" i="13"/>
  <c r="K492" i="13" s="1"/>
  <c r="I489" i="13"/>
  <c r="K489" i="13" s="1"/>
  <c r="I487" i="13"/>
  <c r="K487" i="13" s="1"/>
  <c r="I485" i="13"/>
  <c r="K485" i="13" s="1"/>
  <c r="I483" i="13"/>
  <c r="K483" i="13" s="1"/>
  <c r="P479" i="13"/>
  <c r="L479" i="13"/>
  <c r="L477" i="13" s="1"/>
  <c r="O477" i="13" s="1"/>
  <c r="P478" i="13"/>
  <c r="O478" i="13"/>
  <c r="P477" i="13"/>
  <c r="N477" i="13"/>
  <c r="M477" i="13"/>
  <c r="P472" i="13"/>
  <c r="N472" i="13"/>
  <c r="L472" i="13"/>
  <c r="L470" i="13" s="1"/>
  <c r="P471" i="13"/>
  <c r="O471" i="13"/>
  <c r="M470" i="13"/>
  <c r="P470" i="13" s="1"/>
  <c r="M469" i="13"/>
  <c r="P469" i="13" s="1"/>
  <c r="P468" i="13"/>
  <c r="N468" i="13"/>
  <c r="M468" i="13"/>
  <c r="M467" i="13" s="1"/>
  <c r="P467" i="13" s="1"/>
  <c r="L468" i="13"/>
  <c r="O468" i="13" s="1"/>
  <c r="J466" i="13"/>
  <c r="I466" i="13"/>
  <c r="K466" i="13" s="1"/>
  <c r="J465" i="13"/>
  <c r="I465" i="13"/>
  <c r="K465" i="13" s="1"/>
  <c r="I464" i="13"/>
  <c r="I463" i="13"/>
  <c r="I462" i="13"/>
  <c r="K462" i="13" s="1"/>
  <c r="I460" i="13"/>
  <c r="K460" i="13" s="1"/>
  <c r="K458" i="13"/>
  <c r="P456" i="13"/>
  <c r="L456" i="13"/>
  <c r="O456" i="13" s="1"/>
  <c r="P455" i="13"/>
  <c r="O455" i="13"/>
  <c r="P454" i="13"/>
  <c r="N454" i="13"/>
  <c r="M454" i="13"/>
  <c r="P449" i="13"/>
  <c r="N449" i="13"/>
  <c r="N446" i="13" s="1"/>
  <c r="L449" i="13"/>
  <c r="P448" i="13"/>
  <c r="O448" i="13"/>
  <c r="N447" i="13"/>
  <c r="M447" i="13"/>
  <c r="P447" i="13" s="1"/>
  <c r="M446" i="13"/>
  <c r="P446" i="13" s="1"/>
  <c r="O445" i="13"/>
  <c r="N445" i="13"/>
  <c r="N444" i="13" s="1"/>
  <c r="M445" i="13"/>
  <c r="P445" i="13" s="1"/>
  <c r="L445" i="13"/>
  <c r="M444" i="13"/>
  <c r="P444" i="13" s="1"/>
  <c r="J443" i="13"/>
  <c r="J442" i="13"/>
  <c r="I442" i="13"/>
  <c r="I441" i="13"/>
  <c r="K441" i="13" s="1"/>
  <c r="I440" i="13"/>
  <c r="K440" i="13" s="1"/>
  <c r="I439" i="13"/>
  <c r="K439" i="13" s="1"/>
  <c r="I438" i="13"/>
  <c r="K438" i="13" s="1"/>
  <c r="I437" i="13"/>
  <c r="K437" i="13" s="1"/>
  <c r="I435" i="13"/>
  <c r="J434" i="13"/>
  <c r="J418" i="13" s="1"/>
  <c r="P431" i="13"/>
  <c r="L431" i="13"/>
  <c r="O431" i="13" s="1"/>
  <c r="P430" i="13"/>
  <c r="O430" i="13"/>
  <c r="P429" i="13"/>
  <c r="N429" i="13"/>
  <c r="M429" i="13"/>
  <c r="L429" i="13"/>
  <c r="O429" i="13" s="1"/>
  <c r="P424" i="13"/>
  <c r="N424" i="13"/>
  <c r="N421" i="13" s="1"/>
  <c r="L424" i="13"/>
  <c r="P423" i="13"/>
  <c r="O423" i="13"/>
  <c r="N422" i="13"/>
  <c r="M422" i="13"/>
  <c r="P422" i="13" s="1"/>
  <c r="P421" i="13"/>
  <c r="M421" i="13"/>
  <c r="O420" i="13"/>
  <c r="N420" i="13"/>
  <c r="N419" i="13" s="1"/>
  <c r="M420" i="13"/>
  <c r="P420" i="13" s="1"/>
  <c r="L420" i="13"/>
  <c r="M419" i="13"/>
  <c r="K413" i="13"/>
  <c r="K412" i="13"/>
  <c r="N410" i="13"/>
  <c r="N408" i="13" s="1"/>
  <c r="M410" i="13"/>
  <c r="P410" i="13" s="1"/>
  <c r="L410" i="13"/>
  <c r="O410" i="13" s="1"/>
  <c r="P409" i="13"/>
  <c r="O409" i="13"/>
  <c r="N407" i="13"/>
  <c r="N405" i="13" s="1"/>
  <c r="M407" i="13"/>
  <c r="M405" i="13" s="1"/>
  <c r="P405" i="13" s="1"/>
  <c r="L407" i="13"/>
  <c r="P406" i="13"/>
  <c r="O406" i="13"/>
  <c r="P403" i="13"/>
  <c r="O403" i="13"/>
  <c r="N403" i="13"/>
  <c r="M403" i="13"/>
  <c r="L403" i="13"/>
  <c r="J401" i="13"/>
  <c r="I401" i="13"/>
  <c r="K401" i="13" s="1"/>
  <c r="K400" i="13"/>
  <c r="K399" i="13"/>
  <c r="N397" i="13"/>
  <c r="N395" i="13" s="1"/>
  <c r="M397" i="13"/>
  <c r="P397" i="13" s="1"/>
  <c r="L397" i="13"/>
  <c r="P396" i="13"/>
  <c r="O396" i="13"/>
  <c r="N394" i="13"/>
  <c r="N392" i="13" s="1"/>
  <c r="M394" i="13"/>
  <c r="P394" i="13" s="1"/>
  <c r="L394" i="13"/>
  <c r="P393" i="13"/>
  <c r="O393" i="13"/>
  <c r="O390" i="13"/>
  <c r="N390" i="13"/>
  <c r="M390" i="13"/>
  <c r="P390" i="13" s="1"/>
  <c r="L390" i="13"/>
  <c r="K388" i="13"/>
  <c r="J388" i="13"/>
  <c r="I388" i="13"/>
  <c r="J385" i="13"/>
  <c r="I385" i="13"/>
  <c r="K382" i="13"/>
  <c r="J382" i="13"/>
  <c r="J381" i="13"/>
  <c r="J374" i="13" s="1"/>
  <c r="I381" i="13"/>
  <c r="K380" i="13"/>
  <c r="J380" i="13"/>
  <c r="J379" i="13"/>
  <c r="I379" i="13"/>
  <c r="J378" i="13"/>
  <c r="I378" i="13"/>
  <c r="K377" i="13"/>
  <c r="J377" i="13"/>
  <c r="I374" i="13"/>
  <c r="K373" i="13"/>
  <c r="J373" i="13"/>
  <c r="J372" i="13"/>
  <c r="J365" i="13" s="1"/>
  <c r="I372" i="13"/>
  <c r="K371" i="13"/>
  <c r="J371" i="13"/>
  <c r="J370" i="13"/>
  <c r="I370" i="13"/>
  <c r="J369" i="13"/>
  <c r="I369" i="13"/>
  <c r="K368" i="13"/>
  <c r="J368" i="13"/>
  <c r="I365" i="13"/>
  <c r="K363" i="13"/>
  <c r="J363" i="13"/>
  <c r="J362" i="13"/>
  <c r="J355" i="13" s="1"/>
  <c r="I362" i="13"/>
  <c r="K361" i="13"/>
  <c r="J361" i="13"/>
  <c r="J360" i="13"/>
  <c r="I360" i="13"/>
  <c r="J359" i="13"/>
  <c r="I359" i="13"/>
  <c r="K358" i="13"/>
  <c r="J358" i="13"/>
  <c r="I355" i="13"/>
  <c r="N353" i="13"/>
  <c r="N351" i="13" s="1"/>
  <c r="M353" i="13"/>
  <c r="L353" i="13"/>
  <c r="P352" i="13"/>
  <c r="O352" i="13"/>
  <c r="N350" i="13"/>
  <c r="M350" i="13"/>
  <c r="M348" i="13" s="1"/>
  <c r="L350" i="13"/>
  <c r="L348" i="13" s="1"/>
  <c r="P349" i="13"/>
  <c r="O349" i="13"/>
  <c r="N346" i="13"/>
  <c r="M346" i="13"/>
  <c r="P346" i="13" s="1"/>
  <c r="L346" i="13"/>
  <c r="O346" i="13" s="1"/>
  <c r="J343" i="13"/>
  <c r="J342" i="13"/>
  <c r="J341" i="13"/>
  <c r="J340" i="13"/>
  <c r="I340" i="13"/>
  <c r="J338" i="13"/>
  <c r="I338" i="13"/>
  <c r="N336" i="13"/>
  <c r="N334" i="13" s="1"/>
  <c r="M336" i="13"/>
  <c r="P336" i="13" s="1"/>
  <c r="L336" i="13"/>
  <c r="L334" i="13" s="1"/>
  <c r="O334" i="13" s="1"/>
  <c r="P335" i="13"/>
  <c r="O335" i="13"/>
  <c r="N333" i="13"/>
  <c r="M333" i="13"/>
  <c r="M331" i="13" s="1"/>
  <c r="L333" i="13"/>
  <c r="P332" i="13"/>
  <c r="O332" i="13"/>
  <c r="N329" i="13"/>
  <c r="M329" i="13"/>
  <c r="P329" i="13" s="1"/>
  <c r="L329" i="13"/>
  <c r="I327" i="13"/>
  <c r="I325" i="13"/>
  <c r="K325" i="13" s="1"/>
  <c r="N323" i="13"/>
  <c r="M323" i="13"/>
  <c r="P323" i="13" s="1"/>
  <c r="L323" i="13"/>
  <c r="O323" i="13" s="1"/>
  <c r="P322" i="13"/>
  <c r="O322" i="13"/>
  <c r="N320" i="13"/>
  <c r="N318" i="13" s="1"/>
  <c r="M320" i="13"/>
  <c r="L320" i="13"/>
  <c r="O320" i="13" s="1"/>
  <c r="P319" i="13"/>
  <c r="O319" i="13"/>
  <c r="O316" i="13"/>
  <c r="N316" i="13"/>
  <c r="M316" i="13"/>
  <c r="L316" i="13"/>
  <c r="J314" i="13"/>
  <c r="I312" i="13"/>
  <c r="K312" i="13" s="1"/>
  <c r="I311" i="13"/>
  <c r="K311" i="13" s="1"/>
  <c r="I310" i="13"/>
  <c r="K310" i="13" s="1"/>
  <c r="I309" i="13"/>
  <c r="K309" i="13" s="1"/>
  <c r="N306" i="13"/>
  <c r="N304" i="13" s="1"/>
  <c r="M306" i="13"/>
  <c r="P306" i="13" s="1"/>
  <c r="L306" i="13"/>
  <c r="P305" i="13"/>
  <c r="O305" i="13"/>
  <c r="N303" i="13"/>
  <c r="M303" i="13"/>
  <c r="P303" i="13" s="1"/>
  <c r="L303" i="13"/>
  <c r="O303" i="13" s="1"/>
  <c r="P302" i="13"/>
  <c r="O302" i="13"/>
  <c r="O299" i="13"/>
  <c r="N299" i="13"/>
  <c r="M299" i="13"/>
  <c r="L299" i="13"/>
  <c r="J297" i="13"/>
  <c r="I294" i="13"/>
  <c r="K294" i="13" s="1"/>
  <c r="I293" i="13"/>
  <c r="K293" i="13" s="1"/>
  <c r="I291" i="13"/>
  <c r="K291" i="13" s="1"/>
  <c r="I290" i="13"/>
  <c r="K290" i="13" s="1"/>
  <c r="I288" i="13"/>
  <c r="I287" i="13"/>
  <c r="K287" i="13" s="1"/>
  <c r="N285" i="13"/>
  <c r="N283" i="13" s="1"/>
  <c r="M285" i="13"/>
  <c r="P285" i="13" s="1"/>
  <c r="L285" i="13"/>
  <c r="P284" i="13"/>
  <c r="O284" i="13"/>
  <c r="N282" i="13"/>
  <c r="M282" i="13"/>
  <c r="L282" i="13"/>
  <c r="O282" i="13" s="1"/>
  <c r="P281" i="13"/>
  <c r="O281" i="13"/>
  <c r="P278" i="13"/>
  <c r="N278" i="13"/>
  <c r="M278" i="13"/>
  <c r="L278" i="13"/>
  <c r="O278" i="13" s="1"/>
  <c r="J276" i="13"/>
  <c r="I271" i="13"/>
  <c r="K271" i="13" s="1"/>
  <c r="N269" i="13"/>
  <c r="N267" i="13" s="1"/>
  <c r="M269" i="13"/>
  <c r="P269" i="13" s="1"/>
  <c r="L269" i="13"/>
  <c r="O269" i="13" s="1"/>
  <c r="P268" i="13"/>
  <c r="O268" i="13"/>
  <c r="N266" i="13"/>
  <c r="N264" i="13" s="1"/>
  <c r="M266" i="13"/>
  <c r="M264" i="13" s="1"/>
  <c r="L266" i="13"/>
  <c r="P265" i="13"/>
  <c r="O265" i="13"/>
  <c r="O262" i="13"/>
  <c r="N262" i="13"/>
  <c r="M262" i="13"/>
  <c r="L262" i="13"/>
  <c r="J260" i="13"/>
  <c r="K258" i="13"/>
  <c r="K257" i="13"/>
  <c r="I255" i="13"/>
  <c r="K255" i="13" s="1"/>
  <c r="L253" i="13"/>
  <c r="L252" i="13"/>
  <c r="L251" i="13"/>
  <c r="L250" i="13"/>
  <c r="P249" i="13"/>
  <c r="N249" i="13"/>
  <c r="J248" i="13"/>
  <c r="K247" i="13"/>
  <c r="K246" i="13"/>
  <c r="I244" i="13"/>
  <c r="K244" i="13" s="1"/>
  <c r="L242" i="13"/>
  <c r="L241" i="13"/>
  <c r="L240" i="13"/>
  <c r="L239" i="13"/>
  <c r="P238" i="13"/>
  <c r="N238" i="13"/>
  <c r="J237" i="13"/>
  <c r="J236" i="13"/>
  <c r="I236" i="13"/>
  <c r="K236" i="13" s="1"/>
  <c r="K235" i="13"/>
  <c r="J235" i="13"/>
  <c r="I235" i="13"/>
  <c r="J233" i="13"/>
  <c r="N231" i="13"/>
  <c r="N230" i="13"/>
  <c r="N229" i="13"/>
  <c r="N228" i="13"/>
  <c r="N227" i="13"/>
  <c r="J226" i="13"/>
  <c r="I225" i="13"/>
  <c r="K225" i="13" s="1"/>
  <c r="I224" i="13"/>
  <c r="K224" i="13" s="1"/>
  <c r="I223" i="13"/>
  <c r="K223" i="13" s="1"/>
  <c r="L220" i="13"/>
  <c r="L219" i="13"/>
  <c r="L218" i="13"/>
  <c r="P217" i="13"/>
  <c r="N217" i="13"/>
  <c r="J216" i="13"/>
  <c r="I215" i="13"/>
  <c r="I208" i="13" s="1"/>
  <c r="K208" i="13" s="1"/>
  <c r="I214" i="13"/>
  <c r="K214" i="13" s="1"/>
  <c r="L212" i="13"/>
  <c r="L211" i="13"/>
  <c r="L210" i="13"/>
  <c r="P209" i="13"/>
  <c r="N209" i="13"/>
  <c r="J208" i="13"/>
  <c r="K207" i="13"/>
  <c r="K206" i="13"/>
  <c r="I204" i="13"/>
  <c r="K204" i="13" s="1"/>
  <c r="L202" i="13"/>
  <c r="L201" i="13"/>
  <c r="L200" i="13"/>
  <c r="L199" i="13"/>
  <c r="P198" i="13"/>
  <c r="N198" i="13"/>
  <c r="J197" i="13"/>
  <c r="J194" i="13"/>
  <c r="I193" i="13"/>
  <c r="I190" i="13" s="1"/>
  <c r="K190" i="13" s="1"/>
  <c r="P191" i="13"/>
  <c r="L191" i="13"/>
  <c r="O191" i="13" s="1"/>
  <c r="J190" i="13"/>
  <c r="N189" i="13"/>
  <c r="N187" i="13" s="1"/>
  <c r="M189" i="13"/>
  <c r="P189" i="13" s="1"/>
  <c r="L189" i="13"/>
  <c r="O189" i="13" s="1"/>
  <c r="P188" i="13"/>
  <c r="O188" i="13"/>
  <c r="N186" i="13"/>
  <c r="N184" i="13" s="1"/>
  <c r="M186" i="13"/>
  <c r="M184" i="13" s="1"/>
  <c r="L186" i="13"/>
  <c r="P185" i="13"/>
  <c r="O185" i="13"/>
  <c r="P182" i="13"/>
  <c r="O182" i="13"/>
  <c r="N182" i="13"/>
  <c r="M182" i="13"/>
  <c r="L182" i="13"/>
  <c r="K180" i="13"/>
  <c r="J180" i="13"/>
  <c r="J177" i="13"/>
  <c r="J164" i="13" s="1"/>
  <c r="I176" i="13"/>
  <c r="I174" i="13" s="1"/>
  <c r="J174" i="13"/>
  <c r="N173" i="13"/>
  <c r="N171" i="13" s="1"/>
  <c r="M173" i="13"/>
  <c r="M171" i="13" s="1"/>
  <c r="P171" i="13" s="1"/>
  <c r="L173" i="13"/>
  <c r="O173" i="13" s="1"/>
  <c r="P172" i="13"/>
  <c r="O172" i="13"/>
  <c r="N170" i="13"/>
  <c r="N168" i="13" s="1"/>
  <c r="M170" i="13"/>
  <c r="M168" i="13" s="1"/>
  <c r="L170" i="13"/>
  <c r="P169" i="13"/>
  <c r="O169" i="13"/>
  <c r="O166" i="13"/>
  <c r="N166" i="13"/>
  <c r="M166" i="13"/>
  <c r="L166" i="13"/>
  <c r="I159" i="13"/>
  <c r="K159" i="13" s="1"/>
  <c r="N157" i="13"/>
  <c r="M157" i="13"/>
  <c r="P157" i="13" s="1"/>
  <c r="L157" i="13"/>
  <c r="O157" i="13" s="1"/>
  <c r="P156" i="13"/>
  <c r="O156" i="13"/>
  <c r="N154" i="13"/>
  <c r="N152" i="13" s="1"/>
  <c r="M154" i="13"/>
  <c r="L154" i="13"/>
  <c r="P153" i="13"/>
  <c r="O153" i="13"/>
  <c r="P150" i="13"/>
  <c r="O150" i="13"/>
  <c r="N150" i="13"/>
  <c r="M150" i="13"/>
  <c r="L150" i="13"/>
  <c r="J148" i="13"/>
  <c r="I146" i="13"/>
  <c r="I130" i="13" s="1"/>
  <c r="K130" i="13" s="1"/>
  <c r="I145" i="13"/>
  <c r="I144" i="13"/>
  <c r="N140" i="13"/>
  <c r="N138" i="13" s="1"/>
  <c r="M140" i="13"/>
  <c r="P140" i="13" s="1"/>
  <c r="L140" i="13"/>
  <c r="P139" i="13"/>
  <c r="O139" i="13"/>
  <c r="N137" i="13"/>
  <c r="N135" i="13" s="1"/>
  <c r="M137" i="13"/>
  <c r="L137" i="13"/>
  <c r="L135" i="13" s="1"/>
  <c r="O135" i="13" s="1"/>
  <c r="P136" i="13"/>
  <c r="O136" i="13"/>
  <c r="N133" i="13"/>
  <c r="M133" i="13"/>
  <c r="P133" i="13" s="1"/>
  <c r="L133" i="13"/>
  <c r="O133" i="13" s="1"/>
  <c r="J130" i="13"/>
  <c r="N127" i="13"/>
  <c r="N125" i="13" s="1"/>
  <c r="M127" i="13"/>
  <c r="M125" i="13" s="1"/>
  <c r="P125" i="13" s="1"/>
  <c r="L127" i="13"/>
  <c r="O127" i="13" s="1"/>
  <c r="P126" i="13"/>
  <c r="O126" i="13"/>
  <c r="N124" i="13"/>
  <c r="N122" i="13" s="1"/>
  <c r="M124" i="13"/>
  <c r="P124" i="13" s="1"/>
  <c r="L124" i="13"/>
  <c r="L122" i="13" s="1"/>
  <c r="O122" i="13" s="1"/>
  <c r="P123" i="13"/>
  <c r="O123" i="13"/>
  <c r="P120" i="13"/>
  <c r="O120" i="13"/>
  <c r="N120" i="13"/>
  <c r="M120" i="13"/>
  <c r="L120" i="13"/>
  <c r="I116" i="13"/>
  <c r="K116" i="13" s="1"/>
  <c r="I115" i="13"/>
  <c r="I114" i="13"/>
  <c r="K114" i="13" s="1"/>
  <c r="I113" i="13"/>
  <c r="K113" i="13" s="1"/>
  <c r="J112" i="13"/>
  <c r="J111" i="13"/>
  <c r="I111" i="13"/>
  <c r="K111" i="13" s="1"/>
  <c r="I110" i="13"/>
  <c r="K110" i="13" s="1"/>
  <c r="I109" i="13"/>
  <c r="K109" i="13" s="1"/>
  <c r="I107" i="13"/>
  <c r="K107" i="13" s="1"/>
  <c r="I106" i="13"/>
  <c r="K106" i="13" s="1"/>
  <c r="I104" i="13"/>
  <c r="K104" i="13" s="1"/>
  <c r="I103" i="13"/>
  <c r="K103" i="13" s="1"/>
  <c r="I102" i="13"/>
  <c r="K102" i="13" s="1"/>
  <c r="J100" i="13"/>
  <c r="I100" i="13"/>
  <c r="K100" i="13" s="1"/>
  <c r="J99" i="13"/>
  <c r="J87" i="13" s="1"/>
  <c r="I99" i="13"/>
  <c r="I87" i="13" s="1"/>
  <c r="K87" i="13" s="1"/>
  <c r="J98" i="13"/>
  <c r="I98" i="13"/>
  <c r="K98" i="13" s="1"/>
  <c r="N96" i="13"/>
  <c r="N94" i="13" s="1"/>
  <c r="M96" i="13"/>
  <c r="M94" i="13" s="1"/>
  <c r="P94" i="13" s="1"/>
  <c r="L96" i="13"/>
  <c r="O96" i="13" s="1"/>
  <c r="P95" i="13"/>
  <c r="O95" i="13"/>
  <c r="N93" i="13"/>
  <c r="N91" i="13" s="1"/>
  <c r="M93" i="13"/>
  <c r="L93" i="13"/>
  <c r="P92" i="13"/>
  <c r="O92" i="13"/>
  <c r="O89" i="13"/>
  <c r="N89" i="13"/>
  <c r="M89" i="13"/>
  <c r="L89" i="13"/>
  <c r="J86" i="13"/>
  <c r="I84" i="13"/>
  <c r="K84" i="13" s="1"/>
  <c r="I83" i="13"/>
  <c r="K83" i="13" s="1"/>
  <c r="I82" i="13"/>
  <c r="K82" i="13" s="1"/>
  <c r="I81" i="13"/>
  <c r="K81" i="13" s="1"/>
  <c r="I80" i="13"/>
  <c r="I79" i="13"/>
  <c r="I78" i="13"/>
  <c r="K78" i="13" s="1"/>
  <c r="J77" i="13"/>
  <c r="J76" i="13"/>
  <c r="J64" i="13" s="1"/>
  <c r="N74" i="13"/>
  <c r="N72" i="13" s="1"/>
  <c r="M74" i="13"/>
  <c r="P74" i="13" s="1"/>
  <c r="L74" i="13"/>
  <c r="O74" i="13" s="1"/>
  <c r="P73" i="13"/>
  <c r="O73" i="13"/>
  <c r="N71" i="13"/>
  <c r="N69" i="13" s="1"/>
  <c r="M71" i="13"/>
  <c r="P71" i="13" s="1"/>
  <c r="L71" i="13"/>
  <c r="O71" i="13" s="1"/>
  <c r="P70" i="13"/>
  <c r="O70" i="13"/>
  <c r="O67" i="13"/>
  <c r="N67" i="13"/>
  <c r="M67" i="13"/>
  <c r="L67" i="13"/>
  <c r="J65" i="13"/>
  <c r="N61" i="13"/>
  <c r="M61" i="13"/>
  <c r="L61" i="13"/>
  <c r="L59" i="13" s="1"/>
  <c r="O59" i="13" s="1"/>
  <c r="P60" i="13"/>
  <c r="O60" i="13"/>
  <c r="N58" i="13"/>
  <c r="M58" i="13"/>
  <c r="L58" i="13"/>
  <c r="L56" i="13" s="1"/>
  <c r="P57" i="13"/>
  <c r="O57" i="13"/>
  <c r="N54" i="13"/>
  <c r="M54" i="13"/>
  <c r="P54" i="13" s="1"/>
  <c r="L54" i="13"/>
  <c r="O54" i="13" s="1"/>
  <c r="N49" i="13"/>
  <c r="M49" i="13"/>
  <c r="P49" i="13" s="1"/>
  <c r="L49" i="13"/>
  <c r="P48" i="13"/>
  <c r="O48" i="13"/>
  <c r="N46" i="13"/>
  <c r="N44" i="13" s="1"/>
  <c r="M46" i="13"/>
  <c r="L46" i="13"/>
  <c r="P45" i="13"/>
  <c r="O45" i="13"/>
  <c r="O42" i="13"/>
  <c r="N42" i="13"/>
  <c r="M42" i="13"/>
  <c r="L42" i="13"/>
  <c r="N36" i="13"/>
  <c r="M36" i="13"/>
  <c r="P36" i="13" s="1"/>
  <c r="O35" i="13"/>
  <c r="N35" i="13"/>
  <c r="M35" i="13"/>
  <c r="L35" i="13"/>
  <c r="N34" i="13"/>
  <c r="N33" i="13"/>
  <c r="M33" i="13"/>
  <c r="P33" i="13" s="1"/>
  <c r="P32" i="13"/>
  <c r="N32" i="13"/>
  <c r="N29" i="13" s="1"/>
  <c r="M32" i="13"/>
  <c r="L32" i="13"/>
  <c r="N31" i="13"/>
  <c r="N30" i="13"/>
  <c r="M30" i="13"/>
  <c r="P30" i="13" s="1"/>
  <c r="M29" i="13"/>
  <c r="N28" i="13"/>
  <c r="P25" i="13"/>
  <c r="O25" i="13"/>
  <c r="N25" i="13"/>
  <c r="M25" i="13"/>
  <c r="L25" i="13"/>
  <c r="N22" i="13"/>
  <c r="M22" i="13"/>
  <c r="L22" i="13"/>
  <c r="O22" i="13" s="1"/>
  <c r="L19" i="13"/>
  <c r="M15" i="13"/>
  <c r="P15" i="13" s="1"/>
  <c r="N12" i="13"/>
  <c r="J828" i="12"/>
  <c r="I828" i="12"/>
  <c r="J827" i="12"/>
  <c r="I827" i="12"/>
  <c r="J826" i="12"/>
  <c r="I826" i="12"/>
  <c r="K826" i="12" s="1"/>
  <c r="J825" i="12"/>
  <c r="I825" i="12"/>
  <c r="K825" i="12" s="1"/>
  <c r="J824" i="12"/>
  <c r="I824" i="12"/>
  <c r="J823" i="12"/>
  <c r="I823" i="12"/>
  <c r="J822" i="12"/>
  <c r="I822" i="12"/>
  <c r="J821" i="12"/>
  <c r="I821" i="12"/>
  <c r="P817" i="12"/>
  <c r="O817" i="12"/>
  <c r="P816" i="12"/>
  <c r="O816" i="12"/>
  <c r="N815" i="12"/>
  <c r="M815" i="12"/>
  <c r="P815" i="12" s="1"/>
  <c r="L815" i="12"/>
  <c r="O815" i="12" s="1"/>
  <c r="P810" i="12"/>
  <c r="O810" i="12"/>
  <c r="N810" i="12"/>
  <c r="N808" i="12" s="1"/>
  <c r="P809" i="12"/>
  <c r="O809" i="12"/>
  <c r="O808" i="12"/>
  <c r="M808" i="12"/>
  <c r="P808" i="12" s="1"/>
  <c r="L808" i="12"/>
  <c r="P807" i="12"/>
  <c r="N807" i="12"/>
  <c r="M807" i="12"/>
  <c r="L807" i="12"/>
  <c r="O807" i="12" s="1"/>
  <c r="O806" i="12"/>
  <c r="N806" i="12"/>
  <c r="N805" i="12" s="1"/>
  <c r="M806" i="12"/>
  <c r="P806" i="12" s="1"/>
  <c r="L806" i="12"/>
  <c r="L805" i="12"/>
  <c r="O805" i="12" s="1"/>
  <c r="K804" i="12"/>
  <c r="J804" i="12"/>
  <c r="K802" i="12"/>
  <c r="J801" i="12"/>
  <c r="J800" i="12"/>
  <c r="J785" i="12" s="1"/>
  <c r="I800" i="12"/>
  <c r="I785" i="12" s="1"/>
  <c r="K785" i="12" s="1"/>
  <c r="P798" i="12"/>
  <c r="O798" i="12"/>
  <c r="P797" i="12"/>
  <c r="O797" i="12"/>
  <c r="P796" i="12"/>
  <c r="N796" i="12"/>
  <c r="M796" i="12"/>
  <c r="L796" i="12"/>
  <c r="O796" i="12" s="1"/>
  <c r="P791" i="12"/>
  <c r="N791" i="12"/>
  <c r="L791" i="12"/>
  <c r="L789" i="12" s="1"/>
  <c r="O789" i="12" s="1"/>
  <c r="P790" i="12"/>
  <c r="O790" i="12"/>
  <c r="N789" i="12"/>
  <c r="M789" i="12"/>
  <c r="P789" i="12" s="1"/>
  <c r="P788" i="12"/>
  <c r="N788" i="12"/>
  <c r="N786" i="12" s="1"/>
  <c r="M788" i="12"/>
  <c r="O787" i="12"/>
  <c r="N787" i="12"/>
  <c r="M787" i="12"/>
  <c r="P787" i="12" s="1"/>
  <c r="L787" i="12"/>
  <c r="P782" i="12"/>
  <c r="O782" i="12"/>
  <c r="P781" i="12"/>
  <c r="O781" i="12"/>
  <c r="P780" i="12"/>
  <c r="N780" i="12"/>
  <c r="M780" i="12"/>
  <c r="L780" i="12"/>
  <c r="O780" i="12" s="1"/>
  <c r="P775" i="12"/>
  <c r="O775" i="12"/>
  <c r="N775" i="12"/>
  <c r="N772" i="12" s="1"/>
  <c r="P774" i="12"/>
  <c r="O774" i="12"/>
  <c r="P773" i="12"/>
  <c r="N773" i="12"/>
  <c r="M773" i="12"/>
  <c r="L773" i="12"/>
  <c r="O773" i="12" s="1"/>
  <c r="O772" i="12"/>
  <c r="M772" i="12"/>
  <c r="P772" i="12" s="1"/>
  <c r="L772" i="12"/>
  <c r="P771" i="12"/>
  <c r="N771" i="12"/>
  <c r="N770" i="12" s="1"/>
  <c r="M771" i="12"/>
  <c r="L771" i="12"/>
  <c r="O771" i="12" s="1"/>
  <c r="M770" i="12"/>
  <c r="P770" i="12" s="1"/>
  <c r="K769" i="12"/>
  <c r="J769" i="12"/>
  <c r="P766" i="12"/>
  <c r="O766" i="12"/>
  <c r="P765" i="12"/>
  <c r="O765" i="12"/>
  <c r="P764" i="12"/>
  <c r="N764" i="12"/>
  <c r="M764" i="12"/>
  <c r="L764" i="12"/>
  <c r="O764" i="12" s="1"/>
  <c r="P759" i="12"/>
  <c r="O759" i="12"/>
  <c r="N759" i="12"/>
  <c r="N756" i="12" s="1"/>
  <c r="P758" i="12"/>
  <c r="O758" i="12"/>
  <c r="P757" i="12"/>
  <c r="N757" i="12"/>
  <c r="M757" i="12"/>
  <c r="L757" i="12"/>
  <c r="O757" i="12" s="1"/>
  <c r="O756" i="12"/>
  <c r="M756" i="12"/>
  <c r="P756" i="12" s="1"/>
  <c r="L756" i="12"/>
  <c r="P755" i="12"/>
  <c r="N755" i="12"/>
  <c r="M755" i="12"/>
  <c r="L755" i="12"/>
  <c r="O755" i="12" s="1"/>
  <c r="M754" i="12"/>
  <c r="P754" i="12" s="1"/>
  <c r="K753" i="12"/>
  <c r="J753" i="12"/>
  <c r="P749" i="12"/>
  <c r="O749" i="12"/>
  <c r="P748" i="12"/>
  <c r="O748" i="12"/>
  <c r="P747" i="12"/>
  <c r="N747" i="12"/>
  <c r="M747" i="12"/>
  <c r="L747" i="12"/>
  <c r="O747" i="12" s="1"/>
  <c r="P742" i="12"/>
  <c r="O742" i="12"/>
  <c r="N742" i="12"/>
  <c r="N739" i="12" s="1"/>
  <c r="P741" i="12"/>
  <c r="O741" i="12"/>
  <c r="P740" i="12"/>
  <c r="N740" i="12"/>
  <c r="M740" i="12"/>
  <c r="L740" i="12"/>
  <c r="O740" i="12" s="1"/>
  <c r="O739" i="12"/>
  <c r="M739" i="12"/>
  <c r="P739" i="12" s="1"/>
  <c r="L739" i="12"/>
  <c r="P738" i="12"/>
  <c r="N738" i="12"/>
  <c r="N737" i="12" s="1"/>
  <c r="M738" i="12"/>
  <c r="L738" i="12"/>
  <c r="O738" i="12" s="1"/>
  <c r="M737" i="12"/>
  <c r="P737" i="12" s="1"/>
  <c r="K736" i="12"/>
  <c r="J736" i="12"/>
  <c r="J729" i="12"/>
  <c r="I729" i="12"/>
  <c r="K729" i="12" s="1"/>
  <c r="J728" i="12"/>
  <c r="I728" i="12"/>
  <c r="K728" i="12" s="1"/>
  <c r="J727" i="12"/>
  <c r="J726" i="12"/>
  <c r="I726" i="12"/>
  <c r="K726" i="12" s="1"/>
  <c r="J725" i="12"/>
  <c r="I725" i="12"/>
  <c r="K725" i="12" s="1"/>
  <c r="J724" i="12"/>
  <c r="J723" i="12"/>
  <c r="I723" i="12"/>
  <c r="K723" i="12" s="1"/>
  <c r="I722" i="12"/>
  <c r="K722" i="12" s="1"/>
  <c r="I721" i="12"/>
  <c r="K721" i="12" s="1"/>
  <c r="J720" i="12"/>
  <c r="I720" i="12"/>
  <c r="K720" i="12" s="1"/>
  <c r="J719" i="12"/>
  <c r="J718" i="12"/>
  <c r="J708" i="12"/>
  <c r="I708" i="12"/>
  <c r="K708" i="12" s="1"/>
  <c r="I707" i="12"/>
  <c r="I704" i="12"/>
  <c r="J701" i="12"/>
  <c r="I701" i="12"/>
  <c r="K701" i="12" s="1"/>
  <c r="J700" i="12"/>
  <c r="I700" i="12"/>
  <c r="K700" i="12" s="1"/>
  <c r="J699" i="12"/>
  <c r="I699" i="12"/>
  <c r="K699" i="12" s="1"/>
  <c r="P697" i="12"/>
  <c r="O697" i="12"/>
  <c r="P696" i="12"/>
  <c r="O696" i="12"/>
  <c r="P695" i="12"/>
  <c r="N695" i="12"/>
  <c r="M695" i="12"/>
  <c r="L695" i="12"/>
  <c r="O695" i="12" s="1"/>
  <c r="P690" i="12"/>
  <c r="N690" i="12"/>
  <c r="N688" i="12" s="1"/>
  <c r="L690" i="12"/>
  <c r="L688" i="12" s="1"/>
  <c r="O688" i="12" s="1"/>
  <c r="M688" i="12"/>
  <c r="P688" i="12" s="1"/>
  <c r="P687" i="12"/>
  <c r="N687" i="12"/>
  <c r="M687" i="12"/>
  <c r="O686" i="12"/>
  <c r="N686" i="12"/>
  <c r="M686" i="12"/>
  <c r="P686" i="12" s="1"/>
  <c r="L686" i="12"/>
  <c r="N685" i="12"/>
  <c r="J679" i="12"/>
  <c r="J678" i="12"/>
  <c r="I678" i="12"/>
  <c r="K678" i="12" s="1"/>
  <c r="J675" i="12"/>
  <c r="J669" i="12" s="1"/>
  <c r="J654" i="12" s="1"/>
  <c r="I671" i="12"/>
  <c r="K671" i="12" s="1"/>
  <c r="I670" i="12"/>
  <c r="K670" i="12" s="1"/>
  <c r="I669" i="12"/>
  <c r="P667" i="12"/>
  <c r="O667" i="12"/>
  <c r="P666" i="12"/>
  <c r="O666" i="12"/>
  <c r="O665" i="12"/>
  <c r="N665" i="12"/>
  <c r="M665" i="12"/>
  <c r="P665" i="12" s="1"/>
  <c r="L665" i="12"/>
  <c r="P660" i="12"/>
  <c r="N660" i="12"/>
  <c r="N657" i="12" s="1"/>
  <c r="L660" i="12"/>
  <c r="L658" i="12" s="1"/>
  <c r="O658" i="12" s="1"/>
  <c r="P659" i="12"/>
  <c r="O659" i="12"/>
  <c r="P658" i="12"/>
  <c r="N658" i="12"/>
  <c r="M658" i="12"/>
  <c r="M657" i="12"/>
  <c r="P657" i="12" s="1"/>
  <c r="P656" i="12"/>
  <c r="N656" i="12"/>
  <c r="N655" i="12" s="1"/>
  <c r="M656" i="12"/>
  <c r="L656" i="12"/>
  <c r="K652" i="12"/>
  <c r="J652" i="12"/>
  <c r="J651" i="12"/>
  <c r="J628" i="12" s="1"/>
  <c r="I651" i="12"/>
  <c r="K650" i="12"/>
  <c r="J650" i="12"/>
  <c r="J649" i="12"/>
  <c r="I649" i="12"/>
  <c r="K648" i="12"/>
  <c r="J648" i="12"/>
  <c r="J647" i="12"/>
  <c r="I647" i="12"/>
  <c r="K646" i="12"/>
  <c r="J646" i="12"/>
  <c r="K645" i="12"/>
  <c r="J645" i="12"/>
  <c r="I644" i="12"/>
  <c r="K644" i="12" s="1"/>
  <c r="I643" i="12"/>
  <c r="K643" i="12" s="1"/>
  <c r="P641" i="12"/>
  <c r="L641" i="12"/>
  <c r="L639" i="12" s="1"/>
  <c r="O639" i="12" s="1"/>
  <c r="P640" i="12"/>
  <c r="O640" i="12"/>
  <c r="N639" i="12"/>
  <c r="M639" i="12"/>
  <c r="P639" i="12" s="1"/>
  <c r="P634" i="12"/>
  <c r="N634" i="12"/>
  <c r="L634" i="12"/>
  <c r="P633" i="12"/>
  <c r="O633" i="12"/>
  <c r="P632" i="12"/>
  <c r="N632" i="12"/>
  <c r="M632" i="12"/>
  <c r="L632" i="12"/>
  <c r="O632" i="12" s="1"/>
  <c r="N631" i="12"/>
  <c r="M631" i="12"/>
  <c r="P631" i="12" s="1"/>
  <c r="P630" i="12"/>
  <c r="N630" i="12"/>
  <c r="N629" i="12" s="1"/>
  <c r="M630" i="12"/>
  <c r="L630" i="12"/>
  <c r="O630" i="12" s="1"/>
  <c r="M629" i="12"/>
  <c r="P629" i="12" s="1"/>
  <c r="J621" i="12"/>
  <c r="I621" i="12"/>
  <c r="K621" i="12" s="1"/>
  <c r="J620" i="12"/>
  <c r="I620" i="12"/>
  <c r="K620" i="12" s="1"/>
  <c r="K613" i="12"/>
  <c r="J613" i="12"/>
  <c r="K612" i="12"/>
  <c r="J612" i="12"/>
  <c r="K611" i="12"/>
  <c r="J611" i="12"/>
  <c r="J604" i="12"/>
  <c r="J603" i="12"/>
  <c r="J596" i="12"/>
  <c r="J595" i="12"/>
  <c r="J593" i="12" s="1"/>
  <c r="J592" i="12" s="1"/>
  <c r="J594" i="12"/>
  <c r="I594" i="12"/>
  <c r="K594" i="12" s="1"/>
  <c r="I593" i="12"/>
  <c r="I592" i="12" s="1"/>
  <c r="K592" i="12" s="1"/>
  <c r="J583" i="12"/>
  <c r="J577" i="12" s="1"/>
  <c r="J582" i="12"/>
  <c r="I577" i="12"/>
  <c r="J576" i="12"/>
  <c r="J559" i="12" s="1"/>
  <c r="J543" i="12" s="1"/>
  <c r="I576" i="12"/>
  <c r="K576" i="12" s="1"/>
  <c r="J569" i="12"/>
  <c r="I569" i="12"/>
  <c r="K569" i="12" s="1"/>
  <c r="J568" i="12"/>
  <c r="I568" i="12"/>
  <c r="K568" i="12" s="1"/>
  <c r="J561" i="12"/>
  <c r="I561" i="12"/>
  <c r="K561" i="12" s="1"/>
  <c r="J560" i="12"/>
  <c r="I560" i="12"/>
  <c r="K560" i="12" s="1"/>
  <c r="P557" i="12"/>
  <c r="L557" i="12"/>
  <c r="P556" i="12"/>
  <c r="O556" i="12"/>
  <c r="N555" i="12"/>
  <c r="N545" i="12" s="1"/>
  <c r="N544" i="12" s="1"/>
  <c r="M555" i="12"/>
  <c r="P555" i="12" s="1"/>
  <c r="P549" i="12"/>
  <c r="N549" i="12"/>
  <c r="L549" i="12"/>
  <c r="L547" i="12" s="1"/>
  <c r="O547" i="12" s="1"/>
  <c r="P548" i="12"/>
  <c r="O548" i="12"/>
  <c r="N547" i="12"/>
  <c r="M547" i="12"/>
  <c r="P547" i="12" s="1"/>
  <c r="P546" i="12"/>
  <c r="N546" i="12"/>
  <c r="M546" i="12"/>
  <c r="O545" i="12"/>
  <c r="M545" i="12"/>
  <c r="P545" i="12" s="1"/>
  <c r="L545" i="12"/>
  <c r="I542" i="12"/>
  <c r="K542" i="12" s="1"/>
  <c r="I541" i="12"/>
  <c r="K541" i="12" s="1"/>
  <c r="I540" i="12"/>
  <c r="K540" i="12" s="1"/>
  <c r="I539" i="12"/>
  <c r="K539" i="12" s="1"/>
  <c r="I538" i="12"/>
  <c r="K538" i="12" s="1"/>
  <c r="I537" i="12"/>
  <c r="I522" i="12" s="1"/>
  <c r="K522" i="12" s="1"/>
  <c r="P535" i="12"/>
  <c r="L535" i="12"/>
  <c r="O535" i="12" s="1"/>
  <c r="P534" i="12"/>
  <c r="O534" i="12"/>
  <c r="P533" i="12"/>
  <c r="N533" i="12"/>
  <c r="M533" i="12"/>
  <c r="L533" i="12"/>
  <c r="O533" i="12" s="1"/>
  <c r="P528" i="12"/>
  <c r="N528" i="12"/>
  <c r="L528" i="12"/>
  <c r="P527" i="12"/>
  <c r="O527" i="12"/>
  <c r="P526" i="12"/>
  <c r="N526" i="12"/>
  <c r="M526" i="12"/>
  <c r="P525" i="12"/>
  <c r="N525" i="12"/>
  <c r="M525" i="12"/>
  <c r="O524" i="12"/>
  <c r="N524" i="12"/>
  <c r="N523" i="12" s="1"/>
  <c r="M524" i="12"/>
  <c r="P524" i="12" s="1"/>
  <c r="L524" i="12"/>
  <c r="M523" i="12"/>
  <c r="P523" i="12" s="1"/>
  <c r="K517" i="12"/>
  <c r="J517" i="12"/>
  <c r="J501" i="12" s="1"/>
  <c r="K516" i="12"/>
  <c r="P514" i="12"/>
  <c r="O514" i="12"/>
  <c r="P513" i="12"/>
  <c r="O513" i="12"/>
  <c r="P512" i="12"/>
  <c r="O512" i="12"/>
  <c r="N512" i="12"/>
  <c r="M512" i="12"/>
  <c r="L512" i="12"/>
  <c r="P507" i="12"/>
  <c r="O507" i="12"/>
  <c r="N507" i="12"/>
  <c r="N504" i="12" s="1"/>
  <c r="N502" i="12" s="1"/>
  <c r="P506" i="12"/>
  <c r="O506" i="12"/>
  <c r="O505" i="12"/>
  <c r="N505" i="12"/>
  <c r="M505" i="12"/>
  <c r="P505" i="12" s="1"/>
  <c r="L505" i="12"/>
  <c r="M504" i="12"/>
  <c r="P504" i="12" s="1"/>
  <c r="L504" i="12"/>
  <c r="O504" i="12" s="1"/>
  <c r="N503" i="12"/>
  <c r="M503" i="12"/>
  <c r="M502" i="12" s="1"/>
  <c r="P502" i="12" s="1"/>
  <c r="L503" i="12"/>
  <c r="K501" i="12"/>
  <c r="K500" i="12"/>
  <c r="J500" i="12"/>
  <c r="I498" i="12"/>
  <c r="K498" i="12" s="1"/>
  <c r="I495" i="12"/>
  <c r="K495" i="12" s="1"/>
  <c r="I492" i="12"/>
  <c r="K492" i="12" s="1"/>
  <c r="I489" i="12"/>
  <c r="K489" i="12" s="1"/>
  <c r="I487" i="12"/>
  <c r="K487" i="12" s="1"/>
  <c r="I485" i="12"/>
  <c r="K485" i="12" s="1"/>
  <c r="I483" i="12"/>
  <c r="K483" i="12" s="1"/>
  <c r="P479" i="12"/>
  <c r="L479" i="12"/>
  <c r="O479" i="12" s="1"/>
  <c r="P478" i="12"/>
  <c r="O478" i="12"/>
  <c r="P477" i="12"/>
  <c r="N477" i="12"/>
  <c r="M477" i="12"/>
  <c r="P472" i="12"/>
  <c r="N472" i="12"/>
  <c r="L472" i="12"/>
  <c r="L470" i="12" s="1"/>
  <c r="P471" i="12"/>
  <c r="O471" i="12"/>
  <c r="M470" i="12"/>
  <c r="P470" i="12" s="1"/>
  <c r="M469" i="12"/>
  <c r="P469" i="12" s="1"/>
  <c r="N468" i="12"/>
  <c r="M468" i="12"/>
  <c r="L468" i="12"/>
  <c r="J466" i="12"/>
  <c r="I466" i="12"/>
  <c r="J465" i="12"/>
  <c r="I465" i="12"/>
  <c r="K465" i="12" s="1"/>
  <c r="I464" i="12"/>
  <c r="I463" i="12"/>
  <c r="I462" i="12"/>
  <c r="K462" i="12" s="1"/>
  <c r="I460" i="12"/>
  <c r="K460" i="12" s="1"/>
  <c r="K458" i="12"/>
  <c r="P456" i="12"/>
  <c r="L456" i="12"/>
  <c r="P455" i="12"/>
  <c r="O455" i="12"/>
  <c r="N454" i="12"/>
  <c r="M454" i="12"/>
  <c r="P454" i="12" s="1"/>
  <c r="P449" i="12"/>
  <c r="N449" i="12"/>
  <c r="L449" i="12"/>
  <c r="L447" i="12" s="1"/>
  <c r="O447" i="12" s="1"/>
  <c r="P448" i="12"/>
  <c r="O448" i="12"/>
  <c r="P447" i="12"/>
  <c r="N447" i="12"/>
  <c r="M447" i="12"/>
  <c r="N446" i="12"/>
  <c r="M446" i="12"/>
  <c r="P446" i="12" s="1"/>
  <c r="N445" i="12"/>
  <c r="N444" i="12" s="1"/>
  <c r="M445" i="12"/>
  <c r="P445" i="12" s="1"/>
  <c r="L445" i="12"/>
  <c r="O445" i="12" s="1"/>
  <c r="M444" i="12"/>
  <c r="P444" i="12" s="1"/>
  <c r="J443" i="12"/>
  <c r="J442" i="12"/>
  <c r="I442" i="12"/>
  <c r="K442" i="12" s="1"/>
  <c r="I441" i="12"/>
  <c r="K441" i="12" s="1"/>
  <c r="I440" i="12"/>
  <c r="K440" i="12" s="1"/>
  <c r="I439" i="12"/>
  <c r="K439" i="12" s="1"/>
  <c r="I438" i="12"/>
  <c r="K438" i="12" s="1"/>
  <c r="I437" i="12"/>
  <c r="K437" i="12" s="1"/>
  <c r="I435" i="12"/>
  <c r="J434" i="12"/>
  <c r="P431" i="12"/>
  <c r="L431" i="12"/>
  <c r="P430" i="12"/>
  <c r="O430" i="12"/>
  <c r="P429" i="12"/>
  <c r="N429" i="12"/>
  <c r="M429" i="12"/>
  <c r="P424" i="12"/>
  <c r="N424" i="12"/>
  <c r="L424" i="12"/>
  <c r="L422" i="12" s="1"/>
  <c r="O422" i="12" s="1"/>
  <c r="P423" i="12"/>
  <c r="O423" i="12"/>
  <c r="P422" i="12"/>
  <c r="N422" i="12"/>
  <c r="M422" i="12"/>
  <c r="N421" i="12"/>
  <c r="M421" i="12"/>
  <c r="P421" i="12" s="1"/>
  <c r="N420" i="12"/>
  <c r="M420" i="12"/>
  <c r="M419" i="12" s="1"/>
  <c r="L420" i="12"/>
  <c r="O420" i="12" s="1"/>
  <c r="J418" i="12"/>
  <c r="K413" i="12"/>
  <c r="K412" i="12"/>
  <c r="N410" i="12"/>
  <c r="N408" i="12" s="1"/>
  <c r="M410" i="12"/>
  <c r="P410" i="12" s="1"/>
  <c r="L410" i="12"/>
  <c r="P409" i="12"/>
  <c r="O409" i="12"/>
  <c r="N407" i="12"/>
  <c r="M407" i="12"/>
  <c r="P407" i="12" s="1"/>
  <c r="L407" i="12"/>
  <c r="O407" i="12" s="1"/>
  <c r="P406" i="12"/>
  <c r="O406" i="12"/>
  <c r="P403" i="12"/>
  <c r="N403" i="12"/>
  <c r="M403" i="12"/>
  <c r="L403" i="12"/>
  <c r="J401" i="12"/>
  <c r="I401" i="12"/>
  <c r="K401" i="12" s="1"/>
  <c r="K400" i="12"/>
  <c r="K399" i="12"/>
  <c r="N397" i="12"/>
  <c r="N395" i="12" s="1"/>
  <c r="M397" i="12"/>
  <c r="L397" i="12"/>
  <c r="O397" i="12" s="1"/>
  <c r="P396" i="12"/>
  <c r="O396" i="12"/>
  <c r="N394" i="12"/>
  <c r="M394" i="12"/>
  <c r="L394" i="12"/>
  <c r="O394" i="12" s="1"/>
  <c r="P393" i="12"/>
  <c r="O393" i="12"/>
  <c r="N390" i="12"/>
  <c r="M390" i="12"/>
  <c r="P390" i="12" s="1"/>
  <c r="L390" i="12"/>
  <c r="O390" i="12" s="1"/>
  <c r="J388" i="12"/>
  <c r="I388" i="12"/>
  <c r="K388" i="12" s="1"/>
  <c r="J385" i="12"/>
  <c r="I385" i="12"/>
  <c r="K382" i="12"/>
  <c r="J382" i="12"/>
  <c r="J381" i="12"/>
  <c r="J374" i="12" s="1"/>
  <c r="I381" i="12"/>
  <c r="K380" i="12"/>
  <c r="J380" i="12"/>
  <c r="J379" i="12"/>
  <c r="I379" i="12"/>
  <c r="J378" i="12"/>
  <c r="I378" i="12"/>
  <c r="K377" i="12"/>
  <c r="J377" i="12"/>
  <c r="I374" i="12"/>
  <c r="K373" i="12"/>
  <c r="J373" i="12"/>
  <c r="J372" i="12"/>
  <c r="J365" i="12" s="1"/>
  <c r="I372" i="12"/>
  <c r="K371" i="12"/>
  <c r="J371" i="12"/>
  <c r="J370" i="12"/>
  <c r="I370" i="12"/>
  <c r="J369" i="12"/>
  <c r="I369" i="12"/>
  <c r="K368" i="12"/>
  <c r="J368" i="12"/>
  <c r="I365" i="12"/>
  <c r="K363" i="12"/>
  <c r="J363" i="12"/>
  <c r="J362" i="12"/>
  <c r="J355" i="12" s="1"/>
  <c r="I362" i="12"/>
  <c r="K361" i="12"/>
  <c r="J361" i="12"/>
  <c r="J360" i="12"/>
  <c r="I360" i="12"/>
  <c r="J359" i="12"/>
  <c r="I359" i="12"/>
  <c r="K358" i="12"/>
  <c r="J358" i="12"/>
  <c r="I355" i="12"/>
  <c r="N353" i="12"/>
  <c r="N351" i="12" s="1"/>
  <c r="M353" i="12"/>
  <c r="L353" i="12"/>
  <c r="P352" i="12"/>
  <c r="O352" i="12"/>
  <c r="N350" i="12"/>
  <c r="M350" i="12"/>
  <c r="M348" i="12" s="1"/>
  <c r="L350" i="12"/>
  <c r="L348" i="12" s="1"/>
  <c r="P349" i="12"/>
  <c r="O349" i="12"/>
  <c r="P346" i="12"/>
  <c r="N346" i="12"/>
  <c r="M346" i="12"/>
  <c r="L346" i="12"/>
  <c r="O346" i="12" s="1"/>
  <c r="J343" i="12"/>
  <c r="J342" i="12"/>
  <c r="J341" i="12"/>
  <c r="J340" i="12"/>
  <c r="I340" i="12"/>
  <c r="J338" i="12"/>
  <c r="I338" i="12"/>
  <c r="N336" i="12"/>
  <c r="N334" i="12" s="1"/>
  <c r="M336" i="12"/>
  <c r="M334" i="12" s="1"/>
  <c r="P334" i="12" s="1"/>
  <c r="L336" i="12"/>
  <c r="P335" i="12"/>
  <c r="O335" i="12"/>
  <c r="N333" i="12"/>
  <c r="M333" i="12"/>
  <c r="M331" i="12" s="1"/>
  <c r="L333" i="12"/>
  <c r="L331" i="12" s="1"/>
  <c r="P332" i="12"/>
  <c r="O332" i="12"/>
  <c r="O329" i="12"/>
  <c r="N329" i="12"/>
  <c r="M329" i="12"/>
  <c r="L329" i="12"/>
  <c r="I327" i="12"/>
  <c r="I325" i="12"/>
  <c r="K325" i="12" s="1"/>
  <c r="N323" i="12"/>
  <c r="N321" i="12" s="1"/>
  <c r="M323" i="12"/>
  <c r="L323" i="12"/>
  <c r="P322" i="12"/>
  <c r="O322" i="12"/>
  <c r="N320" i="12"/>
  <c r="N318" i="12" s="1"/>
  <c r="M320" i="12"/>
  <c r="L320" i="12"/>
  <c r="O320" i="12" s="1"/>
  <c r="P319" i="12"/>
  <c r="O319" i="12"/>
  <c r="P316" i="12"/>
  <c r="O316" i="12"/>
  <c r="N316" i="12"/>
  <c r="M316" i="12"/>
  <c r="L316" i="12"/>
  <c r="J314" i="12"/>
  <c r="I312" i="12"/>
  <c r="K312" i="12" s="1"/>
  <c r="I311" i="12"/>
  <c r="K311" i="12" s="1"/>
  <c r="I310" i="12"/>
  <c r="K310" i="12" s="1"/>
  <c r="I309" i="12"/>
  <c r="K309" i="12" s="1"/>
  <c r="N306" i="12"/>
  <c r="N304" i="12" s="1"/>
  <c r="M306" i="12"/>
  <c r="P306" i="12" s="1"/>
  <c r="L306" i="12"/>
  <c r="O306" i="12" s="1"/>
  <c r="P305" i="12"/>
  <c r="O305" i="12"/>
  <c r="N303" i="12"/>
  <c r="M303" i="12"/>
  <c r="L303" i="12"/>
  <c r="P302" i="12"/>
  <c r="O302" i="12"/>
  <c r="N299" i="12"/>
  <c r="M299" i="12"/>
  <c r="L299" i="12"/>
  <c r="O299" i="12" s="1"/>
  <c r="J297" i="12"/>
  <c r="I294" i="12"/>
  <c r="K294" i="12" s="1"/>
  <c r="I293" i="12"/>
  <c r="K293" i="12" s="1"/>
  <c r="I291" i="12"/>
  <c r="K291" i="12" s="1"/>
  <c r="I290" i="12"/>
  <c r="K290" i="12" s="1"/>
  <c r="I288" i="12"/>
  <c r="J288" i="12" s="1"/>
  <c r="J275" i="12" s="1"/>
  <c r="I287" i="12"/>
  <c r="N285" i="12"/>
  <c r="N283" i="12" s="1"/>
  <c r="M285" i="12"/>
  <c r="P285" i="12" s="1"/>
  <c r="L285" i="12"/>
  <c r="P284" i="12"/>
  <c r="O284" i="12"/>
  <c r="N282" i="12"/>
  <c r="M282" i="12"/>
  <c r="L282" i="12"/>
  <c r="L280" i="12" s="1"/>
  <c r="P281" i="12"/>
  <c r="O281" i="12"/>
  <c r="O278" i="12"/>
  <c r="N278" i="12"/>
  <c r="M278" i="12"/>
  <c r="L278" i="12"/>
  <c r="J276" i="12"/>
  <c r="I271" i="12"/>
  <c r="K271" i="12" s="1"/>
  <c r="N269" i="12"/>
  <c r="N267" i="12" s="1"/>
  <c r="M269" i="12"/>
  <c r="P269" i="12" s="1"/>
  <c r="L269" i="12"/>
  <c r="O269" i="12" s="1"/>
  <c r="P268" i="12"/>
  <c r="O268" i="12"/>
  <c r="N266" i="12"/>
  <c r="N264" i="12" s="1"/>
  <c r="M266" i="12"/>
  <c r="L266" i="12"/>
  <c r="L264" i="12" s="1"/>
  <c r="P265" i="12"/>
  <c r="O265" i="12"/>
  <c r="P262" i="12"/>
  <c r="N262" i="12"/>
  <c r="M262" i="12"/>
  <c r="L262" i="12"/>
  <c r="J260" i="12"/>
  <c r="K258" i="12"/>
  <c r="K257" i="12"/>
  <c r="I255" i="12"/>
  <c r="K255" i="12" s="1"/>
  <c r="L253" i="12"/>
  <c r="L252" i="12"/>
  <c r="L251" i="12"/>
  <c r="L250" i="12"/>
  <c r="P249" i="12"/>
  <c r="N249" i="12"/>
  <c r="J248" i="12"/>
  <c r="K247" i="12"/>
  <c r="K246" i="12"/>
  <c r="I244" i="12"/>
  <c r="I237" i="12" s="1"/>
  <c r="K237" i="12" s="1"/>
  <c r="L242" i="12"/>
  <c r="L241" i="12"/>
  <c r="L240" i="12"/>
  <c r="L239" i="12"/>
  <c r="P238" i="12"/>
  <c r="N238" i="12"/>
  <c r="N227" i="12" s="1"/>
  <c r="J237" i="12"/>
  <c r="J226" i="12" s="1"/>
  <c r="J180" i="12" s="1"/>
  <c r="J236" i="12"/>
  <c r="I236" i="12"/>
  <c r="K236" i="12" s="1"/>
  <c r="J235" i="12"/>
  <c r="I235" i="12"/>
  <c r="K235" i="12" s="1"/>
  <c r="J233" i="12"/>
  <c r="N231" i="12"/>
  <c r="N230" i="12"/>
  <c r="N229" i="12"/>
  <c r="N228" i="12"/>
  <c r="I225" i="12"/>
  <c r="K225" i="12" s="1"/>
  <c r="I224" i="12"/>
  <c r="K224" i="12" s="1"/>
  <c r="I223" i="12"/>
  <c r="K223" i="12" s="1"/>
  <c r="L220" i="12"/>
  <c r="L219" i="12"/>
  <c r="L218" i="12"/>
  <c r="P217" i="12"/>
  <c r="N217" i="12"/>
  <c r="J216" i="12"/>
  <c r="I215" i="12"/>
  <c r="I214" i="12"/>
  <c r="K214" i="12" s="1"/>
  <c r="L212" i="12"/>
  <c r="L211" i="12"/>
  <c r="L210" i="12"/>
  <c r="P209" i="12"/>
  <c r="N209" i="12"/>
  <c r="J208" i="12"/>
  <c r="K207" i="12"/>
  <c r="K206" i="12"/>
  <c r="I204" i="12"/>
  <c r="L202" i="12"/>
  <c r="L201" i="12"/>
  <c r="L200" i="12"/>
  <c r="L199" i="12"/>
  <c r="P198" i="12"/>
  <c r="N198" i="12"/>
  <c r="J197" i="12"/>
  <c r="J194" i="12"/>
  <c r="I193" i="12"/>
  <c r="K193" i="12" s="1"/>
  <c r="P191" i="12"/>
  <c r="L191" i="12"/>
  <c r="O191" i="12" s="1"/>
  <c r="J190" i="12"/>
  <c r="N189" i="12"/>
  <c r="N187" i="12" s="1"/>
  <c r="M189" i="12"/>
  <c r="L189" i="12"/>
  <c r="O189" i="12" s="1"/>
  <c r="P188" i="12"/>
  <c r="O188" i="12"/>
  <c r="N186" i="12"/>
  <c r="N184" i="12" s="1"/>
  <c r="M186" i="12"/>
  <c r="L186" i="12"/>
  <c r="L184" i="12" s="1"/>
  <c r="P185" i="12"/>
  <c r="O185" i="12"/>
  <c r="P182" i="12"/>
  <c r="N182" i="12"/>
  <c r="M182" i="12"/>
  <c r="L182" i="12"/>
  <c r="K180" i="12"/>
  <c r="J177" i="12"/>
  <c r="I176" i="12"/>
  <c r="I174" i="12" s="1"/>
  <c r="J174" i="12"/>
  <c r="N173" i="12"/>
  <c r="N171" i="12" s="1"/>
  <c r="M173" i="12"/>
  <c r="P173" i="12" s="1"/>
  <c r="L173" i="12"/>
  <c r="P172" i="12"/>
  <c r="O172" i="12"/>
  <c r="N170" i="12"/>
  <c r="M170" i="12"/>
  <c r="M168" i="12" s="1"/>
  <c r="L170" i="12"/>
  <c r="P169" i="12"/>
  <c r="O169" i="12"/>
  <c r="O166" i="12"/>
  <c r="N166" i="12"/>
  <c r="M166" i="12"/>
  <c r="P166" i="12" s="1"/>
  <c r="L166" i="12"/>
  <c r="J164" i="12"/>
  <c r="I159" i="12"/>
  <c r="K159" i="12" s="1"/>
  <c r="N157" i="12"/>
  <c r="N155" i="12" s="1"/>
  <c r="M157" i="12"/>
  <c r="L157" i="12"/>
  <c r="O157" i="12" s="1"/>
  <c r="P156" i="12"/>
  <c r="O156" i="12"/>
  <c r="N154" i="12"/>
  <c r="N152" i="12" s="1"/>
  <c r="M154" i="12"/>
  <c r="L154" i="12"/>
  <c r="O154" i="12" s="1"/>
  <c r="P153" i="12"/>
  <c r="O153" i="12"/>
  <c r="O150" i="12"/>
  <c r="N150" i="12"/>
  <c r="M150" i="12"/>
  <c r="L150" i="12"/>
  <c r="J148" i="12"/>
  <c r="I146" i="12"/>
  <c r="K146" i="12" s="1"/>
  <c r="I145" i="12"/>
  <c r="I143" i="12" s="1"/>
  <c r="I131" i="12" s="1"/>
  <c r="I144" i="12"/>
  <c r="K144" i="12" s="1"/>
  <c r="N140" i="12"/>
  <c r="M140" i="12"/>
  <c r="L140" i="12"/>
  <c r="P139" i="12"/>
  <c r="O139" i="12"/>
  <c r="N137" i="12"/>
  <c r="M137" i="12"/>
  <c r="L137" i="12"/>
  <c r="L135" i="12" s="1"/>
  <c r="P136" i="12"/>
  <c r="O136" i="12"/>
  <c r="P133" i="12"/>
  <c r="N133" i="12"/>
  <c r="M133" i="12"/>
  <c r="L133" i="12"/>
  <c r="O133" i="12" s="1"/>
  <c r="J130" i="12"/>
  <c r="N127" i="12"/>
  <c r="N125" i="12" s="1"/>
  <c r="M127" i="12"/>
  <c r="M125" i="12" s="1"/>
  <c r="P125" i="12" s="1"/>
  <c r="L127" i="12"/>
  <c r="O127" i="12" s="1"/>
  <c r="P126" i="12"/>
  <c r="O126" i="12"/>
  <c r="N124" i="12"/>
  <c r="N122" i="12" s="1"/>
  <c r="M124" i="12"/>
  <c r="L124" i="12"/>
  <c r="O124" i="12" s="1"/>
  <c r="P123" i="12"/>
  <c r="O123" i="12"/>
  <c r="O120" i="12"/>
  <c r="N120" i="12"/>
  <c r="M120" i="12"/>
  <c r="L120" i="12"/>
  <c r="I116" i="12"/>
  <c r="K116" i="12" s="1"/>
  <c r="I115" i="12"/>
  <c r="I114" i="12"/>
  <c r="K114" i="12" s="1"/>
  <c r="I113" i="12"/>
  <c r="K113" i="12" s="1"/>
  <c r="J112" i="12"/>
  <c r="J111" i="12"/>
  <c r="I111" i="12"/>
  <c r="K111" i="12" s="1"/>
  <c r="I110" i="12"/>
  <c r="K110" i="12" s="1"/>
  <c r="I109" i="12"/>
  <c r="K109" i="12" s="1"/>
  <c r="I107" i="12"/>
  <c r="K107" i="12" s="1"/>
  <c r="I106" i="12"/>
  <c r="K106" i="12" s="1"/>
  <c r="I104" i="12"/>
  <c r="K104" i="12" s="1"/>
  <c r="I103" i="12"/>
  <c r="K103" i="12" s="1"/>
  <c r="I102" i="12"/>
  <c r="K102" i="12" s="1"/>
  <c r="J100" i="12"/>
  <c r="I100" i="12"/>
  <c r="J99" i="12"/>
  <c r="J87" i="12" s="1"/>
  <c r="I99" i="12"/>
  <c r="J98" i="12"/>
  <c r="J86" i="12" s="1"/>
  <c r="I98" i="12"/>
  <c r="I86" i="12" s="1"/>
  <c r="N96" i="12"/>
  <c r="N94" i="12" s="1"/>
  <c r="M96" i="12"/>
  <c r="L96" i="12"/>
  <c r="L94" i="12" s="1"/>
  <c r="O94" i="12" s="1"/>
  <c r="P95" i="12"/>
  <c r="O95" i="12"/>
  <c r="N93" i="12"/>
  <c r="M93" i="12"/>
  <c r="M91" i="12" s="1"/>
  <c r="L93" i="12"/>
  <c r="L91" i="12" s="1"/>
  <c r="P92" i="12"/>
  <c r="O92" i="12"/>
  <c r="O89" i="12"/>
  <c r="N89" i="12"/>
  <c r="M89" i="12"/>
  <c r="P89" i="12" s="1"/>
  <c r="L89" i="12"/>
  <c r="I84" i="12"/>
  <c r="K84" i="12" s="1"/>
  <c r="I83" i="12"/>
  <c r="K83" i="12" s="1"/>
  <c r="I82" i="12"/>
  <c r="K82" i="12" s="1"/>
  <c r="I81" i="12"/>
  <c r="K81" i="12" s="1"/>
  <c r="I80" i="12"/>
  <c r="K80" i="12" s="1"/>
  <c r="I79" i="12"/>
  <c r="K79" i="12" s="1"/>
  <c r="I78" i="12"/>
  <c r="K78" i="12" s="1"/>
  <c r="J77" i="12"/>
  <c r="J65" i="12" s="1"/>
  <c r="J76" i="12"/>
  <c r="N74" i="12"/>
  <c r="N72" i="12" s="1"/>
  <c r="M74" i="12"/>
  <c r="L74" i="12"/>
  <c r="O74" i="12" s="1"/>
  <c r="P73" i="12"/>
  <c r="O73" i="12"/>
  <c r="N71" i="12"/>
  <c r="N69" i="12" s="1"/>
  <c r="M71" i="12"/>
  <c r="L71" i="12"/>
  <c r="O71" i="12" s="1"/>
  <c r="P70" i="12"/>
  <c r="O70" i="12"/>
  <c r="P67" i="12"/>
  <c r="N67" i="12"/>
  <c r="M67" i="12"/>
  <c r="L67" i="12"/>
  <c r="O67" i="12" s="1"/>
  <c r="J64" i="12"/>
  <c r="N61" i="12"/>
  <c r="M61" i="12"/>
  <c r="M59" i="12" s="1"/>
  <c r="L61" i="12"/>
  <c r="P60" i="12"/>
  <c r="O60" i="12"/>
  <c r="N58" i="12"/>
  <c r="N56" i="12" s="1"/>
  <c r="M58" i="12"/>
  <c r="M56" i="12" s="1"/>
  <c r="L58" i="12"/>
  <c r="L56" i="12" s="1"/>
  <c r="P57" i="12"/>
  <c r="O57" i="12"/>
  <c r="O54" i="12"/>
  <c r="N54" i="12"/>
  <c r="M54" i="12"/>
  <c r="L54" i="12"/>
  <c r="N49" i="12"/>
  <c r="N47" i="12" s="1"/>
  <c r="M49" i="12"/>
  <c r="M47" i="12" s="1"/>
  <c r="P47" i="12" s="1"/>
  <c r="L49" i="12"/>
  <c r="O49" i="12" s="1"/>
  <c r="P48" i="12"/>
  <c r="O48" i="12"/>
  <c r="N46" i="12"/>
  <c r="N44" i="12" s="1"/>
  <c r="M46" i="12"/>
  <c r="M44" i="12" s="1"/>
  <c r="L46" i="12"/>
  <c r="P45" i="12"/>
  <c r="O45" i="12"/>
  <c r="O42" i="12"/>
  <c r="N42" i="12"/>
  <c r="M42" i="12"/>
  <c r="P42" i="12" s="1"/>
  <c r="L42" i="12"/>
  <c r="P36" i="12"/>
  <c r="N36" i="12"/>
  <c r="M36" i="12"/>
  <c r="M34" i="12" s="1"/>
  <c r="P34" i="12" s="1"/>
  <c r="P35" i="12"/>
  <c r="O35" i="12"/>
  <c r="N35" i="12"/>
  <c r="M35" i="12"/>
  <c r="L35" i="12"/>
  <c r="N34" i="12"/>
  <c r="P33" i="12"/>
  <c r="N33" i="12"/>
  <c r="N30" i="12" s="1"/>
  <c r="M33" i="12"/>
  <c r="N32" i="12"/>
  <c r="N29" i="12" s="1"/>
  <c r="N28" i="12" s="1"/>
  <c r="M32" i="12"/>
  <c r="M31" i="12" s="1"/>
  <c r="P31" i="12" s="1"/>
  <c r="L32" i="12"/>
  <c r="O32" i="12" s="1"/>
  <c r="M30" i="12"/>
  <c r="P30" i="12" s="1"/>
  <c r="O29" i="12"/>
  <c r="L29" i="12"/>
  <c r="O25" i="12"/>
  <c r="N25" i="12"/>
  <c r="M25" i="12"/>
  <c r="M19" i="12" s="1"/>
  <c r="L25" i="12"/>
  <c r="P22" i="12"/>
  <c r="N22" i="12"/>
  <c r="M22" i="12"/>
  <c r="L22" i="12"/>
  <c r="L19" i="12" s="1"/>
  <c r="N15" i="12"/>
  <c r="L12" i="12"/>
  <c r="O12" i="12" s="1"/>
  <c r="J828" i="11"/>
  <c r="I828" i="11"/>
  <c r="J827" i="11"/>
  <c r="I827" i="11"/>
  <c r="J826" i="11"/>
  <c r="I826" i="11"/>
  <c r="J825" i="11"/>
  <c r="I825" i="11"/>
  <c r="J824" i="11"/>
  <c r="I824" i="11"/>
  <c r="J823" i="11"/>
  <c r="I823" i="11"/>
  <c r="J822" i="11"/>
  <c r="I822" i="11"/>
  <c r="J821" i="11"/>
  <c r="I821" i="11"/>
  <c r="P817" i="11"/>
  <c r="O817" i="11"/>
  <c r="P816" i="11"/>
  <c r="O816" i="11"/>
  <c r="O815" i="11"/>
  <c r="N815" i="11"/>
  <c r="M815" i="11"/>
  <c r="P815" i="11" s="1"/>
  <c r="L815" i="11"/>
  <c r="P810" i="11"/>
  <c r="O810" i="11"/>
  <c r="N810" i="11"/>
  <c r="P809" i="11"/>
  <c r="O809" i="11"/>
  <c r="O808" i="11"/>
  <c r="M808" i="11"/>
  <c r="P808" i="11" s="1"/>
  <c r="L808" i="11"/>
  <c r="P807" i="11"/>
  <c r="M807" i="11"/>
  <c r="L807" i="11"/>
  <c r="O806" i="11"/>
  <c r="N806" i="11"/>
  <c r="M806" i="11"/>
  <c r="P806" i="11" s="1"/>
  <c r="L806" i="11"/>
  <c r="P805" i="11"/>
  <c r="M805" i="11"/>
  <c r="K804" i="11"/>
  <c r="J804" i="11"/>
  <c r="K802" i="11"/>
  <c r="J801" i="11"/>
  <c r="J800" i="11"/>
  <c r="J785" i="11" s="1"/>
  <c r="I800" i="11"/>
  <c r="I785" i="11" s="1"/>
  <c r="P798" i="11"/>
  <c r="O798" i="11"/>
  <c r="P797" i="11"/>
  <c r="O797" i="11"/>
  <c r="P796" i="11"/>
  <c r="N796" i="11"/>
  <c r="M796" i="11"/>
  <c r="L796" i="11"/>
  <c r="O796" i="11" s="1"/>
  <c r="P791" i="11"/>
  <c r="N791" i="11"/>
  <c r="L791" i="11"/>
  <c r="L788" i="11" s="1"/>
  <c r="P790" i="11"/>
  <c r="O790" i="11"/>
  <c r="N789" i="11"/>
  <c r="M789" i="11"/>
  <c r="P789" i="11" s="1"/>
  <c r="P788" i="11"/>
  <c r="N788" i="11"/>
  <c r="M788" i="11"/>
  <c r="O787" i="11"/>
  <c r="N787" i="11"/>
  <c r="M787" i="11"/>
  <c r="P787" i="11" s="1"/>
  <c r="L787" i="11"/>
  <c r="N786" i="11"/>
  <c r="P782" i="11"/>
  <c r="O782" i="11"/>
  <c r="P781" i="11"/>
  <c r="O781" i="11"/>
  <c r="P780" i="11"/>
  <c r="N780" i="11"/>
  <c r="M780" i="11"/>
  <c r="L780" i="11"/>
  <c r="O780" i="11" s="1"/>
  <c r="P775" i="11"/>
  <c r="O775" i="11"/>
  <c r="N775" i="11"/>
  <c r="N772" i="11" s="1"/>
  <c r="N770" i="11" s="1"/>
  <c r="P774" i="11"/>
  <c r="O774" i="11"/>
  <c r="P773" i="11"/>
  <c r="N773" i="11"/>
  <c r="M773" i="11"/>
  <c r="L773" i="11"/>
  <c r="O773" i="11" s="1"/>
  <c r="O772" i="11"/>
  <c r="M772" i="11"/>
  <c r="L772" i="11"/>
  <c r="P771" i="11"/>
  <c r="N771" i="11"/>
  <c r="M771" i="11"/>
  <c r="L771" i="11"/>
  <c r="K769" i="11"/>
  <c r="J769" i="11"/>
  <c r="P766" i="11"/>
  <c r="O766" i="11"/>
  <c r="P765" i="11"/>
  <c r="O765" i="11"/>
  <c r="P764" i="11"/>
  <c r="N764" i="11"/>
  <c r="M764" i="11"/>
  <c r="L764" i="11"/>
  <c r="O764" i="11" s="1"/>
  <c r="P759" i="11"/>
  <c r="O759" i="11"/>
  <c r="N759" i="11"/>
  <c r="N756" i="11" s="1"/>
  <c r="P758" i="11"/>
  <c r="O758" i="11"/>
  <c r="P757" i="11"/>
  <c r="N757" i="11"/>
  <c r="M757" i="11"/>
  <c r="L757" i="11"/>
  <c r="O757" i="11" s="1"/>
  <c r="O756" i="11"/>
  <c r="M756" i="11"/>
  <c r="L756" i="11"/>
  <c r="P755" i="11"/>
  <c r="N755" i="11"/>
  <c r="N754" i="11" s="1"/>
  <c r="M755" i="11"/>
  <c r="L755" i="11"/>
  <c r="K753" i="11"/>
  <c r="J753" i="11"/>
  <c r="P749" i="11"/>
  <c r="O749" i="11"/>
  <c r="P748" i="11"/>
  <c r="O748" i="11"/>
  <c r="P747" i="11"/>
  <c r="N747" i="11"/>
  <c r="M747" i="11"/>
  <c r="L747" i="11"/>
  <c r="O747" i="11" s="1"/>
  <c r="P742" i="11"/>
  <c r="O742" i="11"/>
  <c r="N742" i="11"/>
  <c r="N739" i="11" s="1"/>
  <c r="P741" i="11"/>
  <c r="O741" i="11"/>
  <c r="P740" i="11"/>
  <c r="N740" i="11"/>
  <c r="M740" i="11"/>
  <c r="L740" i="11"/>
  <c r="O740" i="11" s="1"/>
  <c r="O739" i="11"/>
  <c r="M739" i="11"/>
  <c r="L739" i="11"/>
  <c r="P738" i="11"/>
  <c r="N738" i="11"/>
  <c r="N737" i="11" s="1"/>
  <c r="M738" i="11"/>
  <c r="L738" i="11"/>
  <c r="K736" i="11"/>
  <c r="J736" i="11"/>
  <c r="J729" i="11"/>
  <c r="I729" i="11"/>
  <c r="K729" i="11" s="1"/>
  <c r="J728" i="11"/>
  <c r="I728" i="11"/>
  <c r="J727" i="11"/>
  <c r="J726" i="11"/>
  <c r="I726" i="11"/>
  <c r="J725" i="11"/>
  <c r="I725" i="11"/>
  <c r="K725" i="11" s="1"/>
  <c r="J724" i="11"/>
  <c r="J723" i="11"/>
  <c r="I723" i="11"/>
  <c r="K723" i="11" s="1"/>
  <c r="I722" i="11"/>
  <c r="I721" i="11"/>
  <c r="J720" i="11"/>
  <c r="I720" i="11"/>
  <c r="K720" i="11" s="1"/>
  <c r="J719" i="11"/>
  <c r="J718" i="11"/>
  <c r="J708" i="11"/>
  <c r="I708" i="11"/>
  <c r="K708" i="11" s="1"/>
  <c r="I707" i="11"/>
  <c r="I704" i="11"/>
  <c r="J701" i="11"/>
  <c r="I701" i="11"/>
  <c r="J700" i="11"/>
  <c r="I700" i="11"/>
  <c r="J699" i="11"/>
  <c r="I699" i="11"/>
  <c r="P697" i="11"/>
  <c r="O697" i="11"/>
  <c r="P696" i="11"/>
  <c r="O696" i="11"/>
  <c r="P695" i="11"/>
  <c r="N695" i="11"/>
  <c r="M695" i="11"/>
  <c r="L695" i="11"/>
  <c r="O695" i="11" s="1"/>
  <c r="P690" i="11"/>
  <c r="N690" i="11"/>
  <c r="N688" i="11" s="1"/>
  <c r="L690" i="11"/>
  <c r="L688" i="11" s="1"/>
  <c r="M688" i="11"/>
  <c r="P688" i="11" s="1"/>
  <c r="P687" i="11"/>
  <c r="N687" i="11"/>
  <c r="M687" i="11"/>
  <c r="O686" i="11"/>
  <c r="N686" i="11"/>
  <c r="N685" i="11" s="1"/>
  <c r="M686" i="11"/>
  <c r="P686" i="11" s="1"/>
  <c r="L686" i="11"/>
  <c r="P685" i="11"/>
  <c r="M685" i="11"/>
  <c r="J679" i="11"/>
  <c r="J678" i="11"/>
  <c r="I678" i="11"/>
  <c r="K678" i="11" s="1"/>
  <c r="J675" i="11"/>
  <c r="J669" i="11" s="1"/>
  <c r="J654" i="11" s="1"/>
  <c r="I671" i="11"/>
  <c r="K671" i="11" s="1"/>
  <c r="I670" i="11"/>
  <c r="K670" i="11" s="1"/>
  <c r="I669" i="11"/>
  <c r="K675" i="11" s="1"/>
  <c r="P667" i="11"/>
  <c r="O667" i="11"/>
  <c r="P666" i="11"/>
  <c r="O666" i="11"/>
  <c r="O665" i="11"/>
  <c r="N665" i="11"/>
  <c r="M665" i="11"/>
  <c r="P665" i="11" s="1"/>
  <c r="L665" i="11"/>
  <c r="P660" i="11"/>
  <c r="N660" i="11"/>
  <c r="N657" i="11" s="1"/>
  <c r="L660" i="11"/>
  <c r="P659" i="11"/>
  <c r="O659" i="11"/>
  <c r="P658" i="11"/>
  <c r="N658" i="11"/>
  <c r="M658" i="11"/>
  <c r="M657" i="11"/>
  <c r="P657" i="11" s="1"/>
  <c r="P656" i="11"/>
  <c r="N656" i="11"/>
  <c r="N655" i="11" s="1"/>
  <c r="M656" i="11"/>
  <c r="L656" i="11"/>
  <c r="M655" i="11"/>
  <c r="P655" i="11" s="1"/>
  <c r="K652" i="11"/>
  <c r="J652" i="11"/>
  <c r="J651" i="11"/>
  <c r="J628" i="11" s="1"/>
  <c r="I651" i="11"/>
  <c r="K650" i="11"/>
  <c r="J650" i="11"/>
  <c r="J649" i="11"/>
  <c r="I649" i="11"/>
  <c r="K648" i="11"/>
  <c r="J648" i="11"/>
  <c r="J647" i="11"/>
  <c r="I647" i="11"/>
  <c r="K646" i="11"/>
  <c r="J646" i="11"/>
  <c r="K645" i="11"/>
  <c r="J645" i="11"/>
  <c r="I644" i="11"/>
  <c r="K644" i="11" s="1"/>
  <c r="I643" i="11"/>
  <c r="K643" i="11" s="1"/>
  <c r="P641" i="11"/>
  <c r="L641" i="11"/>
  <c r="P640" i="11"/>
  <c r="O640" i="11"/>
  <c r="N639" i="11"/>
  <c r="M639" i="11"/>
  <c r="P639" i="11" s="1"/>
  <c r="P634" i="11"/>
  <c r="N634" i="11"/>
  <c r="L634" i="11"/>
  <c r="O634" i="11" s="1"/>
  <c r="P633" i="11"/>
  <c r="O633" i="11"/>
  <c r="P632" i="11"/>
  <c r="N632" i="11"/>
  <c r="M632" i="11"/>
  <c r="N631" i="11"/>
  <c r="M631" i="11"/>
  <c r="P631" i="11" s="1"/>
  <c r="P630" i="11"/>
  <c r="N630" i="11"/>
  <c r="N629" i="11" s="1"/>
  <c r="M630" i="11"/>
  <c r="M629" i="11" s="1"/>
  <c r="P629" i="11" s="1"/>
  <c r="L630" i="11"/>
  <c r="O630" i="11" s="1"/>
  <c r="J621" i="11"/>
  <c r="I621" i="11"/>
  <c r="K621" i="11" s="1"/>
  <c r="J620" i="11"/>
  <c r="I620" i="11"/>
  <c r="K620" i="11" s="1"/>
  <c r="K613" i="11"/>
  <c r="J613" i="11"/>
  <c r="K612" i="11"/>
  <c r="J612" i="11"/>
  <c r="K611" i="11"/>
  <c r="J611" i="11"/>
  <c r="J604" i="11"/>
  <c r="J603" i="11"/>
  <c r="J596" i="11"/>
  <c r="J595" i="11"/>
  <c r="J594" i="11"/>
  <c r="I594" i="11"/>
  <c r="K594" i="11" s="1"/>
  <c r="J593" i="11"/>
  <c r="I593" i="11"/>
  <c r="I592" i="11" s="1"/>
  <c r="J592" i="11"/>
  <c r="J583" i="11"/>
  <c r="J577" i="11" s="1"/>
  <c r="J582" i="11"/>
  <c r="J576" i="11" s="1"/>
  <c r="J559" i="11" s="1"/>
  <c r="J543" i="11" s="1"/>
  <c r="I577" i="11"/>
  <c r="K577" i="11" s="1"/>
  <c r="I576" i="11"/>
  <c r="K576" i="11" s="1"/>
  <c r="J569" i="11"/>
  <c r="I569" i="11"/>
  <c r="K569" i="11" s="1"/>
  <c r="J568" i="11"/>
  <c r="I568" i="11"/>
  <c r="K568" i="11" s="1"/>
  <c r="J561" i="11"/>
  <c r="I561" i="11"/>
  <c r="K561" i="11" s="1"/>
  <c r="J560" i="11"/>
  <c r="I560" i="11"/>
  <c r="K560" i="11" s="1"/>
  <c r="P557" i="11"/>
  <c r="L557" i="11"/>
  <c r="O557" i="11" s="1"/>
  <c r="P556" i="11"/>
  <c r="O556" i="11"/>
  <c r="P555" i="11"/>
  <c r="N555" i="11"/>
  <c r="N545" i="11" s="1"/>
  <c r="N544" i="11" s="1"/>
  <c r="M555" i="11"/>
  <c r="P549" i="11"/>
  <c r="N549" i="11"/>
  <c r="L549" i="11"/>
  <c r="O549" i="11" s="1"/>
  <c r="P548" i="11"/>
  <c r="O548" i="11"/>
  <c r="N547" i="11"/>
  <c r="M547" i="11"/>
  <c r="P547" i="11" s="1"/>
  <c r="P546" i="11"/>
  <c r="N546" i="11"/>
  <c r="M546" i="11"/>
  <c r="O545" i="11"/>
  <c r="M545" i="11"/>
  <c r="L545" i="11"/>
  <c r="I542" i="11"/>
  <c r="K542" i="11" s="1"/>
  <c r="I541" i="11"/>
  <c r="K541" i="11" s="1"/>
  <c r="I540" i="11"/>
  <c r="K540" i="11" s="1"/>
  <c r="I539" i="11"/>
  <c r="I538" i="11"/>
  <c r="K538" i="11" s="1"/>
  <c r="I537" i="11"/>
  <c r="I522" i="11" s="1"/>
  <c r="K522" i="11" s="1"/>
  <c r="P535" i="11"/>
  <c r="L535" i="11"/>
  <c r="O535" i="11" s="1"/>
  <c r="P534" i="11"/>
  <c r="O534" i="11"/>
  <c r="P533" i="11"/>
  <c r="N533" i="11"/>
  <c r="M533" i="11"/>
  <c r="P528" i="11"/>
  <c r="N528" i="11"/>
  <c r="L528" i="11"/>
  <c r="P527" i="11"/>
  <c r="O527" i="11"/>
  <c r="N526" i="11"/>
  <c r="M526" i="11"/>
  <c r="P526" i="11" s="1"/>
  <c r="P525" i="11"/>
  <c r="N525" i="11"/>
  <c r="M525" i="11"/>
  <c r="O524" i="11"/>
  <c r="N524" i="11"/>
  <c r="N523" i="11" s="1"/>
  <c r="M524" i="11"/>
  <c r="P524" i="11" s="1"/>
  <c r="L524" i="11"/>
  <c r="M523" i="11"/>
  <c r="P523" i="11" s="1"/>
  <c r="K517" i="11"/>
  <c r="J517" i="11"/>
  <c r="J501" i="11" s="1"/>
  <c r="K516" i="11"/>
  <c r="P514" i="11"/>
  <c r="O514" i="11"/>
  <c r="P513" i="11"/>
  <c r="O513" i="11"/>
  <c r="P512" i="11"/>
  <c r="O512" i="11"/>
  <c r="N512" i="11"/>
  <c r="M512" i="11"/>
  <c r="L512" i="11"/>
  <c r="P507" i="11"/>
  <c r="O507" i="11"/>
  <c r="N507" i="11"/>
  <c r="P506" i="11"/>
  <c r="O506" i="11"/>
  <c r="O505" i="11"/>
  <c r="N505" i="11"/>
  <c r="M505" i="11"/>
  <c r="P505" i="11" s="1"/>
  <c r="L505" i="11"/>
  <c r="P504" i="11"/>
  <c r="N504" i="11"/>
  <c r="M504" i="11"/>
  <c r="L504" i="11"/>
  <c r="O504" i="11" s="1"/>
  <c r="O503" i="11"/>
  <c r="N503" i="11"/>
  <c r="M503" i="11"/>
  <c r="M502" i="11" s="1"/>
  <c r="P502" i="11" s="1"/>
  <c r="L503" i="11"/>
  <c r="L502" i="11" s="1"/>
  <c r="O502" i="11" s="1"/>
  <c r="N502" i="11"/>
  <c r="K501" i="11"/>
  <c r="K500" i="11"/>
  <c r="J500" i="11"/>
  <c r="I498" i="11"/>
  <c r="K498" i="11" s="1"/>
  <c r="I495" i="11"/>
  <c r="K495" i="11" s="1"/>
  <c r="I492" i="11"/>
  <c r="K492" i="11" s="1"/>
  <c r="I489" i="11"/>
  <c r="K489" i="11" s="1"/>
  <c r="I487" i="11"/>
  <c r="K487" i="11" s="1"/>
  <c r="I485" i="11"/>
  <c r="K485" i="11" s="1"/>
  <c r="I483" i="11"/>
  <c r="K483" i="11" s="1"/>
  <c r="P479" i="11"/>
  <c r="L479" i="11"/>
  <c r="P478" i="11"/>
  <c r="O478" i="11"/>
  <c r="P477" i="11"/>
  <c r="N477" i="11"/>
  <c r="M477" i="11"/>
  <c r="P472" i="11"/>
  <c r="N472" i="11"/>
  <c r="L472" i="11"/>
  <c r="L470" i="11" s="1"/>
  <c r="O470" i="11" s="1"/>
  <c r="P471" i="11"/>
  <c r="O471" i="11"/>
  <c r="N470" i="11"/>
  <c r="M470" i="11"/>
  <c r="P470" i="11" s="1"/>
  <c r="M469" i="11"/>
  <c r="P469" i="11" s="1"/>
  <c r="O468" i="11"/>
  <c r="N468" i="11"/>
  <c r="M468" i="11"/>
  <c r="L468" i="11"/>
  <c r="J466" i="11"/>
  <c r="I466" i="11"/>
  <c r="K466" i="11" s="1"/>
  <c r="J465" i="11"/>
  <c r="I465" i="11"/>
  <c r="K465" i="11" s="1"/>
  <c r="I464" i="11"/>
  <c r="I463" i="11"/>
  <c r="I462" i="11"/>
  <c r="K462" i="11" s="1"/>
  <c r="I460" i="11"/>
  <c r="K458" i="11"/>
  <c r="P456" i="11"/>
  <c r="L456" i="11"/>
  <c r="P455" i="11"/>
  <c r="O455" i="11"/>
  <c r="N454" i="11"/>
  <c r="M454" i="11"/>
  <c r="P454" i="11" s="1"/>
  <c r="P449" i="11"/>
  <c r="N449" i="11"/>
  <c r="L449" i="11"/>
  <c r="O449" i="11" s="1"/>
  <c r="P448" i="11"/>
  <c r="O448" i="11"/>
  <c r="P447" i="11"/>
  <c r="N447" i="11"/>
  <c r="M447" i="11"/>
  <c r="L447" i="11"/>
  <c r="O447" i="11" s="1"/>
  <c r="N446" i="11"/>
  <c r="M446" i="11"/>
  <c r="P446" i="11" s="1"/>
  <c r="N445" i="11"/>
  <c r="N444" i="11" s="1"/>
  <c r="M445" i="11"/>
  <c r="M444" i="11" s="1"/>
  <c r="P444" i="11" s="1"/>
  <c r="L445" i="11"/>
  <c r="O445" i="11" s="1"/>
  <c r="J443" i="11"/>
  <c r="J442" i="11"/>
  <c r="I441" i="11"/>
  <c r="K441" i="11" s="1"/>
  <c r="I440" i="11"/>
  <c r="K440" i="11" s="1"/>
  <c r="I439" i="11"/>
  <c r="K439" i="11" s="1"/>
  <c r="I438" i="11"/>
  <c r="K438" i="11" s="1"/>
  <c r="I437" i="11"/>
  <c r="K437" i="11" s="1"/>
  <c r="I435" i="11"/>
  <c r="J434" i="11"/>
  <c r="P431" i="11"/>
  <c r="L431" i="11"/>
  <c r="P430" i="11"/>
  <c r="O430" i="11"/>
  <c r="P429" i="11"/>
  <c r="N429" i="11"/>
  <c r="M429" i="11"/>
  <c r="P424" i="11"/>
  <c r="N424" i="11"/>
  <c r="L424" i="11"/>
  <c r="L422" i="11" s="1"/>
  <c r="O422" i="11" s="1"/>
  <c r="P423" i="11"/>
  <c r="O423" i="11"/>
  <c r="P422" i="11"/>
  <c r="N422" i="11"/>
  <c r="M422" i="11"/>
  <c r="N421" i="11"/>
  <c r="M421" i="11"/>
  <c r="P421" i="11" s="1"/>
  <c r="N420" i="11"/>
  <c r="M420" i="11"/>
  <c r="P420" i="11" s="1"/>
  <c r="L420" i="11"/>
  <c r="O420" i="11" s="1"/>
  <c r="M419" i="11"/>
  <c r="J418" i="11"/>
  <c r="K413" i="11"/>
  <c r="K412" i="11"/>
  <c r="N410" i="11"/>
  <c r="N408" i="11" s="1"/>
  <c r="M410" i="11"/>
  <c r="P410" i="11" s="1"/>
  <c r="L410" i="11"/>
  <c r="O410" i="11" s="1"/>
  <c r="P409" i="11"/>
  <c r="O409" i="11"/>
  <c r="N407" i="11"/>
  <c r="M407" i="11"/>
  <c r="P407" i="11" s="1"/>
  <c r="L407" i="11"/>
  <c r="O407" i="11" s="1"/>
  <c r="P406" i="11"/>
  <c r="O406" i="11"/>
  <c r="P403" i="11"/>
  <c r="N403" i="11"/>
  <c r="M403" i="11"/>
  <c r="L403" i="11"/>
  <c r="J401" i="11"/>
  <c r="I401" i="11"/>
  <c r="K401" i="11" s="1"/>
  <c r="K400" i="11"/>
  <c r="K399" i="11"/>
  <c r="N397" i="11"/>
  <c r="N395" i="11" s="1"/>
  <c r="M397" i="11"/>
  <c r="L397" i="11"/>
  <c r="P396" i="11"/>
  <c r="O396" i="11"/>
  <c r="N394" i="11"/>
  <c r="M394" i="11"/>
  <c r="L394" i="11"/>
  <c r="O394" i="11" s="1"/>
  <c r="P393" i="11"/>
  <c r="O393" i="11"/>
  <c r="P390" i="11"/>
  <c r="N390" i="11"/>
  <c r="M390" i="11"/>
  <c r="L390" i="11"/>
  <c r="O390" i="11" s="1"/>
  <c r="J388" i="11"/>
  <c r="I388" i="11"/>
  <c r="K388" i="11" s="1"/>
  <c r="J385" i="11"/>
  <c r="I385" i="11"/>
  <c r="K382" i="11"/>
  <c r="J382" i="11"/>
  <c r="J381" i="11"/>
  <c r="J374" i="11" s="1"/>
  <c r="I381" i="11"/>
  <c r="K380" i="11"/>
  <c r="J380" i="11"/>
  <c r="J379" i="11"/>
  <c r="I379" i="11"/>
  <c r="J378" i="11"/>
  <c r="I378" i="11"/>
  <c r="K377" i="11"/>
  <c r="J377" i="11"/>
  <c r="I374" i="11"/>
  <c r="K373" i="11"/>
  <c r="J373" i="11"/>
  <c r="J372" i="11"/>
  <c r="J365" i="11" s="1"/>
  <c r="I372" i="11"/>
  <c r="K371" i="11"/>
  <c r="J371" i="11"/>
  <c r="J370" i="11"/>
  <c r="I370" i="11"/>
  <c r="J369" i="11"/>
  <c r="I369" i="11"/>
  <c r="K368" i="11"/>
  <c r="J368" i="11"/>
  <c r="I365" i="11"/>
  <c r="K363" i="11"/>
  <c r="J363" i="11"/>
  <c r="J362" i="11"/>
  <c r="J355" i="11" s="1"/>
  <c r="I362" i="11"/>
  <c r="K361" i="11"/>
  <c r="J361" i="11"/>
  <c r="J360" i="11"/>
  <c r="I360" i="11"/>
  <c r="J359" i="11"/>
  <c r="I359" i="11"/>
  <c r="K358" i="11"/>
  <c r="J358" i="11"/>
  <c r="I355" i="11"/>
  <c r="N353" i="11"/>
  <c r="M353" i="11"/>
  <c r="L353" i="11"/>
  <c r="L351" i="11" s="1"/>
  <c r="P352" i="11"/>
  <c r="O352" i="11"/>
  <c r="N350" i="11"/>
  <c r="N348" i="11" s="1"/>
  <c r="M350" i="11"/>
  <c r="L350" i="11"/>
  <c r="L348" i="11" s="1"/>
  <c r="P349" i="11"/>
  <c r="O349" i="11"/>
  <c r="P346" i="11"/>
  <c r="N346" i="11"/>
  <c r="M346" i="11"/>
  <c r="L346" i="11"/>
  <c r="J343" i="11"/>
  <c r="J342" i="11"/>
  <c r="J341" i="11"/>
  <c r="J340" i="11"/>
  <c r="I340" i="11"/>
  <c r="J338" i="11"/>
  <c r="I338" i="11"/>
  <c r="N336" i="11"/>
  <c r="N334" i="11" s="1"/>
  <c r="M336" i="11"/>
  <c r="L336" i="11"/>
  <c r="O336" i="11" s="1"/>
  <c r="P335" i="11"/>
  <c r="O335" i="11"/>
  <c r="N333" i="11"/>
  <c r="N331" i="11" s="1"/>
  <c r="M333" i="11"/>
  <c r="L333" i="11"/>
  <c r="P332" i="11"/>
  <c r="O332" i="11"/>
  <c r="O329" i="11"/>
  <c r="N329" i="11"/>
  <c r="M329" i="11"/>
  <c r="P329" i="11" s="1"/>
  <c r="L329" i="11"/>
  <c r="I327" i="11"/>
  <c r="I325" i="11"/>
  <c r="I314" i="11" s="1"/>
  <c r="K314" i="11" s="1"/>
  <c r="N323" i="11"/>
  <c r="N321" i="11" s="1"/>
  <c r="M323" i="11"/>
  <c r="P323" i="11" s="1"/>
  <c r="L323" i="11"/>
  <c r="O323" i="11" s="1"/>
  <c r="P322" i="11"/>
  <c r="O322" i="11"/>
  <c r="N320" i="11"/>
  <c r="N318" i="11" s="1"/>
  <c r="M320" i="11"/>
  <c r="P320" i="11" s="1"/>
  <c r="L320" i="11"/>
  <c r="L318" i="11" s="1"/>
  <c r="O318" i="11" s="1"/>
  <c r="P319" i="11"/>
  <c r="O319" i="11"/>
  <c r="P316" i="11"/>
  <c r="N316" i="11"/>
  <c r="M316" i="11"/>
  <c r="L316" i="11"/>
  <c r="J314" i="11"/>
  <c r="I312" i="11"/>
  <c r="K312" i="11" s="1"/>
  <c r="I311" i="11"/>
  <c r="K311" i="11" s="1"/>
  <c r="I310" i="11"/>
  <c r="K310" i="11" s="1"/>
  <c r="I309" i="11"/>
  <c r="N306" i="11"/>
  <c r="N304" i="11" s="1"/>
  <c r="M306" i="11"/>
  <c r="L306" i="11"/>
  <c r="O306" i="11" s="1"/>
  <c r="P305" i="11"/>
  <c r="O305" i="11"/>
  <c r="N303" i="11"/>
  <c r="N301" i="11" s="1"/>
  <c r="M303" i="11"/>
  <c r="M301" i="11" s="1"/>
  <c r="L303" i="11"/>
  <c r="P302" i="11"/>
  <c r="O302" i="11"/>
  <c r="P299" i="11"/>
  <c r="O299" i="11"/>
  <c r="N299" i="11"/>
  <c r="M299" i="11"/>
  <c r="L299" i="11"/>
  <c r="J297" i="11"/>
  <c r="I294" i="11"/>
  <c r="K294" i="11" s="1"/>
  <c r="I293" i="11"/>
  <c r="K293" i="11" s="1"/>
  <c r="I291" i="11"/>
  <c r="K291" i="11" s="1"/>
  <c r="I290" i="11"/>
  <c r="K290" i="11" s="1"/>
  <c r="I288" i="11"/>
  <c r="I287" i="11"/>
  <c r="N285" i="11"/>
  <c r="N283" i="11" s="1"/>
  <c r="M285" i="11"/>
  <c r="P285" i="11" s="1"/>
  <c r="L285" i="11"/>
  <c r="O285" i="11" s="1"/>
  <c r="P284" i="11"/>
  <c r="O284" i="11"/>
  <c r="N282" i="11"/>
  <c r="M282" i="11"/>
  <c r="M280" i="11" s="1"/>
  <c r="L282" i="11"/>
  <c r="P281" i="11"/>
  <c r="O281" i="11"/>
  <c r="P278" i="11"/>
  <c r="O278" i="11"/>
  <c r="N278" i="11"/>
  <c r="M278" i="11"/>
  <c r="L278" i="11"/>
  <c r="J276" i="11"/>
  <c r="I271" i="11"/>
  <c r="N269" i="11"/>
  <c r="N267" i="11" s="1"/>
  <c r="M269" i="11"/>
  <c r="P269" i="11" s="1"/>
  <c r="L269" i="11"/>
  <c r="O269" i="11" s="1"/>
  <c r="P268" i="11"/>
  <c r="O268" i="11"/>
  <c r="N266" i="11"/>
  <c r="N264" i="11" s="1"/>
  <c r="M266" i="11"/>
  <c r="L266" i="11"/>
  <c r="L264" i="11" s="1"/>
  <c r="P265" i="11"/>
  <c r="O265" i="11"/>
  <c r="P262" i="11"/>
  <c r="O262" i="11"/>
  <c r="N262" i="11"/>
  <c r="M262" i="11"/>
  <c r="L262" i="11"/>
  <c r="J260" i="11"/>
  <c r="K258" i="11"/>
  <c r="K257" i="11"/>
  <c r="I255" i="11"/>
  <c r="I248" i="11" s="1"/>
  <c r="K248" i="11" s="1"/>
  <c r="L253" i="11"/>
  <c r="L252" i="11"/>
  <c r="L251" i="11"/>
  <c r="L250" i="11"/>
  <c r="P249" i="11"/>
  <c r="N249" i="11"/>
  <c r="J248" i="11"/>
  <c r="K247" i="11"/>
  <c r="K246" i="11"/>
  <c r="I244" i="11"/>
  <c r="L242" i="11"/>
  <c r="L241" i="11"/>
  <c r="L240" i="11"/>
  <c r="L239" i="11"/>
  <c r="P238" i="11"/>
  <c r="N238" i="11"/>
  <c r="J237" i="11"/>
  <c r="J226" i="11" s="1"/>
  <c r="J180" i="11" s="1"/>
  <c r="J236" i="11"/>
  <c r="I236" i="11"/>
  <c r="K236" i="11" s="1"/>
  <c r="J235" i="11"/>
  <c r="I235" i="11"/>
  <c r="K235" i="11" s="1"/>
  <c r="J233" i="11"/>
  <c r="N231" i="11"/>
  <c r="N230" i="11"/>
  <c r="N229" i="11"/>
  <c r="N228" i="11"/>
  <c r="N227" i="11"/>
  <c r="I225" i="11"/>
  <c r="K225" i="11" s="1"/>
  <c r="I224" i="11"/>
  <c r="I216" i="11" s="1"/>
  <c r="K216" i="11" s="1"/>
  <c r="I223" i="11"/>
  <c r="K223" i="11" s="1"/>
  <c r="L220" i="11"/>
  <c r="L219" i="11"/>
  <c r="L218" i="11"/>
  <c r="P217" i="11"/>
  <c r="N217" i="11"/>
  <c r="J216" i="11"/>
  <c r="I215" i="11"/>
  <c r="I214" i="11"/>
  <c r="K214" i="11" s="1"/>
  <c r="L212" i="11"/>
  <c r="L211" i="11"/>
  <c r="L210" i="11"/>
  <c r="P209" i="11"/>
  <c r="N209" i="11"/>
  <c r="J208" i="11"/>
  <c r="K207" i="11"/>
  <c r="K206" i="11"/>
  <c r="I204" i="11"/>
  <c r="L202" i="11"/>
  <c r="L201" i="11"/>
  <c r="L200" i="11"/>
  <c r="L199" i="11"/>
  <c r="P198" i="11"/>
  <c r="N198" i="11"/>
  <c r="J197" i="11"/>
  <c r="J194" i="11"/>
  <c r="I193" i="11"/>
  <c r="K193" i="11" s="1"/>
  <c r="P191" i="11"/>
  <c r="L191" i="11"/>
  <c r="O191" i="11" s="1"/>
  <c r="J190" i="11"/>
  <c r="N189" i="11"/>
  <c r="N187" i="11" s="1"/>
  <c r="M189" i="11"/>
  <c r="L189" i="11"/>
  <c r="L187" i="11" s="1"/>
  <c r="O187" i="11" s="1"/>
  <c r="P188" i="11"/>
  <c r="O188" i="11"/>
  <c r="N186" i="11"/>
  <c r="M186" i="11"/>
  <c r="M184" i="11" s="1"/>
  <c r="L186" i="11"/>
  <c r="P185" i="11"/>
  <c r="O185" i="11"/>
  <c r="O182" i="11"/>
  <c r="N182" i="11"/>
  <c r="M182" i="11"/>
  <c r="P182" i="11" s="1"/>
  <c r="L182" i="11"/>
  <c r="K180" i="11"/>
  <c r="J177" i="11"/>
  <c r="I176" i="11"/>
  <c r="J174" i="11"/>
  <c r="N173" i="11"/>
  <c r="N171" i="11" s="1"/>
  <c r="M173" i="11"/>
  <c r="L173" i="11"/>
  <c r="L171" i="11" s="1"/>
  <c r="O171" i="11" s="1"/>
  <c r="P172" i="11"/>
  <c r="O172" i="11"/>
  <c r="N170" i="11"/>
  <c r="M170" i="11"/>
  <c r="M168" i="11" s="1"/>
  <c r="L170" i="11"/>
  <c r="P169" i="11"/>
  <c r="O169" i="11"/>
  <c r="P166" i="11"/>
  <c r="N166" i="11"/>
  <c r="M166" i="11"/>
  <c r="L166" i="11"/>
  <c r="O166" i="11" s="1"/>
  <c r="J164" i="11"/>
  <c r="I159" i="11"/>
  <c r="K159" i="11" s="1"/>
  <c r="N157" i="11"/>
  <c r="N155" i="11" s="1"/>
  <c r="M157" i="11"/>
  <c r="M155" i="11" s="1"/>
  <c r="P155" i="11" s="1"/>
  <c r="L157" i="11"/>
  <c r="O157" i="11" s="1"/>
  <c r="P156" i="11"/>
  <c r="O156" i="11"/>
  <c r="N154" i="11"/>
  <c r="N152" i="11" s="1"/>
  <c r="M154" i="11"/>
  <c r="M152" i="11" s="1"/>
  <c r="L154" i="11"/>
  <c r="P153" i="11"/>
  <c r="O153" i="11"/>
  <c r="N150" i="11"/>
  <c r="M150" i="11"/>
  <c r="L150" i="11"/>
  <c r="O150" i="11" s="1"/>
  <c r="J148" i="11"/>
  <c r="I146" i="11"/>
  <c r="K146" i="11" s="1"/>
  <c r="I145" i="11"/>
  <c r="I144" i="11"/>
  <c r="K144" i="11" s="1"/>
  <c r="N140" i="11"/>
  <c r="N138" i="11" s="1"/>
  <c r="M140" i="11"/>
  <c r="L140" i="11"/>
  <c r="L138" i="11" s="1"/>
  <c r="P139" i="11"/>
  <c r="O139" i="11"/>
  <c r="N137" i="11"/>
  <c r="M137" i="11"/>
  <c r="M135" i="11" s="1"/>
  <c r="L137" i="11"/>
  <c r="L135" i="11" s="1"/>
  <c r="P136" i="11"/>
  <c r="O136" i="11"/>
  <c r="O133" i="11"/>
  <c r="N133" i="11"/>
  <c r="M133" i="11"/>
  <c r="P133" i="11" s="1"/>
  <c r="L133" i="11"/>
  <c r="J130" i="11"/>
  <c r="N127" i="11"/>
  <c r="N125" i="11" s="1"/>
  <c r="M127" i="11"/>
  <c r="M125" i="11" s="1"/>
  <c r="P125" i="11" s="1"/>
  <c r="L127" i="11"/>
  <c r="O127" i="11" s="1"/>
  <c r="P126" i="11"/>
  <c r="O126" i="11"/>
  <c r="N124" i="11"/>
  <c r="N122" i="11" s="1"/>
  <c r="M124" i="11"/>
  <c r="M122" i="11" s="1"/>
  <c r="P122" i="11" s="1"/>
  <c r="L124" i="11"/>
  <c r="O124" i="11" s="1"/>
  <c r="P123" i="11"/>
  <c r="O123" i="11"/>
  <c r="O120" i="11"/>
  <c r="N120" i="11"/>
  <c r="M120" i="11"/>
  <c r="P120" i="11" s="1"/>
  <c r="L120" i="11"/>
  <c r="I116" i="11"/>
  <c r="K116" i="11" s="1"/>
  <c r="I115" i="11"/>
  <c r="K115" i="11" s="1"/>
  <c r="I114" i="11"/>
  <c r="K114" i="11" s="1"/>
  <c r="I113" i="11"/>
  <c r="K113" i="11" s="1"/>
  <c r="J112" i="11"/>
  <c r="J111" i="11"/>
  <c r="I111" i="11"/>
  <c r="K111" i="11" s="1"/>
  <c r="I110" i="11"/>
  <c r="K110" i="11" s="1"/>
  <c r="I109" i="11"/>
  <c r="K109" i="11" s="1"/>
  <c r="I107" i="11"/>
  <c r="K107" i="11" s="1"/>
  <c r="I106" i="11"/>
  <c r="K106" i="11" s="1"/>
  <c r="I104" i="11"/>
  <c r="K104" i="11" s="1"/>
  <c r="I103" i="11"/>
  <c r="K103" i="11" s="1"/>
  <c r="I102" i="11"/>
  <c r="K102" i="11" s="1"/>
  <c r="J100" i="11"/>
  <c r="I100" i="11"/>
  <c r="K100" i="11" s="1"/>
  <c r="J99" i="11"/>
  <c r="I99" i="11"/>
  <c r="K99" i="11" s="1"/>
  <c r="J98" i="11"/>
  <c r="J86" i="11" s="1"/>
  <c r="I98" i="11"/>
  <c r="I86" i="11" s="1"/>
  <c r="N96" i="11"/>
  <c r="M96" i="11"/>
  <c r="P96" i="11" s="1"/>
  <c r="L96" i="11"/>
  <c r="O96" i="11" s="1"/>
  <c r="P95" i="11"/>
  <c r="O95" i="11"/>
  <c r="N93" i="11"/>
  <c r="N91" i="11" s="1"/>
  <c r="M93" i="11"/>
  <c r="M91" i="11" s="1"/>
  <c r="L93" i="11"/>
  <c r="P92" i="11"/>
  <c r="O92" i="11"/>
  <c r="N89" i="11"/>
  <c r="M89" i="11"/>
  <c r="L89" i="11"/>
  <c r="O89" i="11" s="1"/>
  <c r="J87" i="11"/>
  <c r="I84" i="11"/>
  <c r="K84" i="11" s="1"/>
  <c r="I83" i="11"/>
  <c r="K83" i="11" s="1"/>
  <c r="I82" i="11"/>
  <c r="K82" i="11" s="1"/>
  <c r="I81" i="11"/>
  <c r="K81" i="11" s="1"/>
  <c r="I80" i="11"/>
  <c r="K80" i="11" s="1"/>
  <c r="I79" i="11"/>
  <c r="K79" i="11" s="1"/>
  <c r="I78" i="11"/>
  <c r="K78" i="11" s="1"/>
  <c r="J77" i="11"/>
  <c r="J76" i="11"/>
  <c r="J64" i="11" s="1"/>
  <c r="N74" i="11"/>
  <c r="N72" i="11" s="1"/>
  <c r="M74" i="11"/>
  <c r="P74" i="11" s="1"/>
  <c r="L74" i="11"/>
  <c r="O74" i="11" s="1"/>
  <c r="P73" i="11"/>
  <c r="O73" i="11"/>
  <c r="N71" i="11"/>
  <c r="M71" i="11"/>
  <c r="M69" i="11" s="1"/>
  <c r="L71" i="11"/>
  <c r="L69" i="11" s="1"/>
  <c r="P70" i="11"/>
  <c r="O70" i="11"/>
  <c r="O67" i="11"/>
  <c r="N67" i="11"/>
  <c r="M67" i="11"/>
  <c r="L67" i="11"/>
  <c r="J65" i="11"/>
  <c r="N61" i="11"/>
  <c r="N59" i="11" s="1"/>
  <c r="M61" i="11"/>
  <c r="L61" i="11"/>
  <c r="P60" i="11"/>
  <c r="O60" i="11"/>
  <c r="N58" i="11"/>
  <c r="M58" i="11"/>
  <c r="M56" i="11" s="1"/>
  <c r="L58" i="11"/>
  <c r="L56" i="11" s="1"/>
  <c r="P57" i="11"/>
  <c r="O57" i="11"/>
  <c r="P54" i="11"/>
  <c r="N54" i="11"/>
  <c r="M54" i="11"/>
  <c r="L54" i="11"/>
  <c r="O54" i="11" s="1"/>
  <c r="N49" i="11"/>
  <c r="N47" i="11" s="1"/>
  <c r="M49" i="11"/>
  <c r="L49" i="11"/>
  <c r="P48" i="11"/>
  <c r="O48" i="11"/>
  <c r="N46" i="11"/>
  <c r="M46" i="11"/>
  <c r="L46" i="11"/>
  <c r="L44" i="11" s="1"/>
  <c r="P45" i="11"/>
  <c r="O45" i="11"/>
  <c r="P42" i="11"/>
  <c r="N42" i="11"/>
  <c r="M42" i="11"/>
  <c r="L42" i="11"/>
  <c r="O42" i="11" s="1"/>
  <c r="N36" i="11"/>
  <c r="M36" i="11"/>
  <c r="P35" i="11"/>
  <c r="N35" i="11"/>
  <c r="N34" i="11" s="1"/>
  <c r="M35" i="11"/>
  <c r="L35" i="11"/>
  <c r="L29" i="11" s="1"/>
  <c r="P33" i="11"/>
  <c r="N33" i="11"/>
  <c r="N30" i="11" s="1"/>
  <c r="M33" i="11"/>
  <c r="O32" i="11"/>
  <c r="N32" i="11"/>
  <c r="M32" i="11"/>
  <c r="P32" i="11" s="1"/>
  <c r="L32" i="11"/>
  <c r="N31" i="11"/>
  <c r="M31" i="11"/>
  <c r="P31" i="11" s="1"/>
  <c r="M30" i="11"/>
  <c r="P30" i="11" s="1"/>
  <c r="N29" i="11"/>
  <c r="N28" i="11" s="1"/>
  <c r="O25" i="11"/>
  <c r="N25" i="11"/>
  <c r="M25" i="11"/>
  <c r="P25" i="11" s="1"/>
  <c r="L25" i="11"/>
  <c r="P22" i="11"/>
  <c r="N22" i="11"/>
  <c r="M22" i="11"/>
  <c r="L22" i="11"/>
  <c r="N19" i="11"/>
  <c r="M19" i="11"/>
  <c r="P19" i="11" s="1"/>
  <c r="N15" i="11"/>
  <c r="L15" i="11"/>
  <c r="N12" i="11"/>
  <c r="N9" i="11" s="1"/>
  <c r="M12" i="11"/>
  <c r="P12" i="11" s="1"/>
  <c r="J828" i="10"/>
  <c r="I828" i="10"/>
  <c r="J827" i="10"/>
  <c r="I827" i="10"/>
  <c r="J826" i="10"/>
  <c r="I826" i="10"/>
  <c r="K826" i="10" s="1"/>
  <c r="J825" i="10"/>
  <c r="I825" i="10"/>
  <c r="K825" i="10" s="1"/>
  <c r="J824" i="10"/>
  <c r="I824" i="10"/>
  <c r="J823" i="10"/>
  <c r="I823" i="10"/>
  <c r="J822" i="10"/>
  <c r="I822" i="10"/>
  <c r="J821" i="10"/>
  <c r="I821" i="10"/>
  <c r="P817" i="10"/>
  <c r="O817" i="10"/>
  <c r="P816" i="10"/>
  <c r="O816" i="10"/>
  <c r="O815" i="10"/>
  <c r="N815" i="10"/>
  <c r="M815" i="10"/>
  <c r="P815" i="10" s="1"/>
  <c r="L815" i="10"/>
  <c r="P810" i="10"/>
  <c r="O810" i="10"/>
  <c r="N810" i="10"/>
  <c r="P809" i="10"/>
  <c r="O809" i="10"/>
  <c r="O808" i="10"/>
  <c r="M808" i="10"/>
  <c r="P808" i="10" s="1"/>
  <c r="L808" i="10"/>
  <c r="P807" i="10"/>
  <c r="M807" i="10"/>
  <c r="L807" i="10"/>
  <c r="O806" i="10"/>
  <c r="N806" i="10"/>
  <c r="M806" i="10"/>
  <c r="P806" i="10" s="1"/>
  <c r="L806" i="10"/>
  <c r="P805" i="10"/>
  <c r="M805" i="10"/>
  <c r="K804" i="10"/>
  <c r="J804" i="10"/>
  <c r="K802" i="10"/>
  <c r="J801" i="10"/>
  <c r="J800" i="10"/>
  <c r="I800" i="10"/>
  <c r="I785" i="10" s="1"/>
  <c r="P798" i="10"/>
  <c r="O798" i="10"/>
  <c r="P797" i="10"/>
  <c r="O797" i="10"/>
  <c r="P796" i="10"/>
  <c r="N796" i="10"/>
  <c r="M796" i="10"/>
  <c r="L796" i="10"/>
  <c r="O796" i="10" s="1"/>
  <c r="P791" i="10"/>
  <c r="N791" i="10"/>
  <c r="L791" i="10"/>
  <c r="L788" i="10" s="1"/>
  <c r="P790" i="10"/>
  <c r="O790" i="10"/>
  <c r="N789" i="10"/>
  <c r="M789" i="10"/>
  <c r="P789" i="10" s="1"/>
  <c r="P788" i="10"/>
  <c r="N788" i="10"/>
  <c r="M788" i="10"/>
  <c r="O787" i="10"/>
  <c r="N787" i="10"/>
  <c r="M787" i="10"/>
  <c r="P787" i="10" s="1"/>
  <c r="L787" i="10"/>
  <c r="P786" i="10"/>
  <c r="N786" i="10"/>
  <c r="M786" i="10"/>
  <c r="P782" i="10"/>
  <c r="O782" i="10"/>
  <c r="P781" i="10"/>
  <c r="O781" i="10"/>
  <c r="P780" i="10"/>
  <c r="N780" i="10"/>
  <c r="M780" i="10"/>
  <c r="L780" i="10"/>
  <c r="O780" i="10" s="1"/>
  <c r="P775" i="10"/>
  <c r="O775" i="10"/>
  <c r="N775" i="10"/>
  <c r="N772" i="10" s="1"/>
  <c r="N770" i="10" s="1"/>
  <c r="P774" i="10"/>
  <c r="O774" i="10"/>
  <c r="P773" i="10"/>
  <c r="N773" i="10"/>
  <c r="M773" i="10"/>
  <c r="L773" i="10"/>
  <c r="O773" i="10" s="1"/>
  <c r="O772" i="10"/>
  <c r="M772" i="10"/>
  <c r="L772" i="10"/>
  <c r="P771" i="10"/>
  <c r="N771" i="10"/>
  <c r="M771" i="10"/>
  <c r="L771" i="10"/>
  <c r="K769" i="10"/>
  <c r="J769" i="10"/>
  <c r="P766" i="10"/>
  <c r="O766" i="10"/>
  <c r="P765" i="10"/>
  <c r="O765" i="10"/>
  <c r="P764" i="10"/>
  <c r="N764" i="10"/>
  <c r="M764" i="10"/>
  <c r="L764" i="10"/>
  <c r="O764" i="10" s="1"/>
  <c r="P759" i="10"/>
  <c r="O759" i="10"/>
  <c r="N759" i="10"/>
  <c r="N756" i="10" s="1"/>
  <c r="N754" i="10" s="1"/>
  <c r="P758" i="10"/>
  <c r="O758" i="10"/>
  <c r="P757" i="10"/>
  <c r="N757" i="10"/>
  <c r="M757" i="10"/>
  <c r="L757" i="10"/>
  <c r="O757" i="10" s="1"/>
  <c r="O756" i="10"/>
  <c r="M756" i="10"/>
  <c r="L756" i="10"/>
  <c r="P755" i="10"/>
  <c r="N755" i="10"/>
  <c r="M755" i="10"/>
  <c r="L755" i="10"/>
  <c r="K753" i="10"/>
  <c r="J753" i="10"/>
  <c r="P749" i="10"/>
  <c r="O749" i="10"/>
  <c r="P748" i="10"/>
  <c r="O748" i="10"/>
  <c r="P747" i="10"/>
  <c r="N747" i="10"/>
  <c r="M747" i="10"/>
  <c r="L747" i="10"/>
  <c r="O747" i="10" s="1"/>
  <c r="P742" i="10"/>
  <c r="O742" i="10"/>
  <c r="N742" i="10"/>
  <c r="N739" i="10" s="1"/>
  <c r="N737" i="10" s="1"/>
  <c r="P741" i="10"/>
  <c r="O741" i="10"/>
  <c r="P740" i="10"/>
  <c r="N740" i="10"/>
  <c r="M740" i="10"/>
  <c r="L740" i="10"/>
  <c r="O740" i="10" s="1"/>
  <c r="O739" i="10"/>
  <c r="M739" i="10"/>
  <c r="L739" i="10"/>
  <c r="P738" i="10"/>
  <c r="N738" i="10"/>
  <c r="M738" i="10"/>
  <c r="L738" i="10"/>
  <c r="K736" i="10"/>
  <c r="J736" i="10"/>
  <c r="J729" i="10"/>
  <c r="I729" i="10"/>
  <c r="K729" i="10" s="1"/>
  <c r="J728" i="10"/>
  <c r="I728" i="10"/>
  <c r="K728" i="10" s="1"/>
  <c r="J727" i="10"/>
  <c r="J726" i="10"/>
  <c r="I726" i="10"/>
  <c r="K726" i="10" s="1"/>
  <c r="J725" i="10"/>
  <c r="I725" i="10"/>
  <c r="K725" i="10" s="1"/>
  <c r="J724" i="10"/>
  <c r="J723" i="10"/>
  <c r="I723" i="10"/>
  <c r="K723" i="10" s="1"/>
  <c r="I722" i="10"/>
  <c r="K722" i="10" s="1"/>
  <c r="I721" i="10"/>
  <c r="K721" i="10" s="1"/>
  <c r="J720" i="10"/>
  <c r="I720" i="10"/>
  <c r="K720" i="10" s="1"/>
  <c r="J719" i="10"/>
  <c r="J718" i="10"/>
  <c r="J708" i="10"/>
  <c r="I708" i="10"/>
  <c r="K708" i="10" s="1"/>
  <c r="I707" i="10"/>
  <c r="I704" i="10"/>
  <c r="J701" i="10"/>
  <c r="I701" i="10"/>
  <c r="K701" i="10" s="1"/>
  <c r="J700" i="10"/>
  <c r="I700" i="10"/>
  <c r="K700" i="10" s="1"/>
  <c r="J699" i="10"/>
  <c r="I699" i="10"/>
  <c r="K699" i="10" s="1"/>
  <c r="P697" i="10"/>
  <c r="O697" i="10"/>
  <c r="P696" i="10"/>
  <c r="O696" i="10"/>
  <c r="P695" i="10"/>
  <c r="N695" i="10"/>
  <c r="M695" i="10"/>
  <c r="L695" i="10"/>
  <c r="O695" i="10" s="1"/>
  <c r="P690" i="10"/>
  <c r="N690" i="10"/>
  <c r="N688" i="10" s="1"/>
  <c r="L690" i="10"/>
  <c r="M688" i="10"/>
  <c r="P688" i="10" s="1"/>
  <c r="P687" i="10"/>
  <c r="N687" i="10"/>
  <c r="M687" i="10"/>
  <c r="O686" i="10"/>
  <c r="N686" i="10"/>
  <c r="M686" i="10"/>
  <c r="P686" i="10" s="1"/>
  <c r="L686" i="10"/>
  <c r="P685" i="10"/>
  <c r="N685" i="10"/>
  <c r="M685" i="10"/>
  <c r="J679" i="10"/>
  <c r="J678" i="10"/>
  <c r="I678" i="10"/>
  <c r="K678" i="10" s="1"/>
  <c r="J675" i="10"/>
  <c r="J669" i="10" s="1"/>
  <c r="J654" i="10" s="1"/>
  <c r="I671" i="10"/>
  <c r="K671" i="10" s="1"/>
  <c r="I670" i="10"/>
  <c r="K670" i="10" s="1"/>
  <c r="I669" i="10"/>
  <c r="K672" i="10" s="1"/>
  <c r="P667" i="10"/>
  <c r="O667" i="10"/>
  <c r="P666" i="10"/>
  <c r="O666" i="10"/>
  <c r="O665" i="10"/>
  <c r="N665" i="10"/>
  <c r="M665" i="10"/>
  <c r="P665" i="10" s="1"/>
  <c r="L665" i="10"/>
  <c r="P660" i="10"/>
  <c r="N660" i="10"/>
  <c r="N657" i="10" s="1"/>
  <c r="L660" i="10"/>
  <c r="O660" i="10" s="1"/>
  <c r="P659" i="10"/>
  <c r="O659" i="10"/>
  <c r="P658" i="10"/>
  <c r="N658" i="10"/>
  <c r="M658" i="10"/>
  <c r="L658" i="10"/>
  <c r="O658" i="10" s="1"/>
  <c r="M657" i="10"/>
  <c r="P657" i="10" s="1"/>
  <c r="P656" i="10"/>
  <c r="N656" i="10"/>
  <c r="N655" i="10" s="1"/>
  <c r="M656" i="10"/>
  <c r="L656" i="10"/>
  <c r="M655" i="10"/>
  <c r="P655" i="10" s="1"/>
  <c r="K652" i="10"/>
  <c r="J652" i="10"/>
  <c r="J651" i="10"/>
  <c r="J628" i="10" s="1"/>
  <c r="I651" i="10"/>
  <c r="I628" i="10" s="1"/>
  <c r="K650" i="10"/>
  <c r="J650" i="10"/>
  <c r="J649" i="10"/>
  <c r="I649" i="10"/>
  <c r="K648" i="10"/>
  <c r="J648" i="10"/>
  <c r="J647" i="10"/>
  <c r="I647" i="10"/>
  <c r="K646" i="10"/>
  <c r="J646" i="10"/>
  <c r="K645" i="10"/>
  <c r="J645" i="10"/>
  <c r="I644" i="10"/>
  <c r="K644" i="10" s="1"/>
  <c r="I643" i="10"/>
  <c r="K643" i="10" s="1"/>
  <c r="P641" i="10"/>
  <c r="L641" i="10"/>
  <c r="P640" i="10"/>
  <c r="O640" i="10"/>
  <c r="N639" i="10"/>
  <c r="M639" i="10"/>
  <c r="P639" i="10" s="1"/>
  <c r="P634" i="10"/>
  <c r="N634" i="10"/>
  <c r="L634" i="10"/>
  <c r="L632" i="10" s="1"/>
  <c r="O632" i="10" s="1"/>
  <c r="P633" i="10"/>
  <c r="O633" i="10"/>
  <c r="P632" i="10"/>
  <c r="N632" i="10"/>
  <c r="M632" i="10"/>
  <c r="M631" i="10"/>
  <c r="P631" i="10" s="1"/>
  <c r="P630" i="10"/>
  <c r="N630" i="10"/>
  <c r="M630" i="10"/>
  <c r="L630" i="10"/>
  <c r="O630" i="10" s="1"/>
  <c r="M629" i="10"/>
  <c r="P629" i="10" s="1"/>
  <c r="J621" i="10"/>
  <c r="I621" i="10"/>
  <c r="K621" i="10" s="1"/>
  <c r="J620" i="10"/>
  <c r="I620" i="10"/>
  <c r="K620" i="10" s="1"/>
  <c r="K613" i="10"/>
  <c r="J613" i="10"/>
  <c r="K612" i="10"/>
  <c r="J612" i="10"/>
  <c r="K611" i="10"/>
  <c r="J611" i="10"/>
  <c r="J604" i="10"/>
  <c r="J603" i="10"/>
  <c r="J596" i="10"/>
  <c r="J595" i="10"/>
  <c r="J594" i="10"/>
  <c r="I594" i="10"/>
  <c r="K594" i="10" s="1"/>
  <c r="J593" i="10"/>
  <c r="I593" i="10"/>
  <c r="I592" i="10" s="1"/>
  <c r="K592" i="10" s="1"/>
  <c r="J592" i="10"/>
  <c r="J583" i="10"/>
  <c r="J577" i="10" s="1"/>
  <c r="J582" i="10"/>
  <c r="J576" i="10" s="1"/>
  <c r="J559" i="10" s="1"/>
  <c r="J543" i="10" s="1"/>
  <c r="I577" i="10"/>
  <c r="K577" i="10" s="1"/>
  <c r="I576" i="10"/>
  <c r="I559" i="10" s="1"/>
  <c r="J569" i="10"/>
  <c r="I569" i="10"/>
  <c r="K569" i="10" s="1"/>
  <c r="J568" i="10"/>
  <c r="I568" i="10"/>
  <c r="K568" i="10" s="1"/>
  <c r="J561" i="10"/>
  <c r="I561" i="10"/>
  <c r="K561" i="10" s="1"/>
  <c r="J560" i="10"/>
  <c r="I560" i="10"/>
  <c r="K560" i="10" s="1"/>
  <c r="P557" i="10"/>
  <c r="L557" i="10"/>
  <c r="O557" i="10" s="1"/>
  <c r="P556" i="10"/>
  <c r="O556" i="10"/>
  <c r="P555" i="10"/>
  <c r="N555" i="10"/>
  <c r="N545" i="10" s="1"/>
  <c r="M555" i="10"/>
  <c r="P549" i="10"/>
  <c r="N549" i="10"/>
  <c r="L549" i="10"/>
  <c r="O549" i="10" s="1"/>
  <c r="P548" i="10"/>
  <c r="O548" i="10"/>
  <c r="N547" i="10"/>
  <c r="M547" i="10"/>
  <c r="P547" i="10" s="1"/>
  <c r="P546" i="10"/>
  <c r="N546" i="10"/>
  <c r="M546" i="10"/>
  <c r="O545" i="10"/>
  <c r="M545" i="10"/>
  <c r="L545" i="10"/>
  <c r="I542" i="10"/>
  <c r="K542" i="10" s="1"/>
  <c r="I541" i="10"/>
  <c r="K541" i="10" s="1"/>
  <c r="I540" i="10"/>
  <c r="K540" i="10" s="1"/>
  <c r="I539" i="10"/>
  <c r="K539" i="10" s="1"/>
  <c r="I538" i="10"/>
  <c r="K538" i="10" s="1"/>
  <c r="I537" i="10"/>
  <c r="I522" i="10" s="1"/>
  <c r="K522" i="10" s="1"/>
  <c r="P535" i="10"/>
  <c r="L535" i="10"/>
  <c r="O535" i="10" s="1"/>
  <c r="P534" i="10"/>
  <c r="O534" i="10"/>
  <c r="P533" i="10"/>
  <c r="N533" i="10"/>
  <c r="M533" i="10"/>
  <c r="P528" i="10"/>
  <c r="N528" i="10"/>
  <c r="L528" i="10"/>
  <c r="P527" i="10"/>
  <c r="O527" i="10"/>
  <c r="N526" i="10"/>
  <c r="M526" i="10"/>
  <c r="P526" i="10" s="1"/>
  <c r="P525" i="10"/>
  <c r="N525" i="10"/>
  <c r="M525" i="10"/>
  <c r="O524" i="10"/>
  <c r="N524" i="10"/>
  <c r="N523" i="10" s="1"/>
  <c r="M524" i="10"/>
  <c r="P524" i="10" s="1"/>
  <c r="L524" i="10"/>
  <c r="P523" i="10"/>
  <c r="M523" i="10"/>
  <c r="K517" i="10"/>
  <c r="J517" i="10"/>
  <c r="J501" i="10" s="1"/>
  <c r="K516" i="10"/>
  <c r="P514" i="10"/>
  <c r="O514" i="10"/>
  <c r="P513" i="10"/>
  <c r="O513" i="10"/>
  <c r="O512" i="10"/>
  <c r="N512" i="10"/>
  <c r="M512" i="10"/>
  <c r="P512" i="10" s="1"/>
  <c r="L512" i="10"/>
  <c r="P507" i="10"/>
  <c r="O507" i="10"/>
  <c r="N507" i="10"/>
  <c r="N504" i="10" s="1"/>
  <c r="P506" i="10"/>
  <c r="O506" i="10"/>
  <c r="O505" i="10"/>
  <c r="N505" i="10"/>
  <c r="M505" i="10"/>
  <c r="P505" i="10" s="1"/>
  <c r="L505" i="10"/>
  <c r="P504" i="10"/>
  <c r="M504" i="10"/>
  <c r="L504" i="10"/>
  <c r="O504" i="10" s="1"/>
  <c r="O503" i="10"/>
  <c r="N503" i="10"/>
  <c r="M503" i="10"/>
  <c r="M502" i="10" s="1"/>
  <c r="P502" i="10" s="1"/>
  <c r="L503" i="10"/>
  <c r="L502" i="10" s="1"/>
  <c r="O502" i="10" s="1"/>
  <c r="N502" i="10"/>
  <c r="K501" i="10"/>
  <c r="K500" i="10"/>
  <c r="J500" i="10"/>
  <c r="I498" i="10"/>
  <c r="K498" i="10" s="1"/>
  <c r="I495" i="10"/>
  <c r="K495" i="10" s="1"/>
  <c r="I492" i="10"/>
  <c r="K492" i="10" s="1"/>
  <c r="I489" i="10"/>
  <c r="K489" i="10" s="1"/>
  <c r="I487" i="10"/>
  <c r="K487" i="10" s="1"/>
  <c r="I485" i="10"/>
  <c r="K485" i="10" s="1"/>
  <c r="I483" i="10"/>
  <c r="K483" i="10" s="1"/>
  <c r="P479" i="10"/>
  <c r="L479" i="10"/>
  <c r="L477" i="10" s="1"/>
  <c r="O477" i="10" s="1"/>
  <c r="P478" i="10"/>
  <c r="O478" i="10"/>
  <c r="P477" i="10"/>
  <c r="N477" i="10"/>
  <c r="M477" i="10"/>
  <c r="P472" i="10"/>
  <c r="N472" i="10"/>
  <c r="N469" i="10" s="1"/>
  <c r="L472" i="10"/>
  <c r="P471" i="10"/>
  <c r="O471" i="10"/>
  <c r="M470" i="10"/>
  <c r="P470" i="10" s="1"/>
  <c r="P469" i="10"/>
  <c r="M469" i="10"/>
  <c r="N468" i="10"/>
  <c r="M468" i="10"/>
  <c r="L468" i="10"/>
  <c r="N467" i="10"/>
  <c r="J466" i="10"/>
  <c r="I466" i="10"/>
  <c r="K466" i="10" s="1"/>
  <c r="J465" i="10"/>
  <c r="I465" i="10"/>
  <c r="K465" i="10" s="1"/>
  <c r="I464" i="10"/>
  <c r="I463" i="10"/>
  <c r="I462" i="10"/>
  <c r="K462" i="10" s="1"/>
  <c r="I460" i="10"/>
  <c r="K458" i="10"/>
  <c r="P456" i="10"/>
  <c r="L456" i="10"/>
  <c r="P455" i="10"/>
  <c r="O455" i="10"/>
  <c r="N454" i="10"/>
  <c r="M454" i="10"/>
  <c r="P454" i="10" s="1"/>
  <c r="P449" i="10"/>
  <c r="N449" i="10"/>
  <c r="L449" i="10"/>
  <c r="O449" i="10" s="1"/>
  <c r="P448" i="10"/>
  <c r="O448" i="10"/>
  <c r="P447" i="10"/>
  <c r="N447" i="10"/>
  <c r="M447" i="10"/>
  <c r="N446" i="10"/>
  <c r="M446" i="10"/>
  <c r="P446" i="10" s="1"/>
  <c r="N445" i="10"/>
  <c r="N444" i="10" s="1"/>
  <c r="M445" i="10"/>
  <c r="L445" i="10"/>
  <c r="J443" i="10"/>
  <c r="J442" i="10"/>
  <c r="I441" i="10"/>
  <c r="K441" i="10" s="1"/>
  <c r="I440" i="10"/>
  <c r="K440" i="10" s="1"/>
  <c r="I439" i="10"/>
  <c r="K439" i="10" s="1"/>
  <c r="I438" i="10"/>
  <c r="K438" i="10" s="1"/>
  <c r="I437" i="10"/>
  <c r="K437" i="10" s="1"/>
  <c r="I435" i="10"/>
  <c r="J434" i="10"/>
  <c r="P431" i="10"/>
  <c r="L431" i="10"/>
  <c r="P430" i="10"/>
  <c r="O430" i="10"/>
  <c r="N429" i="10"/>
  <c r="M429" i="10"/>
  <c r="P429" i="10" s="1"/>
  <c r="P424" i="10"/>
  <c r="N424" i="10"/>
  <c r="L424" i="10"/>
  <c r="L422" i="10" s="1"/>
  <c r="O422" i="10" s="1"/>
  <c r="P423" i="10"/>
  <c r="O423" i="10"/>
  <c r="P422" i="10"/>
  <c r="N422" i="10"/>
  <c r="M422" i="10"/>
  <c r="N421" i="10"/>
  <c r="M421" i="10"/>
  <c r="P421" i="10" s="1"/>
  <c r="N420" i="10"/>
  <c r="M420" i="10"/>
  <c r="P420" i="10" s="1"/>
  <c r="L420" i="10"/>
  <c r="J418" i="10"/>
  <c r="K413" i="10"/>
  <c r="K412" i="10"/>
  <c r="N410" i="10"/>
  <c r="N408" i="10" s="1"/>
  <c r="M410" i="10"/>
  <c r="P410" i="10" s="1"/>
  <c r="L410" i="10"/>
  <c r="O410" i="10" s="1"/>
  <c r="P409" i="10"/>
  <c r="O409" i="10"/>
  <c r="N407" i="10"/>
  <c r="M407" i="10"/>
  <c r="P407" i="10" s="1"/>
  <c r="L407" i="10"/>
  <c r="O407" i="10" s="1"/>
  <c r="P406" i="10"/>
  <c r="O406" i="10"/>
  <c r="P403" i="10"/>
  <c r="N403" i="10"/>
  <c r="M403" i="10"/>
  <c r="L403" i="10"/>
  <c r="J401" i="10"/>
  <c r="I401" i="10"/>
  <c r="K401" i="10" s="1"/>
  <c r="K400" i="10"/>
  <c r="K399" i="10"/>
  <c r="N397" i="10"/>
  <c r="N395" i="10" s="1"/>
  <c r="M397" i="10"/>
  <c r="L397" i="10"/>
  <c r="O397" i="10" s="1"/>
  <c r="P396" i="10"/>
  <c r="O396" i="10"/>
  <c r="N394" i="10"/>
  <c r="N392" i="10" s="1"/>
  <c r="M394" i="10"/>
  <c r="L394" i="10"/>
  <c r="L392" i="10" s="1"/>
  <c r="O392" i="10" s="1"/>
  <c r="P393" i="10"/>
  <c r="O393" i="10"/>
  <c r="P390" i="10"/>
  <c r="N390" i="10"/>
  <c r="M390" i="10"/>
  <c r="L390" i="10"/>
  <c r="O390" i="10" s="1"/>
  <c r="J388" i="10"/>
  <c r="I388" i="10"/>
  <c r="K388" i="10" s="1"/>
  <c r="J385" i="10"/>
  <c r="I385" i="10"/>
  <c r="K382" i="10"/>
  <c r="J382" i="10"/>
  <c r="J381" i="10"/>
  <c r="J374" i="10" s="1"/>
  <c r="I381" i="10"/>
  <c r="K380" i="10"/>
  <c r="J380" i="10"/>
  <c r="J379" i="10"/>
  <c r="I379" i="10"/>
  <c r="J378" i="10"/>
  <c r="I378" i="10"/>
  <c r="K377" i="10"/>
  <c r="J377" i="10"/>
  <c r="I374" i="10"/>
  <c r="K373" i="10"/>
  <c r="J373" i="10"/>
  <c r="J372" i="10"/>
  <c r="J365" i="10" s="1"/>
  <c r="I372" i="10"/>
  <c r="K371" i="10"/>
  <c r="J371" i="10"/>
  <c r="J370" i="10"/>
  <c r="I370" i="10"/>
  <c r="J369" i="10"/>
  <c r="I369" i="10"/>
  <c r="K368" i="10"/>
  <c r="J368" i="10"/>
  <c r="I365" i="10"/>
  <c r="K363" i="10"/>
  <c r="J363" i="10"/>
  <c r="J362" i="10"/>
  <c r="J355" i="10" s="1"/>
  <c r="I362" i="10"/>
  <c r="K361" i="10"/>
  <c r="J361" i="10"/>
  <c r="J360" i="10"/>
  <c r="I360" i="10"/>
  <c r="J359" i="10"/>
  <c r="I359" i="10"/>
  <c r="K358" i="10"/>
  <c r="J358" i="10"/>
  <c r="I355" i="10"/>
  <c r="N353" i="10"/>
  <c r="M353" i="10"/>
  <c r="L353" i="10"/>
  <c r="L351" i="10" s="1"/>
  <c r="P352" i="10"/>
  <c r="O352" i="10"/>
  <c r="N350" i="10"/>
  <c r="N348" i="10" s="1"/>
  <c r="M350" i="10"/>
  <c r="L350" i="10"/>
  <c r="P349" i="10"/>
  <c r="O349" i="10"/>
  <c r="P346" i="10"/>
  <c r="N346" i="10"/>
  <c r="M346" i="10"/>
  <c r="L346" i="10"/>
  <c r="O346" i="10" s="1"/>
  <c r="J343" i="10"/>
  <c r="J342" i="10"/>
  <c r="J341" i="10"/>
  <c r="J340" i="10"/>
  <c r="I340" i="10"/>
  <c r="J338" i="10"/>
  <c r="I338" i="10"/>
  <c r="N336" i="10"/>
  <c r="N334" i="10" s="1"/>
  <c r="M336" i="10"/>
  <c r="M334" i="10" s="1"/>
  <c r="P334" i="10" s="1"/>
  <c r="L336" i="10"/>
  <c r="L334" i="10" s="1"/>
  <c r="O334" i="10" s="1"/>
  <c r="P335" i="10"/>
  <c r="O335" i="10"/>
  <c r="N333" i="10"/>
  <c r="M333" i="10"/>
  <c r="L333" i="10"/>
  <c r="P332" i="10"/>
  <c r="O332" i="10"/>
  <c r="O329" i="10"/>
  <c r="N329" i="10"/>
  <c r="M329" i="10"/>
  <c r="L329" i="10"/>
  <c r="I327" i="10"/>
  <c r="I325" i="10"/>
  <c r="K325" i="10" s="1"/>
  <c r="N323" i="10"/>
  <c r="N321" i="10" s="1"/>
  <c r="M323" i="10"/>
  <c r="M321" i="10" s="1"/>
  <c r="P321" i="10" s="1"/>
  <c r="L323" i="10"/>
  <c r="O323" i="10" s="1"/>
  <c r="P322" i="10"/>
  <c r="O322" i="10"/>
  <c r="N320" i="10"/>
  <c r="M320" i="10"/>
  <c r="L320" i="10"/>
  <c r="L318" i="10" s="1"/>
  <c r="O318" i="10" s="1"/>
  <c r="P319" i="10"/>
  <c r="O319" i="10"/>
  <c r="P316" i="10"/>
  <c r="N316" i="10"/>
  <c r="M316" i="10"/>
  <c r="L316" i="10"/>
  <c r="O316" i="10" s="1"/>
  <c r="J314" i="10"/>
  <c r="I312" i="10"/>
  <c r="K312" i="10" s="1"/>
  <c r="I311" i="10"/>
  <c r="K311" i="10" s="1"/>
  <c r="I310" i="10"/>
  <c r="K310" i="10" s="1"/>
  <c r="I309" i="10"/>
  <c r="K309" i="10" s="1"/>
  <c r="N306" i="10"/>
  <c r="N304" i="10" s="1"/>
  <c r="M306" i="10"/>
  <c r="P306" i="10" s="1"/>
  <c r="L306" i="10"/>
  <c r="O306" i="10" s="1"/>
  <c r="P305" i="10"/>
  <c r="O305" i="10"/>
  <c r="N303" i="10"/>
  <c r="N301" i="10" s="1"/>
  <c r="M303" i="10"/>
  <c r="P303" i="10" s="1"/>
  <c r="L303" i="10"/>
  <c r="O303" i="10" s="1"/>
  <c r="P302" i="10"/>
  <c r="O302" i="10"/>
  <c r="N299" i="10"/>
  <c r="M299" i="10"/>
  <c r="P299" i="10" s="1"/>
  <c r="L299" i="10"/>
  <c r="O299" i="10" s="1"/>
  <c r="J297" i="10"/>
  <c r="I294" i="10"/>
  <c r="K294" i="10" s="1"/>
  <c r="I293" i="10"/>
  <c r="K293" i="10" s="1"/>
  <c r="I291" i="10"/>
  <c r="K291" i="10" s="1"/>
  <c r="I290" i="10"/>
  <c r="K290" i="10" s="1"/>
  <c r="I288" i="10"/>
  <c r="I287" i="10"/>
  <c r="K287" i="10" s="1"/>
  <c r="N285" i="10"/>
  <c r="N283" i="10" s="1"/>
  <c r="M285" i="10"/>
  <c r="M283" i="10" s="1"/>
  <c r="P283" i="10" s="1"/>
  <c r="L285" i="10"/>
  <c r="L283" i="10" s="1"/>
  <c r="O283" i="10" s="1"/>
  <c r="P284" i="10"/>
  <c r="O284" i="10"/>
  <c r="N282" i="10"/>
  <c r="N280" i="10" s="1"/>
  <c r="M282" i="10"/>
  <c r="L282" i="10"/>
  <c r="L280" i="10" s="1"/>
  <c r="P281" i="10"/>
  <c r="O281" i="10"/>
  <c r="O278" i="10"/>
  <c r="N278" i="10"/>
  <c r="M278" i="10"/>
  <c r="L278" i="10"/>
  <c r="J276" i="10"/>
  <c r="I271" i="10"/>
  <c r="I260" i="10" s="1"/>
  <c r="K260" i="10" s="1"/>
  <c r="N269" i="10"/>
  <c r="N267" i="10" s="1"/>
  <c r="M269" i="10"/>
  <c r="P269" i="10" s="1"/>
  <c r="L269" i="10"/>
  <c r="O269" i="10" s="1"/>
  <c r="P268" i="10"/>
  <c r="O268" i="10"/>
  <c r="N266" i="10"/>
  <c r="N264" i="10" s="1"/>
  <c r="M266" i="10"/>
  <c r="L266" i="10"/>
  <c r="L264" i="10" s="1"/>
  <c r="P265" i="10"/>
  <c r="O265" i="10"/>
  <c r="P262" i="10"/>
  <c r="O262" i="10"/>
  <c r="N262" i="10"/>
  <c r="M262" i="10"/>
  <c r="L262" i="10"/>
  <c r="J260" i="10"/>
  <c r="K258" i="10"/>
  <c r="K257" i="10"/>
  <c r="I255" i="10"/>
  <c r="L253" i="10"/>
  <c r="L252" i="10"/>
  <c r="L251" i="10"/>
  <c r="L250" i="10"/>
  <c r="P249" i="10"/>
  <c r="N249" i="10"/>
  <c r="J248" i="10"/>
  <c r="K247" i="10"/>
  <c r="K246" i="10"/>
  <c r="I244" i="10"/>
  <c r="I237" i="10" s="1"/>
  <c r="K237" i="10" s="1"/>
  <c r="L242" i="10"/>
  <c r="L241" i="10"/>
  <c r="L240" i="10"/>
  <c r="L239" i="10"/>
  <c r="P238" i="10"/>
  <c r="N238" i="10"/>
  <c r="J237" i="10"/>
  <c r="J226" i="10" s="1"/>
  <c r="J180" i="10" s="1"/>
  <c r="K236" i="10"/>
  <c r="J236" i="10"/>
  <c r="I236" i="10"/>
  <c r="J235" i="10"/>
  <c r="I235" i="10"/>
  <c r="K235" i="10" s="1"/>
  <c r="J233" i="10"/>
  <c r="N231" i="10"/>
  <c r="N230" i="10"/>
  <c r="N229" i="10"/>
  <c r="N228" i="10"/>
  <c r="N227" i="10"/>
  <c r="I225" i="10"/>
  <c r="K225" i="10" s="1"/>
  <c r="I224" i="10"/>
  <c r="I223" i="10"/>
  <c r="K223" i="10" s="1"/>
  <c r="L220" i="10"/>
  <c r="L219" i="10"/>
  <c r="L218" i="10"/>
  <c r="P217" i="10"/>
  <c r="N217" i="10"/>
  <c r="J216" i="10"/>
  <c r="I215" i="10"/>
  <c r="K215" i="10" s="1"/>
  <c r="I214" i="10"/>
  <c r="K214" i="10" s="1"/>
  <c r="L212" i="10"/>
  <c r="L211" i="10"/>
  <c r="L210" i="10"/>
  <c r="P209" i="10"/>
  <c r="N209" i="10"/>
  <c r="J208" i="10"/>
  <c r="K207" i="10"/>
  <c r="K206" i="10"/>
  <c r="I204" i="10"/>
  <c r="K204" i="10" s="1"/>
  <c r="L202" i="10"/>
  <c r="L201" i="10"/>
  <c r="L200" i="10"/>
  <c r="L199" i="10"/>
  <c r="P198" i="10"/>
  <c r="N198" i="10"/>
  <c r="J197" i="10"/>
  <c r="J194" i="10"/>
  <c r="I193" i="10"/>
  <c r="K193" i="10" s="1"/>
  <c r="P191" i="10"/>
  <c r="L191" i="10"/>
  <c r="O191" i="10" s="1"/>
  <c r="J190" i="10"/>
  <c r="N189" i="10"/>
  <c r="N187" i="10" s="1"/>
  <c r="M189" i="10"/>
  <c r="M187" i="10" s="1"/>
  <c r="P187" i="10" s="1"/>
  <c r="L189" i="10"/>
  <c r="L187" i="10" s="1"/>
  <c r="O187" i="10" s="1"/>
  <c r="P188" i="10"/>
  <c r="O188" i="10"/>
  <c r="N186" i="10"/>
  <c r="M186" i="10"/>
  <c r="L186" i="10"/>
  <c r="L184" i="10" s="1"/>
  <c r="P185" i="10"/>
  <c r="O185" i="10"/>
  <c r="N182" i="10"/>
  <c r="M182" i="10"/>
  <c r="L182" i="10"/>
  <c r="K180" i="10"/>
  <c r="J177" i="10"/>
  <c r="I176" i="10"/>
  <c r="I174" i="10" s="1"/>
  <c r="I164" i="10" s="1"/>
  <c r="J174" i="10"/>
  <c r="N173" i="10"/>
  <c r="N171" i="10" s="1"/>
  <c r="M173" i="10"/>
  <c r="M171" i="10" s="1"/>
  <c r="P171" i="10" s="1"/>
  <c r="L173" i="10"/>
  <c r="L171" i="10" s="1"/>
  <c r="O171" i="10" s="1"/>
  <c r="P172" i="10"/>
  <c r="O172" i="10"/>
  <c r="N170" i="10"/>
  <c r="N168" i="10" s="1"/>
  <c r="M170" i="10"/>
  <c r="L170" i="10"/>
  <c r="L168" i="10" s="1"/>
  <c r="P169" i="10"/>
  <c r="O169" i="10"/>
  <c r="N166" i="10"/>
  <c r="M166" i="10"/>
  <c r="P166" i="10" s="1"/>
  <c r="L166" i="10"/>
  <c r="J164" i="10"/>
  <c r="I159" i="10"/>
  <c r="I148" i="10" s="1"/>
  <c r="K148" i="10" s="1"/>
  <c r="N157" i="10"/>
  <c r="N155" i="10" s="1"/>
  <c r="M157" i="10"/>
  <c r="P157" i="10" s="1"/>
  <c r="L157" i="10"/>
  <c r="O157" i="10" s="1"/>
  <c r="P156" i="10"/>
  <c r="O156" i="10"/>
  <c r="N154" i="10"/>
  <c r="N152" i="10" s="1"/>
  <c r="M154" i="10"/>
  <c r="P154" i="10" s="1"/>
  <c r="L154" i="10"/>
  <c r="P153" i="10"/>
  <c r="O153" i="10"/>
  <c r="P150" i="10"/>
  <c r="O150" i="10"/>
  <c r="N150" i="10"/>
  <c r="M150" i="10"/>
  <c r="L150" i="10"/>
  <c r="J148" i="10"/>
  <c r="I146" i="10"/>
  <c r="I130" i="10" s="1"/>
  <c r="K130" i="10" s="1"/>
  <c r="I145" i="10"/>
  <c r="I143" i="10" s="1"/>
  <c r="I131" i="10" s="1"/>
  <c r="K131" i="10" s="1"/>
  <c r="I144" i="10"/>
  <c r="K144" i="10" s="1"/>
  <c r="N140" i="10"/>
  <c r="N138" i="10" s="1"/>
  <c r="M140" i="10"/>
  <c r="P140" i="10" s="1"/>
  <c r="L140" i="10"/>
  <c r="O140" i="10" s="1"/>
  <c r="P139" i="10"/>
  <c r="O139" i="10"/>
  <c r="N137" i="10"/>
  <c r="N135" i="10" s="1"/>
  <c r="M137" i="10"/>
  <c r="P137" i="10" s="1"/>
  <c r="L137" i="10"/>
  <c r="O137" i="10" s="1"/>
  <c r="P136" i="10"/>
  <c r="O136" i="10"/>
  <c r="N133" i="10"/>
  <c r="M133" i="10"/>
  <c r="L133" i="10"/>
  <c r="O133" i="10" s="1"/>
  <c r="J130" i="10"/>
  <c r="N127" i="10"/>
  <c r="N125" i="10" s="1"/>
  <c r="M127" i="10"/>
  <c r="P127" i="10" s="1"/>
  <c r="L127" i="10"/>
  <c r="P126" i="10"/>
  <c r="O126" i="10"/>
  <c r="N124" i="10"/>
  <c r="N122" i="10" s="1"/>
  <c r="M124" i="10"/>
  <c r="P124" i="10" s="1"/>
  <c r="L124" i="10"/>
  <c r="O124" i="10" s="1"/>
  <c r="P123" i="10"/>
  <c r="O123" i="10"/>
  <c r="O120" i="10"/>
  <c r="N120" i="10"/>
  <c r="M120" i="10"/>
  <c r="L120" i="10"/>
  <c r="I116" i="10"/>
  <c r="I115" i="10"/>
  <c r="K115" i="10" s="1"/>
  <c r="I114" i="10"/>
  <c r="K114" i="10" s="1"/>
  <c r="I113" i="10"/>
  <c r="K113" i="10" s="1"/>
  <c r="J112" i="10"/>
  <c r="J111" i="10"/>
  <c r="I111" i="10"/>
  <c r="K111" i="10" s="1"/>
  <c r="I110" i="10"/>
  <c r="K110" i="10" s="1"/>
  <c r="I109" i="10"/>
  <c r="K109" i="10" s="1"/>
  <c r="I107" i="10"/>
  <c r="K107" i="10" s="1"/>
  <c r="I106" i="10"/>
  <c r="K106" i="10" s="1"/>
  <c r="I104" i="10"/>
  <c r="K104" i="10" s="1"/>
  <c r="I103" i="10"/>
  <c r="K103" i="10" s="1"/>
  <c r="I102" i="10"/>
  <c r="K102" i="10" s="1"/>
  <c r="J100" i="10"/>
  <c r="I100" i="10"/>
  <c r="J99" i="10"/>
  <c r="J87" i="10" s="1"/>
  <c r="I99" i="10"/>
  <c r="J98" i="10"/>
  <c r="I98" i="10"/>
  <c r="I86" i="10" s="1"/>
  <c r="K86" i="10" s="1"/>
  <c r="N96" i="10"/>
  <c r="N94" i="10" s="1"/>
  <c r="M96" i="10"/>
  <c r="P96" i="10" s="1"/>
  <c r="L96" i="10"/>
  <c r="P95" i="10"/>
  <c r="O95" i="10"/>
  <c r="N93" i="10"/>
  <c r="N91" i="10" s="1"/>
  <c r="M93" i="10"/>
  <c r="M91" i="10" s="1"/>
  <c r="L93" i="10"/>
  <c r="P92" i="10"/>
  <c r="O92" i="10"/>
  <c r="O89" i="10"/>
  <c r="N89" i="10"/>
  <c r="M89" i="10"/>
  <c r="P89" i="10" s="1"/>
  <c r="L89" i="10"/>
  <c r="J86" i="10"/>
  <c r="I84" i="10"/>
  <c r="K84" i="10" s="1"/>
  <c r="I83" i="10"/>
  <c r="K83" i="10" s="1"/>
  <c r="I82" i="10"/>
  <c r="K82" i="10" s="1"/>
  <c r="I81" i="10"/>
  <c r="I80" i="10"/>
  <c r="K80" i="10" s="1"/>
  <c r="I79" i="10"/>
  <c r="K79" i="10" s="1"/>
  <c r="I78" i="10"/>
  <c r="K78" i="10" s="1"/>
  <c r="J77" i="10"/>
  <c r="J76" i="10"/>
  <c r="N74" i="10"/>
  <c r="N72" i="10" s="1"/>
  <c r="M74" i="10"/>
  <c r="P74" i="10" s="1"/>
  <c r="L74" i="10"/>
  <c r="O74" i="10" s="1"/>
  <c r="P73" i="10"/>
  <c r="O73" i="10"/>
  <c r="N71" i="10"/>
  <c r="M71" i="10"/>
  <c r="L71" i="10"/>
  <c r="L69" i="10" s="1"/>
  <c r="P70" i="10"/>
  <c r="O70" i="10"/>
  <c r="P67" i="10"/>
  <c r="N67" i="10"/>
  <c r="M67" i="10"/>
  <c r="L67" i="10"/>
  <c r="J65" i="10"/>
  <c r="J64" i="10"/>
  <c r="N61" i="10"/>
  <c r="M61" i="10"/>
  <c r="L61" i="10"/>
  <c r="P60" i="10"/>
  <c r="O60" i="10"/>
  <c r="N58" i="10"/>
  <c r="N56" i="10" s="1"/>
  <c r="M58" i="10"/>
  <c r="L58" i="10"/>
  <c r="P57" i="10"/>
  <c r="O57" i="10"/>
  <c r="P54" i="10"/>
  <c r="O54" i="10"/>
  <c r="N54" i="10"/>
  <c r="M54" i="10"/>
  <c r="L54" i="10"/>
  <c r="N49" i="10"/>
  <c r="N47" i="10" s="1"/>
  <c r="M49" i="10"/>
  <c r="L49" i="10"/>
  <c r="L47" i="10" s="1"/>
  <c r="O47" i="10" s="1"/>
  <c r="P48" i="10"/>
  <c r="O48" i="10"/>
  <c r="N46" i="10"/>
  <c r="M46" i="10"/>
  <c r="L46" i="10"/>
  <c r="L44" i="10" s="1"/>
  <c r="P45" i="10"/>
  <c r="O45" i="10"/>
  <c r="N42" i="10"/>
  <c r="M42" i="10"/>
  <c r="P42" i="10" s="1"/>
  <c r="L42" i="10"/>
  <c r="O42" i="10" s="1"/>
  <c r="P36" i="10"/>
  <c r="N36" i="10"/>
  <c r="M36" i="10"/>
  <c r="P35" i="10"/>
  <c r="O35" i="10"/>
  <c r="N35" i="10"/>
  <c r="N34" i="10" s="1"/>
  <c r="M35" i="10"/>
  <c r="L35" i="10"/>
  <c r="M34" i="10"/>
  <c r="P34" i="10" s="1"/>
  <c r="N33" i="10"/>
  <c r="N30" i="10" s="1"/>
  <c r="M33" i="10"/>
  <c r="N32" i="10"/>
  <c r="N31" i="10" s="1"/>
  <c r="M32" i="10"/>
  <c r="L32" i="10"/>
  <c r="N25" i="10"/>
  <c r="M25" i="10"/>
  <c r="M19" i="10" s="1"/>
  <c r="L25" i="10"/>
  <c r="P22" i="10"/>
  <c r="O22" i="10"/>
  <c r="N22" i="10"/>
  <c r="M22" i="10"/>
  <c r="L22" i="10"/>
  <c r="M12" i="10"/>
  <c r="L12" i="10"/>
  <c r="J828" i="9"/>
  <c r="I828" i="9"/>
  <c r="J827" i="9"/>
  <c r="I827" i="9"/>
  <c r="J826" i="9"/>
  <c r="I826" i="9"/>
  <c r="J825" i="9"/>
  <c r="I825" i="9"/>
  <c r="J824" i="9"/>
  <c r="I824" i="9"/>
  <c r="J823" i="9"/>
  <c r="I823" i="9"/>
  <c r="J822" i="9"/>
  <c r="I822" i="9"/>
  <c r="J821" i="9"/>
  <c r="I821" i="9"/>
  <c r="P817" i="9"/>
  <c r="O817" i="9"/>
  <c r="P816" i="9"/>
  <c r="O816" i="9"/>
  <c r="O815" i="9"/>
  <c r="N815" i="9"/>
  <c r="M815" i="9"/>
  <c r="P815" i="9" s="1"/>
  <c r="L815" i="9"/>
  <c r="P810" i="9"/>
  <c r="O810" i="9"/>
  <c r="N810" i="9"/>
  <c r="P809" i="9"/>
  <c r="O809" i="9"/>
  <c r="O808" i="9"/>
  <c r="M808" i="9"/>
  <c r="P808" i="9" s="1"/>
  <c r="L808" i="9"/>
  <c r="P807" i="9"/>
  <c r="M807" i="9"/>
  <c r="L807" i="9"/>
  <c r="O806" i="9"/>
  <c r="N806" i="9"/>
  <c r="M806" i="9"/>
  <c r="P806" i="9" s="1"/>
  <c r="L806" i="9"/>
  <c r="P805" i="9"/>
  <c r="M805" i="9"/>
  <c r="K804" i="9"/>
  <c r="J804" i="9"/>
  <c r="K802" i="9"/>
  <c r="J801" i="9"/>
  <c r="J800" i="9"/>
  <c r="I800" i="9"/>
  <c r="I785" i="9" s="1"/>
  <c r="P798" i="9"/>
  <c r="O798" i="9"/>
  <c r="P797" i="9"/>
  <c r="O797" i="9"/>
  <c r="P796" i="9"/>
  <c r="N796" i="9"/>
  <c r="M796" i="9"/>
  <c r="L796" i="9"/>
  <c r="O796" i="9" s="1"/>
  <c r="P791" i="9"/>
  <c r="N791" i="9"/>
  <c r="L791" i="9"/>
  <c r="L788" i="9" s="1"/>
  <c r="P790" i="9"/>
  <c r="O790" i="9"/>
  <c r="N789" i="9"/>
  <c r="M789" i="9"/>
  <c r="P789" i="9" s="1"/>
  <c r="P788" i="9"/>
  <c r="N788" i="9"/>
  <c r="M788" i="9"/>
  <c r="O787" i="9"/>
  <c r="N787" i="9"/>
  <c r="N786" i="9" s="1"/>
  <c r="M787" i="9"/>
  <c r="P787" i="9" s="1"/>
  <c r="L787" i="9"/>
  <c r="J785" i="9"/>
  <c r="P782" i="9"/>
  <c r="O782" i="9"/>
  <c r="P781" i="9"/>
  <c r="O781" i="9"/>
  <c r="P780" i="9"/>
  <c r="N780" i="9"/>
  <c r="M780" i="9"/>
  <c r="L780" i="9"/>
  <c r="O780" i="9" s="1"/>
  <c r="P775" i="9"/>
  <c r="O775" i="9"/>
  <c r="N775" i="9"/>
  <c r="N772" i="9" s="1"/>
  <c r="P774" i="9"/>
  <c r="O774" i="9"/>
  <c r="P773" i="9"/>
  <c r="N773" i="9"/>
  <c r="M773" i="9"/>
  <c r="L773" i="9"/>
  <c r="O773" i="9" s="1"/>
  <c r="O772" i="9"/>
  <c r="M772" i="9"/>
  <c r="L772" i="9"/>
  <c r="P771" i="9"/>
  <c r="N771" i="9"/>
  <c r="M771" i="9"/>
  <c r="L771" i="9"/>
  <c r="K769" i="9"/>
  <c r="J769" i="9"/>
  <c r="P766" i="9"/>
  <c r="O766" i="9"/>
  <c r="P765" i="9"/>
  <c r="O765" i="9"/>
  <c r="P764" i="9"/>
  <c r="N764" i="9"/>
  <c r="M764" i="9"/>
  <c r="L764" i="9"/>
  <c r="O764" i="9" s="1"/>
  <c r="P759" i="9"/>
  <c r="O759" i="9"/>
  <c r="N759" i="9"/>
  <c r="N756" i="9" s="1"/>
  <c r="P758" i="9"/>
  <c r="O758" i="9"/>
  <c r="P757" i="9"/>
  <c r="N757" i="9"/>
  <c r="M757" i="9"/>
  <c r="L757" i="9"/>
  <c r="O757" i="9" s="1"/>
  <c r="O756" i="9"/>
  <c r="M756" i="9"/>
  <c r="L756" i="9"/>
  <c r="P755" i="9"/>
  <c r="N755" i="9"/>
  <c r="M755" i="9"/>
  <c r="L755" i="9"/>
  <c r="K753" i="9"/>
  <c r="J753" i="9"/>
  <c r="P749" i="9"/>
  <c r="O749" i="9"/>
  <c r="P748" i="9"/>
  <c r="O748" i="9"/>
  <c r="P747" i="9"/>
  <c r="N747" i="9"/>
  <c r="M747" i="9"/>
  <c r="L747" i="9"/>
  <c r="O747" i="9" s="1"/>
  <c r="P742" i="9"/>
  <c r="O742" i="9"/>
  <c r="N742" i="9"/>
  <c r="N739" i="9" s="1"/>
  <c r="P741" i="9"/>
  <c r="O741" i="9"/>
  <c r="P740" i="9"/>
  <c r="N740" i="9"/>
  <c r="M740" i="9"/>
  <c r="L740" i="9"/>
  <c r="O740" i="9" s="1"/>
  <c r="O739" i="9"/>
  <c r="M739" i="9"/>
  <c r="L739" i="9"/>
  <c r="P738" i="9"/>
  <c r="N738" i="9"/>
  <c r="N737" i="9" s="1"/>
  <c r="M738" i="9"/>
  <c r="L738" i="9"/>
  <c r="K736" i="9"/>
  <c r="J736" i="9"/>
  <c r="J729" i="9"/>
  <c r="I729" i="9"/>
  <c r="K729" i="9" s="1"/>
  <c r="J728" i="9"/>
  <c r="I728" i="9"/>
  <c r="J727" i="9"/>
  <c r="J726" i="9"/>
  <c r="I726" i="9"/>
  <c r="J725" i="9"/>
  <c r="I725" i="9"/>
  <c r="J724" i="9"/>
  <c r="J723" i="9"/>
  <c r="I723" i="9"/>
  <c r="I722" i="9"/>
  <c r="I721" i="9"/>
  <c r="J720" i="9"/>
  <c r="I720" i="9"/>
  <c r="J719" i="9"/>
  <c r="J718" i="9"/>
  <c r="J708" i="9"/>
  <c r="I708" i="9"/>
  <c r="K708" i="9" s="1"/>
  <c r="I707" i="9"/>
  <c r="I704" i="9"/>
  <c r="J701" i="9"/>
  <c r="I701" i="9"/>
  <c r="J700" i="9"/>
  <c r="I700" i="9"/>
  <c r="K700" i="9" s="1"/>
  <c r="J699" i="9"/>
  <c r="I699" i="9"/>
  <c r="P697" i="9"/>
  <c r="O697" i="9"/>
  <c r="P696" i="9"/>
  <c r="O696" i="9"/>
  <c r="P695" i="9"/>
  <c r="N695" i="9"/>
  <c r="M695" i="9"/>
  <c r="L695" i="9"/>
  <c r="O695" i="9" s="1"/>
  <c r="P690" i="9"/>
  <c r="N690" i="9"/>
  <c r="N688" i="9" s="1"/>
  <c r="L690" i="9"/>
  <c r="L688" i="9" s="1"/>
  <c r="M688" i="9"/>
  <c r="P688" i="9" s="1"/>
  <c r="P687" i="9"/>
  <c r="N687" i="9"/>
  <c r="M687" i="9"/>
  <c r="O686" i="9"/>
  <c r="N686" i="9"/>
  <c r="N685" i="9" s="1"/>
  <c r="M686" i="9"/>
  <c r="P686" i="9" s="1"/>
  <c r="L686" i="9"/>
  <c r="P685" i="9"/>
  <c r="M685" i="9"/>
  <c r="J679" i="9"/>
  <c r="J678" i="9"/>
  <c r="I678" i="9"/>
  <c r="K678" i="9" s="1"/>
  <c r="J675" i="9"/>
  <c r="J669" i="9" s="1"/>
  <c r="I671" i="9"/>
  <c r="K671" i="9" s="1"/>
  <c r="I670" i="9"/>
  <c r="K670" i="9" s="1"/>
  <c r="I669" i="9"/>
  <c r="K672" i="9" s="1"/>
  <c r="P667" i="9"/>
  <c r="O667" i="9"/>
  <c r="P666" i="9"/>
  <c r="O666" i="9"/>
  <c r="O665" i="9"/>
  <c r="N665" i="9"/>
  <c r="M665" i="9"/>
  <c r="P665" i="9" s="1"/>
  <c r="L665" i="9"/>
  <c r="P660" i="9"/>
  <c r="N660" i="9"/>
  <c r="N657" i="9" s="1"/>
  <c r="L660" i="9"/>
  <c r="O660" i="9" s="1"/>
  <c r="P659" i="9"/>
  <c r="O659" i="9"/>
  <c r="P658" i="9"/>
  <c r="N658" i="9"/>
  <c r="M658" i="9"/>
  <c r="M657" i="9"/>
  <c r="P657" i="9" s="1"/>
  <c r="P656" i="9"/>
  <c r="N656" i="9"/>
  <c r="N655" i="9" s="1"/>
  <c r="M656" i="9"/>
  <c r="L656" i="9"/>
  <c r="M655" i="9"/>
  <c r="P655" i="9" s="1"/>
  <c r="K652" i="9"/>
  <c r="J652" i="9"/>
  <c r="J651" i="9"/>
  <c r="J628" i="9" s="1"/>
  <c r="I651" i="9"/>
  <c r="I628" i="9" s="1"/>
  <c r="K650" i="9"/>
  <c r="J650" i="9"/>
  <c r="J649" i="9"/>
  <c r="I649" i="9"/>
  <c r="K648" i="9"/>
  <c r="J648" i="9"/>
  <c r="J647" i="9"/>
  <c r="I647" i="9"/>
  <c r="K646" i="9"/>
  <c r="J646" i="9"/>
  <c r="K645" i="9"/>
  <c r="J645" i="9"/>
  <c r="I644" i="9"/>
  <c r="K644" i="9" s="1"/>
  <c r="I643" i="9"/>
  <c r="K643" i="9" s="1"/>
  <c r="P641" i="9"/>
  <c r="L641" i="9"/>
  <c r="P640" i="9"/>
  <c r="O640" i="9"/>
  <c r="N639" i="9"/>
  <c r="M639" i="9"/>
  <c r="P639" i="9" s="1"/>
  <c r="P634" i="9"/>
  <c r="N634" i="9"/>
  <c r="L634" i="9"/>
  <c r="O634" i="9" s="1"/>
  <c r="P633" i="9"/>
  <c r="O633" i="9"/>
  <c r="P632" i="9"/>
  <c r="N632" i="9"/>
  <c r="M632" i="9"/>
  <c r="N631" i="9"/>
  <c r="M631" i="9"/>
  <c r="P631" i="9" s="1"/>
  <c r="P630" i="9"/>
  <c r="N630" i="9"/>
  <c r="N629" i="9" s="1"/>
  <c r="M630" i="9"/>
  <c r="M629" i="9" s="1"/>
  <c r="P629" i="9" s="1"/>
  <c r="L630" i="9"/>
  <c r="O630" i="9" s="1"/>
  <c r="J621" i="9"/>
  <c r="I621" i="9"/>
  <c r="K621" i="9" s="1"/>
  <c r="J620" i="9"/>
  <c r="I620" i="9"/>
  <c r="K620" i="9" s="1"/>
  <c r="K613" i="9"/>
  <c r="J613" i="9"/>
  <c r="K612" i="9"/>
  <c r="J612" i="9"/>
  <c r="K611" i="9"/>
  <c r="J611" i="9"/>
  <c r="J604" i="9"/>
  <c r="J603" i="9"/>
  <c r="J596" i="9"/>
  <c r="J595" i="9"/>
  <c r="J594" i="9"/>
  <c r="I594" i="9"/>
  <c r="J593" i="9"/>
  <c r="I593" i="9"/>
  <c r="I592" i="9" s="1"/>
  <c r="K592" i="9" s="1"/>
  <c r="J592" i="9"/>
  <c r="J583" i="9"/>
  <c r="J577" i="9" s="1"/>
  <c r="J582" i="9"/>
  <c r="J576" i="9" s="1"/>
  <c r="J559" i="9" s="1"/>
  <c r="J543" i="9" s="1"/>
  <c r="I577" i="9"/>
  <c r="I576" i="9"/>
  <c r="I559" i="9" s="1"/>
  <c r="J569" i="9"/>
  <c r="I569" i="9"/>
  <c r="K569" i="9" s="1"/>
  <c r="J568" i="9"/>
  <c r="I568" i="9"/>
  <c r="K568" i="9" s="1"/>
  <c r="J561" i="9"/>
  <c r="I561" i="9"/>
  <c r="K561" i="9" s="1"/>
  <c r="J560" i="9"/>
  <c r="I560" i="9"/>
  <c r="K560" i="9" s="1"/>
  <c r="P557" i="9"/>
  <c r="L557" i="9"/>
  <c r="O557" i="9" s="1"/>
  <c r="P556" i="9"/>
  <c r="O556" i="9"/>
  <c r="P555" i="9"/>
  <c r="N555" i="9"/>
  <c r="N545" i="9" s="1"/>
  <c r="M555" i="9"/>
  <c r="P549" i="9"/>
  <c r="N549" i="9"/>
  <c r="L549" i="9"/>
  <c r="L547" i="9" s="1"/>
  <c r="O547" i="9" s="1"/>
  <c r="P548" i="9"/>
  <c r="O548" i="9"/>
  <c r="N547" i="9"/>
  <c r="M547" i="9"/>
  <c r="P547" i="9" s="1"/>
  <c r="P546" i="9"/>
  <c r="N546" i="9"/>
  <c r="M546" i="9"/>
  <c r="O545" i="9"/>
  <c r="M545" i="9"/>
  <c r="L545" i="9"/>
  <c r="I542" i="9"/>
  <c r="K542" i="9" s="1"/>
  <c r="I541" i="9"/>
  <c r="K541" i="9" s="1"/>
  <c r="I540" i="9"/>
  <c r="K540" i="9" s="1"/>
  <c r="I539" i="9"/>
  <c r="K539" i="9" s="1"/>
  <c r="I538" i="9"/>
  <c r="K538" i="9" s="1"/>
  <c r="I537" i="9"/>
  <c r="I522" i="9" s="1"/>
  <c r="K522" i="9" s="1"/>
  <c r="P535" i="9"/>
  <c r="L535" i="9"/>
  <c r="O535" i="9" s="1"/>
  <c r="P534" i="9"/>
  <c r="O534" i="9"/>
  <c r="P533" i="9"/>
  <c r="N533" i="9"/>
  <c r="M533" i="9"/>
  <c r="P528" i="9"/>
  <c r="N528" i="9"/>
  <c r="L528" i="9"/>
  <c r="P527" i="9"/>
  <c r="O527" i="9"/>
  <c r="N526" i="9"/>
  <c r="M526" i="9"/>
  <c r="P526" i="9" s="1"/>
  <c r="P525" i="9"/>
  <c r="N525" i="9"/>
  <c r="M525" i="9"/>
  <c r="O524" i="9"/>
  <c r="N524" i="9"/>
  <c r="N523" i="9" s="1"/>
  <c r="M524" i="9"/>
  <c r="P524" i="9" s="1"/>
  <c r="L524" i="9"/>
  <c r="P523" i="9"/>
  <c r="M523" i="9"/>
  <c r="K517" i="9"/>
  <c r="J517" i="9"/>
  <c r="J501" i="9" s="1"/>
  <c r="K516" i="9"/>
  <c r="P514" i="9"/>
  <c r="O514" i="9"/>
  <c r="P513" i="9"/>
  <c r="O513" i="9"/>
  <c r="O512" i="9"/>
  <c r="N512" i="9"/>
  <c r="M512" i="9"/>
  <c r="P512" i="9" s="1"/>
  <c r="L512" i="9"/>
  <c r="P507" i="9"/>
  <c r="O507" i="9"/>
  <c r="N507" i="9"/>
  <c r="N504" i="9" s="1"/>
  <c r="N502" i="9" s="1"/>
  <c r="P506" i="9"/>
  <c r="O506" i="9"/>
  <c r="O505" i="9"/>
  <c r="N505" i="9"/>
  <c r="M505" i="9"/>
  <c r="P505" i="9" s="1"/>
  <c r="L505" i="9"/>
  <c r="P504" i="9"/>
  <c r="M504" i="9"/>
  <c r="L504" i="9"/>
  <c r="O504" i="9" s="1"/>
  <c r="O503" i="9"/>
  <c r="N503" i="9"/>
  <c r="M503" i="9"/>
  <c r="M502" i="9" s="1"/>
  <c r="P502" i="9" s="1"/>
  <c r="L503" i="9"/>
  <c r="L502" i="9" s="1"/>
  <c r="O502" i="9" s="1"/>
  <c r="K501" i="9"/>
  <c r="K500" i="9"/>
  <c r="J500" i="9"/>
  <c r="I498" i="9"/>
  <c r="K498" i="9" s="1"/>
  <c r="I495" i="9"/>
  <c r="K495" i="9" s="1"/>
  <c r="I492" i="9"/>
  <c r="K492" i="9" s="1"/>
  <c r="I489" i="9"/>
  <c r="K489" i="9" s="1"/>
  <c r="I487" i="9"/>
  <c r="K487" i="9" s="1"/>
  <c r="I485" i="9"/>
  <c r="K485" i="9" s="1"/>
  <c r="I483" i="9"/>
  <c r="K483" i="9" s="1"/>
  <c r="P479" i="9"/>
  <c r="L479" i="9"/>
  <c r="P478" i="9"/>
  <c r="O478" i="9"/>
  <c r="P477" i="9"/>
  <c r="N477" i="9"/>
  <c r="M477" i="9"/>
  <c r="P472" i="9"/>
  <c r="N472" i="9"/>
  <c r="N469" i="9" s="1"/>
  <c r="L472" i="9"/>
  <c r="O472" i="9" s="1"/>
  <c r="P471" i="9"/>
  <c r="O471" i="9"/>
  <c r="N470" i="9"/>
  <c r="M470" i="9"/>
  <c r="P470" i="9" s="1"/>
  <c r="P469" i="9"/>
  <c r="M469" i="9"/>
  <c r="O468" i="9"/>
  <c r="N468" i="9"/>
  <c r="M468" i="9"/>
  <c r="M467" i="9" s="1"/>
  <c r="P467" i="9" s="1"/>
  <c r="L468" i="9"/>
  <c r="N467" i="9"/>
  <c r="J466" i="9"/>
  <c r="I466" i="9"/>
  <c r="K466" i="9" s="1"/>
  <c r="J465" i="9"/>
  <c r="I465" i="9"/>
  <c r="K465" i="9" s="1"/>
  <c r="I464" i="9"/>
  <c r="I463" i="9"/>
  <c r="I462" i="9"/>
  <c r="K462" i="9" s="1"/>
  <c r="I460" i="9"/>
  <c r="K460" i="9" s="1"/>
  <c r="K458" i="9"/>
  <c r="P456" i="9"/>
  <c r="L456" i="9"/>
  <c r="P455" i="9"/>
  <c r="O455" i="9"/>
  <c r="N454" i="9"/>
  <c r="M454" i="9"/>
  <c r="P454" i="9" s="1"/>
  <c r="P449" i="9"/>
  <c r="N449" i="9"/>
  <c r="L449" i="9"/>
  <c r="O449" i="9" s="1"/>
  <c r="P448" i="9"/>
  <c r="O448" i="9"/>
  <c r="P447" i="9"/>
  <c r="N447" i="9"/>
  <c r="M447" i="9"/>
  <c r="N446" i="9"/>
  <c r="M446" i="9"/>
  <c r="P446" i="9" s="1"/>
  <c r="P445" i="9"/>
  <c r="N445" i="9"/>
  <c r="N444" i="9" s="1"/>
  <c r="M445" i="9"/>
  <c r="M444" i="9" s="1"/>
  <c r="P444" i="9" s="1"/>
  <c r="L445" i="9"/>
  <c r="O445" i="9" s="1"/>
  <c r="J443" i="9"/>
  <c r="J442" i="9"/>
  <c r="I441" i="9"/>
  <c r="K441" i="9" s="1"/>
  <c r="I440" i="9"/>
  <c r="K440" i="9" s="1"/>
  <c r="I439" i="9"/>
  <c r="K439" i="9" s="1"/>
  <c r="I438" i="9"/>
  <c r="K438" i="9" s="1"/>
  <c r="I437" i="9"/>
  <c r="K437" i="9" s="1"/>
  <c r="I435" i="9"/>
  <c r="K435" i="9" s="1"/>
  <c r="J434" i="9"/>
  <c r="P431" i="9"/>
  <c r="L431" i="9"/>
  <c r="P430" i="9"/>
  <c r="O430" i="9"/>
  <c r="N429" i="9"/>
  <c r="M429" i="9"/>
  <c r="P429" i="9" s="1"/>
  <c r="P424" i="9"/>
  <c r="N424" i="9"/>
  <c r="L424" i="9"/>
  <c r="L422" i="9" s="1"/>
  <c r="O422" i="9" s="1"/>
  <c r="P423" i="9"/>
  <c r="O423" i="9"/>
  <c r="P422" i="9"/>
  <c r="N422" i="9"/>
  <c r="M422" i="9"/>
  <c r="N421" i="9"/>
  <c r="M421" i="9"/>
  <c r="P421" i="9" s="1"/>
  <c r="P420" i="9"/>
  <c r="N420" i="9"/>
  <c r="N419" i="9" s="1"/>
  <c r="M420" i="9"/>
  <c r="M419" i="9" s="1"/>
  <c r="L420" i="9"/>
  <c r="O420" i="9" s="1"/>
  <c r="J418" i="9"/>
  <c r="K413" i="9"/>
  <c r="K412" i="9"/>
  <c r="N410" i="9"/>
  <c r="N408" i="9" s="1"/>
  <c r="M410" i="9"/>
  <c r="P410" i="9" s="1"/>
  <c r="L410" i="9"/>
  <c r="L408" i="9" s="1"/>
  <c r="O408" i="9" s="1"/>
  <c r="P409" i="9"/>
  <c r="O409" i="9"/>
  <c r="N407" i="9"/>
  <c r="N405" i="9" s="1"/>
  <c r="M407" i="9"/>
  <c r="P407" i="9" s="1"/>
  <c r="L407" i="9"/>
  <c r="L405" i="9" s="1"/>
  <c r="O405" i="9" s="1"/>
  <c r="P406" i="9"/>
  <c r="O406" i="9"/>
  <c r="P403" i="9"/>
  <c r="N403" i="9"/>
  <c r="M403" i="9"/>
  <c r="L403" i="9"/>
  <c r="J401" i="9"/>
  <c r="I401" i="9"/>
  <c r="K401" i="9" s="1"/>
  <c r="K400" i="9"/>
  <c r="K399" i="9"/>
  <c r="N397" i="9"/>
  <c r="N395" i="9" s="1"/>
  <c r="M397" i="9"/>
  <c r="L397" i="9"/>
  <c r="O397" i="9" s="1"/>
  <c r="P396" i="9"/>
  <c r="O396" i="9"/>
  <c r="N394" i="9"/>
  <c r="M394" i="9"/>
  <c r="L394" i="9"/>
  <c r="P393" i="9"/>
  <c r="O393" i="9"/>
  <c r="P390" i="9"/>
  <c r="N390" i="9"/>
  <c r="M390" i="9"/>
  <c r="L390" i="9"/>
  <c r="O390" i="9" s="1"/>
  <c r="K388" i="9"/>
  <c r="J388" i="9"/>
  <c r="I388" i="9"/>
  <c r="J385" i="9"/>
  <c r="I385" i="9"/>
  <c r="K382" i="9"/>
  <c r="J382" i="9"/>
  <c r="J381" i="9"/>
  <c r="I381" i="9"/>
  <c r="K380" i="9"/>
  <c r="J380" i="9"/>
  <c r="J379" i="9"/>
  <c r="I379" i="9"/>
  <c r="J378" i="9"/>
  <c r="I378" i="9"/>
  <c r="K377" i="9"/>
  <c r="J377" i="9"/>
  <c r="I374" i="9"/>
  <c r="K373" i="9"/>
  <c r="J373" i="9"/>
  <c r="J372" i="9"/>
  <c r="J365" i="9" s="1"/>
  <c r="I372" i="9"/>
  <c r="K371" i="9"/>
  <c r="J371" i="9"/>
  <c r="J370" i="9"/>
  <c r="I370" i="9"/>
  <c r="J369" i="9"/>
  <c r="I369" i="9"/>
  <c r="K368" i="9"/>
  <c r="J368" i="9"/>
  <c r="I365" i="9"/>
  <c r="K363" i="9"/>
  <c r="J363" i="9"/>
  <c r="J362" i="9"/>
  <c r="I362" i="9"/>
  <c r="K361" i="9"/>
  <c r="J361" i="9"/>
  <c r="J360" i="9"/>
  <c r="I360" i="9"/>
  <c r="J359" i="9"/>
  <c r="I359" i="9"/>
  <c r="K358" i="9"/>
  <c r="J358" i="9"/>
  <c r="I355" i="9"/>
  <c r="N353" i="9"/>
  <c r="M353" i="9"/>
  <c r="L353" i="9"/>
  <c r="L351" i="9" s="1"/>
  <c r="P352" i="9"/>
  <c r="O352" i="9"/>
  <c r="N350" i="9"/>
  <c r="M350" i="9"/>
  <c r="L350" i="9"/>
  <c r="P349" i="9"/>
  <c r="O349" i="9"/>
  <c r="P346" i="9"/>
  <c r="N346" i="9"/>
  <c r="M346" i="9"/>
  <c r="L346" i="9"/>
  <c r="O346" i="9" s="1"/>
  <c r="J343" i="9"/>
  <c r="J342" i="9"/>
  <c r="J341" i="9"/>
  <c r="J340" i="9"/>
  <c r="I340" i="9"/>
  <c r="J338" i="9"/>
  <c r="I338" i="9"/>
  <c r="N336" i="9"/>
  <c r="M336" i="9"/>
  <c r="L336" i="9"/>
  <c r="O336" i="9" s="1"/>
  <c r="P335" i="9"/>
  <c r="O335" i="9"/>
  <c r="N333" i="9"/>
  <c r="M333" i="9"/>
  <c r="M331" i="9" s="1"/>
  <c r="L333" i="9"/>
  <c r="P332" i="9"/>
  <c r="O332" i="9"/>
  <c r="P329" i="9"/>
  <c r="N329" i="9"/>
  <c r="M329" i="9"/>
  <c r="L329" i="9"/>
  <c r="I327" i="9"/>
  <c r="I325" i="9"/>
  <c r="K325" i="9" s="1"/>
  <c r="N323" i="9"/>
  <c r="N321" i="9" s="1"/>
  <c r="M323" i="9"/>
  <c r="L323" i="9"/>
  <c r="O323" i="9" s="1"/>
  <c r="P322" i="9"/>
  <c r="O322" i="9"/>
  <c r="N320" i="9"/>
  <c r="N318" i="9" s="1"/>
  <c r="M320" i="9"/>
  <c r="P320" i="9" s="1"/>
  <c r="L320" i="9"/>
  <c r="O320" i="9" s="1"/>
  <c r="P319" i="9"/>
  <c r="O319" i="9"/>
  <c r="N316" i="9"/>
  <c r="M316" i="9"/>
  <c r="P316" i="9" s="1"/>
  <c r="L316" i="9"/>
  <c r="O316" i="9" s="1"/>
  <c r="J314" i="9"/>
  <c r="I312" i="9"/>
  <c r="K312" i="9" s="1"/>
  <c r="I311" i="9"/>
  <c r="K311" i="9" s="1"/>
  <c r="I310" i="9"/>
  <c r="K310" i="9" s="1"/>
  <c r="I309" i="9"/>
  <c r="N306" i="9"/>
  <c r="N304" i="9" s="1"/>
  <c r="M306" i="9"/>
  <c r="L306" i="9"/>
  <c r="L304" i="9" s="1"/>
  <c r="O304" i="9" s="1"/>
  <c r="P305" i="9"/>
  <c r="O305" i="9"/>
  <c r="N303" i="9"/>
  <c r="M303" i="9"/>
  <c r="L303" i="9"/>
  <c r="L301" i="9" s="1"/>
  <c r="O301" i="9" s="1"/>
  <c r="P302" i="9"/>
  <c r="O302" i="9"/>
  <c r="N299" i="9"/>
  <c r="M299" i="9"/>
  <c r="L299" i="9"/>
  <c r="J297" i="9"/>
  <c r="I294" i="9"/>
  <c r="K294" i="9" s="1"/>
  <c r="I293" i="9"/>
  <c r="K293" i="9" s="1"/>
  <c r="I291" i="9"/>
  <c r="K291" i="9" s="1"/>
  <c r="I290" i="9"/>
  <c r="K290" i="9" s="1"/>
  <c r="I288" i="9"/>
  <c r="I287" i="9"/>
  <c r="K287" i="9" s="1"/>
  <c r="N285" i="9"/>
  <c r="M285" i="9"/>
  <c r="P285" i="9" s="1"/>
  <c r="L285" i="9"/>
  <c r="P284" i="9"/>
  <c r="O284" i="9"/>
  <c r="N282" i="9"/>
  <c r="M282" i="9"/>
  <c r="L282" i="9"/>
  <c r="L280" i="9" s="1"/>
  <c r="P281" i="9"/>
  <c r="O281" i="9"/>
  <c r="O278" i="9"/>
  <c r="N278" i="9"/>
  <c r="M278" i="9"/>
  <c r="L278" i="9"/>
  <c r="J276" i="9"/>
  <c r="I271" i="9"/>
  <c r="K271" i="9" s="1"/>
  <c r="N269" i="9"/>
  <c r="N267" i="9" s="1"/>
  <c r="M269" i="9"/>
  <c r="M267" i="9" s="1"/>
  <c r="P267" i="9" s="1"/>
  <c r="L269" i="9"/>
  <c r="L267" i="9" s="1"/>
  <c r="O267" i="9" s="1"/>
  <c r="P268" i="9"/>
  <c r="O268" i="9"/>
  <c r="N266" i="9"/>
  <c r="N264" i="9" s="1"/>
  <c r="M266" i="9"/>
  <c r="M264" i="9" s="1"/>
  <c r="L266" i="9"/>
  <c r="L264" i="9" s="1"/>
  <c r="P265" i="9"/>
  <c r="O265" i="9"/>
  <c r="O262" i="9"/>
  <c r="N262" i="9"/>
  <c r="M262" i="9"/>
  <c r="L262" i="9"/>
  <c r="J260" i="9"/>
  <c r="K258" i="9"/>
  <c r="K257" i="9"/>
  <c r="I255" i="9"/>
  <c r="I248" i="9" s="1"/>
  <c r="K248" i="9" s="1"/>
  <c r="L253" i="9"/>
  <c r="L252" i="9"/>
  <c r="L251" i="9"/>
  <c r="L250" i="9"/>
  <c r="P249" i="9"/>
  <c r="N249" i="9"/>
  <c r="J248" i="9"/>
  <c r="J226" i="9" s="1"/>
  <c r="J180" i="9" s="1"/>
  <c r="K247" i="9"/>
  <c r="K246" i="9"/>
  <c r="I244" i="9"/>
  <c r="K244" i="9" s="1"/>
  <c r="L242" i="9"/>
  <c r="L241" i="9"/>
  <c r="L240" i="9"/>
  <c r="L239" i="9"/>
  <c r="P238" i="9"/>
  <c r="N238" i="9"/>
  <c r="J237" i="9"/>
  <c r="J236" i="9"/>
  <c r="I236" i="9"/>
  <c r="K236" i="9" s="1"/>
  <c r="J235" i="9"/>
  <c r="I235" i="9"/>
  <c r="K235" i="9" s="1"/>
  <c r="J233" i="9"/>
  <c r="N231" i="9"/>
  <c r="N230" i="9"/>
  <c r="N229" i="9"/>
  <c r="N228" i="9"/>
  <c r="N227" i="9"/>
  <c r="I225" i="9"/>
  <c r="K225" i="9" s="1"/>
  <c r="I224" i="9"/>
  <c r="I216" i="9" s="1"/>
  <c r="I223" i="9"/>
  <c r="K223" i="9" s="1"/>
  <c r="L220" i="9"/>
  <c r="L219" i="9"/>
  <c r="L218" i="9"/>
  <c r="P217" i="9"/>
  <c r="N217" i="9"/>
  <c r="J216" i="9"/>
  <c r="I215" i="9"/>
  <c r="K215" i="9" s="1"/>
  <c r="I214" i="9"/>
  <c r="K214" i="9" s="1"/>
  <c r="L212" i="9"/>
  <c r="L211" i="9"/>
  <c r="L210" i="9"/>
  <c r="P209" i="9"/>
  <c r="N209" i="9"/>
  <c r="J208" i="9"/>
  <c r="K207" i="9"/>
  <c r="K206" i="9"/>
  <c r="I204" i="9"/>
  <c r="K204" i="9" s="1"/>
  <c r="L202" i="9"/>
  <c r="L201" i="9"/>
  <c r="L200" i="9"/>
  <c r="L199" i="9"/>
  <c r="P198" i="9"/>
  <c r="N198" i="9"/>
  <c r="J197" i="9"/>
  <c r="J194" i="9"/>
  <c r="I193" i="9"/>
  <c r="I190" i="9" s="1"/>
  <c r="K190" i="9" s="1"/>
  <c r="P191" i="9"/>
  <c r="L191" i="9"/>
  <c r="O191" i="9" s="1"/>
  <c r="J190" i="9"/>
  <c r="N189" i="9"/>
  <c r="N187" i="9" s="1"/>
  <c r="M189" i="9"/>
  <c r="L189" i="9"/>
  <c r="O189" i="9" s="1"/>
  <c r="P188" i="9"/>
  <c r="O188" i="9"/>
  <c r="N186" i="9"/>
  <c r="N184" i="9" s="1"/>
  <c r="M186" i="9"/>
  <c r="M184" i="9" s="1"/>
  <c r="L186" i="9"/>
  <c r="P185" i="9"/>
  <c r="O185" i="9"/>
  <c r="P182" i="9"/>
  <c r="N182" i="9"/>
  <c r="M182" i="9"/>
  <c r="L182" i="9"/>
  <c r="K180" i="9"/>
  <c r="J177" i="9"/>
  <c r="J164" i="9" s="1"/>
  <c r="I176" i="9"/>
  <c r="K176" i="9" s="1"/>
  <c r="J174" i="9"/>
  <c r="N173" i="9"/>
  <c r="N171" i="9" s="1"/>
  <c r="M173" i="9"/>
  <c r="L173" i="9"/>
  <c r="O173" i="9" s="1"/>
  <c r="P172" i="9"/>
  <c r="O172" i="9"/>
  <c r="N170" i="9"/>
  <c r="M170" i="9"/>
  <c r="L170" i="9"/>
  <c r="L168" i="9" s="1"/>
  <c r="P169" i="9"/>
  <c r="O169" i="9"/>
  <c r="P166" i="9"/>
  <c r="O166" i="9"/>
  <c r="N166" i="9"/>
  <c r="M166" i="9"/>
  <c r="L166" i="9"/>
  <c r="I159" i="9"/>
  <c r="N157" i="9"/>
  <c r="N155" i="9" s="1"/>
  <c r="M157" i="9"/>
  <c r="P157" i="9" s="1"/>
  <c r="L157" i="9"/>
  <c r="L155" i="9" s="1"/>
  <c r="O155" i="9" s="1"/>
  <c r="P156" i="9"/>
  <c r="O156" i="9"/>
  <c r="N154" i="9"/>
  <c r="N152" i="9" s="1"/>
  <c r="M154" i="9"/>
  <c r="L154" i="9"/>
  <c r="O154" i="9" s="1"/>
  <c r="P153" i="9"/>
  <c r="O153" i="9"/>
  <c r="N150" i="9"/>
  <c r="M150" i="9"/>
  <c r="P150" i="9" s="1"/>
  <c r="L150" i="9"/>
  <c r="O150" i="9" s="1"/>
  <c r="J148" i="9"/>
  <c r="I146" i="9"/>
  <c r="I145" i="9"/>
  <c r="I143" i="9" s="1"/>
  <c r="I144" i="9"/>
  <c r="N140" i="9"/>
  <c r="N138" i="9" s="1"/>
  <c r="M140" i="9"/>
  <c r="P140" i="9" s="1"/>
  <c r="L140" i="9"/>
  <c r="O140" i="9" s="1"/>
  <c r="P139" i="9"/>
  <c r="O139" i="9"/>
  <c r="N137" i="9"/>
  <c r="N135" i="9" s="1"/>
  <c r="M137" i="9"/>
  <c r="L137" i="9"/>
  <c r="O137" i="9" s="1"/>
  <c r="P136" i="9"/>
  <c r="O136" i="9"/>
  <c r="P133" i="9"/>
  <c r="O133" i="9"/>
  <c r="N133" i="9"/>
  <c r="M133" i="9"/>
  <c r="L133" i="9"/>
  <c r="J130" i="9"/>
  <c r="N127" i="9"/>
  <c r="N125" i="9" s="1"/>
  <c r="M127" i="9"/>
  <c r="M125" i="9" s="1"/>
  <c r="P125" i="9" s="1"/>
  <c r="L127" i="9"/>
  <c r="L125" i="9" s="1"/>
  <c r="O125" i="9" s="1"/>
  <c r="P126" i="9"/>
  <c r="O126" i="9"/>
  <c r="N124" i="9"/>
  <c r="N122" i="9" s="1"/>
  <c r="M124" i="9"/>
  <c r="M122" i="9" s="1"/>
  <c r="P122" i="9" s="1"/>
  <c r="L124" i="9"/>
  <c r="L122" i="9" s="1"/>
  <c r="O122" i="9" s="1"/>
  <c r="P123" i="9"/>
  <c r="O123" i="9"/>
  <c r="O120" i="9"/>
  <c r="N120" i="9"/>
  <c r="M120" i="9"/>
  <c r="P120" i="9" s="1"/>
  <c r="L120" i="9"/>
  <c r="I116" i="9"/>
  <c r="K116" i="9" s="1"/>
  <c r="I115" i="9"/>
  <c r="K115" i="9" s="1"/>
  <c r="I114" i="9"/>
  <c r="K114" i="9" s="1"/>
  <c r="I113" i="9"/>
  <c r="K113" i="9" s="1"/>
  <c r="J112" i="9"/>
  <c r="J111" i="9"/>
  <c r="I111" i="9"/>
  <c r="I110" i="9"/>
  <c r="K110" i="9" s="1"/>
  <c r="I109" i="9"/>
  <c r="K109" i="9" s="1"/>
  <c r="I107" i="9"/>
  <c r="K107" i="9" s="1"/>
  <c r="I106" i="9"/>
  <c r="K106" i="9" s="1"/>
  <c r="I104" i="9"/>
  <c r="K104" i="9" s="1"/>
  <c r="I103" i="9"/>
  <c r="K103" i="9" s="1"/>
  <c r="I102" i="9"/>
  <c r="K102" i="9" s="1"/>
  <c r="J100" i="9"/>
  <c r="I100" i="9"/>
  <c r="K100" i="9" s="1"/>
  <c r="J99" i="9"/>
  <c r="I99" i="9"/>
  <c r="K99" i="9" s="1"/>
  <c r="J98" i="9"/>
  <c r="J86" i="9" s="1"/>
  <c r="I98" i="9"/>
  <c r="I86" i="9" s="1"/>
  <c r="K86" i="9" s="1"/>
  <c r="N96" i="9"/>
  <c r="N94" i="9" s="1"/>
  <c r="M96" i="9"/>
  <c r="M94" i="9" s="1"/>
  <c r="P94" i="9" s="1"/>
  <c r="L96" i="9"/>
  <c r="O96" i="9" s="1"/>
  <c r="P95" i="9"/>
  <c r="O95" i="9"/>
  <c r="N93" i="9"/>
  <c r="N91" i="9" s="1"/>
  <c r="M93" i="9"/>
  <c r="M91" i="9" s="1"/>
  <c r="L93" i="9"/>
  <c r="P92" i="9"/>
  <c r="O92" i="9"/>
  <c r="P89" i="9"/>
  <c r="O89" i="9"/>
  <c r="N89" i="9"/>
  <c r="M89" i="9"/>
  <c r="L89" i="9"/>
  <c r="J87" i="9"/>
  <c r="I84" i="9"/>
  <c r="K84" i="9" s="1"/>
  <c r="I83" i="9"/>
  <c r="K83" i="9" s="1"/>
  <c r="I82" i="9"/>
  <c r="K82" i="9" s="1"/>
  <c r="I81" i="9"/>
  <c r="K81" i="9" s="1"/>
  <c r="I80" i="9"/>
  <c r="K80" i="9" s="1"/>
  <c r="I79" i="9"/>
  <c r="I78" i="9"/>
  <c r="K78" i="9" s="1"/>
  <c r="J77" i="9"/>
  <c r="J76" i="9"/>
  <c r="J64" i="9" s="1"/>
  <c r="N74" i="9"/>
  <c r="M74" i="9"/>
  <c r="P74" i="9" s="1"/>
  <c r="L74" i="9"/>
  <c r="O74" i="9" s="1"/>
  <c r="P73" i="9"/>
  <c r="O73" i="9"/>
  <c r="N71" i="9"/>
  <c r="N69" i="9" s="1"/>
  <c r="M71" i="9"/>
  <c r="P71" i="9" s="1"/>
  <c r="L71" i="9"/>
  <c r="O71" i="9" s="1"/>
  <c r="P70" i="9"/>
  <c r="O70" i="9"/>
  <c r="P67" i="9"/>
  <c r="N67" i="9"/>
  <c r="M67" i="9"/>
  <c r="L67" i="9"/>
  <c r="J65" i="9"/>
  <c r="N61" i="9"/>
  <c r="N59" i="9" s="1"/>
  <c r="M61" i="9"/>
  <c r="L61" i="9"/>
  <c r="L59" i="9" s="1"/>
  <c r="O59" i="9" s="1"/>
  <c r="P60" i="9"/>
  <c r="O60" i="9"/>
  <c r="N58" i="9"/>
  <c r="N56" i="9" s="1"/>
  <c r="M58" i="9"/>
  <c r="M56" i="9" s="1"/>
  <c r="L58" i="9"/>
  <c r="P57" i="9"/>
  <c r="O57" i="9"/>
  <c r="N54" i="9"/>
  <c r="M54" i="9"/>
  <c r="P54" i="9" s="1"/>
  <c r="L54" i="9"/>
  <c r="O54" i="9" s="1"/>
  <c r="N49" i="9"/>
  <c r="N47" i="9" s="1"/>
  <c r="M49" i="9"/>
  <c r="P49" i="9" s="1"/>
  <c r="L49" i="9"/>
  <c r="L47" i="9" s="1"/>
  <c r="O47" i="9" s="1"/>
  <c r="P48" i="9"/>
  <c r="O48" i="9"/>
  <c r="N46" i="9"/>
  <c r="N44" i="9" s="1"/>
  <c r="M46" i="9"/>
  <c r="L46" i="9"/>
  <c r="L44" i="9" s="1"/>
  <c r="P45" i="9"/>
  <c r="O45" i="9"/>
  <c r="O42" i="9"/>
  <c r="N42" i="9"/>
  <c r="M42" i="9"/>
  <c r="L42" i="9"/>
  <c r="N36" i="9"/>
  <c r="M36" i="9"/>
  <c r="P36" i="9" s="1"/>
  <c r="O35" i="9"/>
  <c r="N35" i="9"/>
  <c r="M35" i="9"/>
  <c r="M34" i="9" s="1"/>
  <c r="L35" i="9"/>
  <c r="P34" i="9"/>
  <c r="N34" i="9"/>
  <c r="P33" i="9"/>
  <c r="N33" i="9"/>
  <c r="M33" i="9"/>
  <c r="O32" i="9"/>
  <c r="N32" i="9"/>
  <c r="N29" i="9" s="1"/>
  <c r="M32" i="9"/>
  <c r="P32" i="9" s="1"/>
  <c r="L32" i="9"/>
  <c r="P30" i="9"/>
  <c r="M30" i="9"/>
  <c r="M29" i="9"/>
  <c r="M28" i="9" s="1"/>
  <c r="P28" i="9" s="1"/>
  <c r="P25" i="9"/>
  <c r="N25" i="9"/>
  <c r="N15" i="9" s="1"/>
  <c r="M25" i="9"/>
  <c r="L25" i="9"/>
  <c r="L19" i="9" s="1"/>
  <c r="O22" i="9"/>
  <c r="N22" i="9"/>
  <c r="M22" i="9"/>
  <c r="M19" i="9" s="1"/>
  <c r="L22" i="9"/>
  <c r="O12" i="9"/>
  <c r="L12" i="9"/>
  <c r="J828" i="8"/>
  <c r="I828" i="8"/>
  <c r="J827" i="8"/>
  <c r="I827" i="8"/>
  <c r="J826" i="8"/>
  <c r="I826" i="8"/>
  <c r="J825" i="8"/>
  <c r="I825" i="8"/>
  <c r="J824" i="8"/>
  <c r="I824" i="8"/>
  <c r="J823" i="8"/>
  <c r="I823" i="8"/>
  <c r="J822" i="8"/>
  <c r="I822" i="8"/>
  <c r="J821" i="8"/>
  <c r="I821" i="8"/>
  <c r="P817" i="8"/>
  <c r="O817" i="8"/>
  <c r="P816" i="8"/>
  <c r="O816" i="8"/>
  <c r="O815" i="8"/>
  <c r="N815" i="8"/>
  <c r="M815" i="8"/>
  <c r="P815" i="8" s="1"/>
  <c r="L815" i="8"/>
  <c r="P810" i="8"/>
  <c r="O810" i="8"/>
  <c r="N810" i="8"/>
  <c r="P809" i="8"/>
  <c r="O809" i="8"/>
  <c r="O808" i="8"/>
  <c r="M808" i="8"/>
  <c r="P808" i="8" s="1"/>
  <c r="L808" i="8"/>
  <c r="P807" i="8"/>
  <c r="M807" i="8"/>
  <c r="L807" i="8"/>
  <c r="O806" i="8"/>
  <c r="N806" i="8"/>
  <c r="M806" i="8"/>
  <c r="P806" i="8" s="1"/>
  <c r="L806" i="8"/>
  <c r="P805" i="8"/>
  <c r="M805" i="8"/>
  <c r="K804" i="8"/>
  <c r="J804" i="8"/>
  <c r="K802" i="8"/>
  <c r="J801" i="8"/>
  <c r="J800" i="8"/>
  <c r="J785" i="8" s="1"/>
  <c r="I800" i="8"/>
  <c r="P798" i="8"/>
  <c r="O798" i="8"/>
  <c r="P797" i="8"/>
  <c r="O797" i="8"/>
  <c r="P796" i="8"/>
  <c r="N796" i="8"/>
  <c r="M796" i="8"/>
  <c r="L796" i="8"/>
  <c r="O796" i="8" s="1"/>
  <c r="P791" i="8"/>
  <c r="N791" i="8"/>
  <c r="L791" i="8"/>
  <c r="P790" i="8"/>
  <c r="O790" i="8"/>
  <c r="N789" i="8"/>
  <c r="M789" i="8"/>
  <c r="P789" i="8" s="1"/>
  <c r="P788" i="8"/>
  <c r="N788" i="8"/>
  <c r="M788" i="8"/>
  <c r="O787" i="8"/>
  <c r="N787" i="8"/>
  <c r="M787" i="8"/>
  <c r="P787" i="8" s="1"/>
  <c r="L787" i="8"/>
  <c r="P786" i="8"/>
  <c r="N786" i="8"/>
  <c r="M786" i="8"/>
  <c r="P782" i="8"/>
  <c r="O782" i="8"/>
  <c r="P781" i="8"/>
  <c r="O781" i="8"/>
  <c r="P780" i="8"/>
  <c r="N780" i="8"/>
  <c r="M780" i="8"/>
  <c r="L780" i="8"/>
  <c r="O780" i="8" s="1"/>
  <c r="P775" i="8"/>
  <c r="O775" i="8"/>
  <c r="N775" i="8"/>
  <c r="N772" i="8" s="1"/>
  <c r="N770" i="8" s="1"/>
  <c r="P774" i="8"/>
  <c r="O774" i="8"/>
  <c r="P773" i="8"/>
  <c r="N773" i="8"/>
  <c r="M773" i="8"/>
  <c r="L773" i="8"/>
  <c r="O773" i="8" s="1"/>
  <c r="O772" i="8"/>
  <c r="M772" i="8"/>
  <c r="L772" i="8"/>
  <c r="P771" i="8"/>
  <c r="N771" i="8"/>
  <c r="M771" i="8"/>
  <c r="L771" i="8"/>
  <c r="K769" i="8"/>
  <c r="J769" i="8"/>
  <c r="P766" i="8"/>
  <c r="O766" i="8"/>
  <c r="P765" i="8"/>
  <c r="O765" i="8"/>
  <c r="P764" i="8"/>
  <c r="N764" i="8"/>
  <c r="M764" i="8"/>
  <c r="L764" i="8"/>
  <c r="O764" i="8" s="1"/>
  <c r="P759" i="8"/>
  <c r="O759" i="8"/>
  <c r="N759" i="8"/>
  <c r="N756" i="8" s="1"/>
  <c r="N754" i="8" s="1"/>
  <c r="P758" i="8"/>
  <c r="O758" i="8"/>
  <c r="P757" i="8"/>
  <c r="N757" i="8"/>
  <c r="M757" i="8"/>
  <c r="L757" i="8"/>
  <c r="O757" i="8" s="1"/>
  <c r="O756" i="8"/>
  <c r="M756" i="8"/>
  <c r="L756" i="8"/>
  <c r="P755" i="8"/>
  <c r="N755" i="8"/>
  <c r="M755" i="8"/>
  <c r="L755" i="8"/>
  <c r="K753" i="8"/>
  <c r="J753" i="8"/>
  <c r="P749" i="8"/>
  <c r="O749" i="8"/>
  <c r="P748" i="8"/>
  <c r="O748" i="8"/>
  <c r="P747" i="8"/>
  <c r="N747" i="8"/>
  <c r="M747" i="8"/>
  <c r="L747" i="8"/>
  <c r="O747" i="8" s="1"/>
  <c r="P742" i="8"/>
  <c r="O742" i="8"/>
  <c r="N742" i="8"/>
  <c r="N739" i="8" s="1"/>
  <c r="P741" i="8"/>
  <c r="O741" i="8"/>
  <c r="P740" i="8"/>
  <c r="N740" i="8"/>
  <c r="M740" i="8"/>
  <c r="L740" i="8"/>
  <c r="O740" i="8" s="1"/>
  <c r="O739" i="8"/>
  <c r="M739" i="8"/>
  <c r="L739" i="8"/>
  <c r="P738" i="8"/>
  <c r="N738" i="8"/>
  <c r="M738" i="8"/>
  <c r="L738" i="8"/>
  <c r="K736" i="8"/>
  <c r="J736" i="8"/>
  <c r="J729" i="8"/>
  <c r="I729" i="8"/>
  <c r="K729" i="8" s="1"/>
  <c r="J728" i="8"/>
  <c r="I728" i="8"/>
  <c r="K728" i="8" s="1"/>
  <c r="J727" i="8"/>
  <c r="J726" i="8"/>
  <c r="I726" i="8"/>
  <c r="K726" i="8" s="1"/>
  <c r="J725" i="8"/>
  <c r="I725" i="8"/>
  <c r="K725" i="8" s="1"/>
  <c r="J724" i="8"/>
  <c r="J723" i="8"/>
  <c r="I723" i="8"/>
  <c r="K723" i="8" s="1"/>
  <c r="I722" i="8"/>
  <c r="K722" i="8" s="1"/>
  <c r="I721" i="8"/>
  <c r="K721" i="8" s="1"/>
  <c r="J720" i="8"/>
  <c r="I720" i="8"/>
  <c r="K720" i="8" s="1"/>
  <c r="J719" i="8"/>
  <c r="J718" i="8"/>
  <c r="J708" i="8"/>
  <c r="I708" i="8"/>
  <c r="K708" i="8" s="1"/>
  <c r="I707" i="8"/>
  <c r="I704" i="8"/>
  <c r="J701" i="8"/>
  <c r="I701" i="8"/>
  <c r="K701" i="8" s="1"/>
  <c r="J700" i="8"/>
  <c r="I700" i="8"/>
  <c r="J699" i="8"/>
  <c r="I699" i="8"/>
  <c r="K699" i="8" s="1"/>
  <c r="P697" i="8"/>
  <c r="O697" i="8"/>
  <c r="P696" i="8"/>
  <c r="O696" i="8"/>
  <c r="P695" i="8"/>
  <c r="N695" i="8"/>
  <c r="M695" i="8"/>
  <c r="L695" i="8"/>
  <c r="O695" i="8" s="1"/>
  <c r="P690" i="8"/>
  <c r="N690" i="8"/>
  <c r="N688" i="8" s="1"/>
  <c r="L690" i="8"/>
  <c r="M688" i="8"/>
  <c r="P688" i="8" s="1"/>
  <c r="P687" i="8"/>
  <c r="N687" i="8"/>
  <c r="M687" i="8"/>
  <c r="O686" i="8"/>
  <c r="N686" i="8"/>
  <c r="M686" i="8"/>
  <c r="P686" i="8" s="1"/>
  <c r="L686" i="8"/>
  <c r="P685" i="8"/>
  <c r="N685" i="8"/>
  <c r="M685" i="8"/>
  <c r="J679" i="8"/>
  <c r="J678" i="8"/>
  <c r="I678" i="8"/>
  <c r="K678" i="8" s="1"/>
  <c r="J675" i="8"/>
  <c r="J669" i="8" s="1"/>
  <c r="J654" i="8" s="1"/>
  <c r="I671" i="8"/>
  <c r="K671" i="8" s="1"/>
  <c r="I670" i="8"/>
  <c r="K670" i="8" s="1"/>
  <c r="I669" i="8"/>
  <c r="K672" i="8" s="1"/>
  <c r="P667" i="8"/>
  <c r="O667" i="8"/>
  <c r="P666" i="8"/>
  <c r="O666" i="8"/>
  <c r="O665" i="8"/>
  <c r="N665" i="8"/>
  <c r="M665" i="8"/>
  <c r="P665" i="8" s="1"/>
  <c r="L665" i="8"/>
  <c r="P660" i="8"/>
  <c r="N660" i="8"/>
  <c r="N657" i="8" s="1"/>
  <c r="L660" i="8"/>
  <c r="L658" i="8" s="1"/>
  <c r="O658" i="8" s="1"/>
  <c r="P659" i="8"/>
  <c r="O659" i="8"/>
  <c r="P658" i="8"/>
  <c r="N658" i="8"/>
  <c r="M658" i="8"/>
  <c r="M657" i="8"/>
  <c r="P657" i="8" s="1"/>
  <c r="P656" i="8"/>
  <c r="N656" i="8"/>
  <c r="M656" i="8"/>
  <c r="L656" i="8"/>
  <c r="M655" i="8"/>
  <c r="P655" i="8" s="1"/>
  <c r="K652" i="8"/>
  <c r="J652" i="8"/>
  <c r="J651" i="8"/>
  <c r="J628" i="8" s="1"/>
  <c r="I651" i="8"/>
  <c r="K650" i="8"/>
  <c r="J650" i="8"/>
  <c r="J649" i="8"/>
  <c r="I649" i="8"/>
  <c r="K648" i="8"/>
  <c r="J648" i="8"/>
  <c r="J647" i="8"/>
  <c r="I647" i="8"/>
  <c r="K646" i="8"/>
  <c r="J646" i="8"/>
  <c r="K645" i="8"/>
  <c r="J645" i="8"/>
  <c r="I644" i="8"/>
  <c r="K644" i="8" s="1"/>
  <c r="I643" i="8"/>
  <c r="K643" i="8" s="1"/>
  <c r="P641" i="8"/>
  <c r="L641" i="8"/>
  <c r="P640" i="8"/>
  <c r="O640" i="8"/>
  <c r="N639" i="8"/>
  <c r="M639" i="8"/>
  <c r="P639" i="8" s="1"/>
  <c r="P634" i="8"/>
  <c r="N634" i="8"/>
  <c r="L634" i="8"/>
  <c r="L632" i="8" s="1"/>
  <c r="O632" i="8" s="1"/>
  <c r="P633" i="8"/>
  <c r="O633" i="8"/>
  <c r="P632" i="8"/>
  <c r="N632" i="8"/>
  <c r="M632" i="8"/>
  <c r="N631" i="8"/>
  <c r="M631" i="8"/>
  <c r="P631" i="8" s="1"/>
  <c r="P630" i="8"/>
  <c r="N630" i="8"/>
  <c r="N629" i="8" s="1"/>
  <c r="M630" i="8"/>
  <c r="L630" i="8"/>
  <c r="O630" i="8" s="1"/>
  <c r="M629" i="8"/>
  <c r="P629" i="8" s="1"/>
  <c r="J621" i="8"/>
  <c r="I621" i="8"/>
  <c r="K621" i="8" s="1"/>
  <c r="J620" i="8"/>
  <c r="I620" i="8"/>
  <c r="K620" i="8" s="1"/>
  <c r="K613" i="8"/>
  <c r="J613" i="8"/>
  <c r="K612" i="8"/>
  <c r="J612" i="8"/>
  <c r="K611" i="8"/>
  <c r="J611" i="8"/>
  <c r="J604" i="8"/>
  <c r="J603" i="8"/>
  <c r="J593" i="8" s="1"/>
  <c r="J592" i="8" s="1"/>
  <c r="J596" i="8"/>
  <c r="J595" i="8"/>
  <c r="J594" i="8"/>
  <c r="I594" i="8"/>
  <c r="K594" i="8" s="1"/>
  <c r="I593" i="8"/>
  <c r="I592" i="8" s="1"/>
  <c r="K592" i="8" s="1"/>
  <c r="J583" i="8"/>
  <c r="J577" i="8" s="1"/>
  <c r="J582" i="8"/>
  <c r="I577" i="8"/>
  <c r="K577" i="8" s="1"/>
  <c r="J576" i="8"/>
  <c r="J559" i="8" s="1"/>
  <c r="J543" i="8" s="1"/>
  <c r="I576" i="8"/>
  <c r="K576" i="8" s="1"/>
  <c r="J569" i="8"/>
  <c r="I569" i="8"/>
  <c r="K569" i="8" s="1"/>
  <c r="J568" i="8"/>
  <c r="I568" i="8"/>
  <c r="K568" i="8" s="1"/>
  <c r="J561" i="8"/>
  <c r="I561" i="8"/>
  <c r="K561" i="8" s="1"/>
  <c r="J560" i="8"/>
  <c r="I560" i="8"/>
  <c r="K560" i="8" s="1"/>
  <c r="P557" i="8"/>
  <c r="L557" i="8"/>
  <c r="P556" i="8"/>
  <c r="O556" i="8"/>
  <c r="P555" i="8"/>
  <c r="N555" i="8"/>
  <c r="N545" i="8" s="1"/>
  <c r="M555" i="8"/>
  <c r="P549" i="8"/>
  <c r="N549" i="8"/>
  <c r="L549" i="8"/>
  <c r="P548" i="8"/>
  <c r="O548" i="8"/>
  <c r="N547" i="8"/>
  <c r="M547" i="8"/>
  <c r="P547" i="8" s="1"/>
  <c r="P546" i="8"/>
  <c r="N546" i="8"/>
  <c r="M546" i="8"/>
  <c r="O545" i="8"/>
  <c r="M545" i="8"/>
  <c r="L545" i="8"/>
  <c r="I542" i="8"/>
  <c r="K542" i="8" s="1"/>
  <c r="I541" i="8"/>
  <c r="I540" i="8"/>
  <c r="K540" i="8" s="1"/>
  <c r="I539" i="8"/>
  <c r="K539" i="8" s="1"/>
  <c r="I538" i="8"/>
  <c r="K538" i="8" s="1"/>
  <c r="I537" i="8"/>
  <c r="P535" i="8"/>
  <c r="L535" i="8"/>
  <c r="O535" i="8" s="1"/>
  <c r="P534" i="8"/>
  <c r="O534" i="8"/>
  <c r="P533" i="8"/>
  <c r="N533" i="8"/>
  <c r="M533" i="8"/>
  <c r="L533" i="8"/>
  <c r="O533" i="8" s="1"/>
  <c r="P528" i="8"/>
  <c r="N528" i="8"/>
  <c r="L528" i="8"/>
  <c r="P527" i="8"/>
  <c r="O527" i="8"/>
  <c r="N526" i="8"/>
  <c r="M526" i="8"/>
  <c r="P526" i="8" s="1"/>
  <c r="P525" i="8"/>
  <c r="N525" i="8"/>
  <c r="M525" i="8"/>
  <c r="O524" i="8"/>
  <c r="N524" i="8"/>
  <c r="N523" i="8" s="1"/>
  <c r="M524" i="8"/>
  <c r="P524" i="8" s="1"/>
  <c r="L524" i="8"/>
  <c r="P523" i="8"/>
  <c r="M523" i="8"/>
  <c r="K517" i="8"/>
  <c r="J517" i="8"/>
  <c r="J501" i="8" s="1"/>
  <c r="K516" i="8"/>
  <c r="P514" i="8"/>
  <c r="O514" i="8"/>
  <c r="P513" i="8"/>
  <c r="O513" i="8"/>
  <c r="O512" i="8"/>
  <c r="N512" i="8"/>
  <c r="M512" i="8"/>
  <c r="P512" i="8" s="1"/>
  <c r="L512" i="8"/>
  <c r="P507" i="8"/>
  <c r="O507" i="8"/>
  <c r="N507" i="8"/>
  <c r="P506" i="8"/>
  <c r="O506" i="8"/>
  <c r="O505" i="8"/>
  <c r="N505" i="8"/>
  <c r="M505" i="8"/>
  <c r="P505" i="8" s="1"/>
  <c r="L505" i="8"/>
  <c r="P504" i="8"/>
  <c r="N504" i="8"/>
  <c r="M504" i="8"/>
  <c r="L504" i="8"/>
  <c r="O504" i="8" s="1"/>
  <c r="O503" i="8"/>
  <c r="N503" i="8"/>
  <c r="M503" i="8"/>
  <c r="M502" i="8" s="1"/>
  <c r="P502" i="8" s="1"/>
  <c r="L503" i="8"/>
  <c r="L502" i="8" s="1"/>
  <c r="O502" i="8" s="1"/>
  <c r="N502" i="8"/>
  <c r="K501" i="8"/>
  <c r="K500" i="8"/>
  <c r="J500" i="8"/>
  <c r="I498" i="8"/>
  <c r="K498" i="8" s="1"/>
  <c r="I495" i="8"/>
  <c r="K495" i="8" s="1"/>
  <c r="I492" i="8"/>
  <c r="K492" i="8" s="1"/>
  <c r="I489" i="8"/>
  <c r="K489" i="8" s="1"/>
  <c r="I487" i="8"/>
  <c r="K487" i="8" s="1"/>
  <c r="I485" i="8"/>
  <c r="K485" i="8" s="1"/>
  <c r="I483" i="8"/>
  <c r="K483" i="8" s="1"/>
  <c r="P479" i="8"/>
  <c r="L479" i="8"/>
  <c r="O479" i="8" s="1"/>
  <c r="P478" i="8"/>
  <c r="O478" i="8"/>
  <c r="P477" i="8"/>
  <c r="N477" i="8"/>
  <c r="M477" i="8"/>
  <c r="L477" i="8"/>
  <c r="O477" i="8" s="1"/>
  <c r="P472" i="8"/>
  <c r="N472" i="8"/>
  <c r="L472" i="8"/>
  <c r="L470" i="8" s="1"/>
  <c r="O470" i="8" s="1"/>
  <c r="P471" i="8"/>
  <c r="O471" i="8"/>
  <c r="N470" i="8"/>
  <c r="M470" i="8"/>
  <c r="P470" i="8" s="1"/>
  <c r="P469" i="8"/>
  <c r="M469" i="8"/>
  <c r="O468" i="8"/>
  <c r="N468" i="8"/>
  <c r="M468" i="8"/>
  <c r="M467" i="8" s="1"/>
  <c r="P467" i="8" s="1"/>
  <c r="L468" i="8"/>
  <c r="J466" i="8"/>
  <c r="I466" i="8"/>
  <c r="K466" i="8" s="1"/>
  <c r="J465" i="8"/>
  <c r="I465" i="8"/>
  <c r="K465" i="8" s="1"/>
  <c r="I464" i="8"/>
  <c r="I463" i="8"/>
  <c r="I462" i="8"/>
  <c r="K462" i="8" s="1"/>
  <c r="I460" i="8"/>
  <c r="K460" i="8" s="1"/>
  <c r="K458" i="8"/>
  <c r="P456" i="8"/>
  <c r="L456" i="8"/>
  <c r="P455" i="8"/>
  <c r="O455" i="8"/>
  <c r="N454" i="8"/>
  <c r="M454" i="8"/>
  <c r="P454" i="8" s="1"/>
  <c r="P449" i="8"/>
  <c r="N449" i="8"/>
  <c r="L449" i="8"/>
  <c r="O449" i="8" s="1"/>
  <c r="P448" i="8"/>
  <c r="O448" i="8"/>
  <c r="P447" i="8"/>
  <c r="N447" i="8"/>
  <c r="M447" i="8"/>
  <c r="N446" i="8"/>
  <c r="M446" i="8"/>
  <c r="P446" i="8" s="1"/>
  <c r="N445" i="8"/>
  <c r="M445" i="8"/>
  <c r="M444" i="8" s="1"/>
  <c r="P444" i="8" s="1"/>
  <c r="L445" i="8"/>
  <c r="O445" i="8" s="1"/>
  <c r="J443" i="8"/>
  <c r="J442" i="8"/>
  <c r="I441" i="8"/>
  <c r="K441" i="8" s="1"/>
  <c r="I440" i="8"/>
  <c r="K440" i="8" s="1"/>
  <c r="I439" i="8"/>
  <c r="K439" i="8" s="1"/>
  <c r="I438" i="8"/>
  <c r="K438" i="8" s="1"/>
  <c r="I437" i="8"/>
  <c r="K437" i="8" s="1"/>
  <c r="I435" i="8"/>
  <c r="I433" i="8" s="1"/>
  <c r="J434" i="8"/>
  <c r="P431" i="8"/>
  <c r="L431" i="8"/>
  <c r="P430" i="8"/>
  <c r="O430" i="8"/>
  <c r="P429" i="8"/>
  <c r="N429" i="8"/>
  <c r="M429" i="8"/>
  <c r="P424" i="8"/>
  <c r="N424" i="8"/>
  <c r="L424" i="8"/>
  <c r="P423" i="8"/>
  <c r="O423" i="8"/>
  <c r="P422" i="8"/>
  <c r="N422" i="8"/>
  <c r="M422" i="8"/>
  <c r="L422" i="8"/>
  <c r="O422" i="8" s="1"/>
  <c r="N421" i="8"/>
  <c r="M421" i="8"/>
  <c r="P421" i="8" s="1"/>
  <c r="N420" i="8"/>
  <c r="N419" i="8" s="1"/>
  <c r="M420" i="8"/>
  <c r="M419" i="8" s="1"/>
  <c r="L420" i="8"/>
  <c r="O420" i="8" s="1"/>
  <c r="J418" i="8"/>
  <c r="K413" i="8"/>
  <c r="K412" i="8"/>
  <c r="N410" i="8"/>
  <c r="N408" i="8" s="1"/>
  <c r="M410" i="8"/>
  <c r="P410" i="8" s="1"/>
  <c r="L410" i="8"/>
  <c r="P409" i="8"/>
  <c r="O409" i="8"/>
  <c r="N407" i="8"/>
  <c r="N405" i="8" s="1"/>
  <c r="M407" i="8"/>
  <c r="M405" i="8" s="1"/>
  <c r="P405" i="8" s="1"/>
  <c r="L407" i="8"/>
  <c r="P406" i="8"/>
  <c r="O406" i="8"/>
  <c r="P403" i="8"/>
  <c r="N403" i="8"/>
  <c r="M403" i="8"/>
  <c r="L403" i="8"/>
  <c r="K401" i="8"/>
  <c r="J401" i="8"/>
  <c r="I401" i="8"/>
  <c r="K400" i="8"/>
  <c r="K399" i="8"/>
  <c r="N397" i="8"/>
  <c r="N395" i="8" s="1"/>
  <c r="M397" i="8"/>
  <c r="L397" i="8"/>
  <c r="O397" i="8" s="1"/>
  <c r="P396" i="8"/>
  <c r="O396" i="8"/>
  <c r="N394" i="8"/>
  <c r="N392" i="8" s="1"/>
  <c r="M394" i="8"/>
  <c r="L394" i="8"/>
  <c r="P393" i="8"/>
  <c r="O393" i="8"/>
  <c r="N390" i="8"/>
  <c r="M390" i="8"/>
  <c r="P390" i="8" s="1"/>
  <c r="L390" i="8"/>
  <c r="O390" i="8" s="1"/>
  <c r="J388" i="8"/>
  <c r="I388" i="8"/>
  <c r="K388" i="8" s="1"/>
  <c r="J385" i="8"/>
  <c r="I385" i="8"/>
  <c r="K382" i="8"/>
  <c r="J382" i="8"/>
  <c r="J381" i="8"/>
  <c r="J374" i="8" s="1"/>
  <c r="I381" i="8"/>
  <c r="K380" i="8"/>
  <c r="J380" i="8"/>
  <c r="J379" i="8"/>
  <c r="I379" i="8"/>
  <c r="J378" i="8"/>
  <c r="I378" i="8"/>
  <c r="K377" i="8"/>
  <c r="J377" i="8"/>
  <c r="I374" i="8"/>
  <c r="K373" i="8"/>
  <c r="J373" i="8"/>
  <c r="J372" i="8"/>
  <c r="J365" i="8" s="1"/>
  <c r="I372" i="8"/>
  <c r="K371" i="8"/>
  <c r="J371" i="8"/>
  <c r="J370" i="8"/>
  <c r="I370" i="8"/>
  <c r="J369" i="8"/>
  <c r="I369" i="8"/>
  <c r="K368" i="8"/>
  <c r="J368" i="8"/>
  <c r="I365" i="8"/>
  <c r="K363" i="8"/>
  <c r="J363" i="8"/>
  <c r="J362" i="8"/>
  <c r="J355" i="8" s="1"/>
  <c r="I362" i="8"/>
  <c r="K361" i="8"/>
  <c r="J361" i="8"/>
  <c r="J360" i="8"/>
  <c r="I360" i="8"/>
  <c r="J359" i="8"/>
  <c r="I359" i="8"/>
  <c r="K358" i="8"/>
  <c r="J358" i="8"/>
  <c r="I355" i="8"/>
  <c r="N353" i="8"/>
  <c r="N351" i="8" s="1"/>
  <c r="M353" i="8"/>
  <c r="L353" i="8"/>
  <c r="L351" i="8" s="1"/>
  <c r="P352" i="8"/>
  <c r="O352" i="8"/>
  <c r="N350" i="8"/>
  <c r="N348" i="8" s="1"/>
  <c r="M350" i="8"/>
  <c r="L350" i="8"/>
  <c r="P349" i="8"/>
  <c r="O349" i="8"/>
  <c r="P346" i="8"/>
  <c r="N346" i="8"/>
  <c r="M346" i="8"/>
  <c r="L346" i="8"/>
  <c r="O346" i="8" s="1"/>
  <c r="J343" i="8"/>
  <c r="J342" i="8"/>
  <c r="J341" i="8"/>
  <c r="J340" i="8"/>
  <c r="I340" i="8"/>
  <c r="J338" i="8"/>
  <c r="I338" i="8"/>
  <c r="N336" i="8"/>
  <c r="N334" i="8" s="1"/>
  <c r="M336" i="8"/>
  <c r="P336" i="8" s="1"/>
  <c r="L336" i="8"/>
  <c r="P335" i="8"/>
  <c r="O335" i="8"/>
  <c r="N333" i="8"/>
  <c r="N331" i="8" s="1"/>
  <c r="M333" i="8"/>
  <c r="L333" i="8"/>
  <c r="L331" i="8" s="1"/>
  <c r="P332" i="8"/>
  <c r="O332" i="8"/>
  <c r="P329" i="8"/>
  <c r="O329" i="8"/>
  <c r="N329" i="8"/>
  <c r="M329" i="8"/>
  <c r="L329" i="8"/>
  <c r="I327" i="8"/>
  <c r="I325" i="8"/>
  <c r="I314" i="8" s="1"/>
  <c r="K314" i="8" s="1"/>
  <c r="N323" i="8"/>
  <c r="N321" i="8" s="1"/>
  <c r="M323" i="8"/>
  <c r="P323" i="8" s="1"/>
  <c r="L323" i="8"/>
  <c r="L321" i="8" s="1"/>
  <c r="O321" i="8" s="1"/>
  <c r="P322" i="8"/>
  <c r="O322" i="8"/>
  <c r="N320" i="8"/>
  <c r="N318" i="8" s="1"/>
  <c r="M320" i="8"/>
  <c r="L320" i="8"/>
  <c r="P319" i="8"/>
  <c r="O319" i="8"/>
  <c r="N316" i="8"/>
  <c r="M316" i="8"/>
  <c r="P316" i="8" s="1"/>
  <c r="L316" i="8"/>
  <c r="O316" i="8" s="1"/>
  <c r="J314" i="8"/>
  <c r="I312" i="8"/>
  <c r="K312" i="8" s="1"/>
  <c r="I311" i="8"/>
  <c r="K311" i="8" s="1"/>
  <c r="I310" i="8"/>
  <c r="K310" i="8" s="1"/>
  <c r="I309" i="8"/>
  <c r="K309" i="8" s="1"/>
  <c r="N306" i="8"/>
  <c r="N304" i="8" s="1"/>
  <c r="M306" i="8"/>
  <c r="P306" i="8" s="1"/>
  <c r="L306" i="8"/>
  <c r="O306" i="8" s="1"/>
  <c r="P305" i="8"/>
  <c r="O305" i="8"/>
  <c r="N303" i="8"/>
  <c r="N301" i="8" s="1"/>
  <c r="M303" i="8"/>
  <c r="L303" i="8"/>
  <c r="P302" i="8"/>
  <c r="O302" i="8"/>
  <c r="O299" i="8"/>
  <c r="N299" i="8"/>
  <c r="M299" i="8"/>
  <c r="L299" i="8"/>
  <c r="J297" i="8"/>
  <c r="I294" i="8"/>
  <c r="K294" i="8" s="1"/>
  <c r="I293" i="8"/>
  <c r="K293" i="8" s="1"/>
  <c r="I291" i="8"/>
  <c r="K291" i="8" s="1"/>
  <c r="I290" i="8"/>
  <c r="K290" i="8" s="1"/>
  <c r="I288" i="8"/>
  <c r="I287" i="8"/>
  <c r="I276" i="8" s="1"/>
  <c r="K276" i="8" s="1"/>
  <c r="N285" i="8"/>
  <c r="N283" i="8" s="1"/>
  <c r="M285" i="8"/>
  <c r="P285" i="8" s="1"/>
  <c r="L285" i="8"/>
  <c r="O285" i="8" s="1"/>
  <c r="P284" i="8"/>
  <c r="O284" i="8"/>
  <c r="N282" i="8"/>
  <c r="N280" i="8" s="1"/>
  <c r="M282" i="8"/>
  <c r="L282" i="8"/>
  <c r="P281" i="8"/>
  <c r="O281" i="8"/>
  <c r="P278" i="8"/>
  <c r="O278" i="8"/>
  <c r="N278" i="8"/>
  <c r="M278" i="8"/>
  <c r="L278" i="8"/>
  <c r="J276" i="8"/>
  <c r="I271" i="8"/>
  <c r="K271" i="8" s="1"/>
  <c r="N269" i="8"/>
  <c r="N267" i="8" s="1"/>
  <c r="M269" i="8"/>
  <c r="M267" i="8" s="1"/>
  <c r="P267" i="8" s="1"/>
  <c r="L269" i="8"/>
  <c r="P268" i="8"/>
  <c r="O268" i="8"/>
  <c r="N266" i="8"/>
  <c r="N264" i="8" s="1"/>
  <c r="M266" i="8"/>
  <c r="M264" i="8" s="1"/>
  <c r="L266" i="8"/>
  <c r="L264" i="8" s="1"/>
  <c r="P265" i="8"/>
  <c r="O265" i="8"/>
  <c r="P262" i="8"/>
  <c r="O262" i="8"/>
  <c r="N262" i="8"/>
  <c r="M262" i="8"/>
  <c r="L262" i="8"/>
  <c r="J260" i="8"/>
  <c r="K258" i="8"/>
  <c r="K257" i="8"/>
  <c r="I255" i="8"/>
  <c r="K255" i="8" s="1"/>
  <c r="L253" i="8"/>
  <c r="L252" i="8"/>
  <c r="L251" i="8"/>
  <c r="L250" i="8"/>
  <c r="P249" i="8"/>
  <c r="N249" i="8"/>
  <c r="J248" i="8"/>
  <c r="K247" i="8"/>
  <c r="K246" i="8"/>
  <c r="I244" i="8"/>
  <c r="K244" i="8" s="1"/>
  <c r="L242" i="8"/>
  <c r="L241" i="8"/>
  <c r="L240" i="8"/>
  <c r="L239" i="8"/>
  <c r="P238" i="8"/>
  <c r="N238" i="8"/>
  <c r="N227" i="8" s="1"/>
  <c r="J237" i="8"/>
  <c r="J236" i="8"/>
  <c r="I236" i="8"/>
  <c r="K236" i="8" s="1"/>
  <c r="J235" i="8"/>
  <c r="I235" i="8"/>
  <c r="J233" i="8"/>
  <c r="N231" i="8"/>
  <c r="N230" i="8"/>
  <c r="N229" i="8"/>
  <c r="N228" i="8"/>
  <c r="J226" i="8"/>
  <c r="I225" i="8"/>
  <c r="K225" i="8" s="1"/>
  <c r="I224" i="8"/>
  <c r="I216" i="8" s="1"/>
  <c r="K216" i="8" s="1"/>
  <c r="I223" i="8"/>
  <c r="K223" i="8" s="1"/>
  <c r="L220" i="8"/>
  <c r="L219" i="8"/>
  <c r="L218" i="8"/>
  <c r="P217" i="8"/>
  <c r="N217" i="8"/>
  <c r="J216" i="8"/>
  <c r="I215" i="8"/>
  <c r="I214" i="8"/>
  <c r="K214" i="8" s="1"/>
  <c r="L212" i="8"/>
  <c r="L211" i="8"/>
  <c r="L210" i="8"/>
  <c r="P209" i="8"/>
  <c r="N209" i="8"/>
  <c r="J208" i="8"/>
  <c r="K207" i="8"/>
  <c r="K206" i="8"/>
  <c r="I204" i="8"/>
  <c r="L202" i="8"/>
  <c r="L201" i="8"/>
  <c r="L200" i="8"/>
  <c r="L199" i="8"/>
  <c r="P198" i="8"/>
  <c r="N198" i="8"/>
  <c r="J197" i="8"/>
  <c r="J194" i="8"/>
  <c r="I193" i="8"/>
  <c r="K193" i="8" s="1"/>
  <c r="P191" i="8"/>
  <c r="L191" i="8"/>
  <c r="O191" i="8" s="1"/>
  <c r="J190" i="8"/>
  <c r="N189" i="8"/>
  <c r="N187" i="8" s="1"/>
  <c r="M189" i="8"/>
  <c r="M187" i="8" s="1"/>
  <c r="P187" i="8" s="1"/>
  <c r="L189" i="8"/>
  <c r="P188" i="8"/>
  <c r="O188" i="8"/>
  <c r="N186" i="8"/>
  <c r="N184" i="8" s="1"/>
  <c r="M186" i="8"/>
  <c r="L186" i="8"/>
  <c r="P185" i="8"/>
  <c r="O185" i="8"/>
  <c r="N182" i="8"/>
  <c r="M182" i="8"/>
  <c r="P182" i="8" s="1"/>
  <c r="L182" i="8"/>
  <c r="O182" i="8" s="1"/>
  <c r="K180" i="8"/>
  <c r="J180" i="8"/>
  <c r="J177" i="8"/>
  <c r="I176" i="8"/>
  <c r="I174" i="8" s="1"/>
  <c r="K174" i="8" s="1"/>
  <c r="J174" i="8"/>
  <c r="N173" i="8"/>
  <c r="N171" i="8" s="1"/>
  <c r="M173" i="8"/>
  <c r="P173" i="8" s="1"/>
  <c r="L173" i="8"/>
  <c r="L171" i="8" s="1"/>
  <c r="O171" i="8" s="1"/>
  <c r="P172" i="8"/>
  <c r="O172" i="8"/>
  <c r="N170" i="8"/>
  <c r="M170" i="8"/>
  <c r="L170" i="8"/>
  <c r="P169" i="8"/>
  <c r="O169" i="8"/>
  <c r="P166" i="8"/>
  <c r="N166" i="8"/>
  <c r="M166" i="8"/>
  <c r="L166" i="8"/>
  <c r="O166" i="8" s="1"/>
  <c r="J164" i="8"/>
  <c r="I159" i="8"/>
  <c r="K159" i="8" s="1"/>
  <c r="N157" i="8"/>
  <c r="N155" i="8" s="1"/>
  <c r="M157" i="8"/>
  <c r="M155" i="8" s="1"/>
  <c r="P155" i="8" s="1"/>
  <c r="L157" i="8"/>
  <c r="O157" i="8" s="1"/>
  <c r="P156" i="8"/>
  <c r="O156" i="8"/>
  <c r="N154" i="8"/>
  <c r="M154" i="8"/>
  <c r="M152" i="8" s="1"/>
  <c r="L154" i="8"/>
  <c r="L152" i="8" s="1"/>
  <c r="P153" i="8"/>
  <c r="O153" i="8"/>
  <c r="P150" i="8"/>
  <c r="O150" i="8"/>
  <c r="N150" i="8"/>
  <c r="M150" i="8"/>
  <c r="L150" i="8"/>
  <c r="J148" i="8"/>
  <c r="I146" i="8"/>
  <c r="I130" i="8" s="1"/>
  <c r="K130" i="8" s="1"/>
  <c r="I145" i="8"/>
  <c r="I144" i="8"/>
  <c r="K144" i="8" s="1"/>
  <c r="N140" i="8"/>
  <c r="N138" i="8" s="1"/>
  <c r="M140" i="8"/>
  <c r="P140" i="8" s="1"/>
  <c r="L140" i="8"/>
  <c r="O140" i="8" s="1"/>
  <c r="P139" i="8"/>
  <c r="O139" i="8"/>
  <c r="N137" i="8"/>
  <c r="N135" i="8" s="1"/>
  <c r="M137" i="8"/>
  <c r="L137" i="8"/>
  <c r="P136" i="8"/>
  <c r="O136" i="8"/>
  <c r="P133" i="8"/>
  <c r="N133" i="8"/>
  <c r="M133" i="8"/>
  <c r="L133" i="8"/>
  <c r="O133" i="8" s="1"/>
  <c r="J130" i="8"/>
  <c r="N127" i="8"/>
  <c r="N125" i="8" s="1"/>
  <c r="M127" i="8"/>
  <c r="M125" i="8" s="1"/>
  <c r="P125" i="8" s="1"/>
  <c r="L127" i="8"/>
  <c r="P126" i="8"/>
  <c r="O126" i="8"/>
  <c r="N124" i="8"/>
  <c r="M124" i="8"/>
  <c r="M122" i="8" s="1"/>
  <c r="P122" i="8" s="1"/>
  <c r="L124" i="8"/>
  <c r="P123" i="8"/>
  <c r="O123" i="8"/>
  <c r="P120" i="8"/>
  <c r="N120" i="8"/>
  <c r="M120" i="8"/>
  <c r="L120" i="8"/>
  <c r="O120" i="8" s="1"/>
  <c r="I116" i="8"/>
  <c r="K116" i="8" s="1"/>
  <c r="I115" i="8"/>
  <c r="K115" i="8" s="1"/>
  <c r="I114" i="8"/>
  <c r="K114" i="8" s="1"/>
  <c r="I113" i="8"/>
  <c r="K113" i="8" s="1"/>
  <c r="J112" i="8"/>
  <c r="J111" i="8"/>
  <c r="I111" i="8"/>
  <c r="K111" i="8" s="1"/>
  <c r="I110" i="8"/>
  <c r="K110" i="8" s="1"/>
  <c r="I109" i="8"/>
  <c r="K109" i="8" s="1"/>
  <c r="I107" i="8"/>
  <c r="K107" i="8" s="1"/>
  <c r="I106" i="8"/>
  <c r="K106" i="8" s="1"/>
  <c r="I104" i="8"/>
  <c r="K104" i="8" s="1"/>
  <c r="I103" i="8"/>
  <c r="K103" i="8" s="1"/>
  <c r="I102" i="8"/>
  <c r="K102" i="8" s="1"/>
  <c r="J100" i="8"/>
  <c r="I100" i="8"/>
  <c r="K100" i="8" s="1"/>
  <c r="J99" i="8"/>
  <c r="J87" i="8" s="1"/>
  <c r="I99" i="8"/>
  <c r="J98" i="8"/>
  <c r="I98" i="8"/>
  <c r="K98" i="8" s="1"/>
  <c r="N96" i="8"/>
  <c r="N94" i="8" s="1"/>
  <c r="M96" i="8"/>
  <c r="P96" i="8" s="1"/>
  <c r="L96" i="8"/>
  <c r="O96" i="8" s="1"/>
  <c r="P95" i="8"/>
  <c r="O95" i="8"/>
  <c r="N93" i="8"/>
  <c r="N91" i="8" s="1"/>
  <c r="M93" i="8"/>
  <c r="L93" i="8"/>
  <c r="P92" i="8"/>
  <c r="O92" i="8"/>
  <c r="P89" i="8"/>
  <c r="N89" i="8"/>
  <c r="M89" i="8"/>
  <c r="L89" i="8"/>
  <c r="O89" i="8" s="1"/>
  <c r="J86" i="8"/>
  <c r="I84" i="8"/>
  <c r="K84" i="8" s="1"/>
  <c r="I83" i="8"/>
  <c r="K83" i="8" s="1"/>
  <c r="I82" i="8"/>
  <c r="K82" i="8" s="1"/>
  <c r="I81" i="8"/>
  <c r="K81" i="8" s="1"/>
  <c r="I80" i="8"/>
  <c r="K80" i="8" s="1"/>
  <c r="I79" i="8"/>
  <c r="I78" i="8"/>
  <c r="K78" i="8" s="1"/>
  <c r="J77" i="8"/>
  <c r="J76" i="8"/>
  <c r="J64" i="8" s="1"/>
  <c r="N74" i="8"/>
  <c r="M74" i="8"/>
  <c r="P74" i="8" s="1"/>
  <c r="L74" i="8"/>
  <c r="O74" i="8" s="1"/>
  <c r="P73" i="8"/>
  <c r="O73" i="8"/>
  <c r="N71" i="8"/>
  <c r="N69" i="8" s="1"/>
  <c r="M71" i="8"/>
  <c r="M69" i="8" s="1"/>
  <c r="L71" i="8"/>
  <c r="L69" i="8" s="1"/>
  <c r="P70" i="8"/>
  <c r="O70" i="8"/>
  <c r="N67" i="8"/>
  <c r="M67" i="8"/>
  <c r="L67" i="8"/>
  <c r="O67" i="8" s="1"/>
  <c r="J65" i="8"/>
  <c r="N61" i="8"/>
  <c r="M61" i="8"/>
  <c r="M59" i="8" s="1"/>
  <c r="L61" i="8"/>
  <c r="P60" i="8"/>
  <c r="O60" i="8"/>
  <c r="N58" i="8"/>
  <c r="M58" i="8"/>
  <c r="M56" i="8" s="1"/>
  <c r="L58" i="8"/>
  <c r="L56" i="8" s="1"/>
  <c r="P57" i="8"/>
  <c r="O57" i="8"/>
  <c r="N54" i="8"/>
  <c r="M54" i="8"/>
  <c r="P54" i="8" s="1"/>
  <c r="L54" i="8"/>
  <c r="N49" i="8"/>
  <c r="N47" i="8" s="1"/>
  <c r="M49" i="8"/>
  <c r="L49" i="8"/>
  <c r="O49" i="8" s="1"/>
  <c r="P48" i="8"/>
  <c r="O48" i="8"/>
  <c r="N46" i="8"/>
  <c r="M46" i="8"/>
  <c r="M44" i="8" s="1"/>
  <c r="L46" i="8"/>
  <c r="P45" i="8"/>
  <c r="O45" i="8"/>
  <c r="N42" i="8"/>
  <c r="M42" i="8"/>
  <c r="L42" i="8"/>
  <c r="P36" i="8"/>
  <c r="N36" i="8"/>
  <c r="M36" i="8"/>
  <c r="O35" i="8"/>
  <c r="N35" i="8"/>
  <c r="N34" i="8" s="1"/>
  <c r="M35" i="8"/>
  <c r="P35" i="8" s="1"/>
  <c r="L35" i="8"/>
  <c r="N33" i="8"/>
  <c r="M33" i="8"/>
  <c r="P33" i="8" s="1"/>
  <c r="P32" i="8"/>
  <c r="N32" i="8"/>
  <c r="M32" i="8"/>
  <c r="L32" i="8"/>
  <c r="N31" i="8"/>
  <c r="N30" i="8"/>
  <c r="N29" i="8"/>
  <c r="N28" i="8" s="1"/>
  <c r="M29" i="8"/>
  <c r="P29" i="8" s="1"/>
  <c r="P25" i="8"/>
  <c r="N25" i="8"/>
  <c r="M25" i="8"/>
  <c r="L25" i="8"/>
  <c r="O22" i="8"/>
  <c r="N22" i="8"/>
  <c r="M22" i="8"/>
  <c r="P22" i="8" s="1"/>
  <c r="L22" i="8"/>
  <c r="L19" i="8"/>
  <c r="N15" i="8"/>
  <c r="M15" i="8"/>
  <c r="P15" i="8" s="1"/>
  <c r="L12" i="8"/>
  <c r="J828" i="7"/>
  <c r="I828" i="7"/>
  <c r="J827" i="7"/>
  <c r="I827" i="7"/>
  <c r="J826" i="7"/>
  <c r="I826" i="7"/>
  <c r="K826" i="7" s="1"/>
  <c r="J825" i="7"/>
  <c r="I825" i="7"/>
  <c r="K825" i="7" s="1"/>
  <c r="J824" i="7"/>
  <c r="I824" i="7"/>
  <c r="J823" i="7"/>
  <c r="I823" i="7"/>
  <c r="J822" i="7"/>
  <c r="I822" i="7"/>
  <c r="J821" i="7"/>
  <c r="I821" i="7"/>
  <c r="P817" i="7"/>
  <c r="O817" i="7"/>
  <c r="P816" i="7"/>
  <c r="O816" i="7"/>
  <c r="P815" i="7"/>
  <c r="O815" i="7"/>
  <c r="N815" i="7"/>
  <c r="M815" i="7"/>
  <c r="L815" i="7"/>
  <c r="P810" i="7"/>
  <c r="O810" i="7"/>
  <c r="N810" i="7"/>
  <c r="P809" i="7"/>
  <c r="O809" i="7"/>
  <c r="O808" i="7"/>
  <c r="M808" i="7"/>
  <c r="P808" i="7" s="1"/>
  <c r="L808" i="7"/>
  <c r="M807" i="7"/>
  <c r="P807" i="7" s="1"/>
  <c r="L807" i="7"/>
  <c r="O807" i="7" s="1"/>
  <c r="N806" i="7"/>
  <c r="M806" i="7"/>
  <c r="P806" i="7" s="1"/>
  <c r="L806" i="7"/>
  <c r="O806" i="7" s="1"/>
  <c r="P805" i="7"/>
  <c r="M805" i="7"/>
  <c r="K804" i="7"/>
  <c r="J804" i="7"/>
  <c r="K802" i="7"/>
  <c r="J801" i="7"/>
  <c r="J800" i="7"/>
  <c r="J785" i="7" s="1"/>
  <c r="I800" i="7"/>
  <c r="K800" i="7" s="1"/>
  <c r="P798" i="7"/>
  <c r="O798" i="7"/>
  <c r="P797" i="7"/>
  <c r="O797" i="7"/>
  <c r="O796" i="7"/>
  <c r="N796" i="7"/>
  <c r="M796" i="7"/>
  <c r="P796" i="7" s="1"/>
  <c r="L796" i="7"/>
  <c r="P791" i="7"/>
  <c r="N791" i="7"/>
  <c r="N788" i="7" s="1"/>
  <c r="L791" i="7"/>
  <c r="L788" i="7" s="1"/>
  <c r="O788" i="7" s="1"/>
  <c r="P790" i="7"/>
  <c r="O790" i="7"/>
  <c r="N789" i="7"/>
  <c r="M789" i="7"/>
  <c r="P789" i="7" s="1"/>
  <c r="M788" i="7"/>
  <c r="P788" i="7" s="1"/>
  <c r="N787" i="7"/>
  <c r="N786" i="7" s="1"/>
  <c r="M787" i="7"/>
  <c r="P787" i="7" s="1"/>
  <c r="L787" i="7"/>
  <c r="O787" i="7" s="1"/>
  <c r="P786" i="7"/>
  <c r="M786" i="7"/>
  <c r="P782" i="7"/>
  <c r="O782" i="7"/>
  <c r="P781" i="7"/>
  <c r="O781" i="7"/>
  <c r="P780" i="7"/>
  <c r="O780" i="7"/>
  <c r="N780" i="7"/>
  <c r="M780" i="7"/>
  <c r="L780" i="7"/>
  <c r="P775" i="7"/>
  <c r="O775" i="7"/>
  <c r="N775" i="7"/>
  <c r="P774" i="7"/>
  <c r="O774" i="7"/>
  <c r="O773" i="7"/>
  <c r="N773" i="7"/>
  <c r="M773" i="7"/>
  <c r="P773" i="7" s="1"/>
  <c r="L773" i="7"/>
  <c r="N772" i="7"/>
  <c r="M772" i="7"/>
  <c r="P772" i="7" s="1"/>
  <c r="L772" i="7"/>
  <c r="O772" i="7" s="1"/>
  <c r="N771" i="7"/>
  <c r="M771" i="7"/>
  <c r="P771" i="7" s="1"/>
  <c r="L771" i="7"/>
  <c r="N770" i="7"/>
  <c r="K769" i="7"/>
  <c r="J769" i="7"/>
  <c r="P766" i="7"/>
  <c r="O766" i="7"/>
  <c r="P765" i="7"/>
  <c r="O765" i="7"/>
  <c r="P764" i="7"/>
  <c r="O764" i="7"/>
  <c r="N764" i="7"/>
  <c r="M764" i="7"/>
  <c r="L764" i="7"/>
  <c r="P759" i="7"/>
  <c r="O759" i="7"/>
  <c r="N759" i="7"/>
  <c r="P758" i="7"/>
  <c r="O758" i="7"/>
  <c r="O757" i="7"/>
  <c r="N757" i="7"/>
  <c r="M757" i="7"/>
  <c r="P757" i="7" s="1"/>
  <c r="L757" i="7"/>
  <c r="N756" i="7"/>
  <c r="M756" i="7"/>
  <c r="P756" i="7" s="1"/>
  <c r="L756" i="7"/>
  <c r="O756" i="7" s="1"/>
  <c r="N755" i="7"/>
  <c r="M755" i="7"/>
  <c r="P755" i="7" s="1"/>
  <c r="L755" i="7"/>
  <c r="N754" i="7"/>
  <c r="K753" i="7"/>
  <c r="J753" i="7"/>
  <c r="P749" i="7"/>
  <c r="O749" i="7"/>
  <c r="P748" i="7"/>
  <c r="O748" i="7"/>
  <c r="P747" i="7"/>
  <c r="O747" i="7"/>
  <c r="N747" i="7"/>
  <c r="M747" i="7"/>
  <c r="L747" i="7"/>
  <c r="P742" i="7"/>
  <c r="O742" i="7"/>
  <c r="N742" i="7"/>
  <c r="P741" i="7"/>
  <c r="O741" i="7"/>
  <c r="O740" i="7"/>
  <c r="N740" i="7"/>
  <c r="M740" i="7"/>
  <c r="P740" i="7" s="1"/>
  <c r="L740" i="7"/>
  <c r="N739" i="7"/>
  <c r="M739" i="7"/>
  <c r="P739" i="7" s="1"/>
  <c r="L739" i="7"/>
  <c r="O739" i="7" s="1"/>
  <c r="N738" i="7"/>
  <c r="M738" i="7"/>
  <c r="P738" i="7" s="1"/>
  <c r="L738" i="7"/>
  <c r="N737" i="7"/>
  <c r="K736" i="7"/>
  <c r="J736" i="7"/>
  <c r="J729" i="7"/>
  <c r="I729" i="7"/>
  <c r="K729" i="7" s="1"/>
  <c r="J728" i="7"/>
  <c r="I728" i="7"/>
  <c r="K728" i="7" s="1"/>
  <c r="J727" i="7"/>
  <c r="J726" i="7"/>
  <c r="I726" i="7"/>
  <c r="K726" i="7" s="1"/>
  <c r="J725" i="7"/>
  <c r="I725" i="7"/>
  <c r="K725" i="7" s="1"/>
  <c r="J724" i="7"/>
  <c r="J723" i="7"/>
  <c r="I723" i="7"/>
  <c r="K723" i="7" s="1"/>
  <c r="I722" i="7"/>
  <c r="K722" i="7" s="1"/>
  <c r="I721" i="7"/>
  <c r="K721" i="7" s="1"/>
  <c r="J720" i="7"/>
  <c r="I720" i="7"/>
  <c r="K720" i="7" s="1"/>
  <c r="J719" i="7"/>
  <c r="J718" i="7"/>
  <c r="J708" i="7"/>
  <c r="I708" i="7"/>
  <c r="K708" i="7" s="1"/>
  <c r="I707" i="7"/>
  <c r="I704" i="7"/>
  <c r="J701" i="7"/>
  <c r="I701" i="7"/>
  <c r="K701" i="7" s="1"/>
  <c r="J700" i="7"/>
  <c r="I700" i="7"/>
  <c r="K700" i="7" s="1"/>
  <c r="J699" i="7"/>
  <c r="I699" i="7"/>
  <c r="K699" i="7" s="1"/>
  <c r="P697" i="7"/>
  <c r="O697" i="7"/>
  <c r="P696" i="7"/>
  <c r="O696" i="7"/>
  <c r="P695" i="7"/>
  <c r="O695" i="7"/>
  <c r="N695" i="7"/>
  <c r="M695" i="7"/>
  <c r="L695" i="7"/>
  <c r="P690" i="7"/>
  <c r="N690" i="7"/>
  <c r="N687" i="7" s="1"/>
  <c r="L690" i="7"/>
  <c r="O690" i="7" s="1"/>
  <c r="M688" i="7"/>
  <c r="P688" i="7" s="1"/>
  <c r="M687" i="7"/>
  <c r="P687" i="7" s="1"/>
  <c r="P686" i="7"/>
  <c r="N686" i="7"/>
  <c r="M686" i="7"/>
  <c r="L686" i="7"/>
  <c r="O686" i="7" s="1"/>
  <c r="P685" i="7"/>
  <c r="M685" i="7"/>
  <c r="J679" i="7"/>
  <c r="J678" i="7"/>
  <c r="I678" i="7"/>
  <c r="K678" i="7" s="1"/>
  <c r="J675" i="7"/>
  <c r="I671" i="7"/>
  <c r="K671" i="7" s="1"/>
  <c r="I670" i="7"/>
  <c r="K670" i="7" s="1"/>
  <c r="J669" i="7"/>
  <c r="I669" i="7"/>
  <c r="K675" i="7" s="1"/>
  <c r="P667" i="7"/>
  <c r="O667" i="7"/>
  <c r="P666" i="7"/>
  <c r="O666" i="7"/>
  <c r="P665" i="7"/>
  <c r="N665" i="7"/>
  <c r="M665" i="7"/>
  <c r="L665" i="7"/>
  <c r="O665" i="7" s="1"/>
  <c r="P660" i="7"/>
  <c r="N660" i="7"/>
  <c r="L660" i="7"/>
  <c r="O660" i="7" s="1"/>
  <c r="P659" i="7"/>
  <c r="O659" i="7"/>
  <c r="P658" i="7"/>
  <c r="N658" i="7"/>
  <c r="M658" i="7"/>
  <c r="N657" i="7"/>
  <c r="M657" i="7"/>
  <c r="P657" i="7" s="1"/>
  <c r="N656" i="7"/>
  <c r="N655" i="7" s="1"/>
  <c r="M656" i="7"/>
  <c r="P656" i="7" s="1"/>
  <c r="L656" i="7"/>
  <c r="O656" i="7" s="1"/>
  <c r="M655" i="7"/>
  <c r="P655" i="7" s="1"/>
  <c r="J654" i="7"/>
  <c r="K652" i="7"/>
  <c r="J652" i="7"/>
  <c r="J651" i="7"/>
  <c r="J628" i="7" s="1"/>
  <c r="I651" i="7"/>
  <c r="K650" i="7"/>
  <c r="J650" i="7"/>
  <c r="J649" i="7"/>
  <c r="I649" i="7"/>
  <c r="K648" i="7"/>
  <c r="J648" i="7"/>
  <c r="J647" i="7"/>
  <c r="I647" i="7"/>
  <c r="K646" i="7"/>
  <c r="J646" i="7"/>
  <c r="K645" i="7"/>
  <c r="J645" i="7"/>
  <c r="I644" i="7"/>
  <c r="K644" i="7" s="1"/>
  <c r="I643" i="7"/>
  <c r="K643" i="7" s="1"/>
  <c r="P641" i="7"/>
  <c r="L641" i="7"/>
  <c r="P640" i="7"/>
  <c r="O640" i="7"/>
  <c r="N639" i="7"/>
  <c r="M639" i="7"/>
  <c r="P639" i="7" s="1"/>
  <c r="P634" i="7"/>
  <c r="N634" i="7"/>
  <c r="L634" i="7"/>
  <c r="O634" i="7" s="1"/>
  <c r="P633" i="7"/>
  <c r="O633" i="7"/>
  <c r="N632" i="7"/>
  <c r="M632" i="7"/>
  <c r="P632" i="7" s="1"/>
  <c r="P631" i="7"/>
  <c r="N631" i="7"/>
  <c r="N629" i="7" s="1"/>
  <c r="M631" i="7"/>
  <c r="P630" i="7"/>
  <c r="O630" i="7"/>
  <c r="N630" i="7"/>
  <c r="M630" i="7"/>
  <c r="M629" i="7" s="1"/>
  <c r="P629" i="7" s="1"/>
  <c r="L630" i="7"/>
  <c r="J621" i="7"/>
  <c r="I621" i="7"/>
  <c r="K621" i="7" s="1"/>
  <c r="J620" i="7"/>
  <c r="I620" i="7"/>
  <c r="K620" i="7" s="1"/>
  <c r="K613" i="7"/>
  <c r="J613" i="7"/>
  <c r="K612" i="7"/>
  <c r="J612" i="7"/>
  <c r="K611" i="7"/>
  <c r="J611" i="7"/>
  <c r="J604" i="7"/>
  <c r="J603" i="7"/>
  <c r="J596" i="7"/>
  <c r="J595" i="7"/>
  <c r="J594" i="7"/>
  <c r="I594" i="7"/>
  <c r="K594" i="7" s="1"/>
  <c r="J593" i="7"/>
  <c r="I593" i="7"/>
  <c r="I592" i="7" s="1"/>
  <c r="K592" i="7" s="1"/>
  <c r="J592" i="7"/>
  <c r="J583" i="7"/>
  <c r="J577" i="7" s="1"/>
  <c r="J582" i="7"/>
  <c r="J576" i="7" s="1"/>
  <c r="J559" i="7" s="1"/>
  <c r="J543" i="7" s="1"/>
  <c r="I577" i="7"/>
  <c r="I576" i="7"/>
  <c r="I559" i="7" s="1"/>
  <c r="J569" i="7"/>
  <c r="I569" i="7"/>
  <c r="K569" i="7" s="1"/>
  <c r="J568" i="7"/>
  <c r="I568" i="7"/>
  <c r="K568" i="7" s="1"/>
  <c r="J561" i="7"/>
  <c r="I561" i="7"/>
  <c r="K561" i="7" s="1"/>
  <c r="J560" i="7"/>
  <c r="I560" i="7"/>
  <c r="K560" i="7" s="1"/>
  <c r="P557" i="7"/>
  <c r="L557" i="7"/>
  <c r="O557" i="7" s="1"/>
  <c r="P556" i="7"/>
  <c r="O556" i="7"/>
  <c r="P555" i="7"/>
  <c r="N555" i="7"/>
  <c r="M555" i="7"/>
  <c r="P549" i="7"/>
  <c r="N549" i="7"/>
  <c r="L549" i="7"/>
  <c r="P548" i="7"/>
  <c r="O548" i="7"/>
  <c r="N547" i="7"/>
  <c r="M547" i="7"/>
  <c r="P547" i="7" s="1"/>
  <c r="N546" i="7"/>
  <c r="M546" i="7"/>
  <c r="P546" i="7" s="1"/>
  <c r="N545" i="7"/>
  <c r="M545" i="7"/>
  <c r="L545" i="7"/>
  <c r="O545" i="7" s="1"/>
  <c r="I542" i="7"/>
  <c r="K542" i="7" s="1"/>
  <c r="I541" i="7"/>
  <c r="K541" i="7" s="1"/>
  <c r="I540" i="7"/>
  <c r="K540" i="7" s="1"/>
  <c r="I539" i="7"/>
  <c r="K539" i="7" s="1"/>
  <c r="I538" i="7"/>
  <c r="I537" i="7"/>
  <c r="P535" i="7"/>
  <c r="L535" i="7"/>
  <c r="O535" i="7" s="1"/>
  <c r="P534" i="7"/>
  <c r="O534" i="7"/>
  <c r="N533" i="7"/>
  <c r="M533" i="7"/>
  <c r="P533" i="7" s="1"/>
  <c r="P528" i="7"/>
  <c r="N528" i="7"/>
  <c r="N525" i="7" s="1"/>
  <c r="L528" i="7"/>
  <c r="P527" i="7"/>
  <c r="O527" i="7"/>
  <c r="N526" i="7"/>
  <c r="M526" i="7"/>
  <c r="P526" i="7" s="1"/>
  <c r="M525" i="7"/>
  <c r="P525" i="7" s="1"/>
  <c r="P524" i="7"/>
  <c r="N524" i="7"/>
  <c r="N523" i="7" s="1"/>
  <c r="M524" i="7"/>
  <c r="L524" i="7"/>
  <c r="O524" i="7" s="1"/>
  <c r="P523" i="7"/>
  <c r="M523" i="7"/>
  <c r="K517" i="7"/>
  <c r="J517" i="7"/>
  <c r="J501" i="7" s="1"/>
  <c r="K516" i="7"/>
  <c r="P514" i="7"/>
  <c r="O514" i="7"/>
  <c r="P513" i="7"/>
  <c r="O513" i="7"/>
  <c r="N512" i="7"/>
  <c r="M512" i="7"/>
  <c r="P512" i="7" s="1"/>
  <c r="L512" i="7"/>
  <c r="O512" i="7" s="1"/>
  <c r="P507" i="7"/>
  <c r="O507" i="7"/>
  <c r="N507" i="7"/>
  <c r="P506" i="7"/>
  <c r="O506" i="7"/>
  <c r="P505" i="7"/>
  <c r="N505" i="7"/>
  <c r="M505" i="7"/>
  <c r="L505" i="7"/>
  <c r="O505" i="7" s="1"/>
  <c r="P504" i="7"/>
  <c r="O504" i="7"/>
  <c r="N504" i="7"/>
  <c r="M504" i="7"/>
  <c r="M502" i="7" s="1"/>
  <c r="P502" i="7" s="1"/>
  <c r="L504" i="7"/>
  <c r="O503" i="7"/>
  <c r="N503" i="7"/>
  <c r="M503" i="7"/>
  <c r="P503" i="7" s="1"/>
  <c r="L503" i="7"/>
  <c r="L502" i="7" s="1"/>
  <c r="O502" i="7" s="1"/>
  <c r="N502" i="7"/>
  <c r="K501" i="7"/>
  <c r="K500" i="7"/>
  <c r="J500" i="7"/>
  <c r="I498" i="7"/>
  <c r="K498" i="7" s="1"/>
  <c r="I495" i="7"/>
  <c r="K495" i="7" s="1"/>
  <c r="I492" i="7"/>
  <c r="K492" i="7" s="1"/>
  <c r="I489" i="7"/>
  <c r="K489" i="7" s="1"/>
  <c r="I487" i="7"/>
  <c r="K487" i="7" s="1"/>
  <c r="I485" i="7"/>
  <c r="K485" i="7" s="1"/>
  <c r="I483" i="7"/>
  <c r="K483" i="7" s="1"/>
  <c r="P479" i="7"/>
  <c r="L479" i="7"/>
  <c r="O479" i="7" s="1"/>
  <c r="P478" i="7"/>
  <c r="O478" i="7"/>
  <c r="N477" i="7"/>
  <c r="M477" i="7"/>
  <c r="P477" i="7" s="1"/>
  <c r="P472" i="7"/>
  <c r="N472" i="7"/>
  <c r="L472" i="7"/>
  <c r="L470" i="7" s="1"/>
  <c r="O470" i="7" s="1"/>
  <c r="P471" i="7"/>
  <c r="O471" i="7"/>
  <c r="P470" i="7"/>
  <c r="N470" i="7"/>
  <c r="M470" i="7"/>
  <c r="P469" i="7"/>
  <c r="M469" i="7"/>
  <c r="M467" i="7" s="1"/>
  <c r="P467" i="7" s="1"/>
  <c r="P468" i="7"/>
  <c r="O468" i="7"/>
  <c r="N468" i="7"/>
  <c r="M468" i="7"/>
  <c r="L468" i="7"/>
  <c r="J466" i="7"/>
  <c r="I466" i="7"/>
  <c r="K466" i="7" s="1"/>
  <c r="J465" i="7"/>
  <c r="I465" i="7"/>
  <c r="K465" i="7" s="1"/>
  <c r="I464" i="7"/>
  <c r="I463" i="7"/>
  <c r="I462" i="7"/>
  <c r="K462" i="7" s="1"/>
  <c r="I460" i="7"/>
  <c r="I442" i="7" s="1"/>
  <c r="K442" i="7" s="1"/>
  <c r="K458" i="7"/>
  <c r="P456" i="7"/>
  <c r="L456" i="7"/>
  <c r="P455" i="7"/>
  <c r="O455" i="7"/>
  <c r="N454" i="7"/>
  <c r="M454" i="7"/>
  <c r="P454" i="7" s="1"/>
  <c r="P449" i="7"/>
  <c r="N449" i="7"/>
  <c r="L449" i="7"/>
  <c r="P448" i="7"/>
  <c r="O448" i="7"/>
  <c r="N447" i="7"/>
  <c r="M447" i="7"/>
  <c r="P447" i="7" s="1"/>
  <c r="P446" i="7"/>
  <c r="N446" i="7"/>
  <c r="N444" i="7" s="1"/>
  <c r="M446" i="7"/>
  <c r="P445" i="7"/>
  <c r="O445" i="7"/>
  <c r="N445" i="7"/>
  <c r="M445" i="7"/>
  <c r="M444" i="7" s="1"/>
  <c r="P444" i="7" s="1"/>
  <c r="L445" i="7"/>
  <c r="J443" i="7"/>
  <c r="J442" i="7"/>
  <c r="I441" i="7"/>
  <c r="K441" i="7" s="1"/>
  <c r="I440" i="7"/>
  <c r="K440" i="7" s="1"/>
  <c r="I439" i="7"/>
  <c r="K439" i="7" s="1"/>
  <c r="I438" i="7"/>
  <c r="K438" i="7" s="1"/>
  <c r="I437" i="7"/>
  <c r="K437" i="7" s="1"/>
  <c r="I435" i="7"/>
  <c r="J434" i="7"/>
  <c r="P431" i="7"/>
  <c r="L431" i="7"/>
  <c r="P430" i="7"/>
  <c r="O430" i="7"/>
  <c r="N429" i="7"/>
  <c r="M429" i="7"/>
  <c r="P429" i="7" s="1"/>
  <c r="P424" i="7"/>
  <c r="N424" i="7"/>
  <c r="L424" i="7"/>
  <c r="O424" i="7" s="1"/>
  <c r="P423" i="7"/>
  <c r="O423" i="7"/>
  <c r="N422" i="7"/>
  <c r="M422" i="7"/>
  <c r="P422" i="7" s="1"/>
  <c r="N421" i="7"/>
  <c r="N419" i="7" s="1"/>
  <c r="M421" i="7"/>
  <c r="P421" i="7" s="1"/>
  <c r="P420" i="7"/>
  <c r="N420" i="7"/>
  <c r="M420" i="7"/>
  <c r="M419" i="7" s="1"/>
  <c r="L420" i="7"/>
  <c r="O420" i="7" s="1"/>
  <c r="J418" i="7"/>
  <c r="K413" i="7"/>
  <c r="K412" i="7"/>
  <c r="N410" i="7"/>
  <c r="N408" i="7" s="1"/>
  <c r="M410" i="7"/>
  <c r="P410" i="7" s="1"/>
  <c r="L410" i="7"/>
  <c r="L408" i="7" s="1"/>
  <c r="O408" i="7" s="1"/>
  <c r="P409" i="7"/>
  <c r="O409" i="7"/>
  <c r="N407" i="7"/>
  <c r="M407" i="7"/>
  <c r="P407" i="7" s="1"/>
  <c r="L407" i="7"/>
  <c r="P406" i="7"/>
  <c r="O406" i="7"/>
  <c r="O403" i="7"/>
  <c r="N403" i="7"/>
  <c r="M403" i="7"/>
  <c r="P403" i="7" s="1"/>
  <c r="L403" i="7"/>
  <c r="K401" i="7"/>
  <c r="J401" i="7"/>
  <c r="I401" i="7"/>
  <c r="K400" i="7"/>
  <c r="K399" i="7"/>
  <c r="N397" i="7"/>
  <c r="N395" i="7" s="1"/>
  <c r="M397" i="7"/>
  <c r="P397" i="7" s="1"/>
  <c r="L397" i="7"/>
  <c r="O397" i="7" s="1"/>
  <c r="P396" i="7"/>
  <c r="O396" i="7"/>
  <c r="N394" i="7"/>
  <c r="N392" i="7" s="1"/>
  <c r="M394" i="7"/>
  <c r="P394" i="7" s="1"/>
  <c r="L394" i="7"/>
  <c r="O394" i="7" s="1"/>
  <c r="P393" i="7"/>
  <c r="O393" i="7"/>
  <c r="P390" i="7"/>
  <c r="O390" i="7"/>
  <c r="N390" i="7"/>
  <c r="M390" i="7"/>
  <c r="L390" i="7"/>
  <c r="J388" i="7"/>
  <c r="I388" i="7"/>
  <c r="K388" i="7" s="1"/>
  <c r="J385" i="7"/>
  <c r="I385" i="7"/>
  <c r="K382" i="7"/>
  <c r="J382" i="7"/>
  <c r="J381" i="7"/>
  <c r="J374" i="7" s="1"/>
  <c r="I381" i="7"/>
  <c r="K380" i="7"/>
  <c r="J380" i="7"/>
  <c r="J379" i="7"/>
  <c r="I379" i="7"/>
  <c r="J378" i="7"/>
  <c r="I378" i="7"/>
  <c r="K377" i="7"/>
  <c r="J377" i="7"/>
  <c r="I374" i="7"/>
  <c r="K373" i="7"/>
  <c r="J373" i="7"/>
  <c r="J372" i="7"/>
  <c r="J365" i="7" s="1"/>
  <c r="I372" i="7"/>
  <c r="K371" i="7"/>
  <c r="J371" i="7"/>
  <c r="J370" i="7"/>
  <c r="I370" i="7"/>
  <c r="J369" i="7"/>
  <c r="I369" i="7"/>
  <c r="K368" i="7"/>
  <c r="J368" i="7"/>
  <c r="I365" i="7"/>
  <c r="K363" i="7"/>
  <c r="J363" i="7"/>
  <c r="J362" i="7"/>
  <c r="J355" i="7" s="1"/>
  <c r="I362" i="7"/>
  <c r="K361" i="7"/>
  <c r="J361" i="7"/>
  <c r="J360" i="7"/>
  <c r="I360" i="7"/>
  <c r="J359" i="7"/>
  <c r="I359" i="7"/>
  <c r="K358" i="7"/>
  <c r="J358" i="7"/>
  <c r="I355" i="7"/>
  <c r="N353" i="7"/>
  <c r="N351" i="7" s="1"/>
  <c r="M353" i="7"/>
  <c r="L353" i="7"/>
  <c r="P352" i="7"/>
  <c r="O352" i="7"/>
  <c r="N350" i="7"/>
  <c r="M350" i="7"/>
  <c r="L350" i="7"/>
  <c r="P349" i="7"/>
  <c r="O349" i="7"/>
  <c r="P346" i="7"/>
  <c r="N346" i="7"/>
  <c r="M346" i="7"/>
  <c r="L346" i="7"/>
  <c r="O346" i="7" s="1"/>
  <c r="J343" i="7"/>
  <c r="J342" i="7"/>
  <c r="J341" i="7"/>
  <c r="J340" i="7"/>
  <c r="I340" i="7"/>
  <c r="J338" i="7"/>
  <c r="I338" i="7"/>
  <c r="N336" i="7"/>
  <c r="N334" i="7" s="1"/>
  <c r="M336" i="7"/>
  <c r="L336" i="7"/>
  <c r="O336" i="7" s="1"/>
  <c r="P335" i="7"/>
  <c r="O335" i="7"/>
  <c r="N333" i="7"/>
  <c r="M333" i="7"/>
  <c r="L333" i="7"/>
  <c r="P332" i="7"/>
  <c r="O332" i="7"/>
  <c r="P329" i="7"/>
  <c r="N329" i="7"/>
  <c r="M329" i="7"/>
  <c r="L329" i="7"/>
  <c r="O329" i="7" s="1"/>
  <c r="I327" i="7"/>
  <c r="I325" i="7"/>
  <c r="K325" i="7" s="1"/>
  <c r="N323" i="7"/>
  <c r="M323" i="7"/>
  <c r="L323" i="7"/>
  <c r="L321" i="7" s="1"/>
  <c r="O321" i="7" s="1"/>
  <c r="P322" i="7"/>
  <c r="O322" i="7"/>
  <c r="N320" i="7"/>
  <c r="N318" i="7" s="1"/>
  <c r="M320" i="7"/>
  <c r="L320" i="7"/>
  <c r="P319" i="7"/>
  <c r="O319" i="7"/>
  <c r="N316" i="7"/>
  <c r="M316" i="7"/>
  <c r="P316" i="7" s="1"/>
  <c r="L316" i="7"/>
  <c r="J314" i="7"/>
  <c r="I312" i="7"/>
  <c r="K312" i="7" s="1"/>
  <c r="I311" i="7"/>
  <c r="K311" i="7" s="1"/>
  <c r="I310" i="7"/>
  <c r="K310" i="7" s="1"/>
  <c r="I309" i="7"/>
  <c r="K309" i="7" s="1"/>
  <c r="N306" i="7"/>
  <c r="M306" i="7"/>
  <c r="P306" i="7" s="1"/>
  <c r="L306" i="7"/>
  <c r="L304" i="7" s="1"/>
  <c r="O304" i="7" s="1"/>
  <c r="P305" i="7"/>
  <c r="O305" i="7"/>
  <c r="N303" i="7"/>
  <c r="N301" i="7" s="1"/>
  <c r="M303" i="7"/>
  <c r="P303" i="7" s="1"/>
  <c r="L303" i="7"/>
  <c r="P302" i="7"/>
  <c r="O302" i="7"/>
  <c r="O299" i="7"/>
  <c r="N299" i="7"/>
  <c r="M299" i="7"/>
  <c r="P299" i="7" s="1"/>
  <c r="L299" i="7"/>
  <c r="J297" i="7"/>
  <c r="I294" i="7"/>
  <c r="K294" i="7" s="1"/>
  <c r="I293" i="7"/>
  <c r="K293" i="7" s="1"/>
  <c r="I291" i="7"/>
  <c r="K291" i="7" s="1"/>
  <c r="I290" i="7"/>
  <c r="K290" i="7" s="1"/>
  <c r="I288" i="7"/>
  <c r="I275" i="7" s="1"/>
  <c r="I287" i="7"/>
  <c r="K287" i="7" s="1"/>
  <c r="N285" i="7"/>
  <c r="M285" i="7"/>
  <c r="P285" i="7" s="1"/>
  <c r="L285" i="7"/>
  <c r="P284" i="7"/>
  <c r="O284" i="7"/>
  <c r="N282" i="7"/>
  <c r="N280" i="7" s="1"/>
  <c r="M282" i="7"/>
  <c r="M280" i="7" s="1"/>
  <c r="L282" i="7"/>
  <c r="P281" i="7"/>
  <c r="O281" i="7"/>
  <c r="P278" i="7"/>
  <c r="N278" i="7"/>
  <c r="M278" i="7"/>
  <c r="L278" i="7"/>
  <c r="O278" i="7" s="1"/>
  <c r="J276" i="7"/>
  <c r="I271" i="7"/>
  <c r="N269" i="7"/>
  <c r="N267" i="7" s="1"/>
  <c r="M269" i="7"/>
  <c r="P269" i="7" s="1"/>
  <c r="L269" i="7"/>
  <c r="P268" i="7"/>
  <c r="O268" i="7"/>
  <c r="N266" i="7"/>
  <c r="M266" i="7"/>
  <c r="M264" i="7" s="1"/>
  <c r="L266" i="7"/>
  <c r="L264" i="7" s="1"/>
  <c r="P265" i="7"/>
  <c r="O265" i="7"/>
  <c r="O262" i="7"/>
  <c r="N262" i="7"/>
  <c r="M262" i="7"/>
  <c r="L262" i="7"/>
  <c r="J260" i="7"/>
  <c r="K258" i="7"/>
  <c r="K257" i="7"/>
  <c r="I255" i="7"/>
  <c r="K255" i="7" s="1"/>
  <c r="L253" i="7"/>
  <c r="L252" i="7"/>
  <c r="L251" i="7"/>
  <c r="L250" i="7"/>
  <c r="P249" i="7"/>
  <c r="N249" i="7"/>
  <c r="J248" i="7"/>
  <c r="K247" i="7"/>
  <c r="K246" i="7"/>
  <c r="I244" i="7"/>
  <c r="K244" i="7" s="1"/>
  <c r="L242" i="7"/>
  <c r="L241" i="7"/>
  <c r="L240" i="7"/>
  <c r="L239" i="7"/>
  <c r="P238" i="7"/>
  <c r="N238" i="7"/>
  <c r="N227" i="7" s="1"/>
  <c r="J237" i="7"/>
  <c r="J236" i="7"/>
  <c r="I236" i="7"/>
  <c r="K236" i="7" s="1"/>
  <c r="J235" i="7"/>
  <c r="I235" i="7"/>
  <c r="K235" i="7" s="1"/>
  <c r="J233" i="7"/>
  <c r="N231" i="7"/>
  <c r="N230" i="7"/>
  <c r="N229" i="7"/>
  <c r="N228" i="7"/>
  <c r="J226" i="7"/>
  <c r="I225" i="7"/>
  <c r="K225" i="7" s="1"/>
  <c r="I224" i="7"/>
  <c r="I223" i="7"/>
  <c r="K223" i="7" s="1"/>
  <c r="L220" i="7"/>
  <c r="L219" i="7"/>
  <c r="L218" i="7"/>
  <c r="P217" i="7"/>
  <c r="N217" i="7"/>
  <c r="J216" i="7"/>
  <c r="I215" i="7"/>
  <c r="I208" i="7" s="1"/>
  <c r="K208" i="7" s="1"/>
  <c r="I214" i="7"/>
  <c r="K214" i="7" s="1"/>
  <c r="L212" i="7"/>
  <c r="L211" i="7"/>
  <c r="L210" i="7"/>
  <c r="P209" i="7"/>
  <c r="N209" i="7"/>
  <c r="J208" i="7"/>
  <c r="K207" i="7"/>
  <c r="K206" i="7"/>
  <c r="I204" i="7"/>
  <c r="K204" i="7" s="1"/>
  <c r="L202" i="7"/>
  <c r="L201" i="7"/>
  <c r="L200" i="7"/>
  <c r="L199" i="7"/>
  <c r="P198" i="7"/>
  <c r="N198" i="7"/>
  <c r="J197" i="7"/>
  <c r="J194" i="7"/>
  <c r="I193" i="7"/>
  <c r="K193" i="7" s="1"/>
  <c r="P191" i="7"/>
  <c r="L191" i="7"/>
  <c r="O191" i="7" s="1"/>
  <c r="J190" i="7"/>
  <c r="N189" i="7"/>
  <c r="N187" i="7" s="1"/>
  <c r="M189" i="7"/>
  <c r="L189" i="7"/>
  <c r="P188" i="7"/>
  <c r="O188" i="7"/>
  <c r="N186" i="7"/>
  <c r="N184" i="7" s="1"/>
  <c r="M186" i="7"/>
  <c r="L186" i="7"/>
  <c r="P185" i="7"/>
  <c r="O185" i="7"/>
  <c r="N182" i="7"/>
  <c r="M182" i="7"/>
  <c r="P182" i="7" s="1"/>
  <c r="L182" i="7"/>
  <c r="O182" i="7" s="1"/>
  <c r="K180" i="7"/>
  <c r="J180" i="7"/>
  <c r="J177" i="7"/>
  <c r="I176" i="7"/>
  <c r="K176" i="7" s="1"/>
  <c r="J174" i="7"/>
  <c r="N173" i="7"/>
  <c r="N171" i="7" s="1"/>
  <c r="M173" i="7"/>
  <c r="P173" i="7" s="1"/>
  <c r="L173" i="7"/>
  <c r="P172" i="7"/>
  <c r="O172" i="7"/>
  <c r="N170" i="7"/>
  <c r="M170" i="7"/>
  <c r="M168" i="7" s="1"/>
  <c r="L170" i="7"/>
  <c r="P169" i="7"/>
  <c r="O169" i="7"/>
  <c r="P166" i="7"/>
  <c r="N166" i="7"/>
  <c r="M166" i="7"/>
  <c r="L166" i="7"/>
  <c r="O166" i="7" s="1"/>
  <c r="J164" i="7"/>
  <c r="I159" i="7"/>
  <c r="K159" i="7" s="1"/>
  <c r="N157" i="7"/>
  <c r="N155" i="7" s="1"/>
  <c r="M157" i="7"/>
  <c r="L157" i="7"/>
  <c r="P156" i="7"/>
  <c r="O156" i="7"/>
  <c r="N154" i="7"/>
  <c r="N152" i="7" s="1"/>
  <c r="M154" i="7"/>
  <c r="L154" i="7"/>
  <c r="L152" i="7" s="1"/>
  <c r="O152" i="7" s="1"/>
  <c r="P153" i="7"/>
  <c r="O153" i="7"/>
  <c r="N150" i="7"/>
  <c r="M150" i="7"/>
  <c r="P150" i="7" s="1"/>
  <c r="L150" i="7"/>
  <c r="J148" i="7"/>
  <c r="I146" i="7"/>
  <c r="K146" i="7" s="1"/>
  <c r="I145" i="7"/>
  <c r="I144" i="7"/>
  <c r="K144" i="7" s="1"/>
  <c r="N140" i="7"/>
  <c r="M140" i="7"/>
  <c r="M138" i="7" s="1"/>
  <c r="L140" i="7"/>
  <c r="P139" i="7"/>
  <c r="O139" i="7"/>
  <c r="N137" i="7"/>
  <c r="N135" i="7" s="1"/>
  <c r="M137" i="7"/>
  <c r="M135" i="7" s="1"/>
  <c r="L137" i="7"/>
  <c r="P136" i="7"/>
  <c r="O136" i="7"/>
  <c r="P133" i="7"/>
  <c r="O133" i="7"/>
  <c r="N133" i="7"/>
  <c r="M133" i="7"/>
  <c r="L133" i="7"/>
  <c r="J130" i="7"/>
  <c r="N127" i="7"/>
  <c r="N125" i="7" s="1"/>
  <c r="M127" i="7"/>
  <c r="L127" i="7"/>
  <c r="L125" i="7" s="1"/>
  <c r="P126" i="7"/>
  <c r="O126" i="7"/>
  <c r="N124" i="7"/>
  <c r="M124" i="7"/>
  <c r="L124" i="7"/>
  <c r="O124" i="7" s="1"/>
  <c r="P123" i="7"/>
  <c r="O123" i="7"/>
  <c r="N120" i="7"/>
  <c r="M120" i="7"/>
  <c r="P120" i="7" s="1"/>
  <c r="L120" i="7"/>
  <c r="I116" i="7"/>
  <c r="K116" i="7" s="1"/>
  <c r="I115" i="7"/>
  <c r="K115" i="7" s="1"/>
  <c r="I114" i="7"/>
  <c r="K114" i="7" s="1"/>
  <c r="I113" i="7"/>
  <c r="K113" i="7" s="1"/>
  <c r="J112" i="7"/>
  <c r="J111" i="7"/>
  <c r="I111" i="7"/>
  <c r="I110" i="7"/>
  <c r="K110" i="7" s="1"/>
  <c r="I109" i="7"/>
  <c r="K109" i="7" s="1"/>
  <c r="I107" i="7"/>
  <c r="K107" i="7" s="1"/>
  <c r="I106" i="7"/>
  <c r="K106" i="7" s="1"/>
  <c r="I104" i="7"/>
  <c r="K104" i="7" s="1"/>
  <c r="I103" i="7"/>
  <c r="K103" i="7" s="1"/>
  <c r="I102" i="7"/>
  <c r="K102" i="7" s="1"/>
  <c r="J100" i="7"/>
  <c r="I100" i="7"/>
  <c r="K100" i="7" s="1"/>
  <c r="J99" i="7"/>
  <c r="I99" i="7"/>
  <c r="K99" i="7" s="1"/>
  <c r="J98" i="7"/>
  <c r="J86" i="7" s="1"/>
  <c r="I98" i="7"/>
  <c r="N96" i="7"/>
  <c r="N94" i="7" s="1"/>
  <c r="M96" i="7"/>
  <c r="P96" i="7" s="1"/>
  <c r="L96" i="7"/>
  <c r="O96" i="7" s="1"/>
  <c r="P95" i="7"/>
  <c r="O95" i="7"/>
  <c r="N93" i="7"/>
  <c r="N91" i="7" s="1"/>
  <c r="M93" i="7"/>
  <c r="M91" i="7" s="1"/>
  <c r="L93" i="7"/>
  <c r="L91" i="7" s="1"/>
  <c r="P92" i="7"/>
  <c r="O92" i="7"/>
  <c r="P89" i="7"/>
  <c r="N89" i="7"/>
  <c r="M89" i="7"/>
  <c r="L89" i="7"/>
  <c r="O89" i="7" s="1"/>
  <c r="J87" i="7"/>
  <c r="I87" i="7"/>
  <c r="K87" i="7" s="1"/>
  <c r="I84" i="7"/>
  <c r="K84" i="7" s="1"/>
  <c r="I83" i="7"/>
  <c r="K83" i="7" s="1"/>
  <c r="I82" i="7"/>
  <c r="K82" i="7" s="1"/>
  <c r="I81" i="7"/>
  <c r="K81" i="7" s="1"/>
  <c r="I80" i="7"/>
  <c r="K80" i="7" s="1"/>
  <c r="I79" i="7"/>
  <c r="K79" i="7" s="1"/>
  <c r="I78" i="7"/>
  <c r="K78" i="7" s="1"/>
  <c r="J77" i="7"/>
  <c r="J76" i="7"/>
  <c r="N74" i="7"/>
  <c r="N72" i="7" s="1"/>
  <c r="M74" i="7"/>
  <c r="M72" i="7" s="1"/>
  <c r="P72" i="7" s="1"/>
  <c r="L74" i="7"/>
  <c r="O74" i="7" s="1"/>
  <c r="P73" i="7"/>
  <c r="O73" i="7"/>
  <c r="N71" i="7"/>
  <c r="M71" i="7"/>
  <c r="M69" i="7" s="1"/>
  <c r="L71" i="7"/>
  <c r="P70" i="7"/>
  <c r="O70" i="7"/>
  <c r="P67" i="7"/>
  <c r="O67" i="7"/>
  <c r="N67" i="7"/>
  <c r="M67" i="7"/>
  <c r="L67" i="7"/>
  <c r="J65" i="7"/>
  <c r="J64" i="7"/>
  <c r="N61" i="7"/>
  <c r="N59" i="7" s="1"/>
  <c r="M61" i="7"/>
  <c r="L61" i="7"/>
  <c r="O61" i="7" s="1"/>
  <c r="P60" i="7"/>
  <c r="O60" i="7"/>
  <c r="N58" i="7"/>
  <c r="M58" i="7"/>
  <c r="L58" i="7"/>
  <c r="L56" i="7" s="1"/>
  <c r="P57" i="7"/>
  <c r="O57" i="7"/>
  <c r="N54" i="7"/>
  <c r="M54" i="7"/>
  <c r="P54" i="7" s="1"/>
  <c r="L54" i="7"/>
  <c r="N49" i="7"/>
  <c r="N47" i="7" s="1"/>
  <c r="M49" i="7"/>
  <c r="P49" i="7" s="1"/>
  <c r="L49" i="7"/>
  <c r="P48" i="7"/>
  <c r="O48" i="7"/>
  <c r="N46" i="7"/>
  <c r="M46" i="7"/>
  <c r="M44" i="7" s="1"/>
  <c r="L46" i="7"/>
  <c r="P45" i="7"/>
  <c r="O45" i="7"/>
  <c r="P42" i="7"/>
  <c r="O42" i="7"/>
  <c r="N42" i="7"/>
  <c r="M42" i="7"/>
  <c r="L42" i="7"/>
  <c r="N36" i="7"/>
  <c r="M36" i="7"/>
  <c r="P36" i="7" s="1"/>
  <c r="N35" i="7"/>
  <c r="N34" i="7" s="1"/>
  <c r="M35" i="7"/>
  <c r="P35" i="7" s="1"/>
  <c r="L35" i="7"/>
  <c r="O35" i="7" s="1"/>
  <c r="P33" i="7"/>
  <c r="N33" i="7"/>
  <c r="M33" i="7"/>
  <c r="O32" i="7"/>
  <c r="N32" i="7"/>
  <c r="M32" i="7"/>
  <c r="P32" i="7" s="1"/>
  <c r="L32" i="7"/>
  <c r="M31" i="7"/>
  <c r="P31" i="7" s="1"/>
  <c r="N30" i="7"/>
  <c r="M30" i="7"/>
  <c r="P30" i="7" s="1"/>
  <c r="M29" i="7"/>
  <c r="P29" i="7" s="1"/>
  <c r="L29" i="7"/>
  <c r="O29" i="7" s="1"/>
  <c r="O25" i="7"/>
  <c r="N25" i="7"/>
  <c r="M25" i="7"/>
  <c r="P25" i="7" s="1"/>
  <c r="L25" i="7"/>
  <c r="N22" i="7"/>
  <c r="M22" i="7"/>
  <c r="P22" i="7" s="1"/>
  <c r="L22" i="7"/>
  <c r="N19" i="7"/>
  <c r="M19" i="7"/>
  <c r="P19" i="7" s="1"/>
  <c r="M15" i="7"/>
  <c r="P15" i="7" s="1"/>
  <c r="L15" i="7"/>
  <c r="N12" i="7"/>
  <c r="M12" i="7"/>
  <c r="P12" i="7" s="1"/>
  <c r="M9" i="7"/>
  <c r="P9" i="7" s="1"/>
  <c r="J828" i="6"/>
  <c r="I828" i="6"/>
  <c r="J827" i="6"/>
  <c r="I827" i="6"/>
  <c r="J826" i="6"/>
  <c r="I826" i="6"/>
  <c r="J825" i="6"/>
  <c r="I825" i="6"/>
  <c r="J824" i="6"/>
  <c r="I824" i="6"/>
  <c r="J823" i="6"/>
  <c r="I823" i="6"/>
  <c r="J822" i="6"/>
  <c r="I822" i="6"/>
  <c r="J821" i="6"/>
  <c r="I821" i="6"/>
  <c r="P817" i="6"/>
  <c r="O817" i="6"/>
  <c r="P816" i="6"/>
  <c r="O816" i="6"/>
  <c r="O815" i="6"/>
  <c r="N815" i="6"/>
  <c r="M815" i="6"/>
  <c r="P815" i="6" s="1"/>
  <c r="L815" i="6"/>
  <c r="P810" i="6"/>
  <c r="O810" i="6"/>
  <c r="N810" i="6"/>
  <c r="P809" i="6"/>
  <c r="O809" i="6"/>
  <c r="O808" i="6"/>
  <c r="M808" i="6"/>
  <c r="P808" i="6" s="1"/>
  <c r="L808" i="6"/>
  <c r="P807" i="6"/>
  <c r="M807" i="6"/>
  <c r="L807" i="6"/>
  <c r="O806" i="6"/>
  <c r="N806" i="6"/>
  <c r="M806" i="6"/>
  <c r="P806" i="6" s="1"/>
  <c r="L806" i="6"/>
  <c r="P805" i="6"/>
  <c r="M805" i="6"/>
  <c r="K804" i="6"/>
  <c r="J804" i="6"/>
  <c r="K802" i="6"/>
  <c r="J801" i="6"/>
  <c r="J800" i="6"/>
  <c r="J785" i="6" s="1"/>
  <c r="I800" i="6"/>
  <c r="P798" i="6"/>
  <c r="O798" i="6"/>
  <c r="P797" i="6"/>
  <c r="O797" i="6"/>
  <c r="P796" i="6"/>
  <c r="N796" i="6"/>
  <c r="M796" i="6"/>
  <c r="L796" i="6"/>
  <c r="O796" i="6" s="1"/>
  <c r="P791" i="6"/>
  <c r="N791" i="6"/>
  <c r="L791" i="6"/>
  <c r="P790" i="6"/>
  <c r="O790" i="6"/>
  <c r="N789" i="6"/>
  <c r="M789" i="6"/>
  <c r="P789" i="6" s="1"/>
  <c r="P788" i="6"/>
  <c r="N788" i="6"/>
  <c r="M788" i="6"/>
  <c r="O787" i="6"/>
  <c r="N787" i="6"/>
  <c r="M787" i="6"/>
  <c r="P787" i="6" s="1"/>
  <c r="L787" i="6"/>
  <c r="P786" i="6"/>
  <c r="N786" i="6"/>
  <c r="M786" i="6"/>
  <c r="P782" i="6"/>
  <c r="O782" i="6"/>
  <c r="P781" i="6"/>
  <c r="O781" i="6"/>
  <c r="P780" i="6"/>
  <c r="N780" i="6"/>
  <c r="M780" i="6"/>
  <c r="L780" i="6"/>
  <c r="O780" i="6" s="1"/>
  <c r="P775" i="6"/>
  <c r="O775" i="6"/>
  <c r="N775" i="6"/>
  <c r="N772" i="6" s="1"/>
  <c r="N770" i="6" s="1"/>
  <c r="P774" i="6"/>
  <c r="O774" i="6"/>
  <c r="P773" i="6"/>
  <c r="N773" i="6"/>
  <c r="M773" i="6"/>
  <c r="L773" i="6"/>
  <c r="O773" i="6" s="1"/>
  <c r="O772" i="6"/>
  <c r="M772" i="6"/>
  <c r="L772" i="6"/>
  <c r="P771" i="6"/>
  <c r="N771" i="6"/>
  <c r="M771" i="6"/>
  <c r="L771" i="6"/>
  <c r="K769" i="6"/>
  <c r="J769" i="6"/>
  <c r="P766" i="6"/>
  <c r="O766" i="6"/>
  <c r="P765" i="6"/>
  <c r="O765" i="6"/>
  <c r="P764" i="6"/>
  <c r="N764" i="6"/>
  <c r="M764" i="6"/>
  <c r="L764" i="6"/>
  <c r="O764" i="6" s="1"/>
  <c r="P759" i="6"/>
  <c r="O759" i="6"/>
  <c r="N759" i="6"/>
  <c r="N756" i="6" s="1"/>
  <c r="N754" i="6" s="1"/>
  <c r="P758" i="6"/>
  <c r="O758" i="6"/>
  <c r="P757" i="6"/>
  <c r="N757" i="6"/>
  <c r="M757" i="6"/>
  <c r="L757" i="6"/>
  <c r="O757" i="6" s="1"/>
  <c r="O756" i="6"/>
  <c r="M756" i="6"/>
  <c r="L756" i="6"/>
  <c r="P755" i="6"/>
  <c r="N755" i="6"/>
  <c r="M755" i="6"/>
  <c r="L755" i="6"/>
  <c r="K753" i="6"/>
  <c r="J753" i="6"/>
  <c r="P749" i="6"/>
  <c r="O749" i="6"/>
  <c r="P748" i="6"/>
  <c r="O748" i="6"/>
  <c r="P747" i="6"/>
  <c r="N747" i="6"/>
  <c r="M747" i="6"/>
  <c r="L747" i="6"/>
  <c r="O747" i="6" s="1"/>
  <c r="P742" i="6"/>
  <c r="O742" i="6"/>
  <c r="N742" i="6"/>
  <c r="N739" i="6" s="1"/>
  <c r="N737" i="6" s="1"/>
  <c r="P741" i="6"/>
  <c r="O741" i="6"/>
  <c r="P740" i="6"/>
  <c r="N740" i="6"/>
  <c r="M740" i="6"/>
  <c r="L740" i="6"/>
  <c r="O740" i="6" s="1"/>
  <c r="O739" i="6"/>
  <c r="M739" i="6"/>
  <c r="L739" i="6"/>
  <c r="P738" i="6"/>
  <c r="N738" i="6"/>
  <c r="M738" i="6"/>
  <c r="L738" i="6"/>
  <c r="K736" i="6"/>
  <c r="J736" i="6"/>
  <c r="J729" i="6"/>
  <c r="I729" i="6"/>
  <c r="J728" i="6"/>
  <c r="I728" i="6"/>
  <c r="K728" i="6" s="1"/>
  <c r="J727" i="6"/>
  <c r="J726" i="6"/>
  <c r="I726" i="6"/>
  <c r="K726" i="6" s="1"/>
  <c r="J725" i="6"/>
  <c r="I725" i="6"/>
  <c r="J724" i="6"/>
  <c r="J723" i="6"/>
  <c r="I723" i="6"/>
  <c r="I722" i="6"/>
  <c r="I721" i="6"/>
  <c r="J720" i="6"/>
  <c r="I720" i="6"/>
  <c r="J719" i="6"/>
  <c r="J718" i="6"/>
  <c r="J708" i="6"/>
  <c r="I708" i="6"/>
  <c r="I707" i="6"/>
  <c r="I704" i="6"/>
  <c r="J701" i="6"/>
  <c r="I701" i="6"/>
  <c r="J700" i="6"/>
  <c r="I700" i="6"/>
  <c r="J699" i="6"/>
  <c r="I699" i="6"/>
  <c r="K699" i="6" s="1"/>
  <c r="P697" i="6"/>
  <c r="O697" i="6"/>
  <c r="P696" i="6"/>
  <c r="O696" i="6"/>
  <c r="P695" i="6"/>
  <c r="O695" i="6"/>
  <c r="N695" i="6"/>
  <c r="M695" i="6"/>
  <c r="L695" i="6"/>
  <c r="P690" i="6"/>
  <c r="N690" i="6"/>
  <c r="N687" i="6" s="1"/>
  <c r="N685" i="6" s="1"/>
  <c r="L690" i="6"/>
  <c r="M688" i="6"/>
  <c r="P688" i="6" s="1"/>
  <c r="P687" i="6"/>
  <c r="M687" i="6"/>
  <c r="P686" i="6"/>
  <c r="O686" i="6"/>
  <c r="N686" i="6"/>
  <c r="M686" i="6"/>
  <c r="L686" i="6"/>
  <c r="P685" i="6"/>
  <c r="M685" i="6"/>
  <c r="J679" i="6"/>
  <c r="J678" i="6"/>
  <c r="I678" i="6"/>
  <c r="K678" i="6" s="1"/>
  <c r="J675" i="6"/>
  <c r="I671" i="6"/>
  <c r="K671" i="6" s="1"/>
  <c r="I670" i="6"/>
  <c r="K670" i="6" s="1"/>
  <c r="J669" i="6"/>
  <c r="I669" i="6"/>
  <c r="P667" i="6"/>
  <c r="O667" i="6"/>
  <c r="P666" i="6"/>
  <c r="O666" i="6"/>
  <c r="P665" i="6"/>
  <c r="O665" i="6"/>
  <c r="N665" i="6"/>
  <c r="M665" i="6"/>
  <c r="L665" i="6"/>
  <c r="P660" i="6"/>
  <c r="N660" i="6"/>
  <c r="N657" i="6" s="1"/>
  <c r="L660" i="6"/>
  <c r="P659" i="6"/>
  <c r="O659" i="6"/>
  <c r="P658" i="6"/>
  <c r="N658" i="6"/>
  <c r="M658" i="6"/>
  <c r="M657" i="6"/>
  <c r="P657" i="6" s="1"/>
  <c r="N656" i="6"/>
  <c r="M656" i="6"/>
  <c r="P656" i="6" s="1"/>
  <c r="L656" i="6"/>
  <c r="M655" i="6"/>
  <c r="P655" i="6" s="1"/>
  <c r="J654" i="6"/>
  <c r="K652" i="6"/>
  <c r="J652" i="6"/>
  <c r="J651" i="6"/>
  <c r="J628" i="6" s="1"/>
  <c r="I651" i="6"/>
  <c r="K650" i="6"/>
  <c r="J650" i="6"/>
  <c r="J649" i="6"/>
  <c r="I649" i="6"/>
  <c r="K648" i="6"/>
  <c r="J648" i="6"/>
  <c r="J647" i="6"/>
  <c r="I647" i="6"/>
  <c r="K646" i="6"/>
  <c r="J646" i="6"/>
  <c r="K645" i="6"/>
  <c r="J645" i="6"/>
  <c r="I644" i="6"/>
  <c r="K644" i="6" s="1"/>
  <c r="I643" i="6"/>
  <c r="K643" i="6" s="1"/>
  <c r="P641" i="6"/>
  <c r="L641" i="6"/>
  <c r="P640" i="6"/>
  <c r="O640" i="6"/>
  <c r="N639" i="6"/>
  <c r="M639" i="6"/>
  <c r="P639" i="6" s="1"/>
  <c r="P634" i="6"/>
  <c r="N634" i="6"/>
  <c r="L634" i="6"/>
  <c r="O634" i="6" s="1"/>
  <c r="P633" i="6"/>
  <c r="O633" i="6"/>
  <c r="P632" i="6"/>
  <c r="N632" i="6"/>
  <c r="M632" i="6"/>
  <c r="P631" i="6"/>
  <c r="N631" i="6"/>
  <c r="M631" i="6"/>
  <c r="P630" i="6"/>
  <c r="O630" i="6"/>
  <c r="N630" i="6"/>
  <c r="N629" i="6" s="1"/>
  <c r="M630" i="6"/>
  <c r="L630" i="6"/>
  <c r="M629" i="6"/>
  <c r="P629" i="6" s="1"/>
  <c r="J621" i="6"/>
  <c r="I621" i="6"/>
  <c r="K621" i="6" s="1"/>
  <c r="J620" i="6"/>
  <c r="I620" i="6"/>
  <c r="K620" i="6" s="1"/>
  <c r="K613" i="6"/>
  <c r="J613" i="6"/>
  <c r="K612" i="6"/>
  <c r="J612" i="6"/>
  <c r="K611" i="6"/>
  <c r="J611" i="6"/>
  <c r="J604" i="6"/>
  <c r="J603" i="6"/>
  <c r="J596" i="6"/>
  <c r="J595" i="6"/>
  <c r="J594" i="6"/>
  <c r="I594" i="6"/>
  <c r="K594" i="6" s="1"/>
  <c r="J593" i="6"/>
  <c r="I593" i="6"/>
  <c r="I592" i="6" s="1"/>
  <c r="J592" i="6"/>
  <c r="J583" i="6"/>
  <c r="J577" i="6" s="1"/>
  <c r="J582" i="6"/>
  <c r="I577" i="6"/>
  <c r="J576" i="6"/>
  <c r="J559" i="6" s="1"/>
  <c r="J543" i="6" s="1"/>
  <c r="I576" i="6"/>
  <c r="J569" i="6"/>
  <c r="I569" i="6"/>
  <c r="K569" i="6" s="1"/>
  <c r="J568" i="6"/>
  <c r="I568" i="6"/>
  <c r="K568" i="6" s="1"/>
  <c r="J561" i="6"/>
  <c r="I561" i="6"/>
  <c r="K561" i="6" s="1"/>
  <c r="J560" i="6"/>
  <c r="I560" i="6"/>
  <c r="K560" i="6" s="1"/>
  <c r="P557" i="6"/>
  <c r="L557" i="6"/>
  <c r="P556" i="6"/>
  <c r="O556" i="6"/>
  <c r="P555" i="6"/>
  <c r="N555" i="6"/>
  <c r="N545" i="6" s="1"/>
  <c r="M555" i="6"/>
  <c r="P549" i="6"/>
  <c r="N549" i="6"/>
  <c r="L549" i="6"/>
  <c r="L547" i="6" s="1"/>
  <c r="O547" i="6" s="1"/>
  <c r="P548" i="6"/>
  <c r="O548" i="6"/>
  <c r="N547" i="6"/>
  <c r="M547" i="6"/>
  <c r="P547" i="6" s="1"/>
  <c r="N546" i="6"/>
  <c r="M546" i="6"/>
  <c r="P546" i="6" s="1"/>
  <c r="M545" i="6"/>
  <c r="L545" i="6"/>
  <c r="O545" i="6" s="1"/>
  <c r="I542" i="6"/>
  <c r="K542" i="6" s="1"/>
  <c r="I541" i="6"/>
  <c r="K541" i="6" s="1"/>
  <c r="I540" i="6"/>
  <c r="K540" i="6" s="1"/>
  <c r="I539" i="6"/>
  <c r="K539" i="6" s="1"/>
  <c r="I538" i="6"/>
  <c r="I537" i="6"/>
  <c r="K537" i="6" s="1"/>
  <c r="P535" i="6"/>
  <c r="L535" i="6"/>
  <c r="P534" i="6"/>
  <c r="O534" i="6"/>
  <c r="N533" i="6"/>
  <c r="M533" i="6"/>
  <c r="P533" i="6" s="1"/>
  <c r="P528" i="6"/>
  <c r="N528" i="6"/>
  <c r="L528" i="6"/>
  <c r="P527" i="6"/>
  <c r="O527" i="6"/>
  <c r="N526" i="6"/>
  <c r="M526" i="6"/>
  <c r="P526" i="6" s="1"/>
  <c r="P525" i="6"/>
  <c r="N525" i="6"/>
  <c r="M525" i="6"/>
  <c r="P524" i="6"/>
  <c r="O524" i="6"/>
  <c r="N524" i="6"/>
  <c r="N523" i="6" s="1"/>
  <c r="M524" i="6"/>
  <c r="L524" i="6"/>
  <c r="P523" i="6"/>
  <c r="M523" i="6"/>
  <c r="I522" i="6"/>
  <c r="K522" i="6" s="1"/>
  <c r="K517" i="6"/>
  <c r="J517" i="6"/>
  <c r="J501" i="6" s="1"/>
  <c r="K516" i="6"/>
  <c r="P514" i="6"/>
  <c r="O514" i="6"/>
  <c r="P513" i="6"/>
  <c r="O513" i="6"/>
  <c r="N512" i="6"/>
  <c r="M512" i="6"/>
  <c r="P512" i="6" s="1"/>
  <c r="L512" i="6"/>
  <c r="O512" i="6" s="1"/>
  <c r="P507" i="6"/>
  <c r="O507" i="6"/>
  <c r="N507" i="6"/>
  <c r="P506" i="6"/>
  <c r="O506" i="6"/>
  <c r="P505" i="6"/>
  <c r="O505" i="6"/>
  <c r="N505" i="6"/>
  <c r="M505" i="6"/>
  <c r="L505" i="6"/>
  <c r="P504" i="6"/>
  <c r="O504" i="6"/>
  <c r="N504" i="6"/>
  <c r="M504" i="6"/>
  <c r="L504" i="6"/>
  <c r="O503" i="6"/>
  <c r="N503" i="6"/>
  <c r="M503" i="6"/>
  <c r="M502" i="6" s="1"/>
  <c r="P502" i="6" s="1"/>
  <c r="L503" i="6"/>
  <c r="L502" i="6" s="1"/>
  <c r="O502" i="6" s="1"/>
  <c r="N502" i="6"/>
  <c r="K501" i="6"/>
  <c r="K500" i="6"/>
  <c r="J500" i="6"/>
  <c r="I498" i="6"/>
  <c r="K498" i="6" s="1"/>
  <c r="I495" i="6"/>
  <c r="K495" i="6" s="1"/>
  <c r="I492" i="6"/>
  <c r="K492" i="6" s="1"/>
  <c r="I489" i="6"/>
  <c r="K489" i="6" s="1"/>
  <c r="I487" i="6"/>
  <c r="K487" i="6" s="1"/>
  <c r="I485" i="6"/>
  <c r="K485" i="6" s="1"/>
  <c r="I483" i="6"/>
  <c r="K483" i="6" s="1"/>
  <c r="P479" i="6"/>
  <c r="L479" i="6"/>
  <c r="O479" i="6" s="1"/>
  <c r="P478" i="6"/>
  <c r="O478" i="6"/>
  <c r="P477" i="6"/>
  <c r="N477" i="6"/>
  <c r="M477" i="6"/>
  <c r="P472" i="6"/>
  <c r="N472" i="6"/>
  <c r="L472" i="6"/>
  <c r="P471" i="6"/>
  <c r="O471" i="6"/>
  <c r="P470" i="6"/>
  <c r="N470" i="6"/>
  <c r="M470" i="6"/>
  <c r="P469" i="6"/>
  <c r="M469" i="6"/>
  <c r="O468" i="6"/>
  <c r="N468" i="6"/>
  <c r="M468" i="6"/>
  <c r="M467" i="6" s="1"/>
  <c r="P467" i="6" s="1"/>
  <c r="L468" i="6"/>
  <c r="J466" i="6"/>
  <c r="I466" i="6"/>
  <c r="K466" i="6" s="1"/>
  <c r="J465" i="6"/>
  <c r="I465" i="6"/>
  <c r="K465" i="6" s="1"/>
  <c r="I464" i="6"/>
  <c r="I463" i="6"/>
  <c r="I462" i="6"/>
  <c r="K462" i="6" s="1"/>
  <c r="I460" i="6"/>
  <c r="K460" i="6" s="1"/>
  <c r="K458" i="6"/>
  <c r="P456" i="6"/>
  <c r="L456" i="6"/>
  <c r="P455" i="6"/>
  <c r="O455" i="6"/>
  <c r="N454" i="6"/>
  <c r="M454" i="6"/>
  <c r="P454" i="6" s="1"/>
  <c r="P449" i="6"/>
  <c r="N449" i="6"/>
  <c r="L449" i="6"/>
  <c r="O449" i="6" s="1"/>
  <c r="P448" i="6"/>
  <c r="O448" i="6"/>
  <c r="P447" i="6"/>
  <c r="N447" i="6"/>
  <c r="M447" i="6"/>
  <c r="P446" i="6"/>
  <c r="N446" i="6"/>
  <c r="M446" i="6"/>
  <c r="P445" i="6"/>
  <c r="O445" i="6"/>
  <c r="N445" i="6"/>
  <c r="N444" i="6" s="1"/>
  <c r="M445" i="6"/>
  <c r="M444" i="6" s="1"/>
  <c r="P444" i="6" s="1"/>
  <c r="L445" i="6"/>
  <c r="J443" i="6"/>
  <c r="J442" i="6"/>
  <c r="I441" i="6"/>
  <c r="K441" i="6" s="1"/>
  <c r="I440" i="6"/>
  <c r="I439" i="6"/>
  <c r="K439" i="6" s="1"/>
  <c r="I438" i="6"/>
  <c r="K438" i="6" s="1"/>
  <c r="I437" i="6"/>
  <c r="K437" i="6" s="1"/>
  <c r="I435" i="6"/>
  <c r="J434" i="6"/>
  <c r="P431" i="6"/>
  <c r="L431" i="6"/>
  <c r="P430" i="6"/>
  <c r="O430" i="6"/>
  <c r="N429" i="6"/>
  <c r="M429" i="6"/>
  <c r="P429" i="6" s="1"/>
  <c r="P424" i="6"/>
  <c r="N424" i="6"/>
  <c r="L424" i="6"/>
  <c r="O424" i="6" s="1"/>
  <c r="P423" i="6"/>
  <c r="O423" i="6"/>
  <c r="P422" i="6"/>
  <c r="N422" i="6"/>
  <c r="M422" i="6"/>
  <c r="P421" i="6"/>
  <c r="N421" i="6"/>
  <c r="M421" i="6"/>
  <c r="P420" i="6"/>
  <c r="O420" i="6"/>
  <c r="N420" i="6"/>
  <c r="N419" i="6" s="1"/>
  <c r="M420" i="6"/>
  <c r="M419" i="6" s="1"/>
  <c r="L420" i="6"/>
  <c r="J418" i="6"/>
  <c r="K413" i="6"/>
  <c r="K412" i="6"/>
  <c r="N410" i="6"/>
  <c r="N408" i="6" s="1"/>
  <c r="M410" i="6"/>
  <c r="L410" i="6"/>
  <c r="L408" i="6" s="1"/>
  <c r="O408" i="6" s="1"/>
  <c r="P409" i="6"/>
  <c r="O409" i="6"/>
  <c r="N407" i="6"/>
  <c r="M407" i="6"/>
  <c r="M405" i="6" s="1"/>
  <c r="P405" i="6" s="1"/>
  <c r="L407" i="6"/>
  <c r="L405" i="6" s="1"/>
  <c r="O405" i="6" s="1"/>
  <c r="P406" i="6"/>
  <c r="O406" i="6"/>
  <c r="N403" i="6"/>
  <c r="M403" i="6"/>
  <c r="P403" i="6" s="1"/>
  <c r="L403" i="6"/>
  <c r="K401" i="6"/>
  <c r="J401" i="6"/>
  <c r="I401" i="6"/>
  <c r="K400" i="6"/>
  <c r="K399" i="6"/>
  <c r="N397" i="6"/>
  <c r="N395" i="6" s="1"/>
  <c r="M397" i="6"/>
  <c r="L397" i="6"/>
  <c r="P396" i="6"/>
  <c r="O396" i="6"/>
  <c r="N394" i="6"/>
  <c r="M394" i="6"/>
  <c r="L394" i="6"/>
  <c r="O394" i="6" s="1"/>
  <c r="P393" i="6"/>
  <c r="O393" i="6"/>
  <c r="P390" i="6"/>
  <c r="O390" i="6"/>
  <c r="N390" i="6"/>
  <c r="M390" i="6"/>
  <c r="L390" i="6"/>
  <c r="J388" i="6"/>
  <c r="I388" i="6"/>
  <c r="K388" i="6" s="1"/>
  <c r="J385" i="6"/>
  <c r="I385" i="6"/>
  <c r="K382" i="6"/>
  <c r="J382" i="6"/>
  <c r="J381" i="6"/>
  <c r="J374" i="6" s="1"/>
  <c r="I381" i="6"/>
  <c r="K380" i="6"/>
  <c r="J380" i="6"/>
  <c r="J379" i="6"/>
  <c r="I379" i="6"/>
  <c r="J378" i="6"/>
  <c r="I378" i="6"/>
  <c r="K377" i="6"/>
  <c r="J377" i="6"/>
  <c r="I374" i="6"/>
  <c r="K373" i="6"/>
  <c r="J373" i="6"/>
  <c r="J372" i="6"/>
  <c r="J365" i="6" s="1"/>
  <c r="I372" i="6"/>
  <c r="K371" i="6"/>
  <c r="J371" i="6"/>
  <c r="J370" i="6"/>
  <c r="I370" i="6"/>
  <c r="J369" i="6"/>
  <c r="I369" i="6"/>
  <c r="K368" i="6"/>
  <c r="J368" i="6"/>
  <c r="I365" i="6"/>
  <c r="K363" i="6"/>
  <c r="J363" i="6"/>
  <c r="J362" i="6"/>
  <c r="J355" i="6" s="1"/>
  <c r="I362" i="6"/>
  <c r="K361" i="6"/>
  <c r="J361" i="6"/>
  <c r="J360" i="6"/>
  <c r="I360" i="6"/>
  <c r="J359" i="6"/>
  <c r="I359" i="6"/>
  <c r="K358" i="6"/>
  <c r="J358" i="6"/>
  <c r="I355" i="6"/>
  <c r="N353" i="6"/>
  <c r="M353" i="6"/>
  <c r="M351" i="6" s="1"/>
  <c r="L353" i="6"/>
  <c r="L351" i="6" s="1"/>
  <c r="P352" i="6"/>
  <c r="O352" i="6"/>
  <c r="N350" i="6"/>
  <c r="M350" i="6"/>
  <c r="M348" i="6" s="1"/>
  <c r="L350" i="6"/>
  <c r="L348" i="6" s="1"/>
  <c r="P349" i="6"/>
  <c r="O349" i="6"/>
  <c r="P346" i="6"/>
  <c r="O346" i="6"/>
  <c r="N346" i="6"/>
  <c r="M346" i="6"/>
  <c r="L346" i="6"/>
  <c r="J343" i="6"/>
  <c r="J342" i="6"/>
  <c r="J341" i="6"/>
  <c r="J340" i="6"/>
  <c r="I340" i="6"/>
  <c r="J338" i="6"/>
  <c r="I338" i="6"/>
  <c r="N336" i="6"/>
  <c r="N334" i="6" s="1"/>
  <c r="M336" i="6"/>
  <c r="M334" i="6" s="1"/>
  <c r="P334" i="6" s="1"/>
  <c r="L336" i="6"/>
  <c r="O336" i="6" s="1"/>
  <c r="P335" i="6"/>
  <c r="O335" i="6"/>
  <c r="N333" i="6"/>
  <c r="M333" i="6"/>
  <c r="M331" i="6" s="1"/>
  <c r="L333" i="6"/>
  <c r="L331" i="6" s="1"/>
  <c r="P332" i="6"/>
  <c r="O332" i="6"/>
  <c r="O329" i="6"/>
  <c r="N329" i="6"/>
  <c r="M329" i="6"/>
  <c r="P329" i="6" s="1"/>
  <c r="L329" i="6"/>
  <c r="I327" i="6"/>
  <c r="I325" i="6"/>
  <c r="N323" i="6"/>
  <c r="N321" i="6" s="1"/>
  <c r="M323" i="6"/>
  <c r="L323" i="6"/>
  <c r="O323" i="6" s="1"/>
  <c r="P322" i="6"/>
  <c r="O322" i="6"/>
  <c r="N320" i="6"/>
  <c r="M320" i="6"/>
  <c r="L320" i="6"/>
  <c r="P319" i="6"/>
  <c r="O319" i="6"/>
  <c r="P316" i="6"/>
  <c r="N316" i="6"/>
  <c r="M316" i="6"/>
  <c r="L316" i="6"/>
  <c r="J314" i="6"/>
  <c r="I312" i="6"/>
  <c r="K312" i="6" s="1"/>
  <c r="I311" i="6"/>
  <c r="K311" i="6" s="1"/>
  <c r="I310" i="6"/>
  <c r="K310" i="6" s="1"/>
  <c r="I309" i="6"/>
  <c r="N306" i="6"/>
  <c r="N304" i="6" s="1"/>
  <c r="M306" i="6"/>
  <c r="P306" i="6" s="1"/>
  <c r="L306" i="6"/>
  <c r="L304" i="6" s="1"/>
  <c r="O304" i="6" s="1"/>
  <c r="P305" i="6"/>
  <c r="O305" i="6"/>
  <c r="N303" i="6"/>
  <c r="M303" i="6"/>
  <c r="M301" i="6" s="1"/>
  <c r="L303" i="6"/>
  <c r="L301" i="6" s="1"/>
  <c r="P302" i="6"/>
  <c r="O302" i="6"/>
  <c r="P299" i="6"/>
  <c r="N299" i="6"/>
  <c r="M299" i="6"/>
  <c r="L299" i="6"/>
  <c r="O299" i="6" s="1"/>
  <c r="J297" i="6"/>
  <c r="I294" i="6"/>
  <c r="K294" i="6" s="1"/>
  <c r="I293" i="6"/>
  <c r="K293" i="6" s="1"/>
  <c r="I291" i="6"/>
  <c r="K291" i="6" s="1"/>
  <c r="I290" i="6"/>
  <c r="K290" i="6" s="1"/>
  <c r="I288" i="6"/>
  <c r="I275" i="6" s="1"/>
  <c r="I287" i="6"/>
  <c r="K287" i="6" s="1"/>
  <c r="N285" i="6"/>
  <c r="N283" i="6" s="1"/>
  <c r="M285" i="6"/>
  <c r="M283" i="6" s="1"/>
  <c r="P283" i="6" s="1"/>
  <c r="L285" i="6"/>
  <c r="L283" i="6" s="1"/>
  <c r="O283" i="6" s="1"/>
  <c r="P284" i="6"/>
  <c r="O284" i="6"/>
  <c r="N282" i="6"/>
  <c r="N280" i="6" s="1"/>
  <c r="M282" i="6"/>
  <c r="L282" i="6"/>
  <c r="P281" i="6"/>
  <c r="O281" i="6"/>
  <c r="O278" i="6"/>
  <c r="N278" i="6"/>
  <c r="M278" i="6"/>
  <c r="L278" i="6"/>
  <c r="J276" i="6"/>
  <c r="I271" i="6"/>
  <c r="K271" i="6" s="1"/>
  <c r="N269" i="6"/>
  <c r="N267" i="6" s="1"/>
  <c r="M269" i="6"/>
  <c r="L269" i="6"/>
  <c r="P268" i="6"/>
  <c r="O268" i="6"/>
  <c r="N266" i="6"/>
  <c r="M266" i="6"/>
  <c r="L266" i="6"/>
  <c r="L264" i="6" s="1"/>
  <c r="P265" i="6"/>
  <c r="O265" i="6"/>
  <c r="N262" i="6"/>
  <c r="M262" i="6"/>
  <c r="P262" i="6" s="1"/>
  <c r="L262" i="6"/>
  <c r="J260" i="6"/>
  <c r="K258" i="6"/>
  <c r="K257" i="6"/>
  <c r="I255" i="6"/>
  <c r="L253" i="6"/>
  <c r="L252" i="6"/>
  <c r="L251" i="6"/>
  <c r="L250" i="6"/>
  <c r="P249" i="6"/>
  <c r="N249" i="6"/>
  <c r="J248" i="6"/>
  <c r="K247" i="6"/>
  <c r="K246" i="6"/>
  <c r="I244" i="6"/>
  <c r="K244" i="6" s="1"/>
  <c r="L242" i="6"/>
  <c r="L241" i="6"/>
  <c r="L240" i="6"/>
  <c r="L239" i="6"/>
  <c r="P238" i="6"/>
  <c r="N238" i="6"/>
  <c r="J237" i="6"/>
  <c r="K236" i="6"/>
  <c r="J236" i="6"/>
  <c r="I236" i="6"/>
  <c r="K235" i="6"/>
  <c r="J235" i="6"/>
  <c r="I235" i="6"/>
  <c r="J233" i="6"/>
  <c r="N231" i="6"/>
  <c r="N230" i="6"/>
  <c r="N229" i="6"/>
  <c r="N228" i="6"/>
  <c r="N227" i="6"/>
  <c r="J226" i="6"/>
  <c r="I225" i="6"/>
  <c r="K225" i="6" s="1"/>
  <c r="I224" i="6"/>
  <c r="I223" i="6"/>
  <c r="K223" i="6" s="1"/>
  <c r="L220" i="6"/>
  <c r="L219" i="6"/>
  <c r="L218" i="6"/>
  <c r="P217" i="6"/>
  <c r="N217" i="6"/>
  <c r="J216" i="6"/>
  <c r="I215" i="6"/>
  <c r="K215" i="6" s="1"/>
  <c r="I214" i="6"/>
  <c r="K214" i="6" s="1"/>
  <c r="L212" i="6"/>
  <c r="L211" i="6"/>
  <c r="L210" i="6"/>
  <c r="P209" i="6"/>
  <c r="N209" i="6"/>
  <c r="J208" i="6"/>
  <c r="K207" i="6"/>
  <c r="K206" i="6"/>
  <c r="I204" i="6"/>
  <c r="K204" i="6" s="1"/>
  <c r="L202" i="6"/>
  <c r="L201" i="6"/>
  <c r="L200" i="6"/>
  <c r="L199" i="6"/>
  <c r="P198" i="6"/>
  <c r="N198" i="6"/>
  <c r="J197" i="6"/>
  <c r="J194" i="6"/>
  <c r="I193" i="6"/>
  <c r="K193" i="6" s="1"/>
  <c r="P191" i="6"/>
  <c r="L191" i="6"/>
  <c r="O191" i="6" s="1"/>
  <c r="J190" i="6"/>
  <c r="N189" i="6"/>
  <c r="N187" i="6" s="1"/>
  <c r="M189" i="6"/>
  <c r="L189" i="6"/>
  <c r="P188" i="6"/>
  <c r="O188" i="6"/>
  <c r="N186" i="6"/>
  <c r="N184" i="6" s="1"/>
  <c r="M186" i="6"/>
  <c r="M184" i="6" s="1"/>
  <c r="L186" i="6"/>
  <c r="P185" i="6"/>
  <c r="O185" i="6"/>
  <c r="P182" i="6"/>
  <c r="N182" i="6"/>
  <c r="M182" i="6"/>
  <c r="L182" i="6"/>
  <c r="O182" i="6" s="1"/>
  <c r="K180" i="6"/>
  <c r="J180" i="6"/>
  <c r="J177" i="6"/>
  <c r="J164" i="6" s="1"/>
  <c r="I176" i="6"/>
  <c r="K176" i="6" s="1"/>
  <c r="J174" i="6"/>
  <c r="N173" i="6"/>
  <c r="N171" i="6" s="1"/>
  <c r="M173" i="6"/>
  <c r="M171" i="6" s="1"/>
  <c r="P171" i="6" s="1"/>
  <c r="L173" i="6"/>
  <c r="P172" i="6"/>
  <c r="O172" i="6"/>
  <c r="N170" i="6"/>
  <c r="M170" i="6"/>
  <c r="M168" i="6" s="1"/>
  <c r="L170" i="6"/>
  <c r="L168" i="6" s="1"/>
  <c r="P169" i="6"/>
  <c r="O169" i="6"/>
  <c r="P166" i="6"/>
  <c r="O166" i="6"/>
  <c r="N166" i="6"/>
  <c r="M166" i="6"/>
  <c r="L166" i="6"/>
  <c r="I159" i="6"/>
  <c r="I148" i="6" s="1"/>
  <c r="K148" i="6" s="1"/>
  <c r="N157" i="6"/>
  <c r="M157" i="6"/>
  <c r="P157" i="6" s="1"/>
  <c r="L157" i="6"/>
  <c r="L155" i="6" s="1"/>
  <c r="O155" i="6" s="1"/>
  <c r="P156" i="6"/>
  <c r="O156" i="6"/>
  <c r="N154" i="6"/>
  <c r="N152" i="6" s="1"/>
  <c r="M154" i="6"/>
  <c r="M152" i="6" s="1"/>
  <c r="L154" i="6"/>
  <c r="L152" i="6" s="1"/>
  <c r="P153" i="6"/>
  <c r="O153" i="6"/>
  <c r="N150" i="6"/>
  <c r="M150" i="6"/>
  <c r="P150" i="6" s="1"/>
  <c r="L150" i="6"/>
  <c r="J148" i="6"/>
  <c r="I146" i="6"/>
  <c r="I145" i="6"/>
  <c r="I144" i="6"/>
  <c r="K144" i="6" s="1"/>
  <c r="N140" i="6"/>
  <c r="M140" i="6"/>
  <c r="M138" i="6" s="1"/>
  <c r="L140" i="6"/>
  <c r="L138" i="6" s="1"/>
  <c r="P139" i="6"/>
  <c r="O139" i="6"/>
  <c r="N137" i="6"/>
  <c r="M137" i="6"/>
  <c r="L137" i="6"/>
  <c r="L135" i="6" s="1"/>
  <c r="P136" i="6"/>
  <c r="O136" i="6"/>
  <c r="P133" i="6"/>
  <c r="O133" i="6"/>
  <c r="N133" i="6"/>
  <c r="M133" i="6"/>
  <c r="L133" i="6"/>
  <c r="J130" i="6"/>
  <c r="N127" i="6"/>
  <c r="N125" i="6" s="1"/>
  <c r="M127" i="6"/>
  <c r="P127" i="6" s="1"/>
  <c r="L127" i="6"/>
  <c r="L125" i="6" s="1"/>
  <c r="O125" i="6" s="1"/>
  <c r="P126" i="6"/>
  <c r="O126" i="6"/>
  <c r="N124" i="6"/>
  <c r="M124" i="6"/>
  <c r="P124" i="6" s="1"/>
  <c r="L124" i="6"/>
  <c r="L122" i="6" s="1"/>
  <c r="O122" i="6" s="1"/>
  <c r="P123" i="6"/>
  <c r="O123" i="6"/>
  <c r="N120" i="6"/>
  <c r="M120" i="6"/>
  <c r="P120" i="6" s="1"/>
  <c r="L120" i="6"/>
  <c r="I116" i="6"/>
  <c r="I115" i="6"/>
  <c r="K115" i="6" s="1"/>
  <c r="I114" i="6"/>
  <c r="K114" i="6" s="1"/>
  <c r="I113" i="6"/>
  <c r="K113" i="6" s="1"/>
  <c r="J112" i="6"/>
  <c r="J111" i="6"/>
  <c r="I111" i="6"/>
  <c r="K111" i="6" s="1"/>
  <c r="I110" i="6"/>
  <c r="K110" i="6" s="1"/>
  <c r="I109" i="6"/>
  <c r="K109" i="6" s="1"/>
  <c r="I107" i="6"/>
  <c r="K107" i="6" s="1"/>
  <c r="I106" i="6"/>
  <c r="K106" i="6" s="1"/>
  <c r="I104" i="6"/>
  <c r="K104" i="6" s="1"/>
  <c r="I103" i="6"/>
  <c r="K103" i="6" s="1"/>
  <c r="I102" i="6"/>
  <c r="K102" i="6" s="1"/>
  <c r="J100" i="6"/>
  <c r="I100" i="6"/>
  <c r="K100" i="6" s="1"/>
  <c r="J99" i="6"/>
  <c r="I99" i="6"/>
  <c r="K99" i="6" s="1"/>
  <c r="J98" i="6"/>
  <c r="I98" i="6"/>
  <c r="I86" i="6" s="1"/>
  <c r="K86" i="6" s="1"/>
  <c r="N96" i="6"/>
  <c r="N94" i="6" s="1"/>
  <c r="M96" i="6"/>
  <c r="M94" i="6" s="1"/>
  <c r="P94" i="6" s="1"/>
  <c r="L96" i="6"/>
  <c r="O96" i="6" s="1"/>
  <c r="P95" i="6"/>
  <c r="O95" i="6"/>
  <c r="N93" i="6"/>
  <c r="N91" i="6" s="1"/>
  <c r="M93" i="6"/>
  <c r="M91" i="6" s="1"/>
  <c r="L93" i="6"/>
  <c r="P92" i="6"/>
  <c r="O92" i="6"/>
  <c r="P89" i="6"/>
  <c r="N89" i="6"/>
  <c r="M89" i="6"/>
  <c r="L89" i="6"/>
  <c r="J87" i="6"/>
  <c r="J86" i="6"/>
  <c r="I84" i="6"/>
  <c r="K84" i="6" s="1"/>
  <c r="I83" i="6"/>
  <c r="K83" i="6" s="1"/>
  <c r="I82" i="6"/>
  <c r="K82" i="6" s="1"/>
  <c r="I81" i="6"/>
  <c r="K81" i="6" s="1"/>
  <c r="I80" i="6"/>
  <c r="I79" i="6"/>
  <c r="K79" i="6" s="1"/>
  <c r="I78" i="6"/>
  <c r="K78" i="6" s="1"/>
  <c r="J77" i="6"/>
  <c r="J76" i="6"/>
  <c r="J64" i="6" s="1"/>
  <c r="N74" i="6"/>
  <c r="N72" i="6" s="1"/>
  <c r="M74" i="6"/>
  <c r="P74" i="6" s="1"/>
  <c r="L74" i="6"/>
  <c r="L72" i="6" s="1"/>
  <c r="O72" i="6" s="1"/>
  <c r="P73" i="6"/>
  <c r="O73" i="6"/>
  <c r="N71" i="6"/>
  <c r="N69" i="6" s="1"/>
  <c r="M71" i="6"/>
  <c r="M69" i="6" s="1"/>
  <c r="L71" i="6"/>
  <c r="L69" i="6" s="1"/>
  <c r="P70" i="6"/>
  <c r="O70" i="6"/>
  <c r="P67" i="6"/>
  <c r="N67" i="6"/>
  <c r="M67" i="6"/>
  <c r="L67" i="6"/>
  <c r="J65" i="6"/>
  <c r="N61" i="6"/>
  <c r="N59" i="6" s="1"/>
  <c r="M61" i="6"/>
  <c r="P61" i="6" s="1"/>
  <c r="L61" i="6"/>
  <c r="L59" i="6" s="1"/>
  <c r="O59" i="6" s="1"/>
  <c r="P60" i="6"/>
  <c r="O60" i="6"/>
  <c r="N58" i="6"/>
  <c r="N56" i="6" s="1"/>
  <c r="M58" i="6"/>
  <c r="L58" i="6"/>
  <c r="L56" i="6" s="1"/>
  <c r="P57" i="6"/>
  <c r="O57" i="6"/>
  <c r="N54" i="6"/>
  <c r="M54" i="6"/>
  <c r="P54" i="6" s="1"/>
  <c r="L54" i="6"/>
  <c r="N49" i="6"/>
  <c r="N47" i="6" s="1"/>
  <c r="M49" i="6"/>
  <c r="P49" i="6" s="1"/>
  <c r="L49" i="6"/>
  <c r="L47" i="6" s="1"/>
  <c r="O47" i="6" s="1"/>
  <c r="P48" i="6"/>
  <c r="O48" i="6"/>
  <c r="N46" i="6"/>
  <c r="M46" i="6"/>
  <c r="M44" i="6" s="1"/>
  <c r="L46" i="6"/>
  <c r="L44" i="6" s="1"/>
  <c r="P45" i="6"/>
  <c r="O45" i="6"/>
  <c r="N42" i="6"/>
  <c r="M42" i="6"/>
  <c r="P42" i="6" s="1"/>
  <c r="L42" i="6"/>
  <c r="N36" i="6"/>
  <c r="M36" i="6"/>
  <c r="P36" i="6" s="1"/>
  <c r="P35" i="6"/>
  <c r="O35" i="6"/>
  <c r="N35" i="6"/>
  <c r="M35" i="6"/>
  <c r="M34" i="6" s="1"/>
  <c r="P34" i="6" s="1"/>
  <c r="L35" i="6"/>
  <c r="N34" i="6"/>
  <c r="P33" i="6"/>
  <c r="N33" i="6"/>
  <c r="N30" i="6" s="1"/>
  <c r="M33" i="6"/>
  <c r="O32" i="6"/>
  <c r="N32" i="6"/>
  <c r="N29" i="6" s="1"/>
  <c r="M32" i="6"/>
  <c r="P32" i="6" s="1"/>
  <c r="L32" i="6"/>
  <c r="M30" i="6"/>
  <c r="P30" i="6" s="1"/>
  <c r="L29" i="6"/>
  <c r="O29" i="6" s="1"/>
  <c r="O25" i="6"/>
  <c r="N25" i="6"/>
  <c r="N15" i="6" s="1"/>
  <c r="M25" i="6"/>
  <c r="P25" i="6" s="1"/>
  <c r="L25" i="6"/>
  <c r="P22" i="6"/>
  <c r="N22" i="6"/>
  <c r="M22" i="6"/>
  <c r="L22" i="6"/>
  <c r="O22" i="6" s="1"/>
  <c r="N19" i="6"/>
  <c r="M19" i="6"/>
  <c r="P19" i="6" s="1"/>
  <c r="L15" i="6"/>
  <c r="O15" i="6" s="1"/>
  <c r="N12" i="6"/>
  <c r="M12" i="6"/>
  <c r="P12" i="6" s="1"/>
  <c r="J828" i="5"/>
  <c r="I828" i="5"/>
  <c r="J827" i="5"/>
  <c r="I827" i="5"/>
  <c r="J826" i="5"/>
  <c r="I826" i="5"/>
  <c r="K826" i="5" s="1"/>
  <c r="J825" i="5"/>
  <c r="I825" i="5"/>
  <c r="K825" i="5" s="1"/>
  <c r="J824" i="5"/>
  <c r="I824" i="5"/>
  <c r="J823" i="5"/>
  <c r="I823" i="5"/>
  <c r="J822" i="5"/>
  <c r="I822" i="5"/>
  <c r="J821" i="5"/>
  <c r="I821" i="5"/>
  <c r="P817" i="5"/>
  <c r="O817" i="5"/>
  <c r="P816" i="5"/>
  <c r="O816" i="5"/>
  <c r="O815" i="5"/>
  <c r="N815" i="5"/>
  <c r="M815" i="5"/>
  <c r="P815" i="5" s="1"/>
  <c r="L815" i="5"/>
  <c r="P810" i="5"/>
  <c r="O810" i="5"/>
  <c r="N810" i="5"/>
  <c r="P809" i="5"/>
  <c r="O809" i="5"/>
  <c r="O808" i="5"/>
  <c r="M808" i="5"/>
  <c r="P808" i="5" s="1"/>
  <c r="L808" i="5"/>
  <c r="P807" i="5"/>
  <c r="M807" i="5"/>
  <c r="L807" i="5"/>
  <c r="O806" i="5"/>
  <c r="N806" i="5"/>
  <c r="M806" i="5"/>
  <c r="P806" i="5" s="1"/>
  <c r="L806" i="5"/>
  <c r="P805" i="5"/>
  <c r="M805" i="5"/>
  <c r="K804" i="5"/>
  <c r="J804" i="5"/>
  <c r="K802" i="5"/>
  <c r="J801" i="5"/>
  <c r="J800" i="5"/>
  <c r="J785" i="5" s="1"/>
  <c r="I800" i="5"/>
  <c r="K800" i="5" s="1"/>
  <c r="P798" i="5"/>
  <c r="O798" i="5"/>
  <c r="P797" i="5"/>
  <c r="O797" i="5"/>
  <c r="P796" i="5"/>
  <c r="N796" i="5"/>
  <c r="M796" i="5"/>
  <c r="L796" i="5"/>
  <c r="O796" i="5" s="1"/>
  <c r="P791" i="5"/>
  <c r="N791" i="5"/>
  <c r="L791" i="5"/>
  <c r="L788" i="5" s="1"/>
  <c r="P790" i="5"/>
  <c r="O790" i="5"/>
  <c r="N789" i="5"/>
  <c r="M789" i="5"/>
  <c r="P789" i="5" s="1"/>
  <c r="P788" i="5"/>
  <c r="N788" i="5"/>
  <c r="M788" i="5"/>
  <c r="O787" i="5"/>
  <c r="N787" i="5"/>
  <c r="N786" i="5" s="1"/>
  <c r="M787" i="5"/>
  <c r="P787" i="5" s="1"/>
  <c r="L787" i="5"/>
  <c r="P786" i="5"/>
  <c r="M786" i="5"/>
  <c r="P782" i="5"/>
  <c r="O782" i="5"/>
  <c r="P781" i="5"/>
  <c r="O781" i="5"/>
  <c r="P780" i="5"/>
  <c r="N780" i="5"/>
  <c r="M780" i="5"/>
  <c r="L780" i="5"/>
  <c r="O780" i="5" s="1"/>
  <c r="P775" i="5"/>
  <c r="O775" i="5"/>
  <c r="N775" i="5"/>
  <c r="N772" i="5" s="1"/>
  <c r="N770" i="5" s="1"/>
  <c r="P774" i="5"/>
  <c r="O774" i="5"/>
  <c r="P773" i="5"/>
  <c r="N773" i="5"/>
  <c r="M773" i="5"/>
  <c r="L773" i="5"/>
  <c r="O773" i="5" s="1"/>
  <c r="O772" i="5"/>
  <c r="M772" i="5"/>
  <c r="L772" i="5"/>
  <c r="P771" i="5"/>
  <c r="N771" i="5"/>
  <c r="M771" i="5"/>
  <c r="L771" i="5"/>
  <c r="K769" i="5"/>
  <c r="J769" i="5"/>
  <c r="P766" i="5"/>
  <c r="O766" i="5"/>
  <c r="P765" i="5"/>
  <c r="O765" i="5"/>
  <c r="P764" i="5"/>
  <c r="N764" i="5"/>
  <c r="M764" i="5"/>
  <c r="L764" i="5"/>
  <c r="O764" i="5" s="1"/>
  <c r="P759" i="5"/>
  <c r="O759" i="5"/>
  <c r="N759" i="5"/>
  <c r="N756" i="5" s="1"/>
  <c r="N754" i="5" s="1"/>
  <c r="P758" i="5"/>
  <c r="O758" i="5"/>
  <c r="P757" i="5"/>
  <c r="N757" i="5"/>
  <c r="M757" i="5"/>
  <c r="L757" i="5"/>
  <c r="O757" i="5" s="1"/>
  <c r="O756" i="5"/>
  <c r="M756" i="5"/>
  <c r="L756" i="5"/>
  <c r="P755" i="5"/>
  <c r="N755" i="5"/>
  <c r="M755" i="5"/>
  <c r="L755" i="5"/>
  <c r="K753" i="5"/>
  <c r="J753" i="5"/>
  <c r="P749" i="5"/>
  <c r="O749" i="5"/>
  <c r="P748" i="5"/>
  <c r="O748" i="5"/>
  <c r="P747" i="5"/>
  <c r="N747" i="5"/>
  <c r="M747" i="5"/>
  <c r="L747" i="5"/>
  <c r="O747" i="5" s="1"/>
  <c r="P742" i="5"/>
  <c r="O742" i="5"/>
  <c r="N742" i="5"/>
  <c r="N739" i="5" s="1"/>
  <c r="N737" i="5" s="1"/>
  <c r="P741" i="5"/>
  <c r="O741" i="5"/>
  <c r="P740" i="5"/>
  <c r="N740" i="5"/>
  <c r="M740" i="5"/>
  <c r="L740" i="5"/>
  <c r="O740" i="5" s="1"/>
  <c r="O739" i="5"/>
  <c r="M739" i="5"/>
  <c r="L739" i="5"/>
  <c r="P738" i="5"/>
  <c r="N738" i="5"/>
  <c r="M738" i="5"/>
  <c r="L738" i="5"/>
  <c r="K736" i="5"/>
  <c r="J736" i="5"/>
  <c r="J729" i="5"/>
  <c r="I729" i="5"/>
  <c r="K729" i="5" s="1"/>
  <c r="J728" i="5"/>
  <c r="I728" i="5"/>
  <c r="K728" i="5" s="1"/>
  <c r="J727" i="5"/>
  <c r="J726" i="5"/>
  <c r="I726" i="5"/>
  <c r="K726" i="5" s="1"/>
  <c r="J725" i="5"/>
  <c r="I725" i="5"/>
  <c r="K725" i="5" s="1"/>
  <c r="J724" i="5"/>
  <c r="J723" i="5"/>
  <c r="I723" i="5"/>
  <c r="K723" i="5" s="1"/>
  <c r="I722" i="5"/>
  <c r="K722" i="5" s="1"/>
  <c r="I721" i="5"/>
  <c r="K721" i="5" s="1"/>
  <c r="J720" i="5"/>
  <c r="I720" i="5"/>
  <c r="K720" i="5" s="1"/>
  <c r="J719" i="5"/>
  <c r="J718" i="5"/>
  <c r="J708" i="5"/>
  <c r="I708" i="5"/>
  <c r="K708" i="5" s="1"/>
  <c r="I707" i="5"/>
  <c r="I704" i="5"/>
  <c r="J701" i="5"/>
  <c r="I701" i="5"/>
  <c r="K701" i="5" s="1"/>
  <c r="J700" i="5"/>
  <c r="I700" i="5"/>
  <c r="K700" i="5" s="1"/>
  <c r="J699" i="5"/>
  <c r="I699" i="5"/>
  <c r="K699" i="5" s="1"/>
  <c r="P697" i="5"/>
  <c r="O697" i="5"/>
  <c r="P696" i="5"/>
  <c r="O696" i="5"/>
  <c r="P695" i="5"/>
  <c r="N695" i="5"/>
  <c r="M695" i="5"/>
  <c r="L695" i="5"/>
  <c r="O695" i="5" s="1"/>
  <c r="P690" i="5"/>
  <c r="N690" i="5"/>
  <c r="N688" i="5" s="1"/>
  <c r="L690" i="5"/>
  <c r="L688" i="5" s="1"/>
  <c r="O688" i="5" s="1"/>
  <c r="M688" i="5"/>
  <c r="P688" i="5" s="1"/>
  <c r="P687" i="5"/>
  <c r="N687" i="5"/>
  <c r="M687" i="5"/>
  <c r="O686" i="5"/>
  <c r="N686" i="5"/>
  <c r="M686" i="5"/>
  <c r="P686" i="5" s="1"/>
  <c r="L686" i="5"/>
  <c r="P685" i="5"/>
  <c r="N685" i="5"/>
  <c r="M685" i="5"/>
  <c r="J679" i="5"/>
  <c r="J678" i="5"/>
  <c r="I678" i="5"/>
  <c r="K678" i="5" s="1"/>
  <c r="J675" i="5"/>
  <c r="J669" i="5" s="1"/>
  <c r="J654" i="5" s="1"/>
  <c r="I671" i="5"/>
  <c r="K671" i="5" s="1"/>
  <c r="I670" i="5"/>
  <c r="K670" i="5" s="1"/>
  <c r="I669" i="5"/>
  <c r="K672" i="5" s="1"/>
  <c r="P667" i="5"/>
  <c r="O667" i="5"/>
  <c r="P666" i="5"/>
  <c r="O666" i="5"/>
  <c r="O665" i="5"/>
  <c r="N665" i="5"/>
  <c r="M665" i="5"/>
  <c r="P665" i="5" s="1"/>
  <c r="L665" i="5"/>
  <c r="P660" i="5"/>
  <c r="N660" i="5"/>
  <c r="N657" i="5" s="1"/>
  <c r="L660" i="5"/>
  <c r="O660" i="5" s="1"/>
  <c r="P659" i="5"/>
  <c r="O659" i="5"/>
  <c r="P658" i="5"/>
  <c r="N658" i="5"/>
  <c r="M658" i="5"/>
  <c r="M657" i="5"/>
  <c r="P657" i="5" s="1"/>
  <c r="P656" i="5"/>
  <c r="N656" i="5"/>
  <c r="M656" i="5"/>
  <c r="L656" i="5"/>
  <c r="M655" i="5"/>
  <c r="P655" i="5" s="1"/>
  <c r="K652" i="5"/>
  <c r="J652" i="5"/>
  <c r="J651" i="5"/>
  <c r="J628" i="5" s="1"/>
  <c r="I651" i="5"/>
  <c r="I628" i="5" s="1"/>
  <c r="K650" i="5"/>
  <c r="J650" i="5"/>
  <c r="J649" i="5"/>
  <c r="I649" i="5"/>
  <c r="K648" i="5"/>
  <c r="J648" i="5"/>
  <c r="J647" i="5"/>
  <c r="I647" i="5"/>
  <c r="K646" i="5"/>
  <c r="J646" i="5"/>
  <c r="K645" i="5"/>
  <c r="J645" i="5"/>
  <c r="I644" i="5"/>
  <c r="K644" i="5" s="1"/>
  <c r="I643" i="5"/>
  <c r="K643" i="5" s="1"/>
  <c r="P641" i="5"/>
  <c r="L641" i="5"/>
  <c r="P640" i="5"/>
  <c r="O640" i="5"/>
  <c r="N639" i="5"/>
  <c r="M639" i="5"/>
  <c r="P639" i="5" s="1"/>
  <c r="P634" i="5"/>
  <c r="N634" i="5"/>
  <c r="L634" i="5"/>
  <c r="O634" i="5" s="1"/>
  <c r="P633" i="5"/>
  <c r="O633" i="5"/>
  <c r="P632" i="5"/>
  <c r="N632" i="5"/>
  <c r="M632" i="5"/>
  <c r="N631" i="5"/>
  <c r="M631" i="5"/>
  <c r="P631" i="5" s="1"/>
  <c r="P630" i="5"/>
  <c r="N630" i="5"/>
  <c r="N629" i="5" s="1"/>
  <c r="M630" i="5"/>
  <c r="L630" i="5"/>
  <c r="O630" i="5" s="1"/>
  <c r="M629" i="5"/>
  <c r="P629" i="5" s="1"/>
  <c r="J621" i="5"/>
  <c r="I621" i="5"/>
  <c r="K621" i="5" s="1"/>
  <c r="J620" i="5"/>
  <c r="I620" i="5"/>
  <c r="K620" i="5" s="1"/>
  <c r="K613" i="5"/>
  <c r="J613" i="5"/>
  <c r="K612" i="5"/>
  <c r="J612" i="5"/>
  <c r="K611" i="5"/>
  <c r="J611" i="5"/>
  <c r="J604" i="5"/>
  <c r="J603" i="5"/>
  <c r="J596" i="5"/>
  <c r="J595" i="5"/>
  <c r="J594" i="5"/>
  <c r="I594" i="5"/>
  <c r="K594" i="5" s="1"/>
  <c r="J593" i="5"/>
  <c r="I593" i="5"/>
  <c r="I592" i="5" s="1"/>
  <c r="K592" i="5" s="1"/>
  <c r="J592" i="5"/>
  <c r="J583" i="5"/>
  <c r="J577" i="5" s="1"/>
  <c r="J582" i="5"/>
  <c r="J576" i="5" s="1"/>
  <c r="J559" i="5" s="1"/>
  <c r="J543" i="5" s="1"/>
  <c r="I577" i="5"/>
  <c r="K577" i="5" s="1"/>
  <c r="I576" i="5"/>
  <c r="J569" i="5"/>
  <c r="I569" i="5"/>
  <c r="K569" i="5" s="1"/>
  <c r="J568" i="5"/>
  <c r="I568" i="5"/>
  <c r="K568" i="5" s="1"/>
  <c r="J561" i="5"/>
  <c r="I561" i="5"/>
  <c r="K561" i="5" s="1"/>
  <c r="J560" i="5"/>
  <c r="I560" i="5"/>
  <c r="K560" i="5" s="1"/>
  <c r="P557" i="5"/>
  <c r="L557" i="5"/>
  <c r="O557" i="5" s="1"/>
  <c r="P556" i="5"/>
  <c r="O556" i="5"/>
  <c r="P555" i="5"/>
  <c r="N555" i="5"/>
  <c r="N545" i="5" s="1"/>
  <c r="N544" i="5" s="1"/>
  <c r="M555" i="5"/>
  <c r="P549" i="5"/>
  <c r="N549" i="5"/>
  <c r="L549" i="5"/>
  <c r="L547" i="5" s="1"/>
  <c r="O547" i="5" s="1"/>
  <c r="P548" i="5"/>
  <c r="O548" i="5"/>
  <c r="N547" i="5"/>
  <c r="M547" i="5"/>
  <c r="P547" i="5" s="1"/>
  <c r="P546" i="5"/>
  <c r="N546" i="5"/>
  <c r="M546" i="5"/>
  <c r="O545" i="5"/>
  <c r="M545" i="5"/>
  <c r="L545" i="5"/>
  <c r="I542" i="5"/>
  <c r="K542" i="5" s="1"/>
  <c r="I541" i="5"/>
  <c r="K541" i="5" s="1"/>
  <c r="I540" i="5"/>
  <c r="K540" i="5" s="1"/>
  <c r="I539" i="5"/>
  <c r="K539" i="5" s="1"/>
  <c r="I538" i="5"/>
  <c r="K538" i="5" s="1"/>
  <c r="I537" i="5"/>
  <c r="I522" i="5" s="1"/>
  <c r="K522" i="5" s="1"/>
  <c r="P535" i="5"/>
  <c r="L535" i="5"/>
  <c r="O535" i="5" s="1"/>
  <c r="P534" i="5"/>
  <c r="O534" i="5"/>
  <c r="P533" i="5"/>
  <c r="N533" i="5"/>
  <c r="M533" i="5"/>
  <c r="P528" i="5"/>
  <c r="N528" i="5"/>
  <c r="L528" i="5"/>
  <c r="P527" i="5"/>
  <c r="O527" i="5"/>
  <c r="N526" i="5"/>
  <c r="M526" i="5"/>
  <c r="P526" i="5" s="1"/>
  <c r="P525" i="5"/>
  <c r="N525" i="5"/>
  <c r="M525" i="5"/>
  <c r="O524" i="5"/>
  <c r="N524" i="5"/>
  <c r="N523" i="5" s="1"/>
  <c r="M524" i="5"/>
  <c r="P524" i="5" s="1"/>
  <c r="L524" i="5"/>
  <c r="P523" i="5"/>
  <c r="M523" i="5"/>
  <c r="K517" i="5"/>
  <c r="J517" i="5"/>
  <c r="J501" i="5" s="1"/>
  <c r="K516" i="5"/>
  <c r="P514" i="5"/>
  <c r="O514" i="5"/>
  <c r="P513" i="5"/>
  <c r="O513" i="5"/>
  <c r="O512" i="5"/>
  <c r="N512" i="5"/>
  <c r="M512" i="5"/>
  <c r="P512" i="5" s="1"/>
  <c r="L512" i="5"/>
  <c r="P507" i="5"/>
  <c r="O507" i="5"/>
  <c r="N507" i="5"/>
  <c r="P506" i="5"/>
  <c r="O506" i="5"/>
  <c r="O505" i="5"/>
  <c r="N505" i="5"/>
  <c r="M505" i="5"/>
  <c r="P505" i="5" s="1"/>
  <c r="L505" i="5"/>
  <c r="P504" i="5"/>
  <c r="N504" i="5"/>
  <c r="M504" i="5"/>
  <c r="L504" i="5"/>
  <c r="O504" i="5" s="1"/>
  <c r="O503" i="5"/>
  <c r="N503" i="5"/>
  <c r="M503" i="5"/>
  <c r="M502" i="5" s="1"/>
  <c r="P502" i="5" s="1"/>
  <c r="L503" i="5"/>
  <c r="L502" i="5" s="1"/>
  <c r="O502" i="5" s="1"/>
  <c r="N502" i="5"/>
  <c r="K501" i="5"/>
  <c r="K500" i="5"/>
  <c r="J500" i="5"/>
  <c r="I498" i="5"/>
  <c r="K498" i="5" s="1"/>
  <c r="I495" i="5"/>
  <c r="K495" i="5" s="1"/>
  <c r="I492" i="5"/>
  <c r="K492" i="5" s="1"/>
  <c r="I489" i="5"/>
  <c r="K489" i="5" s="1"/>
  <c r="I487" i="5"/>
  <c r="K487" i="5" s="1"/>
  <c r="I485" i="5"/>
  <c r="K485" i="5" s="1"/>
  <c r="I483" i="5"/>
  <c r="K483" i="5" s="1"/>
  <c r="P479" i="5"/>
  <c r="L479" i="5"/>
  <c r="O479" i="5" s="1"/>
  <c r="P478" i="5"/>
  <c r="O478" i="5"/>
  <c r="P477" i="5"/>
  <c r="N477" i="5"/>
  <c r="M477" i="5"/>
  <c r="P472" i="5"/>
  <c r="N472" i="5"/>
  <c r="L472" i="5"/>
  <c r="L470" i="5" s="1"/>
  <c r="O470" i="5" s="1"/>
  <c r="P471" i="5"/>
  <c r="O471" i="5"/>
  <c r="N470" i="5"/>
  <c r="M470" i="5"/>
  <c r="P470" i="5" s="1"/>
  <c r="P469" i="5"/>
  <c r="M469" i="5"/>
  <c r="O468" i="5"/>
  <c r="N468" i="5"/>
  <c r="M468" i="5"/>
  <c r="M467" i="5" s="1"/>
  <c r="P467" i="5" s="1"/>
  <c r="L468" i="5"/>
  <c r="J466" i="5"/>
  <c r="I466" i="5"/>
  <c r="K466" i="5" s="1"/>
  <c r="J465" i="5"/>
  <c r="I465" i="5"/>
  <c r="K465" i="5" s="1"/>
  <c r="I464" i="5"/>
  <c r="I463" i="5"/>
  <c r="I462" i="5"/>
  <c r="K462" i="5" s="1"/>
  <c r="I460" i="5"/>
  <c r="K460" i="5" s="1"/>
  <c r="K458" i="5"/>
  <c r="P456" i="5"/>
  <c r="L456" i="5"/>
  <c r="P455" i="5"/>
  <c r="O455" i="5"/>
  <c r="N454" i="5"/>
  <c r="M454" i="5"/>
  <c r="P454" i="5" s="1"/>
  <c r="P449" i="5"/>
  <c r="N449" i="5"/>
  <c r="L449" i="5"/>
  <c r="O449" i="5" s="1"/>
  <c r="P448" i="5"/>
  <c r="O448" i="5"/>
  <c r="P447" i="5"/>
  <c r="N447" i="5"/>
  <c r="M447" i="5"/>
  <c r="N446" i="5"/>
  <c r="M446" i="5"/>
  <c r="P446" i="5" s="1"/>
  <c r="P445" i="5"/>
  <c r="N445" i="5"/>
  <c r="M445" i="5"/>
  <c r="M444" i="5" s="1"/>
  <c r="P444" i="5" s="1"/>
  <c r="L445" i="5"/>
  <c r="O445" i="5" s="1"/>
  <c r="J443" i="5"/>
  <c r="J442" i="5"/>
  <c r="I441" i="5"/>
  <c r="K441" i="5" s="1"/>
  <c r="I440" i="5"/>
  <c r="K440" i="5" s="1"/>
  <c r="I439" i="5"/>
  <c r="K439" i="5" s="1"/>
  <c r="I438" i="5"/>
  <c r="K438" i="5" s="1"/>
  <c r="I437" i="5"/>
  <c r="K437" i="5" s="1"/>
  <c r="I435" i="5"/>
  <c r="I433" i="5" s="1"/>
  <c r="I417" i="5" s="1"/>
  <c r="J434" i="5"/>
  <c r="P431" i="5"/>
  <c r="L431" i="5"/>
  <c r="P430" i="5"/>
  <c r="O430" i="5"/>
  <c r="P429" i="5"/>
  <c r="N429" i="5"/>
  <c r="M429" i="5"/>
  <c r="P424" i="5"/>
  <c r="N424" i="5"/>
  <c r="L424" i="5"/>
  <c r="O424" i="5" s="1"/>
  <c r="P423" i="5"/>
  <c r="O423" i="5"/>
  <c r="P422" i="5"/>
  <c r="N422" i="5"/>
  <c r="M422" i="5"/>
  <c r="N421" i="5"/>
  <c r="M421" i="5"/>
  <c r="P421" i="5" s="1"/>
  <c r="N420" i="5"/>
  <c r="M420" i="5"/>
  <c r="M419" i="5" s="1"/>
  <c r="L420" i="5"/>
  <c r="O420" i="5" s="1"/>
  <c r="J418" i="5"/>
  <c r="K413" i="5"/>
  <c r="K412" i="5"/>
  <c r="N410" i="5"/>
  <c r="N408" i="5" s="1"/>
  <c r="M410" i="5"/>
  <c r="P410" i="5" s="1"/>
  <c r="L410" i="5"/>
  <c r="L408" i="5" s="1"/>
  <c r="O408" i="5" s="1"/>
  <c r="P409" i="5"/>
  <c r="O409" i="5"/>
  <c r="N407" i="5"/>
  <c r="M407" i="5"/>
  <c r="L407" i="5"/>
  <c r="L405" i="5" s="1"/>
  <c r="O405" i="5" s="1"/>
  <c r="P406" i="5"/>
  <c r="O406" i="5"/>
  <c r="P403" i="5"/>
  <c r="N403" i="5"/>
  <c r="M403" i="5"/>
  <c r="L403" i="5"/>
  <c r="K401" i="5"/>
  <c r="J401" i="5"/>
  <c r="I401" i="5"/>
  <c r="K400" i="5"/>
  <c r="K399" i="5"/>
  <c r="N397" i="5"/>
  <c r="N395" i="5" s="1"/>
  <c r="M397" i="5"/>
  <c r="P397" i="5" s="1"/>
  <c r="L397" i="5"/>
  <c r="P396" i="5"/>
  <c r="O396" i="5"/>
  <c r="N394" i="5"/>
  <c r="N392" i="5" s="1"/>
  <c r="M394" i="5"/>
  <c r="L394" i="5"/>
  <c r="O394" i="5" s="1"/>
  <c r="P393" i="5"/>
  <c r="O393" i="5"/>
  <c r="N390" i="5"/>
  <c r="M390" i="5"/>
  <c r="L390" i="5"/>
  <c r="O390" i="5" s="1"/>
  <c r="J388" i="5"/>
  <c r="I388" i="5"/>
  <c r="K388" i="5" s="1"/>
  <c r="J385" i="5"/>
  <c r="I385" i="5"/>
  <c r="K382" i="5"/>
  <c r="J382" i="5"/>
  <c r="J381" i="5"/>
  <c r="J374" i="5" s="1"/>
  <c r="I381" i="5"/>
  <c r="K380" i="5"/>
  <c r="J380" i="5"/>
  <c r="J379" i="5"/>
  <c r="I379" i="5"/>
  <c r="J378" i="5"/>
  <c r="I378" i="5"/>
  <c r="K377" i="5"/>
  <c r="J377" i="5"/>
  <c r="I374" i="5"/>
  <c r="K373" i="5"/>
  <c r="J373" i="5"/>
  <c r="J372" i="5"/>
  <c r="J365" i="5" s="1"/>
  <c r="I372" i="5"/>
  <c r="K371" i="5"/>
  <c r="J371" i="5"/>
  <c r="J370" i="5"/>
  <c r="I370" i="5"/>
  <c r="J369" i="5"/>
  <c r="I369" i="5"/>
  <c r="K368" i="5"/>
  <c r="J368" i="5"/>
  <c r="I365" i="5"/>
  <c r="K363" i="5"/>
  <c r="J363" i="5"/>
  <c r="J362" i="5"/>
  <c r="J355" i="5" s="1"/>
  <c r="I362" i="5"/>
  <c r="K361" i="5"/>
  <c r="J361" i="5"/>
  <c r="J360" i="5"/>
  <c r="I360" i="5"/>
  <c r="J359" i="5"/>
  <c r="I359" i="5"/>
  <c r="K358" i="5"/>
  <c r="J358" i="5"/>
  <c r="I355" i="5"/>
  <c r="N353" i="5"/>
  <c r="N351" i="5" s="1"/>
  <c r="M353" i="5"/>
  <c r="L353" i="5"/>
  <c r="P352" i="5"/>
  <c r="O352" i="5"/>
  <c r="N350" i="5"/>
  <c r="N348" i="5" s="1"/>
  <c r="M350" i="5"/>
  <c r="L350" i="5"/>
  <c r="L348" i="5" s="1"/>
  <c r="P349" i="5"/>
  <c r="O349" i="5"/>
  <c r="P346" i="5"/>
  <c r="N346" i="5"/>
  <c r="M346" i="5"/>
  <c r="L346" i="5"/>
  <c r="J343" i="5"/>
  <c r="J342" i="5"/>
  <c r="J341" i="5"/>
  <c r="J340" i="5"/>
  <c r="I340" i="5"/>
  <c r="J338" i="5"/>
  <c r="I338" i="5"/>
  <c r="N336" i="5"/>
  <c r="N334" i="5" s="1"/>
  <c r="M336" i="5"/>
  <c r="L336" i="5"/>
  <c r="O336" i="5" s="1"/>
  <c r="P335" i="5"/>
  <c r="O335" i="5"/>
  <c r="N333" i="5"/>
  <c r="N331" i="5" s="1"/>
  <c r="M333" i="5"/>
  <c r="L333" i="5"/>
  <c r="P332" i="5"/>
  <c r="O332" i="5"/>
  <c r="N329" i="5"/>
  <c r="M329" i="5"/>
  <c r="P329" i="5" s="1"/>
  <c r="L329" i="5"/>
  <c r="O329" i="5" s="1"/>
  <c r="I327" i="5"/>
  <c r="I325" i="5"/>
  <c r="N323" i="5"/>
  <c r="N321" i="5" s="1"/>
  <c r="M323" i="5"/>
  <c r="P323" i="5" s="1"/>
  <c r="L323" i="5"/>
  <c r="L321" i="5" s="1"/>
  <c r="O321" i="5" s="1"/>
  <c r="P322" i="5"/>
  <c r="O322" i="5"/>
  <c r="N320" i="5"/>
  <c r="M320" i="5"/>
  <c r="L320" i="5"/>
  <c r="O320" i="5" s="1"/>
  <c r="P319" i="5"/>
  <c r="O319" i="5"/>
  <c r="P316" i="5"/>
  <c r="O316" i="5"/>
  <c r="N316" i="5"/>
  <c r="M316" i="5"/>
  <c r="L316" i="5"/>
  <c r="J314" i="5"/>
  <c r="I312" i="5"/>
  <c r="K312" i="5" s="1"/>
  <c r="I311" i="5"/>
  <c r="K311" i="5" s="1"/>
  <c r="I310" i="5"/>
  <c r="K310" i="5" s="1"/>
  <c r="I309" i="5"/>
  <c r="N306" i="5"/>
  <c r="N304" i="5" s="1"/>
  <c r="M306" i="5"/>
  <c r="P306" i="5" s="1"/>
  <c r="L306" i="5"/>
  <c r="P305" i="5"/>
  <c r="O305" i="5"/>
  <c r="N303" i="5"/>
  <c r="M303" i="5"/>
  <c r="M301" i="5" s="1"/>
  <c r="L303" i="5"/>
  <c r="L301" i="5" s="1"/>
  <c r="P302" i="5"/>
  <c r="O302" i="5"/>
  <c r="N299" i="5"/>
  <c r="M299" i="5"/>
  <c r="P299" i="5" s="1"/>
  <c r="L299" i="5"/>
  <c r="O299" i="5" s="1"/>
  <c r="J297" i="5"/>
  <c r="I294" i="5"/>
  <c r="K294" i="5" s="1"/>
  <c r="I293" i="5"/>
  <c r="K293" i="5" s="1"/>
  <c r="I291" i="5"/>
  <c r="K291" i="5" s="1"/>
  <c r="I290" i="5"/>
  <c r="K290" i="5" s="1"/>
  <c r="I288" i="5"/>
  <c r="I275" i="5" s="1"/>
  <c r="I287" i="5"/>
  <c r="K287" i="5" s="1"/>
  <c r="N285" i="5"/>
  <c r="N283" i="5" s="1"/>
  <c r="M285" i="5"/>
  <c r="P285" i="5" s="1"/>
  <c r="L285" i="5"/>
  <c r="L283" i="5" s="1"/>
  <c r="O283" i="5" s="1"/>
  <c r="P284" i="5"/>
  <c r="O284" i="5"/>
  <c r="N282" i="5"/>
  <c r="N280" i="5" s="1"/>
  <c r="M282" i="5"/>
  <c r="M280" i="5" s="1"/>
  <c r="L282" i="5"/>
  <c r="L280" i="5" s="1"/>
  <c r="P281" i="5"/>
  <c r="O281" i="5"/>
  <c r="N278" i="5"/>
  <c r="M278" i="5"/>
  <c r="P278" i="5" s="1"/>
  <c r="L278" i="5"/>
  <c r="O278" i="5" s="1"/>
  <c r="J276" i="5"/>
  <c r="I271" i="5"/>
  <c r="N269" i="5"/>
  <c r="N267" i="5" s="1"/>
  <c r="M269" i="5"/>
  <c r="L269" i="5"/>
  <c r="O269" i="5" s="1"/>
  <c r="P268" i="5"/>
  <c r="O268" i="5"/>
  <c r="N266" i="5"/>
  <c r="N264" i="5" s="1"/>
  <c r="M266" i="5"/>
  <c r="L266" i="5"/>
  <c r="P265" i="5"/>
  <c r="O265" i="5"/>
  <c r="N262" i="5"/>
  <c r="M262" i="5"/>
  <c r="L262" i="5"/>
  <c r="O262" i="5" s="1"/>
  <c r="J260" i="5"/>
  <c r="K258" i="5"/>
  <c r="K257" i="5"/>
  <c r="I255" i="5"/>
  <c r="K255" i="5" s="1"/>
  <c r="L253" i="5"/>
  <c r="L252" i="5"/>
  <c r="L251" i="5"/>
  <c r="L250" i="5"/>
  <c r="P249" i="5"/>
  <c r="N249" i="5"/>
  <c r="J248" i="5"/>
  <c r="K247" i="5"/>
  <c r="K246" i="5"/>
  <c r="I244" i="5"/>
  <c r="K244" i="5" s="1"/>
  <c r="L242" i="5"/>
  <c r="L241" i="5"/>
  <c r="L240" i="5"/>
  <c r="L239" i="5"/>
  <c r="P238" i="5"/>
  <c r="N238" i="5"/>
  <c r="J237" i="5"/>
  <c r="J236" i="5"/>
  <c r="I236" i="5"/>
  <c r="K236" i="5" s="1"/>
  <c r="J235" i="5"/>
  <c r="I235" i="5"/>
  <c r="K235" i="5" s="1"/>
  <c r="J233" i="5"/>
  <c r="N231" i="5"/>
  <c r="N230" i="5"/>
  <c r="N229" i="5"/>
  <c r="N228" i="5"/>
  <c r="N227" i="5"/>
  <c r="J226" i="5"/>
  <c r="J180" i="5" s="1"/>
  <c r="I225" i="5"/>
  <c r="K225" i="5" s="1"/>
  <c r="I224" i="5"/>
  <c r="I216" i="5" s="1"/>
  <c r="K216" i="5" s="1"/>
  <c r="I223" i="5"/>
  <c r="K223" i="5" s="1"/>
  <c r="L220" i="5"/>
  <c r="L219" i="5"/>
  <c r="L218" i="5"/>
  <c r="P217" i="5"/>
  <c r="N217" i="5"/>
  <c r="J216" i="5"/>
  <c r="I215" i="5"/>
  <c r="I208" i="5" s="1"/>
  <c r="K208" i="5" s="1"/>
  <c r="I214" i="5"/>
  <c r="K214" i="5" s="1"/>
  <c r="L212" i="5"/>
  <c r="L211" i="5"/>
  <c r="L210" i="5"/>
  <c r="P209" i="5"/>
  <c r="N209" i="5"/>
  <c r="J208" i="5"/>
  <c r="K207" i="5"/>
  <c r="K206" i="5"/>
  <c r="I204" i="5"/>
  <c r="I197" i="5" s="1"/>
  <c r="K197" i="5" s="1"/>
  <c r="L202" i="5"/>
  <c r="L201" i="5"/>
  <c r="L200" i="5"/>
  <c r="L199" i="5"/>
  <c r="P198" i="5"/>
  <c r="N198" i="5"/>
  <c r="J197" i="5"/>
  <c r="J194" i="5"/>
  <c r="I193" i="5"/>
  <c r="K193" i="5" s="1"/>
  <c r="P191" i="5"/>
  <c r="L191" i="5"/>
  <c r="O191" i="5" s="1"/>
  <c r="J190" i="5"/>
  <c r="N189" i="5"/>
  <c r="N187" i="5" s="1"/>
  <c r="M189" i="5"/>
  <c r="M187" i="5" s="1"/>
  <c r="P187" i="5" s="1"/>
  <c r="L189" i="5"/>
  <c r="O189" i="5" s="1"/>
  <c r="P188" i="5"/>
  <c r="O188" i="5"/>
  <c r="N186" i="5"/>
  <c r="N184" i="5" s="1"/>
  <c r="M186" i="5"/>
  <c r="M184" i="5" s="1"/>
  <c r="L186" i="5"/>
  <c r="P185" i="5"/>
  <c r="O185" i="5"/>
  <c r="P182" i="5"/>
  <c r="O182" i="5"/>
  <c r="N182" i="5"/>
  <c r="M182" i="5"/>
  <c r="L182" i="5"/>
  <c r="K180" i="5"/>
  <c r="J177" i="5"/>
  <c r="J164" i="5" s="1"/>
  <c r="I176" i="5"/>
  <c r="K176" i="5" s="1"/>
  <c r="J174" i="5"/>
  <c r="N173" i="5"/>
  <c r="N171" i="5" s="1"/>
  <c r="M173" i="5"/>
  <c r="M171" i="5" s="1"/>
  <c r="P171" i="5" s="1"/>
  <c r="L173" i="5"/>
  <c r="O173" i="5" s="1"/>
  <c r="P172" i="5"/>
  <c r="O172" i="5"/>
  <c r="N170" i="5"/>
  <c r="N168" i="5" s="1"/>
  <c r="M170" i="5"/>
  <c r="M168" i="5" s="1"/>
  <c r="L170" i="5"/>
  <c r="P169" i="5"/>
  <c r="O169" i="5"/>
  <c r="P166" i="5"/>
  <c r="O166" i="5"/>
  <c r="N166" i="5"/>
  <c r="M166" i="5"/>
  <c r="L166" i="5"/>
  <c r="I159" i="5"/>
  <c r="K159" i="5" s="1"/>
  <c r="N157" i="5"/>
  <c r="N155" i="5" s="1"/>
  <c r="M157" i="5"/>
  <c r="P157" i="5" s="1"/>
  <c r="L157" i="5"/>
  <c r="P156" i="5"/>
  <c r="O156" i="5"/>
  <c r="N154" i="5"/>
  <c r="M154" i="5"/>
  <c r="M152" i="5" s="1"/>
  <c r="L154" i="5"/>
  <c r="P153" i="5"/>
  <c r="O153" i="5"/>
  <c r="N150" i="5"/>
  <c r="M150" i="5"/>
  <c r="P150" i="5" s="1"/>
  <c r="L150" i="5"/>
  <c r="J148" i="5"/>
  <c r="I146" i="5"/>
  <c r="I130" i="5" s="1"/>
  <c r="K130" i="5" s="1"/>
  <c r="I145" i="5"/>
  <c r="I144" i="5"/>
  <c r="K144" i="5" s="1"/>
  <c r="N140" i="5"/>
  <c r="N138" i="5" s="1"/>
  <c r="M140" i="5"/>
  <c r="M138" i="5" s="1"/>
  <c r="L140" i="5"/>
  <c r="L138" i="5" s="1"/>
  <c r="P139" i="5"/>
  <c r="O139" i="5"/>
  <c r="N137" i="5"/>
  <c r="M137" i="5"/>
  <c r="M135" i="5" s="1"/>
  <c r="L137" i="5"/>
  <c r="L135" i="5" s="1"/>
  <c r="P136" i="5"/>
  <c r="O136" i="5"/>
  <c r="O133" i="5"/>
  <c r="N133" i="5"/>
  <c r="M133" i="5"/>
  <c r="P133" i="5" s="1"/>
  <c r="L133" i="5"/>
  <c r="J130" i="5"/>
  <c r="N127" i="5"/>
  <c r="M127" i="5"/>
  <c r="P127" i="5" s="1"/>
  <c r="L127" i="5"/>
  <c r="L125" i="5" s="1"/>
  <c r="O125" i="5" s="1"/>
  <c r="P126" i="5"/>
  <c r="O126" i="5"/>
  <c r="N124" i="5"/>
  <c r="N122" i="5" s="1"/>
  <c r="M124" i="5"/>
  <c r="M122" i="5" s="1"/>
  <c r="P122" i="5" s="1"/>
  <c r="L124" i="5"/>
  <c r="P123" i="5"/>
  <c r="O123" i="5"/>
  <c r="O120" i="5"/>
  <c r="N120" i="5"/>
  <c r="M120" i="5"/>
  <c r="P120" i="5" s="1"/>
  <c r="L120" i="5"/>
  <c r="I116" i="5"/>
  <c r="K116" i="5" s="1"/>
  <c r="I115" i="5"/>
  <c r="K115" i="5" s="1"/>
  <c r="I114" i="5"/>
  <c r="K114" i="5" s="1"/>
  <c r="I113" i="5"/>
  <c r="K113" i="5" s="1"/>
  <c r="J112" i="5"/>
  <c r="J111" i="5"/>
  <c r="I111" i="5"/>
  <c r="I110" i="5"/>
  <c r="K110" i="5" s="1"/>
  <c r="I109" i="5"/>
  <c r="K109" i="5" s="1"/>
  <c r="I107" i="5"/>
  <c r="K107" i="5" s="1"/>
  <c r="I106" i="5"/>
  <c r="K106" i="5" s="1"/>
  <c r="I104" i="5"/>
  <c r="K104" i="5" s="1"/>
  <c r="I103" i="5"/>
  <c r="K103" i="5" s="1"/>
  <c r="I102" i="5"/>
  <c r="K102" i="5" s="1"/>
  <c r="J100" i="5"/>
  <c r="I100" i="5"/>
  <c r="K100" i="5" s="1"/>
  <c r="J99" i="5"/>
  <c r="I99" i="5"/>
  <c r="K99" i="5" s="1"/>
  <c r="J98" i="5"/>
  <c r="I98" i="5"/>
  <c r="K98" i="5" s="1"/>
  <c r="N96" i="5"/>
  <c r="N94" i="5" s="1"/>
  <c r="M96" i="5"/>
  <c r="M94" i="5" s="1"/>
  <c r="P94" i="5" s="1"/>
  <c r="L96" i="5"/>
  <c r="P95" i="5"/>
  <c r="O95" i="5"/>
  <c r="N93" i="5"/>
  <c r="M93" i="5"/>
  <c r="M91" i="5" s="1"/>
  <c r="L93" i="5"/>
  <c r="L91" i="5" s="1"/>
  <c r="P92" i="5"/>
  <c r="O92" i="5"/>
  <c r="P89" i="5"/>
  <c r="N89" i="5"/>
  <c r="M89" i="5"/>
  <c r="L89" i="5"/>
  <c r="O89" i="5" s="1"/>
  <c r="J87" i="5"/>
  <c r="J86" i="5"/>
  <c r="I84" i="5"/>
  <c r="K84" i="5" s="1"/>
  <c r="I83" i="5"/>
  <c r="K83" i="5" s="1"/>
  <c r="I82" i="5"/>
  <c r="K82" i="5" s="1"/>
  <c r="I81" i="5"/>
  <c r="K81" i="5" s="1"/>
  <c r="I80" i="5"/>
  <c r="I79" i="5"/>
  <c r="I78" i="5"/>
  <c r="K78" i="5" s="1"/>
  <c r="J77" i="5"/>
  <c r="J76" i="5"/>
  <c r="N74" i="5"/>
  <c r="N72" i="5" s="1"/>
  <c r="M74" i="5"/>
  <c r="P74" i="5" s="1"/>
  <c r="L74" i="5"/>
  <c r="L72" i="5" s="1"/>
  <c r="O72" i="5" s="1"/>
  <c r="P73" i="5"/>
  <c r="O73" i="5"/>
  <c r="N71" i="5"/>
  <c r="M71" i="5"/>
  <c r="L71" i="5"/>
  <c r="L69" i="5" s="1"/>
  <c r="O69" i="5" s="1"/>
  <c r="P70" i="5"/>
  <c r="O70" i="5"/>
  <c r="N67" i="5"/>
  <c r="M67" i="5"/>
  <c r="P67" i="5" s="1"/>
  <c r="L67" i="5"/>
  <c r="J65" i="5"/>
  <c r="J64" i="5"/>
  <c r="N61" i="5"/>
  <c r="N59" i="5" s="1"/>
  <c r="M61" i="5"/>
  <c r="L61" i="5"/>
  <c r="L59" i="5" s="1"/>
  <c r="P60" i="5"/>
  <c r="O60" i="5"/>
  <c r="N58" i="5"/>
  <c r="M58" i="5"/>
  <c r="M56" i="5" s="1"/>
  <c r="L58" i="5"/>
  <c r="L56" i="5" s="1"/>
  <c r="P57" i="5"/>
  <c r="O57" i="5"/>
  <c r="N54" i="5"/>
  <c r="M54" i="5"/>
  <c r="P54" i="5" s="1"/>
  <c r="L54" i="5"/>
  <c r="N49" i="5"/>
  <c r="N47" i="5" s="1"/>
  <c r="M49" i="5"/>
  <c r="P49" i="5" s="1"/>
  <c r="L49" i="5"/>
  <c r="P48" i="5"/>
  <c r="O48" i="5"/>
  <c r="N46" i="5"/>
  <c r="M46" i="5"/>
  <c r="L46" i="5"/>
  <c r="L44" i="5" s="1"/>
  <c r="P45" i="5"/>
  <c r="O45" i="5"/>
  <c r="N42" i="5"/>
  <c r="M42" i="5"/>
  <c r="P42" i="5" s="1"/>
  <c r="L42" i="5"/>
  <c r="N36" i="5"/>
  <c r="M36" i="5"/>
  <c r="P36" i="5" s="1"/>
  <c r="P35" i="5"/>
  <c r="N35" i="5"/>
  <c r="N34" i="5" s="1"/>
  <c r="M35" i="5"/>
  <c r="M29" i="5" s="1"/>
  <c r="L35" i="5"/>
  <c r="O35" i="5" s="1"/>
  <c r="M34" i="5"/>
  <c r="P34" i="5" s="1"/>
  <c r="P33" i="5"/>
  <c r="N33" i="5"/>
  <c r="M33" i="5"/>
  <c r="P32" i="5"/>
  <c r="N32" i="5"/>
  <c r="M32" i="5"/>
  <c r="L32" i="5"/>
  <c r="O32" i="5" s="1"/>
  <c r="M31" i="5"/>
  <c r="P31" i="5" s="1"/>
  <c r="N30" i="5"/>
  <c r="M30" i="5"/>
  <c r="P30" i="5" s="1"/>
  <c r="N29" i="5"/>
  <c r="L29" i="5"/>
  <c r="O29" i="5" s="1"/>
  <c r="P25" i="5"/>
  <c r="N25" i="5"/>
  <c r="M25" i="5"/>
  <c r="L25" i="5"/>
  <c r="O25" i="5" s="1"/>
  <c r="O22" i="5"/>
  <c r="N22" i="5"/>
  <c r="M22" i="5"/>
  <c r="L22" i="5"/>
  <c r="N19" i="5"/>
  <c r="L19" i="5"/>
  <c r="O15" i="5"/>
  <c r="N15" i="5"/>
  <c r="M15" i="5"/>
  <c r="L15" i="5"/>
  <c r="N12" i="5"/>
  <c r="N9" i="5" s="1"/>
  <c r="L12" i="5"/>
  <c r="J828" i="4"/>
  <c r="I828" i="4"/>
  <c r="J827" i="4"/>
  <c r="I827" i="4"/>
  <c r="J826" i="4"/>
  <c r="I826" i="4"/>
  <c r="J825" i="4"/>
  <c r="I825" i="4"/>
  <c r="J824" i="4"/>
  <c r="I824" i="4"/>
  <c r="J823" i="4"/>
  <c r="I823" i="4"/>
  <c r="J822" i="4"/>
  <c r="I822" i="4"/>
  <c r="J821" i="4"/>
  <c r="I821" i="4"/>
  <c r="P817" i="4"/>
  <c r="O817" i="4"/>
  <c r="P816" i="4"/>
  <c r="O816" i="4"/>
  <c r="O815" i="4"/>
  <c r="N815" i="4"/>
  <c r="M815" i="4"/>
  <c r="P815" i="4" s="1"/>
  <c r="L815" i="4"/>
  <c r="P810" i="4"/>
  <c r="O810" i="4"/>
  <c r="N810" i="4"/>
  <c r="P809" i="4"/>
  <c r="O809" i="4"/>
  <c r="O808" i="4"/>
  <c r="M808" i="4"/>
  <c r="P808" i="4" s="1"/>
  <c r="L808" i="4"/>
  <c r="P807" i="4"/>
  <c r="M807" i="4"/>
  <c r="L807" i="4"/>
  <c r="O806" i="4"/>
  <c r="N806" i="4"/>
  <c r="M806" i="4"/>
  <c r="P806" i="4" s="1"/>
  <c r="L806" i="4"/>
  <c r="P805" i="4"/>
  <c r="M805" i="4"/>
  <c r="K804" i="4"/>
  <c r="J804" i="4"/>
  <c r="K802" i="4"/>
  <c r="J801" i="4"/>
  <c r="J800" i="4"/>
  <c r="J785" i="4" s="1"/>
  <c r="I800" i="4"/>
  <c r="I785" i="4" s="1"/>
  <c r="P798" i="4"/>
  <c r="O798" i="4"/>
  <c r="P797" i="4"/>
  <c r="O797" i="4"/>
  <c r="P796" i="4"/>
  <c r="N796" i="4"/>
  <c r="M796" i="4"/>
  <c r="L796" i="4"/>
  <c r="O796" i="4" s="1"/>
  <c r="P791" i="4"/>
  <c r="N791" i="4"/>
  <c r="L791" i="4"/>
  <c r="L788" i="4" s="1"/>
  <c r="P790" i="4"/>
  <c r="O790" i="4"/>
  <c r="N789" i="4"/>
  <c r="M789" i="4"/>
  <c r="P789" i="4" s="1"/>
  <c r="P788" i="4"/>
  <c r="N788" i="4"/>
  <c r="M788" i="4"/>
  <c r="O787" i="4"/>
  <c r="N787" i="4"/>
  <c r="M787" i="4"/>
  <c r="P787" i="4" s="1"/>
  <c r="L787" i="4"/>
  <c r="N786" i="4"/>
  <c r="P782" i="4"/>
  <c r="O782" i="4"/>
  <c r="P781" i="4"/>
  <c r="O781" i="4"/>
  <c r="P780" i="4"/>
  <c r="N780" i="4"/>
  <c r="M780" i="4"/>
  <c r="L780" i="4"/>
  <c r="O780" i="4" s="1"/>
  <c r="P775" i="4"/>
  <c r="O775" i="4"/>
  <c r="N775" i="4"/>
  <c r="N772" i="4" s="1"/>
  <c r="P774" i="4"/>
  <c r="O774" i="4"/>
  <c r="P773" i="4"/>
  <c r="N773" i="4"/>
  <c r="M773" i="4"/>
  <c r="L773" i="4"/>
  <c r="O773" i="4" s="1"/>
  <c r="O772" i="4"/>
  <c r="M772" i="4"/>
  <c r="L772" i="4"/>
  <c r="P771" i="4"/>
  <c r="N771" i="4"/>
  <c r="N770" i="4" s="1"/>
  <c r="M771" i="4"/>
  <c r="L771" i="4"/>
  <c r="K769" i="4"/>
  <c r="J769" i="4"/>
  <c r="P766" i="4"/>
  <c r="O766" i="4"/>
  <c r="P765" i="4"/>
  <c r="O765" i="4"/>
  <c r="P764" i="4"/>
  <c r="N764" i="4"/>
  <c r="M764" i="4"/>
  <c r="L764" i="4"/>
  <c r="O764" i="4" s="1"/>
  <c r="P759" i="4"/>
  <c r="O759" i="4"/>
  <c r="N759" i="4"/>
  <c r="N756" i="4" s="1"/>
  <c r="P758" i="4"/>
  <c r="O758" i="4"/>
  <c r="P757" i="4"/>
  <c r="N757" i="4"/>
  <c r="M757" i="4"/>
  <c r="L757" i="4"/>
  <c r="O757" i="4" s="1"/>
  <c r="O756" i="4"/>
  <c r="M756" i="4"/>
  <c r="L756" i="4"/>
  <c r="P755" i="4"/>
  <c r="N755" i="4"/>
  <c r="N754" i="4" s="1"/>
  <c r="M755" i="4"/>
  <c r="L755" i="4"/>
  <c r="K753" i="4"/>
  <c r="J753" i="4"/>
  <c r="P749" i="4"/>
  <c r="O749" i="4"/>
  <c r="P748" i="4"/>
  <c r="O748" i="4"/>
  <c r="P747" i="4"/>
  <c r="N747" i="4"/>
  <c r="M747" i="4"/>
  <c r="L747" i="4"/>
  <c r="O747" i="4" s="1"/>
  <c r="P742" i="4"/>
  <c r="O742" i="4"/>
  <c r="N742" i="4"/>
  <c r="N739" i="4" s="1"/>
  <c r="N737" i="4" s="1"/>
  <c r="P741" i="4"/>
  <c r="O741" i="4"/>
  <c r="P740" i="4"/>
  <c r="N740" i="4"/>
  <c r="M740" i="4"/>
  <c r="L740" i="4"/>
  <c r="O740" i="4" s="1"/>
  <c r="O739" i="4"/>
  <c r="M739" i="4"/>
  <c r="L739" i="4"/>
  <c r="P738" i="4"/>
  <c r="N738" i="4"/>
  <c r="M738" i="4"/>
  <c r="L738" i="4"/>
  <c r="K736" i="4"/>
  <c r="J736" i="4"/>
  <c r="J729" i="4"/>
  <c r="I729" i="4"/>
  <c r="K729" i="4" s="1"/>
  <c r="J728" i="4"/>
  <c r="I728" i="4"/>
  <c r="K728" i="4" s="1"/>
  <c r="J727" i="4"/>
  <c r="J726" i="4"/>
  <c r="I726" i="4"/>
  <c r="K726" i="4" s="1"/>
  <c r="J725" i="4"/>
  <c r="I725" i="4"/>
  <c r="K725" i="4" s="1"/>
  <c r="J724" i="4"/>
  <c r="J723" i="4"/>
  <c r="I723" i="4"/>
  <c r="K723" i="4" s="1"/>
  <c r="I722" i="4"/>
  <c r="K722" i="4" s="1"/>
  <c r="I721" i="4"/>
  <c r="K721" i="4" s="1"/>
  <c r="J720" i="4"/>
  <c r="I720" i="4"/>
  <c r="J719" i="4"/>
  <c r="J718" i="4"/>
  <c r="J708" i="4"/>
  <c r="I708" i="4"/>
  <c r="K708" i="4" s="1"/>
  <c r="I707" i="4"/>
  <c r="I704" i="4"/>
  <c r="J701" i="4"/>
  <c r="I701" i="4"/>
  <c r="K701" i="4" s="1"/>
  <c r="J700" i="4"/>
  <c r="I700" i="4"/>
  <c r="J699" i="4"/>
  <c r="I699" i="4"/>
  <c r="K699" i="4" s="1"/>
  <c r="P697" i="4"/>
  <c r="O697" i="4"/>
  <c r="P696" i="4"/>
  <c r="O696" i="4"/>
  <c r="P695" i="4"/>
  <c r="N695" i="4"/>
  <c r="M695" i="4"/>
  <c r="L695" i="4"/>
  <c r="O695" i="4" s="1"/>
  <c r="P690" i="4"/>
  <c r="N690" i="4"/>
  <c r="N688" i="4" s="1"/>
  <c r="L690" i="4"/>
  <c r="L688" i="4" s="1"/>
  <c r="M688" i="4"/>
  <c r="P688" i="4" s="1"/>
  <c r="P687" i="4"/>
  <c r="N687" i="4"/>
  <c r="M687" i="4"/>
  <c r="O686" i="4"/>
  <c r="N686" i="4"/>
  <c r="M686" i="4"/>
  <c r="P686" i="4" s="1"/>
  <c r="L686" i="4"/>
  <c r="P685" i="4"/>
  <c r="N685" i="4"/>
  <c r="M685" i="4"/>
  <c r="J679" i="4"/>
  <c r="J678" i="4"/>
  <c r="I678" i="4"/>
  <c r="K678" i="4" s="1"/>
  <c r="J675" i="4"/>
  <c r="J669" i="4" s="1"/>
  <c r="J654" i="4" s="1"/>
  <c r="I671" i="4"/>
  <c r="K671" i="4" s="1"/>
  <c r="I670" i="4"/>
  <c r="K670" i="4" s="1"/>
  <c r="I669" i="4"/>
  <c r="K672" i="4" s="1"/>
  <c r="P667" i="4"/>
  <c r="O667" i="4"/>
  <c r="P666" i="4"/>
  <c r="O666" i="4"/>
  <c r="O665" i="4"/>
  <c r="N665" i="4"/>
  <c r="M665" i="4"/>
  <c r="P665" i="4" s="1"/>
  <c r="L665" i="4"/>
  <c r="P660" i="4"/>
  <c r="N660" i="4"/>
  <c r="N657" i="4" s="1"/>
  <c r="L660" i="4"/>
  <c r="O660" i="4" s="1"/>
  <c r="P659" i="4"/>
  <c r="O659" i="4"/>
  <c r="P658" i="4"/>
  <c r="N658" i="4"/>
  <c r="M658" i="4"/>
  <c r="M657" i="4"/>
  <c r="P657" i="4" s="1"/>
  <c r="P656" i="4"/>
  <c r="N656" i="4"/>
  <c r="N655" i="4" s="1"/>
  <c r="M656" i="4"/>
  <c r="L656" i="4"/>
  <c r="M655" i="4"/>
  <c r="P655" i="4" s="1"/>
  <c r="K652" i="4"/>
  <c r="J652" i="4"/>
  <c r="J651" i="4"/>
  <c r="J628" i="4" s="1"/>
  <c r="I651" i="4"/>
  <c r="I628" i="4" s="1"/>
  <c r="K650" i="4"/>
  <c r="J650" i="4"/>
  <c r="J649" i="4"/>
  <c r="I649" i="4"/>
  <c r="K648" i="4"/>
  <c r="J648" i="4"/>
  <c r="J647" i="4"/>
  <c r="I647" i="4"/>
  <c r="K646" i="4"/>
  <c r="J646" i="4"/>
  <c r="K645" i="4"/>
  <c r="J645" i="4"/>
  <c r="I644" i="4"/>
  <c r="K644" i="4" s="1"/>
  <c r="I643" i="4"/>
  <c r="K643" i="4" s="1"/>
  <c r="P641" i="4"/>
  <c r="L641" i="4"/>
  <c r="P640" i="4"/>
  <c r="O640" i="4"/>
  <c r="N639" i="4"/>
  <c r="M639" i="4"/>
  <c r="P639" i="4" s="1"/>
  <c r="P634" i="4"/>
  <c r="N634" i="4"/>
  <c r="L634" i="4"/>
  <c r="L632" i="4" s="1"/>
  <c r="O632" i="4" s="1"/>
  <c r="P633" i="4"/>
  <c r="O633" i="4"/>
  <c r="P632" i="4"/>
  <c r="N632" i="4"/>
  <c r="M632" i="4"/>
  <c r="N631" i="4"/>
  <c r="M631" i="4"/>
  <c r="P631" i="4" s="1"/>
  <c r="P630" i="4"/>
  <c r="N630" i="4"/>
  <c r="N629" i="4" s="1"/>
  <c r="M630" i="4"/>
  <c r="L630" i="4"/>
  <c r="O630" i="4" s="1"/>
  <c r="M629" i="4"/>
  <c r="P629" i="4" s="1"/>
  <c r="J621" i="4"/>
  <c r="I621" i="4"/>
  <c r="K621" i="4" s="1"/>
  <c r="J620" i="4"/>
  <c r="I620" i="4"/>
  <c r="K620" i="4" s="1"/>
  <c r="K613" i="4"/>
  <c r="J613" i="4"/>
  <c r="K612" i="4"/>
  <c r="J612" i="4"/>
  <c r="K611" i="4"/>
  <c r="J611" i="4"/>
  <c r="J604" i="4"/>
  <c r="J603" i="4"/>
  <c r="J593" i="4" s="1"/>
  <c r="J596" i="4"/>
  <c r="J595" i="4"/>
  <c r="J594" i="4"/>
  <c r="I594" i="4"/>
  <c r="K594" i="4" s="1"/>
  <c r="I593" i="4"/>
  <c r="I592" i="4" s="1"/>
  <c r="J592" i="4"/>
  <c r="J583" i="4"/>
  <c r="J577" i="4" s="1"/>
  <c r="J582" i="4"/>
  <c r="I577" i="4"/>
  <c r="K577" i="4" s="1"/>
  <c r="J576" i="4"/>
  <c r="J559" i="4" s="1"/>
  <c r="J543" i="4" s="1"/>
  <c r="I576" i="4"/>
  <c r="J569" i="4"/>
  <c r="I569" i="4"/>
  <c r="K569" i="4" s="1"/>
  <c r="J568" i="4"/>
  <c r="I568" i="4"/>
  <c r="K568" i="4" s="1"/>
  <c r="J561" i="4"/>
  <c r="I561" i="4"/>
  <c r="K561" i="4" s="1"/>
  <c r="J560" i="4"/>
  <c r="I560" i="4"/>
  <c r="K560" i="4" s="1"/>
  <c r="P557" i="4"/>
  <c r="L557" i="4"/>
  <c r="L555" i="4" s="1"/>
  <c r="O555" i="4" s="1"/>
  <c r="P556" i="4"/>
  <c r="O556" i="4"/>
  <c r="P555" i="4"/>
  <c r="N555" i="4"/>
  <c r="N545" i="4" s="1"/>
  <c r="M555" i="4"/>
  <c r="P549" i="4"/>
  <c r="N549" i="4"/>
  <c r="L549" i="4"/>
  <c r="P548" i="4"/>
  <c r="O548" i="4"/>
  <c r="N547" i="4"/>
  <c r="M547" i="4"/>
  <c r="P547" i="4" s="1"/>
  <c r="P546" i="4"/>
  <c r="N546" i="4"/>
  <c r="M546" i="4"/>
  <c r="O545" i="4"/>
  <c r="M545" i="4"/>
  <c r="L545" i="4"/>
  <c r="I542" i="4"/>
  <c r="K542" i="4" s="1"/>
  <c r="I541" i="4"/>
  <c r="K541" i="4" s="1"/>
  <c r="I540" i="4"/>
  <c r="K540" i="4" s="1"/>
  <c r="I539" i="4"/>
  <c r="K539" i="4" s="1"/>
  <c r="I538" i="4"/>
  <c r="I537" i="4"/>
  <c r="I522" i="4" s="1"/>
  <c r="K522" i="4" s="1"/>
  <c r="P535" i="4"/>
  <c r="L535" i="4"/>
  <c r="O535" i="4" s="1"/>
  <c r="P534" i="4"/>
  <c r="O534" i="4"/>
  <c r="P533" i="4"/>
  <c r="N533" i="4"/>
  <c r="M533" i="4"/>
  <c r="P528" i="4"/>
  <c r="N528" i="4"/>
  <c r="L528" i="4"/>
  <c r="P527" i="4"/>
  <c r="O527" i="4"/>
  <c r="N526" i="4"/>
  <c r="M526" i="4"/>
  <c r="P526" i="4" s="1"/>
  <c r="P525" i="4"/>
  <c r="N525" i="4"/>
  <c r="M525" i="4"/>
  <c r="O524" i="4"/>
  <c r="N524" i="4"/>
  <c r="N523" i="4" s="1"/>
  <c r="M524" i="4"/>
  <c r="P524" i="4" s="1"/>
  <c r="L524" i="4"/>
  <c r="P523" i="4"/>
  <c r="M523" i="4"/>
  <c r="K517" i="4"/>
  <c r="J517" i="4"/>
  <c r="J501" i="4" s="1"/>
  <c r="K516" i="4"/>
  <c r="P514" i="4"/>
  <c r="O514" i="4"/>
  <c r="P513" i="4"/>
  <c r="O513" i="4"/>
  <c r="O512" i="4"/>
  <c r="N512" i="4"/>
  <c r="M512" i="4"/>
  <c r="P512" i="4" s="1"/>
  <c r="L512" i="4"/>
  <c r="P507" i="4"/>
  <c r="O507" i="4"/>
  <c r="N507" i="4"/>
  <c r="P506" i="4"/>
  <c r="O506" i="4"/>
  <c r="O505" i="4"/>
  <c r="N505" i="4"/>
  <c r="M505" i="4"/>
  <c r="P505" i="4" s="1"/>
  <c r="L505" i="4"/>
  <c r="P504" i="4"/>
  <c r="N504" i="4"/>
  <c r="M504" i="4"/>
  <c r="L504" i="4"/>
  <c r="O504" i="4" s="1"/>
  <c r="O503" i="4"/>
  <c r="N503" i="4"/>
  <c r="M503" i="4"/>
  <c r="M502" i="4" s="1"/>
  <c r="P502" i="4" s="1"/>
  <c r="L503" i="4"/>
  <c r="L502" i="4" s="1"/>
  <c r="O502" i="4" s="1"/>
  <c r="N502" i="4"/>
  <c r="K501" i="4"/>
  <c r="K500" i="4"/>
  <c r="J500" i="4"/>
  <c r="I498" i="4"/>
  <c r="K498" i="4" s="1"/>
  <c r="I495" i="4"/>
  <c r="K495" i="4" s="1"/>
  <c r="I492" i="4"/>
  <c r="K492" i="4" s="1"/>
  <c r="I489" i="4"/>
  <c r="K489" i="4" s="1"/>
  <c r="I487" i="4"/>
  <c r="K487" i="4" s="1"/>
  <c r="I485" i="4"/>
  <c r="K485" i="4" s="1"/>
  <c r="I483" i="4"/>
  <c r="K483" i="4" s="1"/>
  <c r="P479" i="4"/>
  <c r="L479" i="4"/>
  <c r="P478" i="4"/>
  <c r="O478" i="4"/>
  <c r="P477" i="4"/>
  <c r="N477" i="4"/>
  <c r="M477" i="4"/>
  <c r="L477" i="4"/>
  <c r="O477" i="4" s="1"/>
  <c r="P472" i="4"/>
  <c r="N472" i="4"/>
  <c r="L472" i="4"/>
  <c r="L470" i="4" s="1"/>
  <c r="P471" i="4"/>
  <c r="O471" i="4"/>
  <c r="N470" i="4"/>
  <c r="M470" i="4"/>
  <c r="P470" i="4" s="1"/>
  <c r="M469" i="4"/>
  <c r="P469" i="4" s="1"/>
  <c r="O468" i="4"/>
  <c r="N468" i="4"/>
  <c r="M468" i="4"/>
  <c r="M467" i="4" s="1"/>
  <c r="P467" i="4" s="1"/>
  <c r="L468" i="4"/>
  <c r="J466" i="4"/>
  <c r="I466" i="4"/>
  <c r="K466" i="4" s="1"/>
  <c r="J465" i="4"/>
  <c r="I465" i="4"/>
  <c r="K465" i="4" s="1"/>
  <c r="I464" i="4"/>
  <c r="I463" i="4"/>
  <c r="I462" i="4"/>
  <c r="I460" i="4"/>
  <c r="K460" i="4" s="1"/>
  <c r="K458" i="4"/>
  <c r="P456" i="4"/>
  <c r="L456" i="4"/>
  <c r="P455" i="4"/>
  <c r="O455" i="4"/>
  <c r="P454" i="4"/>
  <c r="N454" i="4"/>
  <c r="M454" i="4"/>
  <c r="P449" i="4"/>
  <c r="N449" i="4"/>
  <c r="L449" i="4"/>
  <c r="O449" i="4" s="1"/>
  <c r="P448" i="4"/>
  <c r="O448" i="4"/>
  <c r="P447" i="4"/>
  <c r="N447" i="4"/>
  <c r="M447" i="4"/>
  <c r="N446" i="4"/>
  <c r="M446" i="4"/>
  <c r="P446" i="4" s="1"/>
  <c r="N445" i="4"/>
  <c r="N444" i="4" s="1"/>
  <c r="M445" i="4"/>
  <c r="L445" i="4"/>
  <c r="O445" i="4" s="1"/>
  <c r="J443" i="4"/>
  <c r="J442" i="4"/>
  <c r="I441" i="4"/>
  <c r="K441" i="4" s="1"/>
  <c r="I440" i="4"/>
  <c r="K440" i="4" s="1"/>
  <c r="I439" i="4"/>
  <c r="K439" i="4" s="1"/>
  <c r="I438" i="4"/>
  <c r="I437" i="4"/>
  <c r="K437" i="4" s="1"/>
  <c r="I435" i="4"/>
  <c r="J434" i="4"/>
  <c r="P431" i="4"/>
  <c r="L431" i="4"/>
  <c r="P430" i="4"/>
  <c r="O430" i="4"/>
  <c r="N429" i="4"/>
  <c r="M429" i="4"/>
  <c r="P429" i="4" s="1"/>
  <c r="P424" i="4"/>
  <c r="N424" i="4"/>
  <c r="L424" i="4"/>
  <c r="P423" i="4"/>
  <c r="O423" i="4"/>
  <c r="P422" i="4"/>
  <c r="N422" i="4"/>
  <c r="M422" i="4"/>
  <c r="N421" i="4"/>
  <c r="M421" i="4"/>
  <c r="P421" i="4" s="1"/>
  <c r="N420" i="4"/>
  <c r="M420" i="4"/>
  <c r="P420" i="4" s="1"/>
  <c r="L420" i="4"/>
  <c r="O420" i="4" s="1"/>
  <c r="J418" i="4"/>
  <c r="K413" i="4"/>
  <c r="K412" i="4"/>
  <c r="N410" i="4"/>
  <c r="N408" i="4" s="1"/>
  <c r="M410" i="4"/>
  <c r="L410" i="4"/>
  <c r="O410" i="4" s="1"/>
  <c r="P409" i="4"/>
  <c r="O409" i="4"/>
  <c r="N407" i="4"/>
  <c r="N405" i="4" s="1"/>
  <c r="M407" i="4"/>
  <c r="M405" i="4" s="1"/>
  <c r="P405" i="4" s="1"/>
  <c r="L407" i="4"/>
  <c r="P406" i="4"/>
  <c r="O406" i="4"/>
  <c r="P403" i="4"/>
  <c r="N403" i="4"/>
  <c r="M403" i="4"/>
  <c r="L403" i="4"/>
  <c r="J401" i="4"/>
  <c r="I401" i="4"/>
  <c r="K401" i="4" s="1"/>
  <c r="K400" i="4"/>
  <c r="K399" i="4"/>
  <c r="N397" i="4"/>
  <c r="N395" i="4" s="1"/>
  <c r="M397" i="4"/>
  <c r="L397" i="4"/>
  <c r="O397" i="4" s="1"/>
  <c r="P396" i="4"/>
  <c r="O396" i="4"/>
  <c r="N394" i="4"/>
  <c r="M394" i="4"/>
  <c r="L394" i="4"/>
  <c r="L392" i="4" s="1"/>
  <c r="O392" i="4" s="1"/>
  <c r="P393" i="4"/>
  <c r="O393" i="4"/>
  <c r="P390" i="4"/>
  <c r="N390" i="4"/>
  <c r="M390" i="4"/>
  <c r="L390" i="4"/>
  <c r="O390" i="4" s="1"/>
  <c r="J388" i="4"/>
  <c r="I388" i="4"/>
  <c r="K388" i="4" s="1"/>
  <c r="J385" i="4"/>
  <c r="I385" i="4"/>
  <c r="K382" i="4"/>
  <c r="J382" i="4"/>
  <c r="J381" i="4"/>
  <c r="J374" i="4" s="1"/>
  <c r="I381" i="4"/>
  <c r="K380" i="4"/>
  <c r="J380" i="4"/>
  <c r="J379" i="4"/>
  <c r="I379" i="4"/>
  <c r="J378" i="4"/>
  <c r="I378" i="4"/>
  <c r="K377" i="4"/>
  <c r="J377" i="4"/>
  <c r="I374" i="4"/>
  <c r="K373" i="4"/>
  <c r="J373" i="4"/>
  <c r="J372" i="4"/>
  <c r="J365" i="4" s="1"/>
  <c r="I372" i="4"/>
  <c r="K371" i="4"/>
  <c r="J371" i="4"/>
  <c r="J370" i="4"/>
  <c r="I370" i="4"/>
  <c r="J369" i="4"/>
  <c r="I369" i="4"/>
  <c r="K368" i="4"/>
  <c r="J368" i="4"/>
  <c r="I365" i="4"/>
  <c r="K363" i="4"/>
  <c r="J363" i="4"/>
  <c r="J362" i="4"/>
  <c r="J355" i="4" s="1"/>
  <c r="I362" i="4"/>
  <c r="K361" i="4"/>
  <c r="J361" i="4"/>
  <c r="J360" i="4"/>
  <c r="I360" i="4"/>
  <c r="J359" i="4"/>
  <c r="I359" i="4"/>
  <c r="K358" i="4"/>
  <c r="J358" i="4"/>
  <c r="I355" i="4"/>
  <c r="N353" i="4"/>
  <c r="M353" i="4"/>
  <c r="L353" i="4"/>
  <c r="L351" i="4" s="1"/>
  <c r="P352" i="4"/>
  <c r="O352" i="4"/>
  <c r="N350" i="4"/>
  <c r="N348" i="4" s="1"/>
  <c r="M350" i="4"/>
  <c r="L350" i="4"/>
  <c r="P349" i="4"/>
  <c r="O349" i="4"/>
  <c r="P346" i="4"/>
  <c r="N346" i="4"/>
  <c r="M346" i="4"/>
  <c r="L346" i="4"/>
  <c r="O346" i="4" s="1"/>
  <c r="J343" i="4"/>
  <c r="J342" i="4"/>
  <c r="J341" i="4"/>
  <c r="J340" i="4"/>
  <c r="I340" i="4"/>
  <c r="J338" i="4"/>
  <c r="I338" i="4"/>
  <c r="N336" i="4"/>
  <c r="M336" i="4"/>
  <c r="L336" i="4"/>
  <c r="L334" i="4" s="1"/>
  <c r="O334" i="4" s="1"/>
  <c r="P335" i="4"/>
  <c r="O335" i="4"/>
  <c r="N333" i="4"/>
  <c r="M333" i="4"/>
  <c r="L333" i="4"/>
  <c r="P332" i="4"/>
  <c r="O332" i="4"/>
  <c r="P329" i="4"/>
  <c r="N329" i="4"/>
  <c r="M329" i="4"/>
  <c r="L329" i="4"/>
  <c r="O329" i="4" s="1"/>
  <c r="I327" i="4"/>
  <c r="I325" i="4"/>
  <c r="N323" i="4"/>
  <c r="N321" i="4" s="1"/>
  <c r="M323" i="4"/>
  <c r="L323" i="4"/>
  <c r="O323" i="4" s="1"/>
  <c r="P322" i="4"/>
  <c r="O322" i="4"/>
  <c r="N320" i="4"/>
  <c r="N318" i="4" s="1"/>
  <c r="M320" i="4"/>
  <c r="M318" i="4" s="1"/>
  <c r="L320" i="4"/>
  <c r="P319" i="4"/>
  <c r="O319" i="4"/>
  <c r="P316" i="4"/>
  <c r="O316" i="4"/>
  <c r="N316" i="4"/>
  <c r="M316" i="4"/>
  <c r="L316" i="4"/>
  <c r="J314" i="4"/>
  <c r="I312" i="4"/>
  <c r="K312" i="4" s="1"/>
  <c r="I311" i="4"/>
  <c r="K311" i="4" s="1"/>
  <c r="I310" i="4"/>
  <c r="K310" i="4" s="1"/>
  <c r="I309" i="4"/>
  <c r="K309" i="4" s="1"/>
  <c r="N306" i="4"/>
  <c r="N304" i="4" s="1"/>
  <c r="M306" i="4"/>
  <c r="P306" i="4" s="1"/>
  <c r="L306" i="4"/>
  <c r="O306" i="4" s="1"/>
  <c r="P305" i="4"/>
  <c r="O305" i="4"/>
  <c r="N303" i="4"/>
  <c r="N301" i="4" s="1"/>
  <c r="M303" i="4"/>
  <c r="L303" i="4"/>
  <c r="P302" i="4"/>
  <c r="O302" i="4"/>
  <c r="P299" i="4"/>
  <c r="N299" i="4"/>
  <c r="M299" i="4"/>
  <c r="L299" i="4"/>
  <c r="O299" i="4" s="1"/>
  <c r="J297" i="4"/>
  <c r="I294" i="4"/>
  <c r="K294" i="4" s="1"/>
  <c r="I293" i="4"/>
  <c r="K293" i="4" s="1"/>
  <c r="I291" i="4"/>
  <c r="K291" i="4" s="1"/>
  <c r="I290" i="4"/>
  <c r="K290" i="4" s="1"/>
  <c r="I288" i="4"/>
  <c r="I287" i="4"/>
  <c r="N285" i="4"/>
  <c r="N283" i="4" s="1"/>
  <c r="M285" i="4"/>
  <c r="P285" i="4" s="1"/>
  <c r="L285" i="4"/>
  <c r="P284" i="4"/>
  <c r="O284" i="4"/>
  <c r="N282" i="4"/>
  <c r="N280" i="4" s="1"/>
  <c r="M282" i="4"/>
  <c r="L282" i="4"/>
  <c r="P281" i="4"/>
  <c r="O281" i="4"/>
  <c r="N278" i="4"/>
  <c r="M278" i="4"/>
  <c r="P278" i="4" s="1"/>
  <c r="L278" i="4"/>
  <c r="J276" i="4"/>
  <c r="I271" i="4"/>
  <c r="N269" i="4"/>
  <c r="N267" i="4" s="1"/>
  <c r="M269" i="4"/>
  <c r="P269" i="4" s="1"/>
  <c r="L269" i="4"/>
  <c r="O269" i="4" s="1"/>
  <c r="P268" i="4"/>
  <c r="O268" i="4"/>
  <c r="N266" i="4"/>
  <c r="N264" i="4" s="1"/>
  <c r="M266" i="4"/>
  <c r="M264" i="4" s="1"/>
  <c r="L266" i="4"/>
  <c r="L264" i="4" s="1"/>
  <c r="P265" i="4"/>
  <c r="O265" i="4"/>
  <c r="P262" i="4"/>
  <c r="N262" i="4"/>
  <c r="M262" i="4"/>
  <c r="L262" i="4"/>
  <c r="O262" i="4" s="1"/>
  <c r="J260" i="4"/>
  <c r="K258" i="4"/>
  <c r="K257" i="4"/>
  <c r="I255" i="4"/>
  <c r="K255" i="4" s="1"/>
  <c r="L253" i="4"/>
  <c r="L252" i="4"/>
  <c r="L251" i="4"/>
  <c r="L250" i="4"/>
  <c r="P249" i="4"/>
  <c r="N249" i="4"/>
  <c r="J248" i="4"/>
  <c r="K247" i="4"/>
  <c r="K246" i="4"/>
  <c r="I244" i="4"/>
  <c r="K244" i="4" s="1"/>
  <c r="L242" i="4"/>
  <c r="L241" i="4"/>
  <c r="L240" i="4"/>
  <c r="L239" i="4"/>
  <c r="P238" i="4"/>
  <c r="N238" i="4"/>
  <c r="J237" i="4"/>
  <c r="J226" i="4" s="1"/>
  <c r="J180" i="4" s="1"/>
  <c r="J236" i="4"/>
  <c r="I236" i="4"/>
  <c r="K236" i="4" s="1"/>
  <c r="J235" i="4"/>
  <c r="I235" i="4"/>
  <c r="K235" i="4" s="1"/>
  <c r="J233" i="4"/>
  <c r="N231" i="4"/>
  <c r="N230" i="4"/>
  <c r="N229" i="4"/>
  <c r="N228" i="4"/>
  <c r="N227" i="4"/>
  <c r="I225" i="4"/>
  <c r="K225" i="4" s="1"/>
  <c r="I224" i="4"/>
  <c r="K224" i="4" s="1"/>
  <c r="I223" i="4"/>
  <c r="K223" i="4" s="1"/>
  <c r="L220" i="4"/>
  <c r="L219" i="4"/>
  <c r="L218" i="4"/>
  <c r="P217" i="4"/>
  <c r="N217" i="4"/>
  <c r="J216" i="4"/>
  <c r="I215" i="4"/>
  <c r="I214" i="4"/>
  <c r="K214" i="4" s="1"/>
  <c r="L212" i="4"/>
  <c r="L211" i="4"/>
  <c r="L210" i="4"/>
  <c r="P209" i="4"/>
  <c r="N209" i="4"/>
  <c r="J208" i="4"/>
  <c r="K207" i="4"/>
  <c r="K206" i="4"/>
  <c r="I204" i="4"/>
  <c r="K204" i="4" s="1"/>
  <c r="L202" i="4"/>
  <c r="L201" i="4"/>
  <c r="L200" i="4"/>
  <c r="L199" i="4"/>
  <c r="P198" i="4"/>
  <c r="N198" i="4"/>
  <c r="J197" i="4"/>
  <c r="J194" i="4"/>
  <c r="I193" i="4"/>
  <c r="K193" i="4" s="1"/>
  <c r="P191" i="4"/>
  <c r="L191" i="4"/>
  <c r="O191" i="4" s="1"/>
  <c r="J190" i="4"/>
  <c r="N189" i="4"/>
  <c r="N187" i="4" s="1"/>
  <c r="M189" i="4"/>
  <c r="M187" i="4" s="1"/>
  <c r="P187" i="4" s="1"/>
  <c r="L189" i="4"/>
  <c r="O189" i="4" s="1"/>
  <c r="P188" i="4"/>
  <c r="O188" i="4"/>
  <c r="N186" i="4"/>
  <c r="M186" i="4"/>
  <c r="M184" i="4" s="1"/>
  <c r="L186" i="4"/>
  <c r="P185" i="4"/>
  <c r="O185" i="4"/>
  <c r="P182" i="4"/>
  <c r="O182" i="4"/>
  <c r="N182" i="4"/>
  <c r="M182" i="4"/>
  <c r="L182" i="4"/>
  <c r="K180" i="4"/>
  <c r="J177" i="4"/>
  <c r="I176" i="4"/>
  <c r="I174" i="4" s="1"/>
  <c r="J174" i="4"/>
  <c r="N173" i="4"/>
  <c r="N171" i="4" s="1"/>
  <c r="M173" i="4"/>
  <c r="L173" i="4"/>
  <c r="P172" i="4"/>
  <c r="O172" i="4"/>
  <c r="N170" i="4"/>
  <c r="M170" i="4"/>
  <c r="M168" i="4" s="1"/>
  <c r="L170" i="4"/>
  <c r="L168" i="4" s="1"/>
  <c r="P169" i="4"/>
  <c r="O169" i="4"/>
  <c r="O166" i="4"/>
  <c r="N166" i="4"/>
  <c r="M166" i="4"/>
  <c r="P166" i="4" s="1"/>
  <c r="L166" i="4"/>
  <c r="J164" i="4"/>
  <c r="I159" i="4"/>
  <c r="N157" i="4"/>
  <c r="N155" i="4" s="1"/>
  <c r="M157" i="4"/>
  <c r="P157" i="4" s="1"/>
  <c r="L157" i="4"/>
  <c r="O157" i="4" s="1"/>
  <c r="P156" i="4"/>
  <c r="O156" i="4"/>
  <c r="N154" i="4"/>
  <c r="N152" i="4" s="1"/>
  <c r="M154" i="4"/>
  <c r="P154" i="4" s="1"/>
  <c r="L154" i="4"/>
  <c r="O154" i="4" s="1"/>
  <c r="P153" i="4"/>
  <c r="O153" i="4"/>
  <c r="P150" i="4"/>
  <c r="O150" i="4"/>
  <c r="N150" i="4"/>
  <c r="M150" i="4"/>
  <c r="L150" i="4"/>
  <c r="J148" i="4"/>
  <c r="I146" i="4"/>
  <c r="K146" i="4" s="1"/>
  <c r="I145" i="4"/>
  <c r="I143" i="4" s="1"/>
  <c r="I144" i="4"/>
  <c r="N140" i="4"/>
  <c r="N138" i="4" s="1"/>
  <c r="M140" i="4"/>
  <c r="L140" i="4"/>
  <c r="O140" i="4" s="1"/>
  <c r="P139" i="4"/>
  <c r="O139" i="4"/>
  <c r="N137" i="4"/>
  <c r="M137" i="4"/>
  <c r="L137" i="4"/>
  <c r="O137" i="4" s="1"/>
  <c r="P136" i="4"/>
  <c r="O136" i="4"/>
  <c r="N133" i="4"/>
  <c r="M133" i="4"/>
  <c r="L133" i="4"/>
  <c r="O133" i="4" s="1"/>
  <c r="J130" i="4"/>
  <c r="N127" i="4"/>
  <c r="N125" i="4" s="1"/>
  <c r="M127" i="4"/>
  <c r="P127" i="4" s="1"/>
  <c r="L127" i="4"/>
  <c r="O127" i="4" s="1"/>
  <c r="P126" i="4"/>
  <c r="O126" i="4"/>
  <c r="N124" i="4"/>
  <c r="M124" i="4"/>
  <c r="L124" i="4"/>
  <c r="O124" i="4" s="1"/>
  <c r="P123" i="4"/>
  <c r="O123" i="4"/>
  <c r="P120" i="4"/>
  <c r="O120" i="4"/>
  <c r="N120" i="4"/>
  <c r="M120" i="4"/>
  <c r="L120" i="4"/>
  <c r="I116" i="4"/>
  <c r="K116" i="4" s="1"/>
  <c r="I115" i="4"/>
  <c r="K115" i="4" s="1"/>
  <c r="I114" i="4"/>
  <c r="K114" i="4" s="1"/>
  <c r="I113" i="4"/>
  <c r="K113" i="4" s="1"/>
  <c r="J112" i="4"/>
  <c r="J111" i="4"/>
  <c r="I111" i="4"/>
  <c r="K111" i="4" s="1"/>
  <c r="I110" i="4"/>
  <c r="K110" i="4" s="1"/>
  <c r="I109" i="4"/>
  <c r="K109" i="4" s="1"/>
  <c r="I107" i="4"/>
  <c r="K107" i="4" s="1"/>
  <c r="I106" i="4"/>
  <c r="K106" i="4" s="1"/>
  <c r="I104" i="4"/>
  <c r="K104" i="4" s="1"/>
  <c r="I103" i="4"/>
  <c r="K103" i="4" s="1"/>
  <c r="I102" i="4"/>
  <c r="K102" i="4" s="1"/>
  <c r="J100" i="4"/>
  <c r="I100" i="4"/>
  <c r="K100" i="4" s="1"/>
  <c r="J99" i="4"/>
  <c r="J87" i="4" s="1"/>
  <c r="I99" i="4"/>
  <c r="J98" i="4"/>
  <c r="I98" i="4"/>
  <c r="K98" i="4" s="1"/>
  <c r="N96" i="4"/>
  <c r="N94" i="4" s="1"/>
  <c r="M96" i="4"/>
  <c r="L96" i="4"/>
  <c r="P95" i="4"/>
  <c r="O95" i="4"/>
  <c r="N93" i="4"/>
  <c r="N91" i="4" s="1"/>
  <c r="M93" i="4"/>
  <c r="L93" i="4"/>
  <c r="L91" i="4" s="1"/>
  <c r="P92" i="4"/>
  <c r="O92" i="4"/>
  <c r="N89" i="4"/>
  <c r="M89" i="4"/>
  <c r="P89" i="4" s="1"/>
  <c r="L89" i="4"/>
  <c r="O89" i="4" s="1"/>
  <c r="J86" i="4"/>
  <c r="I84" i="4"/>
  <c r="K84" i="4" s="1"/>
  <c r="I83" i="4"/>
  <c r="K83" i="4" s="1"/>
  <c r="I82" i="4"/>
  <c r="I81" i="4"/>
  <c r="K81" i="4" s="1"/>
  <c r="I80" i="4"/>
  <c r="K80" i="4" s="1"/>
  <c r="I79" i="4"/>
  <c r="K79" i="4" s="1"/>
  <c r="I78" i="4"/>
  <c r="K78" i="4" s="1"/>
  <c r="J77" i="4"/>
  <c r="J76" i="4"/>
  <c r="N74" i="4"/>
  <c r="N72" i="4" s="1"/>
  <c r="M74" i="4"/>
  <c r="L74" i="4"/>
  <c r="O74" i="4" s="1"/>
  <c r="P73" i="4"/>
  <c r="O73" i="4"/>
  <c r="N71" i="4"/>
  <c r="N69" i="4" s="1"/>
  <c r="M71" i="4"/>
  <c r="L71" i="4"/>
  <c r="P70" i="4"/>
  <c r="O70" i="4"/>
  <c r="N67" i="4"/>
  <c r="M67" i="4"/>
  <c r="L67" i="4"/>
  <c r="O67" i="4" s="1"/>
  <c r="J65" i="4"/>
  <c r="J64" i="4"/>
  <c r="N61" i="4"/>
  <c r="M61" i="4"/>
  <c r="M59" i="4" s="1"/>
  <c r="L61" i="4"/>
  <c r="L59" i="4" s="1"/>
  <c r="P60" i="4"/>
  <c r="O60" i="4"/>
  <c r="N58" i="4"/>
  <c r="N56" i="4" s="1"/>
  <c r="M58" i="4"/>
  <c r="L58" i="4"/>
  <c r="L56" i="4" s="1"/>
  <c r="P57" i="4"/>
  <c r="O57" i="4"/>
  <c r="P54" i="4"/>
  <c r="O54" i="4"/>
  <c r="N54" i="4"/>
  <c r="M54" i="4"/>
  <c r="L54" i="4"/>
  <c r="N49" i="4"/>
  <c r="N47" i="4" s="1"/>
  <c r="M49" i="4"/>
  <c r="L49" i="4"/>
  <c r="L47" i="4" s="1"/>
  <c r="O47" i="4" s="1"/>
  <c r="P48" i="4"/>
  <c r="O48" i="4"/>
  <c r="N46" i="4"/>
  <c r="M46" i="4"/>
  <c r="L46" i="4"/>
  <c r="L44" i="4" s="1"/>
  <c r="P45" i="4"/>
  <c r="O45" i="4"/>
  <c r="N42" i="4"/>
  <c r="M42" i="4"/>
  <c r="L42" i="4"/>
  <c r="O42" i="4" s="1"/>
  <c r="P36" i="4"/>
  <c r="N36" i="4"/>
  <c r="M36" i="4"/>
  <c r="P35" i="4"/>
  <c r="O35" i="4"/>
  <c r="N35" i="4"/>
  <c r="N34" i="4" s="1"/>
  <c r="M35" i="4"/>
  <c r="L35" i="4"/>
  <c r="P34" i="4"/>
  <c r="M34" i="4"/>
  <c r="N33" i="4"/>
  <c r="N30" i="4" s="1"/>
  <c r="M33" i="4"/>
  <c r="P33" i="4" s="1"/>
  <c r="N32" i="4"/>
  <c r="N29" i="4" s="1"/>
  <c r="N28" i="4" s="1"/>
  <c r="M32" i="4"/>
  <c r="P32" i="4" s="1"/>
  <c r="L32" i="4"/>
  <c r="O32" i="4" s="1"/>
  <c r="M31" i="4"/>
  <c r="P31" i="4" s="1"/>
  <c r="N25" i="4"/>
  <c r="N15" i="4" s="1"/>
  <c r="M25" i="4"/>
  <c r="P25" i="4" s="1"/>
  <c r="L25" i="4"/>
  <c r="O25" i="4" s="1"/>
  <c r="P22" i="4"/>
  <c r="O22" i="4"/>
  <c r="N22" i="4"/>
  <c r="M22" i="4"/>
  <c r="L22" i="4"/>
  <c r="N19" i="4"/>
  <c r="M19" i="4"/>
  <c r="P19" i="4" s="1"/>
  <c r="L19" i="4"/>
  <c r="O19" i="4" s="1"/>
  <c r="N12" i="4"/>
  <c r="N9" i="4" s="1"/>
  <c r="M12" i="4"/>
  <c r="P12" i="4" s="1"/>
  <c r="L12" i="4"/>
  <c r="O12" i="4" s="1"/>
  <c r="J828" i="3"/>
  <c r="I828" i="3"/>
  <c r="J827" i="3"/>
  <c r="I827" i="3"/>
  <c r="J826" i="3"/>
  <c r="I826" i="3"/>
  <c r="K826" i="3" s="1"/>
  <c r="J825" i="3"/>
  <c r="I825" i="3"/>
  <c r="K825" i="3" s="1"/>
  <c r="J824" i="3"/>
  <c r="I824" i="3"/>
  <c r="J823" i="3"/>
  <c r="I823" i="3"/>
  <c r="J822" i="3"/>
  <c r="I822" i="3"/>
  <c r="J821" i="3"/>
  <c r="I821" i="3"/>
  <c r="P817" i="3"/>
  <c r="O817" i="3"/>
  <c r="P816" i="3"/>
  <c r="O816" i="3"/>
  <c r="P815" i="3"/>
  <c r="O815" i="3"/>
  <c r="N815" i="3"/>
  <c r="M815" i="3"/>
  <c r="L815" i="3"/>
  <c r="P810" i="3"/>
  <c r="O810" i="3"/>
  <c r="N810" i="3"/>
  <c r="P809" i="3"/>
  <c r="O809" i="3"/>
  <c r="O808" i="3"/>
  <c r="M808" i="3"/>
  <c r="P808" i="3" s="1"/>
  <c r="L808" i="3"/>
  <c r="M807" i="3"/>
  <c r="L807" i="3"/>
  <c r="O807" i="3" s="1"/>
  <c r="N806" i="3"/>
  <c r="M806" i="3"/>
  <c r="P806" i="3" s="1"/>
  <c r="L806" i="3"/>
  <c r="K804" i="3"/>
  <c r="J804" i="3"/>
  <c r="K802" i="3"/>
  <c r="J801" i="3"/>
  <c r="J800" i="3"/>
  <c r="J785" i="3" s="1"/>
  <c r="I800" i="3"/>
  <c r="P798" i="3"/>
  <c r="O798" i="3"/>
  <c r="P797" i="3"/>
  <c r="O797" i="3"/>
  <c r="P796" i="3"/>
  <c r="O796" i="3"/>
  <c r="N796" i="3"/>
  <c r="M796" i="3"/>
  <c r="L796" i="3"/>
  <c r="P791" i="3"/>
  <c r="N791" i="3"/>
  <c r="N788" i="3" s="1"/>
  <c r="L791" i="3"/>
  <c r="L788" i="3" s="1"/>
  <c r="O788" i="3" s="1"/>
  <c r="P790" i="3"/>
  <c r="O790" i="3"/>
  <c r="N789" i="3"/>
  <c r="M789" i="3"/>
  <c r="P789" i="3" s="1"/>
  <c r="M788" i="3"/>
  <c r="N787" i="3"/>
  <c r="N786" i="3" s="1"/>
  <c r="M787" i="3"/>
  <c r="P787" i="3" s="1"/>
  <c r="L787" i="3"/>
  <c r="P782" i="3"/>
  <c r="O782" i="3"/>
  <c r="P781" i="3"/>
  <c r="O781" i="3"/>
  <c r="P780" i="3"/>
  <c r="N780" i="3"/>
  <c r="M780" i="3"/>
  <c r="L780" i="3"/>
  <c r="O780" i="3" s="1"/>
  <c r="P775" i="3"/>
  <c r="O775" i="3"/>
  <c r="N775" i="3"/>
  <c r="P774" i="3"/>
  <c r="O774" i="3"/>
  <c r="P773" i="3"/>
  <c r="O773" i="3"/>
  <c r="N773" i="3"/>
  <c r="M773" i="3"/>
  <c r="L773" i="3"/>
  <c r="O772" i="3"/>
  <c r="N772" i="3"/>
  <c r="N770" i="3" s="1"/>
  <c r="M772" i="3"/>
  <c r="P772" i="3" s="1"/>
  <c r="L772" i="3"/>
  <c r="N771" i="3"/>
  <c r="M771" i="3"/>
  <c r="L771" i="3"/>
  <c r="O771" i="3" s="1"/>
  <c r="K769" i="3"/>
  <c r="J769" i="3"/>
  <c r="P766" i="3"/>
  <c r="O766" i="3"/>
  <c r="P765" i="3"/>
  <c r="O765" i="3"/>
  <c r="P764" i="3"/>
  <c r="N764" i="3"/>
  <c r="M764" i="3"/>
  <c r="L764" i="3"/>
  <c r="O764" i="3" s="1"/>
  <c r="P759" i="3"/>
  <c r="O759" i="3"/>
  <c r="N759" i="3"/>
  <c r="P758" i="3"/>
  <c r="O758" i="3"/>
  <c r="P757" i="3"/>
  <c r="O757" i="3"/>
  <c r="N757" i="3"/>
  <c r="M757" i="3"/>
  <c r="L757" i="3"/>
  <c r="O756" i="3"/>
  <c r="N756" i="3"/>
  <c r="N754" i="3" s="1"/>
  <c r="M756" i="3"/>
  <c r="P756" i="3" s="1"/>
  <c r="L756" i="3"/>
  <c r="N755" i="3"/>
  <c r="M755" i="3"/>
  <c r="L755" i="3"/>
  <c r="O755" i="3" s="1"/>
  <c r="L754" i="3"/>
  <c r="O754" i="3" s="1"/>
  <c r="K753" i="3"/>
  <c r="J753" i="3"/>
  <c r="P749" i="3"/>
  <c r="O749" i="3"/>
  <c r="P748" i="3"/>
  <c r="O748" i="3"/>
  <c r="P747" i="3"/>
  <c r="N747" i="3"/>
  <c r="M747" i="3"/>
  <c r="L747" i="3"/>
  <c r="O747" i="3" s="1"/>
  <c r="P742" i="3"/>
  <c r="O742" i="3"/>
  <c r="N742" i="3"/>
  <c r="P741" i="3"/>
  <c r="O741" i="3"/>
  <c r="P740" i="3"/>
  <c r="O740" i="3"/>
  <c r="N740" i="3"/>
  <c r="M740" i="3"/>
  <c r="L740" i="3"/>
  <c r="O739" i="3"/>
  <c r="N739" i="3"/>
  <c r="N737" i="3" s="1"/>
  <c r="M739" i="3"/>
  <c r="P739" i="3" s="1"/>
  <c r="L739" i="3"/>
  <c r="N738" i="3"/>
  <c r="M738" i="3"/>
  <c r="L738" i="3"/>
  <c r="O738" i="3" s="1"/>
  <c r="L737" i="3"/>
  <c r="O737" i="3" s="1"/>
  <c r="K736" i="3"/>
  <c r="J736" i="3"/>
  <c r="J729" i="3"/>
  <c r="I729" i="3"/>
  <c r="K729" i="3" s="1"/>
  <c r="J728" i="3"/>
  <c r="I728" i="3"/>
  <c r="K728" i="3" s="1"/>
  <c r="J727" i="3"/>
  <c r="J726" i="3"/>
  <c r="I726" i="3"/>
  <c r="K726" i="3" s="1"/>
  <c r="J725" i="3"/>
  <c r="I725" i="3"/>
  <c r="K725" i="3" s="1"/>
  <c r="J724" i="3"/>
  <c r="J723" i="3"/>
  <c r="I723" i="3"/>
  <c r="K723" i="3" s="1"/>
  <c r="I722" i="3"/>
  <c r="K722" i="3" s="1"/>
  <c r="I721" i="3"/>
  <c r="K721" i="3" s="1"/>
  <c r="J720" i="3"/>
  <c r="I720" i="3"/>
  <c r="K720" i="3" s="1"/>
  <c r="J719" i="3"/>
  <c r="J718" i="3"/>
  <c r="J708" i="3"/>
  <c r="I708" i="3"/>
  <c r="K708" i="3" s="1"/>
  <c r="I707" i="3"/>
  <c r="I704" i="3"/>
  <c r="J701" i="3"/>
  <c r="I701" i="3"/>
  <c r="K701" i="3" s="1"/>
  <c r="J700" i="3"/>
  <c r="I700" i="3"/>
  <c r="K700" i="3" s="1"/>
  <c r="J699" i="3"/>
  <c r="I699" i="3"/>
  <c r="K699" i="3" s="1"/>
  <c r="P697" i="3"/>
  <c r="O697" i="3"/>
  <c r="P696" i="3"/>
  <c r="O696" i="3"/>
  <c r="P695" i="3"/>
  <c r="N695" i="3"/>
  <c r="M695" i="3"/>
  <c r="L695" i="3"/>
  <c r="O695" i="3" s="1"/>
  <c r="P690" i="3"/>
  <c r="N690" i="3"/>
  <c r="L690" i="3"/>
  <c r="L688" i="3" s="1"/>
  <c r="O688" i="3" s="1"/>
  <c r="N688" i="3"/>
  <c r="M688" i="3"/>
  <c r="P688" i="3" s="1"/>
  <c r="N687" i="3"/>
  <c r="M687" i="3"/>
  <c r="N686" i="3"/>
  <c r="N685" i="3" s="1"/>
  <c r="M686" i="3"/>
  <c r="P686" i="3" s="1"/>
  <c r="L686" i="3"/>
  <c r="J679" i="3"/>
  <c r="J678" i="3" s="1"/>
  <c r="I678" i="3"/>
  <c r="K678" i="3" s="1"/>
  <c r="J675" i="3"/>
  <c r="J669" i="3" s="1"/>
  <c r="J654" i="3" s="1"/>
  <c r="I671" i="3"/>
  <c r="K671" i="3" s="1"/>
  <c r="I670" i="3"/>
  <c r="K670" i="3" s="1"/>
  <c r="I669" i="3"/>
  <c r="K672" i="3" s="1"/>
  <c r="P667" i="3"/>
  <c r="O667" i="3"/>
  <c r="P666" i="3"/>
  <c r="O666" i="3"/>
  <c r="N665" i="3"/>
  <c r="M665" i="3"/>
  <c r="P665" i="3" s="1"/>
  <c r="L665" i="3"/>
  <c r="O665" i="3" s="1"/>
  <c r="P660" i="3"/>
  <c r="N660" i="3"/>
  <c r="N657" i="3" s="1"/>
  <c r="L660" i="3"/>
  <c r="O660" i="3" s="1"/>
  <c r="P659" i="3"/>
  <c r="O659" i="3"/>
  <c r="P658" i="3"/>
  <c r="N658" i="3"/>
  <c r="M658" i="3"/>
  <c r="P657" i="3"/>
  <c r="M657" i="3"/>
  <c r="P656" i="3"/>
  <c r="O656" i="3"/>
  <c r="N656" i="3"/>
  <c r="N655" i="3" s="1"/>
  <c r="M656" i="3"/>
  <c r="L656" i="3"/>
  <c r="M655" i="3"/>
  <c r="P655" i="3" s="1"/>
  <c r="K652" i="3"/>
  <c r="J652" i="3"/>
  <c r="J651" i="3"/>
  <c r="J628" i="3" s="1"/>
  <c r="I651" i="3"/>
  <c r="K650" i="3"/>
  <c r="J650" i="3"/>
  <c r="J649" i="3"/>
  <c r="I649" i="3"/>
  <c r="K648" i="3"/>
  <c r="J648" i="3"/>
  <c r="J647" i="3"/>
  <c r="I647" i="3"/>
  <c r="K646" i="3"/>
  <c r="J646" i="3"/>
  <c r="K645" i="3"/>
  <c r="J645" i="3"/>
  <c r="I644" i="3"/>
  <c r="K644" i="3" s="1"/>
  <c r="I643" i="3"/>
  <c r="K643" i="3" s="1"/>
  <c r="P641" i="3"/>
  <c r="L641" i="3"/>
  <c r="L639" i="3" s="1"/>
  <c r="O639" i="3" s="1"/>
  <c r="P640" i="3"/>
  <c r="O640" i="3"/>
  <c r="N639" i="3"/>
  <c r="M639" i="3"/>
  <c r="P639" i="3" s="1"/>
  <c r="P634" i="3"/>
  <c r="N634" i="3"/>
  <c r="L634" i="3"/>
  <c r="O634" i="3" s="1"/>
  <c r="P633" i="3"/>
  <c r="O633" i="3"/>
  <c r="N632" i="3"/>
  <c r="M632" i="3"/>
  <c r="P632" i="3" s="1"/>
  <c r="N631" i="3"/>
  <c r="M631" i="3"/>
  <c r="P631" i="3" s="1"/>
  <c r="P630" i="3"/>
  <c r="N630" i="3"/>
  <c r="N629" i="3" s="1"/>
  <c r="M630" i="3"/>
  <c r="M629" i="3" s="1"/>
  <c r="L630" i="3"/>
  <c r="O630" i="3" s="1"/>
  <c r="P629" i="3"/>
  <c r="J621" i="3"/>
  <c r="I621" i="3"/>
  <c r="K621" i="3" s="1"/>
  <c r="J620" i="3"/>
  <c r="I620" i="3"/>
  <c r="K620" i="3" s="1"/>
  <c r="K613" i="3"/>
  <c r="J613" i="3"/>
  <c r="K612" i="3"/>
  <c r="J612" i="3"/>
  <c r="K611" i="3"/>
  <c r="J611" i="3"/>
  <c r="J604" i="3"/>
  <c r="J603" i="3"/>
  <c r="J596" i="3"/>
  <c r="J595" i="3"/>
  <c r="J594" i="3"/>
  <c r="I594" i="3"/>
  <c r="J593" i="3"/>
  <c r="I593" i="3"/>
  <c r="I592" i="3" s="1"/>
  <c r="J592" i="3"/>
  <c r="J583" i="3"/>
  <c r="J582" i="3"/>
  <c r="J576" i="3" s="1"/>
  <c r="J577" i="3"/>
  <c r="I577" i="3"/>
  <c r="K577" i="3" s="1"/>
  <c r="I576" i="3"/>
  <c r="I559" i="3" s="1"/>
  <c r="J569" i="3"/>
  <c r="I569" i="3"/>
  <c r="J568" i="3"/>
  <c r="I568" i="3"/>
  <c r="K568" i="3" s="1"/>
  <c r="J561" i="3"/>
  <c r="I561" i="3"/>
  <c r="J560" i="3"/>
  <c r="I560" i="3"/>
  <c r="K560" i="3" s="1"/>
  <c r="J559" i="3"/>
  <c r="J543" i="3" s="1"/>
  <c r="P557" i="3"/>
  <c r="L557" i="3"/>
  <c r="O557" i="3" s="1"/>
  <c r="P556" i="3"/>
  <c r="O556" i="3"/>
  <c r="P555" i="3"/>
  <c r="N555" i="3"/>
  <c r="M555" i="3"/>
  <c r="P549" i="3"/>
  <c r="N549" i="3"/>
  <c r="L549" i="3"/>
  <c r="O549" i="3" s="1"/>
  <c r="P548" i="3"/>
  <c r="O548" i="3"/>
  <c r="P547" i="3"/>
  <c r="N547" i="3"/>
  <c r="M547" i="3"/>
  <c r="P546" i="3"/>
  <c r="N546" i="3"/>
  <c r="M546" i="3"/>
  <c r="O545" i="3"/>
  <c r="N545" i="3"/>
  <c r="M545" i="3"/>
  <c r="P545" i="3" s="1"/>
  <c r="L545" i="3"/>
  <c r="M544" i="3"/>
  <c r="P544" i="3" s="1"/>
  <c r="I542" i="3"/>
  <c r="K542" i="3" s="1"/>
  <c r="I541" i="3"/>
  <c r="K541" i="3" s="1"/>
  <c r="I540" i="3"/>
  <c r="K540" i="3" s="1"/>
  <c r="I539" i="3"/>
  <c r="I538" i="3"/>
  <c r="K538" i="3" s="1"/>
  <c r="I537" i="3"/>
  <c r="I522" i="3" s="1"/>
  <c r="K522" i="3" s="1"/>
  <c r="P535" i="3"/>
  <c r="L535" i="3"/>
  <c r="L533" i="3" s="1"/>
  <c r="O533" i="3" s="1"/>
  <c r="P534" i="3"/>
  <c r="O534" i="3"/>
  <c r="P533" i="3"/>
  <c r="N533" i="3"/>
  <c r="M533" i="3"/>
  <c r="P528" i="3"/>
  <c r="N528" i="3"/>
  <c r="N525" i="3" s="1"/>
  <c r="L528" i="3"/>
  <c r="P527" i="3"/>
  <c r="O527" i="3"/>
  <c r="P526" i="3"/>
  <c r="N526" i="3"/>
  <c r="M526" i="3"/>
  <c r="M525" i="3"/>
  <c r="P525" i="3" s="1"/>
  <c r="N524" i="3"/>
  <c r="N523" i="3" s="1"/>
  <c r="M524" i="3"/>
  <c r="P524" i="3" s="1"/>
  <c r="L524" i="3"/>
  <c r="P523" i="3"/>
  <c r="M523" i="3"/>
  <c r="K517" i="3"/>
  <c r="J517" i="3"/>
  <c r="J501" i="3" s="1"/>
  <c r="K516" i="3"/>
  <c r="P514" i="3"/>
  <c r="O514" i="3"/>
  <c r="P513" i="3"/>
  <c r="O513" i="3"/>
  <c r="O512" i="3"/>
  <c r="N512" i="3"/>
  <c r="M512" i="3"/>
  <c r="P512" i="3" s="1"/>
  <c r="L512" i="3"/>
  <c r="P507" i="3"/>
  <c r="O507" i="3"/>
  <c r="N507" i="3"/>
  <c r="P506" i="3"/>
  <c r="O506" i="3"/>
  <c r="N505" i="3"/>
  <c r="M505" i="3"/>
  <c r="P505" i="3" s="1"/>
  <c r="L505" i="3"/>
  <c r="O505" i="3" s="1"/>
  <c r="N504" i="3"/>
  <c r="M504" i="3"/>
  <c r="P504" i="3" s="1"/>
  <c r="L504" i="3"/>
  <c r="O504" i="3" s="1"/>
  <c r="P503" i="3"/>
  <c r="N503" i="3"/>
  <c r="M503" i="3"/>
  <c r="L503" i="3"/>
  <c r="N502" i="3"/>
  <c r="K501" i="3"/>
  <c r="K500" i="3"/>
  <c r="J500" i="3"/>
  <c r="I498" i="3"/>
  <c r="K498" i="3" s="1"/>
  <c r="I495" i="3"/>
  <c r="K495" i="3" s="1"/>
  <c r="I492" i="3"/>
  <c r="K492" i="3" s="1"/>
  <c r="I489" i="3"/>
  <c r="K489" i="3" s="1"/>
  <c r="I487" i="3"/>
  <c r="K487" i="3" s="1"/>
  <c r="I485" i="3"/>
  <c r="K485" i="3" s="1"/>
  <c r="I483" i="3"/>
  <c r="K483" i="3" s="1"/>
  <c r="P479" i="3"/>
  <c r="L479" i="3"/>
  <c r="P478" i="3"/>
  <c r="O478" i="3"/>
  <c r="N477" i="3"/>
  <c r="M477" i="3"/>
  <c r="P477" i="3" s="1"/>
  <c r="P472" i="3"/>
  <c r="N472" i="3"/>
  <c r="L472" i="3"/>
  <c r="L470" i="3" s="1"/>
  <c r="P471" i="3"/>
  <c r="O471" i="3"/>
  <c r="M470" i="3"/>
  <c r="P470" i="3" s="1"/>
  <c r="P469" i="3"/>
  <c r="M469" i="3"/>
  <c r="O468" i="3"/>
  <c r="N468" i="3"/>
  <c r="M468" i="3"/>
  <c r="L468" i="3"/>
  <c r="J466" i="3"/>
  <c r="I466" i="3"/>
  <c r="K466" i="3" s="1"/>
  <c r="J465" i="3"/>
  <c r="I465" i="3"/>
  <c r="K465" i="3" s="1"/>
  <c r="I464" i="3"/>
  <c r="I463" i="3"/>
  <c r="I462" i="3"/>
  <c r="K462" i="3" s="1"/>
  <c r="I460" i="3"/>
  <c r="K460" i="3" s="1"/>
  <c r="K458" i="3"/>
  <c r="P456" i="3"/>
  <c r="L456" i="3"/>
  <c r="L454" i="3" s="1"/>
  <c r="O454" i="3" s="1"/>
  <c r="P455" i="3"/>
  <c r="O455" i="3"/>
  <c r="P454" i="3"/>
  <c r="N454" i="3"/>
  <c r="M454" i="3"/>
  <c r="P449" i="3"/>
  <c r="N449" i="3"/>
  <c r="L449" i="3"/>
  <c r="L447" i="3" s="1"/>
  <c r="O447" i="3" s="1"/>
  <c r="P448" i="3"/>
  <c r="O448" i="3"/>
  <c r="N447" i="3"/>
  <c r="M447" i="3"/>
  <c r="P447" i="3" s="1"/>
  <c r="N446" i="3"/>
  <c r="M446" i="3"/>
  <c r="P446" i="3" s="1"/>
  <c r="N445" i="3"/>
  <c r="N444" i="3" s="1"/>
  <c r="M445" i="3"/>
  <c r="L445" i="3"/>
  <c r="O445" i="3" s="1"/>
  <c r="J443" i="3"/>
  <c r="J442" i="3"/>
  <c r="I441" i="3"/>
  <c r="K441" i="3" s="1"/>
  <c r="I440" i="3"/>
  <c r="K440" i="3" s="1"/>
  <c r="I439" i="3"/>
  <c r="K439" i="3" s="1"/>
  <c r="I438" i="3"/>
  <c r="K438" i="3" s="1"/>
  <c r="I437" i="3"/>
  <c r="K437" i="3" s="1"/>
  <c r="I435" i="3"/>
  <c r="K435" i="3" s="1"/>
  <c r="J434" i="3"/>
  <c r="P431" i="3"/>
  <c r="L431" i="3"/>
  <c r="L429" i="3" s="1"/>
  <c r="O429" i="3" s="1"/>
  <c r="P430" i="3"/>
  <c r="O430" i="3"/>
  <c r="P429" i="3"/>
  <c r="N429" i="3"/>
  <c r="M429" i="3"/>
  <c r="P424" i="3"/>
  <c r="N424" i="3"/>
  <c r="L424" i="3"/>
  <c r="P423" i="3"/>
  <c r="O423" i="3"/>
  <c r="N422" i="3"/>
  <c r="M422" i="3"/>
  <c r="P422" i="3" s="1"/>
  <c r="N421" i="3"/>
  <c r="M421" i="3"/>
  <c r="P421" i="3" s="1"/>
  <c r="P420" i="3"/>
  <c r="N420" i="3"/>
  <c r="N419" i="3" s="1"/>
  <c r="M420" i="3"/>
  <c r="L420" i="3"/>
  <c r="O420" i="3" s="1"/>
  <c r="M419" i="3"/>
  <c r="J418" i="3"/>
  <c r="K413" i="3"/>
  <c r="K412" i="3"/>
  <c r="N410" i="3"/>
  <c r="N408" i="3" s="1"/>
  <c r="M410" i="3"/>
  <c r="P410" i="3" s="1"/>
  <c r="L410" i="3"/>
  <c r="L408" i="3" s="1"/>
  <c r="O408" i="3" s="1"/>
  <c r="P409" i="3"/>
  <c r="O409" i="3"/>
  <c r="N407" i="3"/>
  <c r="N405" i="3" s="1"/>
  <c r="M407" i="3"/>
  <c r="M405" i="3" s="1"/>
  <c r="P405" i="3" s="1"/>
  <c r="L407" i="3"/>
  <c r="O407" i="3" s="1"/>
  <c r="P406" i="3"/>
  <c r="O406" i="3"/>
  <c r="P403" i="3"/>
  <c r="O403" i="3"/>
  <c r="N403" i="3"/>
  <c r="M403" i="3"/>
  <c r="L403" i="3"/>
  <c r="K401" i="3"/>
  <c r="J401" i="3"/>
  <c r="I401" i="3"/>
  <c r="K400" i="3"/>
  <c r="K399" i="3"/>
  <c r="N397" i="3"/>
  <c r="N395" i="3" s="1"/>
  <c r="M397" i="3"/>
  <c r="P397" i="3" s="1"/>
  <c r="L397" i="3"/>
  <c r="L395" i="3" s="1"/>
  <c r="O395" i="3" s="1"/>
  <c r="P396" i="3"/>
  <c r="O396" i="3"/>
  <c r="N394" i="3"/>
  <c r="N392" i="3" s="1"/>
  <c r="M394" i="3"/>
  <c r="L394" i="3"/>
  <c r="P393" i="3"/>
  <c r="O393" i="3"/>
  <c r="P390" i="3"/>
  <c r="N390" i="3"/>
  <c r="M390" i="3"/>
  <c r="L390" i="3"/>
  <c r="J388" i="3"/>
  <c r="I388" i="3"/>
  <c r="K388" i="3" s="1"/>
  <c r="J385" i="3"/>
  <c r="I385" i="3"/>
  <c r="K382" i="3"/>
  <c r="J382" i="3"/>
  <c r="J381" i="3"/>
  <c r="I381" i="3"/>
  <c r="K380" i="3"/>
  <c r="J380" i="3"/>
  <c r="J379" i="3"/>
  <c r="I379" i="3"/>
  <c r="J378" i="3"/>
  <c r="I378" i="3"/>
  <c r="K377" i="3"/>
  <c r="J377" i="3"/>
  <c r="I374" i="3"/>
  <c r="K373" i="3"/>
  <c r="J373" i="3"/>
  <c r="J372" i="3"/>
  <c r="J365" i="3" s="1"/>
  <c r="I372" i="3"/>
  <c r="K371" i="3"/>
  <c r="J371" i="3"/>
  <c r="J370" i="3"/>
  <c r="I370" i="3"/>
  <c r="J369" i="3"/>
  <c r="I369" i="3"/>
  <c r="K368" i="3"/>
  <c r="J368" i="3"/>
  <c r="I365" i="3"/>
  <c r="K363" i="3"/>
  <c r="J363" i="3"/>
  <c r="J362" i="3"/>
  <c r="J355" i="3" s="1"/>
  <c r="I362" i="3"/>
  <c r="K361" i="3"/>
  <c r="J361" i="3"/>
  <c r="J360" i="3"/>
  <c r="I360" i="3"/>
  <c r="J359" i="3"/>
  <c r="I359" i="3"/>
  <c r="K358" i="3"/>
  <c r="J358" i="3"/>
  <c r="I355" i="3"/>
  <c r="N353" i="3"/>
  <c r="M353" i="3"/>
  <c r="M351" i="3" s="1"/>
  <c r="L353" i="3"/>
  <c r="P352" i="3"/>
  <c r="O352" i="3"/>
  <c r="N350" i="3"/>
  <c r="N348" i="3" s="1"/>
  <c r="M350" i="3"/>
  <c r="L350" i="3"/>
  <c r="P349" i="3"/>
  <c r="O349" i="3"/>
  <c r="P346" i="3"/>
  <c r="N346" i="3"/>
  <c r="M346" i="3"/>
  <c r="L346" i="3"/>
  <c r="O346" i="3" s="1"/>
  <c r="J343" i="3"/>
  <c r="J342" i="3"/>
  <c r="J341" i="3"/>
  <c r="J340" i="3"/>
  <c r="I340" i="3"/>
  <c r="J338" i="3"/>
  <c r="I338" i="3"/>
  <c r="N336" i="3"/>
  <c r="N334" i="3" s="1"/>
  <c r="M336" i="3"/>
  <c r="L336" i="3"/>
  <c r="O336" i="3" s="1"/>
  <c r="P335" i="3"/>
  <c r="O335" i="3"/>
  <c r="N333" i="3"/>
  <c r="N331" i="3" s="1"/>
  <c r="M333" i="3"/>
  <c r="L333" i="3"/>
  <c r="P332" i="3"/>
  <c r="O332" i="3"/>
  <c r="N329" i="3"/>
  <c r="M329" i="3"/>
  <c r="P329" i="3" s="1"/>
  <c r="L329" i="3"/>
  <c r="I327" i="3"/>
  <c r="I325" i="3"/>
  <c r="K325" i="3" s="1"/>
  <c r="N323" i="3"/>
  <c r="M323" i="3"/>
  <c r="M321" i="3" s="1"/>
  <c r="P321" i="3" s="1"/>
  <c r="L323" i="3"/>
  <c r="O323" i="3" s="1"/>
  <c r="P322" i="3"/>
  <c r="O322" i="3"/>
  <c r="N320" i="3"/>
  <c r="N318" i="3" s="1"/>
  <c r="M320" i="3"/>
  <c r="M318" i="3" s="1"/>
  <c r="P318" i="3" s="1"/>
  <c r="L320" i="3"/>
  <c r="O320" i="3" s="1"/>
  <c r="P319" i="3"/>
  <c r="O319" i="3"/>
  <c r="P316" i="3"/>
  <c r="O316" i="3"/>
  <c r="N316" i="3"/>
  <c r="M316" i="3"/>
  <c r="L316" i="3"/>
  <c r="J314" i="3"/>
  <c r="I312" i="3"/>
  <c r="K312" i="3" s="1"/>
  <c r="I311" i="3"/>
  <c r="K311" i="3" s="1"/>
  <c r="I310" i="3"/>
  <c r="K310" i="3" s="1"/>
  <c r="I309" i="3"/>
  <c r="I297" i="3" s="1"/>
  <c r="N306" i="3"/>
  <c r="N304" i="3" s="1"/>
  <c r="M306" i="3"/>
  <c r="L306" i="3"/>
  <c r="O306" i="3" s="1"/>
  <c r="P305" i="3"/>
  <c r="O305" i="3"/>
  <c r="N303" i="3"/>
  <c r="M303" i="3"/>
  <c r="M301" i="3" s="1"/>
  <c r="L303" i="3"/>
  <c r="L301" i="3" s="1"/>
  <c r="P302" i="3"/>
  <c r="O302" i="3"/>
  <c r="P299" i="3"/>
  <c r="N299" i="3"/>
  <c r="M299" i="3"/>
  <c r="L299" i="3"/>
  <c r="J297" i="3"/>
  <c r="I294" i="3"/>
  <c r="K294" i="3" s="1"/>
  <c r="I293" i="3"/>
  <c r="K293" i="3" s="1"/>
  <c r="I291" i="3"/>
  <c r="K291" i="3" s="1"/>
  <c r="I290" i="3"/>
  <c r="K290" i="3" s="1"/>
  <c r="I288" i="3"/>
  <c r="J288" i="3" s="1"/>
  <c r="J275" i="3" s="1"/>
  <c r="I287" i="3"/>
  <c r="I276" i="3" s="1"/>
  <c r="N285" i="3"/>
  <c r="N283" i="3" s="1"/>
  <c r="M285" i="3"/>
  <c r="P285" i="3" s="1"/>
  <c r="L285" i="3"/>
  <c r="P284" i="3"/>
  <c r="O284" i="3"/>
  <c r="N282" i="3"/>
  <c r="N280" i="3" s="1"/>
  <c r="M282" i="3"/>
  <c r="L282" i="3"/>
  <c r="P281" i="3"/>
  <c r="O281" i="3"/>
  <c r="N278" i="3"/>
  <c r="M278" i="3"/>
  <c r="L278" i="3"/>
  <c r="O278" i="3" s="1"/>
  <c r="J276" i="3"/>
  <c r="I271" i="3"/>
  <c r="K271" i="3" s="1"/>
  <c r="N269" i="3"/>
  <c r="N267" i="3" s="1"/>
  <c r="M269" i="3"/>
  <c r="P269" i="3" s="1"/>
  <c r="L269" i="3"/>
  <c r="O269" i="3" s="1"/>
  <c r="P268" i="3"/>
  <c r="O268" i="3"/>
  <c r="N266" i="3"/>
  <c r="M266" i="3"/>
  <c r="M264" i="3" s="1"/>
  <c r="L266" i="3"/>
  <c r="L264" i="3" s="1"/>
  <c r="P265" i="3"/>
  <c r="O265" i="3"/>
  <c r="P262" i="3"/>
  <c r="N262" i="3"/>
  <c r="M262" i="3"/>
  <c r="L262" i="3"/>
  <c r="J260" i="3"/>
  <c r="K258" i="3"/>
  <c r="K257" i="3"/>
  <c r="I255" i="3"/>
  <c r="L253" i="3"/>
  <c r="L252" i="3"/>
  <c r="L251" i="3"/>
  <c r="L250" i="3"/>
  <c r="P249" i="3"/>
  <c r="N249" i="3"/>
  <c r="J248" i="3"/>
  <c r="K247" i="3"/>
  <c r="K246" i="3"/>
  <c r="I244" i="3"/>
  <c r="I237" i="3" s="1"/>
  <c r="K237" i="3" s="1"/>
  <c r="L242" i="3"/>
  <c r="L241" i="3"/>
  <c r="L240" i="3"/>
  <c r="L239" i="3"/>
  <c r="P238" i="3"/>
  <c r="N238" i="3"/>
  <c r="N227" i="3" s="1"/>
  <c r="J237" i="3"/>
  <c r="J226" i="3" s="1"/>
  <c r="J180" i="3" s="1"/>
  <c r="K236" i="3"/>
  <c r="J236" i="3"/>
  <c r="I236" i="3"/>
  <c r="K235" i="3"/>
  <c r="J235" i="3"/>
  <c r="I235" i="3"/>
  <c r="J233" i="3"/>
  <c r="N231" i="3"/>
  <c r="N230" i="3"/>
  <c r="N229" i="3"/>
  <c r="N228" i="3"/>
  <c r="I225" i="3"/>
  <c r="K225" i="3" s="1"/>
  <c r="I224" i="3"/>
  <c r="K224" i="3" s="1"/>
  <c r="I223" i="3"/>
  <c r="K223" i="3" s="1"/>
  <c r="L220" i="3"/>
  <c r="L219" i="3"/>
  <c r="L218" i="3"/>
  <c r="P217" i="3"/>
  <c r="N217" i="3"/>
  <c r="J216" i="3"/>
  <c r="I215" i="3"/>
  <c r="K215" i="3" s="1"/>
  <c r="I214" i="3"/>
  <c r="K214" i="3" s="1"/>
  <c r="L212" i="3"/>
  <c r="L211" i="3"/>
  <c r="L210" i="3"/>
  <c r="P209" i="3"/>
  <c r="N209" i="3"/>
  <c r="J208" i="3"/>
  <c r="K207" i="3"/>
  <c r="K206" i="3"/>
  <c r="I204" i="3"/>
  <c r="L202" i="3"/>
  <c r="L201" i="3"/>
  <c r="L200" i="3"/>
  <c r="L199" i="3"/>
  <c r="P198" i="3"/>
  <c r="N198" i="3"/>
  <c r="J197" i="3"/>
  <c r="J194" i="3"/>
  <c r="I193" i="3"/>
  <c r="K193" i="3" s="1"/>
  <c r="P191" i="3"/>
  <c r="L191" i="3"/>
  <c r="O191" i="3" s="1"/>
  <c r="J190" i="3"/>
  <c r="N189" i="3"/>
  <c r="N187" i="3" s="1"/>
  <c r="M189" i="3"/>
  <c r="M187" i="3" s="1"/>
  <c r="P187" i="3" s="1"/>
  <c r="L189" i="3"/>
  <c r="O189" i="3" s="1"/>
  <c r="P188" i="3"/>
  <c r="O188" i="3"/>
  <c r="N186" i="3"/>
  <c r="M186" i="3"/>
  <c r="M184" i="3" s="1"/>
  <c r="L186" i="3"/>
  <c r="P185" i="3"/>
  <c r="O185" i="3"/>
  <c r="P182" i="3"/>
  <c r="N182" i="3"/>
  <c r="M182" i="3"/>
  <c r="L182" i="3"/>
  <c r="K180" i="3"/>
  <c r="J177" i="3"/>
  <c r="I176" i="3"/>
  <c r="I174" i="3" s="1"/>
  <c r="J174" i="3"/>
  <c r="N173" i="3"/>
  <c r="N171" i="3" s="1"/>
  <c r="M173" i="3"/>
  <c r="P173" i="3" s="1"/>
  <c r="L173" i="3"/>
  <c r="P172" i="3"/>
  <c r="O172" i="3"/>
  <c r="N170" i="3"/>
  <c r="N168" i="3" s="1"/>
  <c r="M170" i="3"/>
  <c r="M168" i="3" s="1"/>
  <c r="L170" i="3"/>
  <c r="L168" i="3" s="1"/>
  <c r="P169" i="3"/>
  <c r="O169" i="3"/>
  <c r="O166" i="3"/>
  <c r="N166" i="3"/>
  <c r="M166" i="3"/>
  <c r="L166" i="3"/>
  <c r="J164" i="3"/>
  <c r="I159" i="3"/>
  <c r="I148" i="3" s="1"/>
  <c r="K148" i="3" s="1"/>
  <c r="N157" i="3"/>
  <c r="M157" i="3"/>
  <c r="P157" i="3" s="1"/>
  <c r="L157" i="3"/>
  <c r="O157" i="3" s="1"/>
  <c r="P156" i="3"/>
  <c r="O156" i="3"/>
  <c r="N154" i="3"/>
  <c r="N152" i="3" s="1"/>
  <c r="M154" i="3"/>
  <c r="M152" i="3" s="1"/>
  <c r="L154" i="3"/>
  <c r="P153" i="3"/>
  <c r="O153" i="3"/>
  <c r="P150" i="3"/>
  <c r="O150" i="3"/>
  <c r="N150" i="3"/>
  <c r="M150" i="3"/>
  <c r="L150" i="3"/>
  <c r="J148" i="3"/>
  <c r="I146" i="3"/>
  <c r="I130" i="3" s="1"/>
  <c r="K130" i="3" s="1"/>
  <c r="I145" i="3"/>
  <c r="K145" i="3" s="1"/>
  <c r="I144" i="3"/>
  <c r="N140" i="3"/>
  <c r="N138" i="3" s="1"/>
  <c r="M140" i="3"/>
  <c r="M138" i="3" s="1"/>
  <c r="L140" i="3"/>
  <c r="P139" i="3"/>
  <c r="O139" i="3"/>
  <c r="N137" i="3"/>
  <c r="M137" i="3"/>
  <c r="M135" i="3" s="1"/>
  <c r="L137" i="3"/>
  <c r="P136" i="3"/>
  <c r="O136" i="3"/>
  <c r="P133" i="3"/>
  <c r="O133" i="3"/>
  <c r="N133" i="3"/>
  <c r="M133" i="3"/>
  <c r="L133" i="3"/>
  <c r="J130" i="3"/>
  <c r="N127" i="3"/>
  <c r="N125" i="3" s="1"/>
  <c r="M127" i="3"/>
  <c r="L127" i="3"/>
  <c r="L125" i="3" s="1"/>
  <c r="O125" i="3" s="1"/>
  <c r="P126" i="3"/>
  <c r="O126" i="3"/>
  <c r="N124" i="3"/>
  <c r="N122" i="3" s="1"/>
  <c r="M124" i="3"/>
  <c r="L124" i="3"/>
  <c r="L122" i="3" s="1"/>
  <c r="O122" i="3" s="1"/>
  <c r="P123" i="3"/>
  <c r="O123" i="3"/>
  <c r="N120" i="3"/>
  <c r="M120" i="3"/>
  <c r="L120" i="3"/>
  <c r="O120" i="3" s="1"/>
  <c r="I116" i="3"/>
  <c r="K116" i="3" s="1"/>
  <c r="I115" i="3"/>
  <c r="K115" i="3" s="1"/>
  <c r="I114" i="3"/>
  <c r="K114" i="3" s="1"/>
  <c r="I113" i="3"/>
  <c r="K113" i="3" s="1"/>
  <c r="J112" i="3"/>
  <c r="J111" i="3"/>
  <c r="I111" i="3"/>
  <c r="K111" i="3" s="1"/>
  <c r="I110" i="3"/>
  <c r="K110" i="3" s="1"/>
  <c r="I109" i="3"/>
  <c r="K109" i="3" s="1"/>
  <c r="I107" i="3"/>
  <c r="K107" i="3" s="1"/>
  <c r="I106" i="3"/>
  <c r="K106" i="3" s="1"/>
  <c r="I104" i="3"/>
  <c r="K104" i="3" s="1"/>
  <c r="I103" i="3"/>
  <c r="K103" i="3" s="1"/>
  <c r="I102" i="3"/>
  <c r="K102" i="3" s="1"/>
  <c r="J100" i="3"/>
  <c r="I100" i="3"/>
  <c r="K100" i="3" s="1"/>
  <c r="J99" i="3"/>
  <c r="I99" i="3"/>
  <c r="K99" i="3" s="1"/>
  <c r="J98" i="3"/>
  <c r="J86" i="3" s="1"/>
  <c r="I98" i="3"/>
  <c r="N96" i="3"/>
  <c r="N94" i="3" s="1"/>
  <c r="M96" i="3"/>
  <c r="P96" i="3" s="1"/>
  <c r="L96" i="3"/>
  <c r="O96" i="3" s="1"/>
  <c r="P95" i="3"/>
  <c r="O95" i="3"/>
  <c r="N93" i="3"/>
  <c r="N91" i="3" s="1"/>
  <c r="M93" i="3"/>
  <c r="L93" i="3"/>
  <c r="P92" i="3"/>
  <c r="O92" i="3"/>
  <c r="P89" i="3"/>
  <c r="O89" i="3"/>
  <c r="N89" i="3"/>
  <c r="M89" i="3"/>
  <c r="L89" i="3"/>
  <c r="J87" i="3"/>
  <c r="I84" i="3"/>
  <c r="K84" i="3" s="1"/>
  <c r="I83" i="3"/>
  <c r="K83" i="3" s="1"/>
  <c r="I82" i="3"/>
  <c r="K82" i="3" s="1"/>
  <c r="I81" i="3"/>
  <c r="I80" i="3"/>
  <c r="K80" i="3" s="1"/>
  <c r="I79" i="3"/>
  <c r="K79" i="3" s="1"/>
  <c r="I78" i="3"/>
  <c r="K78" i="3" s="1"/>
  <c r="J77" i="3"/>
  <c r="J65" i="3" s="1"/>
  <c r="J76" i="3"/>
  <c r="N74" i="3"/>
  <c r="N72" i="3" s="1"/>
  <c r="M74" i="3"/>
  <c r="P74" i="3" s="1"/>
  <c r="L74" i="3"/>
  <c r="P73" i="3"/>
  <c r="O73" i="3"/>
  <c r="N71" i="3"/>
  <c r="N69" i="3" s="1"/>
  <c r="M71" i="3"/>
  <c r="L71" i="3"/>
  <c r="L69" i="3" s="1"/>
  <c r="P70" i="3"/>
  <c r="O70" i="3"/>
  <c r="O67" i="3"/>
  <c r="N67" i="3"/>
  <c r="M67" i="3"/>
  <c r="P67" i="3" s="1"/>
  <c r="L67" i="3"/>
  <c r="J64" i="3"/>
  <c r="N61" i="3"/>
  <c r="N59" i="3" s="1"/>
  <c r="M61" i="3"/>
  <c r="L61" i="3"/>
  <c r="L59" i="3" s="1"/>
  <c r="P60" i="3"/>
  <c r="O60" i="3"/>
  <c r="N58" i="3"/>
  <c r="N56" i="3" s="1"/>
  <c r="M58" i="3"/>
  <c r="L58" i="3"/>
  <c r="P57" i="3"/>
  <c r="O57" i="3"/>
  <c r="P54" i="3"/>
  <c r="N54" i="3"/>
  <c r="M54" i="3"/>
  <c r="L54" i="3"/>
  <c r="O54" i="3" s="1"/>
  <c r="N49" i="3"/>
  <c r="N47" i="3" s="1"/>
  <c r="M49" i="3"/>
  <c r="L49" i="3"/>
  <c r="O49" i="3" s="1"/>
  <c r="P48" i="3"/>
  <c r="O48" i="3"/>
  <c r="N46" i="3"/>
  <c r="M46" i="3"/>
  <c r="M44" i="3" s="1"/>
  <c r="L46" i="3"/>
  <c r="L44" i="3" s="1"/>
  <c r="P45" i="3"/>
  <c r="O45" i="3"/>
  <c r="P42" i="3"/>
  <c r="O42" i="3"/>
  <c r="N42" i="3"/>
  <c r="M42" i="3"/>
  <c r="L42" i="3"/>
  <c r="P36" i="3"/>
  <c r="N36" i="3"/>
  <c r="M36" i="3"/>
  <c r="P35" i="3"/>
  <c r="O35" i="3"/>
  <c r="N35" i="3"/>
  <c r="M35" i="3"/>
  <c r="L35" i="3"/>
  <c r="N34" i="3"/>
  <c r="P33" i="3"/>
  <c r="N33" i="3"/>
  <c r="N30" i="3" s="1"/>
  <c r="M33" i="3"/>
  <c r="N32" i="3"/>
  <c r="N29" i="3" s="1"/>
  <c r="N28" i="3" s="1"/>
  <c r="M32" i="3"/>
  <c r="L32" i="3"/>
  <c r="O32" i="3" s="1"/>
  <c r="M30" i="3"/>
  <c r="P30" i="3" s="1"/>
  <c r="O25" i="3"/>
  <c r="N25" i="3"/>
  <c r="N15" i="3" s="1"/>
  <c r="M25" i="3"/>
  <c r="L25" i="3"/>
  <c r="L15" i="3" s="1"/>
  <c r="P22" i="3"/>
  <c r="O22" i="3"/>
  <c r="N22" i="3"/>
  <c r="M22" i="3"/>
  <c r="L22" i="3"/>
  <c r="L12" i="3" s="1"/>
  <c r="N19" i="3"/>
  <c r="M19" i="3"/>
  <c r="P19" i="3" s="1"/>
  <c r="J828" i="2"/>
  <c r="I828" i="2"/>
  <c r="J827" i="2"/>
  <c r="I827" i="2"/>
  <c r="J826" i="2"/>
  <c r="I826" i="2"/>
  <c r="J825" i="2"/>
  <c r="I825" i="2"/>
  <c r="J824" i="2"/>
  <c r="I824" i="2"/>
  <c r="J823" i="2"/>
  <c r="I823" i="2"/>
  <c r="J822" i="2"/>
  <c r="I822" i="2"/>
  <c r="J821" i="2"/>
  <c r="I821" i="2"/>
  <c r="P817" i="2"/>
  <c r="O817" i="2"/>
  <c r="P816" i="2"/>
  <c r="O816" i="2"/>
  <c r="O815" i="2"/>
  <c r="N815" i="2"/>
  <c r="M815" i="2"/>
  <c r="P815" i="2" s="1"/>
  <c r="L815" i="2"/>
  <c r="P810" i="2"/>
  <c r="O810" i="2"/>
  <c r="N810" i="2"/>
  <c r="P809" i="2"/>
  <c r="O809" i="2"/>
  <c r="O808" i="2"/>
  <c r="M808" i="2"/>
  <c r="P808" i="2" s="1"/>
  <c r="L808" i="2"/>
  <c r="P807" i="2"/>
  <c r="M807" i="2"/>
  <c r="L807" i="2"/>
  <c r="O806" i="2"/>
  <c r="N806" i="2"/>
  <c r="M806" i="2"/>
  <c r="P806" i="2" s="1"/>
  <c r="L806" i="2"/>
  <c r="P805" i="2"/>
  <c r="M805" i="2"/>
  <c r="K804" i="2"/>
  <c r="J804" i="2"/>
  <c r="K802" i="2"/>
  <c r="J801" i="2"/>
  <c r="J800" i="2"/>
  <c r="J785" i="2" s="1"/>
  <c r="I800" i="2"/>
  <c r="I785" i="2" s="1"/>
  <c r="P798" i="2"/>
  <c r="O798" i="2"/>
  <c r="P797" i="2"/>
  <c r="O797" i="2"/>
  <c r="P796" i="2"/>
  <c r="N796" i="2"/>
  <c r="M796" i="2"/>
  <c r="L796" i="2"/>
  <c r="O796" i="2" s="1"/>
  <c r="P791" i="2"/>
  <c r="N791" i="2"/>
  <c r="L791" i="2"/>
  <c r="L788" i="2" s="1"/>
  <c r="P790" i="2"/>
  <c r="O790" i="2"/>
  <c r="N789" i="2"/>
  <c r="M789" i="2"/>
  <c r="P789" i="2" s="1"/>
  <c r="P788" i="2"/>
  <c r="N788" i="2"/>
  <c r="M788" i="2"/>
  <c r="O787" i="2"/>
  <c r="N787" i="2"/>
  <c r="N786" i="2" s="1"/>
  <c r="M787" i="2"/>
  <c r="P787" i="2" s="1"/>
  <c r="L787" i="2"/>
  <c r="P786" i="2"/>
  <c r="M786" i="2"/>
  <c r="P782" i="2"/>
  <c r="O782" i="2"/>
  <c r="P781" i="2"/>
  <c r="O781" i="2"/>
  <c r="P780" i="2"/>
  <c r="N780" i="2"/>
  <c r="M780" i="2"/>
  <c r="L780" i="2"/>
  <c r="O780" i="2" s="1"/>
  <c r="P775" i="2"/>
  <c r="O775" i="2"/>
  <c r="N775" i="2"/>
  <c r="N772" i="2" s="1"/>
  <c r="N770" i="2" s="1"/>
  <c r="P774" i="2"/>
  <c r="O774" i="2"/>
  <c r="P773" i="2"/>
  <c r="N773" i="2"/>
  <c r="M773" i="2"/>
  <c r="L773" i="2"/>
  <c r="O773" i="2" s="1"/>
  <c r="O772" i="2"/>
  <c r="M772" i="2"/>
  <c r="L772" i="2"/>
  <c r="P771" i="2"/>
  <c r="N771" i="2"/>
  <c r="M771" i="2"/>
  <c r="L771" i="2"/>
  <c r="K769" i="2"/>
  <c r="J769" i="2"/>
  <c r="P766" i="2"/>
  <c r="O766" i="2"/>
  <c r="P765" i="2"/>
  <c r="O765" i="2"/>
  <c r="P764" i="2"/>
  <c r="N764" i="2"/>
  <c r="M764" i="2"/>
  <c r="L764" i="2"/>
  <c r="O764" i="2" s="1"/>
  <c r="P759" i="2"/>
  <c r="O759" i="2"/>
  <c r="N759" i="2"/>
  <c r="N756" i="2" s="1"/>
  <c r="N754" i="2" s="1"/>
  <c r="P758" i="2"/>
  <c r="O758" i="2"/>
  <c r="P757" i="2"/>
  <c r="N757" i="2"/>
  <c r="M757" i="2"/>
  <c r="L757" i="2"/>
  <c r="O757" i="2" s="1"/>
  <c r="O756" i="2"/>
  <c r="M756" i="2"/>
  <c r="L756" i="2"/>
  <c r="P755" i="2"/>
  <c r="N755" i="2"/>
  <c r="M755" i="2"/>
  <c r="L755" i="2"/>
  <c r="K753" i="2"/>
  <c r="J753" i="2"/>
  <c r="P749" i="2"/>
  <c r="O749" i="2"/>
  <c r="P748" i="2"/>
  <c r="O748" i="2"/>
  <c r="P747" i="2"/>
  <c r="N747" i="2"/>
  <c r="M747" i="2"/>
  <c r="L747" i="2"/>
  <c r="O747" i="2" s="1"/>
  <c r="P742" i="2"/>
  <c r="O742" i="2"/>
  <c r="N742" i="2"/>
  <c r="N739" i="2" s="1"/>
  <c r="N737" i="2" s="1"/>
  <c r="P741" i="2"/>
  <c r="O741" i="2"/>
  <c r="P740" i="2"/>
  <c r="N740" i="2"/>
  <c r="M740" i="2"/>
  <c r="L740" i="2"/>
  <c r="O740" i="2" s="1"/>
  <c r="O739" i="2"/>
  <c r="M739" i="2"/>
  <c r="L739" i="2"/>
  <c r="P738" i="2"/>
  <c r="N738" i="2"/>
  <c r="M738" i="2"/>
  <c r="L738" i="2"/>
  <c r="K736" i="2"/>
  <c r="J736" i="2"/>
  <c r="J729" i="2"/>
  <c r="I729" i="2"/>
  <c r="K729" i="2" s="1"/>
  <c r="J728" i="2"/>
  <c r="I728" i="2"/>
  <c r="K728" i="2" s="1"/>
  <c r="J727" i="2"/>
  <c r="J726" i="2"/>
  <c r="I726" i="2"/>
  <c r="K726" i="2" s="1"/>
  <c r="J725" i="2"/>
  <c r="I725" i="2"/>
  <c r="J724" i="2"/>
  <c r="J723" i="2"/>
  <c r="I723" i="2"/>
  <c r="I722" i="2"/>
  <c r="I721" i="2"/>
  <c r="J720" i="2"/>
  <c r="I720" i="2"/>
  <c r="J719" i="2"/>
  <c r="J718" i="2"/>
  <c r="J708" i="2"/>
  <c r="I708" i="2"/>
  <c r="I707" i="2"/>
  <c r="I704" i="2"/>
  <c r="J701" i="2"/>
  <c r="I701" i="2"/>
  <c r="J700" i="2"/>
  <c r="I700" i="2"/>
  <c r="K700" i="2" s="1"/>
  <c r="J699" i="2"/>
  <c r="I699" i="2"/>
  <c r="K699" i="2" s="1"/>
  <c r="P697" i="2"/>
  <c r="O697" i="2"/>
  <c r="P696" i="2"/>
  <c r="O696" i="2"/>
  <c r="P695" i="2"/>
  <c r="N695" i="2"/>
  <c r="M695" i="2"/>
  <c r="L695" i="2"/>
  <c r="O695" i="2" s="1"/>
  <c r="P690" i="2"/>
  <c r="N690" i="2"/>
  <c r="N688" i="2" s="1"/>
  <c r="L690" i="2"/>
  <c r="O690" i="2" s="1"/>
  <c r="M688" i="2"/>
  <c r="P688" i="2" s="1"/>
  <c r="P687" i="2"/>
  <c r="N687" i="2"/>
  <c r="M687" i="2"/>
  <c r="O686" i="2"/>
  <c r="N686" i="2"/>
  <c r="N685" i="2" s="1"/>
  <c r="M686" i="2"/>
  <c r="P686" i="2" s="1"/>
  <c r="L686" i="2"/>
  <c r="P685" i="2"/>
  <c r="M685" i="2"/>
  <c r="J679" i="2"/>
  <c r="J678" i="2"/>
  <c r="I678" i="2"/>
  <c r="K678" i="2" s="1"/>
  <c r="J675" i="2"/>
  <c r="J669" i="2" s="1"/>
  <c r="J654" i="2" s="1"/>
  <c r="I671" i="2"/>
  <c r="K671" i="2" s="1"/>
  <c r="I670" i="2"/>
  <c r="K670" i="2" s="1"/>
  <c r="I669" i="2"/>
  <c r="K672" i="2" s="1"/>
  <c r="P667" i="2"/>
  <c r="O667" i="2"/>
  <c r="P666" i="2"/>
  <c r="O666" i="2"/>
  <c r="O665" i="2"/>
  <c r="N665" i="2"/>
  <c r="M665" i="2"/>
  <c r="P665" i="2" s="1"/>
  <c r="L665" i="2"/>
  <c r="P660" i="2"/>
  <c r="N660" i="2"/>
  <c r="N657" i="2" s="1"/>
  <c r="L660" i="2"/>
  <c r="O660" i="2" s="1"/>
  <c r="P659" i="2"/>
  <c r="O659" i="2"/>
  <c r="P658" i="2"/>
  <c r="N658" i="2"/>
  <c r="M658" i="2"/>
  <c r="M657" i="2"/>
  <c r="P657" i="2" s="1"/>
  <c r="P656" i="2"/>
  <c r="N656" i="2"/>
  <c r="M656" i="2"/>
  <c r="L656" i="2"/>
  <c r="M655" i="2"/>
  <c r="P655" i="2" s="1"/>
  <c r="K652" i="2"/>
  <c r="J652" i="2"/>
  <c r="J651" i="2"/>
  <c r="J628" i="2" s="1"/>
  <c r="I651" i="2"/>
  <c r="I628" i="2" s="1"/>
  <c r="K650" i="2"/>
  <c r="J650" i="2"/>
  <c r="J649" i="2"/>
  <c r="I649" i="2"/>
  <c r="K648" i="2"/>
  <c r="J648" i="2"/>
  <c r="J647" i="2"/>
  <c r="I647" i="2"/>
  <c r="K646" i="2"/>
  <c r="J646" i="2"/>
  <c r="K645" i="2"/>
  <c r="J645" i="2"/>
  <c r="I644" i="2"/>
  <c r="K644" i="2" s="1"/>
  <c r="I643" i="2"/>
  <c r="K643" i="2" s="1"/>
  <c r="P641" i="2"/>
  <c r="L641" i="2"/>
  <c r="P640" i="2"/>
  <c r="O640" i="2"/>
  <c r="N639" i="2"/>
  <c r="M639" i="2"/>
  <c r="P639" i="2" s="1"/>
  <c r="P634" i="2"/>
  <c r="N634" i="2"/>
  <c r="L634" i="2"/>
  <c r="O634" i="2" s="1"/>
  <c r="P633" i="2"/>
  <c r="O633" i="2"/>
  <c r="P632" i="2"/>
  <c r="N632" i="2"/>
  <c r="M632" i="2"/>
  <c r="N631" i="2"/>
  <c r="M631" i="2"/>
  <c r="P631" i="2" s="1"/>
  <c r="P630" i="2"/>
  <c r="N630" i="2"/>
  <c r="N629" i="2" s="1"/>
  <c r="M630" i="2"/>
  <c r="M629" i="2" s="1"/>
  <c r="P629" i="2" s="1"/>
  <c r="L630" i="2"/>
  <c r="O630" i="2" s="1"/>
  <c r="J621" i="2"/>
  <c r="I621" i="2"/>
  <c r="K621" i="2" s="1"/>
  <c r="J620" i="2"/>
  <c r="I620" i="2"/>
  <c r="K620" i="2" s="1"/>
  <c r="K613" i="2"/>
  <c r="J613" i="2"/>
  <c r="K612" i="2"/>
  <c r="J612" i="2"/>
  <c r="K611" i="2"/>
  <c r="J611" i="2"/>
  <c r="J604" i="2"/>
  <c r="J603" i="2"/>
  <c r="J596" i="2"/>
  <c r="J595" i="2"/>
  <c r="J594" i="2"/>
  <c r="I594" i="2"/>
  <c r="J593" i="2"/>
  <c r="I593" i="2"/>
  <c r="I592" i="2" s="1"/>
  <c r="K592" i="2" s="1"/>
  <c r="J592" i="2"/>
  <c r="J583" i="2"/>
  <c r="J577" i="2" s="1"/>
  <c r="J582" i="2"/>
  <c r="I577" i="2"/>
  <c r="J576" i="2"/>
  <c r="J559" i="2" s="1"/>
  <c r="J543" i="2" s="1"/>
  <c r="I576" i="2"/>
  <c r="K576" i="2" s="1"/>
  <c r="J569" i="2"/>
  <c r="I569" i="2"/>
  <c r="K569" i="2" s="1"/>
  <c r="J568" i="2"/>
  <c r="I568" i="2"/>
  <c r="K568" i="2" s="1"/>
  <c r="J561" i="2"/>
  <c r="I561" i="2"/>
  <c r="K561" i="2" s="1"/>
  <c r="J560" i="2"/>
  <c r="I560" i="2"/>
  <c r="K560" i="2" s="1"/>
  <c r="P557" i="2"/>
  <c r="L557" i="2"/>
  <c r="O557" i="2" s="1"/>
  <c r="P556" i="2"/>
  <c r="O556" i="2"/>
  <c r="P555" i="2"/>
  <c r="N555" i="2"/>
  <c r="N545" i="2" s="1"/>
  <c r="N544" i="2" s="1"/>
  <c r="M555" i="2"/>
  <c r="P549" i="2"/>
  <c r="N549" i="2"/>
  <c r="L549" i="2"/>
  <c r="L547" i="2" s="1"/>
  <c r="O547" i="2" s="1"/>
  <c r="P548" i="2"/>
  <c r="O548" i="2"/>
  <c r="N547" i="2"/>
  <c r="M547" i="2"/>
  <c r="P547" i="2" s="1"/>
  <c r="P546" i="2"/>
  <c r="N546" i="2"/>
  <c r="M546" i="2"/>
  <c r="O545" i="2"/>
  <c r="M545" i="2"/>
  <c r="L545" i="2"/>
  <c r="I542" i="2"/>
  <c r="K542" i="2" s="1"/>
  <c r="I541" i="2"/>
  <c r="K541" i="2" s="1"/>
  <c r="I540" i="2"/>
  <c r="K540" i="2" s="1"/>
  <c r="I539" i="2"/>
  <c r="K539" i="2" s="1"/>
  <c r="I538" i="2"/>
  <c r="I537" i="2"/>
  <c r="I522" i="2" s="1"/>
  <c r="K522" i="2" s="1"/>
  <c r="P535" i="2"/>
  <c r="L535" i="2"/>
  <c r="O535" i="2" s="1"/>
  <c r="P534" i="2"/>
  <c r="O534" i="2"/>
  <c r="P533" i="2"/>
  <c r="N533" i="2"/>
  <c r="M533" i="2"/>
  <c r="P528" i="2"/>
  <c r="N528" i="2"/>
  <c r="L528" i="2"/>
  <c r="P527" i="2"/>
  <c r="O527" i="2"/>
  <c r="N526" i="2"/>
  <c r="M526" i="2"/>
  <c r="P526" i="2" s="1"/>
  <c r="P525" i="2"/>
  <c r="N525" i="2"/>
  <c r="M525" i="2"/>
  <c r="O524" i="2"/>
  <c r="N524" i="2"/>
  <c r="N523" i="2" s="1"/>
  <c r="M524" i="2"/>
  <c r="P524" i="2" s="1"/>
  <c r="L524" i="2"/>
  <c r="P523" i="2"/>
  <c r="M523" i="2"/>
  <c r="K517" i="2"/>
  <c r="J517" i="2"/>
  <c r="J501" i="2" s="1"/>
  <c r="K516" i="2"/>
  <c r="P514" i="2"/>
  <c r="O514" i="2"/>
  <c r="P513" i="2"/>
  <c r="O513" i="2"/>
  <c r="O512" i="2"/>
  <c r="N512" i="2"/>
  <c r="M512" i="2"/>
  <c r="P512" i="2" s="1"/>
  <c r="L512" i="2"/>
  <c r="P507" i="2"/>
  <c r="O507" i="2"/>
  <c r="N507" i="2"/>
  <c r="P506" i="2"/>
  <c r="O506" i="2"/>
  <c r="O505" i="2"/>
  <c r="N505" i="2"/>
  <c r="M505" i="2"/>
  <c r="P505" i="2" s="1"/>
  <c r="L505" i="2"/>
  <c r="P504" i="2"/>
  <c r="N504" i="2"/>
  <c r="M504" i="2"/>
  <c r="L504" i="2"/>
  <c r="O504" i="2" s="1"/>
  <c r="O503" i="2"/>
  <c r="N503" i="2"/>
  <c r="M503" i="2"/>
  <c r="M502" i="2" s="1"/>
  <c r="P502" i="2" s="1"/>
  <c r="L503" i="2"/>
  <c r="L502" i="2" s="1"/>
  <c r="O502" i="2" s="1"/>
  <c r="N502" i="2"/>
  <c r="K501" i="2"/>
  <c r="K500" i="2"/>
  <c r="J500" i="2"/>
  <c r="I498" i="2"/>
  <c r="K498" i="2" s="1"/>
  <c r="I495" i="2"/>
  <c r="K495" i="2" s="1"/>
  <c r="I492" i="2"/>
  <c r="K492" i="2" s="1"/>
  <c r="I489" i="2"/>
  <c r="K489" i="2" s="1"/>
  <c r="I487" i="2"/>
  <c r="K487" i="2" s="1"/>
  <c r="I485" i="2"/>
  <c r="K485" i="2" s="1"/>
  <c r="I483" i="2"/>
  <c r="K483" i="2" s="1"/>
  <c r="P479" i="2"/>
  <c r="L479" i="2"/>
  <c r="O479" i="2" s="1"/>
  <c r="P478" i="2"/>
  <c r="O478" i="2"/>
  <c r="P477" i="2"/>
  <c r="N477" i="2"/>
  <c r="M477" i="2"/>
  <c r="P472" i="2"/>
  <c r="N472" i="2"/>
  <c r="L472" i="2"/>
  <c r="L470" i="2" s="1"/>
  <c r="P471" i="2"/>
  <c r="O471" i="2"/>
  <c r="M470" i="2"/>
  <c r="P470" i="2" s="1"/>
  <c r="P469" i="2"/>
  <c r="M469" i="2"/>
  <c r="N468" i="2"/>
  <c r="M468" i="2"/>
  <c r="M467" i="2" s="1"/>
  <c r="P467" i="2" s="1"/>
  <c r="L468" i="2"/>
  <c r="J466" i="2"/>
  <c r="I466" i="2"/>
  <c r="K466" i="2" s="1"/>
  <c r="J465" i="2"/>
  <c r="I465" i="2"/>
  <c r="K465" i="2" s="1"/>
  <c r="I464" i="2"/>
  <c r="I463" i="2"/>
  <c r="I462" i="2"/>
  <c r="I460" i="2"/>
  <c r="K458" i="2"/>
  <c r="P456" i="2"/>
  <c r="L456" i="2"/>
  <c r="P455" i="2"/>
  <c r="O455" i="2"/>
  <c r="P454" i="2"/>
  <c r="N454" i="2"/>
  <c r="M454" i="2"/>
  <c r="P449" i="2"/>
  <c r="N449" i="2"/>
  <c r="L449" i="2"/>
  <c r="O449" i="2" s="1"/>
  <c r="P448" i="2"/>
  <c r="O448" i="2"/>
  <c r="P447" i="2"/>
  <c r="N447" i="2"/>
  <c r="M447" i="2"/>
  <c r="N446" i="2"/>
  <c r="M446" i="2"/>
  <c r="P446" i="2" s="1"/>
  <c r="N445" i="2"/>
  <c r="M445" i="2"/>
  <c r="L445" i="2"/>
  <c r="O445" i="2" s="1"/>
  <c r="J443" i="2"/>
  <c r="J442" i="2"/>
  <c r="I441" i="2"/>
  <c r="K441" i="2" s="1"/>
  <c r="I440" i="2"/>
  <c r="K440" i="2" s="1"/>
  <c r="I439" i="2"/>
  <c r="K439" i="2" s="1"/>
  <c r="I438" i="2"/>
  <c r="K438" i="2" s="1"/>
  <c r="I437" i="2"/>
  <c r="K437" i="2" s="1"/>
  <c r="I435" i="2"/>
  <c r="J434" i="2"/>
  <c r="P431" i="2"/>
  <c r="L431" i="2"/>
  <c r="P430" i="2"/>
  <c r="O430" i="2"/>
  <c r="N429" i="2"/>
  <c r="M429" i="2"/>
  <c r="P429" i="2" s="1"/>
  <c r="P424" i="2"/>
  <c r="N424" i="2"/>
  <c r="L424" i="2"/>
  <c r="L422" i="2" s="1"/>
  <c r="P423" i="2"/>
  <c r="O423" i="2"/>
  <c r="P422" i="2"/>
  <c r="N422" i="2"/>
  <c r="M422" i="2"/>
  <c r="N421" i="2"/>
  <c r="M421" i="2"/>
  <c r="P421" i="2" s="1"/>
  <c r="P420" i="2"/>
  <c r="N420" i="2"/>
  <c r="M420" i="2"/>
  <c r="L420" i="2"/>
  <c r="M419" i="2"/>
  <c r="J418" i="2"/>
  <c r="K413" i="2"/>
  <c r="K412" i="2"/>
  <c r="N410" i="2"/>
  <c r="N408" i="2" s="1"/>
  <c r="M410" i="2"/>
  <c r="L410" i="2"/>
  <c r="O410" i="2" s="1"/>
  <c r="P409" i="2"/>
  <c r="O409" i="2"/>
  <c r="N407" i="2"/>
  <c r="N405" i="2" s="1"/>
  <c r="M407" i="2"/>
  <c r="P407" i="2" s="1"/>
  <c r="L407" i="2"/>
  <c r="L405" i="2" s="1"/>
  <c r="O405" i="2" s="1"/>
  <c r="P406" i="2"/>
  <c r="O406" i="2"/>
  <c r="P403" i="2"/>
  <c r="N403" i="2"/>
  <c r="M403" i="2"/>
  <c r="L403" i="2"/>
  <c r="K401" i="2"/>
  <c r="J401" i="2"/>
  <c r="I401" i="2"/>
  <c r="K400" i="2"/>
  <c r="K399" i="2"/>
  <c r="N397" i="2"/>
  <c r="N395" i="2" s="1"/>
  <c r="M397" i="2"/>
  <c r="L397" i="2"/>
  <c r="O397" i="2" s="1"/>
  <c r="P396" i="2"/>
  <c r="O396" i="2"/>
  <c r="N394" i="2"/>
  <c r="M394" i="2"/>
  <c r="L394" i="2"/>
  <c r="P393" i="2"/>
  <c r="O393" i="2"/>
  <c r="N390" i="2"/>
  <c r="M390" i="2"/>
  <c r="P390" i="2" s="1"/>
  <c r="L390" i="2"/>
  <c r="O390" i="2" s="1"/>
  <c r="K388" i="2"/>
  <c r="J388" i="2"/>
  <c r="I388" i="2"/>
  <c r="J385" i="2"/>
  <c r="I385" i="2"/>
  <c r="K382" i="2"/>
  <c r="J382" i="2"/>
  <c r="J381" i="2"/>
  <c r="J374" i="2" s="1"/>
  <c r="I381" i="2"/>
  <c r="K380" i="2"/>
  <c r="J380" i="2"/>
  <c r="J379" i="2"/>
  <c r="I379" i="2"/>
  <c r="J378" i="2"/>
  <c r="I378" i="2"/>
  <c r="K377" i="2"/>
  <c r="J377" i="2"/>
  <c r="I374" i="2"/>
  <c r="K373" i="2"/>
  <c r="J373" i="2"/>
  <c r="J372" i="2"/>
  <c r="J365" i="2" s="1"/>
  <c r="I372" i="2"/>
  <c r="K371" i="2"/>
  <c r="J371" i="2"/>
  <c r="J370" i="2"/>
  <c r="I370" i="2"/>
  <c r="J369" i="2"/>
  <c r="I369" i="2"/>
  <c r="K368" i="2"/>
  <c r="J368" i="2"/>
  <c r="I365" i="2"/>
  <c r="K363" i="2"/>
  <c r="J363" i="2"/>
  <c r="J362" i="2"/>
  <c r="J355" i="2" s="1"/>
  <c r="I362" i="2"/>
  <c r="K361" i="2"/>
  <c r="J361" i="2"/>
  <c r="J360" i="2"/>
  <c r="I360" i="2"/>
  <c r="J359" i="2"/>
  <c r="I359" i="2"/>
  <c r="K358" i="2"/>
  <c r="J358" i="2"/>
  <c r="I355" i="2"/>
  <c r="N353" i="2"/>
  <c r="N351" i="2" s="1"/>
  <c r="M353" i="2"/>
  <c r="L353" i="2"/>
  <c r="L351" i="2" s="1"/>
  <c r="P352" i="2"/>
  <c r="O352" i="2"/>
  <c r="N350" i="2"/>
  <c r="M350" i="2"/>
  <c r="L350" i="2"/>
  <c r="P349" i="2"/>
  <c r="O349" i="2"/>
  <c r="N346" i="2"/>
  <c r="M346" i="2"/>
  <c r="L346" i="2"/>
  <c r="J343" i="2"/>
  <c r="J342" i="2"/>
  <c r="J341" i="2"/>
  <c r="J340" i="2"/>
  <c r="I340" i="2"/>
  <c r="J338" i="2"/>
  <c r="I338" i="2"/>
  <c r="N336" i="2"/>
  <c r="N334" i="2" s="1"/>
  <c r="M336" i="2"/>
  <c r="L336" i="2"/>
  <c r="P335" i="2"/>
  <c r="O335" i="2"/>
  <c r="N333" i="2"/>
  <c r="N331" i="2" s="1"/>
  <c r="M333" i="2"/>
  <c r="L333" i="2"/>
  <c r="L331" i="2" s="1"/>
  <c r="P332" i="2"/>
  <c r="O332" i="2"/>
  <c r="P329" i="2"/>
  <c r="O329" i="2"/>
  <c r="N329" i="2"/>
  <c r="M329" i="2"/>
  <c r="L329" i="2"/>
  <c r="I327" i="2"/>
  <c r="I325" i="2"/>
  <c r="K325" i="2" s="1"/>
  <c r="N323" i="2"/>
  <c r="N321" i="2" s="1"/>
  <c r="M323" i="2"/>
  <c r="L323" i="2"/>
  <c r="P322" i="2"/>
  <c r="O322" i="2"/>
  <c r="N320" i="2"/>
  <c r="N318" i="2" s="1"/>
  <c r="M320" i="2"/>
  <c r="M318" i="2" s="1"/>
  <c r="L320" i="2"/>
  <c r="P319" i="2"/>
  <c r="O319" i="2"/>
  <c r="P316" i="2"/>
  <c r="O316" i="2"/>
  <c r="N316" i="2"/>
  <c r="M316" i="2"/>
  <c r="L316" i="2"/>
  <c r="J314" i="2"/>
  <c r="I312" i="2"/>
  <c r="K312" i="2" s="1"/>
  <c r="I311" i="2"/>
  <c r="K311" i="2" s="1"/>
  <c r="I310" i="2"/>
  <c r="K310" i="2" s="1"/>
  <c r="I309" i="2"/>
  <c r="K309" i="2" s="1"/>
  <c r="N306" i="2"/>
  <c r="M306" i="2"/>
  <c r="P306" i="2" s="1"/>
  <c r="L306" i="2"/>
  <c r="O306" i="2" s="1"/>
  <c r="P305" i="2"/>
  <c r="O305" i="2"/>
  <c r="N303" i="2"/>
  <c r="N301" i="2" s="1"/>
  <c r="M303" i="2"/>
  <c r="L303" i="2"/>
  <c r="L301" i="2" s="1"/>
  <c r="P302" i="2"/>
  <c r="O302" i="2"/>
  <c r="N299" i="2"/>
  <c r="M299" i="2"/>
  <c r="L299" i="2"/>
  <c r="O299" i="2" s="1"/>
  <c r="J297" i="2"/>
  <c r="I294" i="2"/>
  <c r="K294" i="2" s="1"/>
  <c r="I293" i="2"/>
  <c r="K293" i="2" s="1"/>
  <c r="I291" i="2"/>
  <c r="K291" i="2" s="1"/>
  <c r="I290" i="2"/>
  <c r="K290" i="2" s="1"/>
  <c r="I288" i="2"/>
  <c r="I287" i="2"/>
  <c r="K287" i="2" s="1"/>
  <c r="N285" i="2"/>
  <c r="N283" i="2" s="1"/>
  <c r="M285" i="2"/>
  <c r="P285" i="2" s="1"/>
  <c r="L285" i="2"/>
  <c r="L283" i="2" s="1"/>
  <c r="O283" i="2" s="1"/>
  <c r="P284" i="2"/>
  <c r="O284" i="2"/>
  <c r="N282" i="2"/>
  <c r="N280" i="2" s="1"/>
  <c r="M282" i="2"/>
  <c r="L282" i="2"/>
  <c r="L280" i="2" s="1"/>
  <c r="P281" i="2"/>
  <c r="O281" i="2"/>
  <c r="O278" i="2"/>
  <c r="N278" i="2"/>
  <c r="M278" i="2"/>
  <c r="P278" i="2" s="1"/>
  <c r="L278" i="2"/>
  <c r="J276" i="2"/>
  <c r="I271" i="2"/>
  <c r="K271" i="2" s="1"/>
  <c r="N269" i="2"/>
  <c r="N267" i="2" s="1"/>
  <c r="M269" i="2"/>
  <c r="P269" i="2" s="1"/>
  <c r="L269" i="2"/>
  <c r="P268" i="2"/>
  <c r="O268" i="2"/>
  <c r="N266" i="2"/>
  <c r="N264" i="2" s="1"/>
  <c r="M266" i="2"/>
  <c r="L266" i="2"/>
  <c r="L264" i="2" s="1"/>
  <c r="P265" i="2"/>
  <c r="O265" i="2"/>
  <c r="N262" i="2"/>
  <c r="M262" i="2"/>
  <c r="L262" i="2"/>
  <c r="O262" i="2" s="1"/>
  <c r="J260" i="2"/>
  <c r="K258" i="2"/>
  <c r="K257" i="2"/>
  <c r="I255" i="2"/>
  <c r="K255" i="2" s="1"/>
  <c r="L253" i="2"/>
  <c r="L252" i="2"/>
  <c r="L251" i="2"/>
  <c r="L250" i="2"/>
  <c r="P249" i="2"/>
  <c r="N249" i="2"/>
  <c r="J248" i="2"/>
  <c r="K247" i="2"/>
  <c r="K246" i="2"/>
  <c r="I244" i="2"/>
  <c r="K244" i="2" s="1"/>
  <c r="L242" i="2"/>
  <c r="L241" i="2"/>
  <c r="L240" i="2"/>
  <c r="L239" i="2"/>
  <c r="P238" i="2"/>
  <c r="N238" i="2"/>
  <c r="N227" i="2" s="1"/>
  <c r="J237" i="2"/>
  <c r="J236" i="2"/>
  <c r="I236" i="2"/>
  <c r="K236" i="2" s="1"/>
  <c r="J235" i="2"/>
  <c r="I235" i="2"/>
  <c r="K235" i="2" s="1"/>
  <c r="J233" i="2"/>
  <c r="N231" i="2"/>
  <c r="N230" i="2"/>
  <c r="N229" i="2"/>
  <c r="N228" i="2"/>
  <c r="J226" i="2"/>
  <c r="J180" i="2" s="1"/>
  <c r="I225" i="2"/>
  <c r="K225" i="2" s="1"/>
  <c r="I224" i="2"/>
  <c r="K224" i="2" s="1"/>
  <c r="I223" i="2"/>
  <c r="K223" i="2" s="1"/>
  <c r="L220" i="2"/>
  <c r="L219" i="2"/>
  <c r="L218" i="2"/>
  <c r="P217" i="2"/>
  <c r="N217" i="2"/>
  <c r="J216" i="2"/>
  <c r="I215" i="2"/>
  <c r="I214" i="2"/>
  <c r="K214" i="2" s="1"/>
  <c r="L212" i="2"/>
  <c r="L211" i="2"/>
  <c r="L210" i="2"/>
  <c r="P209" i="2"/>
  <c r="N209" i="2"/>
  <c r="J208" i="2"/>
  <c r="K207" i="2"/>
  <c r="K206" i="2"/>
  <c r="I204" i="2"/>
  <c r="L202" i="2"/>
  <c r="L201" i="2"/>
  <c r="L200" i="2"/>
  <c r="L199" i="2"/>
  <c r="P198" i="2"/>
  <c r="N198" i="2"/>
  <c r="J197" i="2"/>
  <c r="J194" i="2"/>
  <c r="I193" i="2"/>
  <c r="K193" i="2" s="1"/>
  <c r="P191" i="2"/>
  <c r="L191" i="2"/>
  <c r="O191" i="2" s="1"/>
  <c r="J190" i="2"/>
  <c r="N189" i="2"/>
  <c r="N187" i="2" s="1"/>
  <c r="M189" i="2"/>
  <c r="P189" i="2" s="1"/>
  <c r="L189" i="2"/>
  <c r="O189" i="2" s="1"/>
  <c r="P188" i="2"/>
  <c r="O188" i="2"/>
  <c r="N186" i="2"/>
  <c r="M186" i="2"/>
  <c r="L186" i="2"/>
  <c r="L184" i="2" s="1"/>
  <c r="P185" i="2"/>
  <c r="O185" i="2"/>
  <c r="P182" i="2"/>
  <c r="O182" i="2"/>
  <c r="N182" i="2"/>
  <c r="M182" i="2"/>
  <c r="L182" i="2"/>
  <c r="K180" i="2"/>
  <c r="J177" i="2"/>
  <c r="J164" i="2" s="1"/>
  <c r="I176" i="2"/>
  <c r="I174" i="2" s="1"/>
  <c r="K174" i="2" s="1"/>
  <c r="J174" i="2"/>
  <c r="N173" i="2"/>
  <c r="N171" i="2" s="1"/>
  <c r="M173" i="2"/>
  <c r="L173" i="2"/>
  <c r="O173" i="2" s="1"/>
  <c r="P172" i="2"/>
  <c r="O172" i="2"/>
  <c r="N170" i="2"/>
  <c r="M170" i="2"/>
  <c r="M168" i="2" s="1"/>
  <c r="L170" i="2"/>
  <c r="L168" i="2" s="1"/>
  <c r="P169" i="2"/>
  <c r="O169" i="2"/>
  <c r="P166" i="2"/>
  <c r="O166" i="2"/>
  <c r="N166" i="2"/>
  <c r="M166" i="2"/>
  <c r="L166" i="2"/>
  <c r="I159" i="2"/>
  <c r="I148" i="2" s="1"/>
  <c r="K148" i="2" s="1"/>
  <c r="N157" i="2"/>
  <c r="N155" i="2" s="1"/>
  <c r="M157" i="2"/>
  <c r="M155" i="2" s="1"/>
  <c r="P155" i="2" s="1"/>
  <c r="L157" i="2"/>
  <c r="L155" i="2" s="1"/>
  <c r="O155" i="2" s="1"/>
  <c r="P156" i="2"/>
  <c r="O156" i="2"/>
  <c r="N154" i="2"/>
  <c r="N152" i="2" s="1"/>
  <c r="M154" i="2"/>
  <c r="P154" i="2" s="1"/>
  <c r="L154" i="2"/>
  <c r="O154" i="2" s="1"/>
  <c r="P153" i="2"/>
  <c r="O153" i="2"/>
  <c r="N150" i="2"/>
  <c r="M150" i="2"/>
  <c r="L150" i="2"/>
  <c r="O150" i="2" s="1"/>
  <c r="J148" i="2"/>
  <c r="I146" i="2"/>
  <c r="I130" i="2" s="1"/>
  <c r="K130" i="2" s="1"/>
  <c r="I145" i="2"/>
  <c r="I143" i="2" s="1"/>
  <c r="K143" i="2" s="1"/>
  <c r="I144" i="2"/>
  <c r="N140" i="2"/>
  <c r="N138" i="2" s="1"/>
  <c r="M140" i="2"/>
  <c r="M138" i="2" s="1"/>
  <c r="P138" i="2" s="1"/>
  <c r="L140" i="2"/>
  <c r="O140" i="2" s="1"/>
  <c r="P139" i="2"/>
  <c r="O139" i="2"/>
  <c r="N137" i="2"/>
  <c r="N135" i="2" s="1"/>
  <c r="M137" i="2"/>
  <c r="M135" i="2" s="1"/>
  <c r="P135" i="2" s="1"/>
  <c r="L137" i="2"/>
  <c r="O137" i="2" s="1"/>
  <c r="P136" i="2"/>
  <c r="O136" i="2"/>
  <c r="N133" i="2"/>
  <c r="M133" i="2"/>
  <c r="L133" i="2"/>
  <c r="J130" i="2"/>
  <c r="N127" i="2"/>
  <c r="M127" i="2"/>
  <c r="M125" i="2" s="1"/>
  <c r="P125" i="2" s="1"/>
  <c r="L127" i="2"/>
  <c r="O127" i="2" s="1"/>
  <c r="P126" i="2"/>
  <c r="O126" i="2"/>
  <c r="N124" i="2"/>
  <c r="N122" i="2" s="1"/>
  <c r="M124" i="2"/>
  <c r="M122" i="2" s="1"/>
  <c r="P122" i="2" s="1"/>
  <c r="L124" i="2"/>
  <c r="P123" i="2"/>
  <c r="O123" i="2"/>
  <c r="O120" i="2"/>
  <c r="N120" i="2"/>
  <c r="M120" i="2"/>
  <c r="P120" i="2" s="1"/>
  <c r="L120" i="2"/>
  <c r="I116" i="2"/>
  <c r="K116" i="2" s="1"/>
  <c r="I115" i="2"/>
  <c r="K115" i="2" s="1"/>
  <c r="I114" i="2"/>
  <c r="K114" i="2" s="1"/>
  <c r="I113" i="2"/>
  <c r="K113" i="2" s="1"/>
  <c r="J112" i="2"/>
  <c r="J111" i="2"/>
  <c r="I111" i="2"/>
  <c r="K111" i="2" s="1"/>
  <c r="I110" i="2"/>
  <c r="K110" i="2" s="1"/>
  <c r="I109" i="2"/>
  <c r="K109" i="2" s="1"/>
  <c r="I107" i="2"/>
  <c r="K107" i="2" s="1"/>
  <c r="I106" i="2"/>
  <c r="K106" i="2" s="1"/>
  <c r="I104" i="2"/>
  <c r="K104" i="2" s="1"/>
  <c r="I103" i="2"/>
  <c r="K103" i="2" s="1"/>
  <c r="I102" i="2"/>
  <c r="K102" i="2" s="1"/>
  <c r="J100" i="2"/>
  <c r="I100" i="2"/>
  <c r="K100" i="2" s="1"/>
  <c r="J99" i="2"/>
  <c r="I99" i="2"/>
  <c r="J98" i="2"/>
  <c r="J86" i="2" s="1"/>
  <c r="I98" i="2"/>
  <c r="I86" i="2" s="1"/>
  <c r="N96" i="2"/>
  <c r="N94" i="2" s="1"/>
  <c r="M96" i="2"/>
  <c r="P96" i="2" s="1"/>
  <c r="L96" i="2"/>
  <c r="O96" i="2" s="1"/>
  <c r="P95" i="2"/>
  <c r="O95" i="2"/>
  <c r="N93" i="2"/>
  <c r="N91" i="2" s="1"/>
  <c r="M93" i="2"/>
  <c r="L93" i="2"/>
  <c r="L91" i="2" s="1"/>
  <c r="P92" i="2"/>
  <c r="O92" i="2"/>
  <c r="P89" i="2"/>
  <c r="O89" i="2"/>
  <c r="N89" i="2"/>
  <c r="M89" i="2"/>
  <c r="L89" i="2"/>
  <c r="J87" i="2"/>
  <c r="I84" i="2"/>
  <c r="K84" i="2" s="1"/>
  <c r="I83" i="2"/>
  <c r="K83" i="2" s="1"/>
  <c r="I82" i="2"/>
  <c r="K82" i="2" s="1"/>
  <c r="I81" i="2"/>
  <c r="K81" i="2" s="1"/>
  <c r="I80" i="2"/>
  <c r="K80" i="2" s="1"/>
  <c r="I79" i="2"/>
  <c r="I78" i="2"/>
  <c r="K78" i="2" s="1"/>
  <c r="J77" i="2"/>
  <c r="J76" i="2"/>
  <c r="J64" i="2" s="1"/>
  <c r="N74" i="2"/>
  <c r="N72" i="2" s="1"/>
  <c r="M74" i="2"/>
  <c r="P74" i="2" s="1"/>
  <c r="L74" i="2"/>
  <c r="O74" i="2" s="1"/>
  <c r="P73" i="2"/>
  <c r="O73" i="2"/>
  <c r="N71" i="2"/>
  <c r="N69" i="2" s="1"/>
  <c r="M71" i="2"/>
  <c r="L71" i="2"/>
  <c r="O71" i="2" s="1"/>
  <c r="P70" i="2"/>
  <c r="O70" i="2"/>
  <c r="P67" i="2"/>
  <c r="O67" i="2"/>
  <c r="N67" i="2"/>
  <c r="M67" i="2"/>
  <c r="L67" i="2"/>
  <c r="J65" i="2"/>
  <c r="N61" i="2"/>
  <c r="M61" i="2"/>
  <c r="M59" i="2" s="1"/>
  <c r="P59" i="2" s="1"/>
  <c r="L61" i="2"/>
  <c r="L59" i="2" s="1"/>
  <c r="O59" i="2" s="1"/>
  <c r="P60" i="2"/>
  <c r="O60" i="2"/>
  <c r="N58" i="2"/>
  <c r="N56" i="2" s="1"/>
  <c r="M58" i="2"/>
  <c r="M56" i="2" s="1"/>
  <c r="L58" i="2"/>
  <c r="L56" i="2" s="1"/>
  <c r="P57" i="2"/>
  <c r="O57" i="2"/>
  <c r="N54" i="2"/>
  <c r="M54" i="2"/>
  <c r="P54" i="2" s="1"/>
  <c r="L54" i="2"/>
  <c r="O54" i="2" s="1"/>
  <c r="N49" i="2"/>
  <c r="N47" i="2" s="1"/>
  <c r="M49" i="2"/>
  <c r="L49" i="2"/>
  <c r="L47" i="2" s="1"/>
  <c r="O47" i="2" s="1"/>
  <c r="P48" i="2"/>
  <c r="O48" i="2"/>
  <c r="N46" i="2"/>
  <c r="N44" i="2" s="1"/>
  <c r="M46" i="2"/>
  <c r="L46" i="2"/>
  <c r="P45" i="2"/>
  <c r="O45" i="2"/>
  <c r="P42" i="2"/>
  <c r="O42" i="2"/>
  <c r="N42" i="2"/>
  <c r="M42" i="2"/>
  <c r="L42" i="2"/>
  <c r="N36" i="2"/>
  <c r="N34" i="2" s="1"/>
  <c r="M36" i="2"/>
  <c r="P36" i="2" s="1"/>
  <c r="N35" i="2"/>
  <c r="M35" i="2"/>
  <c r="L35" i="2"/>
  <c r="O35" i="2" s="1"/>
  <c r="P33" i="2"/>
  <c r="M33" i="2"/>
  <c r="P32" i="2"/>
  <c r="O32" i="2"/>
  <c r="N32" i="2"/>
  <c r="N29" i="2" s="1"/>
  <c r="M32" i="2"/>
  <c r="L32" i="2"/>
  <c r="M31" i="2"/>
  <c r="P31" i="2" s="1"/>
  <c r="M29" i="2"/>
  <c r="L29" i="2"/>
  <c r="O29" i="2" s="1"/>
  <c r="P25" i="2"/>
  <c r="O25" i="2"/>
  <c r="N25" i="2"/>
  <c r="N15" i="2" s="1"/>
  <c r="M25" i="2"/>
  <c r="L25" i="2"/>
  <c r="N22" i="2"/>
  <c r="M22" i="2"/>
  <c r="L22" i="2"/>
  <c r="N19" i="2"/>
  <c r="M15" i="2"/>
  <c r="N12" i="2"/>
  <c r="N9" i="2" s="1"/>
  <c r="J828" i="1"/>
  <c r="I828" i="1"/>
  <c r="J827" i="1"/>
  <c r="I827" i="1"/>
  <c r="J826" i="1"/>
  <c r="I826" i="1"/>
  <c r="J825" i="1"/>
  <c r="I825" i="1"/>
  <c r="J824" i="1"/>
  <c r="I824" i="1"/>
  <c r="J823" i="1"/>
  <c r="I823" i="1"/>
  <c r="J822" i="1"/>
  <c r="I822" i="1"/>
  <c r="J821" i="1"/>
  <c r="I821" i="1"/>
  <c r="P817" i="1"/>
  <c r="O817" i="1"/>
  <c r="P816" i="1"/>
  <c r="O816" i="1"/>
  <c r="P815" i="1"/>
  <c r="O815" i="1"/>
  <c r="N815" i="1"/>
  <c r="M815" i="1"/>
  <c r="L815" i="1"/>
  <c r="P810" i="1"/>
  <c r="O810" i="1"/>
  <c r="N810" i="1"/>
  <c r="N807" i="1" s="1"/>
  <c r="P809" i="1"/>
  <c r="O809" i="1"/>
  <c r="O808" i="1"/>
  <c r="N808" i="1"/>
  <c r="M808" i="1"/>
  <c r="P808" i="1" s="1"/>
  <c r="L808" i="1"/>
  <c r="M807" i="1"/>
  <c r="L807" i="1"/>
  <c r="O807" i="1" s="1"/>
  <c r="N806" i="1"/>
  <c r="N805" i="1" s="1"/>
  <c r="M806" i="1"/>
  <c r="P806" i="1" s="1"/>
  <c r="L806" i="1"/>
  <c r="K804" i="1"/>
  <c r="J804" i="1"/>
  <c r="K802" i="1"/>
  <c r="J801" i="1"/>
  <c r="J800" i="1"/>
  <c r="J785" i="1" s="1"/>
  <c r="I800" i="1"/>
  <c r="I785" i="1" s="1"/>
  <c r="P798" i="1"/>
  <c r="O798" i="1"/>
  <c r="P797" i="1"/>
  <c r="O797" i="1"/>
  <c r="P796" i="1"/>
  <c r="O796" i="1"/>
  <c r="N796" i="1"/>
  <c r="M796" i="1"/>
  <c r="L796" i="1"/>
  <c r="N795" i="1"/>
  <c r="N794" i="1"/>
  <c r="N793" i="1"/>
  <c r="N792" i="1"/>
  <c r="P791" i="1"/>
  <c r="L791" i="1"/>
  <c r="L789" i="1" s="1"/>
  <c r="P790" i="1"/>
  <c r="O790" i="1"/>
  <c r="M789" i="1"/>
  <c r="P789" i="1" s="1"/>
  <c r="P788" i="1"/>
  <c r="M788" i="1"/>
  <c r="P787" i="1"/>
  <c r="O787" i="1"/>
  <c r="N787" i="1"/>
  <c r="M787" i="1"/>
  <c r="M786" i="1" s="1"/>
  <c r="P786" i="1" s="1"/>
  <c r="L787" i="1"/>
  <c r="P782" i="1"/>
  <c r="O782" i="1"/>
  <c r="P781" i="1"/>
  <c r="O781" i="1"/>
  <c r="P780" i="1"/>
  <c r="O780" i="1"/>
  <c r="N780" i="1"/>
  <c r="M780" i="1"/>
  <c r="L780" i="1"/>
  <c r="P775" i="1"/>
  <c r="O775" i="1"/>
  <c r="N775" i="1"/>
  <c r="P774" i="1"/>
  <c r="O774" i="1"/>
  <c r="M773" i="1"/>
  <c r="P773" i="1" s="1"/>
  <c r="L773" i="1"/>
  <c r="O773" i="1" s="1"/>
  <c r="M772" i="1"/>
  <c r="P772" i="1" s="1"/>
  <c r="L772" i="1"/>
  <c r="P771" i="1"/>
  <c r="N771" i="1"/>
  <c r="M771" i="1"/>
  <c r="M770" i="1" s="1"/>
  <c r="P770" i="1" s="1"/>
  <c r="L771" i="1"/>
  <c r="O771" i="1" s="1"/>
  <c r="K769" i="1"/>
  <c r="J769" i="1"/>
  <c r="P766" i="1"/>
  <c r="O766" i="1"/>
  <c r="P765" i="1"/>
  <c r="O765" i="1"/>
  <c r="P764" i="1"/>
  <c r="O764" i="1"/>
  <c r="N764" i="1"/>
  <c r="M764" i="1"/>
  <c r="L764" i="1"/>
  <c r="P759" i="1"/>
  <c r="O759" i="1"/>
  <c r="N759" i="1"/>
  <c r="P758" i="1"/>
  <c r="O758" i="1"/>
  <c r="M757" i="1"/>
  <c r="P757" i="1" s="1"/>
  <c r="L757" i="1"/>
  <c r="O757" i="1" s="1"/>
  <c r="M756" i="1"/>
  <c r="P756" i="1" s="1"/>
  <c r="L756" i="1"/>
  <c r="P755" i="1"/>
  <c r="N755" i="1"/>
  <c r="M755" i="1"/>
  <c r="M754" i="1" s="1"/>
  <c r="L755" i="1"/>
  <c r="O755" i="1" s="1"/>
  <c r="P754" i="1"/>
  <c r="K753" i="1"/>
  <c r="J753" i="1"/>
  <c r="P749" i="1"/>
  <c r="O749" i="1"/>
  <c r="P748" i="1"/>
  <c r="O748" i="1"/>
  <c r="P747" i="1"/>
  <c r="O747" i="1"/>
  <c r="N747" i="1"/>
  <c r="M747" i="1"/>
  <c r="L747" i="1"/>
  <c r="P742" i="1"/>
  <c r="O742" i="1"/>
  <c r="N742" i="1"/>
  <c r="P741" i="1"/>
  <c r="O741" i="1"/>
  <c r="M740" i="1"/>
  <c r="P740" i="1" s="1"/>
  <c r="L740" i="1"/>
  <c r="O740" i="1" s="1"/>
  <c r="M739" i="1"/>
  <c r="P739" i="1" s="1"/>
  <c r="L739" i="1"/>
  <c r="P738" i="1"/>
  <c r="N738" i="1"/>
  <c r="M738" i="1"/>
  <c r="M737" i="1" s="1"/>
  <c r="P737" i="1" s="1"/>
  <c r="L738" i="1"/>
  <c r="O738" i="1" s="1"/>
  <c r="K736" i="1"/>
  <c r="J736" i="1"/>
  <c r="J735" i="1"/>
  <c r="J734" i="1"/>
  <c r="J733" i="1"/>
  <c r="J732" i="1"/>
  <c r="J731" i="1"/>
  <c r="J730" i="1"/>
  <c r="I729" i="1"/>
  <c r="J728" i="1"/>
  <c r="I728" i="1"/>
  <c r="J727" i="1"/>
  <c r="J726" i="1"/>
  <c r="I726" i="1"/>
  <c r="J725" i="1"/>
  <c r="I725" i="1"/>
  <c r="J724" i="1"/>
  <c r="J723" i="1"/>
  <c r="I723" i="1"/>
  <c r="I722" i="1"/>
  <c r="I721" i="1"/>
  <c r="J720" i="1"/>
  <c r="I720" i="1"/>
  <c r="J719" i="1"/>
  <c r="J718" i="1"/>
  <c r="J717" i="1"/>
  <c r="J716" i="1"/>
  <c r="J715" i="1"/>
  <c r="J714" i="1"/>
  <c r="J713" i="1"/>
  <c r="J712" i="1"/>
  <c r="J710" i="1"/>
  <c r="J709" i="1"/>
  <c r="I708" i="1"/>
  <c r="J707" i="1"/>
  <c r="I707" i="1"/>
  <c r="J706" i="1"/>
  <c r="J705" i="1"/>
  <c r="J704" i="1"/>
  <c r="I704" i="1"/>
  <c r="J703" i="1"/>
  <c r="J702" i="1"/>
  <c r="I701" i="1"/>
  <c r="J700" i="1"/>
  <c r="I700" i="1"/>
  <c r="J699" i="1"/>
  <c r="I699" i="1"/>
  <c r="P697" i="1"/>
  <c r="O697" i="1"/>
  <c r="P696" i="1"/>
  <c r="O696" i="1"/>
  <c r="P695" i="1"/>
  <c r="N695" i="1"/>
  <c r="M695" i="1"/>
  <c r="L695" i="1"/>
  <c r="O695" i="1" s="1"/>
  <c r="N694" i="1"/>
  <c r="N693" i="1"/>
  <c r="N692" i="1"/>
  <c r="N691" i="1"/>
  <c r="P690" i="1"/>
  <c r="L690" i="1"/>
  <c r="L688" i="1" s="1"/>
  <c r="M688" i="1"/>
  <c r="P688" i="1" s="1"/>
  <c r="P687" i="1"/>
  <c r="M687" i="1"/>
  <c r="P686" i="1"/>
  <c r="O686" i="1"/>
  <c r="N686" i="1"/>
  <c r="M686" i="1"/>
  <c r="M685" i="1" s="1"/>
  <c r="P685" i="1" s="1"/>
  <c r="L686" i="1"/>
  <c r="J683" i="1"/>
  <c r="J682" i="1"/>
  <c r="J681" i="1"/>
  <c r="J680" i="1"/>
  <c r="I678" i="1"/>
  <c r="K678" i="1" s="1"/>
  <c r="J677" i="1"/>
  <c r="J676" i="1"/>
  <c r="J674" i="1"/>
  <c r="J673" i="1"/>
  <c r="J672" i="1"/>
  <c r="J671" i="1"/>
  <c r="I671" i="1"/>
  <c r="J670" i="1"/>
  <c r="I670" i="1"/>
  <c r="I669" i="1"/>
  <c r="I654" i="1" s="1"/>
  <c r="P667" i="1"/>
  <c r="O667" i="1"/>
  <c r="P666" i="1"/>
  <c r="O666" i="1"/>
  <c r="P665" i="1"/>
  <c r="O665" i="1"/>
  <c r="N665" i="1"/>
  <c r="M665" i="1"/>
  <c r="L665" i="1"/>
  <c r="N664" i="1"/>
  <c r="N663" i="1"/>
  <c r="N662" i="1"/>
  <c r="N661" i="1"/>
  <c r="P660" i="1"/>
  <c r="L660" i="1"/>
  <c r="L657" i="1" s="1"/>
  <c r="P659" i="1"/>
  <c r="O659" i="1"/>
  <c r="M658" i="1"/>
  <c r="P658" i="1" s="1"/>
  <c r="P657" i="1"/>
  <c r="M657" i="1"/>
  <c r="P656" i="1"/>
  <c r="O656" i="1"/>
  <c r="N656" i="1"/>
  <c r="M656" i="1"/>
  <c r="M655" i="1" s="1"/>
  <c r="P655" i="1" s="1"/>
  <c r="L656" i="1"/>
  <c r="K652" i="1"/>
  <c r="J652" i="1"/>
  <c r="J651" i="1"/>
  <c r="I651" i="1"/>
  <c r="I628" i="1" s="1"/>
  <c r="K650" i="1"/>
  <c r="J650" i="1"/>
  <c r="J649" i="1"/>
  <c r="I649" i="1"/>
  <c r="K648" i="1"/>
  <c r="J648" i="1"/>
  <c r="J647" i="1"/>
  <c r="I647" i="1"/>
  <c r="K646" i="1"/>
  <c r="J646" i="1"/>
  <c r="K645" i="1"/>
  <c r="J645" i="1"/>
  <c r="J644" i="1"/>
  <c r="I644" i="1"/>
  <c r="J643" i="1"/>
  <c r="I643" i="1"/>
  <c r="P641" i="1"/>
  <c r="L641" i="1"/>
  <c r="O641" i="1" s="1"/>
  <c r="P640" i="1"/>
  <c r="O640" i="1"/>
  <c r="P639" i="1"/>
  <c r="N639" i="1"/>
  <c r="M639" i="1"/>
  <c r="N638" i="1"/>
  <c r="N637" i="1"/>
  <c r="N636" i="1"/>
  <c r="N635" i="1"/>
  <c r="P634" i="1"/>
  <c r="L634" i="1"/>
  <c r="P633" i="1"/>
  <c r="O633" i="1"/>
  <c r="M632" i="1"/>
  <c r="P632" i="1" s="1"/>
  <c r="M631" i="1"/>
  <c r="N630" i="1"/>
  <c r="M630" i="1"/>
  <c r="P630" i="1" s="1"/>
  <c r="L630" i="1"/>
  <c r="J627" i="1"/>
  <c r="J626" i="1"/>
  <c r="J625" i="1"/>
  <c r="J624" i="1"/>
  <c r="J623" i="1"/>
  <c r="J622" i="1"/>
  <c r="I621" i="1"/>
  <c r="K621" i="1" s="1"/>
  <c r="I620" i="1"/>
  <c r="K620" i="1" s="1"/>
  <c r="K613" i="1"/>
  <c r="J613" i="1"/>
  <c r="K612" i="1"/>
  <c r="J612" i="1"/>
  <c r="K611" i="1"/>
  <c r="J611" i="1"/>
  <c r="J610" i="1"/>
  <c r="J609" i="1"/>
  <c r="J608" i="1"/>
  <c r="J607" i="1"/>
  <c r="J606" i="1"/>
  <c r="J605" i="1"/>
  <c r="J602" i="1"/>
  <c r="J601" i="1"/>
  <c r="J600" i="1"/>
  <c r="J599" i="1"/>
  <c r="J598" i="1"/>
  <c r="J597" i="1"/>
  <c r="I594" i="1"/>
  <c r="I593" i="1"/>
  <c r="J591" i="1"/>
  <c r="J590" i="1"/>
  <c r="J589" i="1"/>
  <c r="J588" i="1"/>
  <c r="J587" i="1"/>
  <c r="J586" i="1"/>
  <c r="J585" i="1"/>
  <c r="J584" i="1"/>
  <c r="J581" i="1"/>
  <c r="J580" i="1"/>
  <c r="J579" i="1"/>
  <c r="J578" i="1"/>
  <c r="I577" i="1"/>
  <c r="I576" i="1"/>
  <c r="I559" i="1" s="1"/>
  <c r="I543" i="1" s="1"/>
  <c r="J575" i="1"/>
  <c r="J574" i="1"/>
  <c r="J573" i="1"/>
  <c r="J572" i="1"/>
  <c r="J571" i="1"/>
  <c r="J570" i="1"/>
  <c r="I569" i="1"/>
  <c r="I568" i="1"/>
  <c r="J567" i="1"/>
  <c r="J566" i="1"/>
  <c r="J565" i="1"/>
  <c r="J564" i="1"/>
  <c r="J563" i="1"/>
  <c r="J562" i="1"/>
  <c r="I561" i="1"/>
  <c r="I560" i="1"/>
  <c r="P557" i="1"/>
  <c r="L557" i="1"/>
  <c r="P556" i="1"/>
  <c r="O556" i="1"/>
  <c r="N555" i="1"/>
  <c r="M555" i="1"/>
  <c r="P555" i="1" s="1"/>
  <c r="N554" i="1"/>
  <c r="N553" i="1"/>
  <c r="N552" i="1"/>
  <c r="N551" i="1"/>
  <c r="N550" i="1"/>
  <c r="P549" i="1"/>
  <c r="L549" i="1"/>
  <c r="L547" i="1" s="1"/>
  <c r="P548" i="1"/>
  <c r="O548" i="1"/>
  <c r="P547" i="1"/>
  <c r="M547" i="1"/>
  <c r="P546" i="1"/>
  <c r="M546" i="1"/>
  <c r="O545" i="1"/>
  <c r="N545" i="1"/>
  <c r="M545" i="1"/>
  <c r="P545" i="1" s="1"/>
  <c r="L545" i="1"/>
  <c r="M544" i="1"/>
  <c r="P544" i="1" s="1"/>
  <c r="J542" i="1"/>
  <c r="I542" i="1"/>
  <c r="J541" i="1"/>
  <c r="I541" i="1"/>
  <c r="J540" i="1"/>
  <c r="I540" i="1"/>
  <c r="K540" i="1" s="1"/>
  <c r="J539" i="1"/>
  <c r="I539" i="1"/>
  <c r="K539" i="1" s="1"/>
  <c r="J538" i="1"/>
  <c r="I538" i="1"/>
  <c r="I537" i="1"/>
  <c r="P535" i="1"/>
  <c r="L535" i="1"/>
  <c r="O535" i="1" s="1"/>
  <c r="P534" i="1"/>
  <c r="O534" i="1"/>
  <c r="N533" i="1"/>
  <c r="M533" i="1"/>
  <c r="P533" i="1" s="1"/>
  <c r="N532" i="1"/>
  <c r="N531" i="1"/>
  <c r="N530" i="1"/>
  <c r="N529" i="1"/>
  <c r="P528" i="1"/>
  <c r="L528" i="1"/>
  <c r="P527" i="1"/>
  <c r="O527" i="1"/>
  <c r="P526" i="1"/>
  <c r="M526" i="1"/>
  <c r="P525" i="1"/>
  <c r="M525" i="1"/>
  <c r="P524" i="1"/>
  <c r="O524" i="1"/>
  <c r="N524" i="1"/>
  <c r="M524" i="1"/>
  <c r="L524" i="1"/>
  <c r="M523" i="1"/>
  <c r="P523" i="1" s="1"/>
  <c r="K517" i="1"/>
  <c r="J517" i="1"/>
  <c r="J501" i="1" s="1"/>
  <c r="K516" i="1"/>
  <c r="P514" i="1"/>
  <c r="O514" i="1"/>
  <c r="P513" i="1"/>
  <c r="O513" i="1"/>
  <c r="P512" i="1"/>
  <c r="N512" i="1"/>
  <c r="M512" i="1"/>
  <c r="L512" i="1"/>
  <c r="O512" i="1" s="1"/>
  <c r="P507" i="1"/>
  <c r="O507" i="1"/>
  <c r="N507" i="1"/>
  <c r="P506" i="1"/>
  <c r="O506" i="1"/>
  <c r="P505" i="1"/>
  <c r="O505" i="1"/>
  <c r="N505" i="1"/>
  <c r="M505" i="1"/>
  <c r="L505" i="1"/>
  <c r="O504" i="1"/>
  <c r="N504" i="1"/>
  <c r="N502" i="1" s="1"/>
  <c r="M504" i="1"/>
  <c r="P504" i="1" s="1"/>
  <c r="L504" i="1"/>
  <c r="N503" i="1"/>
  <c r="M503" i="1"/>
  <c r="L503" i="1"/>
  <c r="O503" i="1" s="1"/>
  <c r="K501" i="1"/>
  <c r="K500" i="1"/>
  <c r="J500" i="1"/>
  <c r="J499" i="1"/>
  <c r="J498" i="1"/>
  <c r="I498" i="1"/>
  <c r="J496" i="1"/>
  <c r="J495" i="1"/>
  <c r="I495" i="1"/>
  <c r="J492" i="1"/>
  <c r="I492" i="1"/>
  <c r="J491" i="1"/>
  <c r="J489" i="1"/>
  <c r="I489" i="1"/>
  <c r="J488" i="1"/>
  <c r="J487" i="1"/>
  <c r="I487" i="1"/>
  <c r="J485" i="1"/>
  <c r="I485" i="1"/>
  <c r="J484" i="1"/>
  <c r="J483" i="1"/>
  <c r="I483" i="1"/>
  <c r="P479" i="1"/>
  <c r="L479" i="1"/>
  <c r="P478" i="1"/>
  <c r="O478" i="1"/>
  <c r="P477" i="1"/>
  <c r="N477" i="1"/>
  <c r="M477" i="1"/>
  <c r="N476" i="1"/>
  <c r="N475" i="1"/>
  <c r="N474" i="1"/>
  <c r="N473" i="1"/>
  <c r="P472" i="1"/>
  <c r="L472" i="1"/>
  <c r="P471" i="1"/>
  <c r="O471" i="1"/>
  <c r="M470" i="1"/>
  <c r="P470" i="1" s="1"/>
  <c r="O469" i="1"/>
  <c r="M469" i="1"/>
  <c r="P469" i="1" s="1"/>
  <c r="P468" i="1"/>
  <c r="N468" i="1"/>
  <c r="M468" i="1"/>
  <c r="O468" i="1" s="1"/>
  <c r="L468" i="1"/>
  <c r="L467" i="1"/>
  <c r="I466" i="1"/>
  <c r="I465" i="1"/>
  <c r="J464" i="1"/>
  <c r="I464" i="1"/>
  <c r="J463" i="1"/>
  <c r="I463" i="1"/>
  <c r="J462" i="1"/>
  <c r="J443" i="1" s="1"/>
  <c r="I462" i="1"/>
  <c r="I443" i="1" s="1"/>
  <c r="J460" i="1"/>
  <c r="J442" i="1" s="1"/>
  <c r="I460" i="1"/>
  <c r="K458" i="1"/>
  <c r="P456" i="1"/>
  <c r="L456" i="1"/>
  <c r="P455" i="1"/>
  <c r="O455" i="1"/>
  <c r="N454" i="1"/>
  <c r="M454" i="1"/>
  <c r="P454" i="1" s="1"/>
  <c r="N453" i="1"/>
  <c r="N452" i="1"/>
  <c r="N451" i="1"/>
  <c r="N450" i="1"/>
  <c r="P449" i="1"/>
  <c r="L449" i="1"/>
  <c r="P448" i="1"/>
  <c r="O448" i="1"/>
  <c r="P447" i="1"/>
  <c r="M447" i="1"/>
  <c r="P446" i="1"/>
  <c r="M446" i="1"/>
  <c r="O445" i="1"/>
  <c r="N445" i="1"/>
  <c r="M445" i="1"/>
  <c r="L445" i="1"/>
  <c r="I441" i="1"/>
  <c r="K441" i="1" s="1"/>
  <c r="J440" i="1"/>
  <c r="I440" i="1"/>
  <c r="J439" i="1"/>
  <c r="I439" i="1"/>
  <c r="J438" i="1"/>
  <c r="I438" i="1"/>
  <c r="J437" i="1"/>
  <c r="I437" i="1"/>
  <c r="J435" i="1"/>
  <c r="I435" i="1"/>
  <c r="J433" i="1"/>
  <c r="J417" i="1" s="1"/>
  <c r="P431" i="1"/>
  <c r="L431" i="1"/>
  <c r="L429" i="1" s="1"/>
  <c r="O429" i="1" s="1"/>
  <c r="P430" i="1"/>
  <c r="O430" i="1"/>
  <c r="P429" i="1"/>
  <c r="N429" i="1"/>
  <c r="M429" i="1"/>
  <c r="N428" i="1"/>
  <c r="N427" i="1"/>
  <c r="N426" i="1"/>
  <c r="N425" i="1"/>
  <c r="P424" i="1"/>
  <c r="L424" i="1"/>
  <c r="L422" i="1" s="1"/>
  <c r="P423" i="1"/>
  <c r="O423" i="1"/>
  <c r="M422" i="1"/>
  <c r="P422" i="1" s="1"/>
  <c r="P421" i="1"/>
  <c r="M421" i="1"/>
  <c r="P420" i="1"/>
  <c r="O420" i="1"/>
  <c r="N420" i="1"/>
  <c r="M420" i="1"/>
  <c r="L420" i="1"/>
  <c r="P419" i="1"/>
  <c r="M419" i="1"/>
  <c r="J413" i="1"/>
  <c r="I413" i="1"/>
  <c r="K413" i="1" s="1"/>
  <c r="J412" i="1"/>
  <c r="J401" i="1" s="1"/>
  <c r="I412" i="1"/>
  <c r="K412" i="1" s="1"/>
  <c r="N410" i="1"/>
  <c r="N408" i="1" s="1"/>
  <c r="M410" i="1"/>
  <c r="L410" i="1"/>
  <c r="L408" i="1" s="1"/>
  <c r="O408" i="1" s="1"/>
  <c r="P409" i="1"/>
  <c r="O409" i="1"/>
  <c r="N407" i="1"/>
  <c r="N405" i="1" s="1"/>
  <c r="M407" i="1"/>
  <c r="L407" i="1"/>
  <c r="L405" i="1" s="1"/>
  <c r="O405" i="1" s="1"/>
  <c r="P406" i="1"/>
  <c r="O406" i="1"/>
  <c r="N403" i="1"/>
  <c r="M403" i="1"/>
  <c r="L403" i="1"/>
  <c r="O403" i="1" s="1"/>
  <c r="J400" i="1"/>
  <c r="J388" i="1" s="1"/>
  <c r="I400" i="1"/>
  <c r="J399" i="1"/>
  <c r="I399" i="1"/>
  <c r="K399" i="1" s="1"/>
  <c r="N397" i="1"/>
  <c r="N395" i="1" s="1"/>
  <c r="M397" i="1"/>
  <c r="P397" i="1" s="1"/>
  <c r="L397" i="1"/>
  <c r="L395" i="1" s="1"/>
  <c r="O395" i="1" s="1"/>
  <c r="P396" i="1"/>
  <c r="O396" i="1"/>
  <c r="N394" i="1"/>
  <c r="N392" i="1" s="1"/>
  <c r="M394" i="1"/>
  <c r="M392" i="1" s="1"/>
  <c r="P392" i="1" s="1"/>
  <c r="L394" i="1"/>
  <c r="P393" i="1"/>
  <c r="O393" i="1"/>
  <c r="N390" i="1"/>
  <c r="M390" i="1"/>
  <c r="L390" i="1"/>
  <c r="J385" i="1"/>
  <c r="I385" i="1"/>
  <c r="K382" i="1"/>
  <c r="J382" i="1"/>
  <c r="J381" i="1"/>
  <c r="J374" i="1" s="1"/>
  <c r="I381" i="1"/>
  <c r="K380" i="1"/>
  <c r="J380" i="1"/>
  <c r="J379" i="1"/>
  <c r="I379" i="1"/>
  <c r="J378" i="1"/>
  <c r="I378" i="1"/>
  <c r="K377" i="1"/>
  <c r="J377" i="1"/>
  <c r="I374" i="1"/>
  <c r="K373" i="1"/>
  <c r="J373" i="1"/>
  <c r="J372" i="1"/>
  <c r="J365" i="1" s="1"/>
  <c r="I372" i="1"/>
  <c r="K371" i="1"/>
  <c r="J371" i="1"/>
  <c r="J370" i="1"/>
  <c r="I370" i="1"/>
  <c r="J369" i="1"/>
  <c r="I369" i="1"/>
  <c r="K368" i="1"/>
  <c r="J368" i="1"/>
  <c r="I365" i="1"/>
  <c r="K363" i="1"/>
  <c r="J363" i="1"/>
  <c r="J362" i="1"/>
  <c r="I362" i="1"/>
  <c r="K361" i="1"/>
  <c r="J361" i="1"/>
  <c r="J360" i="1"/>
  <c r="I360" i="1"/>
  <c r="J359" i="1"/>
  <c r="I359" i="1"/>
  <c r="K358" i="1"/>
  <c r="J358" i="1"/>
  <c r="I355" i="1"/>
  <c r="N353" i="1"/>
  <c r="N351" i="1" s="1"/>
  <c r="M353" i="1"/>
  <c r="M351" i="1" s="1"/>
  <c r="L353" i="1"/>
  <c r="L351" i="1" s="1"/>
  <c r="P352" i="1"/>
  <c r="O352" i="1"/>
  <c r="N350" i="1"/>
  <c r="M350" i="1"/>
  <c r="L350" i="1"/>
  <c r="P349" i="1"/>
  <c r="O349" i="1"/>
  <c r="N346" i="1"/>
  <c r="M346" i="1"/>
  <c r="L346" i="1"/>
  <c r="O346" i="1" s="1"/>
  <c r="J343" i="1"/>
  <c r="J342" i="1"/>
  <c r="J341" i="1"/>
  <c r="J340" i="1"/>
  <c r="I340" i="1"/>
  <c r="J338" i="1"/>
  <c r="I338" i="1"/>
  <c r="N336" i="1"/>
  <c r="M336" i="1"/>
  <c r="P336" i="1" s="1"/>
  <c r="L336" i="1"/>
  <c r="O336" i="1" s="1"/>
  <c r="P335" i="1"/>
  <c r="O335" i="1"/>
  <c r="N333" i="1"/>
  <c r="N331" i="1" s="1"/>
  <c r="M333" i="1"/>
  <c r="L333" i="1"/>
  <c r="P332" i="1"/>
  <c r="O332" i="1"/>
  <c r="P329" i="1"/>
  <c r="O329" i="1"/>
  <c r="N329" i="1"/>
  <c r="M329" i="1"/>
  <c r="L329" i="1"/>
  <c r="P328" i="1"/>
  <c r="I327" i="1"/>
  <c r="J325" i="1"/>
  <c r="I325" i="1"/>
  <c r="I314" i="1" s="1"/>
  <c r="P323" i="1"/>
  <c r="N323" i="1"/>
  <c r="N321" i="1" s="1"/>
  <c r="M323" i="1"/>
  <c r="L323" i="1"/>
  <c r="P322" i="1"/>
  <c r="O322" i="1"/>
  <c r="P321" i="1"/>
  <c r="M321" i="1"/>
  <c r="P320" i="1"/>
  <c r="N320" i="1"/>
  <c r="N318" i="1" s="1"/>
  <c r="M320" i="1"/>
  <c r="L320" i="1"/>
  <c r="P319" i="1"/>
  <c r="O319" i="1"/>
  <c r="M318" i="1"/>
  <c r="P318" i="1" s="1"/>
  <c r="M317" i="1"/>
  <c r="P317" i="1" s="1"/>
  <c r="N316" i="1"/>
  <c r="M316" i="1"/>
  <c r="P316" i="1" s="1"/>
  <c r="L316" i="1"/>
  <c r="O316" i="1" s="1"/>
  <c r="J312" i="1"/>
  <c r="I312" i="1"/>
  <c r="J311" i="1"/>
  <c r="I311" i="1"/>
  <c r="J310" i="1"/>
  <c r="I310" i="1"/>
  <c r="J309" i="1"/>
  <c r="I309" i="1"/>
  <c r="I297" i="1" s="1"/>
  <c r="J308" i="1"/>
  <c r="N306" i="1"/>
  <c r="N304" i="1" s="1"/>
  <c r="M306" i="1"/>
  <c r="L306" i="1"/>
  <c r="P305" i="1"/>
  <c r="O305" i="1"/>
  <c r="N303" i="1"/>
  <c r="M303" i="1"/>
  <c r="L303" i="1"/>
  <c r="L301" i="1" s="1"/>
  <c r="P302" i="1"/>
  <c r="O302" i="1"/>
  <c r="N299" i="1"/>
  <c r="M299" i="1"/>
  <c r="P299" i="1" s="1"/>
  <c r="L299" i="1"/>
  <c r="J294" i="1"/>
  <c r="I294" i="1"/>
  <c r="J293" i="1"/>
  <c r="I293" i="1"/>
  <c r="J291" i="1"/>
  <c r="I291" i="1"/>
  <c r="J290" i="1"/>
  <c r="I290" i="1"/>
  <c r="I288" i="1"/>
  <c r="I275" i="1" s="1"/>
  <c r="J287" i="1"/>
  <c r="J276" i="1" s="1"/>
  <c r="I287" i="1"/>
  <c r="N285" i="1"/>
  <c r="N283" i="1" s="1"/>
  <c r="M285" i="1"/>
  <c r="L285" i="1"/>
  <c r="L283" i="1" s="1"/>
  <c r="O283" i="1" s="1"/>
  <c r="P284" i="1"/>
  <c r="O284" i="1"/>
  <c r="N282" i="1"/>
  <c r="N280" i="1" s="1"/>
  <c r="M282" i="1"/>
  <c r="L282" i="1"/>
  <c r="L280" i="1" s="1"/>
  <c r="P281" i="1"/>
  <c r="O281" i="1"/>
  <c r="N278" i="1"/>
  <c r="M278" i="1"/>
  <c r="P278" i="1" s="1"/>
  <c r="L278" i="1"/>
  <c r="J271" i="1"/>
  <c r="J260" i="1" s="1"/>
  <c r="I271" i="1"/>
  <c r="N269" i="1"/>
  <c r="N267" i="1" s="1"/>
  <c r="M269" i="1"/>
  <c r="L269" i="1"/>
  <c r="L267" i="1" s="1"/>
  <c r="O267" i="1" s="1"/>
  <c r="P268" i="1"/>
  <c r="O268" i="1"/>
  <c r="N266" i="1"/>
  <c r="N264" i="1" s="1"/>
  <c r="M266" i="1"/>
  <c r="L266" i="1"/>
  <c r="L264" i="1" s="1"/>
  <c r="P265" i="1"/>
  <c r="O265" i="1"/>
  <c r="N262" i="1"/>
  <c r="M262" i="1"/>
  <c r="P262" i="1" s="1"/>
  <c r="L262" i="1"/>
  <c r="J258" i="1"/>
  <c r="I258" i="1"/>
  <c r="J257" i="1"/>
  <c r="I257" i="1"/>
  <c r="J255" i="1"/>
  <c r="J248" i="1" s="1"/>
  <c r="I255" i="1"/>
  <c r="I248" i="1" s="1"/>
  <c r="N253" i="1"/>
  <c r="L253" i="1"/>
  <c r="N252" i="1"/>
  <c r="L252" i="1"/>
  <c r="N251" i="1"/>
  <c r="L251" i="1"/>
  <c r="N250" i="1"/>
  <c r="L250" i="1"/>
  <c r="P249" i="1"/>
  <c r="J247" i="1"/>
  <c r="I247" i="1"/>
  <c r="J246" i="1"/>
  <c r="I246" i="1"/>
  <c r="J244" i="1"/>
  <c r="I244" i="1"/>
  <c r="I237" i="1" s="1"/>
  <c r="N242" i="1"/>
  <c r="L242" i="1"/>
  <c r="N241" i="1"/>
  <c r="L241" i="1"/>
  <c r="N240" i="1"/>
  <c r="L240" i="1"/>
  <c r="N239" i="1"/>
  <c r="L239" i="1"/>
  <c r="P238" i="1"/>
  <c r="J225" i="1"/>
  <c r="I225" i="1"/>
  <c r="J224" i="1"/>
  <c r="J216" i="1" s="1"/>
  <c r="I224" i="1"/>
  <c r="J223" i="1"/>
  <c r="I223" i="1"/>
  <c r="N220" i="1"/>
  <c r="L220" i="1"/>
  <c r="N219" i="1"/>
  <c r="L219" i="1"/>
  <c r="N218" i="1"/>
  <c r="L218" i="1"/>
  <c r="P217" i="1"/>
  <c r="J215" i="1"/>
  <c r="I215" i="1"/>
  <c r="I208" i="1" s="1"/>
  <c r="J214" i="1"/>
  <c r="I214" i="1"/>
  <c r="N212" i="1"/>
  <c r="L212" i="1"/>
  <c r="N211" i="1"/>
  <c r="L211" i="1"/>
  <c r="N210" i="1"/>
  <c r="L210" i="1"/>
  <c r="P209" i="1"/>
  <c r="J207" i="1"/>
  <c r="I207" i="1"/>
  <c r="J206" i="1"/>
  <c r="I206" i="1"/>
  <c r="J204" i="1"/>
  <c r="J197" i="1" s="1"/>
  <c r="I204" i="1"/>
  <c r="I197" i="1" s="1"/>
  <c r="N202" i="1"/>
  <c r="L202" i="1"/>
  <c r="N201" i="1"/>
  <c r="L201" i="1"/>
  <c r="N200" i="1"/>
  <c r="L200" i="1"/>
  <c r="N199" i="1"/>
  <c r="L199" i="1"/>
  <c r="P198" i="1"/>
  <c r="J196" i="1"/>
  <c r="J195" i="1"/>
  <c r="J193" i="1"/>
  <c r="J190" i="1" s="1"/>
  <c r="I193" i="1"/>
  <c r="I190" i="1" s="1"/>
  <c r="P191" i="1"/>
  <c r="N191" i="1"/>
  <c r="L191" i="1"/>
  <c r="N189" i="1"/>
  <c r="M189" i="1"/>
  <c r="P189" i="1" s="1"/>
  <c r="L189" i="1"/>
  <c r="O189" i="1" s="1"/>
  <c r="P188" i="1"/>
  <c r="O188" i="1"/>
  <c r="N186" i="1"/>
  <c r="M186" i="1"/>
  <c r="M184" i="1" s="1"/>
  <c r="L186" i="1"/>
  <c r="P185" i="1"/>
  <c r="O185" i="1"/>
  <c r="P182" i="1"/>
  <c r="O182" i="1"/>
  <c r="N182" i="1"/>
  <c r="M182" i="1"/>
  <c r="L182" i="1"/>
  <c r="J177" i="1"/>
  <c r="J176" i="1"/>
  <c r="J174" i="1" s="1"/>
  <c r="J164" i="1" s="1"/>
  <c r="I176" i="1"/>
  <c r="N173" i="1"/>
  <c r="N171" i="1" s="1"/>
  <c r="M173" i="1"/>
  <c r="P173" i="1" s="1"/>
  <c r="L173" i="1"/>
  <c r="P172" i="1"/>
  <c r="O172" i="1"/>
  <c r="N170" i="1"/>
  <c r="N168" i="1" s="1"/>
  <c r="M170" i="1"/>
  <c r="M168" i="1" s="1"/>
  <c r="L170" i="1"/>
  <c r="P169" i="1"/>
  <c r="O169" i="1"/>
  <c r="P166" i="1"/>
  <c r="N166" i="1"/>
  <c r="M166" i="1"/>
  <c r="L166" i="1"/>
  <c r="J159" i="1"/>
  <c r="J148" i="1" s="1"/>
  <c r="I159" i="1"/>
  <c r="I148" i="1" s="1"/>
  <c r="N157" i="1"/>
  <c r="N155" i="1" s="1"/>
  <c r="M157" i="1"/>
  <c r="P157" i="1" s="1"/>
  <c r="L157" i="1"/>
  <c r="P156" i="1"/>
  <c r="O156" i="1"/>
  <c r="N154" i="1"/>
  <c r="M154" i="1"/>
  <c r="M152" i="1" s="1"/>
  <c r="L154" i="1"/>
  <c r="L152" i="1" s="1"/>
  <c r="P153" i="1"/>
  <c r="O153" i="1"/>
  <c r="O150" i="1"/>
  <c r="N150" i="1"/>
  <c r="M150" i="1"/>
  <c r="P150" i="1" s="1"/>
  <c r="L150" i="1"/>
  <c r="J146" i="1"/>
  <c r="J130" i="1" s="1"/>
  <c r="I146" i="1"/>
  <c r="I130" i="1" s="1"/>
  <c r="J145" i="1"/>
  <c r="I145" i="1"/>
  <c r="J144" i="1"/>
  <c r="I144" i="1"/>
  <c r="J142" i="1"/>
  <c r="N140" i="1"/>
  <c r="M140" i="1"/>
  <c r="M138" i="1" s="1"/>
  <c r="L140" i="1"/>
  <c r="L138" i="1" s="1"/>
  <c r="P139" i="1"/>
  <c r="O139" i="1"/>
  <c r="N137" i="1"/>
  <c r="N135" i="1" s="1"/>
  <c r="M137" i="1"/>
  <c r="L137" i="1"/>
  <c r="P136" i="1"/>
  <c r="O136" i="1"/>
  <c r="P133" i="1"/>
  <c r="O133" i="1"/>
  <c r="N133" i="1"/>
  <c r="M133" i="1"/>
  <c r="L133" i="1"/>
  <c r="N127" i="1"/>
  <c r="N125" i="1" s="1"/>
  <c r="M127" i="1"/>
  <c r="L127" i="1"/>
  <c r="L125" i="1" s="1"/>
  <c r="P126" i="1"/>
  <c r="O126" i="1"/>
  <c r="N124" i="1"/>
  <c r="M124" i="1"/>
  <c r="L124" i="1"/>
  <c r="L122" i="1" s="1"/>
  <c r="O122" i="1" s="1"/>
  <c r="P123" i="1"/>
  <c r="O123" i="1"/>
  <c r="N120" i="1"/>
  <c r="M120" i="1"/>
  <c r="L120" i="1"/>
  <c r="O120" i="1" s="1"/>
  <c r="J116" i="1"/>
  <c r="I116" i="1"/>
  <c r="J115" i="1"/>
  <c r="I115" i="1"/>
  <c r="J114" i="1"/>
  <c r="J111" i="1" s="1"/>
  <c r="I114" i="1"/>
  <c r="J113" i="1"/>
  <c r="I113" i="1"/>
  <c r="I111" i="1"/>
  <c r="J110" i="1"/>
  <c r="I110" i="1"/>
  <c r="J109" i="1"/>
  <c r="I109" i="1"/>
  <c r="J107" i="1"/>
  <c r="I107" i="1"/>
  <c r="J106" i="1"/>
  <c r="I106" i="1"/>
  <c r="J104" i="1"/>
  <c r="J99" i="1" s="1"/>
  <c r="J87" i="1" s="1"/>
  <c r="I104" i="1"/>
  <c r="J103" i="1"/>
  <c r="I103" i="1"/>
  <c r="J102" i="1"/>
  <c r="J98" i="1" s="1"/>
  <c r="J86" i="1" s="1"/>
  <c r="I102" i="1"/>
  <c r="I100" i="1"/>
  <c r="I99" i="1"/>
  <c r="I87" i="1" s="1"/>
  <c r="I98" i="1"/>
  <c r="I86" i="1" s="1"/>
  <c r="N96" i="1"/>
  <c r="N94" i="1" s="1"/>
  <c r="M96" i="1"/>
  <c r="M94" i="1" s="1"/>
  <c r="P94" i="1" s="1"/>
  <c r="L96" i="1"/>
  <c r="O96" i="1" s="1"/>
  <c r="P95" i="1"/>
  <c r="O95" i="1"/>
  <c r="N93" i="1"/>
  <c r="M93" i="1"/>
  <c r="M91" i="1" s="1"/>
  <c r="L93" i="1"/>
  <c r="L91" i="1" s="1"/>
  <c r="P92" i="1"/>
  <c r="O92" i="1"/>
  <c r="P89" i="1"/>
  <c r="O89" i="1"/>
  <c r="N89" i="1"/>
  <c r="M89" i="1"/>
  <c r="L89" i="1"/>
  <c r="J84" i="1"/>
  <c r="I84" i="1"/>
  <c r="J83" i="1"/>
  <c r="I83" i="1"/>
  <c r="J82" i="1"/>
  <c r="I82" i="1"/>
  <c r="J81" i="1"/>
  <c r="I81" i="1"/>
  <c r="J80" i="1"/>
  <c r="I80" i="1"/>
  <c r="J79" i="1"/>
  <c r="I79" i="1"/>
  <c r="J78" i="1"/>
  <c r="I78" i="1"/>
  <c r="N74" i="1"/>
  <c r="N72" i="1" s="1"/>
  <c r="M74" i="1"/>
  <c r="P74" i="1" s="1"/>
  <c r="L74" i="1"/>
  <c r="L72" i="1" s="1"/>
  <c r="O72" i="1" s="1"/>
  <c r="P73" i="1"/>
  <c r="O73" i="1"/>
  <c r="N71" i="1"/>
  <c r="N69" i="1" s="1"/>
  <c r="M71" i="1"/>
  <c r="L71" i="1"/>
  <c r="L69" i="1" s="1"/>
  <c r="P70" i="1"/>
  <c r="O70" i="1"/>
  <c r="P67" i="1"/>
  <c r="N67" i="1"/>
  <c r="M67" i="1"/>
  <c r="L67" i="1"/>
  <c r="O67" i="1" s="1"/>
  <c r="N61" i="1"/>
  <c r="M61" i="1"/>
  <c r="M59" i="1" s="1"/>
  <c r="L61" i="1"/>
  <c r="L59" i="1" s="1"/>
  <c r="P60" i="1"/>
  <c r="O60" i="1"/>
  <c r="N58" i="1"/>
  <c r="N56" i="1" s="1"/>
  <c r="M58" i="1"/>
  <c r="M56" i="1" s="1"/>
  <c r="L58" i="1"/>
  <c r="L56" i="1" s="1"/>
  <c r="P57" i="1"/>
  <c r="O57" i="1"/>
  <c r="O54" i="1"/>
  <c r="N54" i="1"/>
  <c r="M54" i="1"/>
  <c r="P54" i="1" s="1"/>
  <c r="L54" i="1"/>
  <c r="N49" i="1"/>
  <c r="N47" i="1" s="1"/>
  <c r="M49" i="1"/>
  <c r="P49" i="1" s="1"/>
  <c r="L49" i="1"/>
  <c r="L47" i="1" s="1"/>
  <c r="O47" i="1" s="1"/>
  <c r="P48" i="1"/>
  <c r="O48" i="1"/>
  <c r="N46" i="1"/>
  <c r="M46" i="1"/>
  <c r="M44" i="1" s="1"/>
  <c r="L46" i="1"/>
  <c r="P45" i="1"/>
  <c r="O45" i="1"/>
  <c r="P42" i="1"/>
  <c r="N42" i="1"/>
  <c r="M42" i="1"/>
  <c r="L42" i="1"/>
  <c r="O42" i="1" s="1"/>
  <c r="N36" i="1"/>
  <c r="M36" i="1"/>
  <c r="P36" i="1" s="1"/>
  <c r="N35" i="1"/>
  <c r="N29" i="1" s="1"/>
  <c r="M35" i="1"/>
  <c r="M34" i="1" s="1"/>
  <c r="P34" i="1" s="1"/>
  <c r="L35" i="1"/>
  <c r="O35" i="1" s="1"/>
  <c r="P33" i="1"/>
  <c r="M33" i="1"/>
  <c r="O32" i="1"/>
  <c r="N32" i="1"/>
  <c r="M32" i="1"/>
  <c r="L32" i="1"/>
  <c r="P31" i="1"/>
  <c r="M31" i="1"/>
  <c r="M30" i="1"/>
  <c r="P30" i="1" s="1"/>
  <c r="M29" i="1"/>
  <c r="M28" i="1" s="1"/>
  <c r="P28" i="1" s="1"/>
  <c r="L29" i="1"/>
  <c r="O29" i="1" s="1"/>
  <c r="P25" i="1"/>
  <c r="O25" i="1"/>
  <c r="N25" i="1"/>
  <c r="M25" i="1"/>
  <c r="L25" i="1"/>
  <c r="N22" i="1"/>
  <c r="N19" i="1" s="1"/>
  <c r="M22" i="1"/>
  <c r="L22" i="1"/>
  <c r="O22" i="1" s="1"/>
  <c r="N15" i="1"/>
  <c r="M15" i="1"/>
  <c r="L15" i="1"/>
  <c r="O15" i="1" s="1"/>
  <c r="L533" i="4" l="1"/>
  <c r="O533" i="4" s="1"/>
  <c r="I130" i="15"/>
  <c r="K130" i="15" s="1"/>
  <c r="K823" i="18"/>
  <c r="L477" i="5"/>
  <c r="O477" i="5" s="1"/>
  <c r="N9" i="15"/>
  <c r="I443" i="10"/>
  <c r="K443" i="10" s="1"/>
  <c r="L632" i="6"/>
  <c r="O632" i="6" s="1"/>
  <c r="I87" i="6"/>
  <c r="K87" i="6" s="1"/>
  <c r="L632" i="5"/>
  <c r="O632" i="5" s="1"/>
  <c r="L632" i="9"/>
  <c r="O632" i="9" s="1"/>
  <c r="L477" i="6"/>
  <c r="O477" i="6" s="1"/>
  <c r="L447" i="10"/>
  <c r="O447" i="10" s="1"/>
  <c r="L533" i="10"/>
  <c r="O533" i="10" s="1"/>
  <c r="L533" i="9"/>
  <c r="O533" i="9" s="1"/>
  <c r="L533" i="14"/>
  <c r="O533" i="14" s="1"/>
  <c r="I443" i="5"/>
  <c r="K443" i="5" s="1"/>
  <c r="L533" i="2"/>
  <c r="O533" i="2" s="1"/>
  <c r="L422" i="6"/>
  <c r="O422" i="6" s="1"/>
  <c r="L533" i="18"/>
  <c r="O533" i="18" s="1"/>
  <c r="L657" i="14"/>
  <c r="O657" i="14" s="1"/>
  <c r="K379" i="18"/>
  <c r="L657" i="18"/>
  <c r="O657" i="18" s="1"/>
  <c r="L454" i="14"/>
  <c r="O454" i="14" s="1"/>
  <c r="I297" i="13"/>
  <c r="K297" i="13" s="1"/>
  <c r="K725" i="18"/>
  <c r="K827" i="18"/>
  <c r="P137" i="18"/>
  <c r="L447" i="2"/>
  <c r="O447" i="2" s="1"/>
  <c r="L304" i="18"/>
  <c r="O304" i="18" s="1"/>
  <c r="K360" i="18"/>
  <c r="K369" i="18"/>
  <c r="K372" i="18"/>
  <c r="O74" i="18"/>
  <c r="M330" i="18"/>
  <c r="M328" i="18" s="1"/>
  <c r="O431" i="18"/>
  <c r="P46" i="18"/>
  <c r="L151" i="18"/>
  <c r="L149" i="18" s="1"/>
  <c r="L547" i="18"/>
  <c r="O547" i="18" s="1"/>
  <c r="K98" i="18"/>
  <c r="P152" i="18"/>
  <c r="N55" i="17"/>
  <c r="N53" i="17" s="1"/>
  <c r="M90" i="18"/>
  <c r="M88" i="18" s="1"/>
  <c r="N263" i="18"/>
  <c r="N261" i="18" s="1"/>
  <c r="N279" i="18"/>
  <c r="N277" i="18" s="1"/>
  <c r="M391" i="18"/>
  <c r="P391" i="18" s="1"/>
  <c r="O59" i="18"/>
  <c r="L155" i="18"/>
  <c r="O155" i="18" s="1"/>
  <c r="O186" i="18"/>
  <c r="I260" i="18"/>
  <c r="K260" i="18" s="1"/>
  <c r="I276" i="18"/>
  <c r="K276" i="18" s="1"/>
  <c r="O318" i="18"/>
  <c r="O479" i="18"/>
  <c r="K699" i="18"/>
  <c r="K720" i="18"/>
  <c r="N134" i="17"/>
  <c r="N132" i="17" s="1"/>
  <c r="K369" i="17"/>
  <c r="I443" i="17"/>
  <c r="K443" i="17" s="1"/>
  <c r="O56" i="18"/>
  <c r="O353" i="18"/>
  <c r="I143" i="18"/>
  <c r="I131" i="18" s="1"/>
  <c r="N404" i="18"/>
  <c r="N402" i="18" s="1"/>
  <c r="N68" i="17"/>
  <c r="N66" i="17" s="1"/>
  <c r="P301" i="18"/>
  <c r="K378" i="18"/>
  <c r="J433" i="18"/>
  <c r="J417" i="18" s="1"/>
  <c r="M391" i="16"/>
  <c r="P391" i="16" s="1"/>
  <c r="L198" i="18"/>
  <c r="O198" i="18" s="1"/>
  <c r="K338" i="18"/>
  <c r="O424" i="18"/>
  <c r="K675" i="18"/>
  <c r="L788" i="18"/>
  <c r="L786" i="18" s="1"/>
  <c r="O786" i="18" s="1"/>
  <c r="M167" i="17"/>
  <c r="M171" i="17"/>
  <c r="P171" i="17" s="1"/>
  <c r="L267" i="17"/>
  <c r="O267" i="17" s="1"/>
  <c r="K372" i="17"/>
  <c r="N347" i="18"/>
  <c r="N345" i="18" s="1"/>
  <c r="K821" i="18"/>
  <c r="K824" i="18"/>
  <c r="L36" i="18"/>
  <c r="L34" i="18" s="1"/>
  <c r="O34" i="18" s="1"/>
  <c r="M68" i="18"/>
  <c r="M66" i="18" s="1"/>
  <c r="P170" i="18"/>
  <c r="P173" i="18"/>
  <c r="N300" i="18"/>
  <c r="N298" i="18" s="1"/>
  <c r="L317" i="18"/>
  <c r="L315" i="18" s="1"/>
  <c r="M125" i="17"/>
  <c r="P125" i="17" s="1"/>
  <c r="M152" i="17"/>
  <c r="P152" i="17" s="1"/>
  <c r="M122" i="18"/>
  <c r="P122" i="18" s="1"/>
  <c r="L125" i="18"/>
  <c r="O125" i="18" s="1"/>
  <c r="M151" i="18"/>
  <c r="M149" i="18" s="1"/>
  <c r="L187" i="18"/>
  <c r="O187" i="18" s="1"/>
  <c r="K822" i="18"/>
  <c r="K825" i="18"/>
  <c r="K828" i="18"/>
  <c r="K359" i="18"/>
  <c r="O456" i="18"/>
  <c r="L631" i="18"/>
  <c r="L629" i="18" s="1"/>
  <c r="O629" i="18" s="1"/>
  <c r="K723" i="18"/>
  <c r="O71" i="18"/>
  <c r="I76" i="18"/>
  <c r="K76" i="18" s="1"/>
  <c r="J143" i="18"/>
  <c r="J131" i="18" s="1"/>
  <c r="I148" i="18"/>
  <c r="K148" i="18" s="1"/>
  <c r="L231" i="18"/>
  <c r="O282" i="18"/>
  <c r="N304" i="18"/>
  <c r="N351" i="18"/>
  <c r="O351" i="18" s="1"/>
  <c r="L421" i="18"/>
  <c r="L419" i="18" s="1"/>
  <c r="O419" i="18" s="1"/>
  <c r="I443" i="18"/>
  <c r="K443" i="18" s="1"/>
  <c r="J537" i="18"/>
  <c r="J522" i="18" s="1"/>
  <c r="K522" i="18" s="1"/>
  <c r="O634" i="18"/>
  <c r="K651" i="18"/>
  <c r="O791" i="18"/>
  <c r="M317" i="18"/>
  <c r="M315" i="18" s="1"/>
  <c r="L229" i="11"/>
  <c r="I130" i="16"/>
  <c r="K130" i="16" s="1"/>
  <c r="L231" i="17"/>
  <c r="L33" i="18"/>
  <c r="O33" i="18" s="1"/>
  <c r="L134" i="18"/>
  <c r="L132" i="18" s="1"/>
  <c r="L152" i="18"/>
  <c r="O152" i="18" s="1"/>
  <c r="I233" i="18"/>
  <c r="K233" i="18" s="1"/>
  <c r="L249" i="18"/>
  <c r="O249" i="18" s="1"/>
  <c r="P282" i="18"/>
  <c r="O303" i="18"/>
  <c r="M318" i="18"/>
  <c r="P318" i="18" s="1"/>
  <c r="P320" i="18"/>
  <c r="P323" i="18"/>
  <c r="K381" i="18"/>
  <c r="O791" i="15"/>
  <c r="L26" i="18"/>
  <c r="L24" i="18" s="1"/>
  <c r="M55" i="18"/>
  <c r="M53" i="18" s="1"/>
  <c r="J722" i="18"/>
  <c r="K722" i="18" s="1"/>
  <c r="I143" i="17"/>
  <c r="K143" i="17" s="1"/>
  <c r="I208" i="17"/>
  <c r="K208" i="17" s="1"/>
  <c r="M318" i="17"/>
  <c r="P318" i="17" s="1"/>
  <c r="N68" i="18"/>
  <c r="N66" i="18" s="1"/>
  <c r="N90" i="18"/>
  <c r="N88" i="18" s="1"/>
  <c r="M155" i="18"/>
  <c r="P155" i="18" s="1"/>
  <c r="P157" i="18"/>
  <c r="M167" i="18"/>
  <c r="M165" i="18" s="1"/>
  <c r="P186" i="18"/>
  <c r="L183" i="18"/>
  <c r="L181" i="18" s="1"/>
  <c r="N280" i="18"/>
  <c r="O280" i="18" s="1"/>
  <c r="I434" i="18"/>
  <c r="I418" i="18" s="1"/>
  <c r="K418" i="18" s="1"/>
  <c r="O449" i="18"/>
  <c r="M59" i="18"/>
  <c r="P59" i="18" s="1"/>
  <c r="M72" i="18"/>
  <c r="P72" i="18" s="1"/>
  <c r="L90" i="18"/>
  <c r="L122" i="18"/>
  <c r="O122" i="18" s="1"/>
  <c r="N134" i="18"/>
  <c r="N132" i="18" s="1"/>
  <c r="L184" i="18"/>
  <c r="K224" i="18"/>
  <c r="L229" i="18"/>
  <c r="N264" i="18"/>
  <c r="O264" i="18" s="1"/>
  <c r="L267" i="18"/>
  <c r="O267" i="18" s="1"/>
  <c r="P303" i="18"/>
  <c r="M408" i="18"/>
  <c r="P408" i="18" s="1"/>
  <c r="I433" i="18"/>
  <c r="I417" i="18" s="1"/>
  <c r="K438" i="18"/>
  <c r="I442" i="18"/>
  <c r="K442" i="18" s="1"/>
  <c r="K647" i="18"/>
  <c r="I654" i="18"/>
  <c r="K654" i="18" s="1"/>
  <c r="J722" i="17"/>
  <c r="M26" i="18"/>
  <c r="M16" i="18" s="1"/>
  <c r="L43" i="18"/>
  <c r="L41" i="18" s="1"/>
  <c r="N26" i="18"/>
  <c r="N16" i="18" s="1"/>
  <c r="N14" i="18" s="1"/>
  <c r="L69" i="18"/>
  <c r="O69" i="18" s="1"/>
  <c r="L68" i="18"/>
  <c r="N91" i="18"/>
  <c r="O91" i="18" s="1"/>
  <c r="O96" i="18"/>
  <c r="P127" i="18"/>
  <c r="L135" i="18"/>
  <c r="O135" i="18" s="1"/>
  <c r="O138" i="18"/>
  <c r="N167" i="18"/>
  <c r="N165" i="18" s="1"/>
  <c r="O170" i="18"/>
  <c r="K176" i="18"/>
  <c r="P189" i="18"/>
  <c r="L209" i="18"/>
  <c r="O209" i="18" s="1"/>
  <c r="M267" i="18"/>
  <c r="P267" i="18" s="1"/>
  <c r="M280" i="18"/>
  <c r="L301" i="18"/>
  <c r="O301" i="18" s="1"/>
  <c r="K309" i="18"/>
  <c r="L321" i="18"/>
  <c r="O321" i="18" s="1"/>
  <c r="O336" i="18"/>
  <c r="L405" i="18"/>
  <c r="O405" i="18" s="1"/>
  <c r="L446" i="18"/>
  <c r="L444" i="18" s="1"/>
  <c r="O444" i="18" s="1"/>
  <c r="K539" i="18"/>
  <c r="K577" i="18"/>
  <c r="K726" i="18"/>
  <c r="O333" i="17"/>
  <c r="L23" i="18"/>
  <c r="M43" i="18"/>
  <c r="M41" i="18" s="1"/>
  <c r="O46" i="18"/>
  <c r="O49" i="18"/>
  <c r="L55" i="18"/>
  <c r="L53" i="18" s="1"/>
  <c r="O58" i="18"/>
  <c r="M121" i="18"/>
  <c r="P121" i="18" s="1"/>
  <c r="I130" i="18"/>
  <c r="K130" i="18" s="1"/>
  <c r="M135" i="18"/>
  <c r="P135" i="18" s="1"/>
  <c r="P140" i="18"/>
  <c r="K164" i="18"/>
  <c r="M183" i="18"/>
  <c r="M181" i="18" s="1"/>
  <c r="I190" i="18"/>
  <c r="K190" i="18" s="1"/>
  <c r="I208" i="18"/>
  <c r="K208" i="18" s="1"/>
  <c r="L230" i="18"/>
  <c r="M283" i="18"/>
  <c r="P283" i="18" s="1"/>
  <c r="L300" i="18"/>
  <c r="I314" i="18"/>
  <c r="K314" i="18" s="1"/>
  <c r="N317" i="18"/>
  <c r="N315" i="18" s="1"/>
  <c r="L347" i="18"/>
  <c r="O394" i="18"/>
  <c r="L469" i="18"/>
  <c r="L467" i="18" s="1"/>
  <c r="L526" i="18"/>
  <c r="O526" i="18" s="1"/>
  <c r="K649" i="18"/>
  <c r="L229" i="17"/>
  <c r="L304" i="17"/>
  <c r="O304" i="17" s="1"/>
  <c r="K649" i="17"/>
  <c r="N43" i="18"/>
  <c r="N41" i="18" s="1"/>
  <c r="N121" i="18"/>
  <c r="N119" i="18" s="1"/>
  <c r="L121" i="18"/>
  <c r="O121" i="18" s="1"/>
  <c r="P138" i="18"/>
  <c r="O173" i="18"/>
  <c r="N183" i="18"/>
  <c r="L217" i="18"/>
  <c r="O217" i="18" s="1"/>
  <c r="L263" i="18"/>
  <c r="M300" i="18"/>
  <c r="J327" i="18"/>
  <c r="K327" i="18" s="1"/>
  <c r="M347" i="18"/>
  <c r="M345" i="18" s="1"/>
  <c r="K370" i="18"/>
  <c r="O397" i="18"/>
  <c r="K700" i="18"/>
  <c r="K728" i="18"/>
  <c r="O58" i="17"/>
  <c r="O93" i="17"/>
  <c r="K146" i="17"/>
  <c r="O186" i="17"/>
  <c r="M263" i="18"/>
  <c r="J721" i="15"/>
  <c r="K721" i="15" s="1"/>
  <c r="P93" i="17"/>
  <c r="M155" i="17"/>
  <c r="P155" i="17" s="1"/>
  <c r="N317" i="17"/>
  <c r="N315" i="17" s="1"/>
  <c r="K360" i="17"/>
  <c r="N404" i="17"/>
  <c r="N402" i="17" s="1"/>
  <c r="K821" i="17"/>
  <c r="P56" i="18"/>
  <c r="K174" i="18"/>
  <c r="M264" i="18"/>
  <c r="J288" i="18"/>
  <c r="J275" i="18" s="1"/>
  <c r="K275" i="18" s="1"/>
  <c r="O320" i="18"/>
  <c r="L330" i="18"/>
  <c r="L328" i="18" s="1"/>
  <c r="N330" i="18"/>
  <c r="L391" i="18"/>
  <c r="K826" i="18"/>
  <c r="L72" i="15"/>
  <c r="O72" i="15" s="1"/>
  <c r="M94" i="17"/>
  <c r="P94" i="17" s="1"/>
  <c r="P184" i="17"/>
  <c r="M187" i="17"/>
  <c r="P187" i="17" s="1"/>
  <c r="L230" i="17"/>
  <c r="O303" i="17"/>
  <c r="K338" i="17"/>
  <c r="K825" i="17"/>
  <c r="K828" i="17"/>
  <c r="K379" i="17"/>
  <c r="K647" i="16"/>
  <c r="O59" i="17"/>
  <c r="I148" i="17"/>
  <c r="K148" i="17" s="1"/>
  <c r="K823" i="17"/>
  <c r="N134" i="16"/>
  <c r="N132" i="16" s="1"/>
  <c r="L238" i="17"/>
  <c r="O238" i="17" s="1"/>
  <c r="L347" i="17"/>
  <c r="L345" i="17" s="1"/>
  <c r="O350" i="17"/>
  <c r="O351" i="17"/>
  <c r="N391" i="17"/>
  <c r="N389" i="17" s="1"/>
  <c r="L90" i="15"/>
  <c r="L88" i="15" s="1"/>
  <c r="K370" i="16"/>
  <c r="N183" i="17"/>
  <c r="N181" i="17" s="1"/>
  <c r="P280" i="17"/>
  <c r="L317" i="17"/>
  <c r="O317" i="17" s="1"/>
  <c r="K370" i="17"/>
  <c r="K378" i="17"/>
  <c r="N392" i="17"/>
  <c r="P69" i="18"/>
  <c r="K87" i="18"/>
  <c r="K827" i="17"/>
  <c r="L9" i="18"/>
  <c r="O12" i="18"/>
  <c r="L15" i="18"/>
  <c r="O19" i="18"/>
  <c r="M23" i="18"/>
  <c r="O25" i="18"/>
  <c r="L29" i="18"/>
  <c r="M30" i="18"/>
  <c r="P30" i="18" s="1"/>
  <c r="O32" i="18"/>
  <c r="P42" i="18"/>
  <c r="P58" i="18"/>
  <c r="I77" i="18"/>
  <c r="P93" i="18"/>
  <c r="I112" i="18"/>
  <c r="K112" i="18" s="1"/>
  <c r="P120" i="18"/>
  <c r="M134" i="18"/>
  <c r="M132" i="18" s="1"/>
  <c r="O140" i="18"/>
  <c r="N151" i="18"/>
  <c r="O154" i="18"/>
  <c r="O166" i="18"/>
  <c r="P182" i="18"/>
  <c r="I197" i="18"/>
  <c r="K197" i="18" s="1"/>
  <c r="K244" i="18"/>
  <c r="O266" i="18"/>
  <c r="M279" i="18"/>
  <c r="P306" i="18"/>
  <c r="P336" i="18"/>
  <c r="M334" i="18"/>
  <c r="P334" i="18" s="1"/>
  <c r="K340" i="18"/>
  <c r="O346" i="18"/>
  <c r="N348" i="18"/>
  <c r="O348" i="18" s="1"/>
  <c r="O350" i="18"/>
  <c r="O403" i="18"/>
  <c r="P421" i="18"/>
  <c r="M419" i="18"/>
  <c r="K647" i="17"/>
  <c r="M9" i="18"/>
  <c r="P12" i="18"/>
  <c r="M15" i="18"/>
  <c r="P19" i="18"/>
  <c r="N23" i="18"/>
  <c r="P25" i="18"/>
  <c r="M29" i="18"/>
  <c r="P32" i="18"/>
  <c r="M44" i="18"/>
  <c r="M47" i="18"/>
  <c r="P47" i="18" s="1"/>
  <c r="P71" i="18"/>
  <c r="M94" i="18"/>
  <c r="P94" i="18" s="1"/>
  <c r="O137" i="18"/>
  <c r="P154" i="18"/>
  <c r="L167" i="18"/>
  <c r="N168" i="18"/>
  <c r="O168" i="18" s="1"/>
  <c r="N184" i="18"/>
  <c r="I237" i="18"/>
  <c r="L238" i="18"/>
  <c r="K255" i="18"/>
  <c r="I248" i="18"/>
  <c r="K248" i="18" s="1"/>
  <c r="P266" i="18"/>
  <c r="L283" i="18"/>
  <c r="O283" i="18" s="1"/>
  <c r="P353" i="18"/>
  <c r="M351" i="18"/>
  <c r="J364" i="18"/>
  <c r="N44" i="18"/>
  <c r="O44" i="18" s="1"/>
  <c r="N47" i="18"/>
  <c r="M91" i="18"/>
  <c r="J226" i="18"/>
  <c r="J180" i="18" s="1"/>
  <c r="J355" i="18"/>
  <c r="K355" i="18" s="1"/>
  <c r="K362" i="18"/>
  <c r="K374" i="18"/>
  <c r="O61" i="18"/>
  <c r="L228" i="18"/>
  <c r="N12" i="18"/>
  <c r="N55" i="18"/>
  <c r="P61" i="18"/>
  <c r="O93" i="18"/>
  <c r="K99" i="18"/>
  <c r="L279" i="18"/>
  <c r="N331" i="18"/>
  <c r="O331" i="18" s="1"/>
  <c r="O333" i="18"/>
  <c r="N391" i="18"/>
  <c r="N389" i="18" s="1"/>
  <c r="N392" i="18"/>
  <c r="P397" i="18"/>
  <c r="M395" i="18"/>
  <c r="P395" i="18" s="1"/>
  <c r="P407" i="18"/>
  <c r="M404" i="18"/>
  <c r="P404" i="18" s="1"/>
  <c r="L404" i="18"/>
  <c r="O404" i="18" s="1"/>
  <c r="P394" i="18"/>
  <c r="M392" i="18"/>
  <c r="P392" i="18" s="1"/>
  <c r="N419" i="18"/>
  <c r="N444" i="18"/>
  <c r="N544" i="18"/>
  <c r="O468" i="18"/>
  <c r="K592" i="18"/>
  <c r="L502" i="18"/>
  <c r="O502" i="18" s="1"/>
  <c r="O503" i="18"/>
  <c r="O688" i="18"/>
  <c r="M444" i="18"/>
  <c r="P444" i="18" s="1"/>
  <c r="P333" i="18"/>
  <c r="M331" i="18"/>
  <c r="P350" i="18"/>
  <c r="M348" i="18"/>
  <c r="K365" i="18"/>
  <c r="I364" i="18"/>
  <c r="K385" i="18"/>
  <c r="L408" i="18"/>
  <c r="O408" i="18" s="1"/>
  <c r="O472" i="18"/>
  <c r="L470" i="18"/>
  <c r="O470" i="18" s="1"/>
  <c r="N502" i="18"/>
  <c r="L525" i="18"/>
  <c r="M545" i="18"/>
  <c r="I559" i="18"/>
  <c r="I628" i="18"/>
  <c r="K628" i="18" s="1"/>
  <c r="P630" i="18"/>
  <c r="K669" i="18"/>
  <c r="K673" i="18"/>
  <c r="L687" i="18"/>
  <c r="O690" i="18"/>
  <c r="N740" i="18"/>
  <c r="N757" i="18"/>
  <c r="N773" i="18"/>
  <c r="P468" i="18"/>
  <c r="P503" i="18"/>
  <c r="O656" i="18"/>
  <c r="K674" i="18"/>
  <c r="J721" i="18"/>
  <c r="K721" i="18" s="1"/>
  <c r="L555" i="18"/>
  <c r="O555" i="18" s="1"/>
  <c r="L658" i="18"/>
  <c r="O658" i="18" s="1"/>
  <c r="M786" i="18"/>
  <c r="P786" i="18" s="1"/>
  <c r="L546" i="18"/>
  <c r="O546" i="18" s="1"/>
  <c r="K593" i="18"/>
  <c r="N43" i="17"/>
  <c r="N41" i="17" s="1"/>
  <c r="N167" i="17"/>
  <c r="N165" i="17" s="1"/>
  <c r="N187" i="17"/>
  <c r="I190" i="17"/>
  <c r="K190" i="17" s="1"/>
  <c r="K244" i="17"/>
  <c r="N318" i="17"/>
  <c r="O456" i="17"/>
  <c r="O641" i="17"/>
  <c r="N43" i="16"/>
  <c r="N41" i="16" s="1"/>
  <c r="L263" i="16"/>
  <c r="L261" i="16" s="1"/>
  <c r="M321" i="16"/>
  <c r="P321" i="16" s="1"/>
  <c r="N347" i="16"/>
  <c r="N345" i="16" s="1"/>
  <c r="L122" i="17"/>
  <c r="O122" i="17" s="1"/>
  <c r="K325" i="17"/>
  <c r="J327" i="17"/>
  <c r="K327" i="17" s="1"/>
  <c r="L94" i="15"/>
  <c r="O94" i="15" s="1"/>
  <c r="M90" i="17"/>
  <c r="M88" i="17" s="1"/>
  <c r="M122" i="17"/>
  <c r="P122" i="17" s="1"/>
  <c r="M279" i="17"/>
  <c r="M277" i="17" s="1"/>
  <c r="P301" i="17"/>
  <c r="L330" i="17"/>
  <c r="L328" i="17" s="1"/>
  <c r="L405" i="17"/>
  <c r="O405" i="17" s="1"/>
  <c r="L547" i="17"/>
  <c r="O547" i="17" s="1"/>
  <c r="K800" i="17"/>
  <c r="I216" i="16"/>
  <c r="K216" i="16" s="1"/>
  <c r="O61" i="17"/>
  <c r="M91" i="17"/>
  <c r="P91" i="17" s="1"/>
  <c r="L138" i="17"/>
  <c r="O138" i="17" s="1"/>
  <c r="O170" i="17"/>
  <c r="I233" i="17"/>
  <c r="K233" i="17" s="1"/>
  <c r="M283" i="17"/>
  <c r="P283" i="17" s="1"/>
  <c r="L391" i="17"/>
  <c r="O391" i="17" s="1"/>
  <c r="L525" i="17"/>
  <c r="O351" i="16"/>
  <c r="P61" i="17"/>
  <c r="N151" i="17"/>
  <c r="N149" i="17" s="1"/>
  <c r="P168" i="17"/>
  <c r="N263" i="17"/>
  <c r="N261" i="17" s="1"/>
  <c r="I297" i="17"/>
  <c r="K297" i="17" s="1"/>
  <c r="L300" i="17"/>
  <c r="L298" i="17" s="1"/>
  <c r="L421" i="17"/>
  <c r="L419" i="17" s="1"/>
  <c r="L469" i="17"/>
  <c r="L467" i="17" s="1"/>
  <c r="O467" i="17" s="1"/>
  <c r="K237" i="17"/>
  <c r="I226" i="17"/>
  <c r="K226" i="17" s="1"/>
  <c r="I654" i="4"/>
  <c r="K654" i="4" s="1"/>
  <c r="I148" i="13"/>
  <c r="K148" i="13" s="1"/>
  <c r="I297" i="15"/>
  <c r="K297" i="15" s="1"/>
  <c r="I112" i="16"/>
  <c r="K112" i="16" s="1"/>
  <c r="K369" i="16"/>
  <c r="O449" i="16"/>
  <c r="O557" i="16"/>
  <c r="K561" i="16"/>
  <c r="N26" i="17"/>
  <c r="N16" i="17" s="1"/>
  <c r="L56" i="17"/>
  <c r="M69" i="17"/>
  <c r="P69" i="17" s="1"/>
  <c r="L135" i="17"/>
  <c r="O135" i="17" s="1"/>
  <c r="L217" i="17"/>
  <c r="O217" i="17" s="1"/>
  <c r="I260" i="17"/>
  <c r="K260" i="17" s="1"/>
  <c r="O282" i="17"/>
  <c r="K287" i="17"/>
  <c r="M300" i="17"/>
  <c r="M298" i="17" s="1"/>
  <c r="L331" i="17"/>
  <c r="O331" i="17" s="1"/>
  <c r="N405" i="17"/>
  <c r="L408" i="17"/>
  <c r="O408" i="17" s="1"/>
  <c r="O479" i="17"/>
  <c r="O528" i="17"/>
  <c r="J537" i="17"/>
  <c r="J522" i="17" s="1"/>
  <c r="O791" i="17"/>
  <c r="K720" i="15"/>
  <c r="L264" i="16"/>
  <c r="L267" i="16"/>
  <c r="O267" i="16" s="1"/>
  <c r="M408" i="16"/>
  <c r="P408" i="16" s="1"/>
  <c r="I442" i="16"/>
  <c r="K442" i="16" s="1"/>
  <c r="K594" i="16"/>
  <c r="N47" i="17"/>
  <c r="L55" i="17"/>
  <c r="N56" i="17"/>
  <c r="P56" i="17" s="1"/>
  <c r="M72" i="17"/>
  <c r="P72" i="17" s="1"/>
  <c r="N121" i="17"/>
  <c r="N119" i="17" s="1"/>
  <c r="J143" i="17"/>
  <c r="J131" i="17" s="1"/>
  <c r="M151" i="17"/>
  <c r="P151" i="17" s="1"/>
  <c r="L184" i="17"/>
  <c r="O184" i="17" s="1"/>
  <c r="P186" i="17"/>
  <c r="I216" i="17"/>
  <c r="K216" i="17" s="1"/>
  <c r="L263" i="17"/>
  <c r="L261" i="17" s="1"/>
  <c r="N300" i="17"/>
  <c r="O394" i="17"/>
  <c r="M408" i="17"/>
  <c r="P408" i="17" s="1"/>
  <c r="O431" i="17"/>
  <c r="I434" i="17"/>
  <c r="O634" i="17"/>
  <c r="I654" i="17"/>
  <c r="K654" i="17" s="1"/>
  <c r="J721" i="17"/>
  <c r="L788" i="17"/>
  <c r="L786" i="17" s="1"/>
  <c r="O786" i="17" s="1"/>
  <c r="N26" i="16"/>
  <c r="N16" i="16" s="1"/>
  <c r="N14" i="16" s="1"/>
  <c r="L33" i="17"/>
  <c r="M55" i="17"/>
  <c r="P58" i="17"/>
  <c r="P59" i="17"/>
  <c r="K86" i="17"/>
  <c r="I112" i="17"/>
  <c r="K112" i="17" s="1"/>
  <c r="L134" i="17"/>
  <c r="O134" i="17" s="1"/>
  <c r="L171" i="17"/>
  <c r="O171" i="17" s="1"/>
  <c r="L209" i="17"/>
  <c r="O209" i="17" s="1"/>
  <c r="J288" i="17"/>
  <c r="J275" i="17" s="1"/>
  <c r="K275" i="17" s="1"/>
  <c r="L301" i="17"/>
  <c r="O301" i="17" s="1"/>
  <c r="L334" i="17"/>
  <c r="O334" i="17" s="1"/>
  <c r="K359" i="17"/>
  <c r="L404" i="17"/>
  <c r="O404" i="17" s="1"/>
  <c r="K438" i="17"/>
  <c r="K577" i="17"/>
  <c r="L631" i="17"/>
  <c r="L629" i="17" s="1"/>
  <c r="L655" i="17"/>
  <c r="O655" i="17" s="1"/>
  <c r="K826" i="17"/>
  <c r="L125" i="17"/>
  <c r="O125" i="17" s="1"/>
  <c r="K215" i="16"/>
  <c r="N391" i="16"/>
  <c r="N389" i="16" s="1"/>
  <c r="K826" i="16"/>
  <c r="L91" i="17"/>
  <c r="O91" i="17" s="1"/>
  <c r="M134" i="17"/>
  <c r="P134" i="17" s="1"/>
  <c r="P137" i="17"/>
  <c r="M165" i="17"/>
  <c r="L198" i="17"/>
  <c r="O198" i="17" s="1"/>
  <c r="O264" i="17"/>
  <c r="K276" i="17"/>
  <c r="L279" i="17"/>
  <c r="L277" i="17" s="1"/>
  <c r="O280" i="17"/>
  <c r="O285" i="17"/>
  <c r="O397" i="17"/>
  <c r="M404" i="17"/>
  <c r="P404" i="17" s="1"/>
  <c r="L446" i="17"/>
  <c r="L444" i="17" s="1"/>
  <c r="K651" i="17"/>
  <c r="K824" i="17"/>
  <c r="K385" i="13"/>
  <c r="L209" i="16"/>
  <c r="O209" i="16" s="1"/>
  <c r="K362" i="16"/>
  <c r="N23" i="17"/>
  <c r="N21" i="17" s="1"/>
  <c r="L36" i="17"/>
  <c r="M68" i="17"/>
  <c r="P68" i="17" s="1"/>
  <c r="K355" i="17"/>
  <c r="K381" i="17"/>
  <c r="K675" i="17"/>
  <c r="K822" i="17"/>
  <c r="M23" i="17"/>
  <c r="P46" i="17"/>
  <c r="L47" i="17"/>
  <c r="O47" i="17" s="1"/>
  <c r="O49" i="17"/>
  <c r="L72" i="17"/>
  <c r="O72" i="17" s="1"/>
  <c r="O74" i="17"/>
  <c r="O133" i="17"/>
  <c r="L155" i="17"/>
  <c r="O155" i="17" s="1"/>
  <c r="O157" i="17"/>
  <c r="O182" i="17"/>
  <c r="P333" i="17"/>
  <c r="M331" i="17"/>
  <c r="P331" i="17" s="1"/>
  <c r="M330" i="17"/>
  <c r="M283" i="16"/>
  <c r="P283" i="16" s="1"/>
  <c r="O42" i="17"/>
  <c r="L187" i="17"/>
  <c r="O187" i="17" s="1"/>
  <c r="P323" i="17"/>
  <c r="M317" i="17"/>
  <c r="M321" i="17"/>
  <c r="P321" i="17" s="1"/>
  <c r="M55" i="15"/>
  <c r="M53" i="15" s="1"/>
  <c r="L55" i="16"/>
  <c r="L53" i="16" s="1"/>
  <c r="O58" i="16"/>
  <c r="M68" i="16"/>
  <c r="M66" i="16" s="1"/>
  <c r="L90" i="16"/>
  <c r="L88" i="16" s="1"/>
  <c r="L230" i="16"/>
  <c r="L318" i="16"/>
  <c r="O318" i="16" s="1"/>
  <c r="K340" i="16"/>
  <c r="N404" i="16"/>
  <c r="N402" i="16" s="1"/>
  <c r="I443" i="16"/>
  <c r="K443" i="16" s="1"/>
  <c r="L26" i="17"/>
  <c r="L24" i="17" s="1"/>
  <c r="L94" i="17"/>
  <c r="O94" i="17" s="1"/>
  <c r="L151" i="17"/>
  <c r="O151" i="17" s="1"/>
  <c r="M44" i="17"/>
  <c r="P44" i="17" s="1"/>
  <c r="L263" i="15"/>
  <c r="L261" i="15" s="1"/>
  <c r="M55" i="16"/>
  <c r="M53" i="16" s="1"/>
  <c r="N68" i="16"/>
  <c r="N66" i="16" s="1"/>
  <c r="M135" i="16"/>
  <c r="P135" i="16" s="1"/>
  <c r="O170" i="16"/>
  <c r="L231" i="16"/>
  <c r="L347" i="16"/>
  <c r="L345" i="16" s="1"/>
  <c r="M392" i="16"/>
  <c r="P392" i="16" s="1"/>
  <c r="P394" i="16"/>
  <c r="P22" i="17"/>
  <c r="M19" i="17"/>
  <c r="M12" i="17"/>
  <c r="N34" i="17"/>
  <c r="L68" i="16"/>
  <c r="L66" i="16" s="1"/>
  <c r="P49" i="17"/>
  <c r="M26" i="17"/>
  <c r="O124" i="16"/>
  <c r="O152" i="16"/>
  <c r="O303" i="16"/>
  <c r="M395" i="16"/>
  <c r="P395" i="16" s="1"/>
  <c r="J433" i="16"/>
  <c r="J417" i="16" s="1"/>
  <c r="K417" i="16" s="1"/>
  <c r="N15" i="17"/>
  <c r="N19" i="17"/>
  <c r="N12" i="17"/>
  <c r="L43" i="17"/>
  <c r="L68" i="17"/>
  <c r="O68" i="17" s="1"/>
  <c r="P262" i="17"/>
  <c r="I87" i="16"/>
  <c r="K87" i="16" s="1"/>
  <c r="P93" i="15"/>
  <c r="N90" i="15"/>
  <c r="N88" i="15" s="1"/>
  <c r="K708" i="15"/>
  <c r="O157" i="16"/>
  <c r="K176" i="16"/>
  <c r="M183" i="16"/>
  <c r="M181" i="16" s="1"/>
  <c r="M187" i="16"/>
  <c r="P187" i="16" s="1"/>
  <c r="M334" i="16"/>
  <c r="P334" i="16" s="1"/>
  <c r="N395" i="16"/>
  <c r="M29" i="17"/>
  <c r="M43" i="17"/>
  <c r="L44" i="17"/>
  <c r="O44" i="17" s="1"/>
  <c r="L23" i="17"/>
  <c r="O46" i="17"/>
  <c r="L69" i="17"/>
  <c r="O69" i="17" s="1"/>
  <c r="O71" i="17"/>
  <c r="I76" i="17"/>
  <c r="K82" i="17"/>
  <c r="P278" i="17"/>
  <c r="N421" i="17"/>
  <c r="O424" i="17"/>
  <c r="N33" i="17"/>
  <c r="N30" i="17" s="1"/>
  <c r="N28" i="17" s="1"/>
  <c r="N422" i="17"/>
  <c r="M264" i="17"/>
  <c r="P264" i="17" s="1"/>
  <c r="P266" i="17"/>
  <c r="P353" i="17"/>
  <c r="M351" i="17"/>
  <c r="P351" i="17" s="1"/>
  <c r="M347" i="17"/>
  <c r="P390" i="17"/>
  <c r="O472" i="17"/>
  <c r="L470" i="17"/>
  <c r="O470" i="17" s="1"/>
  <c r="K576" i="17"/>
  <c r="I559" i="17"/>
  <c r="I77" i="17"/>
  <c r="I87" i="17"/>
  <c r="K87" i="17" s="1"/>
  <c r="L90" i="17"/>
  <c r="O346" i="17"/>
  <c r="N347" i="17"/>
  <c r="O353" i="17"/>
  <c r="P420" i="17"/>
  <c r="M419" i="17"/>
  <c r="J433" i="17"/>
  <c r="J417" i="17" s="1"/>
  <c r="I433" i="17"/>
  <c r="P555" i="17"/>
  <c r="M545" i="17"/>
  <c r="K115" i="17"/>
  <c r="L121" i="17"/>
  <c r="P150" i="17"/>
  <c r="L152" i="17"/>
  <c r="O152" i="17" s="1"/>
  <c r="O154" i="17"/>
  <c r="L168" i="17"/>
  <c r="O168" i="17" s="1"/>
  <c r="I174" i="17"/>
  <c r="K255" i="17"/>
  <c r="M263" i="17"/>
  <c r="O266" i="17"/>
  <c r="P346" i="17"/>
  <c r="K374" i="17"/>
  <c r="N419" i="17"/>
  <c r="K435" i="17"/>
  <c r="N446" i="17"/>
  <c r="O449" i="17"/>
  <c r="M31" i="17"/>
  <c r="P31" i="17" s="1"/>
  <c r="N90" i="17"/>
  <c r="M121" i="17"/>
  <c r="P121" i="17" s="1"/>
  <c r="P166" i="17"/>
  <c r="L183" i="17"/>
  <c r="K204" i="17"/>
  <c r="I197" i="17"/>
  <c r="K197" i="17" s="1"/>
  <c r="L228" i="17"/>
  <c r="L249" i="17"/>
  <c r="O249" i="17" s="1"/>
  <c r="L318" i="17"/>
  <c r="O318" i="17" s="1"/>
  <c r="O320" i="17"/>
  <c r="N334" i="17"/>
  <c r="N330" i="17"/>
  <c r="P394" i="17"/>
  <c r="M392" i="17"/>
  <c r="P392" i="17" s="1"/>
  <c r="M391" i="17"/>
  <c r="P391" i="17" s="1"/>
  <c r="L15" i="17"/>
  <c r="L29" i="17"/>
  <c r="M30" i="17"/>
  <c r="P30" i="17" s="1"/>
  <c r="K98" i="17"/>
  <c r="P140" i="17"/>
  <c r="L167" i="17"/>
  <c r="P170" i="17"/>
  <c r="M183" i="17"/>
  <c r="M267" i="17"/>
  <c r="P267" i="17" s="1"/>
  <c r="P269" i="17"/>
  <c r="N279" i="17"/>
  <c r="P282" i="17"/>
  <c r="O316" i="17"/>
  <c r="L321" i="17"/>
  <c r="O321" i="17" s="1"/>
  <c r="O323" i="17"/>
  <c r="O422" i="17"/>
  <c r="P445" i="17"/>
  <c r="M444" i="17"/>
  <c r="P444" i="17" s="1"/>
  <c r="P303" i="17"/>
  <c r="P306" i="17"/>
  <c r="N348" i="17"/>
  <c r="O348" i="17" s="1"/>
  <c r="P350" i="17"/>
  <c r="M348" i="17"/>
  <c r="K365" i="17"/>
  <c r="I364" i="17"/>
  <c r="O403" i="17"/>
  <c r="M523" i="17"/>
  <c r="P523" i="17" s="1"/>
  <c r="I522" i="17"/>
  <c r="K522" i="17" s="1"/>
  <c r="K537" i="17"/>
  <c r="J364" i="17"/>
  <c r="P397" i="17"/>
  <c r="M395" i="17"/>
  <c r="P395" i="17" s="1"/>
  <c r="M629" i="17"/>
  <c r="P629" i="17" s="1"/>
  <c r="P630" i="17"/>
  <c r="K362" i="17"/>
  <c r="K385" i="17"/>
  <c r="M405" i="17"/>
  <c r="P405" i="17" s="1"/>
  <c r="I442" i="17"/>
  <c r="K442" i="17" s="1"/>
  <c r="M467" i="17"/>
  <c r="P467" i="17" s="1"/>
  <c r="P468" i="17"/>
  <c r="N629" i="17"/>
  <c r="P336" i="17"/>
  <c r="M334" i="17"/>
  <c r="P334" i="17" s="1"/>
  <c r="K340" i="17"/>
  <c r="L502" i="17"/>
  <c r="O502" i="17" s="1"/>
  <c r="O503" i="17"/>
  <c r="O557" i="17"/>
  <c r="L546" i="17"/>
  <c r="I592" i="17"/>
  <c r="K592" i="17" s="1"/>
  <c r="K593" i="17"/>
  <c r="I628" i="17"/>
  <c r="K628" i="17" s="1"/>
  <c r="M655" i="17"/>
  <c r="P655" i="17" s="1"/>
  <c r="K669" i="17"/>
  <c r="K673" i="17"/>
  <c r="L687" i="17"/>
  <c r="O690" i="17"/>
  <c r="J785" i="17"/>
  <c r="K785" i="17" s="1"/>
  <c r="P503" i="17"/>
  <c r="O656" i="17"/>
  <c r="K674" i="17"/>
  <c r="L658" i="17"/>
  <c r="O658" i="17" s="1"/>
  <c r="M786" i="17"/>
  <c r="P786" i="17" s="1"/>
  <c r="L658" i="4"/>
  <c r="O658" i="4" s="1"/>
  <c r="L121" i="16"/>
  <c r="L119" i="16" s="1"/>
  <c r="O306" i="16"/>
  <c r="P184" i="15"/>
  <c r="M151" i="16"/>
  <c r="M149" i="16" s="1"/>
  <c r="L238" i="16"/>
  <c r="O238" i="16" s="1"/>
  <c r="O282" i="16"/>
  <c r="K338" i="16"/>
  <c r="K374" i="16"/>
  <c r="O641" i="16"/>
  <c r="K649" i="16"/>
  <c r="K720" i="16"/>
  <c r="M68" i="15"/>
  <c r="M66" i="15" s="1"/>
  <c r="N94" i="15"/>
  <c r="L125" i="15"/>
  <c r="O125" i="15" s="1"/>
  <c r="M155" i="15"/>
  <c r="P155" i="15" s="1"/>
  <c r="I654" i="15"/>
  <c r="K654" i="15" s="1"/>
  <c r="L36" i="16"/>
  <c r="L135" i="16"/>
  <c r="O135" i="16" s="1"/>
  <c r="M267" i="16"/>
  <c r="P267" i="16" s="1"/>
  <c r="L300" i="16"/>
  <c r="L298" i="16" s="1"/>
  <c r="K379" i="16"/>
  <c r="L446" i="16"/>
  <c r="O446" i="16" s="1"/>
  <c r="K725" i="16"/>
  <c r="J722" i="16"/>
  <c r="K722" i="16" s="1"/>
  <c r="P49" i="15"/>
  <c r="O168" i="15"/>
  <c r="J327" i="15"/>
  <c r="K327" i="15" s="1"/>
  <c r="L43" i="16"/>
  <c r="P58" i="16"/>
  <c r="N135" i="16"/>
  <c r="L283" i="16"/>
  <c r="O283" i="16" s="1"/>
  <c r="L301" i="16"/>
  <c r="O301" i="16" s="1"/>
  <c r="L317" i="16"/>
  <c r="O317" i="16" s="1"/>
  <c r="L546" i="16"/>
  <c r="O546" i="16" s="1"/>
  <c r="K569" i="16"/>
  <c r="K821" i="16"/>
  <c r="K827" i="16"/>
  <c r="N300" i="16"/>
  <c r="N298" i="16" s="1"/>
  <c r="O298" i="16" s="1"/>
  <c r="O59" i="15"/>
  <c r="K378" i="15"/>
  <c r="M392" i="15"/>
  <c r="P392" i="15" s="1"/>
  <c r="M43" i="16"/>
  <c r="M41" i="16" s="1"/>
  <c r="N23" i="16"/>
  <c r="N21" i="16" s="1"/>
  <c r="O93" i="16"/>
  <c r="O96" i="16"/>
  <c r="L151" i="16"/>
  <c r="L149" i="16" s="1"/>
  <c r="L217" i="16"/>
  <c r="O217" i="16" s="1"/>
  <c r="M263" i="16"/>
  <c r="M261" i="16" s="1"/>
  <c r="M304" i="16"/>
  <c r="P304" i="16" s="1"/>
  <c r="P353" i="16"/>
  <c r="K360" i="16"/>
  <c r="L469" i="16"/>
  <c r="O469" i="16" s="1"/>
  <c r="K651" i="16"/>
  <c r="J721" i="16"/>
  <c r="K721" i="16" s="1"/>
  <c r="K822" i="16"/>
  <c r="K828" i="16"/>
  <c r="K143" i="16"/>
  <c r="I131" i="16"/>
  <c r="K131" i="16" s="1"/>
  <c r="K174" i="16"/>
  <c r="I164" i="16"/>
  <c r="K164" i="16" s="1"/>
  <c r="L330" i="10"/>
  <c r="M395" i="14"/>
  <c r="P395" i="14" s="1"/>
  <c r="K369" i="15"/>
  <c r="L23" i="16"/>
  <c r="N44" i="16"/>
  <c r="O44" i="16" s="1"/>
  <c r="N59" i="16"/>
  <c r="O61" i="16"/>
  <c r="P124" i="16"/>
  <c r="P127" i="16"/>
  <c r="K145" i="16"/>
  <c r="M167" i="16"/>
  <c r="M165" i="16" s="1"/>
  <c r="I190" i="16"/>
  <c r="K190" i="16" s="1"/>
  <c r="I233" i="16"/>
  <c r="K233" i="16" s="1"/>
  <c r="I248" i="16"/>
  <c r="K248" i="16" s="1"/>
  <c r="L249" i="16"/>
  <c r="O249" i="16" s="1"/>
  <c r="L279" i="16"/>
  <c r="L277" i="16" s="1"/>
  <c r="J364" i="16"/>
  <c r="O472" i="16"/>
  <c r="L470" i="16"/>
  <c r="O470" i="16" s="1"/>
  <c r="L155" i="15"/>
  <c r="O155" i="15" s="1"/>
  <c r="L217" i="15"/>
  <c r="O217" i="15" s="1"/>
  <c r="I276" i="15"/>
  <c r="K276" i="15" s="1"/>
  <c r="K374" i="15"/>
  <c r="N404" i="15"/>
  <c r="N402" i="15" s="1"/>
  <c r="N55" i="16"/>
  <c r="P61" i="16"/>
  <c r="I86" i="16"/>
  <c r="K86" i="16" s="1"/>
  <c r="K115" i="16"/>
  <c r="L125" i="16"/>
  <c r="L138" i="16"/>
  <c r="O138" i="16" s="1"/>
  <c r="M134" i="16"/>
  <c r="P134" i="16" s="1"/>
  <c r="M171" i="16"/>
  <c r="P171" i="16" s="1"/>
  <c r="I237" i="16"/>
  <c r="K237" i="16" s="1"/>
  <c r="I260" i="16"/>
  <c r="K260" i="16" s="1"/>
  <c r="P282" i="16"/>
  <c r="M279" i="16"/>
  <c r="O323" i="16"/>
  <c r="O333" i="16"/>
  <c r="N330" i="16"/>
  <c r="O431" i="16"/>
  <c r="L429" i="16"/>
  <c r="O429" i="16" s="1"/>
  <c r="O535" i="16"/>
  <c r="L533" i="16"/>
  <c r="O533" i="16" s="1"/>
  <c r="M301" i="16"/>
  <c r="P301" i="16" s="1"/>
  <c r="M300" i="16"/>
  <c r="M298" i="16" s="1"/>
  <c r="L138" i="14"/>
  <c r="O138" i="14" s="1"/>
  <c r="M56" i="15"/>
  <c r="M167" i="15"/>
  <c r="M165" i="15" s="1"/>
  <c r="O186" i="15"/>
  <c r="L231" i="15"/>
  <c r="K338" i="15"/>
  <c r="I434" i="15"/>
  <c r="I418" i="15" s="1"/>
  <c r="K418" i="15" s="1"/>
  <c r="K822" i="15"/>
  <c r="K828" i="15"/>
  <c r="L26" i="16"/>
  <c r="O69" i="16"/>
  <c r="I76" i="16"/>
  <c r="K76" i="16" s="1"/>
  <c r="N90" i="16"/>
  <c r="N88" i="16" s="1"/>
  <c r="P91" i="16"/>
  <c r="L134" i="16"/>
  <c r="M138" i="16"/>
  <c r="P138" i="16" s="1"/>
  <c r="I148" i="16"/>
  <c r="K148" i="16" s="1"/>
  <c r="N264" i="16"/>
  <c r="P264" i="16" s="1"/>
  <c r="N263" i="16"/>
  <c r="N279" i="16"/>
  <c r="N277" i="16" s="1"/>
  <c r="N280" i="16"/>
  <c r="O280" i="16" s="1"/>
  <c r="M317" i="16"/>
  <c r="P317" i="16" s="1"/>
  <c r="P320" i="16"/>
  <c r="N331" i="16"/>
  <c r="O331" i="16" s="1"/>
  <c r="P333" i="16"/>
  <c r="O350" i="16"/>
  <c r="N348" i="16"/>
  <c r="O348" i="16" s="1"/>
  <c r="K355" i="16"/>
  <c r="L392" i="16"/>
  <c r="O392" i="16" s="1"/>
  <c r="O394" i="16"/>
  <c r="O397" i="16"/>
  <c r="P69" i="16"/>
  <c r="J288" i="16"/>
  <c r="J275" i="16" s="1"/>
  <c r="L657" i="16"/>
  <c r="O657" i="16" s="1"/>
  <c r="K359" i="15"/>
  <c r="K362" i="15"/>
  <c r="L33" i="16"/>
  <c r="O33" i="16" s="1"/>
  <c r="N56" i="16"/>
  <c r="P56" i="16" s="1"/>
  <c r="P186" i="16"/>
  <c r="I297" i="16"/>
  <c r="K297" i="16" s="1"/>
  <c r="K537" i="16"/>
  <c r="L789" i="16"/>
  <c r="O789" i="16" s="1"/>
  <c r="O791" i="16"/>
  <c r="L788" i="16"/>
  <c r="O788" i="16" s="1"/>
  <c r="K823" i="16"/>
  <c r="L631" i="16"/>
  <c r="K824" i="16"/>
  <c r="M330" i="16"/>
  <c r="M328" i="16" s="1"/>
  <c r="M347" i="16"/>
  <c r="P347" i="16" s="1"/>
  <c r="K385" i="16"/>
  <c r="K577" i="16"/>
  <c r="O266" i="16"/>
  <c r="P351" i="16"/>
  <c r="K359" i="16"/>
  <c r="K378" i="16"/>
  <c r="I434" i="16"/>
  <c r="I418" i="16" s="1"/>
  <c r="K418" i="16" s="1"/>
  <c r="K723" i="16"/>
  <c r="K825" i="16"/>
  <c r="K224" i="14"/>
  <c r="L231" i="14"/>
  <c r="L68" i="15"/>
  <c r="L66" i="15" s="1"/>
  <c r="M125" i="15"/>
  <c r="P125" i="15" s="1"/>
  <c r="O154" i="15"/>
  <c r="M171" i="15"/>
  <c r="P171" i="15" s="1"/>
  <c r="L301" i="15"/>
  <c r="O301" i="15" s="1"/>
  <c r="M317" i="15"/>
  <c r="M315" i="15" s="1"/>
  <c r="P315" i="15" s="1"/>
  <c r="I443" i="15"/>
  <c r="K443" i="15" s="1"/>
  <c r="K728" i="15"/>
  <c r="L788" i="15"/>
  <c r="O788" i="15" s="1"/>
  <c r="K729" i="15"/>
  <c r="M43" i="15"/>
  <c r="M41" i="15" s="1"/>
  <c r="I260" i="15"/>
  <c r="K260" i="15" s="1"/>
  <c r="P331" i="15"/>
  <c r="K355" i="15"/>
  <c r="K360" i="15"/>
  <c r="K370" i="15"/>
  <c r="P152" i="16"/>
  <c r="I190" i="14"/>
  <c r="K190" i="14" s="1"/>
  <c r="M72" i="15"/>
  <c r="P72" i="15" s="1"/>
  <c r="L122" i="15"/>
  <c r="O122" i="15" s="1"/>
  <c r="P186" i="15"/>
  <c r="M183" i="15"/>
  <c r="M181" i="15" s="1"/>
  <c r="L198" i="15"/>
  <c r="O198" i="15" s="1"/>
  <c r="N279" i="15"/>
  <c r="N277" i="15" s="1"/>
  <c r="I314" i="15"/>
  <c r="K314" i="15" s="1"/>
  <c r="L347" i="15"/>
  <c r="L345" i="15" s="1"/>
  <c r="L405" i="15"/>
  <c r="O405" i="15" s="1"/>
  <c r="P410" i="15"/>
  <c r="M122" i="15"/>
  <c r="P122" i="15" s="1"/>
  <c r="I143" i="15"/>
  <c r="I131" i="15" s="1"/>
  <c r="K131" i="15" s="1"/>
  <c r="N26" i="15"/>
  <c r="N16" i="15" s="1"/>
  <c r="N14" i="15" s="1"/>
  <c r="L279" i="15"/>
  <c r="O279" i="15" s="1"/>
  <c r="L300" i="15"/>
  <c r="O300" i="15" s="1"/>
  <c r="L12" i="16"/>
  <c r="L19" i="16"/>
  <c r="M26" i="16"/>
  <c r="I77" i="16"/>
  <c r="K82" i="16"/>
  <c r="N151" i="16"/>
  <c r="O154" i="16"/>
  <c r="P157" i="16"/>
  <c r="K204" i="16"/>
  <c r="P266" i="16"/>
  <c r="K287" i="16"/>
  <c r="P303" i="16"/>
  <c r="K365" i="16"/>
  <c r="P390" i="16"/>
  <c r="O407" i="16"/>
  <c r="L404" i="16"/>
  <c r="M12" i="16"/>
  <c r="M19" i="16"/>
  <c r="O46" i="16"/>
  <c r="O49" i="16"/>
  <c r="O71" i="16"/>
  <c r="O74" i="16"/>
  <c r="L91" i="16"/>
  <c r="O91" i="16" s="1"/>
  <c r="M94" i="16"/>
  <c r="P94" i="16" s="1"/>
  <c r="N125" i="16"/>
  <c r="P140" i="16"/>
  <c r="P154" i="16"/>
  <c r="L167" i="16"/>
  <c r="N168" i="16"/>
  <c r="O168" i="16" s="1"/>
  <c r="P170" i="16"/>
  <c r="L183" i="16"/>
  <c r="N184" i="16"/>
  <c r="O184" i="16" s="1"/>
  <c r="L198" i="16"/>
  <c r="O198" i="16" s="1"/>
  <c r="L228" i="16"/>
  <c r="M405" i="16"/>
  <c r="P405" i="16" s="1"/>
  <c r="M404" i="16"/>
  <c r="P404" i="16" s="1"/>
  <c r="P407" i="16"/>
  <c r="N12" i="16"/>
  <c r="P46" i="16"/>
  <c r="P49" i="16"/>
  <c r="P71" i="16"/>
  <c r="P74" i="16"/>
  <c r="O173" i="16"/>
  <c r="O189" i="16"/>
  <c r="P329" i="16"/>
  <c r="M23" i="16"/>
  <c r="P93" i="16"/>
  <c r="M121" i="16"/>
  <c r="O127" i="16"/>
  <c r="J143" i="16"/>
  <c r="J131" i="16" s="1"/>
  <c r="N167" i="16"/>
  <c r="N183" i="16"/>
  <c r="O186" i="16"/>
  <c r="L229" i="16"/>
  <c r="N317" i="16"/>
  <c r="N315" i="16" s="1"/>
  <c r="L334" i="16"/>
  <c r="O334" i="16" s="1"/>
  <c r="O336" i="16"/>
  <c r="P403" i="16"/>
  <c r="M90" i="16"/>
  <c r="N121" i="16"/>
  <c r="J327" i="16"/>
  <c r="K327" i="16" s="1"/>
  <c r="O353" i="16"/>
  <c r="K372" i="16"/>
  <c r="M419" i="16"/>
  <c r="K438" i="16"/>
  <c r="P316" i="16"/>
  <c r="O346" i="16"/>
  <c r="P350" i="16"/>
  <c r="M348" i="16"/>
  <c r="O390" i="16"/>
  <c r="K325" i="16"/>
  <c r="L330" i="16"/>
  <c r="N419" i="16"/>
  <c r="K435" i="16"/>
  <c r="N467" i="16"/>
  <c r="I275" i="16"/>
  <c r="I364" i="16"/>
  <c r="K381" i="16"/>
  <c r="L391" i="16"/>
  <c r="O391" i="16" s="1"/>
  <c r="L408" i="16"/>
  <c r="O408" i="16" s="1"/>
  <c r="L421" i="16"/>
  <c r="O421" i="16" s="1"/>
  <c r="O424" i="16"/>
  <c r="N444" i="16"/>
  <c r="M502" i="16"/>
  <c r="P502" i="16" s="1"/>
  <c r="K593" i="16"/>
  <c r="J592" i="16"/>
  <c r="K592" i="16" s="1"/>
  <c r="O479" i="16"/>
  <c r="L547" i="16"/>
  <c r="O547" i="16" s="1"/>
  <c r="O549" i="16"/>
  <c r="M467" i="16"/>
  <c r="P467" i="16" s="1"/>
  <c r="J537" i="16"/>
  <c r="J522" i="16" s="1"/>
  <c r="L525" i="16"/>
  <c r="O525" i="16" s="1"/>
  <c r="M545" i="16"/>
  <c r="I559" i="16"/>
  <c r="I628" i="16"/>
  <c r="K628" i="16" s="1"/>
  <c r="L632" i="16"/>
  <c r="O632" i="16" s="1"/>
  <c r="K669" i="16"/>
  <c r="K673" i="16"/>
  <c r="L687" i="16"/>
  <c r="O687" i="16" s="1"/>
  <c r="O690" i="16"/>
  <c r="O656" i="16"/>
  <c r="K674" i="16"/>
  <c r="I654" i="16"/>
  <c r="K654" i="16" s="1"/>
  <c r="L658" i="16"/>
  <c r="O658" i="16" s="1"/>
  <c r="M737" i="16"/>
  <c r="P737" i="16" s="1"/>
  <c r="M754" i="16"/>
  <c r="P754" i="16" s="1"/>
  <c r="M770" i="16"/>
  <c r="P770" i="16" s="1"/>
  <c r="L805" i="16"/>
  <c r="O805" i="16" s="1"/>
  <c r="K675" i="16"/>
  <c r="M786" i="16"/>
  <c r="P786" i="16" s="1"/>
  <c r="K800" i="16"/>
  <c r="M805" i="16"/>
  <c r="P805" i="16" s="1"/>
  <c r="J364" i="15"/>
  <c r="L47" i="14"/>
  <c r="O47" i="14" s="1"/>
  <c r="N151" i="14"/>
  <c r="N149" i="14" s="1"/>
  <c r="K824" i="14"/>
  <c r="L43" i="15"/>
  <c r="L41" i="15" s="1"/>
  <c r="P46" i="15"/>
  <c r="P59" i="15"/>
  <c r="P61" i="15"/>
  <c r="K111" i="15"/>
  <c r="P170" i="15"/>
  <c r="N183" i="15"/>
  <c r="N187" i="15"/>
  <c r="N263" i="15"/>
  <c r="P333" i="15"/>
  <c r="K340" i="15"/>
  <c r="I364" i="15"/>
  <c r="O456" i="15"/>
  <c r="J722" i="15"/>
  <c r="K722" i="15" s="1"/>
  <c r="M90" i="15"/>
  <c r="L229" i="15"/>
  <c r="O479" i="15"/>
  <c r="L639" i="15"/>
  <c r="O639" i="15" s="1"/>
  <c r="K726" i="15"/>
  <c r="K826" i="15"/>
  <c r="M279" i="14"/>
  <c r="M277" i="14" s="1"/>
  <c r="L47" i="15"/>
  <c r="O47" i="15" s="1"/>
  <c r="O269" i="15"/>
  <c r="M318" i="15"/>
  <c r="P318" i="15" s="1"/>
  <c r="O336" i="15"/>
  <c r="O394" i="15"/>
  <c r="L230" i="14"/>
  <c r="L318" i="14"/>
  <c r="O318" i="14" s="1"/>
  <c r="L321" i="14"/>
  <c r="O321" i="14" s="1"/>
  <c r="L36" i="15"/>
  <c r="O36" i="15" s="1"/>
  <c r="O140" i="15"/>
  <c r="I174" i="15"/>
  <c r="K174" i="15" s="1"/>
  <c r="L183" i="15"/>
  <c r="L181" i="15" s="1"/>
  <c r="L304" i="15"/>
  <c r="O304" i="15" s="1"/>
  <c r="L321" i="15"/>
  <c r="O321" i="15" s="1"/>
  <c r="O331" i="15"/>
  <c r="P350" i="15"/>
  <c r="K824" i="15"/>
  <c r="P93" i="14"/>
  <c r="O397" i="14"/>
  <c r="N55" i="15"/>
  <c r="N53" i="15" s="1"/>
  <c r="P140" i="15"/>
  <c r="L228" i="15"/>
  <c r="N330" i="15"/>
  <c r="N328" i="15" s="1"/>
  <c r="K385" i="15"/>
  <c r="L657" i="15"/>
  <c r="O657" i="15" s="1"/>
  <c r="L151" i="14"/>
  <c r="L149" i="14" s="1"/>
  <c r="O149" i="14" s="1"/>
  <c r="N404" i="14"/>
  <c r="N402" i="14" s="1"/>
  <c r="M44" i="15"/>
  <c r="N56" i="15"/>
  <c r="O56" i="15" s="1"/>
  <c r="L69" i="15"/>
  <c r="O69" i="15" s="1"/>
  <c r="I76" i="15"/>
  <c r="K76" i="15" s="1"/>
  <c r="L91" i="15"/>
  <c r="O91" i="15" s="1"/>
  <c r="P96" i="15"/>
  <c r="N121" i="15"/>
  <c r="N119" i="15" s="1"/>
  <c r="O137" i="15"/>
  <c r="I148" i="15"/>
  <c r="K148" i="15" s="1"/>
  <c r="N151" i="15"/>
  <c r="N149" i="15" s="1"/>
  <c r="K215" i="15"/>
  <c r="M280" i="15"/>
  <c r="P280" i="15" s="1"/>
  <c r="J288" i="15"/>
  <c r="J275" i="15" s="1"/>
  <c r="M304" i="15"/>
  <c r="P304" i="15" s="1"/>
  <c r="M321" i="15"/>
  <c r="P321" i="15" s="1"/>
  <c r="P336" i="15"/>
  <c r="M351" i="15"/>
  <c r="P351" i="15" s="1"/>
  <c r="K561" i="15"/>
  <c r="K821" i="15"/>
  <c r="K827" i="15"/>
  <c r="M187" i="15"/>
  <c r="P187" i="15" s="1"/>
  <c r="M135" i="14"/>
  <c r="P135" i="14" s="1"/>
  <c r="P69" i="15"/>
  <c r="P91" i="15"/>
  <c r="L134" i="15"/>
  <c r="P137" i="15"/>
  <c r="P168" i="15"/>
  <c r="O189" i="15"/>
  <c r="I216" i="15"/>
  <c r="K216" i="15" s="1"/>
  <c r="I233" i="15"/>
  <c r="K233" i="15" s="1"/>
  <c r="I237" i="15"/>
  <c r="K237" i="15" s="1"/>
  <c r="I248" i="15"/>
  <c r="K248" i="15" s="1"/>
  <c r="I275" i="15"/>
  <c r="K275" i="15" s="1"/>
  <c r="N280" i="15"/>
  <c r="L317" i="15"/>
  <c r="O317" i="15" s="1"/>
  <c r="P323" i="15"/>
  <c r="N391" i="15"/>
  <c r="N389" i="15" s="1"/>
  <c r="L404" i="15"/>
  <c r="O404" i="15" s="1"/>
  <c r="P407" i="15"/>
  <c r="L555" i="15"/>
  <c r="O555" i="15" s="1"/>
  <c r="K577" i="15"/>
  <c r="K674" i="15"/>
  <c r="L121" i="14"/>
  <c r="O121" i="14" s="1"/>
  <c r="P157" i="14"/>
  <c r="L317" i="14"/>
  <c r="O317" i="14" s="1"/>
  <c r="N134" i="15"/>
  <c r="N132" i="15" s="1"/>
  <c r="P189" i="15"/>
  <c r="O285" i="15"/>
  <c r="O333" i="15"/>
  <c r="K379" i="15"/>
  <c r="M404" i="15"/>
  <c r="P404" i="15" s="1"/>
  <c r="L429" i="15"/>
  <c r="O429" i="15" s="1"/>
  <c r="I442" i="15"/>
  <c r="K442" i="15" s="1"/>
  <c r="L533" i="15"/>
  <c r="O533" i="15" s="1"/>
  <c r="K594" i="15"/>
  <c r="L631" i="15"/>
  <c r="O631" i="15" s="1"/>
  <c r="K700" i="15"/>
  <c r="K723" i="15"/>
  <c r="K825" i="15"/>
  <c r="L217" i="14"/>
  <c r="O217" i="14" s="1"/>
  <c r="M23" i="15"/>
  <c r="M21" i="15" s="1"/>
  <c r="L330" i="15"/>
  <c r="M347" i="15"/>
  <c r="M345" i="15" s="1"/>
  <c r="L632" i="11"/>
  <c r="O632" i="11" s="1"/>
  <c r="L90" i="14"/>
  <c r="L88" i="14" s="1"/>
  <c r="K340" i="14"/>
  <c r="J722" i="14"/>
  <c r="K99" i="15"/>
  <c r="N264" i="15"/>
  <c r="O264" i="15" s="1"/>
  <c r="M330" i="15"/>
  <c r="M328" i="15" s="1"/>
  <c r="K569" i="15"/>
  <c r="K725" i="15"/>
  <c r="K823" i="15"/>
  <c r="O12" i="15"/>
  <c r="K338" i="12"/>
  <c r="O137" i="13"/>
  <c r="J143" i="13"/>
  <c r="J131" i="13" s="1"/>
  <c r="I197" i="13"/>
  <c r="K197" i="13" s="1"/>
  <c r="I237" i="13"/>
  <c r="K237" i="13" s="1"/>
  <c r="K369" i="13"/>
  <c r="P46" i="14"/>
  <c r="L55" i="14"/>
  <c r="L53" i="14" s="1"/>
  <c r="P61" i="14"/>
  <c r="M94" i="14"/>
  <c r="P94" i="14" s="1"/>
  <c r="L125" i="14"/>
  <c r="O125" i="14" s="1"/>
  <c r="L301" i="14"/>
  <c r="O301" i="14" s="1"/>
  <c r="M347" i="14"/>
  <c r="M345" i="14" s="1"/>
  <c r="N405" i="14"/>
  <c r="L408" i="14"/>
  <c r="O408" i="14" s="1"/>
  <c r="I442" i="14"/>
  <c r="K442" i="14" s="1"/>
  <c r="N19" i="15"/>
  <c r="O22" i="15"/>
  <c r="M26" i="15"/>
  <c r="O35" i="15"/>
  <c r="J87" i="15"/>
  <c r="O93" i="15"/>
  <c r="K100" i="15"/>
  <c r="L121" i="15"/>
  <c r="O121" i="15" s="1"/>
  <c r="N152" i="15"/>
  <c r="P152" i="15" s="1"/>
  <c r="O173" i="15"/>
  <c r="L249" i="15"/>
  <c r="O249" i="15" s="1"/>
  <c r="P266" i="15"/>
  <c r="N300" i="15"/>
  <c r="N298" i="15" s="1"/>
  <c r="P346" i="15"/>
  <c r="L348" i="15"/>
  <c r="O348" i="15" s="1"/>
  <c r="O350" i="15"/>
  <c r="K372" i="15"/>
  <c r="M391" i="15"/>
  <c r="M395" i="15"/>
  <c r="P395" i="15" s="1"/>
  <c r="L408" i="15"/>
  <c r="O408" i="15" s="1"/>
  <c r="O468" i="15"/>
  <c r="N151" i="13"/>
  <c r="N149" i="13" s="1"/>
  <c r="I216" i="13"/>
  <c r="K216" i="13" s="1"/>
  <c r="O184" i="14"/>
  <c r="L15" i="15"/>
  <c r="L9" i="15" s="1"/>
  <c r="L29" i="15"/>
  <c r="N23" i="15"/>
  <c r="N44" i="15"/>
  <c r="O58" i="15"/>
  <c r="I77" i="15"/>
  <c r="K98" i="15"/>
  <c r="I86" i="15"/>
  <c r="K86" i="15" s="1"/>
  <c r="I112" i="15"/>
  <c r="K112" i="15" s="1"/>
  <c r="M121" i="15"/>
  <c r="P121" i="15" s="1"/>
  <c r="O403" i="15"/>
  <c r="P419" i="15"/>
  <c r="L422" i="15"/>
  <c r="O422" i="15" s="1"/>
  <c r="O424" i="15"/>
  <c r="L421" i="15"/>
  <c r="L33" i="15"/>
  <c r="M467" i="15"/>
  <c r="P467" i="15" s="1"/>
  <c r="P468" i="15"/>
  <c r="P186" i="14"/>
  <c r="M263" i="14"/>
  <c r="M261" i="14" s="1"/>
  <c r="L300" i="14"/>
  <c r="O300" i="14" s="1"/>
  <c r="K785" i="14"/>
  <c r="K823" i="14"/>
  <c r="M12" i="15"/>
  <c r="L23" i="15"/>
  <c r="L21" i="15" s="1"/>
  <c r="N43" i="15"/>
  <c r="O46" i="15"/>
  <c r="P58" i="15"/>
  <c r="K80" i="15"/>
  <c r="K115" i="15"/>
  <c r="L151" i="15"/>
  <c r="N167" i="15"/>
  <c r="O170" i="15"/>
  <c r="M267" i="15"/>
  <c r="P267" i="15" s="1"/>
  <c r="M283" i="15"/>
  <c r="P283" i="15" s="1"/>
  <c r="K365" i="15"/>
  <c r="P25" i="15"/>
  <c r="M15" i="15"/>
  <c r="O316" i="15"/>
  <c r="O320" i="15"/>
  <c r="L318" i="15"/>
  <c r="O318" i="15" s="1"/>
  <c r="L351" i="15"/>
  <c r="O351" i="15" s="1"/>
  <c r="O353" i="15"/>
  <c r="O390" i="15"/>
  <c r="M72" i="13"/>
  <c r="P72" i="13" s="1"/>
  <c r="N279" i="13"/>
  <c r="N277" i="13" s="1"/>
  <c r="K215" i="14"/>
  <c r="M321" i="14"/>
  <c r="P321" i="14" s="1"/>
  <c r="N330" i="14"/>
  <c r="N328" i="14" s="1"/>
  <c r="K359" i="14"/>
  <c r="K362" i="14"/>
  <c r="L19" i="15"/>
  <c r="M34" i="15"/>
  <c r="P34" i="15" s="1"/>
  <c r="L55" i="15"/>
  <c r="O61" i="15"/>
  <c r="L26" i="15"/>
  <c r="N68" i="15"/>
  <c r="O71" i="15"/>
  <c r="O120" i="15"/>
  <c r="J143" i="15"/>
  <c r="J131" i="15" s="1"/>
  <c r="K144" i="15"/>
  <c r="L152" i="15"/>
  <c r="P154" i="15"/>
  <c r="M151" i="15"/>
  <c r="O182" i="15"/>
  <c r="I190" i="15"/>
  <c r="K190" i="15" s="1"/>
  <c r="L209" i="15"/>
  <c r="O209" i="15" s="1"/>
  <c r="J226" i="15"/>
  <c r="J180" i="15" s="1"/>
  <c r="L230" i="15"/>
  <c r="M263" i="15"/>
  <c r="M279" i="15"/>
  <c r="O329" i="15"/>
  <c r="L395" i="15"/>
  <c r="O395" i="15" s="1"/>
  <c r="L391" i="15"/>
  <c r="O391" i="15" s="1"/>
  <c r="O397" i="15"/>
  <c r="M55" i="13"/>
  <c r="M53" i="13" s="1"/>
  <c r="O61" i="14"/>
  <c r="L122" i="14"/>
  <c r="O122" i="14" s="1"/>
  <c r="P285" i="14"/>
  <c r="P306" i="14"/>
  <c r="J327" i="14"/>
  <c r="K327" i="14" s="1"/>
  <c r="K355" i="14"/>
  <c r="M19" i="15"/>
  <c r="M30" i="15"/>
  <c r="P30" i="15" s="1"/>
  <c r="P32" i="15"/>
  <c r="M29" i="15"/>
  <c r="P71" i="15"/>
  <c r="K87" i="15"/>
  <c r="L167" i="15"/>
  <c r="L238" i="15"/>
  <c r="O266" i="15"/>
  <c r="L280" i="15"/>
  <c r="O280" i="15" s="1"/>
  <c r="O282" i="15"/>
  <c r="P303" i="15"/>
  <c r="M300" i="15"/>
  <c r="P329" i="15"/>
  <c r="N414" i="15"/>
  <c r="M134" i="15"/>
  <c r="P134" i="15" s="1"/>
  <c r="O184" i="15"/>
  <c r="N318" i="15"/>
  <c r="N317" i="15"/>
  <c r="N315" i="15" s="1"/>
  <c r="N347" i="15"/>
  <c r="N345" i="15" s="1"/>
  <c r="O445" i="15"/>
  <c r="K381" i="15"/>
  <c r="K466" i="15"/>
  <c r="O472" i="15"/>
  <c r="L469" i="15"/>
  <c r="O469" i="15" s="1"/>
  <c r="N504" i="15"/>
  <c r="N505" i="15"/>
  <c r="K204" i="15"/>
  <c r="I197" i="15"/>
  <c r="K197" i="15" s="1"/>
  <c r="P348" i="15"/>
  <c r="I433" i="15"/>
  <c r="K435" i="15"/>
  <c r="J433" i="15"/>
  <c r="J417" i="15" s="1"/>
  <c r="L446" i="15"/>
  <c r="O446" i="15" s="1"/>
  <c r="O449" i="15"/>
  <c r="N502" i="15"/>
  <c r="J537" i="15"/>
  <c r="J522" i="15" s="1"/>
  <c r="K438" i="15"/>
  <c r="M444" i="15"/>
  <c r="P444" i="15" s="1"/>
  <c r="L502" i="15"/>
  <c r="O502" i="15" s="1"/>
  <c r="K592" i="15"/>
  <c r="N467" i="15"/>
  <c r="N444" i="15"/>
  <c r="M502" i="15"/>
  <c r="P502" i="15" s="1"/>
  <c r="N523" i="15"/>
  <c r="L525" i="15"/>
  <c r="O525" i="15" s="1"/>
  <c r="M545" i="15"/>
  <c r="I559" i="15"/>
  <c r="I628" i="15"/>
  <c r="K628" i="15" s="1"/>
  <c r="P630" i="15"/>
  <c r="L632" i="15"/>
  <c r="O632" i="15" s="1"/>
  <c r="K669" i="15"/>
  <c r="K673" i="15"/>
  <c r="L687" i="15"/>
  <c r="O687" i="15" s="1"/>
  <c r="O690" i="15"/>
  <c r="L658" i="15"/>
  <c r="O658" i="15" s="1"/>
  <c r="M737" i="15"/>
  <c r="P737" i="15" s="1"/>
  <c r="M754" i="15"/>
  <c r="P754" i="15" s="1"/>
  <c r="M770" i="15"/>
  <c r="P770" i="15" s="1"/>
  <c r="L805" i="15"/>
  <c r="O805" i="15" s="1"/>
  <c r="K675" i="15"/>
  <c r="M685" i="15"/>
  <c r="P685" i="15" s="1"/>
  <c r="M786" i="15"/>
  <c r="P786" i="15" s="1"/>
  <c r="K800" i="15"/>
  <c r="M805" i="15"/>
  <c r="P805" i="15" s="1"/>
  <c r="K537" i="15"/>
  <c r="L546" i="15"/>
  <c r="O546" i="15" s="1"/>
  <c r="K593" i="15"/>
  <c r="L167" i="12"/>
  <c r="L165" i="12" s="1"/>
  <c r="N300" i="12"/>
  <c r="N298" i="12" s="1"/>
  <c r="M44" i="14"/>
  <c r="P44" i="14" s="1"/>
  <c r="N43" i="14"/>
  <c r="N41" i="14" s="1"/>
  <c r="I237" i="14"/>
  <c r="K237" i="14" s="1"/>
  <c r="K244" i="14"/>
  <c r="I233" i="14"/>
  <c r="K233" i="14" s="1"/>
  <c r="J721" i="13"/>
  <c r="N68" i="14"/>
  <c r="N66" i="14" s="1"/>
  <c r="K115" i="14"/>
  <c r="I112" i="14"/>
  <c r="K112" i="14" s="1"/>
  <c r="I434" i="14"/>
  <c r="I418" i="14" s="1"/>
  <c r="K418" i="14" s="1"/>
  <c r="K438" i="14"/>
  <c r="N347" i="13"/>
  <c r="N345" i="13" s="1"/>
  <c r="L408" i="13"/>
  <c r="O408" i="13" s="1"/>
  <c r="L238" i="14"/>
  <c r="O238" i="14" s="1"/>
  <c r="L228" i="14"/>
  <c r="O269" i="14"/>
  <c r="L267" i="14"/>
  <c r="O267" i="14" s="1"/>
  <c r="M334" i="14"/>
  <c r="P334" i="14" s="1"/>
  <c r="O407" i="14"/>
  <c r="L405" i="14"/>
  <c r="O405" i="14" s="1"/>
  <c r="K647" i="14"/>
  <c r="I442" i="8"/>
  <c r="K442" i="8" s="1"/>
  <c r="L155" i="14"/>
  <c r="O155" i="14" s="1"/>
  <c r="K374" i="14"/>
  <c r="O472" i="13"/>
  <c r="L33" i="14"/>
  <c r="L31" i="14" s="1"/>
  <c r="O56" i="14"/>
  <c r="M90" i="14"/>
  <c r="M88" i="14" s="1"/>
  <c r="P140" i="14"/>
  <c r="M138" i="14"/>
  <c r="P138" i="14" s="1"/>
  <c r="K255" i="14"/>
  <c r="I248" i="14"/>
  <c r="K248" i="14" s="1"/>
  <c r="P266" i="14"/>
  <c r="M264" i="14"/>
  <c r="P264" i="14" s="1"/>
  <c r="L209" i="14"/>
  <c r="O209" i="14" s="1"/>
  <c r="K369" i="14"/>
  <c r="K372" i="14"/>
  <c r="K577" i="14"/>
  <c r="K827" i="14"/>
  <c r="N279" i="14"/>
  <c r="N277" i="14" s="1"/>
  <c r="K378" i="14"/>
  <c r="K822" i="14"/>
  <c r="N121" i="14"/>
  <c r="N119" i="14" s="1"/>
  <c r="J143" i="14"/>
  <c r="J131" i="14" s="1"/>
  <c r="P170" i="14"/>
  <c r="L263" i="14"/>
  <c r="L261" i="14" s="1"/>
  <c r="M330" i="14"/>
  <c r="M328" i="14" s="1"/>
  <c r="K379" i="14"/>
  <c r="M408" i="14"/>
  <c r="P408" i="14" s="1"/>
  <c r="K649" i="14"/>
  <c r="L447" i="9"/>
  <c r="O447" i="9" s="1"/>
  <c r="L348" i="14"/>
  <c r="O348" i="14" s="1"/>
  <c r="L347" i="14"/>
  <c r="L345" i="14" s="1"/>
  <c r="I443" i="14"/>
  <c r="K443" i="14" s="1"/>
  <c r="K462" i="14"/>
  <c r="O264" i="11"/>
  <c r="M155" i="13"/>
  <c r="P155" i="13" s="1"/>
  <c r="L209" i="13"/>
  <c r="O209" i="13" s="1"/>
  <c r="N47" i="14"/>
  <c r="M69" i="14"/>
  <c r="P69" i="14" s="1"/>
  <c r="N125" i="14"/>
  <c r="M168" i="14"/>
  <c r="N167" i="14"/>
  <c r="N165" i="14" s="1"/>
  <c r="L183" i="14"/>
  <c r="L181" i="14" s="1"/>
  <c r="I197" i="14"/>
  <c r="K197" i="14" s="1"/>
  <c r="L249" i="14"/>
  <c r="O249" i="14" s="1"/>
  <c r="M280" i="14"/>
  <c r="L429" i="14"/>
  <c r="O429" i="14" s="1"/>
  <c r="O431" i="14"/>
  <c r="J721" i="14"/>
  <c r="L447" i="8"/>
  <c r="O447" i="8" s="1"/>
  <c r="K370" i="13"/>
  <c r="M23" i="14"/>
  <c r="M21" i="14" s="1"/>
  <c r="L26" i="14"/>
  <c r="L24" i="14" s="1"/>
  <c r="L36" i="14"/>
  <c r="O36" i="14" s="1"/>
  <c r="M55" i="14"/>
  <c r="M53" i="14" s="1"/>
  <c r="L72" i="14"/>
  <c r="O72" i="14" s="1"/>
  <c r="N90" i="14"/>
  <c r="N88" i="14" s="1"/>
  <c r="L135" i="14"/>
  <c r="O135" i="14" s="1"/>
  <c r="L152" i="14"/>
  <c r="O152" i="14" s="1"/>
  <c r="N168" i="14"/>
  <c r="L171" i="14"/>
  <c r="O171" i="14" s="1"/>
  <c r="M184" i="14"/>
  <c r="P184" i="14" s="1"/>
  <c r="N183" i="14"/>
  <c r="N181" i="14" s="1"/>
  <c r="L229" i="14"/>
  <c r="M267" i="14"/>
  <c r="P267" i="14" s="1"/>
  <c r="P269" i="14"/>
  <c r="N280" i="14"/>
  <c r="O280" i="14" s="1"/>
  <c r="P282" i="14"/>
  <c r="I297" i="14"/>
  <c r="K297" i="14" s="1"/>
  <c r="L304" i="14"/>
  <c r="O304" i="14" s="1"/>
  <c r="L392" i="14"/>
  <c r="O392" i="14" s="1"/>
  <c r="O394" i="14"/>
  <c r="N26" i="14"/>
  <c r="P56" i="14"/>
  <c r="N134" i="14"/>
  <c r="N132" i="14" s="1"/>
  <c r="P320" i="14"/>
  <c r="M317" i="14"/>
  <c r="P317" i="14" s="1"/>
  <c r="O353" i="14"/>
  <c r="J433" i="14"/>
  <c r="J417" i="14" s="1"/>
  <c r="L447" i="14"/>
  <c r="O447" i="14" s="1"/>
  <c r="L446" i="14"/>
  <c r="O449" i="14"/>
  <c r="L639" i="14"/>
  <c r="O639" i="14" s="1"/>
  <c r="O641" i="14"/>
  <c r="P407" i="14"/>
  <c r="M405" i="14"/>
  <c r="P405" i="14" s="1"/>
  <c r="O154" i="13"/>
  <c r="L217" i="13"/>
  <c r="O217" i="13" s="1"/>
  <c r="K821" i="13"/>
  <c r="N135" i="14"/>
  <c r="O154" i="14"/>
  <c r="O189" i="14"/>
  <c r="K271" i="14"/>
  <c r="O306" i="14"/>
  <c r="K338" i="14"/>
  <c r="M391" i="14"/>
  <c r="P391" i="14" s="1"/>
  <c r="O472" i="14"/>
  <c r="L469" i="14"/>
  <c r="O469" i="14" s="1"/>
  <c r="O557" i="14"/>
  <c r="K561" i="14"/>
  <c r="I314" i="13"/>
  <c r="K314" i="13" s="1"/>
  <c r="J722" i="13"/>
  <c r="K822" i="13"/>
  <c r="K828" i="13"/>
  <c r="K111" i="14"/>
  <c r="P154" i="14"/>
  <c r="O170" i="14"/>
  <c r="L198" i="14"/>
  <c r="O198" i="14" s="1"/>
  <c r="L264" i="14"/>
  <c r="O264" i="14" s="1"/>
  <c r="O282" i="14"/>
  <c r="M300" i="14"/>
  <c r="M301" i="14"/>
  <c r="P301" i="14" s="1"/>
  <c r="M318" i="14"/>
  <c r="P318" i="14" s="1"/>
  <c r="N331" i="14"/>
  <c r="P331" i="14" s="1"/>
  <c r="O333" i="14"/>
  <c r="K370" i="14"/>
  <c r="M392" i="14"/>
  <c r="P392" i="14" s="1"/>
  <c r="I522" i="14"/>
  <c r="K522" i="14" s="1"/>
  <c r="K537" i="14"/>
  <c r="O470" i="14"/>
  <c r="L546" i="14"/>
  <c r="O546" i="14" s="1"/>
  <c r="K569" i="14"/>
  <c r="K651" i="14"/>
  <c r="K828" i="14"/>
  <c r="P333" i="14"/>
  <c r="N391" i="14"/>
  <c r="N389" i="14" s="1"/>
  <c r="K594" i="14"/>
  <c r="O791" i="14"/>
  <c r="L279" i="14"/>
  <c r="K360" i="14"/>
  <c r="L631" i="14"/>
  <c r="O789" i="14"/>
  <c r="K821" i="14"/>
  <c r="P15" i="14"/>
  <c r="K822" i="12"/>
  <c r="K828" i="12"/>
  <c r="I86" i="13"/>
  <c r="K86" i="13" s="1"/>
  <c r="N121" i="13"/>
  <c r="N119" i="13" s="1"/>
  <c r="L155" i="13"/>
  <c r="O155" i="13" s="1"/>
  <c r="P184" i="13"/>
  <c r="N263" i="13"/>
  <c r="N261" i="13" s="1"/>
  <c r="I364" i="13"/>
  <c r="I443" i="13"/>
  <c r="K443" i="13" s="1"/>
  <c r="N15" i="14"/>
  <c r="O22" i="14"/>
  <c r="L19" i="14"/>
  <c r="L12" i="14"/>
  <c r="N31" i="14"/>
  <c r="P35" i="14"/>
  <c r="O42" i="14"/>
  <c r="M68" i="14"/>
  <c r="I76" i="14"/>
  <c r="K79" i="14"/>
  <c r="I77" i="14"/>
  <c r="O89" i="14"/>
  <c r="M91" i="14"/>
  <c r="P91" i="14" s="1"/>
  <c r="O46" i="14"/>
  <c r="L23" i="14"/>
  <c r="O67" i="14"/>
  <c r="P46" i="13"/>
  <c r="L90" i="13"/>
  <c r="L88" i="13" s="1"/>
  <c r="K99" i="13"/>
  <c r="N155" i="13"/>
  <c r="L187" i="13"/>
  <c r="O187" i="13" s="1"/>
  <c r="K359" i="13"/>
  <c r="K362" i="13"/>
  <c r="K379" i="13"/>
  <c r="M408" i="13"/>
  <c r="P408" i="13" s="1"/>
  <c r="N19" i="14"/>
  <c r="N12" i="14"/>
  <c r="L44" i="14"/>
  <c r="O44" i="14" s="1"/>
  <c r="O58" i="14"/>
  <c r="L69" i="14"/>
  <c r="O69" i="14" s="1"/>
  <c r="K594" i="13"/>
  <c r="M9" i="14"/>
  <c r="P12" i="14"/>
  <c r="M19" i="14"/>
  <c r="N55" i="14"/>
  <c r="P58" i="14"/>
  <c r="J86" i="14"/>
  <c r="K86" i="14" s="1"/>
  <c r="K98" i="14"/>
  <c r="L267" i="12"/>
  <c r="O267" i="12" s="1"/>
  <c r="N330" i="12"/>
  <c r="N328" i="12" s="1"/>
  <c r="K359" i="12"/>
  <c r="L121" i="13"/>
  <c r="O121" i="13" s="1"/>
  <c r="L231" i="13"/>
  <c r="M317" i="13"/>
  <c r="P317" i="13" s="1"/>
  <c r="L43" i="14"/>
  <c r="M26" i="14"/>
  <c r="M24" i="14" s="1"/>
  <c r="P49" i="14"/>
  <c r="O93" i="14"/>
  <c r="L91" i="14"/>
  <c r="O91" i="14" s="1"/>
  <c r="I164" i="14"/>
  <c r="K164" i="14" s="1"/>
  <c r="K174" i="14"/>
  <c r="P168" i="13"/>
  <c r="L198" i="13"/>
  <c r="O198" i="13" s="1"/>
  <c r="P350" i="13"/>
  <c r="K355" i="13"/>
  <c r="N23" i="14"/>
  <c r="N21" i="14" s="1"/>
  <c r="M29" i="14"/>
  <c r="N34" i="14"/>
  <c r="M43" i="14"/>
  <c r="M47" i="14"/>
  <c r="P47" i="14" s="1"/>
  <c r="L68" i="14"/>
  <c r="O68" i="14" s="1"/>
  <c r="M72" i="14"/>
  <c r="P72" i="14" s="1"/>
  <c r="O96" i="14"/>
  <c r="L94" i="14"/>
  <c r="O94" i="14" s="1"/>
  <c r="I87" i="14"/>
  <c r="K87" i="14" s="1"/>
  <c r="P89" i="14"/>
  <c r="P124" i="14"/>
  <c r="I130" i="14"/>
  <c r="K130" i="14" s="1"/>
  <c r="M151" i="14"/>
  <c r="P151" i="14" s="1"/>
  <c r="L168" i="14"/>
  <c r="M171" i="14"/>
  <c r="P171" i="14" s="1"/>
  <c r="M187" i="14"/>
  <c r="P187" i="14" s="1"/>
  <c r="N263" i="14"/>
  <c r="O266" i="14"/>
  <c r="O285" i="14"/>
  <c r="P350" i="14"/>
  <c r="M348" i="14"/>
  <c r="P348" i="14" s="1"/>
  <c r="K145" i="14"/>
  <c r="L167" i="14"/>
  <c r="K176" i="14"/>
  <c r="O350" i="14"/>
  <c r="N347" i="14"/>
  <c r="N345" i="14" s="1"/>
  <c r="I417" i="14"/>
  <c r="L134" i="14"/>
  <c r="O134" i="14" s="1"/>
  <c r="I143" i="14"/>
  <c r="M167" i="14"/>
  <c r="M183" i="14"/>
  <c r="K287" i="14"/>
  <c r="M121" i="14"/>
  <c r="M134" i="14"/>
  <c r="P134" i="14" s="1"/>
  <c r="O186" i="14"/>
  <c r="J288" i="14"/>
  <c r="I275" i="14"/>
  <c r="N300" i="14"/>
  <c r="N298" i="14" s="1"/>
  <c r="P353" i="14"/>
  <c r="N351" i="14"/>
  <c r="J364" i="14"/>
  <c r="K365" i="14"/>
  <c r="P127" i="14"/>
  <c r="I148" i="14"/>
  <c r="K148" i="14" s="1"/>
  <c r="N317" i="14"/>
  <c r="N315" i="14" s="1"/>
  <c r="I314" i="14"/>
  <c r="K314" i="14" s="1"/>
  <c r="K325" i="14"/>
  <c r="L330" i="14"/>
  <c r="O390" i="14"/>
  <c r="L404" i="14"/>
  <c r="M419" i="14"/>
  <c r="O420" i="14"/>
  <c r="K435" i="14"/>
  <c r="N467" i="14"/>
  <c r="M523" i="14"/>
  <c r="P523" i="14" s="1"/>
  <c r="O336" i="14"/>
  <c r="I364" i="14"/>
  <c r="K381" i="14"/>
  <c r="L391" i="14"/>
  <c r="O391" i="14" s="1"/>
  <c r="N392" i="14"/>
  <c r="M404" i="14"/>
  <c r="P404" i="14" s="1"/>
  <c r="L421" i="14"/>
  <c r="O421" i="14" s="1"/>
  <c r="O424" i="14"/>
  <c r="N444" i="14"/>
  <c r="M502" i="14"/>
  <c r="P502" i="14" s="1"/>
  <c r="K568" i="14"/>
  <c r="J537" i="14"/>
  <c r="J522" i="14" s="1"/>
  <c r="K539" i="14"/>
  <c r="K593" i="14"/>
  <c r="J592" i="14"/>
  <c r="O479" i="14"/>
  <c r="L547" i="14"/>
  <c r="O547" i="14" s="1"/>
  <c r="O549" i="14"/>
  <c r="K592" i="14"/>
  <c r="P403" i="14"/>
  <c r="M467" i="14"/>
  <c r="P467" i="14" s="1"/>
  <c r="L525" i="14"/>
  <c r="O525" i="14" s="1"/>
  <c r="M545" i="14"/>
  <c r="I559" i="14"/>
  <c r="I628" i="14"/>
  <c r="K628" i="14" s="1"/>
  <c r="L632" i="14"/>
  <c r="O632" i="14" s="1"/>
  <c r="K669" i="14"/>
  <c r="K673" i="14"/>
  <c r="L687" i="14"/>
  <c r="O687" i="14" s="1"/>
  <c r="O690" i="14"/>
  <c r="O656" i="14"/>
  <c r="K674" i="14"/>
  <c r="I654" i="14"/>
  <c r="K654" i="14" s="1"/>
  <c r="L658" i="14"/>
  <c r="O658" i="14" s="1"/>
  <c r="M737" i="14"/>
  <c r="P737" i="14" s="1"/>
  <c r="M754" i="14"/>
  <c r="P754" i="14" s="1"/>
  <c r="M770" i="14"/>
  <c r="P770" i="14" s="1"/>
  <c r="L786" i="14"/>
  <c r="N788" i="14"/>
  <c r="L805" i="14"/>
  <c r="O805" i="14" s="1"/>
  <c r="K675" i="14"/>
  <c r="M685" i="14"/>
  <c r="P685" i="14" s="1"/>
  <c r="M786" i="14"/>
  <c r="P786" i="14" s="1"/>
  <c r="K800" i="14"/>
  <c r="M805" i="14"/>
  <c r="P805" i="14" s="1"/>
  <c r="L422" i="5"/>
  <c r="O422" i="5" s="1"/>
  <c r="K466" i="12"/>
  <c r="K821" i="12"/>
  <c r="L43" i="13"/>
  <c r="L41" i="13" s="1"/>
  <c r="L167" i="13"/>
  <c r="L165" i="13" s="1"/>
  <c r="K193" i="13"/>
  <c r="K215" i="13"/>
  <c r="L228" i="13"/>
  <c r="L249" i="13"/>
  <c r="O249" i="13" s="1"/>
  <c r="N330" i="13"/>
  <c r="N328" i="13" s="1"/>
  <c r="N348" i="13"/>
  <c r="P348" i="13" s="1"/>
  <c r="M122" i="13"/>
  <c r="P122" i="13" s="1"/>
  <c r="L533" i="13"/>
  <c r="O533" i="13" s="1"/>
  <c r="O93" i="12"/>
  <c r="O58" i="13"/>
  <c r="N55" i="13"/>
  <c r="L68" i="13"/>
  <c r="O68" i="13" s="1"/>
  <c r="P96" i="13"/>
  <c r="P127" i="13"/>
  <c r="M138" i="13"/>
  <c r="P138" i="13" s="1"/>
  <c r="L267" i="13"/>
  <c r="O267" i="13" s="1"/>
  <c r="M318" i="13"/>
  <c r="P318" i="13" s="1"/>
  <c r="P320" i="13"/>
  <c r="J364" i="13"/>
  <c r="L304" i="10"/>
  <c r="O304" i="10" s="1"/>
  <c r="M317" i="10"/>
  <c r="P317" i="10" s="1"/>
  <c r="L36" i="13"/>
  <c r="O36" i="13" s="1"/>
  <c r="N43" i="13"/>
  <c r="N41" i="13" s="1"/>
  <c r="N59" i="13"/>
  <c r="M68" i="13"/>
  <c r="P68" i="13" s="1"/>
  <c r="L91" i="13"/>
  <c r="O91" i="13" s="1"/>
  <c r="N167" i="13"/>
  <c r="N165" i="13" s="1"/>
  <c r="P173" i="13"/>
  <c r="L230" i="13"/>
  <c r="M321" i="13"/>
  <c r="P321" i="13" s="1"/>
  <c r="K340" i="13"/>
  <c r="L788" i="13"/>
  <c r="O788" i="13" s="1"/>
  <c r="K823" i="13"/>
  <c r="N167" i="12"/>
  <c r="N165" i="12" s="1"/>
  <c r="M43" i="13"/>
  <c r="P43" i="13" s="1"/>
  <c r="M47" i="13"/>
  <c r="P47" i="13" s="1"/>
  <c r="M69" i="13"/>
  <c r="P69" i="13" s="1"/>
  <c r="I112" i="13"/>
  <c r="K112" i="13" s="1"/>
  <c r="M301" i="13"/>
  <c r="P301" i="13" s="1"/>
  <c r="M392" i="13"/>
  <c r="P392" i="13" s="1"/>
  <c r="I364" i="12"/>
  <c r="M23" i="13"/>
  <c r="M13" i="13" s="1"/>
  <c r="M134" i="13"/>
  <c r="M132" i="13" s="1"/>
  <c r="P132" i="13" s="1"/>
  <c r="O186" i="13"/>
  <c r="O266" i="13"/>
  <c r="O285" i="13"/>
  <c r="L283" i="13"/>
  <c r="O283" i="13" s="1"/>
  <c r="L331" i="13"/>
  <c r="L330" i="13"/>
  <c r="L328" i="13" s="1"/>
  <c r="P353" i="13"/>
  <c r="M351" i="13"/>
  <c r="P351" i="13" s="1"/>
  <c r="O660" i="13"/>
  <c r="L657" i="13"/>
  <c r="O657" i="13" s="1"/>
  <c r="K385" i="12"/>
  <c r="L546" i="12"/>
  <c r="O546" i="12" s="1"/>
  <c r="K647" i="12"/>
  <c r="K827" i="12"/>
  <c r="N23" i="13"/>
  <c r="N21" i="13" s="1"/>
  <c r="L33" i="13"/>
  <c r="L31" i="13" s="1"/>
  <c r="O31" i="13" s="1"/>
  <c r="L55" i="13"/>
  <c r="L53" i="13" s="1"/>
  <c r="O61" i="13"/>
  <c r="O93" i="13"/>
  <c r="K115" i="13"/>
  <c r="L168" i="13"/>
  <c r="O168" i="13" s="1"/>
  <c r="I260" i="13"/>
  <c r="K260" i="13" s="1"/>
  <c r="P282" i="13"/>
  <c r="M280" i="13"/>
  <c r="P280" i="13" s="1"/>
  <c r="O306" i="13"/>
  <c r="L304" i="13"/>
  <c r="O304" i="13" s="1"/>
  <c r="J433" i="13"/>
  <c r="J417" i="13" s="1"/>
  <c r="I433" i="13"/>
  <c r="I417" i="13" s="1"/>
  <c r="K435" i="13"/>
  <c r="M167" i="12"/>
  <c r="I190" i="12"/>
  <c r="K190" i="12" s="1"/>
  <c r="L231" i="12"/>
  <c r="M44" i="13"/>
  <c r="P44" i="13" s="1"/>
  <c r="L94" i="13"/>
  <c r="O94" i="13" s="1"/>
  <c r="L151" i="13"/>
  <c r="M267" i="12"/>
  <c r="P267" i="12" s="1"/>
  <c r="O124" i="13"/>
  <c r="K144" i="13"/>
  <c r="O170" i="13"/>
  <c r="N321" i="13"/>
  <c r="N317" i="13"/>
  <c r="N315" i="13" s="1"/>
  <c r="K372" i="11"/>
  <c r="L300" i="12"/>
  <c r="L298" i="12" s="1"/>
  <c r="L36" i="12"/>
  <c r="L34" i="12" s="1"/>
  <c r="O34" i="12" s="1"/>
  <c r="N56" i="13"/>
  <c r="O56" i="13" s="1"/>
  <c r="N68" i="13"/>
  <c r="N66" i="13" s="1"/>
  <c r="L125" i="13"/>
  <c r="O125" i="13" s="1"/>
  <c r="L152" i="13"/>
  <c r="O152" i="13" s="1"/>
  <c r="L171" i="13"/>
  <c r="O171" i="13" s="1"/>
  <c r="K288" i="13"/>
  <c r="J288" i="13"/>
  <c r="J275" i="13" s="1"/>
  <c r="I275" i="13"/>
  <c r="K275" i="13" s="1"/>
  <c r="N300" i="13"/>
  <c r="N298" i="13" s="1"/>
  <c r="N301" i="13"/>
  <c r="I275" i="12"/>
  <c r="K275" i="12" s="1"/>
  <c r="K365" i="12"/>
  <c r="O46" i="13"/>
  <c r="M26" i="13"/>
  <c r="M24" i="13" s="1"/>
  <c r="N134" i="13"/>
  <c r="N132" i="13" s="1"/>
  <c r="L184" i="13"/>
  <c r="O184" i="13" s="1"/>
  <c r="M183" i="13"/>
  <c r="M181" i="13" s="1"/>
  <c r="M187" i="13"/>
  <c r="P187" i="13" s="1"/>
  <c r="O407" i="13"/>
  <c r="L404" i="13"/>
  <c r="O404" i="13" s="1"/>
  <c r="L526" i="13"/>
  <c r="O526" i="13" s="1"/>
  <c r="O528" i="13"/>
  <c r="K674" i="13"/>
  <c r="K827" i="13"/>
  <c r="L264" i="13"/>
  <c r="O264" i="13" s="1"/>
  <c r="P266" i="13"/>
  <c r="I276" i="13"/>
  <c r="K276" i="13" s="1"/>
  <c r="M304" i="13"/>
  <c r="P304" i="13" s="1"/>
  <c r="L317" i="13"/>
  <c r="O317" i="13" s="1"/>
  <c r="M330" i="13"/>
  <c r="K381" i="13"/>
  <c r="L547" i="13"/>
  <c r="O547" i="13" s="1"/>
  <c r="L631" i="13"/>
  <c r="M334" i="13"/>
  <c r="P334" i="13" s="1"/>
  <c r="K360" i="13"/>
  <c r="K374" i="13"/>
  <c r="N391" i="13"/>
  <c r="N389" i="13" s="1"/>
  <c r="I434" i="13"/>
  <c r="I418" i="13" s="1"/>
  <c r="K418" i="13" s="1"/>
  <c r="L454" i="13"/>
  <c r="O454" i="13" s="1"/>
  <c r="L469" i="13"/>
  <c r="L467" i="13" s="1"/>
  <c r="K675" i="13"/>
  <c r="L238" i="13"/>
  <c r="O238" i="13" s="1"/>
  <c r="M267" i="13"/>
  <c r="P267" i="13" s="1"/>
  <c r="L301" i="13"/>
  <c r="O301" i="13" s="1"/>
  <c r="K338" i="13"/>
  <c r="K372" i="13"/>
  <c r="I654" i="13"/>
  <c r="K654" i="13" s="1"/>
  <c r="K824" i="13"/>
  <c r="L547" i="11"/>
  <c r="O547" i="11" s="1"/>
  <c r="P44" i="12"/>
  <c r="L134" i="12"/>
  <c r="L132" i="12" s="1"/>
  <c r="M171" i="12"/>
  <c r="P171" i="12" s="1"/>
  <c r="L230" i="12"/>
  <c r="I297" i="12"/>
  <c r="K297" i="12" s="1"/>
  <c r="P350" i="12"/>
  <c r="K355" i="12"/>
  <c r="K378" i="12"/>
  <c r="K381" i="12"/>
  <c r="M408" i="12"/>
  <c r="P408" i="12" s="1"/>
  <c r="L23" i="13"/>
  <c r="L21" i="13" s="1"/>
  <c r="L29" i="13"/>
  <c r="M34" i="13"/>
  <c r="P34" i="13" s="1"/>
  <c r="P35" i="13"/>
  <c r="P42" i="13"/>
  <c r="P67" i="13"/>
  <c r="M91" i="13"/>
  <c r="P91" i="13" s="1"/>
  <c r="P93" i="13"/>
  <c r="M90" i="13"/>
  <c r="M88" i="13" s="1"/>
  <c r="M26" i="12"/>
  <c r="M16" i="12" s="1"/>
  <c r="M28" i="13"/>
  <c r="P28" i="13" s="1"/>
  <c r="P29" i="13"/>
  <c r="M31" i="13"/>
  <c r="P31" i="13" s="1"/>
  <c r="O32" i="13"/>
  <c r="L26" i="13"/>
  <c r="L24" i="13" s="1"/>
  <c r="O49" i="13"/>
  <c r="P89" i="13"/>
  <c r="L138" i="13"/>
  <c r="O138" i="13" s="1"/>
  <c r="O140" i="13"/>
  <c r="L134" i="13"/>
  <c r="M43" i="11"/>
  <c r="M41" i="11" s="1"/>
  <c r="K381" i="11"/>
  <c r="N68" i="12"/>
  <c r="N66" i="12" s="1"/>
  <c r="P137" i="12"/>
  <c r="N134" i="12"/>
  <c r="N132" i="12" s="1"/>
  <c r="K823" i="12"/>
  <c r="L12" i="13"/>
  <c r="L15" i="13"/>
  <c r="L47" i="13"/>
  <c r="O47" i="13" s="1"/>
  <c r="L72" i="13"/>
  <c r="O72" i="13" s="1"/>
  <c r="P152" i="11"/>
  <c r="O137" i="12"/>
  <c r="O791" i="12"/>
  <c r="K800" i="12"/>
  <c r="P22" i="13"/>
  <c r="M19" i="13"/>
  <c r="M12" i="13"/>
  <c r="N47" i="13"/>
  <c r="N26" i="13"/>
  <c r="N16" i="13" s="1"/>
  <c r="P61" i="13"/>
  <c r="M59" i="13"/>
  <c r="P59" i="13" s="1"/>
  <c r="P154" i="13"/>
  <c r="M151" i="13"/>
  <c r="P166" i="13"/>
  <c r="K174" i="13"/>
  <c r="I164" i="13"/>
  <c r="K164" i="13" s="1"/>
  <c r="N167" i="11"/>
  <c r="N165" i="11" s="1"/>
  <c r="M121" i="12"/>
  <c r="P121" i="12" s="1"/>
  <c r="N263" i="12"/>
  <c r="N261" i="12" s="1"/>
  <c r="L395" i="12"/>
  <c r="O395" i="12" s="1"/>
  <c r="N15" i="13"/>
  <c r="N19" i="13"/>
  <c r="K79" i="13"/>
  <c r="I77" i="13"/>
  <c r="M152" i="13"/>
  <c r="P152" i="13" s="1"/>
  <c r="L155" i="11"/>
  <c r="O155" i="11" s="1"/>
  <c r="K374" i="11"/>
  <c r="L43" i="12"/>
  <c r="L41" i="12" s="1"/>
  <c r="O264" i="12"/>
  <c r="O449" i="12"/>
  <c r="L788" i="12"/>
  <c r="L786" i="12" s="1"/>
  <c r="O786" i="12" s="1"/>
  <c r="O19" i="13"/>
  <c r="L44" i="13"/>
  <c r="O44" i="13" s="1"/>
  <c r="P58" i="13"/>
  <c r="M56" i="13"/>
  <c r="L69" i="13"/>
  <c r="O69" i="13" s="1"/>
  <c r="I76" i="13"/>
  <c r="K80" i="13"/>
  <c r="N90" i="13"/>
  <c r="M121" i="13"/>
  <c r="P137" i="13"/>
  <c r="K146" i="13"/>
  <c r="M167" i="13"/>
  <c r="K176" i="13"/>
  <c r="M263" i="13"/>
  <c r="L280" i="13"/>
  <c r="O280" i="13" s="1"/>
  <c r="M283" i="13"/>
  <c r="P283" i="13" s="1"/>
  <c r="M300" i="13"/>
  <c r="P300" i="13" s="1"/>
  <c r="P316" i="13"/>
  <c r="L318" i="13"/>
  <c r="O318" i="13" s="1"/>
  <c r="O329" i="13"/>
  <c r="N331" i="13"/>
  <c r="P333" i="13"/>
  <c r="O336" i="13"/>
  <c r="L347" i="13"/>
  <c r="O350" i="13"/>
  <c r="K378" i="13"/>
  <c r="L395" i="13"/>
  <c r="O395" i="13" s="1"/>
  <c r="O397" i="13"/>
  <c r="L351" i="13"/>
  <c r="O351" i="13" s="1"/>
  <c r="O353" i="13"/>
  <c r="M135" i="13"/>
  <c r="P135" i="13" s="1"/>
  <c r="P170" i="13"/>
  <c r="L183" i="13"/>
  <c r="L229" i="13"/>
  <c r="I233" i="13"/>
  <c r="K233" i="13" s="1"/>
  <c r="I248" i="13"/>
  <c r="K248" i="13" s="1"/>
  <c r="L279" i="13"/>
  <c r="O279" i="13" s="1"/>
  <c r="N280" i="13"/>
  <c r="O333" i="13"/>
  <c r="M395" i="13"/>
  <c r="P395" i="13" s="1"/>
  <c r="N414" i="13"/>
  <c r="L447" i="13"/>
  <c r="O447" i="13" s="1"/>
  <c r="O449" i="13"/>
  <c r="L446" i="13"/>
  <c r="M279" i="13"/>
  <c r="K145" i="13"/>
  <c r="I143" i="13"/>
  <c r="N183" i="13"/>
  <c r="P262" i="13"/>
  <c r="P264" i="13"/>
  <c r="P299" i="13"/>
  <c r="L321" i="13"/>
  <c r="O321" i="13" s="1"/>
  <c r="J327" i="13"/>
  <c r="K327" i="13" s="1"/>
  <c r="M347" i="13"/>
  <c r="L392" i="13"/>
  <c r="O392" i="13" s="1"/>
  <c r="L391" i="13"/>
  <c r="O394" i="13"/>
  <c r="L405" i="13"/>
  <c r="O405" i="13" s="1"/>
  <c r="P407" i="13"/>
  <c r="M404" i="13"/>
  <c r="P404" i="13" s="1"/>
  <c r="L422" i="13"/>
  <c r="O422" i="13" s="1"/>
  <c r="L421" i="13"/>
  <c r="O424" i="13"/>
  <c r="K442" i="13"/>
  <c r="N467" i="13"/>
  <c r="P186" i="13"/>
  <c r="L263" i="13"/>
  <c r="L300" i="13"/>
  <c r="M391" i="13"/>
  <c r="P391" i="13" s="1"/>
  <c r="N404" i="13"/>
  <c r="N402" i="13" s="1"/>
  <c r="P419" i="13"/>
  <c r="L502" i="13"/>
  <c r="O502" i="13" s="1"/>
  <c r="P503" i="13"/>
  <c r="L546" i="13"/>
  <c r="O546" i="13" s="1"/>
  <c r="K365" i="13"/>
  <c r="N469" i="13"/>
  <c r="O479" i="13"/>
  <c r="L555" i="13"/>
  <c r="O555" i="13" s="1"/>
  <c r="P555" i="13"/>
  <c r="M545" i="13"/>
  <c r="K576" i="13"/>
  <c r="I559" i="13"/>
  <c r="N470" i="13"/>
  <c r="O470" i="13" s="1"/>
  <c r="J537" i="13"/>
  <c r="J522" i="13" s="1"/>
  <c r="I592" i="13"/>
  <c r="K592" i="13" s="1"/>
  <c r="K593" i="13"/>
  <c r="N502" i="13"/>
  <c r="K537" i="13"/>
  <c r="L525" i="13"/>
  <c r="I628" i="13"/>
  <c r="K628" i="13" s="1"/>
  <c r="P630" i="13"/>
  <c r="L632" i="13"/>
  <c r="O632" i="13" s="1"/>
  <c r="K669" i="13"/>
  <c r="K673" i="13"/>
  <c r="L687" i="13"/>
  <c r="O687" i="13" s="1"/>
  <c r="O690" i="13"/>
  <c r="L658" i="13"/>
  <c r="O658" i="13" s="1"/>
  <c r="M737" i="13"/>
  <c r="P737" i="13" s="1"/>
  <c r="M754" i="13"/>
  <c r="P754" i="13" s="1"/>
  <c r="M770" i="13"/>
  <c r="P770" i="13" s="1"/>
  <c r="L805" i="13"/>
  <c r="O805" i="13" s="1"/>
  <c r="M786" i="13"/>
  <c r="P786" i="13" s="1"/>
  <c r="K800" i="13"/>
  <c r="M805" i="13"/>
  <c r="P805" i="13" s="1"/>
  <c r="K145" i="12"/>
  <c r="M151" i="12"/>
  <c r="P151" i="12" s="1"/>
  <c r="L33" i="12"/>
  <c r="O33" i="12" s="1"/>
  <c r="L555" i="12"/>
  <c r="O555" i="12" s="1"/>
  <c r="O557" i="12"/>
  <c r="L687" i="12"/>
  <c r="J722" i="12"/>
  <c r="K224" i="11"/>
  <c r="L404" i="11"/>
  <c r="O404" i="11" s="1"/>
  <c r="L44" i="12"/>
  <c r="O44" i="12" s="1"/>
  <c r="L183" i="12"/>
  <c r="L181" i="12" s="1"/>
  <c r="O282" i="12"/>
  <c r="L469" i="12"/>
  <c r="O469" i="12" s="1"/>
  <c r="K537" i="12"/>
  <c r="N404" i="10"/>
  <c r="N402" i="10" s="1"/>
  <c r="L125" i="11"/>
  <c r="O125" i="11" s="1"/>
  <c r="L217" i="11"/>
  <c r="O217" i="11" s="1"/>
  <c r="L231" i="11"/>
  <c r="L405" i="11"/>
  <c r="O405" i="11" s="1"/>
  <c r="M408" i="11"/>
  <c r="P408" i="11" s="1"/>
  <c r="M23" i="12"/>
  <c r="M13" i="12" s="1"/>
  <c r="N43" i="12"/>
  <c r="N41" i="12" s="1"/>
  <c r="P61" i="12"/>
  <c r="L68" i="12"/>
  <c r="O68" i="12" s="1"/>
  <c r="I112" i="12"/>
  <c r="K112" i="12" s="1"/>
  <c r="N121" i="12"/>
  <c r="N119" i="12" s="1"/>
  <c r="L125" i="12"/>
  <c r="O125" i="12" s="1"/>
  <c r="P140" i="12"/>
  <c r="I148" i="12"/>
  <c r="K148" i="12" s="1"/>
  <c r="L152" i="12"/>
  <c r="O152" i="12" s="1"/>
  <c r="N183" i="12"/>
  <c r="N181" i="12" s="1"/>
  <c r="M183" i="12"/>
  <c r="I260" i="12"/>
  <c r="K260" i="12" s="1"/>
  <c r="N280" i="12"/>
  <c r="O280" i="12" s="1"/>
  <c r="N317" i="12"/>
  <c r="N315" i="12" s="1"/>
  <c r="K340" i="12"/>
  <c r="L391" i="12"/>
  <c r="O391" i="12" s="1"/>
  <c r="L405" i="12"/>
  <c r="O405" i="12" s="1"/>
  <c r="J537" i="12"/>
  <c r="J522" i="12" s="1"/>
  <c r="O46" i="12"/>
  <c r="L72" i="12"/>
  <c r="O72" i="12" s="1"/>
  <c r="P127" i="12"/>
  <c r="O186" i="12"/>
  <c r="L304" i="12"/>
  <c r="O304" i="12" s="1"/>
  <c r="L318" i="12"/>
  <c r="O318" i="12" s="1"/>
  <c r="M405" i="12"/>
  <c r="P405" i="12" s="1"/>
  <c r="L632" i="2"/>
  <c r="O632" i="2" s="1"/>
  <c r="K728" i="9"/>
  <c r="K822" i="9"/>
  <c r="K825" i="9"/>
  <c r="K828" i="9"/>
  <c r="O154" i="11"/>
  <c r="N317" i="11"/>
  <c r="N315" i="11" s="1"/>
  <c r="L47" i="12"/>
  <c r="O47" i="12" s="1"/>
  <c r="M90" i="12"/>
  <c r="M88" i="12" s="1"/>
  <c r="I130" i="12"/>
  <c r="K130" i="12" s="1"/>
  <c r="L187" i="12"/>
  <c r="O187" i="12" s="1"/>
  <c r="P336" i="12"/>
  <c r="L347" i="12"/>
  <c r="L345" i="12" s="1"/>
  <c r="K360" i="12"/>
  <c r="L392" i="12"/>
  <c r="O392" i="12" s="1"/>
  <c r="O634" i="12"/>
  <c r="K649" i="12"/>
  <c r="K824" i="12"/>
  <c r="L533" i="11"/>
  <c r="O533" i="11" s="1"/>
  <c r="K255" i="11"/>
  <c r="M347" i="11"/>
  <c r="M345" i="11" s="1"/>
  <c r="K362" i="11"/>
  <c r="N59" i="12"/>
  <c r="P59" i="12" s="1"/>
  <c r="M94" i="12"/>
  <c r="P94" i="12" s="1"/>
  <c r="L122" i="12"/>
  <c r="O122" i="12" s="1"/>
  <c r="M152" i="12"/>
  <c r="P152" i="12" s="1"/>
  <c r="P157" i="12"/>
  <c r="M155" i="12"/>
  <c r="P155" i="12" s="1"/>
  <c r="K215" i="12"/>
  <c r="I208" i="12"/>
  <c r="K208" i="12" s="1"/>
  <c r="P266" i="12"/>
  <c r="M263" i="12"/>
  <c r="P282" i="12"/>
  <c r="M279" i="12"/>
  <c r="M277" i="12" s="1"/>
  <c r="O323" i="12"/>
  <c r="L317" i="12"/>
  <c r="O317" i="12" s="1"/>
  <c r="K651" i="12"/>
  <c r="I628" i="12"/>
  <c r="K628" i="12" s="1"/>
  <c r="N330" i="10"/>
  <c r="N328" i="10" s="1"/>
  <c r="O46" i="11"/>
  <c r="N68" i="11"/>
  <c r="N66" i="11" s="1"/>
  <c r="N279" i="11"/>
  <c r="N277" i="11" s="1"/>
  <c r="N55" i="12"/>
  <c r="N53" i="12" s="1"/>
  <c r="L23" i="12"/>
  <c r="L21" i="12" s="1"/>
  <c r="P96" i="12"/>
  <c r="K115" i="12"/>
  <c r="M122" i="12"/>
  <c r="P122" i="12" s="1"/>
  <c r="N135" i="12"/>
  <c r="O135" i="12" s="1"/>
  <c r="L138" i="12"/>
  <c r="O140" i="12"/>
  <c r="P154" i="12"/>
  <c r="M264" i="12"/>
  <c r="P264" i="12" s="1"/>
  <c r="N301" i="12"/>
  <c r="P323" i="12"/>
  <c r="M321" i="12"/>
  <c r="P321" i="12" s="1"/>
  <c r="O333" i="12"/>
  <c r="O336" i="12"/>
  <c r="L330" i="12"/>
  <c r="L328" i="12" s="1"/>
  <c r="L334" i="12"/>
  <c r="O334" i="12" s="1"/>
  <c r="O353" i="12"/>
  <c r="L351" i="12"/>
  <c r="O351" i="12" s="1"/>
  <c r="J433" i="12"/>
  <c r="J417" i="12" s="1"/>
  <c r="L72" i="8"/>
  <c r="O72" i="8" s="1"/>
  <c r="O173" i="8"/>
  <c r="M155" i="10"/>
  <c r="P155" i="10" s="1"/>
  <c r="L525" i="10"/>
  <c r="L523" i="10" s="1"/>
  <c r="O523" i="10" s="1"/>
  <c r="O690" i="11"/>
  <c r="P49" i="12"/>
  <c r="O56" i="12"/>
  <c r="P58" i="12"/>
  <c r="L69" i="12"/>
  <c r="O69" i="12" s="1"/>
  <c r="L90" i="12"/>
  <c r="L88" i="12" s="1"/>
  <c r="L121" i="12"/>
  <c r="P124" i="12"/>
  <c r="N138" i="12"/>
  <c r="L155" i="12"/>
  <c r="O155" i="12" s="1"/>
  <c r="L198" i="12"/>
  <c r="O198" i="12" s="1"/>
  <c r="M283" i="12"/>
  <c r="P283" i="12" s="1"/>
  <c r="O410" i="12"/>
  <c r="L404" i="12"/>
  <c r="O404" i="12" s="1"/>
  <c r="L408" i="12"/>
  <c r="O408" i="12" s="1"/>
  <c r="O266" i="12"/>
  <c r="L263" i="12"/>
  <c r="L395" i="10"/>
  <c r="O395" i="10" s="1"/>
  <c r="O61" i="12"/>
  <c r="L151" i="12"/>
  <c r="I276" i="12"/>
  <c r="K276" i="12" s="1"/>
  <c r="K287" i="12"/>
  <c r="L321" i="12"/>
  <c r="O321" i="12" s="1"/>
  <c r="N404" i="12"/>
  <c r="N402" i="12" s="1"/>
  <c r="N405" i="12"/>
  <c r="K672" i="12"/>
  <c r="I654" i="12"/>
  <c r="K654" i="12" s="1"/>
  <c r="L408" i="11"/>
  <c r="O408" i="11" s="1"/>
  <c r="L59" i="12"/>
  <c r="N90" i="12"/>
  <c r="M134" i="12"/>
  <c r="P170" i="12"/>
  <c r="L217" i="12"/>
  <c r="O217" i="12" s="1"/>
  <c r="K244" i="12"/>
  <c r="N331" i="12"/>
  <c r="P331" i="12" s="1"/>
  <c r="L526" i="12"/>
  <c r="O526" i="12" s="1"/>
  <c r="O528" i="12"/>
  <c r="L525" i="12"/>
  <c r="O660" i="12"/>
  <c r="L657" i="12"/>
  <c r="O657" i="12" s="1"/>
  <c r="L229" i="12"/>
  <c r="I314" i="12"/>
  <c r="K314" i="12" s="1"/>
  <c r="O424" i="12"/>
  <c r="I559" i="12"/>
  <c r="I543" i="12" s="1"/>
  <c r="K543" i="12" s="1"/>
  <c r="J721" i="12"/>
  <c r="K374" i="12"/>
  <c r="K379" i="12"/>
  <c r="M391" i="12"/>
  <c r="L477" i="12"/>
  <c r="O477" i="12" s="1"/>
  <c r="O303" i="12"/>
  <c r="P303" i="12"/>
  <c r="K369" i="12"/>
  <c r="K372" i="12"/>
  <c r="I434" i="12"/>
  <c r="K434" i="12" s="1"/>
  <c r="P19" i="12"/>
  <c r="O19" i="12"/>
  <c r="K86" i="12"/>
  <c r="N392" i="12"/>
  <c r="N391" i="12"/>
  <c r="N389" i="12" s="1"/>
  <c r="I654" i="9"/>
  <c r="K654" i="9" s="1"/>
  <c r="L121" i="11"/>
  <c r="O121" i="11" s="1"/>
  <c r="P186" i="11"/>
  <c r="I190" i="11"/>
  <c r="K190" i="11" s="1"/>
  <c r="K355" i="11"/>
  <c r="K369" i="11"/>
  <c r="K593" i="11"/>
  <c r="K728" i="11"/>
  <c r="K822" i="11"/>
  <c r="K825" i="11"/>
  <c r="K828" i="11"/>
  <c r="M12" i="12"/>
  <c r="L15" i="12"/>
  <c r="L26" i="12"/>
  <c r="P46" i="12"/>
  <c r="P74" i="12"/>
  <c r="M72" i="12"/>
  <c r="P72" i="12" s="1"/>
  <c r="I77" i="12"/>
  <c r="O96" i="12"/>
  <c r="K100" i="12"/>
  <c r="P120" i="12"/>
  <c r="N151" i="12"/>
  <c r="N149" i="12" s="1"/>
  <c r="O182" i="12"/>
  <c r="L209" i="12"/>
  <c r="O209" i="12" s="1"/>
  <c r="I216" i="12"/>
  <c r="K216" i="12" s="1"/>
  <c r="L283" i="12"/>
  <c r="O283" i="12" s="1"/>
  <c r="O285" i="12"/>
  <c r="L279" i="12"/>
  <c r="P299" i="12"/>
  <c r="P419" i="12"/>
  <c r="N469" i="12"/>
  <c r="N467" i="12" s="1"/>
  <c r="N470" i="12"/>
  <c r="O470" i="12" s="1"/>
  <c r="L122" i="11"/>
  <c r="O122" i="11" s="1"/>
  <c r="L151" i="11"/>
  <c r="L149" i="11" s="1"/>
  <c r="L334" i="11"/>
  <c r="O334" i="11" s="1"/>
  <c r="N12" i="12"/>
  <c r="N31" i="12"/>
  <c r="O58" i="12"/>
  <c r="P150" i="12"/>
  <c r="M184" i="12"/>
  <c r="P184" i="12" s="1"/>
  <c r="P186" i="12"/>
  <c r="L228" i="12"/>
  <c r="L249" i="12"/>
  <c r="O249" i="12" s="1"/>
  <c r="P329" i="12"/>
  <c r="L94" i="11"/>
  <c r="O94" i="11" s="1"/>
  <c r="L263" i="11"/>
  <c r="L261" i="11" s="1"/>
  <c r="L283" i="11"/>
  <c r="O283" i="11" s="1"/>
  <c r="L304" i="11"/>
  <c r="O304" i="11" s="1"/>
  <c r="K700" i="11"/>
  <c r="N19" i="12"/>
  <c r="N26" i="12"/>
  <c r="N16" i="12" s="1"/>
  <c r="N14" i="12" s="1"/>
  <c r="P54" i="12"/>
  <c r="P56" i="12"/>
  <c r="P71" i="12"/>
  <c r="M69" i="12"/>
  <c r="P69" i="12" s="1"/>
  <c r="P93" i="12"/>
  <c r="N91" i="12"/>
  <c r="K98" i="12"/>
  <c r="I164" i="12"/>
  <c r="K164" i="12" s="1"/>
  <c r="K174" i="12"/>
  <c r="O184" i="12"/>
  <c r="L238" i="12"/>
  <c r="M351" i="12"/>
  <c r="P351" i="12" s="1"/>
  <c r="P353" i="12"/>
  <c r="M347" i="12"/>
  <c r="M23" i="11"/>
  <c r="M21" i="11" s="1"/>
  <c r="I87" i="11"/>
  <c r="K87" i="11" s="1"/>
  <c r="I130" i="11"/>
  <c r="K130" i="11" s="1"/>
  <c r="P25" i="12"/>
  <c r="M15" i="12"/>
  <c r="L55" i="12"/>
  <c r="I76" i="12"/>
  <c r="L168" i="12"/>
  <c r="O170" i="12"/>
  <c r="L171" i="12"/>
  <c r="O171" i="12" s="1"/>
  <c r="O173" i="12"/>
  <c r="M187" i="12"/>
  <c r="P187" i="12" s="1"/>
  <c r="P189" i="12"/>
  <c r="P320" i="12"/>
  <c r="M317" i="12"/>
  <c r="O468" i="12"/>
  <c r="K701" i="11"/>
  <c r="K821" i="11"/>
  <c r="K824" i="11"/>
  <c r="K827" i="11"/>
  <c r="O22" i="12"/>
  <c r="P32" i="12"/>
  <c r="M29" i="12"/>
  <c r="M43" i="12"/>
  <c r="N23" i="12"/>
  <c r="M55" i="12"/>
  <c r="M53" i="12" s="1"/>
  <c r="M68" i="12"/>
  <c r="I87" i="12"/>
  <c r="K87" i="12" s="1"/>
  <c r="K99" i="12"/>
  <c r="K204" i="12"/>
  <c r="I197" i="12"/>
  <c r="K197" i="12" s="1"/>
  <c r="M318" i="12"/>
  <c r="P318" i="12" s="1"/>
  <c r="M135" i="12"/>
  <c r="M138" i="12"/>
  <c r="J143" i="12"/>
  <c r="J131" i="12" s="1"/>
  <c r="K131" i="12" s="1"/>
  <c r="N168" i="12"/>
  <c r="P168" i="12" s="1"/>
  <c r="O262" i="12"/>
  <c r="P278" i="12"/>
  <c r="M280" i="12"/>
  <c r="L301" i="12"/>
  <c r="M304" i="12"/>
  <c r="P304" i="12" s="1"/>
  <c r="P333" i="12"/>
  <c r="J327" i="12"/>
  <c r="K327" i="12" s="1"/>
  <c r="N348" i="12"/>
  <c r="P348" i="12" s="1"/>
  <c r="M404" i="12"/>
  <c r="L429" i="12"/>
  <c r="O429" i="12" s="1"/>
  <c r="O431" i="12"/>
  <c r="L421" i="12"/>
  <c r="M467" i="12"/>
  <c r="P467" i="12" s="1"/>
  <c r="P468" i="12"/>
  <c r="O472" i="12"/>
  <c r="L502" i="12"/>
  <c r="O502" i="12" s="1"/>
  <c r="O503" i="12"/>
  <c r="K577" i="12"/>
  <c r="M301" i="12"/>
  <c r="O403" i="12"/>
  <c r="K176" i="12"/>
  <c r="K288" i="12"/>
  <c r="N347" i="12"/>
  <c r="O350" i="12"/>
  <c r="P397" i="12"/>
  <c r="M395" i="12"/>
  <c r="P395" i="12" s="1"/>
  <c r="N419" i="12"/>
  <c r="I433" i="12"/>
  <c r="K435" i="12"/>
  <c r="N279" i="12"/>
  <c r="M300" i="12"/>
  <c r="P420" i="12"/>
  <c r="I443" i="12"/>
  <c r="K443" i="12" s="1"/>
  <c r="L454" i="12"/>
  <c r="O454" i="12" s="1"/>
  <c r="O456" i="12"/>
  <c r="L446" i="12"/>
  <c r="O446" i="12" s="1"/>
  <c r="I233" i="12"/>
  <c r="K233" i="12" s="1"/>
  <c r="I248" i="12"/>
  <c r="K248" i="12" s="1"/>
  <c r="M330" i="12"/>
  <c r="K362" i="12"/>
  <c r="J364" i="12"/>
  <c r="K370" i="12"/>
  <c r="P394" i="12"/>
  <c r="M392" i="12"/>
  <c r="P392" i="12" s="1"/>
  <c r="N754" i="12"/>
  <c r="O549" i="12"/>
  <c r="M655" i="12"/>
  <c r="P655" i="12" s="1"/>
  <c r="K669" i="12"/>
  <c r="K673" i="12"/>
  <c r="O690" i="12"/>
  <c r="P503" i="12"/>
  <c r="M544" i="12"/>
  <c r="P544" i="12" s="1"/>
  <c r="L631" i="12"/>
  <c r="O641" i="12"/>
  <c r="O656" i="12"/>
  <c r="K674" i="12"/>
  <c r="L737" i="12"/>
  <c r="O737" i="12" s="1"/>
  <c r="L754" i="12"/>
  <c r="O754" i="12" s="1"/>
  <c r="L770" i="12"/>
  <c r="O770" i="12" s="1"/>
  <c r="K675" i="12"/>
  <c r="M685" i="12"/>
  <c r="P685" i="12" s="1"/>
  <c r="M786" i="12"/>
  <c r="P786" i="12" s="1"/>
  <c r="M805" i="12"/>
  <c r="P805" i="12" s="1"/>
  <c r="K593" i="12"/>
  <c r="L525" i="11"/>
  <c r="L523" i="11" s="1"/>
  <c r="O523" i="11" s="1"/>
  <c r="K785" i="11"/>
  <c r="P124" i="11"/>
  <c r="M134" i="11"/>
  <c r="M132" i="11" s="1"/>
  <c r="O350" i="11"/>
  <c r="L279" i="8"/>
  <c r="L277" i="8" s="1"/>
  <c r="O61" i="11"/>
  <c r="N121" i="11"/>
  <c r="N119" i="11" s="1"/>
  <c r="P137" i="11"/>
  <c r="L152" i="11"/>
  <c r="O152" i="11" s="1"/>
  <c r="N280" i="11"/>
  <c r="P280" i="11" s="1"/>
  <c r="K360" i="11"/>
  <c r="L391" i="11"/>
  <c r="O391" i="11" s="1"/>
  <c r="K537" i="11"/>
  <c r="I654" i="11"/>
  <c r="K654" i="11" s="1"/>
  <c r="L547" i="3"/>
  <c r="O547" i="3" s="1"/>
  <c r="M68" i="10"/>
  <c r="M66" i="10" s="1"/>
  <c r="L33" i="11"/>
  <c r="O33" i="11" s="1"/>
  <c r="M151" i="11"/>
  <c r="M149" i="11" s="1"/>
  <c r="L657" i="9"/>
  <c r="O657" i="9" s="1"/>
  <c r="K338" i="10"/>
  <c r="N90" i="11"/>
  <c r="N88" i="11" s="1"/>
  <c r="N135" i="11"/>
  <c r="O135" i="11" s="1"/>
  <c r="P301" i="11"/>
  <c r="K385" i="11"/>
  <c r="L687" i="11"/>
  <c r="O687" i="11" s="1"/>
  <c r="K146" i="10"/>
  <c r="M151" i="10"/>
  <c r="P151" i="10" s="1"/>
  <c r="M263" i="10"/>
  <c r="M261" i="10" s="1"/>
  <c r="I112" i="11"/>
  <c r="K112" i="11" s="1"/>
  <c r="M267" i="11"/>
  <c r="P267" i="11" s="1"/>
  <c r="O320" i="11"/>
  <c r="L347" i="11"/>
  <c r="L345" i="11" s="1"/>
  <c r="L392" i="11"/>
  <c r="O392" i="11" s="1"/>
  <c r="O397" i="11"/>
  <c r="O424" i="11"/>
  <c r="K338" i="9"/>
  <c r="K385" i="9"/>
  <c r="P58" i="10"/>
  <c r="M122" i="10"/>
  <c r="P122" i="10" s="1"/>
  <c r="M125" i="10"/>
  <c r="P125" i="10" s="1"/>
  <c r="M152" i="10"/>
  <c r="P152" i="10" s="1"/>
  <c r="I148" i="11"/>
  <c r="K148" i="11" s="1"/>
  <c r="L209" i="11"/>
  <c r="O209" i="11" s="1"/>
  <c r="L230" i="11"/>
  <c r="P282" i="11"/>
  <c r="L321" i="11"/>
  <c r="O321" i="11" s="1"/>
  <c r="K379" i="11"/>
  <c r="L36" i="11"/>
  <c r="O36" i="11" s="1"/>
  <c r="L469" i="11"/>
  <c r="L467" i="11" s="1"/>
  <c r="O467" i="11" s="1"/>
  <c r="K649" i="11"/>
  <c r="K287" i="11"/>
  <c r="I276" i="11"/>
  <c r="K276" i="11" s="1"/>
  <c r="P306" i="11"/>
  <c r="M304" i="11"/>
  <c r="P304" i="11" s="1"/>
  <c r="K460" i="11"/>
  <c r="I442" i="11"/>
  <c r="K442" i="11" s="1"/>
  <c r="K145" i="10"/>
  <c r="N44" i="11"/>
  <c r="O44" i="11" s="1"/>
  <c r="N69" i="11"/>
  <c r="O69" i="11" s="1"/>
  <c r="L72" i="11"/>
  <c r="O72" i="11" s="1"/>
  <c r="N94" i="11"/>
  <c r="M138" i="11"/>
  <c r="P138" i="11" s="1"/>
  <c r="N151" i="11"/>
  <c r="N149" i="11" s="1"/>
  <c r="I237" i="11"/>
  <c r="K237" i="11" s="1"/>
  <c r="I233" i="11"/>
  <c r="K233" i="11" s="1"/>
  <c r="L279" i="11"/>
  <c r="O282" i="11"/>
  <c r="M300" i="11"/>
  <c r="M298" i="11" s="1"/>
  <c r="M321" i="11"/>
  <c r="P321" i="11" s="1"/>
  <c r="O333" i="11"/>
  <c r="L331" i="11"/>
  <c r="O331" i="11" s="1"/>
  <c r="L187" i="9"/>
  <c r="O187" i="9" s="1"/>
  <c r="L230" i="10"/>
  <c r="L321" i="10"/>
  <c r="O321" i="10" s="1"/>
  <c r="L405" i="10"/>
  <c r="O405" i="10" s="1"/>
  <c r="L408" i="10"/>
  <c r="O408" i="10" s="1"/>
  <c r="M47" i="11"/>
  <c r="P47" i="11" s="1"/>
  <c r="N43" i="11"/>
  <c r="L55" i="11"/>
  <c r="L53" i="11" s="1"/>
  <c r="P58" i="11"/>
  <c r="M72" i="11"/>
  <c r="P72" i="11" s="1"/>
  <c r="P157" i="11"/>
  <c r="I197" i="11"/>
  <c r="K197" i="11" s="1"/>
  <c r="K204" i="11"/>
  <c r="K215" i="11"/>
  <c r="I208" i="11"/>
  <c r="K208" i="11" s="1"/>
  <c r="L280" i="11"/>
  <c r="L317" i="11"/>
  <c r="O317" i="11" s="1"/>
  <c r="O348" i="11"/>
  <c r="I559" i="11"/>
  <c r="I543" i="11" s="1"/>
  <c r="K543" i="11" s="1"/>
  <c r="P323" i="10"/>
  <c r="P49" i="11"/>
  <c r="L59" i="11"/>
  <c r="O59" i="11" s="1"/>
  <c r="O93" i="11"/>
  <c r="P127" i="11"/>
  <c r="O173" i="11"/>
  <c r="P266" i="11"/>
  <c r="M264" i="11"/>
  <c r="P264" i="11" s="1"/>
  <c r="M279" i="11"/>
  <c r="M277" i="11" s="1"/>
  <c r="M283" i="11"/>
  <c r="P283" i="11" s="1"/>
  <c r="I297" i="11"/>
  <c r="K297" i="11" s="1"/>
  <c r="K309" i="11"/>
  <c r="I364" i="11"/>
  <c r="N404" i="11"/>
  <c r="N402" i="11" s="1"/>
  <c r="N405" i="11"/>
  <c r="K672" i="11"/>
  <c r="K673" i="11"/>
  <c r="M330" i="9"/>
  <c r="M328" i="9" s="1"/>
  <c r="L90" i="10"/>
  <c r="L88" i="10" s="1"/>
  <c r="L121" i="10"/>
  <c r="O121" i="10" s="1"/>
  <c r="N263" i="10"/>
  <c r="N261" i="10" s="1"/>
  <c r="O350" i="10"/>
  <c r="J722" i="10"/>
  <c r="L68" i="11"/>
  <c r="M90" i="11"/>
  <c r="M88" i="11" s="1"/>
  <c r="M263" i="11"/>
  <c r="M261" i="11" s="1"/>
  <c r="L330" i="11"/>
  <c r="L328" i="11" s="1"/>
  <c r="K338" i="11"/>
  <c r="O353" i="11"/>
  <c r="N347" i="11"/>
  <c r="L395" i="11"/>
  <c r="O395" i="11" s="1"/>
  <c r="M405" i="11"/>
  <c r="P405" i="11" s="1"/>
  <c r="O660" i="11"/>
  <c r="L657" i="11"/>
  <c r="O657" i="11" s="1"/>
  <c r="K669" i="11"/>
  <c r="K340" i="10"/>
  <c r="P46" i="11"/>
  <c r="P71" i="11"/>
  <c r="O479" i="11"/>
  <c r="L477" i="11"/>
  <c r="O477" i="11" s="1"/>
  <c r="J537" i="11"/>
  <c r="J522" i="11" s="1"/>
  <c r="K539" i="11"/>
  <c r="K651" i="11"/>
  <c r="I628" i="11"/>
  <c r="K628" i="11" s="1"/>
  <c r="L238" i="11"/>
  <c r="J722" i="11"/>
  <c r="K722" i="11" s="1"/>
  <c r="K800" i="11"/>
  <c r="L249" i="11"/>
  <c r="O249" i="11" s="1"/>
  <c r="L267" i="11"/>
  <c r="O267" i="11" s="1"/>
  <c r="M318" i="11"/>
  <c r="P318" i="11" s="1"/>
  <c r="K359" i="11"/>
  <c r="M391" i="11"/>
  <c r="I434" i="11"/>
  <c r="K434" i="11" s="1"/>
  <c r="K647" i="11"/>
  <c r="O189" i="11"/>
  <c r="O266" i="11"/>
  <c r="M317" i="11"/>
  <c r="M315" i="11" s="1"/>
  <c r="P315" i="11" s="1"/>
  <c r="J327" i="11"/>
  <c r="K327" i="11" s="1"/>
  <c r="J364" i="11"/>
  <c r="K378" i="11"/>
  <c r="J433" i="11"/>
  <c r="J417" i="11" s="1"/>
  <c r="K726" i="11"/>
  <c r="K823" i="11"/>
  <c r="K826" i="11"/>
  <c r="O29" i="11"/>
  <c r="M391" i="10"/>
  <c r="P391" i="10" s="1"/>
  <c r="O15" i="11"/>
  <c r="O49" i="11"/>
  <c r="L26" i="11"/>
  <c r="L43" i="11"/>
  <c r="P89" i="11"/>
  <c r="O303" i="11"/>
  <c r="L300" i="11"/>
  <c r="O788" i="11"/>
  <c r="L786" i="11"/>
  <c r="O786" i="11" s="1"/>
  <c r="N68" i="5"/>
  <c r="N66" i="5" s="1"/>
  <c r="I654" i="8"/>
  <c r="K654" i="8" s="1"/>
  <c r="L300" i="9"/>
  <c r="O300" i="9" s="1"/>
  <c r="M405" i="9"/>
  <c r="P405" i="9" s="1"/>
  <c r="I433" i="9"/>
  <c r="I417" i="9" s="1"/>
  <c r="L43" i="10"/>
  <c r="L55" i="10"/>
  <c r="L53" i="10" s="1"/>
  <c r="L125" i="10"/>
  <c r="O125" i="10" s="1"/>
  <c r="L217" i="10"/>
  <c r="O217" i="10" s="1"/>
  <c r="M264" i="10"/>
  <c r="P264" i="10" s="1"/>
  <c r="N347" i="10"/>
  <c r="N345" i="10" s="1"/>
  <c r="L391" i="10"/>
  <c r="O391" i="10" s="1"/>
  <c r="M408" i="10"/>
  <c r="P408" i="10" s="1"/>
  <c r="I434" i="10"/>
  <c r="K434" i="10" s="1"/>
  <c r="K649" i="10"/>
  <c r="L657" i="10"/>
  <c r="O657" i="10" s="1"/>
  <c r="L47" i="11"/>
  <c r="O47" i="11" s="1"/>
  <c r="I76" i="11"/>
  <c r="K98" i="11"/>
  <c r="L184" i="11"/>
  <c r="O186" i="11"/>
  <c r="L183" i="11"/>
  <c r="I260" i="11"/>
  <c r="K260" i="11" s="1"/>
  <c r="K271" i="11"/>
  <c r="M134" i="10"/>
  <c r="P134" i="10" s="1"/>
  <c r="P189" i="10"/>
  <c r="I197" i="10"/>
  <c r="K197" i="10" s="1"/>
  <c r="P266" i="10"/>
  <c r="M318" i="10"/>
  <c r="P318" i="10" s="1"/>
  <c r="O22" i="11"/>
  <c r="L19" i="11"/>
  <c r="L12" i="11"/>
  <c r="P36" i="11"/>
  <c r="M34" i="11"/>
  <c r="P34" i="11" s="1"/>
  <c r="O138" i="11"/>
  <c r="I174" i="11"/>
  <c r="K176" i="11"/>
  <c r="M187" i="11"/>
  <c r="P187" i="11" s="1"/>
  <c r="P189" i="11"/>
  <c r="M183" i="11"/>
  <c r="L301" i="11"/>
  <c r="O301" i="11" s="1"/>
  <c r="O316" i="11"/>
  <c r="L72" i="10"/>
  <c r="O72" i="10" s="1"/>
  <c r="O127" i="10"/>
  <c r="J143" i="10"/>
  <c r="J131" i="10" s="1"/>
  <c r="O35" i="11"/>
  <c r="M59" i="11"/>
  <c r="P59" i="11" s="1"/>
  <c r="P61" i="11"/>
  <c r="M26" i="11"/>
  <c r="M55" i="11"/>
  <c r="N134" i="11"/>
  <c r="N132" i="11" s="1"/>
  <c r="N26" i="11"/>
  <c r="L168" i="11"/>
  <c r="O170" i="11"/>
  <c r="L167" i="11"/>
  <c r="P173" i="11"/>
  <c r="M171" i="11"/>
  <c r="P171" i="11" s="1"/>
  <c r="M167" i="11"/>
  <c r="L122" i="10"/>
  <c r="O122" i="10" s="1"/>
  <c r="P282" i="10"/>
  <c r="M405" i="10"/>
  <c r="P405" i="10" s="1"/>
  <c r="N23" i="11"/>
  <c r="P91" i="11"/>
  <c r="O137" i="11"/>
  <c r="L23" i="11"/>
  <c r="L134" i="11"/>
  <c r="I143" i="11"/>
  <c r="K145" i="11"/>
  <c r="P150" i="11"/>
  <c r="M15" i="11"/>
  <c r="M29" i="11"/>
  <c r="M44" i="11"/>
  <c r="N56" i="11"/>
  <c r="P56" i="11" s="1"/>
  <c r="M68" i="11"/>
  <c r="L91" i="11"/>
  <c r="O91" i="11" s="1"/>
  <c r="M94" i="11"/>
  <c r="P94" i="11" s="1"/>
  <c r="P140" i="11"/>
  <c r="P154" i="11"/>
  <c r="N168" i="11"/>
  <c r="P168" i="11" s="1"/>
  <c r="P170" i="11"/>
  <c r="N184" i="11"/>
  <c r="P184" i="11" s="1"/>
  <c r="L198" i="11"/>
  <c r="O198" i="11" s="1"/>
  <c r="L228" i="11"/>
  <c r="O346" i="11"/>
  <c r="O738" i="11"/>
  <c r="L737" i="11"/>
  <c r="O737" i="11" s="1"/>
  <c r="K86" i="11"/>
  <c r="N55" i="11"/>
  <c r="O58" i="11"/>
  <c r="I77" i="11"/>
  <c r="L90" i="11"/>
  <c r="P93" i="11"/>
  <c r="M121" i="11"/>
  <c r="J143" i="11"/>
  <c r="J131" i="11" s="1"/>
  <c r="N183" i="11"/>
  <c r="N181" i="11" s="1"/>
  <c r="J288" i="11"/>
  <c r="J275" i="11" s="1"/>
  <c r="I275" i="11"/>
  <c r="N300" i="11"/>
  <c r="K325" i="11"/>
  <c r="N330" i="11"/>
  <c r="O71" i="11"/>
  <c r="O140" i="11"/>
  <c r="K244" i="11"/>
  <c r="P303" i="11"/>
  <c r="P333" i="11"/>
  <c r="M331" i="11"/>
  <c r="P331" i="11" s="1"/>
  <c r="M330" i="11"/>
  <c r="N392" i="11"/>
  <c r="N391" i="11"/>
  <c r="N389" i="11" s="1"/>
  <c r="P67" i="11"/>
  <c r="N263" i="11"/>
  <c r="N261" i="11" s="1"/>
  <c r="N351" i="11"/>
  <c r="O351" i="11" s="1"/>
  <c r="P353" i="11"/>
  <c r="M351" i="11"/>
  <c r="M404" i="11"/>
  <c r="L429" i="11"/>
  <c r="O429" i="11" s="1"/>
  <c r="O431" i="11"/>
  <c r="L421" i="11"/>
  <c r="P445" i="11"/>
  <c r="O472" i="11"/>
  <c r="N469" i="11"/>
  <c r="N467" i="11" s="1"/>
  <c r="P545" i="11"/>
  <c r="M544" i="11"/>
  <c r="P544" i="11" s="1"/>
  <c r="K592" i="11"/>
  <c r="P756" i="11"/>
  <c r="M754" i="11"/>
  <c r="P754" i="11" s="1"/>
  <c r="O807" i="11"/>
  <c r="L805" i="11"/>
  <c r="O805" i="11" s="1"/>
  <c r="O403" i="11"/>
  <c r="M467" i="11"/>
  <c r="P467" i="11" s="1"/>
  <c r="O755" i="11"/>
  <c r="L754" i="11"/>
  <c r="O754" i="11" s="1"/>
  <c r="L789" i="11"/>
  <c r="O789" i="11" s="1"/>
  <c r="O791" i="11"/>
  <c r="P350" i="11"/>
  <c r="M348" i="11"/>
  <c r="P348" i="11" s="1"/>
  <c r="P397" i="11"/>
  <c r="M395" i="11"/>
  <c r="P395" i="11" s="1"/>
  <c r="N419" i="11"/>
  <c r="I433" i="11"/>
  <c r="K435" i="11"/>
  <c r="P772" i="11"/>
  <c r="M770" i="11"/>
  <c r="P770" i="11" s="1"/>
  <c r="N807" i="11"/>
  <c r="N805" i="11" s="1"/>
  <c r="N808" i="11"/>
  <c r="P336" i="11"/>
  <c r="M334" i="11"/>
  <c r="P334" i="11" s="1"/>
  <c r="K340" i="11"/>
  <c r="K365" i="11"/>
  <c r="I443" i="11"/>
  <c r="K443" i="11" s="1"/>
  <c r="L454" i="11"/>
  <c r="O454" i="11" s="1"/>
  <c r="O456" i="11"/>
  <c r="L446" i="11"/>
  <c r="O446" i="11" s="1"/>
  <c r="O688" i="11"/>
  <c r="K699" i="11"/>
  <c r="O771" i="11"/>
  <c r="L770" i="11"/>
  <c r="O770" i="11" s="1"/>
  <c r="K370" i="11"/>
  <c r="P394" i="11"/>
  <c r="M392" i="11"/>
  <c r="P392" i="11" s="1"/>
  <c r="M414" i="11"/>
  <c r="P414" i="11" s="1"/>
  <c r="P419" i="11"/>
  <c r="L526" i="11"/>
  <c r="O526" i="11" s="1"/>
  <c r="O528" i="11"/>
  <c r="L639" i="11"/>
  <c r="O639" i="11" s="1"/>
  <c r="O641" i="11"/>
  <c r="L631" i="11"/>
  <c r="P739" i="11"/>
  <c r="M737" i="11"/>
  <c r="P737" i="11" s="1"/>
  <c r="P468" i="11"/>
  <c r="P503" i="11"/>
  <c r="O656" i="11"/>
  <c r="K674" i="11"/>
  <c r="J721" i="11"/>
  <c r="K721" i="11" s="1"/>
  <c r="L555" i="11"/>
  <c r="O555" i="11" s="1"/>
  <c r="L658" i="11"/>
  <c r="O658" i="11" s="1"/>
  <c r="M786" i="11"/>
  <c r="P786" i="11" s="1"/>
  <c r="L546" i="11"/>
  <c r="M151" i="7"/>
  <c r="P151" i="7" s="1"/>
  <c r="M151" i="9"/>
  <c r="P151" i="9" s="1"/>
  <c r="O61" i="10"/>
  <c r="N134" i="10"/>
  <c r="N132" i="10" s="1"/>
  <c r="M138" i="10"/>
  <c r="P138" i="10" s="1"/>
  <c r="M167" i="10"/>
  <c r="M165" i="10" s="1"/>
  <c r="L317" i="10"/>
  <c r="O317" i="10" s="1"/>
  <c r="P333" i="10"/>
  <c r="O424" i="10"/>
  <c r="L36" i="10"/>
  <c r="L34" i="10" s="1"/>
  <c r="O34" i="10" s="1"/>
  <c r="L469" i="10"/>
  <c r="O469" i="10" s="1"/>
  <c r="L547" i="10"/>
  <c r="O547" i="10" s="1"/>
  <c r="K651" i="10"/>
  <c r="M183" i="9"/>
  <c r="M181" i="9" s="1"/>
  <c r="M55" i="10"/>
  <c r="M53" i="10" s="1"/>
  <c r="P173" i="10"/>
  <c r="L209" i="10"/>
  <c r="O209" i="10" s="1"/>
  <c r="K379" i="10"/>
  <c r="N391" i="10"/>
  <c r="N389" i="10" s="1"/>
  <c r="K822" i="10"/>
  <c r="K828" i="10"/>
  <c r="L525" i="9"/>
  <c r="O525" i="9" s="1"/>
  <c r="O189" i="10"/>
  <c r="N317" i="10"/>
  <c r="N315" i="10" s="1"/>
  <c r="L331" i="10"/>
  <c r="O336" i="10"/>
  <c r="L347" i="10"/>
  <c r="L345" i="10" s="1"/>
  <c r="O394" i="10"/>
  <c r="L135" i="9"/>
  <c r="O135" i="9" s="1"/>
  <c r="O303" i="9"/>
  <c r="I77" i="10"/>
  <c r="K77" i="10" s="1"/>
  <c r="I208" i="10"/>
  <c r="K208" i="10" s="1"/>
  <c r="K271" i="10"/>
  <c r="I297" i="10"/>
  <c r="K297" i="10" s="1"/>
  <c r="L301" i="10"/>
  <c r="O301" i="10" s="1"/>
  <c r="N351" i="10"/>
  <c r="O351" i="10" s="1"/>
  <c r="O353" i="10"/>
  <c r="K362" i="10"/>
  <c r="N405" i="10"/>
  <c r="O479" i="10"/>
  <c r="K673" i="10"/>
  <c r="I87" i="9"/>
  <c r="K87" i="9" s="1"/>
  <c r="O186" i="9"/>
  <c r="L469" i="9"/>
  <c r="O469" i="9" s="1"/>
  <c r="N43" i="10"/>
  <c r="N41" i="10" s="1"/>
  <c r="O49" i="10"/>
  <c r="L56" i="10"/>
  <c r="O56" i="10" s="1"/>
  <c r="I190" i="10"/>
  <c r="K190" i="10" s="1"/>
  <c r="L231" i="10"/>
  <c r="I276" i="10"/>
  <c r="K276" i="10" s="1"/>
  <c r="N279" i="10"/>
  <c r="N277" i="10" s="1"/>
  <c r="M301" i="10"/>
  <c r="P301" i="10" s="1"/>
  <c r="K355" i="10"/>
  <c r="K369" i="10"/>
  <c r="K372" i="10"/>
  <c r="I654" i="10"/>
  <c r="K654" i="10" s="1"/>
  <c r="K374" i="10"/>
  <c r="L688" i="10"/>
  <c r="O688" i="10" s="1"/>
  <c r="O690" i="10"/>
  <c r="L477" i="9"/>
  <c r="O477" i="9" s="1"/>
  <c r="M56" i="10"/>
  <c r="P56" i="10" s="1"/>
  <c r="M94" i="10"/>
  <c r="P94" i="10" s="1"/>
  <c r="K100" i="10"/>
  <c r="M121" i="10"/>
  <c r="P121" i="10" s="1"/>
  <c r="L135" i="10"/>
  <c r="O135" i="10" s="1"/>
  <c r="K143" i="10"/>
  <c r="L167" i="10"/>
  <c r="L165" i="10" s="1"/>
  <c r="O168" i="10"/>
  <c r="K176" i="10"/>
  <c r="L183" i="10"/>
  <c r="L181" i="10" s="1"/>
  <c r="O186" i="10"/>
  <c r="K244" i="10"/>
  <c r="L249" i="10"/>
  <c r="O249" i="10" s="1"/>
  <c r="L267" i="10"/>
  <c r="O267" i="10" s="1"/>
  <c r="M280" i="10"/>
  <c r="P280" i="10" s="1"/>
  <c r="N318" i="10"/>
  <c r="O320" i="10"/>
  <c r="N331" i="10"/>
  <c r="O333" i="10"/>
  <c r="K360" i="10"/>
  <c r="L687" i="10"/>
  <c r="L685" i="10" s="1"/>
  <c r="O685" i="10" s="1"/>
  <c r="L447" i="6"/>
  <c r="O447" i="6" s="1"/>
  <c r="M317" i="8"/>
  <c r="P317" i="8" s="1"/>
  <c r="M59" i="10"/>
  <c r="M135" i="10"/>
  <c r="P135" i="10" s="1"/>
  <c r="K159" i="10"/>
  <c r="O170" i="10"/>
  <c r="M267" i="10"/>
  <c r="P267" i="10" s="1"/>
  <c r="I314" i="10"/>
  <c r="K314" i="10" s="1"/>
  <c r="L348" i="10"/>
  <c r="O348" i="10" s="1"/>
  <c r="J537" i="10"/>
  <c r="J522" i="10" s="1"/>
  <c r="L546" i="10"/>
  <c r="L544" i="10" s="1"/>
  <c r="O634" i="10"/>
  <c r="M304" i="8"/>
  <c r="P304" i="8" s="1"/>
  <c r="M318" i="9"/>
  <c r="P318" i="9" s="1"/>
  <c r="M404" i="9"/>
  <c r="P404" i="9" s="1"/>
  <c r="L33" i="10"/>
  <c r="O33" i="10" s="1"/>
  <c r="M43" i="10"/>
  <c r="M41" i="10" s="1"/>
  <c r="L68" i="10"/>
  <c r="L66" i="10" s="1"/>
  <c r="O71" i="10"/>
  <c r="K98" i="10"/>
  <c r="N151" i="10"/>
  <c r="N149" i="10" s="1"/>
  <c r="K164" i="10"/>
  <c r="O173" i="10"/>
  <c r="L229" i="10"/>
  <c r="L263" i="10"/>
  <c r="L261" i="10" s="1"/>
  <c r="L404" i="10"/>
  <c r="O404" i="10" s="1"/>
  <c r="K800" i="10"/>
  <c r="J785" i="10"/>
  <c r="K785" i="10" s="1"/>
  <c r="K821" i="10"/>
  <c r="K824" i="10"/>
  <c r="K827" i="10"/>
  <c r="O264" i="8"/>
  <c r="M26" i="10"/>
  <c r="M24" i="10" s="1"/>
  <c r="L198" i="10"/>
  <c r="O198" i="10" s="1"/>
  <c r="O264" i="10"/>
  <c r="J364" i="10"/>
  <c r="K378" i="10"/>
  <c r="K381" i="10"/>
  <c r="M134" i="8"/>
  <c r="P134" i="8" s="1"/>
  <c r="L404" i="8"/>
  <c r="O404" i="8" s="1"/>
  <c r="N121" i="9"/>
  <c r="N119" i="9" s="1"/>
  <c r="L209" i="9"/>
  <c r="O209" i="9" s="1"/>
  <c r="M408" i="9"/>
  <c r="P408" i="9" s="1"/>
  <c r="K725" i="9"/>
  <c r="N26" i="10"/>
  <c r="N16" i="10" s="1"/>
  <c r="N44" i="10"/>
  <c r="O44" i="10" s="1"/>
  <c r="O280" i="10"/>
  <c r="N300" i="10"/>
  <c r="N298" i="10" s="1"/>
  <c r="K460" i="10"/>
  <c r="I442" i="10"/>
  <c r="K442" i="10" s="1"/>
  <c r="J721" i="10"/>
  <c r="K823" i="10"/>
  <c r="P19" i="10"/>
  <c r="O353" i="7"/>
  <c r="O157" i="9"/>
  <c r="L171" i="9"/>
  <c r="O171" i="9" s="1"/>
  <c r="M263" i="9"/>
  <c r="M261" i="9" s="1"/>
  <c r="I276" i="9"/>
  <c r="K276" i="9" s="1"/>
  <c r="M347" i="9"/>
  <c r="M345" i="9" s="1"/>
  <c r="O549" i="9"/>
  <c r="K649" i="9"/>
  <c r="P33" i="10"/>
  <c r="M30" i="10"/>
  <c r="P30" i="10" s="1"/>
  <c r="P49" i="10"/>
  <c r="M47" i="10"/>
  <c r="P47" i="10" s="1"/>
  <c r="N59" i="10"/>
  <c r="P61" i="10"/>
  <c r="O67" i="10"/>
  <c r="N68" i="10"/>
  <c r="M90" i="10"/>
  <c r="P93" i="10"/>
  <c r="L155" i="10"/>
  <c r="O155" i="10" s="1"/>
  <c r="N167" i="10"/>
  <c r="N165" i="10" s="1"/>
  <c r="N183" i="10"/>
  <c r="N181" i="10" s="1"/>
  <c r="O124" i="9"/>
  <c r="L318" i="9"/>
  <c r="O318" i="9" s="1"/>
  <c r="K360" i="9"/>
  <c r="L26" i="10"/>
  <c r="N29" i="10"/>
  <c r="N28" i="10" s="1"/>
  <c r="L23" i="10"/>
  <c r="O58" i="10"/>
  <c r="N69" i="10"/>
  <c r="O69" i="10" s="1"/>
  <c r="P71" i="10"/>
  <c r="M69" i="10"/>
  <c r="I76" i="10"/>
  <c r="P91" i="10"/>
  <c r="N90" i="10"/>
  <c r="N88" i="10" s="1"/>
  <c r="L94" i="10"/>
  <c r="O94" i="10" s="1"/>
  <c r="O96" i="10"/>
  <c r="I87" i="10"/>
  <c r="K87" i="10" s="1"/>
  <c r="K99" i="10"/>
  <c r="K116" i="10"/>
  <c r="I112" i="10"/>
  <c r="K112" i="10" s="1"/>
  <c r="L134" i="10"/>
  <c r="O134" i="10" s="1"/>
  <c r="O166" i="10"/>
  <c r="P170" i="10"/>
  <c r="M168" i="10"/>
  <c r="P168" i="10" s="1"/>
  <c r="O182" i="10"/>
  <c r="O12" i="10"/>
  <c r="O32" i="10"/>
  <c r="L29" i="10"/>
  <c r="L151" i="10"/>
  <c r="O154" i="10"/>
  <c r="P182" i="10"/>
  <c r="N184" i="10"/>
  <c r="O184" i="10" s="1"/>
  <c r="M184" i="10"/>
  <c r="P186" i="10"/>
  <c r="I216" i="10"/>
  <c r="K216" i="10" s="1"/>
  <c r="K224" i="10"/>
  <c r="I112" i="9"/>
  <c r="K112" i="9" s="1"/>
  <c r="L138" i="9"/>
  <c r="O138" i="9" s="1"/>
  <c r="M279" i="9"/>
  <c r="M277" i="9" s="1"/>
  <c r="P12" i="10"/>
  <c r="N19" i="10"/>
  <c r="N12" i="10"/>
  <c r="M31" i="10"/>
  <c r="P31" i="10" s="1"/>
  <c r="P32" i="10"/>
  <c r="M29" i="10"/>
  <c r="P46" i="10"/>
  <c r="M44" i="10"/>
  <c r="M23" i="10"/>
  <c r="K81" i="10"/>
  <c r="P133" i="10"/>
  <c r="M138" i="8"/>
  <c r="P138" i="8" s="1"/>
  <c r="M72" i="9"/>
  <c r="P72" i="9" s="1"/>
  <c r="L94" i="9"/>
  <c r="O94" i="9" s="1"/>
  <c r="M138" i="9"/>
  <c r="P138" i="9" s="1"/>
  <c r="L687" i="9"/>
  <c r="L685" i="9" s="1"/>
  <c r="O685" i="9" s="1"/>
  <c r="N15" i="10"/>
  <c r="O25" i="10"/>
  <c r="L15" i="10"/>
  <c r="N23" i="10"/>
  <c r="N21" i="10" s="1"/>
  <c r="N121" i="10"/>
  <c r="N119" i="10" s="1"/>
  <c r="L152" i="10"/>
  <c r="O152" i="10" s="1"/>
  <c r="M155" i="9"/>
  <c r="P155" i="9" s="1"/>
  <c r="L263" i="9"/>
  <c r="L261" i="9" s="1"/>
  <c r="O690" i="9"/>
  <c r="L19" i="10"/>
  <c r="P25" i="10"/>
  <c r="M15" i="10"/>
  <c r="O46" i="10"/>
  <c r="L59" i="10"/>
  <c r="L91" i="10"/>
  <c r="O91" i="10" s="1"/>
  <c r="O93" i="10"/>
  <c r="P120" i="10"/>
  <c r="L138" i="10"/>
  <c r="O138" i="10" s="1"/>
  <c r="M183" i="10"/>
  <c r="N55" i="10"/>
  <c r="M72" i="10"/>
  <c r="P72" i="10" s="1"/>
  <c r="K174" i="10"/>
  <c r="I233" i="10"/>
  <c r="K233" i="10" s="1"/>
  <c r="L279" i="10"/>
  <c r="P285" i="10"/>
  <c r="M300" i="10"/>
  <c r="P300" i="10" s="1"/>
  <c r="M304" i="10"/>
  <c r="P304" i="10" s="1"/>
  <c r="P320" i="10"/>
  <c r="P329" i="10"/>
  <c r="P336" i="10"/>
  <c r="P353" i="10"/>
  <c r="M351" i="10"/>
  <c r="P394" i="10"/>
  <c r="M392" i="10"/>
  <c r="P392" i="10" s="1"/>
  <c r="M404" i="10"/>
  <c r="O445" i="10"/>
  <c r="O266" i="10"/>
  <c r="M279" i="10"/>
  <c r="O282" i="10"/>
  <c r="J327" i="10"/>
  <c r="K327" i="10" s="1"/>
  <c r="K359" i="10"/>
  <c r="I364" i="10"/>
  <c r="O403" i="10"/>
  <c r="O420" i="10"/>
  <c r="M444" i="10"/>
  <c r="P444" i="10" s="1"/>
  <c r="P445" i="10"/>
  <c r="L238" i="10"/>
  <c r="K255" i="10"/>
  <c r="I248" i="10"/>
  <c r="K248" i="10" s="1"/>
  <c r="P350" i="10"/>
  <c r="M348" i="10"/>
  <c r="P348" i="10" s="1"/>
  <c r="K370" i="10"/>
  <c r="K385" i="10"/>
  <c r="O472" i="10"/>
  <c r="O788" i="10"/>
  <c r="L786" i="10"/>
  <c r="O786" i="10" s="1"/>
  <c r="K435" i="10"/>
  <c r="J433" i="10"/>
  <c r="J417" i="10" s="1"/>
  <c r="I433" i="10"/>
  <c r="L639" i="10"/>
  <c r="O639" i="10" s="1"/>
  <c r="O641" i="10"/>
  <c r="L631" i="10"/>
  <c r="O631" i="10" s="1"/>
  <c r="I275" i="10"/>
  <c r="J288" i="10"/>
  <c r="J275" i="10" s="1"/>
  <c r="L429" i="10"/>
  <c r="O429" i="10" s="1"/>
  <c r="O431" i="10"/>
  <c r="L421" i="10"/>
  <c r="O421" i="10" s="1"/>
  <c r="O468" i="10"/>
  <c r="L526" i="10"/>
  <c r="O526" i="10" s="1"/>
  <c r="O528" i="10"/>
  <c r="N544" i="10"/>
  <c r="I543" i="10"/>
  <c r="K543" i="10" s="1"/>
  <c r="K559" i="10"/>
  <c r="L228" i="10"/>
  <c r="P278" i="10"/>
  <c r="O285" i="10"/>
  <c r="L300" i="10"/>
  <c r="M331" i="10"/>
  <c r="M330" i="10"/>
  <c r="M347" i="10"/>
  <c r="M419" i="10"/>
  <c r="M467" i="10"/>
  <c r="P467" i="10" s="1"/>
  <c r="N470" i="10"/>
  <c r="P545" i="10"/>
  <c r="M544" i="10"/>
  <c r="P544" i="10" s="1"/>
  <c r="N629" i="10"/>
  <c r="K669" i="10"/>
  <c r="K365" i="10"/>
  <c r="L454" i="10"/>
  <c r="O454" i="10" s="1"/>
  <c r="O456" i="10"/>
  <c r="L446" i="10"/>
  <c r="O446" i="10" s="1"/>
  <c r="K576" i="10"/>
  <c r="K647" i="10"/>
  <c r="P756" i="10"/>
  <c r="M754" i="10"/>
  <c r="P754" i="10" s="1"/>
  <c r="O755" i="10"/>
  <c r="L754" i="10"/>
  <c r="O754" i="10" s="1"/>
  <c r="O807" i="10"/>
  <c r="L805" i="10"/>
  <c r="O805" i="10" s="1"/>
  <c r="P772" i="10"/>
  <c r="M770" i="10"/>
  <c r="P770" i="10" s="1"/>
  <c r="L789" i="10"/>
  <c r="O789" i="10" s="1"/>
  <c r="O791" i="10"/>
  <c r="O771" i="10"/>
  <c r="L770" i="10"/>
  <c r="O770" i="10" s="1"/>
  <c r="N807" i="10"/>
  <c r="N805" i="10" s="1"/>
  <c r="N808" i="10"/>
  <c r="P739" i="10"/>
  <c r="M737" i="10"/>
  <c r="P737" i="10" s="1"/>
  <c r="P397" i="10"/>
  <c r="M395" i="10"/>
  <c r="P395" i="10" s="1"/>
  <c r="N419" i="10"/>
  <c r="N414" i="10" s="1"/>
  <c r="K628" i="10"/>
  <c r="O738" i="10"/>
  <c r="L737" i="10"/>
  <c r="O737" i="10" s="1"/>
  <c r="P468" i="10"/>
  <c r="L470" i="10"/>
  <c r="O470" i="10" s="1"/>
  <c r="P503" i="10"/>
  <c r="O656" i="10"/>
  <c r="K674" i="10"/>
  <c r="L555" i="10"/>
  <c r="O555" i="10" s="1"/>
  <c r="N631" i="10"/>
  <c r="K675" i="10"/>
  <c r="K537" i="10"/>
  <c r="K593" i="10"/>
  <c r="M304" i="9"/>
  <c r="P304" i="9" s="1"/>
  <c r="P306" i="9"/>
  <c r="J143" i="9"/>
  <c r="J131" i="9" s="1"/>
  <c r="K144" i="9"/>
  <c r="N167" i="9"/>
  <c r="N165" i="9" s="1"/>
  <c r="N168" i="9"/>
  <c r="O168" i="9" s="1"/>
  <c r="N300" i="9"/>
  <c r="N298" i="9" s="1"/>
  <c r="N301" i="9"/>
  <c r="M300" i="9"/>
  <c r="P300" i="9" s="1"/>
  <c r="O394" i="9"/>
  <c r="L392" i="9"/>
  <c r="O392" i="9" s="1"/>
  <c r="L447" i="4"/>
  <c r="O447" i="4" s="1"/>
  <c r="I148" i="9"/>
  <c r="K148" i="9" s="1"/>
  <c r="K159" i="9"/>
  <c r="J288" i="9"/>
  <c r="J275" i="9" s="1"/>
  <c r="I275" i="9"/>
  <c r="L279" i="9"/>
  <c r="L277" i="9" s="1"/>
  <c r="L348" i="9"/>
  <c r="L347" i="9"/>
  <c r="L345" i="9" s="1"/>
  <c r="L36" i="9"/>
  <c r="O36" i="9" s="1"/>
  <c r="O269" i="7"/>
  <c r="L267" i="7"/>
  <c r="O267" i="7" s="1"/>
  <c r="P61" i="9"/>
  <c r="M59" i="9"/>
  <c r="P59" i="9" s="1"/>
  <c r="L330" i="9"/>
  <c r="L328" i="9" s="1"/>
  <c r="O46" i="9"/>
  <c r="N55" i="9"/>
  <c r="N53" i="9" s="1"/>
  <c r="M69" i="9"/>
  <c r="P69" i="9" s="1"/>
  <c r="P184" i="9"/>
  <c r="K224" i="9"/>
  <c r="L231" i="9"/>
  <c r="O282" i="9"/>
  <c r="O353" i="9"/>
  <c r="O479" i="9"/>
  <c r="M55" i="7"/>
  <c r="M53" i="7" s="1"/>
  <c r="L72" i="9"/>
  <c r="O72" i="9" s="1"/>
  <c r="L90" i="9"/>
  <c r="L88" i="9" s="1"/>
  <c r="K145" i="9"/>
  <c r="L217" i="9"/>
  <c r="O217" i="9" s="1"/>
  <c r="M283" i="9"/>
  <c r="P283" i="9" s="1"/>
  <c r="L331" i="9"/>
  <c r="O333" i="9"/>
  <c r="J537" i="9"/>
  <c r="J522" i="9" s="1"/>
  <c r="K723" i="9"/>
  <c r="L91" i="9"/>
  <c r="O91" i="9" s="1"/>
  <c r="N183" i="9"/>
  <c r="N181" i="9" s="1"/>
  <c r="I260" i="9"/>
  <c r="K260" i="9" s="1"/>
  <c r="K379" i="9"/>
  <c r="L395" i="9"/>
  <c r="O395" i="9" s="1"/>
  <c r="O407" i="9"/>
  <c r="K821" i="9"/>
  <c r="K824" i="9"/>
  <c r="K827" i="9"/>
  <c r="K669" i="8"/>
  <c r="O44" i="9"/>
  <c r="P91" i="9"/>
  <c r="L249" i="9"/>
  <c r="O249" i="9" s="1"/>
  <c r="K720" i="9"/>
  <c r="O127" i="8"/>
  <c r="L125" i="8"/>
  <c r="O125" i="8" s="1"/>
  <c r="O264" i="9"/>
  <c r="J374" i="9"/>
  <c r="J364" i="9" s="1"/>
  <c r="K381" i="9"/>
  <c r="N404" i="9"/>
  <c r="N402" i="9" s="1"/>
  <c r="L43" i="7"/>
  <c r="N121" i="7"/>
  <c r="N119" i="7" s="1"/>
  <c r="L121" i="8"/>
  <c r="O121" i="8" s="1"/>
  <c r="K215" i="8"/>
  <c r="I208" i="8"/>
  <c r="K208" i="8" s="1"/>
  <c r="L688" i="8"/>
  <c r="O688" i="8" s="1"/>
  <c r="O690" i="8"/>
  <c r="L687" i="8"/>
  <c r="O687" i="8" s="1"/>
  <c r="M44" i="9"/>
  <c r="P44" i="9" s="1"/>
  <c r="M43" i="9"/>
  <c r="M41" i="9" s="1"/>
  <c r="L69" i="9"/>
  <c r="O69" i="9" s="1"/>
  <c r="N331" i="9"/>
  <c r="P331" i="9" s="1"/>
  <c r="L230" i="9"/>
  <c r="O266" i="9"/>
  <c r="P266" i="9"/>
  <c r="N263" i="9"/>
  <c r="N261" i="9" s="1"/>
  <c r="O424" i="9"/>
  <c r="L33" i="9"/>
  <c r="L31" i="9" s="1"/>
  <c r="L533" i="5"/>
  <c r="O533" i="5" s="1"/>
  <c r="K537" i="7"/>
  <c r="I522" i="7"/>
  <c r="K522" i="7" s="1"/>
  <c r="L56" i="9"/>
  <c r="O56" i="9" s="1"/>
  <c r="L23" i="9"/>
  <c r="L21" i="9" s="1"/>
  <c r="N72" i="9"/>
  <c r="N68" i="9"/>
  <c r="N66" i="9" s="1"/>
  <c r="P323" i="9"/>
  <c r="M321" i="9"/>
  <c r="P321" i="9" s="1"/>
  <c r="M317" i="9"/>
  <c r="P317" i="9" s="1"/>
  <c r="M23" i="9"/>
  <c r="M21" i="9" s="1"/>
  <c r="N283" i="9"/>
  <c r="N279" i="9"/>
  <c r="N277" i="9" s="1"/>
  <c r="J355" i="9"/>
  <c r="K355" i="9" s="1"/>
  <c r="K362" i="9"/>
  <c r="K355" i="5"/>
  <c r="K338" i="8"/>
  <c r="K359" i="8"/>
  <c r="K362" i="8"/>
  <c r="P137" i="9"/>
  <c r="M135" i="9"/>
  <c r="P135" i="9" s="1"/>
  <c r="P173" i="9"/>
  <c r="M171" i="9"/>
  <c r="P171" i="9" s="1"/>
  <c r="K309" i="9"/>
  <c r="I297" i="9"/>
  <c r="K297" i="9" s="1"/>
  <c r="O350" i="9"/>
  <c r="N348" i="9"/>
  <c r="N391" i="9"/>
  <c r="N389" i="9" s="1"/>
  <c r="K355" i="8"/>
  <c r="P58" i="9"/>
  <c r="M26" i="9"/>
  <c r="M24" i="9" s="1"/>
  <c r="M152" i="9"/>
  <c r="P152" i="9" s="1"/>
  <c r="M121" i="8"/>
  <c r="P121" i="8" s="1"/>
  <c r="L138" i="8"/>
  <c r="O138" i="8" s="1"/>
  <c r="I260" i="8"/>
  <c r="K260" i="8" s="1"/>
  <c r="K378" i="8"/>
  <c r="K381" i="8"/>
  <c r="L43" i="9"/>
  <c r="L41" i="9" s="1"/>
  <c r="M47" i="9"/>
  <c r="P47" i="9" s="1"/>
  <c r="K111" i="9"/>
  <c r="L134" i="9"/>
  <c r="O134" i="9" s="1"/>
  <c r="P154" i="9"/>
  <c r="I237" i="9"/>
  <c r="K237" i="9" s="1"/>
  <c r="L229" i="9"/>
  <c r="L228" i="9"/>
  <c r="O269" i="9"/>
  <c r="O306" i="9"/>
  <c r="J327" i="9"/>
  <c r="K327" i="9" s="1"/>
  <c r="K365" i="9"/>
  <c r="K372" i="9"/>
  <c r="N68" i="8"/>
  <c r="N66" i="8" s="1"/>
  <c r="I86" i="8"/>
  <c r="K86" i="8" s="1"/>
  <c r="L228" i="8"/>
  <c r="M68" i="9"/>
  <c r="P68" i="9" s="1"/>
  <c r="O93" i="9"/>
  <c r="P96" i="9"/>
  <c r="N134" i="9"/>
  <c r="N132" i="9" s="1"/>
  <c r="L198" i="9"/>
  <c r="O198" i="9" s="1"/>
  <c r="P264" i="9"/>
  <c r="M280" i="9"/>
  <c r="P333" i="9"/>
  <c r="K378" i="9"/>
  <c r="N392" i="9"/>
  <c r="L404" i="9"/>
  <c r="O404" i="9" s="1"/>
  <c r="I434" i="9"/>
  <c r="I442" i="9"/>
  <c r="K442" i="9" s="1"/>
  <c r="K628" i="9"/>
  <c r="K647" i="9"/>
  <c r="K673" i="9"/>
  <c r="K726" i="9"/>
  <c r="K823" i="9"/>
  <c r="K826" i="9"/>
  <c r="L391" i="9"/>
  <c r="O391" i="9" s="1"/>
  <c r="K675" i="9"/>
  <c r="K800" i="9"/>
  <c r="J143" i="8"/>
  <c r="J131" i="8" s="1"/>
  <c r="K369" i="8"/>
  <c r="K372" i="8"/>
  <c r="N23" i="9"/>
  <c r="N13" i="9" s="1"/>
  <c r="N26" i="9"/>
  <c r="N16" i="9" s="1"/>
  <c r="N14" i="9" s="1"/>
  <c r="L26" i="9"/>
  <c r="O127" i="9"/>
  <c r="I174" i="9"/>
  <c r="L334" i="9"/>
  <c r="O334" i="9" s="1"/>
  <c r="K369" i="9"/>
  <c r="K651" i="9"/>
  <c r="J722" i="9"/>
  <c r="K722" i="9" s="1"/>
  <c r="P56" i="9"/>
  <c r="P19" i="9"/>
  <c r="O19" i="9"/>
  <c r="K143" i="9"/>
  <c r="I131" i="9"/>
  <c r="K131" i="9" s="1"/>
  <c r="I260" i="6"/>
  <c r="K260" i="6" s="1"/>
  <c r="P140" i="7"/>
  <c r="I314" i="7"/>
  <c r="K314" i="7" s="1"/>
  <c r="O46" i="8"/>
  <c r="L55" i="8"/>
  <c r="L53" i="8" s="1"/>
  <c r="N72" i="8"/>
  <c r="K145" i="8"/>
  <c r="N317" i="8"/>
  <c r="N315" i="8" s="1"/>
  <c r="M321" i="8"/>
  <c r="P321" i="8" s="1"/>
  <c r="N347" i="8"/>
  <c r="N345" i="8" s="1"/>
  <c r="L469" i="8"/>
  <c r="L467" i="8" s="1"/>
  <c r="K651" i="8"/>
  <c r="K821" i="8"/>
  <c r="K824" i="8"/>
  <c r="K827" i="8"/>
  <c r="L29" i="9"/>
  <c r="N30" i="9"/>
  <c r="N28" i="9" s="1"/>
  <c r="P35" i="9"/>
  <c r="P42" i="9"/>
  <c r="M55" i="9"/>
  <c r="O58" i="9"/>
  <c r="N90" i="9"/>
  <c r="N88" i="9" s="1"/>
  <c r="K98" i="9"/>
  <c r="L121" i="9"/>
  <c r="O121" i="9" s="1"/>
  <c r="P127" i="9"/>
  <c r="L152" i="9"/>
  <c r="O152" i="9" s="1"/>
  <c r="L151" i="9"/>
  <c r="O151" i="9" s="1"/>
  <c r="O170" i="9"/>
  <c r="I197" i="9"/>
  <c r="K197" i="9" s="1"/>
  <c r="I233" i="9"/>
  <c r="K233" i="9" s="1"/>
  <c r="O285" i="9"/>
  <c r="M301" i="9"/>
  <c r="P301" i="9" s="1"/>
  <c r="P303" i="9"/>
  <c r="I314" i="9"/>
  <c r="K314" i="9" s="1"/>
  <c r="L317" i="9"/>
  <c r="M55" i="8"/>
  <c r="M53" i="8" s="1"/>
  <c r="P93" i="9"/>
  <c r="M121" i="9"/>
  <c r="P170" i="9"/>
  <c r="M167" i="9"/>
  <c r="I208" i="9"/>
  <c r="K208" i="9" s="1"/>
  <c r="P299" i="9"/>
  <c r="L321" i="9"/>
  <c r="O321" i="9" s="1"/>
  <c r="N122" i="7"/>
  <c r="I130" i="7"/>
  <c r="K130" i="7" s="1"/>
  <c r="M301" i="7"/>
  <c r="P301" i="7" s="1"/>
  <c r="M317" i="7"/>
  <c r="P317" i="7" s="1"/>
  <c r="K372" i="7"/>
  <c r="O69" i="8"/>
  <c r="K176" i="8"/>
  <c r="I248" i="8"/>
  <c r="K248" i="8" s="1"/>
  <c r="N279" i="8"/>
  <c r="P282" i="8"/>
  <c r="O351" i="8"/>
  <c r="K700" i="8"/>
  <c r="P22" i="9"/>
  <c r="O25" i="9"/>
  <c r="O49" i="9"/>
  <c r="I76" i="9"/>
  <c r="M90" i="9"/>
  <c r="P124" i="9"/>
  <c r="M134" i="9"/>
  <c r="M168" i="9"/>
  <c r="P189" i="9"/>
  <c r="M187" i="9"/>
  <c r="P187" i="9" s="1"/>
  <c r="K255" i="9"/>
  <c r="N317" i="9"/>
  <c r="N315" i="9" s="1"/>
  <c r="I143" i="8"/>
  <c r="K143" i="8" s="1"/>
  <c r="N183" i="8"/>
  <c r="N181" i="8" s="1"/>
  <c r="L280" i="8"/>
  <c r="O280" i="8" s="1"/>
  <c r="M12" i="9"/>
  <c r="L15" i="9"/>
  <c r="P29" i="9"/>
  <c r="M31" i="9"/>
  <c r="P31" i="9" s="1"/>
  <c r="N43" i="9"/>
  <c r="K79" i="9"/>
  <c r="I77" i="9"/>
  <c r="K725" i="6"/>
  <c r="P71" i="8"/>
  <c r="L209" i="8"/>
  <c r="O209" i="8" s="1"/>
  <c r="I233" i="8"/>
  <c r="K233" i="8" s="1"/>
  <c r="L283" i="8"/>
  <c r="O283" i="8" s="1"/>
  <c r="M347" i="8"/>
  <c r="M345" i="8" s="1"/>
  <c r="I559" i="8"/>
  <c r="I543" i="8" s="1"/>
  <c r="K543" i="8" s="1"/>
  <c r="K823" i="8"/>
  <c r="K826" i="8"/>
  <c r="N12" i="9"/>
  <c r="M15" i="9"/>
  <c r="N31" i="9"/>
  <c r="P46" i="9"/>
  <c r="O61" i="9"/>
  <c r="O67" i="9"/>
  <c r="L68" i="9"/>
  <c r="O68" i="9" s="1"/>
  <c r="I130" i="9"/>
  <c r="K130" i="9" s="1"/>
  <c r="K146" i="9"/>
  <c r="N151" i="9"/>
  <c r="N149" i="9" s="1"/>
  <c r="L167" i="9"/>
  <c r="O182" i="9"/>
  <c r="L183" i="9"/>
  <c r="L184" i="9"/>
  <c r="O184" i="9" s="1"/>
  <c r="K193" i="9"/>
  <c r="K216" i="9"/>
  <c r="L238" i="9"/>
  <c r="P278" i="9"/>
  <c r="L283" i="9"/>
  <c r="O283" i="9" s="1"/>
  <c r="O299" i="9"/>
  <c r="N317" i="6"/>
  <c r="N315" i="6" s="1"/>
  <c r="N19" i="9"/>
  <c r="L55" i="9"/>
  <c r="P262" i="9"/>
  <c r="O329" i="9"/>
  <c r="O788" i="9"/>
  <c r="L786" i="9"/>
  <c r="O786" i="9" s="1"/>
  <c r="J654" i="9"/>
  <c r="K669" i="9"/>
  <c r="P739" i="9"/>
  <c r="M737" i="9"/>
  <c r="P737" i="9" s="1"/>
  <c r="P186" i="9"/>
  <c r="P282" i="9"/>
  <c r="N280" i="9"/>
  <c r="N334" i="9"/>
  <c r="N330" i="9"/>
  <c r="P350" i="9"/>
  <c r="M348" i="9"/>
  <c r="P394" i="9"/>
  <c r="M392" i="9"/>
  <c r="P392" i="9" s="1"/>
  <c r="M391" i="9"/>
  <c r="P391" i="9" s="1"/>
  <c r="P269" i="9"/>
  <c r="L454" i="9"/>
  <c r="O454" i="9" s="1"/>
  <c r="O456" i="9"/>
  <c r="L446" i="9"/>
  <c r="N347" i="9"/>
  <c r="I364" i="9"/>
  <c r="O410" i="9"/>
  <c r="I443" i="9"/>
  <c r="K443" i="9" s="1"/>
  <c r="N544" i="9"/>
  <c r="I543" i="9"/>
  <c r="K543" i="9" s="1"/>
  <c r="K559" i="9"/>
  <c r="L639" i="9"/>
  <c r="O639" i="9" s="1"/>
  <c r="O641" i="9"/>
  <c r="L631" i="9"/>
  <c r="O738" i="9"/>
  <c r="L737" i="9"/>
  <c r="O737" i="9" s="1"/>
  <c r="N770" i="9"/>
  <c r="O807" i="9"/>
  <c r="L805" i="9"/>
  <c r="O805" i="9" s="1"/>
  <c r="N351" i="9"/>
  <c r="O351" i="9" s="1"/>
  <c r="P353" i="9"/>
  <c r="M351" i="9"/>
  <c r="K359" i="9"/>
  <c r="L429" i="9"/>
  <c r="O429" i="9" s="1"/>
  <c r="O431" i="9"/>
  <c r="L421" i="9"/>
  <c r="L526" i="9"/>
  <c r="O526" i="9" s="1"/>
  <c r="O528" i="9"/>
  <c r="P756" i="9"/>
  <c r="M754" i="9"/>
  <c r="P754" i="9" s="1"/>
  <c r="L789" i="9"/>
  <c r="O789" i="9" s="1"/>
  <c r="O791" i="9"/>
  <c r="K370" i="9"/>
  <c r="P397" i="9"/>
  <c r="M395" i="9"/>
  <c r="P395" i="9" s="1"/>
  <c r="P545" i="9"/>
  <c r="M544" i="9"/>
  <c r="P544" i="9" s="1"/>
  <c r="K701" i="9"/>
  <c r="O755" i="9"/>
  <c r="L754" i="9"/>
  <c r="O754" i="9" s="1"/>
  <c r="N807" i="9"/>
  <c r="N805" i="9" s="1"/>
  <c r="N808" i="9"/>
  <c r="K576" i="9"/>
  <c r="P772" i="9"/>
  <c r="M770" i="9"/>
  <c r="P770" i="9" s="1"/>
  <c r="P336" i="9"/>
  <c r="M334" i="9"/>
  <c r="P334" i="9" s="1"/>
  <c r="K340" i="9"/>
  <c r="P419" i="9"/>
  <c r="K577" i="9"/>
  <c r="K594" i="9"/>
  <c r="O688" i="9"/>
  <c r="K699" i="9"/>
  <c r="N754" i="9"/>
  <c r="O771" i="9"/>
  <c r="L770" i="9"/>
  <c r="O770" i="9" s="1"/>
  <c r="K785" i="9"/>
  <c r="O403" i="9"/>
  <c r="P468" i="9"/>
  <c r="L470" i="9"/>
  <c r="O470" i="9" s="1"/>
  <c r="P503" i="9"/>
  <c r="O656" i="9"/>
  <c r="K674" i="9"/>
  <c r="J721" i="9"/>
  <c r="K721" i="9" s="1"/>
  <c r="L555" i="9"/>
  <c r="O555" i="9" s="1"/>
  <c r="L658" i="9"/>
  <c r="O658" i="9" s="1"/>
  <c r="M786" i="9"/>
  <c r="P786" i="9" s="1"/>
  <c r="J433" i="9"/>
  <c r="J417" i="9" s="1"/>
  <c r="K537" i="9"/>
  <c r="L546" i="9"/>
  <c r="K593" i="9"/>
  <c r="L155" i="7"/>
  <c r="O155" i="7" s="1"/>
  <c r="O157" i="7"/>
  <c r="J721" i="7"/>
  <c r="L47" i="8"/>
  <c r="O47" i="8" s="1"/>
  <c r="P49" i="8"/>
  <c r="M43" i="8"/>
  <c r="L91" i="8"/>
  <c r="O91" i="8" s="1"/>
  <c r="L90" i="8"/>
  <c r="L88" i="8" s="1"/>
  <c r="I297" i="8"/>
  <c r="K297" i="8" s="1"/>
  <c r="O394" i="8"/>
  <c r="L392" i="8"/>
  <c r="O392" i="8" s="1"/>
  <c r="L391" i="8"/>
  <c r="O391" i="8" s="1"/>
  <c r="O424" i="8"/>
  <c r="L33" i="8"/>
  <c r="O33" i="8" s="1"/>
  <c r="M134" i="6"/>
  <c r="P140" i="6"/>
  <c r="M47" i="8"/>
  <c r="P47" i="8" s="1"/>
  <c r="I522" i="8"/>
  <c r="K522" i="8" s="1"/>
  <c r="K537" i="8"/>
  <c r="M263" i="6"/>
  <c r="M261" i="6" s="1"/>
  <c r="O61" i="8"/>
  <c r="L59" i="8"/>
  <c r="N152" i="8"/>
  <c r="P152" i="8" s="1"/>
  <c r="O154" i="8"/>
  <c r="O303" i="8"/>
  <c r="L300" i="8"/>
  <c r="L298" i="8" s="1"/>
  <c r="O407" i="8"/>
  <c r="L405" i="8"/>
  <c r="O405" i="8" s="1"/>
  <c r="O49" i="7"/>
  <c r="L47" i="7"/>
  <c r="O47" i="7" s="1"/>
  <c r="K362" i="7"/>
  <c r="L405" i="7"/>
  <c r="O405" i="7" s="1"/>
  <c r="O407" i="7"/>
  <c r="L404" i="7"/>
  <c r="L402" i="7" s="1"/>
  <c r="O402" i="7" s="1"/>
  <c r="K79" i="8"/>
  <c r="I77" i="8"/>
  <c r="I65" i="8" s="1"/>
  <c r="K65" i="8" s="1"/>
  <c r="O137" i="8"/>
  <c r="L135" i="8"/>
  <c r="O135" i="8" s="1"/>
  <c r="I197" i="8"/>
  <c r="K197" i="8" s="1"/>
  <c r="K204" i="8"/>
  <c r="M301" i="8"/>
  <c r="P301" i="8" s="1"/>
  <c r="M300" i="8"/>
  <c r="M298" i="8" s="1"/>
  <c r="K360" i="8"/>
  <c r="I785" i="8"/>
  <c r="K785" i="8" s="1"/>
  <c r="K800" i="8"/>
  <c r="M317" i="6"/>
  <c r="M315" i="6" s="1"/>
  <c r="P315" i="6" s="1"/>
  <c r="P320" i="6"/>
  <c r="N321" i="7"/>
  <c r="N317" i="7"/>
  <c r="N315" i="7" s="1"/>
  <c r="L168" i="8"/>
  <c r="L167" i="8"/>
  <c r="L165" i="8" s="1"/>
  <c r="L238" i="8"/>
  <c r="O238" i="8" s="1"/>
  <c r="L229" i="8"/>
  <c r="M41" i="8"/>
  <c r="O58" i="8"/>
  <c r="P61" i="8"/>
  <c r="O170" i="8"/>
  <c r="L230" i="8"/>
  <c r="O331" i="8"/>
  <c r="L36" i="8"/>
  <c r="L34" i="8" s="1"/>
  <c r="O34" i="8" s="1"/>
  <c r="J537" i="8"/>
  <c r="J522" i="8" s="1"/>
  <c r="I785" i="7"/>
  <c r="K785" i="7" s="1"/>
  <c r="N56" i="8"/>
  <c r="O56" i="8" s="1"/>
  <c r="N167" i="8"/>
  <c r="N165" i="8" s="1"/>
  <c r="L231" i="8"/>
  <c r="L304" i="8"/>
  <c r="O304" i="8" s="1"/>
  <c r="L395" i="8"/>
  <c r="O395" i="8" s="1"/>
  <c r="L43" i="8"/>
  <c r="L41" i="8" s="1"/>
  <c r="K340" i="8"/>
  <c r="M408" i="8"/>
  <c r="P408" i="8" s="1"/>
  <c r="I434" i="8"/>
  <c r="K434" i="8" s="1"/>
  <c r="I364" i="7"/>
  <c r="N23" i="8"/>
  <c r="N21" i="8" s="1"/>
  <c r="O333" i="8"/>
  <c r="K649" i="8"/>
  <c r="K822" i="8"/>
  <c r="K825" i="8"/>
  <c r="K828" i="8"/>
  <c r="M47" i="7"/>
  <c r="P47" i="7" s="1"/>
  <c r="L184" i="8"/>
  <c r="O184" i="8" s="1"/>
  <c r="O186" i="8"/>
  <c r="M135" i="8"/>
  <c r="P135" i="8" s="1"/>
  <c r="N279" i="4"/>
  <c r="N277" i="4" s="1"/>
  <c r="M304" i="6"/>
  <c r="P304" i="6" s="1"/>
  <c r="M134" i="7"/>
  <c r="M132" i="7" s="1"/>
  <c r="M408" i="7"/>
  <c r="P408" i="7" s="1"/>
  <c r="L477" i="7"/>
  <c r="O477" i="7" s="1"/>
  <c r="L525" i="7"/>
  <c r="O525" i="7" s="1"/>
  <c r="L688" i="7"/>
  <c r="O688" i="7" s="1"/>
  <c r="M23" i="8"/>
  <c r="M72" i="8"/>
  <c r="P72" i="8" s="1"/>
  <c r="M94" i="8"/>
  <c r="P94" i="8" s="1"/>
  <c r="N134" i="8"/>
  <c r="N132" i="8" s="1"/>
  <c r="K146" i="8"/>
  <c r="P154" i="8"/>
  <c r="N168" i="8"/>
  <c r="L183" i="8"/>
  <c r="P186" i="8"/>
  <c r="P264" i="8"/>
  <c r="P266" i="8"/>
  <c r="M263" i="8"/>
  <c r="M261" i="8" s="1"/>
  <c r="P269" i="8"/>
  <c r="M280" i="8"/>
  <c r="P280" i="8" s="1"/>
  <c r="K325" i="8"/>
  <c r="N404" i="8"/>
  <c r="N402" i="8" s="1"/>
  <c r="K541" i="8"/>
  <c r="O269" i="8"/>
  <c r="L263" i="8"/>
  <c r="L261" i="8" s="1"/>
  <c r="I276" i="7"/>
  <c r="K276" i="7" s="1"/>
  <c r="L122" i="8"/>
  <c r="O122" i="8" s="1"/>
  <c r="N121" i="8"/>
  <c r="N119" i="8" s="1"/>
  <c r="P137" i="8"/>
  <c r="L155" i="8"/>
  <c r="O155" i="8" s="1"/>
  <c r="P189" i="8"/>
  <c r="L267" i="8"/>
  <c r="O267" i="8" s="1"/>
  <c r="L318" i="8"/>
  <c r="O318" i="8" s="1"/>
  <c r="O320" i="8"/>
  <c r="O350" i="8"/>
  <c r="L348" i="8"/>
  <c r="O348" i="8" s="1"/>
  <c r="L408" i="8"/>
  <c r="O408" i="8" s="1"/>
  <c r="L547" i="8"/>
  <c r="O547" i="8" s="1"/>
  <c r="L546" i="8"/>
  <c r="L544" i="8" s="1"/>
  <c r="O544" i="8" s="1"/>
  <c r="P333" i="8"/>
  <c r="M331" i="8"/>
  <c r="P331" i="8" s="1"/>
  <c r="I112" i="6"/>
  <c r="K112" i="6" s="1"/>
  <c r="L183" i="7"/>
  <c r="L181" i="7" s="1"/>
  <c r="N44" i="8"/>
  <c r="P44" i="8" s="1"/>
  <c r="O124" i="8"/>
  <c r="L134" i="8"/>
  <c r="O134" i="8" s="1"/>
  <c r="L151" i="8"/>
  <c r="I190" i="8"/>
  <c r="K190" i="8" s="1"/>
  <c r="L198" i="8"/>
  <c r="O198" i="8" s="1"/>
  <c r="K224" i="8"/>
  <c r="M283" i="8"/>
  <c r="P283" i="8" s="1"/>
  <c r="N300" i="8"/>
  <c r="M318" i="8"/>
  <c r="P318" i="8" s="1"/>
  <c r="P320" i="8"/>
  <c r="L347" i="8"/>
  <c r="I628" i="8"/>
  <c r="K628" i="8" s="1"/>
  <c r="M155" i="6"/>
  <c r="P155" i="6" s="1"/>
  <c r="L36" i="7"/>
  <c r="O36" i="7" s="1"/>
  <c r="L422" i="7"/>
  <c r="O422" i="7" s="1"/>
  <c r="L533" i="7"/>
  <c r="O533" i="7" s="1"/>
  <c r="L26" i="8"/>
  <c r="L24" i="8" s="1"/>
  <c r="O93" i="8"/>
  <c r="N151" i="8"/>
  <c r="N149" i="8" s="1"/>
  <c r="L249" i="8"/>
  <c r="O249" i="8" s="1"/>
  <c r="L301" i="8"/>
  <c r="O301" i="8" s="1"/>
  <c r="J364" i="8"/>
  <c r="N391" i="8"/>
  <c r="N389" i="8" s="1"/>
  <c r="O549" i="8"/>
  <c r="K593" i="8"/>
  <c r="N121" i="6"/>
  <c r="N119" i="6" s="1"/>
  <c r="M167" i="7"/>
  <c r="M165" i="7" s="1"/>
  <c r="M171" i="7"/>
  <c r="P171" i="7" s="1"/>
  <c r="M26" i="8"/>
  <c r="M24" i="8" s="1"/>
  <c r="N26" i="8"/>
  <c r="N16" i="8" s="1"/>
  <c r="N14" i="8" s="1"/>
  <c r="M68" i="8"/>
  <c r="P93" i="8"/>
  <c r="I164" i="8"/>
  <c r="K164" i="8" s="1"/>
  <c r="P170" i="8"/>
  <c r="L187" i="8"/>
  <c r="O187" i="8" s="1"/>
  <c r="O189" i="8"/>
  <c r="L334" i="8"/>
  <c r="O334" i="8" s="1"/>
  <c r="O336" i="8"/>
  <c r="K374" i="8"/>
  <c r="I364" i="8"/>
  <c r="L555" i="8"/>
  <c r="O555" i="8" s="1"/>
  <c r="O557" i="8"/>
  <c r="O660" i="8"/>
  <c r="L657" i="8"/>
  <c r="L655" i="8" s="1"/>
  <c r="O655" i="8" s="1"/>
  <c r="L217" i="8"/>
  <c r="O217" i="8" s="1"/>
  <c r="O266" i="8"/>
  <c r="N330" i="8"/>
  <c r="N328" i="8" s="1"/>
  <c r="J722" i="8"/>
  <c r="J327" i="8"/>
  <c r="K327" i="8" s="1"/>
  <c r="K385" i="8"/>
  <c r="O472" i="8"/>
  <c r="O634" i="8"/>
  <c r="K673" i="8"/>
  <c r="J721" i="8"/>
  <c r="N330" i="5"/>
  <c r="N328" i="5" s="1"/>
  <c r="P71" i="7"/>
  <c r="L121" i="7"/>
  <c r="L119" i="7" s="1"/>
  <c r="O140" i="7"/>
  <c r="L151" i="7"/>
  <c r="O151" i="7" s="1"/>
  <c r="P137" i="7"/>
  <c r="I148" i="7"/>
  <c r="K148" i="7" s="1"/>
  <c r="L167" i="7"/>
  <c r="L165" i="7" s="1"/>
  <c r="P138" i="5"/>
  <c r="L331" i="7"/>
  <c r="L330" i="7"/>
  <c r="L328" i="7" s="1"/>
  <c r="M151" i="6"/>
  <c r="M149" i="6" s="1"/>
  <c r="K708" i="6"/>
  <c r="N138" i="7"/>
  <c r="P138" i="7" s="1"/>
  <c r="L217" i="7"/>
  <c r="O217" i="7" s="1"/>
  <c r="L228" i="7"/>
  <c r="M263" i="5"/>
  <c r="N43" i="7"/>
  <c r="N41" i="7" s="1"/>
  <c r="M90" i="7"/>
  <c r="M88" i="7" s="1"/>
  <c r="I174" i="7"/>
  <c r="K174" i="7" s="1"/>
  <c r="L229" i="7"/>
  <c r="I248" i="7"/>
  <c r="K248" i="7" s="1"/>
  <c r="L347" i="7"/>
  <c r="L345" i="7" s="1"/>
  <c r="L348" i="7"/>
  <c r="J364" i="7"/>
  <c r="K381" i="7"/>
  <c r="K823" i="7"/>
  <c r="N12" i="8"/>
  <c r="N19" i="8"/>
  <c r="L23" i="8"/>
  <c r="M31" i="8"/>
  <c r="P31" i="8" s="1"/>
  <c r="O42" i="8"/>
  <c r="P46" i="8"/>
  <c r="O54" i="8"/>
  <c r="P67" i="8"/>
  <c r="P69" i="8"/>
  <c r="N90" i="8"/>
  <c r="N88" i="8" s="1"/>
  <c r="P124" i="8"/>
  <c r="M151" i="8"/>
  <c r="M171" i="8"/>
  <c r="P171" i="8" s="1"/>
  <c r="I237" i="8"/>
  <c r="N263" i="8"/>
  <c r="M279" i="8"/>
  <c r="L317" i="8"/>
  <c r="O317" i="8" s="1"/>
  <c r="M330" i="8"/>
  <c r="P350" i="8"/>
  <c r="M348" i="8"/>
  <c r="P348" i="8" s="1"/>
  <c r="K365" i="8"/>
  <c r="O403" i="8"/>
  <c r="O410" i="8"/>
  <c r="L429" i="8"/>
  <c r="O429" i="8" s="1"/>
  <c r="O431" i="8"/>
  <c r="L421" i="8"/>
  <c r="L526" i="8"/>
  <c r="O526" i="8" s="1"/>
  <c r="O528" i="8"/>
  <c r="L525" i="8"/>
  <c r="N404" i="7"/>
  <c r="N402" i="7" s="1"/>
  <c r="O12" i="8"/>
  <c r="L15" i="8"/>
  <c r="O19" i="8"/>
  <c r="O25" i="8"/>
  <c r="L29" i="8"/>
  <c r="M30" i="8"/>
  <c r="O32" i="8"/>
  <c r="P42" i="8"/>
  <c r="L44" i="8"/>
  <c r="N59" i="8"/>
  <c r="L68" i="8"/>
  <c r="I76" i="8"/>
  <c r="L94" i="8"/>
  <c r="O94" i="8" s="1"/>
  <c r="I112" i="8"/>
  <c r="K112" i="8" s="1"/>
  <c r="P157" i="8"/>
  <c r="M168" i="8"/>
  <c r="M184" i="8"/>
  <c r="P184" i="8" s="1"/>
  <c r="K235" i="8"/>
  <c r="O282" i="8"/>
  <c r="P299" i="8"/>
  <c r="O323" i="8"/>
  <c r="M334" i="8"/>
  <c r="P334" i="8" s="1"/>
  <c r="K370" i="8"/>
  <c r="P407" i="8"/>
  <c r="M404" i="8"/>
  <c r="N544" i="8"/>
  <c r="L789" i="8"/>
  <c r="O789" i="8" s="1"/>
  <c r="O791" i="8"/>
  <c r="L788" i="8"/>
  <c r="P397" i="8"/>
  <c r="M395" i="8"/>
  <c r="P395" i="8" s="1"/>
  <c r="P772" i="8"/>
  <c r="M770" i="8"/>
  <c r="P770" i="8" s="1"/>
  <c r="M34" i="8"/>
  <c r="P34" i="8" s="1"/>
  <c r="M91" i="8"/>
  <c r="P91" i="8" s="1"/>
  <c r="K99" i="8"/>
  <c r="N122" i="8"/>
  <c r="M167" i="8"/>
  <c r="M183" i="8"/>
  <c r="K287" i="8"/>
  <c r="P419" i="8"/>
  <c r="P545" i="8"/>
  <c r="M544" i="8"/>
  <c r="P544" i="8" s="1"/>
  <c r="O771" i="8"/>
  <c r="L770" i="8"/>
  <c r="O770" i="8" s="1"/>
  <c r="L33" i="7"/>
  <c r="O33" i="7" s="1"/>
  <c r="L632" i="7"/>
  <c r="O632" i="7" s="1"/>
  <c r="N43" i="8"/>
  <c r="N41" i="8" s="1"/>
  <c r="N55" i="8"/>
  <c r="J288" i="8"/>
  <c r="J275" i="8" s="1"/>
  <c r="I275" i="8"/>
  <c r="P394" i="8"/>
  <c r="M392" i="8"/>
  <c r="P392" i="8" s="1"/>
  <c r="M391" i="8"/>
  <c r="I417" i="8"/>
  <c r="N444" i="8"/>
  <c r="N655" i="8"/>
  <c r="J537" i="7"/>
  <c r="J522" i="7" s="1"/>
  <c r="L657" i="7"/>
  <c r="O657" i="7" s="1"/>
  <c r="M12" i="8"/>
  <c r="M19" i="8"/>
  <c r="P58" i="8"/>
  <c r="O71" i="8"/>
  <c r="I87" i="8"/>
  <c r="K87" i="8" s="1"/>
  <c r="M90" i="8"/>
  <c r="P127" i="8"/>
  <c r="I148" i="8"/>
  <c r="K148" i="8" s="1"/>
  <c r="P303" i="8"/>
  <c r="L330" i="8"/>
  <c r="O353" i="8"/>
  <c r="K379" i="8"/>
  <c r="P420" i="8"/>
  <c r="K435" i="8"/>
  <c r="J433" i="8"/>
  <c r="J417" i="8" s="1"/>
  <c r="I443" i="8"/>
  <c r="K443" i="8" s="1"/>
  <c r="P445" i="8"/>
  <c r="L454" i="8"/>
  <c r="O454" i="8" s="1"/>
  <c r="O456" i="8"/>
  <c r="L446" i="8"/>
  <c r="P353" i="8"/>
  <c r="M351" i="8"/>
  <c r="P351" i="8" s="1"/>
  <c r="N737" i="8"/>
  <c r="O755" i="8"/>
  <c r="L754" i="8"/>
  <c r="O754" i="8" s="1"/>
  <c r="O807" i="8"/>
  <c r="L805" i="8"/>
  <c r="O805" i="8" s="1"/>
  <c r="K647" i="8"/>
  <c r="P739" i="8"/>
  <c r="M737" i="8"/>
  <c r="P737" i="8" s="1"/>
  <c r="N807" i="8"/>
  <c r="N805" i="8" s="1"/>
  <c r="N808" i="8"/>
  <c r="O738" i="8"/>
  <c r="L737" i="8"/>
  <c r="O737" i="8" s="1"/>
  <c r="L639" i="8"/>
  <c r="O639" i="8" s="1"/>
  <c r="O641" i="8"/>
  <c r="L631" i="8"/>
  <c r="P756" i="8"/>
  <c r="M754" i="8"/>
  <c r="P754" i="8" s="1"/>
  <c r="P468" i="8"/>
  <c r="P503" i="8"/>
  <c r="O656" i="8"/>
  <c r="K674" i="8"/>
  <c r="K675" i="8"/>
  <c r="N469" i="8"/>
  <c r="N467" i="8" s="1"/>
  <c r="N68" i="7"/>
  <c r="N66" i="7" s="1"/>
  <c r="N44" i="7"/>
  <c r="P44" i="7" s="1"/>
  <c r="P46" i="7"/>
  <c r="N69" i="7"/>
  <c r="P69" i="7" s="1"/>
  <c r="L122" i="7"/>
  <c r="O122" i="7" s="1"/>
  <c r="N134" i="7"/>
  <c r="N132" i="7" s="1"/>
  <c r="O137" i="7"/>
  <c r="L263" i="7"/>
  <c r="L261" i="7" s="1"/>
  <c r="M279" i="7"/>
  <c r="M277" i="7" s="1"/>
  <c r="M405" i="7"/>
  <c r="P405" i="7" s="1"/>
  <c r="K593" i="7"/>
  <c r="O266" i="5"/>
  <c r="I276" i="6"/>
  <c r="K276" i="6" s="1"/>
  <c r="K355" i="6"/>
  <c r="K111" i="7"/>
  <c r="P282" i="7"/>
  <c r="N300" i="7"/>
  <c r="N298" i="7" s="1"/>
  <c r="L391" i="7"/>
  <c r="L389" i="7" s="1"/>
  <c r="O389" i="7" s="1"/>
  <c r="N405" i="7"/>
  <c r="K460" i="7"/>
  <c r="O472" i="7"/>
  <c r="K538" i="7"/>
  <c r="K651" i="7"/>
  <c r="O74" i="6"/>
  <c r="K823" i="6"/>
  <c r="K826" i="6"/>
  <c r="M283" i="7"/>
  <c r="P283" i="7" s="1"/>
  <c r="N279" i="7"/>
  <c r="N277" i="7" s="1"/>
  <c r="M304" i="7"/>
  <c r="P304" i="7" s="1"/>
  <c r="K370" i="7"/>
  <c r="L392" i="7"/>
  <c r="O392" i="7" s="1"/>
  <c r="L395" i="7"/>
  <c r="O395" i="7" s="1"/>
  <c r="N43" i="6"/>
  <c r="N41" i="6" s="1"/>
  <c r="L151" i="6"/>
  <c r="O46" i="7"/>
  <c r="N23" i="7"/>
  <c r="N21" i="7" s="1"/>
  <c r="O71" i="7"/>
  <c r="N183" i="7"/>
  <c r="N181" i="7" s="1"/>
  <c r="L230" i="7"/>
  <c r="M267" i="7"/>
  <c r="P267" i="7" s="1"/>
  <c r="N283" i="7"/>
  <c r="O323" i="7"/>
  <c r="J327" i="7"/>
  <c r="K327" i="7" s="1"/>
  <c r="K379" i="7"/>
  <c r="O410" i="7"/>
  <c r="K649" i="7"/>
  <c r="K362" i="6"/>
  <c r="N151" i="7"/>
  <c r="N149" i="7" s="1"/>
  <c r="I233" i="7"/>
  <c r="K233" i="7" s="1"/>
  <c r="M300" i="7"/>
  <c r="K385" i="7"/>
  <c r="K822" i="7"/>
  <c r="K828" i="7"/>
  <c r="O125" i="7"/>
  <c r="P353" i="7"/>
  <c r="M351" i="7"/>
  <c r="P351" i="7" s="1"/>
  <c r="I130" i="4"/>
  <c r="K130" i="4" s="1"/>
  <c r="M43" i="5"/>
  <c r="M41" i="5" s="1"/>
  <c r="N44" i="6"/>
  <c r="O44" i="6" s="1"/>
  <c r="N134" i="6"/>
  <c r="N132" i="6" s="1"/>
  <c r="N263" i="6"/>
  <c r="N261" i="6" s="1"/>
  <c r="P285" i="6"/>
  <c r="K700" i="6"/>
  <c r="L23" i="7"/>
  <c r="M43" i="7"/>
  <c r="N56" i="7"/>
  <c r="O56" i="7" s="1"/>
  <c r="L59" i="7"/>
  <c r="O59" i="7" s="1"/>
  <c r="L68" i="7"/>
  <c r="L72" i="7"/>
  <c r="O72" i="7" s="1"/>
  <c r="N90" i="7"/>
  <c r="N88" i="7" s="1"/>
  <c r="O93" i="7"/>
  <c r="I112" i="7"/>
  <c r="K112" i="7" s="1"/>
  <c r="L135" i="7"/>
  <c r="O135" i="7" s="1"/>
  <c r="N168" i="7"/>
  <c r="P168" i="7" s="1"/>
  <c r="N167" i="7"/>
  <c r="K215" i="7"/>
  <c r="O285" i="7"/>
  <c r="L283" i="7"/>
  <c r="O283" i="7" s="1"/>
  <c r="M330" i="7"/>
  <c r="M328" i="7" s="1"/>
  <c r="M347" i="7"/>
  <c r="M345" i="7" s="1"/>
  <c r="O449" i="7"/>
  <c r="L447" i="7"/>
  <c r="O447" i="7" s="1"/>
  <c r="P186" i="7"/>
  <c r="M183" i="7"/>
  <c r="M181" i="7" s="1"/>
  <c r="P336" i="7"/>
  <c r="M334" i="7"/>
  <c r="P334" i="7" s="1"/>
  <c r="I785" i="5"/>
  <c r="K785" i="5" s="1"/>
  <c r="M135" i="6"/>
  <c r="N279" i="6"/>
  <c r="N277" i="6" s="1"/>
  <c r="P336" i="6"/>
  <c r="N347" i="6"/>
  <c r="N345" i="6" s="1"/>
  <c r="K651" i="6"/>
  <c r="N26" i="7"/>
  <c r="N16" i="7" s="1"/>
  <c r="M68" i="7"/>
  <c r="O91" i="7"/>
  <c r="P93" i="7"/>
  <c r="M121" i="7"/>
  <c r="P135" i="7"/>
  <c r="O154" i="7"/>
  <c r="M184" i="7"/>
  <c r="P184" i="7" s="1"/>
  <c r="N263" i="7"/>
  <c r="N261" i="7" s="1"/>
  <c r="O320" i="7"/>
  <c r="L317" i="7"/>
  <c r="O317" i="7" s="1"/>
  <c r="L318" i="7"/>
  <c r="O318" i="7" s="1"/>
  <c r="N331" i="7"/>
  <c r="N330" i="7"/>
  <c r="N328" i="7" s="1"/>
  <c r="N348" i="7"/>
  <c r="N347" i="7"/>
  <c r="N345" i="7" s="1"/>
  <c r="L392" i="6"/>
  <c r="O392" i="6" s="1"/>
  <c r="L55" i="7"/>
  <c r="L53" i="7" s="1"/>
  <c r="P74" i="7"/>
  <c r="P91" i="7"/>
  <c r="L134" i="7"/>
  <c r="K224" i="7"/>
  <c r="I216" i="7"/>
  <c r="K216" i="7" s="1"/>
  <c r="O173" i="7"/>
  <c r="L171" i="7"/>
  <c r="O171" i="7" s="1"/>
  <c r="I86" i="5"/>
  <c r="K86" i="5" s="1"/>
  <c r="M321" i="5"/>
  <c r="P321" i="5" s="1"/>
  <c r="N318" i="6"/>
  <c r="L347" i="6"/>
  <c r="L345" i="6" s="1"/>
  <c r="L44" i="7"/>
  <c r="O58" i="7"/>
  <c r="I76" i="7"/>
  <c r="I64" i="7" s="1"/>
  <c r="K64" i="7" s="1"/>
  <c r="L94" i="7"/>
  <c r="O94" i="7" s="1"/>
  <c r="L138" i="7"/>
  <c r="N304" i="7"/>
  <c r="K435" i="7"/>
  <c r="I433" i="7"/>
  <c r="I417" i="7" s="1"/>
  <c r="L546" i="7"/>
  <c r="L544" i="7" s="1"/>
  <c r="O549" i="7"/>
  <c r="P152" i="6"/>
  <c r="L301" i="7"/>
  <c r="O301" i="7" s="1"/>
  <c r="O303" i="7"/>
  <c r="L300" i="7"/>
  <c r="O300" i="7" s="1"/>
  <c r="P46" i="6"/>
  <c r="L228" i="6"/>
  <c r="L404" i="6"/>
  <c r="O404" i="6" s="1"/>
  <c r="K720" i="6"/>
  <c r="N55" i="7"/>
  <c r="N53" i="7" s="1"/>
  <c r="L69" i="7"/>
  <c r="L90" i="7"/>
  <c r="L88" i="7" s="1"/>
  <c r="M94" i="7"/>
  <c r="P94" i="7" s="1"/>
  <c r="O127" i="7"/>
  <c r="P189" i="7"/>
  <c r="M187" i="7"/>
  <c r="P187" i="7" s="1"/>
  <c r="K271" i="7"/>
  <c r="I260" i="7"/>
  <c r="K260" i="7" s="1"/>
  <c r="O282" i="7"/>
  <c r="L279" i="7"/>
  <c r="L277" i="7" s="1"/>
  <c r="L280" i="7"/>
  <c r="O280" i="7" s="1"/>
  <c r="L547" i="7"/>
  <c r="O547" i="7" s="1"/>
  <c r="O170" i="7"/>
  <c r="L198" i="7"/>
  <c r="O198" i="7" s="1"/>
  <c r="L209" i="7"/>
  <c r="O209" i="7" s="1"/>
  <c r="L231" i="7"/>
  <c r="M263" i="7"/>
  <c r="M261" i="7" s="1"/>
  <c r="I297" i="7"/>
  <c r="K297" i="7" s="1"/>
  <c r="O306" i="7"/>
  <c r="M331" i="7"/>
  <c r="L334" i="7"/>
  <c r="O334" i="7" s="1"/>
  <c r="M348" i="7"/>
  <c r="L351" i="7"/>
  <c r="O351" i="7" s="1"/>
  <c r="K359" i="7"/>
  <c r="K365" i="7"/>
  <c r="M391" i="7"/>
  <c r="P391" i="7" s="1"/>
  <c r="M395" i="7"/>
  <c r="P395" i="7" s="1"/>
  <c r="M404" i="7"/>
  <c r="L168" i="7"/>
  <c r="P170" i="7"/>
  <c r="I190" i="7"/>
  <c r="K190" i="7" s="1"/>
  <c r="K338" i="7"/>
  <c r="K355" i="7"/>
  <c r="K360" i="7"/>
  <c r="K378" i="7"/>
  <c r="N391" i="7"/>
  <c r="N389" i="7" s="1"/>
  <c r="I628" i="7"/>
  <c r="K628" i="7" s="1"/>
  <c r="K672" i="7"/>
  <c r="K673" i="7"/>
  <c r="O333" i="7"/>
  <c r="K340" i="7"/>
  <c r="O350" i="7"/>
  <c r="K374" i="7"/>
  <c r="I434" i="7"/>
  <c r="K647" i="7"/>
  <c r="K674" i="7"/>
  <c r="L687" i="7"/>
  <c r="O687" i="7" s="1"/>
  <c r="P333" i="7"/>
  <c r="P350" i="7"/>
  <c r="K369" i="7"/>
  <c r="M392" i="7"/>
  <c r="P392" i="7" s="1"/>
  <c r="I654" i="7"/>
  <c r="K654" i="7" s="1"/>
  <c r="K669" i="7"/>
  <c r="K821" i="7"/>
  <c r="K824" i="7"/>
  <c r="K827" i="7"/>
  <c r="N55" i="5"/>
  <c r="N53" i="5" s="1"/>
  <c r="K360" i="5"/>
  <c r="N9" i="7"/>
  <c r="N15" i="7"/>
  <c r="O54" i="7"/>
  <c r="O738" i="7"/>
  <c r="L737" i="7"/>
  <c r="O737" i="7" s="1"/>
  <c r="O771" i="7"/>
  <c r="L770" i="7"/>
  <c r="O770" i="7" s="1"/>
  <c r="M59" i="6"/>
  <c r="P59" i="6" s="1"/>
  <c r="M72" i="6"/>
  <c r="P72" i="6" s="1"/>
  <c r="N167" i="6"/>
  <c r="N165" i="6" s="1"/>
  <c r="I174" i="6"/>
  <c r="K174" i="6" s="1"/>
  <c r="K340" i="6"/>
  <c r="M347" i="6"/>
  <c r="M345" i="6" s="1"/>
  <c r="K360" i="6"/>
  <c r="K381" i="6"/>
  <c r="N29" i="7"/>
  <c r="N28" i="7" s="1"/>
  <c r="N31" i="7"/>
  <c r="M59" i="7"/>
  <c r="P59" i="7" s="1"/>
  <c r="M26" i="7"/>
  <c r="P61" i="7"/>
  <c r="M125" i="7"/>
  <c r="P125" i="7" s="1"/>
  <c r="P127" i="7"/>
  <c r="L184" i="7"/>
  <c r="O184" i="7" s="1"/>
  <c r="O186" i="7"/>
  <c r="P262" i="7"/>
  <c r="P96" i="6"/>
  <c r="N151" i="6"/>
  <c r="N149" i="6" s="1"/>
  <c r="I197" i="6"/>
  <c r="K197" i="6" s="1"/>
  <c r="L230" i="6"/>
  <c r="K365" i="6"/>
  <c r="I86" i="7"/>
  <c r="K86" i="7" s="1"/>
  <c r="K98" i="7"/>
  <c r="M155" i="7"/>
  <c r="P155" i="7" s="1"/>
  <c r="P157" i="7"/>
  <c r="L187" i="7"/>
  <c r="O187" i="7" s="1"/>
  <c r="O189" i="7"/>
  <c r="N264" i="7"/>
  <c r="P266" i="7"/>
  <c r="O266" i="7"/>
  <c r="N183" i="5"/>
  <c r="N181" i="5" s="1"/>
  <c r="K379" i="6"/>
  <c r="I442" i="6"/>
  <c r="K442" i="6" s="1"/>
  <c r="P419" i="7"/>
  <c r="L429" i="7"/>
  <c r="O429" i="7" s="1"/>
  <c r="O431" i="7"/>
  <c r="L421" i="7"/>
  <c r="M72" i="5"/>
  <c r="P72" i="5" s="1"/>
  <c r="N317" i="5"/>
  <c r="N315" i="5" s="1"/>
  <c r="N122" i="6"/>
  <c r="N135" i="6"/>
  <c r="O150" i="7"/>
  <c r="P282" i="6"/>
  <c r="M318" i="6"/>
  <c r="P318" i="6" s="1"/>
  <c r="O407" i="6"/>
  <c r="O15" i="7"/>
  <c r="O22" i="7"/>
  <c r="L19" i="7"/>
  <c r="L12" i="7"/>
  <c r="M56" i="7"/>
  <c r="P58" i="7"/>
  <c r="M23" i="7"/>
  <c r="O120" i="7"/>
  <c r="M122" i="7"/>
  <c r="P122" i="7" s="1"/>
  <c r="P124" i="7"/>
  <c r="J143" i="7"/>
  <c r="J131" i="7" s="1"/>
  <c r="K145" i="7"/>
  <c r="I143" i="7"/>
  <c r="M152" i="7"/>
  <c r="P152" i="7" s="1"/>
  <c r="P154" i="7"/>
  <c r="L238" i="7"/>
  <c r="M321" i="7"/>
  <c r="P321" i="7" s="1"/>
  <c r="P323" i="7"/>
  <c r="I543" i="7"/>
  <c r="K543" i="7" s="1"/>
  <c r="K559" i="7"/>
  <c r="I197" i="7"/>
  <c r="K197" i="7" s="1"/>
  <c r="L789" i="7"/>
  <c r="O789" i="7" s="1"/>
  <c r="O791" i="7"/>
  <c r="N807" i="7"/>
  <c r="N805" i="7" s="1"/>
  <c r="N808" i="7"/>
  <c r="L26" i="7"/>
  <c r="M28" i="7"/>
  <c r="P28" i="7" s="1"/>
  <c r="M34" i="7"/>
  <c r="P34" i="7" s="1"/>
  <c r="I237" i="7"/>
  <c r="L249" i="7"/>
  <c r="O249" i="7" s="1"/>
  <c r="O316" i="7"/>
  <c r="I443" i="7"/>
  <c r="K443" i="7" s="1"/>
  <c r="L454" i="7"/>
  <c r="O454" i="7" s="1"/>
  <c r="O456" i="7"/>
  <c r="L446" i="7"/>
  <c r="P545" i="7"/>
  <c r="M544" i="7"/>
  <c r="P544" i="7" s="1"/>
  <c r="O755" i="7"/>
  <c r="L754" i="7"/>
  <c r="O754" i="7" s="1"/>
  <c r="I77" i="7"/>
  <c r="P280" i="7"/>
  <c r="M318" i="7"/>
  <c r="P318" i="7" s="1"/>
  <c r="P320" i="7"/>
  <c r="L526" i="7"/>
  <c r="O526" i="7" s="1"/>
  <c r="O528" i="7"/>
  <c r="N544" i="7"/>
  <c r="K576" i="7"/>
  <c r="L639" i="7"/>
  <c r="O639" i="7" s="1"/>
  <c r="O641" i="7"/>
  <c r="L631" i="7"/>
  <c r="K577" i="7"/>
  <c r="N685" i="7"/>
  <c r="J722" i="7"/>
  <c r="N688" i="7"/>
  <c r="L469" i="7"/>
  <c r="L555" i="7"/>
  <c r="O555" i="7" s="1"/>
  <c r="L658" i="7"/>
  <c r="O658" i="7" s="1"/>
  <c r="M737" i="7"/>
  <c r="P737" i="7" s="1"/>
  <c r="M754" i="7"/>
  <c r="P754" i="7" s="1"/>
  <c r="M770" i="7"/>
  <c r="P770" i="7" s="1"/>
  <c r="L786" i="7"/>
  <c r="O786" i="7" s="1"/>
  <c r="L805" i="7"/>
  <c r="O805" i="7" s="1"/>
  <c r="J288" i="7"/>
  <c r="J275" i="7" s="1"/>
  <c r="K275" i="7" s="1"/>
  <c r="J433" i="7"/>
  <c r="J417" i="7" s="1"/>
  <c r="N469" i="7"/>
  <c r="N467" i="7" s="1"/>
  <c r="O173" i="6"/>
  <c r="L171" i="6"/>
  <c r="O171" i="6" s="1"/>
  <c r="K309" i="5"/>
  <c r="I297" i="5"/>
  <c r="K297" i="5" s="1"/>
  <c r="M183" i="6"/>
  <c r="M181" i="6" s="1"/>
  <c r="K309" i="6"/>
  <c r="I297" i="6"/>
  <c r="K297" i="6" s="1"/>
  <c r="L209" i="6"/>
  <c r="O209" i="6" s="1"/>
  <c r="I216" i="6"/>
  <c r="K216" i="6" s="1"/>
  <c r="K224" i="6"/>
  <c r="P410" i="6"/>
  <c r="M408" i="6"/>
  <c r="P408" i="6" s="1"/>
  <c r="O96" i="5"/>
  <c r="L94" i="5"/>
  <c r="O94" i="5" s="1"/>
  <c r="L122" i="5"/>
  <c r="O122" i="5" s="1"/>
  <c r="O124" i="5"/>
  <c r="N405" i="5"/>
  <c r="N404" i="5"/>
  <c r="N402" i="5" s="1"/>
  <c r="O189" i="6"/>
  <c r="L187" i="6"/>
  <c r="O187" i="6" s="1"/>
  <c r="M321" i="6"/>
  <c r="P321" i="6" s="1"/>
  <c r="P323" i="6"/>
  <c r="L91" i="6"/>
  <c r="O91" i="6" s="1"/>
  <c r="L90" i="6"/>
  <c r="L88" i="6" s="1"/>
  <c r="N155" i="6"/>
  <c r="L167" i="6"/>
  <c r="P189" i="6"/>
  <c r="M187" i="6"/>
  <c r="P187" i="6" s="1"/>
  <c r="M280" i="6"/>
  <c r="P280" i="6" s="1"/>
  <c r="K325" i="5"/>
  <c r="I314" i="5"/>
  <c r="K314" i="5" s="1"/>
  <c r="O397" i="5"/>
  <c r="L395" i="5"/>
  <c r="O395" i="5" s="1"/>
  <c r="P184" i="6"/>
  <c r="M392" i="6"/>
  <c r="P392" i="6" s="1"/>
  <c r="P394" i="6"/>
  <c r="M391" i="3"/>
  <c r="M389" i="3" s="1"/>
  <c r="P389" i="3" s="1"/>
  <c r="J721" i="3"/>
  <c r="L167" i="5"/>
  <c r="L165" i="5" s="1"/>
  <c r="L330" i="5"/>
  <c r="L328" i="5" s="1"/>
  <c r="L198" i="6"/>
  <c r="O198" i="6" s="1"/>
  <c r="M300" i="6"/>
  <c r="M298" i="6" s="1"/>
  <c r="K378" i="6"/>
  <c r="K729" i="6"/>
  <c r="L55" i="3"/>
  <c r="L53" i="3" s="1"/>
  <c r="N168" i="6"/>
  <c r="P168" i="6" s="1"/>
  <c r="L217" i="6"/>
  <c r="O217" i="6" s="1"/>
  <c r="I628" i="6"/>
  <c r="K628" i="6" s="1"/>
  <c r="L55" i="6"/>
  <c r="L53" i="6" s="1"/>
  <c r="L94" i="6"/>
  <c r="O94" i="6" s="1"/>
  <c r="N90" i="6"/>
  <c r="N88" i="6" s="1"/>
  <c r="M122" i="6"/>
  <c r="P122" i="6" s="1"/>
  <c r="L330" i="6"/>
  <c r="L328" i="6" s="1"/>
  <c r="K372" i="6"/>
  <c r="O549" i="6"/>
  <c r="K649" i="6"/>
  <c r="P61" i="5"/>
  <c r="L168" i="5"/>
  <c r="O168" i="5" s="1"/>
  <c r="P184" i="5"/>
  <c r="N55" i="6"/>
  <c r="N53" i="6" s="1"/>
  <c r="O124" i="6"/>
  <c r="O306" i="6"/>
  <c r="L334" i="6"/>
  <c r="O334" i="6" s="1"/>
  <c r="J327" i="6"/>
  <c r="K327" i="6" s="1"/>
  <c r="N404" i="6"/>
  <c r="N402" i="6" s="1"/>
  <c r="K821" i="6"/>
  <c r="K824" i="6"/>
  <c r="K827" i="6"/>
  <c r="L263" i="6"/>
  <c r="L261" i="6" s="1"/>
  <c r="O269" i="6"/>
  <c r="L267" i="6"/>
  <c r="O267" i="6" s="1"/>
  <c r="O535" i="6"/>
  <c r="L533" i="6"/>
  <c r="O533" i="6" s="1"/>
  <c r="M90" i="3"/>
  <c r="M88" i="3" s="1"/>
  <c r="M47" i="5"/>
  <c r="P47" i="5" s="1"/>
  <c r="L198" i="5"/>
  <c r="O198" i="5" s="1"/>
  <c r="L228" i="5"/>
  <c r="M43" i="6"/>
  <c r="M47" i="6"/>
  <c r="P47" i="6" s="1"/>
  <c r="M55" i="6"/>
  <c r="M53" i="6" s="1"/>
  <c r="O69" i="6"/>
  <c r="M125" i="6"/>
  <c r="P125" i="6" s="1"/>
  <c r="K159" i="6"/>
  <c r="I434" i="6"/>
  <c r="K434" i="6" s="1"/>
  <c r="K440" i="6"/>
  <c r="L688" i="6"/>
  <c r="O688" i="6" s="1"/>
  <c r="O690" i="6"/>
  <c r="L687" i="6"/>
  <c r="L685" i="6" s="1"/>
  <c r="O685" i="6" s="1"/>
  <c r="N391" i="4"/>
  <c r="N389" i="4" s="1"/>
  <c r="L187" i="5"/>
  <c r="O187" i="5" s="1"/>
  <c r="K378" i="5"/>
  <c r="K381" i="5"/>
  <c r="N26" i="6"/>
  <c r="N16" i="6" s="1"/>
  <c r="N14" i="6" s="1"/>
  <c r="M56" i="6"/>
  <c r="P56" i="6" s="1"/>
  <c r="N68" i="6"/>
  <c r="N66" i="6" s="1"/>
  <c r="P71" i="6"/>
  <c r="I76" i="6"/>
  <c r="K76" i="6" s="1"/>
  <c r="M90" i="6"/>
  <c r="M88" i="6" s="1"/>
  <c r="O93" i="6"/>
  <c r="L121" i="6"/>
  <c r="O121" i="6" s="1"/>
  <c r="P137" i="6"/>
  <c r="P154" i="6"/>
  <c r="O266" i="6"/>
  <c r="N264" i="6"/>
  <c r="O264" i="6" s="1"/>
  <c r="P407" i="6"/>
  <c r="M404" i="6"/>
  <c r="K576" i="6"/>
  <c r="I559" i="6"/>
  <c r="I543" i="6" s="1"/>
  <c r="K543" i="6" s="1"/>
  <c r="L230" i="5"/>
  <c r="O58" i="6"/>
  <c r="P69" i="6"/>
  <c r="P91" i="6"/>
  <c r="M121" i="6"/>
  <c r="O170" i="6"/>
  <c r="K374" i="6"/>
  <c r="I364" i="6"/>
  <c r="O397" i="6"/>
  <c r="L395" i="6"/>
  <c r="O395" i="6" s="1"/>
  <c r="L391" i="6"/>
  <c r="K435" i="6"/>
  <c r="I433" i="6"/>
  <c r="I417" i="6" s="1"/>
  <c r="L555" i="6"/>
  <c r="O555" i="6" s="1"/>
  <c r="L546" i="6"/>
  <c r="L544" i="6" s="1"/>
  <c r="K378" i="4"/>
  <c r="K381" i="4"/>
  <c r="O137" i="5"/>
  <c r="L334" i="5"/>
  <c r="O334" i="5" s="1"/>
  <c r="I364" i="5"/>
  <c r="K379" i="5"/>
  <c r="L33" i="6"/>
  <c r="L31" i="6" s="1"/>
  <c r="P58" i="6"/>
  <c r="O71" i="6"/>
  <c r="N138" i="6"/>
  <c r="O138" i="6" s="1"/>
  <c r="O154" i="6"/>
  <c r="K325" i="6"/>
  <c r="I314" i="6"/>
  <c r="K314" i="6" s="1"/>
  <c r="N392" i="6"/>
  <c r="N391" i="6"/>
  <c r="N389" i="6" s="1"/>
  <c r="M395" i="6"/>
  <c r="P395" i="6" s="1"/>
  <c r="P397" i="6"/>
  <c r="M391" i="6"/>
  <c r="P391" i="6" s="1"/>
  <c r="N405" i="6"/>
  <c r="L470" i="6"/>
  <c r="O470" i="6" s="1"/>
  <c r="L469" i="6"/>
  <c r="L467" i="6" s="1"/>
  <c r="J537" i="6"/>
  <c r="J522" i="6" s="1"/>
  <c r="K538" i="6"/>
  <c r="O557" i="6"/>
  <c r="I785" i="6"/>
  <c r="K785" i="6" s="1"/>
  <c r="K800" i="6"/>
  <c r="K628" i="2"/>
  <c r="L280" i="6"/>
  <c r="O280" i="6" s="1"/>
  <c r="O282" i="6"/>
  <c r="O320" i="6"/>
  <c r="L317" i="6"/>
  <c r="O317" i="6" s="1"/>
  <c r="O660" i="6"/>
  <c r="L657" i="6"/>
  <c r="O657" i="6" s="1"/>
  <c r="K672" i="6"/>
  <c r="K669" i="6"/>
  <c r="K673" i="6"/>
  <c r="J722" i="6"/>
  <c r="K722" i="6" s="1"/>
  <c r="L231" i="6"/>
  <c r="M279" i="6"/>
  <c r="L300" i="6"/>
  <c r="L298" i="6" s="1"/>
  <c r="K338" i="6"/>
  <c r="K369" i="6"/>
  <c r="L36" i="6"/>
  <c r="O36" i="6" s="1"/>
  <c r="O472" i="6"/>
  <c r="K593" i="6"/>
  <c r="K723" i="6"/>
  <c r="K359" i="6"/>
  <c r="K370" i="6"/>
  <c r="K385" i="6"/>
  <c r="J721" i="6"/>
  <c r="K721" i="6" s="1"/>
  <c r="L249" i="6"/>
  <c r="O249" i="6" s="1"/>
  <c r="J364" i="6"/>
  <c r="M330" i="6"/>
  <c r="M328" i="6" s="1"/>
  <c r="P353" i="6"/>
  <c r="O410" i="6"/>
  <c r="K647" i="6"/>
  <c r="K822" i="6"/>
  <c r="K825" i="6"/>
  <c r="K828" i="6"/>
  <c r="N9" i="6"/>
  <c r="N28" i="6"/>
  <c r="L36" i="5"/>
  <c r="O36" i="5" s="1"/>
  <c r="N301" i="6"/>
  <c r="O303" i="6"/>
  <c r="N300" i="6"/>
  <c r="N43" i="4"/>
  <c r="N41" i="4" s="1"/>
  <c r="N167" i="4"/>
  <c r="N165" i="4" s="1"/>
  <c r="K593" i="4"/>
  <c r="N121" i="5"/>
  <c r="N119" i="5" s="1"/>
  <c r="N134" i="5"/>
  <c r="N132" i="5" s="1"/>
  <c r="N151" i="5"/>
  <c r="N149" i="5" s="1"/>
  <c r="L231" i="5"/>
  <c r="K362" i="5"/>
  <c r="L391" i="5"/>
  <c r="O391" i="5" s="1"/>
  <c r="K537" i="5"/>
  <c r="L23" i="6"/>
  <c r="M31" i="6"/>
  <c r="P31" i="6" s="1"/>
  <c r="L68" i="6"/>
  <c r="K116" i="6"/>
  <c r="L183" i="6"/>
  <c r="M267" i="6"/>
  <c r="P267" i="6" s="1"/>
  <c r="P269" i="6"/>
  <c r="O755" i="6"/>
  <c r="L754" i="6"/>
  <c r="O754" i="6" s="1"/>
  <c r="N134" i="4"/>
  <c r="N132" i="4" s="1"/>
  <c r="N43" i="5"/>
  <c r="N41" i="5" s="1"/>
  <c r="M68" i="5"/>
  <c r="P68" i="5" s="1"/>
  <c r="M125" i="5"/>
  <c r="P125" i="5" s="1"/>
  <c r="M151" i="5"/>
  <c r="M149" i="5" s="1"/>
  <c r="O280" i="5"/>
  <c r="O407" i="5"/>
  <c r="K593" i="5"/>
  <c r="M23" i="6"/>
  <c r="N31" i="6"/>
  <c r="M68" i="6"/>
  <c r="K145" i="6"/>
  <c r="I143" i="6"/>
  <c r="P170" i="6"/>
  <c r="I190" i="6"/>
  <c r="K190" i="6" s="1"/>
  <c r="O262" i="6"/>
  <c r="L392" i="5"/>
  <c r="O392" i="5" s="1"/>
  <c r="M15" i="6"/>
  <c r="N23" i="6"/>
  <c r="M29" i="6"/>
  <c r="O42" i="6"/>
  <c r="O49" i="6"/>
  <c r="K80" i="6"/>
  <c r="O89" i="6"/>
  <c r="K98" i="6"/>
  <c r="O140" i="6"/>
  <c r="I130" i="6"/>
  <c r="K130" i="6" s="1"/>
  <c r="K146" i="6"/>
  <c r="O150" i="6"/>
  <c r="O152" i="6"/>
  <c r="O157" i="6"/>
  <c r="N183" i="6"/>
  <c r="N181" i="6" s="1"/>
  <c r="O186" i="6"/>
  <c r="I208" i="6"/>
  <c r="K208" i="6" s="1"/>
  <c r="L238" i="6"/>
  <c r="L229" i="6"/>
  <c r="L429" i="6"/>
  <c r="O429" i="6" s="1"/>
  <c r="O431" i="6"/>
  <c r="L421" i="6"/>
  <c r="I314" i="2"/>
  <c r="K314" i="2" s="1"/>
  <c r="P170" i="5"/>
  <c r="O472" i="5"/>
  <c r="L26" i="6"/>
  <c r="L43" i="6"/>
  <c r="O56" i="6"/>
  <c r="P93" i="6"/>
  <c r="O120" i="6"/>
  <c r="O127" i="6"/>
  <c r="L134" i="6"/>
  <c r="M167" i="6"/>
  <c r="P173" i="6"/>
  <c r="L184" i="6"/>
  <c r="O184" i="6" s="1"/>
  <c r="P186" i="6"/>
  <c r="P278" i="6"/>
  <c r="L454" i="6"/>
  <c r="O454" i="6" s="1"/>
  <c r="O456" i="6"/>
  <c r="L446" i="6"/>
  <c r="N300" i="4"/>
  <c r="N298" i="4" s="1"/>
  <c r="L171" i="5"/>
  <c r="O171" i="5" s="1"/>
  <c r="I174" i="5"/>
  <c r="K174" i="5" s="1"/>
  <c r="P189" i="5"/>
  <c r="L300" i="5"/>
  <c r="L298" i="5" s="1"/>
  <c r="L347" i="5"/>
  <c r="L345" i="5" s="1"/>
  <c r="K822" i="5"/>
  <c r="K828" i="5"/>
  <c r="L12" i="6"/>
  <c r="L19" i="6"/>
  <c r="M26" i="6"/>
  <c r="M24" i="6" s="1"/>
  <c r="O46" i="6"/>
  <c r="O54" i="6"/>
  <c r="O61" i="6"/>
  <c r="O67" i="6"/>
  <c r="O137" i="6"/>
  <c r="J143" i="6"/>
  <c r="J131" i="6" s="1"/>
  <c r="K255" i="6"/>
  <c r="I248" i="6"/>
  <c r="K248" i="6" s="1"/>
  <c r="I233" i="6"/>
  <c r="K233" i="6" s="1"/>
  <c r="M264" i="6"/>
  <c r="P266" i="6"/>
  <c r="N330" i="6"/>
  <c r="L526" i="6"/>
  <c r="O526" i="6" s="1"/>
  <c r="O528" i="6"/>
  <c r="P772" i="6"/>
  <c r="M770" i="6"/>
  <c r="P770" i="6" s="1"/>
  <c r="L789" i="6"/>
  <c r="O789" i="6" s="1"/>
  <c r="O791" i="6"/>
  <c r="O807" i="6"/>
  <c r="L805" i="6"/>
  <c r="O805" i="6" s="1"/>
  <c r="L321" i="6"/>
  <c r="O321" i="6" s="1"/>
  <c r="P333" i="6"/>
  <c r="O333" i="6"/>
  <c r="N331" i="6"/>
  <c r="O331" i="6" s="1"/>
  <c r="K592" i="6"/>
  <c r="N655" i="6"/>
  <c r="O771" i="6"/>
  <c r="L770" i="6"/>
  <c r="O770" i="6" s="1"/>
  <c r="P419" i="6"/>
  <c r="P545" i="6"/>
  <c r="M544" i="6"/>
  <c r="P544" i="6" s="1"/>
  <c r="P739" i="6"/>
  <c r="M737" i="6"/>
  <c r="P737" i="6" s="1"/>
  <c r="N807" i="6"/>
  <c r="N805" i="6" s="1"/>
  <c r="N808" i="6"/>
  <c r="I237" i="6"/>
  <c r="L279" i="6"/>
  <c r="J288" i="6"/>
  <c r="J275" i="6" s="1"/>
  <c r="K275" i="6" s="1"/>
  <c r="O738" i="6"/>
  <c r="L737" i="6"/>
  <c r="O737" i="6" s="1"/>
  <c r="I77" i="6"/>
  <c r="O285" i="6"/>
  <c r="P303" i="6"/>
  <c r="O316" i="6"/>
  <c r="L318" i="6"/>
  <c r="O318" i="6" s="1"/>
  <c r="P350" i="6"/>
  <c r="O350" i="6"/>
  <c r="N348" i="6"/>
  <c r="O348" i="6" s="1"/>
  <c r="I443" i="6"/>
  <c r="K443" i="6" s="1"/>
  <c r="L525" i="6"/>
  <c r="N544" i="6"/>
  <c r="K577" i="6"/>
  <c r="L639" i="6"/>
  <c r="O639" i="6" s="1"/>
  <c r="O641" i="6"/>
  <c r="L631" i="6"/>
  <c r="K701" i="6"/>
  <c r="P756" i="6"/>
  <c r="M754" i="6"/>
  <c r="P754" i="6" s="1"/>
  <c r="L788" i="6"/>
  <c r="O403" i="6"/>
  <c r="P468" i="6"/>
  <c r="P503" i="6"/>
  <c r="O656" i="6"/>
  <c r="K674" i="6"/>
  <c r="N688" i="6"/>
  <c r="N351" i="6"/>
  <c r="P351" i="6" s="1"/>
  <c r="I654" i="6"/>
  <c r="K654" i="6" s="1"/>
  <c r="L658" i="6"/>
  <c r="O658" i="6" s="1"/>
  <c r="K675" i="6"/>
  <c r="O353" i="6"/>
  <c r="J433" i="6"/>
  <c r="J417" i="6" s="1"/>
  <c r="N469" i="6"/>
  <c r="M121" i="4"/>
  <c r="P121" i="4" s="1"/>
  <c r="M300" i="4"/>
  <c r="M298" i="4" s="1"/>
  <c r="M69" i="5"/>
  <c r="P69" i="5" s="1"/>
  <c r="P71" i="5"/>
  <c r="P140" i="5"/>
  <c r="N152" i="5"/>
  <c r="P152" i="5" s="1"/>
  <c r="M155" i="5"/>
  <c r="P155" i="5" s="1"/>
  <c r="O170" i="5"/>
  <c r="L249" i="5"/>
  <c r="O249" i="5" s="1"/>
  <c r="M304" i="5"/>
  <c r="P304" i="5" s="1"/>
  <c r="L318" i="5"/>
  <c r="O318" i="5" s="1"/>
  <c r="O350" i="5"/>
  <c r="O690" i="5"/>
  <c r="K669" i="3"/>
  <c r="N125" i="5"/>
  <c r="L657" i="4"/>
  <c r="O657" i="4" s="1"/>
  <c r="P168" i="5"/>
  <c r="I237" i="5"/>
  <c r="K237" i="5" s="1"/>
  <c r="L229" i="5"/>
  <c r="L267" i="5"/>
  <c r="O267" i="5" s="1"/>
  <c r="N263" i="5"/>
  <c r="N261" i="5" s="1"/>
  <c r="L351" i="5"/>
  <c r="O351" i="5" s="1"/>
  <c r="I442" i="5"/>
  <c r="K442" i="5" s="1"/>
  <c r="K823" i="5"/>
  <c r="L477" i="2"/>
  <c r="O477" i="2" s="1"/>
  <c r="O59" i="5"/>
  <c r="N317" i="4"/>
  <c r="N315" i="4" s="1"/>
  <c r="O140" i="5"/>
  <c r="L263" i="5"/>
  <c r="L261" i="5" s="1"/>
  <c r="K381" i="1"/>
  <c r="K443" i="1"/>
  <c r="I248" i="5"/>
  <c r="K248" i="5" s="1"/>
  <c r="O333" i="5"/>
  <c r="L469" i="5"/>
  <c r="L467" i="5" s="1"/>
  <c r="K649" i="5"/>
  <c r="M90" i="5"/>
  <c r="M88" i="5" s="1"/>
  <c r="K146" i="5"/>
  <c r="K385" i="5"/>
  <c r="L33" i="5"/>
  <c r="O33" i="5" s="1"/>
  <c r="P320" i="5"/>
  <c r="M317" i="5"/>
  <c r="N26" i="5"/>
  <c r="N16" i="5" s="1"/>
  <c r="N14" i="5" s="1"/>
  <c r="M44" i="5"/>
  <c r="N56" i="5"/>
  <c r="P56" i="5" s="1"/>
  <c r="P58" i="5"/>
  <c r="N69" i="5"/>
  <c r="I148" i="5"/>
  <c r="K148" i="5" s="1"/>
  <c r="K224" i="5"/>
  <c r="J288" i="5"/>
  <c r="J275" i="5" s="1"/>
  <c r="K275" i="5" s="1"/>
  <c r="M318" i="5"/>
  <c r="P318" i="5" s="1"/>
  <c r="O353" i="5"/>
  <c r="K576" i="5"/>
  <c r="I559" i="5"/>
  <c r="I543" i="5" s="1"/>
  <c r="K543" i="5" s="1"/>
  <c r="K628" i="5"/>
  <c r="K381" i="3"/>
  <c r="M68" i="4"/>
  <c r="P68" i="4" s="1"/>
  <c r="M263" i="4"/>
  <c r="M261" i="4" s="1"/>
  <c r="K823" i="4"/>
  <c r="K826" i="4"/>
  <c r="N44" i="5"/>
  <c r="P46" i="5"/>
  <c r="M59" i="5"/>
  <c r="P59" i="5" s="1"/>
  <c r="I87" i="5"/>
  <c r="K87" i="5" s="1"/>
  <c r="L90" i="5"/>
  <c r="L88" i="5" s="1"/>
  <c r="P154" i="5"/>
  <c r="P173" i="5"/>
  <c r="M183" i="5"/>
  <c r="M181" i="5" s="1"/>
  <c r="I190" i="5"/>
  <c r="K190" i="5" s="1"/>
  <c r="K204" i="5"/>
  <c r="K215" i="5"/>
  <c r="L264" i="5"/>
  <c r="O264" i="5" s="1"/>
  <c r="I276" i="5"/>
  <c r="K276" i="5" s="1"/>
  <c r="M279" i="5"/>
  <c r="M277" i="5" s="1"/>
  <c r="P280" i="5"/>
  <c r="M300" i="5"/>
  <c r="M298" i="5" s="1"/>
  <c r="N318" i="5"/>
  <c r="L331" i="5"/>
  <c r="O331" i="5" s="1"/>
  <c r="M408" i="5"/>
  <c r="P408" i="5" s="1"/>
  <c r="L447" i="5"/>
  <c r="O447" i="5" s="1"/>
  <c r="J537" i="5"/>
  <c r="J522" i="5" s="1"/>
  <c r="L546" i="5"/>
  <c r="O549" i="5"/>
  <c r="L125" i="4"/>
  <c r="O125" i="4" s="1"/>
  <c r="K628" i="4"/>
  <c r="O127" i="5"/>
  <c r="O138" i="5"/>
  <c r="L209" i="5"/>
  <c r="O209" i="5" s="1"/>
  <c r="M283" i="5"/>
  <c r="P283" i="5" s="1"/>
  <c r="O285" i="5"/>
  <c r="J327" i="5"/>
  <c r="K327" i="5" s="1"/>
  <c r="O348" i="5"/>
  <c r="K374" i="5"/>
  <c r="L238" i="4"/>
  <c r="O238" i="4" s="1"/>
  <c r="L230" i="4"/>
  <c r="P320" i="4"/>
  <c r="N392" i="4"/>
  <c r="O394" i="4"/>
  <c r="L55" i="5"/>
  <c r="L68" i="5"/>
  <c r="O68" i="5" s="1"/>
  <c r="M167" i="5"/>
  <c r="M165" i="5" s="1"/>
  <c r="O306" i="5"/>
  <c r="N391" i="5"/>
  <c r="N389" i="5" s="1"/>
  <c r="P394" i="5"/>
  <c r="M391" i="5"/>
  <c r="P391" i="5" s="1"/>
  <c r="M55" i="5"/>
  <c r="N135" i="5"/>
  <c r="P135" i="5" s="1"/>
  <c r="L238" i="5"/>
  <c r="K338" i="5"/>
  <c r="N347" i="5"/>
  <c r="L404" i="5"/>
  <c r="O404" i="5" s="1"/>
  <c r="I434" i="5"/>
  <c r="K434" i="5" s="1"/>
  <c r="L525" i="5"/>
  <c r="O525" i="5" s="1"/>
  <c r="K369" i="5"/>
  <c r="K372" i="5"/>
  <c r="L657" i="5"/>
  <c r="O657" i="5" s="1"/>
  <c r="J722" i="5"/>
  <c r="K673" i="5"/>
  <c r="K669" i="5"/>
  <c r="L687" i="5"/>
  <c r="L685" i="5" s="1"/>
  <c r="O685" i="5" s="1"/>
  <c r="J721" i="5"/>
  <c r="K651" i="5"/>
  <c r="K821" i="5"/>
  <c r="K824" i="5"/>
  <c r="K827" i="5"/>
  <c r="O19" i="5"/>
  <c r="L47" i="5"/>
  <c r="O47" i="5" s="1"/>
  <c r="O49" i="5"/>
  <c r="L26" i="5"/>
  <c r="O150" i="5"/>
  <c r="P756" i="5"/>
  <c r="M754" i="5"/>
  <c r="P754" i="5" s="1"/>
  <c r="L23" i="4"/>
  <c r="L21" i="4" s="1"/>
  <c r="P58" i="4"/>
  <c r="M347" i="4"/>
  <c r="M345" i="4" s="1"/>
  <c r="K369" i="4"/>
  <c r="K372" i="4"/>
  <c r="P407" i="5"/>
  <c r="M404" i="5"/>
  <c r="M405" i="5"/>
  <c r="P405" i="5" s="1"/>
  <c r="K271" i="5"/>
  <c r="I260" i="5"/>
  <c r="K260" i="5" s="1"/>
  <c r="M43" i="4"/>
  <c r="L152" i="4"/>
  <c r="O152" i="4" s="1"/>
  <c r="P189" i="4"/>
  <c r="L229" i="4"/>
  <c r="L231" i="4"/>
  <c r="O320" i="4"/>
  <c r="J327" i="4"/>
  <c r="K327" i="4" s="1"/>
  <c r="I434" i="4"/>
  <c r="K434" i="4" s="1"/>
  <c r="O12" i="5"/>
  <c r="L9" i="5"/>
  <c r="P29" i="5"/>
  <c r="M28" i="5"/>
  <c r="P28" i="5" s="1"/>
  <c r="N90" i="5"/>
  <c r="N88" i="5" s="1"/>
  <c r="N23" i="5"/>
  <c r="O154" i="5"/>
  <c r="L152" i="5"/>
  <c r="L151" i="5"/>
  <c r="L23" i="5"/>
  <c r="M155" i="3"/>
  <c r="P155" i="3" s="1"/>
  <c r="M152" i="4"/>
  <c r="P152" i="4" s="1"/>
  <c r="I190" i="4"/>
  <c r="K190" i="4" s="1"/>
  <c r="O303" i="4"/>
  <c r="O336" i="4"/>
  <c r="L36" i="4"/>
  <c r="O36" i="4" s="1"/>
  <c r="K720" i="4"/>
  <c r="K821" i="4"/>
  <c r="K824" i="4"/>
  <c r="K827" i="4"/>
  <c r="N91" i="5"/>
  <c r="P91" i="5" s="1"/>
  <c r="O186" i="5"/>
  <c r="L183" i="5"/>
  <c r="L184" i="5"/>
  <c r="O184" i="5" s="1"/>
  <c r="L209" i="4"/>
  <c r="O209" i="4" s="1"/>
  <c r="P303" i="4"/>
  <c r="K338" i="4"/>
  <c r="K362" i="4"/>
  <c r="O42" i="5"/>
  <c r="P124" i="5"/>
  <c r="M121" i="5"/>
  <c r="P137" i="5"/>
  <c r="M134" i="5"/>
  <c r="M12" i="5"/>
  <c r="P15" i="5"/>
  <c r="M19" i="5"/>
  <c r="P22" i="5"/>
  <c r="M26" i="5"/>
  <c r="O58" i="5"/>
  <c r="O71" i="5"/>
  <c r="K79" i="5"/>
  <c r="I77" i="5"/>
  <c r="P93" i="5"/>
  <c r="K111" i="5"/>
  <c r="L121" i="5"/>
  <c r="O121" i="5" s="1"/>
  <c r="L134" i="5"/>
  <c r="N167" i="5"/>
  <c r="N279" i="5"/>
  <c r="N277" i="5" s="1"/>
  <c r="O323" i="5"/>
  <c r="L317" i="5"/>
  <c r="O317" i="5" s="1"/>
  <c r="P545" i="5"/>
  <c r="M544" i="5"/>
  <c r="P544" i="5" s="1"/>
  <c r="I76" i="5"/>
  <c r="O157" i="5"/>
  <c r="L155" i="5"/>
  <c r="O155" i="5" s="1"/>
  <c r="P266" i="5"/>
  <c r="M264" i="5"/>
  <c r="P264" i="5" s="1"/>
  <c r="P333" i="5"/>
  <c r="M331" i="5"/>
  <c r="P331" i="5" s="1"/>
  <c r="M330" i="5"/>
  <c r="M23" i="5"/>
  <c r="K80" i="5"/>
  <c r="I112" i="5"/>
  <c r="K112" i="5" s="1"/>
  <c r="L217" i="5"/>
  <c r="O217" i="5" s="1"/>
  <c r="I233" i="5"/>
  <c r="K233" i="5" s="1"/>
  <c r="P282" i="5"/>
  <c r="O346" i="5"/>
  <c r="N28" i="5"/>
  <c r="N31" i="5"/>
  <c r="L43" i="5"/>
  <c r="O93" i="5"/>
  <c r="P96" i="5"/>
  <c r="J143" i="5"/>
  <c r="J131" i="5" s="1"/>
  <c r="K145" i="5"/>
  <c r="I143" i="5"/>
  <c r="P262" i="5"/>
  <c r="P269" i="5"/>
  <c r="M267" i="5"/>
  <c r="P267" i="5" s="1"/>
  <c r="N301" i="5"/>
  <c r="O301" i="5" s="1"/>
  <c r="O303" i="5"/>
  <c r="N300" i="5"/>
  <c r="N298" i="5" s="1"/>
  <c r="O46" i="5"/>
  <c r="O54" i="5"/>
  <c r="O61" i="5"/>
  <c r="O67" i="5"/>
  <c r="O74" i="5"/>
  <c r="L279" i="5"/>
  <c r="O282" i="5"/>
  <c r="L429" i="5"/>
  <c r="O429" i="5" s="1"/>
  <c r="O431" i="5"/>
  <c r="L421" i="5"/>
  <c r="P186" i="5"/>
  <c r="P353" i="5"/>
  <c r="M351" i="5"/>
  <c r="P351" i="5" s="1"/>
  <c r="L454" i="5"/>
  <c r="O454" i="5" s="1"/>
  <c r="O456" i="5"/>
  <c r="L446" i="5"/>
  <c r="L639" i="5"/>
  <c r="O639" i="5" s="1"/>
  <c r="O641" i="5"/>
  <c r="L631" i="5"/>
  <c r="O755" i="5"/>
  <c r="L754" i="5"/>
  <c r="O754" i="5" s="1"/>
  <c r="L789" i="5"/>
  <c r="O789" i="5" s="1"/>
  <c r="O791" i="5"/>
  <c r="O807" i="5"/>
  <c r="L805" i="5"/>
  <c r="O805" i="5" s="1"/>
  <c r="L304" i="5"/>
  <c r="O304" i="5" s="1"/>
  <c r="K359" i="5"/>
  <c r="P772" i="5"/>
  <c r="M770" i="5"/>
  <c r="P770" i="5" s="1"/>
  <c r="P350" i="5"/>
  <c r="M348" i="5"/>
  <c r="P348" i="5" s="1"/>
  <c r="P419" i="5"/>
  <c r="N655" i="5"/>
  <c r="O771" i="5"/>
  <c r="L770" i="5"/>
  <c r="O770" i="5" s="1"/>
  <c r="N807" i="5"/>
  <c r="N808" i="5"/>
  <c r="P336" i="5"/>
  <c r="M334" i="5"/>
  <c r="P334" i="5" s="1"/>
  <c r="K340" i="5"/>
  <c r="K365" i="5"/>
  <c r="P390" i="5"/>
  <c r="O403" i="5"/>
  <c r="N419" i="5"/>
  <c r="L526" i="5"/>
  <c r="O526" i="5" s="1"/>
  <c r="O528" i="5"/>
  <c r="P739" i="5"/>
  <c r="M737" i="5"/>
  <c r="P737" i="5" s="1"/>
  <c r="P303" i="5"/>
  <c r="M347" i="5"/>
  <c r="J364" i="5"/>
  <c r="K370" i="5"/>
  <c r="O410" i="5"/>
  <c r="P420" i="5"/>
  <c r="K435" i="5"/>
  <c r="J433" i="5"/>
  <c r="J417" i="5" s="1"/>
  <c r="K417" i="5" s="1"/>
  <c r="N444" i="5"/>
  <c r="K647" i="5"/>
  <c r="O738" i="5"/>
  <c r="L737" i="5"/>
  <c r="O737" i="5" s="1"/>
  <c r="O788" i="5"/>
  <c r="L786" i="5"/>
  <c r="O786" i="5" s="1"/>
  <c r="N805" i="5"/>
  <c r="M392" i="5"/>
  <c r="P392" i="5" s="1"/>
  <c r="M395" i="5"/>
  <c r="P395" i="5" s="1"/>
  <c r="P468" i="5"/>
  <c r="P503" i="5"/>
  <c r="O656" i="5"/>
  <c r="K674" i="5"/>
  <c r="L555" i="5"/>
  <c r="O555" i="5" s="1"/>
  <c r="I654" i="5"/>
  <c r="K654" i="5" s="1"/>
  <c r="L658" i="5"/>
  <c r="O658" i="5" s="1"/>
  <c r="K675" i="5"/>
  <c r="N469" i="5"/>
  <c r="N467" i="5" s="1"/>
  <c r="L171" i="4"/>
  <c r="O171" i="4" s="1"/>
  <c r="O173" i="4"/>
  <c r="L330" i="4"/>
  <c r="L328" i="4" s="1"/>
  <c r="L331" i="4"/>
  <c r="O71" i="4"/>
  <c r="L69" i="4"/>
  <c r="O69" i="4" s="1"/>
  <c r="L94" i="4"/>
  <c r="O94" i="4" s="1"/>
  <c r="O96" i="4"/>
  <c r="P173" i="4"/>
  <c r="M171" i="4"/>
  <c r="P171" i="4" s="1"/>
  <c r="L422" i="4"/>
  <c r="O422" i="4" s="1"/>
  <c r="L33" i="4"/>
  <c r="O33" i="4" s="1"/>
  <c r="O424" i="4"/>
  <c r="L547" i="4"/>
  <c r="O547" i="4" s="1"/>
  <c r="O549" i="4"/>
  <c r="P96" i="4"/>
  <c r="M94" i="4"/>
  <c r="P94" i="4" s="1"/>
  <c r="P323" i="4"/>
  <c r="M321" i="4"/>
  <c r="P321" i="4" s="1"/>
  <c r="J364" i="4"/>
  <c r="M90" i="4"/>
  <c r="M88" i="4" s="1"/>
  <c r="M91" i="4"/>
  <c r="P91" i="4" s="1"/>
  <c r="L184" i="4"/>
  <c r="L183" i="4"/>
  <c r="L181" i="4" s="1"/>
  <c r="K287" i="4"/>
  <c r="I276" i="4"/>
  <c r="K276" i="4" s="1"/>
  <c r="P173" i="2"/>
  <c r="M171" i="2"/>
  <c r="P171" i="2" s="1"/>
  <c r="L279" i="3"/>
  <c r="L277" i="3" s="1"/>
  <c r="L55" i="4"/>
  <c r="L53" i="4" s="1"/>
  <c r="K159" i="4"/>
  <c r="I148" i="4"/>
  <c r="K148" i="4" s="1"/>
  <c r="M167" i="4"/>
  <c r="K271" i="4"/>
  <c r="I260" i="4"/>
  <c r="K260" i="4" s="1"/>
  <c r="L321" i="4"/>
  <c r="O321" i="4" s="1"/>
  <c r="O350" i="4"/>
  <c r="L348" i="4"/>
  <c r="O348" i="4" s="1"/>
  <c r="L347" i="4"/>
  <c r="L345" i="4" s="1"/>
  <c r="O407" i="4"/>
  <c r="L404" i="4"/>
  <c r="O404" i="4" s="1"/>
  <c r="P410" i="4"/>
  <c r="M408" i="4"/>
  <c r="P408" i="4" s="1"/>
  <c r="N44" i="4"/>
  <c r="O44" i="4" s="1"/>
  <c r="M55" i="4"/>
  <c r="M53" i="4" s="1"/>
  <c r="N90" i="4"/>
  <c r="N88" i="4" s="1"/>
  <c r="N122" i="4"/>
  <c r="N121" i="4"/>
  <c r="N119" i="4" s="1"/>
  <c r="N135" i="4"/>
  <c r="K176" i="4"/>
  <c r="K215" i="4"/>
  <c r="I208" i="4"/>
  <c r="K208" i="4" s="1"/>
  <c r="O56" i="4"/>
  <c r="O61" i="4"/>
  <c r="O333" i="4"/>
  <c r="J537" i="4"/>
  <c r="J522" i="4" s="1"/>
  <c r="L687" i="4"/>
  <c r="L685" i="4" s="1"/>
  <c r="O685" i="4" s="1"/>
  <c r="L228" i="3"/>
  <c r="M26" i="4"/>
  <c r="M24" i="4" s="1"/>
  <c r="N183" i="4"/>
  <c r="N181" i="4" s="1"/>
  <c r="O353" i="4"/>
  <c r="K438" i="4"/>
  <c r="K669" i="4"/>
  <c r="O690" i="4"/>
  <c r="L229" i="3"/>
  <c r="L72" i="4"/>
  <c r="O72" i="4" s="1"/>
  <c r="L187" i="4"/>
  <c r="O187" i="4" s="1"/>
  <c r="M301" i="4"/>
  <c r="P301" i="4" s="1"/>
  <c r="M317" i="4"/>
  <c r="M315" i="4" s="1"/>
  <c r="K355" i="4"/>
  <c r="K385" i="4"/>
  <c r="O472" i="4"/>
  <c r="O168" i="3"/>
  <c r="O91" i="4"/>
  <c r="M134" i="4"/>
  <c r="P134" i="4" s="1"/>
  <c r="L217" i="4"/>
  <c r="O217" i="4" s="1"/>
  <c r="P282" i="4"/>
  <c r="L304" i="4"/>
  <c r="O304" i="4" s="1"/>
  <c r="I364" i="4"/>
  <c r="K370" i="4"/>
  <c r="K649" i="4"/>
  <c r="K143" i="4"/>
  <c r="I131" i="4"/>
  <c r="K131" i="4" s="1"/>
  <c r="M55" i="3"/>
  <c r="M53" i="3" s="1"/>
  <c r="N68" i="3"/>
  <c r="N66" i="3" s="1"/>
  <c r="I76" i="3"/>
  <c r="K76" i="3" s="1"/>
  <c r="N183" i="3"/>
  <c r="N181" i="3" s="1"/>
  <c r="L43" i="4"/>
  <c r="L41" i="4" s="1"/>
  <c r="P61" i="4"/>
  <c r="L138" i="4"/>
  <c r="O138" i="4" s="1"/>
  <c r="K145" i="4"/>
  <c r="N184" i="4"/>
  <c r="P184" i="4" s="1"/>
  <c r="O186" i="4"/>
  <c r="L228" i="4"/>
  <c r="N351" i="4"/>
  <c r="O351" i="4" s="1"/>
  <c r="N404" i="4"/>
  <c r="N402" i="4" s="1"/>
  <c r="O479" i="4"/>
  <c r="K538" i="4"/>
  <c r="L546" i="4"/>
  <c r="L544" i="4" s="1"/>
  <c r="O557" i="4"/>
  <c r="O634" i="4"/>
  <c r="K785" i="4"/>
  <c r="O333" i="3"/>
  <c r="M395" i="3"/>
  <c r="P395" i="3" s="1"/>
  <c r="L632" i="3"/>
  <c r="O632" i="3" s="1"/>
  <c r="K649" i="3"/>
  <c r="K675" i="3"/>
  <c r="N55" i="4"/>
  <c r="N53" i="4" s="1"/>
  <c r="O58" i="4"/>
  <c r="L68" i="4"/>
  <c r="O68" i="4" s="1"/>
  <c r="L122" i="4"/>
  <c r="O122" i="4" s="1"/>
  <c r="L134" i="4"/>
  <c r="L151" i="4"/>
  <c r="L155" i="4"/>
  <c r="O155" i="4" s="1"/>
  <c r="M183" i="4"/>
  <c r="P186" i="4"/>
  <c r="I233" i="4"/>
  <c r="K233" i="4" s="1"/>
  <c r="I237" i="4"/>
  <c r="K237" i="4" s="1"/>
  <c r="N263" i="4"/>
  <c r="O266" i="4"/>
  <c r="M283" i="4"/>
  <c r="P283" i="4" s="1"/>
  <c r="L301" i="4"/>
  <c r="O301" i="4" s="1"/>
  <c r="L318" i="4"/>
  <c r="O318" i="4" s="1"/>
  <c r="L395" i="4"/>
  <c r="O395" i="4" s="1"/>
  <c r="L405" i="4"/>
  <c r="O405" i="4" s="1"/>
  <c r="K462" i="4"/>
  <c r="I443" i="4"/>
  <c r="K443" i="4" s="1"/>
  <c r="K800" i="4"/>
  <c r="N55" i="3"/>
  <c r="N53" i="3" s="1"/>
  <c r="L121" i="3"/>
  <c r="O121" i="3" s="1"/>
  <c r="N134" i="3"/>
  <c r="N132" i="3" s="1"/>
  <c r="I143" i="3"/>
  <c r="I131" i="3" s="1"/>
  <c r="L263" i="3"/>
  <c r="L261" i="3" s="1"/>
  <c r="I86" i="4"/>
  <c r="K86" i="4" s="1"/>
  <c r="O93" i="4"/>
  <c r="M122" i="4"/>
  <c r="P122" i="4" s="1"/>
  <c r="P124" i="4"/>
  <c r="M151" i="4"/>
  <c r="P151" i="4" s="1"/>
  <c r="M155" i="4"/>
  <c r="P155" i="4" s="1"/>
  <c r="O170" i="4"/>
  <c r="O264" i="4"/>
  <c r="P266" i="4"/>
  <c r="P318" i="4"/>
  <c r="N347" i="4"/>
  <c r="K360" i="4"/>
  <c r="K379" i="4"/>
  <c r="L391" i="4"/>
  <c r="L469" i="4"/>
  <c r="L467" i="4" s="1"/>
  <c r="O467" i="4" s="1"/>
  <c r="K700" i="4"/>
  <c r="J722" i="4"/>
  <c r="L68" i="3"/>
  <c r="L66" i="3" s="1"/>
  <c r="O154" i="3"/>
  <c r="L267" i="3"/>
  <c r="O267" i="3" s="1"/>
  <c r="M23" i="4"/>
  <c r="M13" i="4" s="1"/>
  <c r="I76" i="4"/>
  <c r="L90" i="4"/>
  <c r="L88" i="4" s="1"/>
  <c r="L121" i="4"/>
  <c r="N151" i="4"/>
  <c r="N149" i="4" s="1"/>
  <c r="P264" i="4"/>
  <c r="I442" i="4"/>
  <c r="K442" i="4" s="1"/>
  <c r="L47" i="3"/>
  <c r="O47" i="3" s="1"/>
  <c r="L217" i="3"/>
  <c r="O217" i="3" s="1"/>
  <c r="K338" i="3"/>
  <c r="M56" i="4"/>
  <c r="P56" i="4" s="1"/>
  <c r="N23" i="4"/>
  <c r="I77" i="4"/>
  <c r="I65" i="4" s="1"/>
  <c r="K65" i="4" s="1"/>
  <c r="K82" i="4"/>
  <c r="I112" i="4"/>
  <c r="K112" i="4" s="1"/>
  <c r="M125" i="4"/>
  <c r="P125" i="4" s="1"/>
  <c r="L135" i="4"/>
  <c r="O135" i="4" s="1"/>
  <c r="L167" i="4"/>
  <c r="I216" i="4"/>
  <c r="K216" i="4" s="1"/>
  <c r="M267" i="4"/>
  <c r="P267" i="4" s="1"/>
  <c r="L279" i="4"/>
  <c r="L300" i="4"/>
  <c r="M304" i="4"/>
  <c r="P304" i="4" s="1"/>
  <c r="N331" i="4"/>
  <c r="L408" i="4"/>
  <c r="O408" i="4" s="1"/>
  <c r="K537" i="4"/>
  <c r="K576" i="4"/>
  <c r="I559" i="4"/>
  <c r="I543" i="4" s="1"/>
  <c r="K543" i="4" s="1"/>
  <c r="K647" i="4"/>
  <c r="K651" i="4"/>
  <c r="K673" i="4"/>
  <c r="J721" i="4"/>
  <c r="K822" i="4"/>
  <c r="K825" i="4"/>
  <c r="K828" i="4"/>
  <c r="L347" i="3"/>
  <c r="L345" i="3" s="1"/>
  <c r="N334" i="4"/>
  <c r="N330" i="4"/>
  <c r="M444" i="4"/>
  <c r="P444" i="4" s="1"/>
  <c r="P445" i="4"/>
  <c r="O788" i="4"/>
  <c r="L786" i="4"/>
  <c r="O786" i="4" s="1"/>
  <c r="K701" i="2"/>
  <c r="O59" i="3"/>
  <c r="N90" i="3"/>
  <c r="N88" i="3" s="1"/>
  <c r="M94" i="3"/>
  <c r="P94" i="3" s="1"/>
  <c r="O186" i="3"/>
  <c r="L198" i="3"/>
  <c r="O198" i="3" s="1"/>
  <c r="I208" i="3"/>
  <c r="K208" i="3" s="1"/>
  <c r="K372" i="3"/>
  <c r="L15" i="4"/>
  <c r="L29" i="4"/>
  <c r="M30" i="4"/>
  <c r="P30" i="4" s="1"/>
  <c r="N31" i="4"/>
  <c r="M44" i="4"/>
  <c r="P46" i="4"/>
  <c r="N68" i="4"/>
  <c r="N66" i="4" s="1"/>
  <c r="M135" i="4"/>
  <c r="P135" i="4" s="1"/>
  <c r="P137" i="4"/>
  <c r="J143" i="4"/>
  <c r="J131" i="4" s="1"/>
  <c r="K144" i="4"/>
  <c r="N168" i="4"/>
  <c r="P168" i="4" s="1"/>
  <c r="P170" i="4"/>
  <c r="L249" i="4"/>
  <c r="O249" i="4" s="1"/>
  <c r="L267" i="4"/>
  <c r="O267" i="4" s="1"/>
  <c r="P407" i="4"/>
  <c r="M404" i="4"/>
  <c r="O738" i="4"/>
  <c r="L737" i="4"/>
  <c r="O737" i="4" s="1"/>
  <c r="L229" i="2"/>
  <c r="K823" i="2"/>
  <c r="K826" i="2"/>
  <c r="M68" i="3"/>
  <c r="M66" i="3" s="1"/>
  <c r="L231" i="3"/>
  <c r="L321" i="3"/>
  <c r="O321" i="3" s="1"/>
  <c r="N347" i="3"/>
  <c r="N345" i="3" s="1"/>
  <c r="K378" i="3"/>
  <c r="I434" i="3"/>
  <c r="I418" i="3" s="1"/>
  <c r="K418" i="3" s="1"/>
  <c r="K647" i="3"/>
  <c r="K821" i="3"/>
  <c r="K824" i="3"/>
  <c r="K827" i="3"/>
  <c r="M9" i="4"/>
  <c r="M15" i="4"/>
  <c r="M29" i="4"/>
  <c r="M47" i="4"/>
  <c r="P47" i="4" s="1"/>
  <c r="P49" i="4"/>
  <c r="M69" i="4"/>
  <c r="P69" i="4" s="1"/>
  <c r="P71" i="4"/>
  <c r="P93" i="4"/>
  <c r="P133" i="4"/>
  <c r="K174" i="4"/>
  <c r="I164" i="4"/>
  <c r="K164" i="4" s="1"/>
  <c r="L198" i="4"/>
  <c r="O198" i="4" s="1"/>
  <c r="L263" i="4"/>
  <c r="M279" i="4"/>
  <c r="L280" i="4"/>
  <c r="O280" i="4" s="1"/>
  <c r="O282" i="4"/>
  <c r="J288" i="4"/>
  <c r="J275" i="4" s="1"/>
  <c r="I275" i="4"/>
  <c r="I297" i="4"/>
  <c r="K297" i="4" s="1"/>
  <c r="I314" i="4"/>
  <c r="K314" i="4" s="1"/>
  <c r="K325" i="4"/>
  <c r="P394" i="4"/>
  <c r="M392" i="4"/>
  <c r="P392" i="4" s="1"/>
  <c r="M391" i="4"/>
  <c r="M419" i="4"/>
  <c r="L526" i="4"/>
  <c r="O526" i="4" s="1"/>
  <c r="O528" i="4"/>
  <c r="L525" i="4"/>
  <c r="J233" i="1"/>
  <c r="M43" i="3"/>
  <c r="M41" i="3" s="1"/>
  <c r="N263" i="3"/>
  <c r="L331" i="3"/>
  <c r="O331" i="3" s="1"/>
  <c r="K370" i="3"/>
  <c r="L26" i="4"/>
  <c r="P42" i="4"/>
  <c r="P67" i="4"/>
  <c r="M138" i="4"/>
  <c r="P138" i="4" s="1"/>
  <c r="P140" i="4"/>
  <c r="L283" i="4"/>
  <c r="O283" i="4" s="1"/>
  <c r="O285" i="4"/>
  <c r="P46" i="3"/>
  <c r="O71" i="3"/>
  <c r="O93" i="3"/>
  <c r="K651" i="3"/>
  <c r="M72" i="4"/>
  <c r="P72" i="4" s="1"/>
  <c r="P74" i="4"/>
  <c r="I87" i="4"/>
  <c r="K87" i="4" s="1"/>
  <c r="K99" i="4"/>
  <c r="O278" i="4"/>
  <c r="M280" i="4"/>
  <c r="P280" i="4" s="1"/>
  <c r="K197" i="1"/>
  <c r="K223" i="1"/>
  <c r="M72" i="3"/>
  <c r="P72" i="3" s="1"/>
  <c r="I87" i="3"/>
  <c r="K87" i="3" s="1"/>
  <c r="P93" i="3"/>
  <c r="N135" i="3"/>
  <c r="P135" i="3" s="1"/>
  <c r="L391" i="3"/>
  <c r="O391" i="3" s="1"/>
  <c r="N26" i="4"/>
  <c r="N16" i="4" s="1"/>
  <c r="N14" i="4" s="1"/>
  <c r="P333" i="4"/>
  <c r="M331" i="4"/>
  <c r="K435" i="4"/>
  <c r="J433" i="4"/>
  <c r="J417" i="4" s="1"/>
  <c r="N544" i="4"/>
  <c r="P756" i="4"/>
  <c r="M754" i="4"/>
  <c r="P754" i="4" s="1"/>
  <c r="O807" i="4"/>
  <c r="L805" i="4"/>
  <c r="O805" i="4" s="1"/>
  <c r="O46" i="4"/>
  <c r="O49" i="4"/>
  <c r="M330" i="4"/>
  <c r="P353" i="4"/>
  <c r="M351" i="4"/>
  <c r="L429" i="4"/>
  <c r="O429" i="4" s="1"/>
  <c r="O431" i="4"/>
  <c r="L421" i="4"/>
  <c r="O421" i="4" s="1"/>
  <c r="L639" i="4"/>
  <c r="O639" i="4" s="1"/>
  <c r="O641" i="4"/>
  <c r="L631" i="4"/>
  <c r="O755" i="4"/>
  <c r="L754" i="4"/>
  <c r="O754" i="4" s="1"/>
  <c r="L789" i="4"/>
  <c r="O789" i="4" s="1"/>
  <c r="O791" i="4"/>
  <c r="N59" i="4"/>
  <c r="P59" i="4" s="1"/>
  <c r="I248" i="4"/>
  <c r="K248" i="4" s="1"/>
  <c r="L317" i="4"/>
  <c r="K359" i="4"/>
  <c r="K374" i="4"/>
  <c r="O403" i="4"/>
  <c r="L454" i="4"/>
  <c r="O454" i="4" s="1"/>
  <c r="O456" i="4"/>
  <c r="L446" i="4"/>
  <c r="P545" i="4"/>
  <c r="M544" i="4"/>
  <c r="P544" i="4" s="1"/>
  <c r="O688" i="4"/>
  <c r="P772" i="4"/>
  <c r="M770" i="4"/>
  <c r="P770" i="4" s="1"/>
  <c r="N807" i="4"/>
  <c r="N805" i="4" s="1"/>
  <c r="N808" i="4"/>
  <c r="P350" i="4"/>
  <c r="M348" i="4"/>
  <c r="P348" i="4" s="1"/>
  <c r="P397" i="4"/>
  <c r="M395" i="4"/>
  <c r="P395" i="4" s="1"/>
  <c r="N419" i="4"/>
  <c r="I433" i="4"/>
  <c r="O470" i="4"/>
  <c r="O771" i="4"/>
  <c r="L770" i="4"/>
  <c r="O770" i="4" s="1"/>
  <c r="I197" i="4"/>
  <c r="K197" i="4" s="1"/>
  <c r="P336" i="4"/>
  <c r="M334" i="4"/>
  <c r="P334" i="4" s="1"/>
  <c r="K340" i="4"/>
  <c r="K365" i="4"/>
  <c r="K592" i="4"/>
  <c r="P739" i="4"/>
  <c r="M737" i="4"/>
  <c r="P737" i="4" s="1"/>
  <c r="P468" i="4"/>
  <c r="P503" i="4"/>
  <c r="O656" i="4"/>
  <c r="K674" i="4"/>
  <c r="K675" i="4"/>
  <c r="M786" i="4"/>
  <c r="P786" i="4" s="1"/>
  <c r="N469" i="4"/>
  <c r="N467" i="4" s="1"/>
  <c r="M69" i="3"/>
  <c r="P69" i="3" s="1"/>
  <c r="K146" i="3"/>
  <c r="K159" i="3"/>
  <c r="L209" i="3"/>
  <c r="O209" i="3" s="1"/>
  <c r="I233" i="3"/>
  <c r="K233" i="3" s="1"/>
  <c r="I275" i="3"/>
  <c r="K275" i="3" s="1"/>
  <c r="K287" i="3"/>
  <c r="N300" i="3"/>
  <c r="N298" i="3" s="1"/>
  <c r="L334" i="3"/>
  <c r="O334" i="3" s="1"/>
  <c r="N330" i="3"/>
  <c r="N328" i="3" s="1"/>
  <c r="I442" i="3"/>
  <c r="K442" i="3" s="1"/>
  <c r="L187" i="1"/>
  <c r="O187" i="1" s="1"/>
  <c r="L184" i="3"/>
  <c r="I260" i="3"/>
  <c r="K260" i="3" s="1"/>
  <c r="I433" i="3"/>
  <c r="I417" i="3" s="1"/>
  <c r="L36" i="3"/>
  <c r="O36" i="3" s="1"/>
  <c r="L167" i="1"/>
  <c r="L165" i="1" s="1"/>
  <c r="M47" i="3"/>
  <c r="P47" i="3" s="1"/>
  <c r="P71" i="3"/>
  <c r="M91" i="3"/>
  <c r="P91" i="3" s="1"/>
  <c r="P152" i="3"/>
  <c r="L155" i="3"/>
  <c r="O155" i="3" s="1"/>
  <c r="M151" i="3"/>
  <c r="M149" i="3" s="1"/>
  <c r="N184" i="3"/>
  <c r="P184" i="3" s="1"/>
  <c r="P266" i="3"/>
  <c r="K276" i="3"/>
  <c r="L330" i="3"/>
  <c r="K359" i="3"/>
  <c r="J374" i="3"/>
  <c r="K374" i="3" s="1"/>
  <c r="N391" i="3"/>
  <c r="N389" i="3" s="1"/>
  <c r="J433" i="3"/>
  <c r="J417" i="3" s="1"/>
  <c r="K360" i="2"/>
  <c r="P49" i="3"/>
  <c r="L94" i="3"/>
  <c r="O94" i="3" s="1"/>
  <c r="I190" i="3"/>
  <c r="K190" i="3" s="1"/>
  <c r="K483" i="1"/>
  <c r="M121" i="3"/>
  <c r="P121" i="3" s="1"/>
  <c r="M167" i="3"/>
  <c r="I216" i="3"/>
  <c r="K216" i="3" s="1"/>
  <c r="N264" i="3"/>
  <c r="P264" i="3" s="1"/>
  <c r="N317" i="3"/>
  <c r="N315" i="3" s="1"/>
  <c r="K340" i="3"/>
  <c r="N351" i="3"/>
  <c r="P351" i="3" s="1"/>
  <c r="K369" i="3"/>
  <c r="O397" i="3"/>
  <c r="N404" i="3"/>
  <c r="N402" i="3" s="1"/>
  <c r="K537" i="3"/>
  <c r="L405" i="3"/>
  <c r="O405" i="3" s="1"/>
  <c r="M391" i="2"/>
  <c r="P391" i="2" s="1"/>
  <c r="L56" i="3"/>
  <c r="O56" i="3" s="1"/>
  <c r="P168" i="3"/>
  <c r="O170" i="3"/>
  <c r="L183" i="3"/>
  <c r="L187" i="3"/>
  <c r="O187" i="3" s="1"/>
  <c r="L230" i="3"/>
  <c r="M279" i="3"/>
  <c r="M277" i="3" s="1"/>
  <c r="N301" i="3"/>
  <c r="O301" i="3" s="1"/>
  <c r="K379" i="3"/>
  <c r="M404" i="3"/>
  <c r="M402" i="3" s="1"/>
  <c r="P402" i="3" s="1"/>
  <c r="I628" i="3"/>
  <c r="K628" i="3" s="1"/>
  <c r="L687" i="3"/>
  <c r="O687" i="3" s="1"/>
  <c r="N321" i="3"/>
  <c r="M408" i="3"/>
  <c r="P408" i="3" s="1"/>
  <c r="J722" i="3"/>
  <c r="L134" i="2"/>
  <c r="O134" i="2" s="1"/>
  <c r="K385" i="2"/>
  <c r="L36" i="2"/>
  <c r="O36" i="2" s="1"/>
  <c r="M56" i="3"/>
  <c r="P56" i="3" s="1"/>
  <c r="P61" i="3"/>
  <c r="L72" i="3"/>
  <c r="O72" i="3" s="1"/>
  <c r="L151" i="3"/>
  <c r="L149" i="3" s="1"/>
  <c r="P170" i="3"/>
  <c r="M183" i="3"/>
  <c r="L249" i="3"/>
  <c r="O249" i="3" s="1"/>
  <c r="O266" i="3"/>
  <c r="M280" i="3"/>
  <c r="P280" i="3" s="1"/>
  <c r="N279" i="3"/>
  <c r="N277" i="3" s="1"/>
  <c r="K309" i="3"/>
  <c r="L318" i="3"/>
  <c r="O318" i="3" s="1"/>
  <c r="P323" i="3"/>
  <c r="L392" i="3"/>
  <c r="O392" i="3" s="1"/>
  <c r="O535" i="3"/>
  <c r="K593" i="3"/>
  <c r="L631" i="3"/>
  <c r="O631" i="3" s="1"/>
  <c r="O690" i="3"/>
  <c r="K822" i="3"/>
  <c r="K828" i="3"/>
  <c r="L229" i="1"/>
  <c r="I226" i="1"/>
  <c r="I180" i="1" s="1"/>
  <c r="L135" i="2"/>
  <c r="O135" i="2" s="1"/>
  <c r="L138" i="2"/>
  <c r="O138" i="2" s="1"/>
  <c r="L43" i="3"/>
  <c r="L41" i="3" s="1"/>
  <c r="L91" i="3"/>
  <c r="O91" i="3" s="1"/>
  <c r="I112" i="3"/>
  <c r="K112" i="3" s="1"/>
  <c r="M171" i="3"/>
  <c r="P171" i="3" s="1"/>
  <c r="L317" i="3"/>
  <c r="O317" i="3" s="1"/>
  <c r="J327" i="3"/>
  <c r="K327" i="3" s="1"/>
  <c r="O394" i="3"/>
  <c r="K673" i="3"/>
  <c r="O56" i="2"/>
  <c r="M90" i="2"/>
  <c r="M88" i="2" s="1"/>
  <c r="P124" i="2"/>
  <c r="I216" i="2"/>
  <c r="K216" i="2" s="1"/>
  <c r="M23" i="3"/>
  <c r="M13" i="3" s="1"/>
  <c r="O69" i="3"/>
  <c r="O74" i="3"/>
  <c r="P137" i="3"/>
  <c r="P138" i="3"/>
  <c r="P154" i="3"/>
  <c r="N167" i="3"/>
  <c r="N165" i="3" s="1"/>
  <c r="P189" i="3"/>
  <c r="K244" i="3"/>
  <c r="O303" i="3"/>
  <c r="M317" i="3"/>
  <c r="P320" i="3"/>
  <c r="K355" i="3"/>
  <c r="P407" i="3"/>
  <c r="O456" i="3"/>
  <c r="K594" i="3"/>
  <c r="L657" i="3"/>
  <c r="O657" i="3" s="1"/>
  <c r="K674" i="3"/>
  <c r="K823" i="3"/>
  <c r="I248" i="2"/>
  <c r="K248" i="2" s="1"/>
  <c r="L90" i="3"/>
  <c r="N121" i="3"/>
  <c r="N119" i="3" s="1"/>
  <c r="K297" i="3"/>
  <c r="P303" i="3"/>
  <c r="K360" i="3"/>
  <c r="L9" i="3"/>
  <c r="O12" i="3"/>
  <c r="O15" i="3"/>
  <c r="N151" i="2"/>
  <c r="N149" i="2" s="1"/>
  <c r="N404" i="2"/>
  <c r="N402" i="2" s="1"/>
  <c r="M26" i="3"/>
  <c r="I77" i="3"/>
  <c r="K81" i="3"/>
  <c r="P166" i="3"/>
  <c r="K174" i="3"/>
  <c r="I164" i="3"/>
  <c r="K164" i="3" s="1"/>
  <c r="O182" i="3"/>
  <c r="K362" i="3"/>
  <c r="O424" i="3"/>
  <c r="L421" i="3"/>
  <c r="L33" i="3"/>
  <c r="L422" i="3"/>
  <c r="O422" i="3" s="1"/>
  <c r="P32" i="3"/>
  <c r="M29" i="3"/>
  <c r="M187" i="1"/>
  <c r="P187" i="1" s="1"/>
  <c r="L55" i="2"/>
  <c r="L53" i="2" s="1"/>
  <c r="M68" i="2"/>
  <c r="M66" i="2" s="1"/>
  <c r="P66" i="2" s="1"/>
  <c r="N183" i="2"/>
  <c r="N181" i="2" s="1"/>
  <c r="L217" i="2"/>
  <c r="O217" i="2" s="1"/>
  <c r="K708" i="2"/>
  <c r="N26" i="3"/>
  <c r="N16" i="3" s="1"/>
  <c r="N14" i="3" s="1"/>
  <c r="L29" i="3"/>
  <c r="N44" i="3"/>
  <c r="P44" i="3" s="1"/>
  <c r="N23" i="3"/>
  <c r="O58" i="3"/>
  <c r="L171" i="3"/>
  <c r="O171" i="3" s="1"/>
  <c r="L167" i="3"/>
  <c r="O173" i="3"/>
  <c r="K176" i="3"/>
  <c r="K204" i="3"/>
  <c r="I197" i="3"/>
  <c r="K197" i="3" s="1"/>
  <c r="M267" i="3"/>
  <c r="P267" i="3" s="1"/>
  <c r="M283" i="3"/>
  <c r="P283" i="3" s="1"/>
  <c r="P306" i="3"/>
  <c r="M304" i="3"/>
  <c r="P304" i="3" s="1"/>
  <c r="O350" i="3"/>
  <c r="L348" i="3"/>
  <c r="O348" i="3" s="1"/>
  <c r="L502" i="3"/>
  <c r="O502" i="3" s="1"/>
  <c r="O503" i="3"/>
  <c r="M59" i="3"/>
  <c r="P59" i="3" s="1"/>
  <c r="P46" i="2"/>
  <c r="O285" i="2"/>
  <c r="L469" i="2"/>
  <c r="O469" i="2" s="1"/>
  <c r="K673" i="2"/>
  <c r="L23" i="3"/>
  <c r="L21" i="3" s="1"/>
  <c r="M31" i="3"/>
  <c r="P31" i="3" s="1"/>
  <c r="N43" i="3"/>
  <c r="O46" i="3"/>
  <c r="P58" i="3"/>
  <c r="I86" i="3"/>
  <c r="K86" i="3" s="1"/>
  <c r="K98" i="3"/>
  <c r="M122" i="3"/>
  <c r="P122" i="3" s="1"/>
  <c r="P124" i="3"/>
  <c r="L152" i="3"/>
  <c r="O152" i="3" s="1"/>
  <c r="L304" i="3"/>
  <c r="O304" i="3" s="1"/>
  <c r="P140" i="3"/>
  <c r="M134" i="3"/>
  <c r="L631" i="1"/>
  <c r="L629" i="1" s="1"/>
  <c r="O61" i="2"/>
  <c r="M279" i="2"/>
  <c r="M277" i="2" s="1"/>
  <c r="M12" i="3"/>
  <c r="P25" i="3"/>
  <c r="M15" i="3"/>
  <c r="N31" i="3"/>
  <c r="M125" i="3"/>
  <c r="P125" i="3" s="1"/>
  <c r="P127" i="3"/>
  <c r="O137" i="3"/>
  <c r="L134" i="3"/>
  <c r="J143" i="3"/>
  <c r="K144" i="3"/>
  <c r="K255" i="3"/>
  <c r="I248" i="3"/>
  <c r="O329" i="3"/>
  <c r="M444" i="3"/>
  <c r="P444" i="3" s="1"/>
  <c r="P445" i="3"/>
  <c r="N155" i="3"/>
  <c r="N151" i="3"/>
  <c r="K87" i="1"/>
  <c r="K460" i="1"/>
  <c r="K372" i="2"/>
  <c r="N12" i="3"/>
  <c r="L19" i="3"/>
  <c r="M34" i="3"/>
  <c r="P34" i="3" s="1"/>
  <c r="L26" i="3"/>
  <c r="O61" i="3"/>
  <c r="P120" i="3"/>
  <c r="L135" i="3"/>
  <c r="L138" i="3"/>
  <c r="O138" i="3" s="1"/>
  <c r="O140" i="3"/>
  <c r="M334" i="3"/>
  <c r="P334" i="3" s="1"/>
  <c r="P336" i="3"/>
  <c r="M330" i="3"/>
  <c r="O390" i="3"/>
  <c r="L526" i="3"/>
  <c r="O526" i="3" s="1"/>
  <c r="O528" i="3"/>
  <c r="L525" i="3"/>
  <c r="O525" i="3" s="1"/>
  <c r="O124" i="3"/>
  <c r="O127" i="3"/>
  <c r="P186" i="3"/>
  <c r="L238" i="3"/>
  <c r="M263" i="3"/>
  <c r="L300" i="3"/>
  <c r="P350" i="3"/>
  <c r="M347" i="3"/>
  <c r="N469" i="3"/>
  <c r="N467" i="3" s="1"/>
  <c r="N414" i="3" s="1"/>
  <c r="O472" i="3"/>
  <c r="N470" i="3"/>
  <c r="M502" i="3"/>
  <c r="P502" i="3" s="1"/>
  <c r="P807" i="3"/>
  <c r="M805" i="3"/>
  <c r="P805" i="3" s="1"/>
  <c r="N807" i="3"/>
  <c r="N808" i="3"/>
  <c r="O262" i="3"/>
  <c r="L280" i="3"/>
  <c r="O280" i="3" s="1"/>
  <c r="O282" i="3"/>
  <c r="M300" i="3"/>
  <c r="I314" i="3"/>
  <c r="K314" i="3" s="1"/>
  <c r="M331" i="3"/>
  <c r="P331" i="3" s="1"/>
  <c r="P333" i="3"/>
  <c r="M348" i="3"/>
  <c r="P348" i="3" s="1"/>
  <c r="L351" i="3"/>
  <c r="O353" i="3"/>
  <c r="P394" i="3"/>
  <c r="M392" i="3"/>
  <c r="P392" i="3" s="1"/>
  <c r="O470" i="3"/>
  <c r="O479" i="3"/>
  <c r="L469" i="3"/>
  <c r="L477" i="3"/>
  <c r="O477" i="3" s="1"/>
  <c r="K569" i="3"/>
  <c r="P738" i="3"/>
  <c r="M737" i="3"/>
  <c r="P737" i="3" s="1"/>
  <c r="L770" i="3"/>
  <c r="O770" i="3" s="1"/>
  <c r="L789" i="3"/>
  <c r="O789" i="3" s="1"/>
  <c r="O791" i="3"/>
  <c r="I785" i="3"/>
  <c r="K785" i="3" s="1"/>
  <c r="K800" i="3"/>
  <c r="P282" i="3"/>
  <c r="K288" i="3"/>
  <c r="O299" i="3"/>
  <c r="P353" i="3"/>
  <c r="M467" i="3"/>
  <c r="P467" i="3" s="1"/>
  <c r="P468" i="3"/>
  <c r="O686" i="3"/>
  <c r="P278" i="3"/>
  <c r="L283" i="3"/>
  <c r="O283" i="3" s="1"/>
  <c r="O285" i="3"/>
  <c r="K365" i="3"/>
  <c r="I364" i="3"/>
  <c r="O410" i="3"/>
  <c r="L404" i="3"/>
  <c r="O404" i="3" s="1"/>
  <c r="P419" i="3"/>
  <c r="O449" i="3"/>
  <c r="L446" i="3"/>
  <c r="K539" i="3"/>
  <c r="J537" i="3"/>
  <c r="J522" i="3" s="1"/>
  <c r="K592" i="3"/>
  <c r="P771" i="3"/>
  <c r="M770" i="3"/>
  <c r="P770" i="3" s="1"/>
  <c r="O524" i="3"/>
  <c r="K561" i="3"/>
  <c r="K576" i="3"/>
  <c r="P788" i="3"/>
  <c r="M786" i="3"/>
  <c r="P786" i="3" s="1"/>
  <c r="O806" i="3"/>
  <c r="L805" i="3"/>
  <c r="O805" i="3" s="1"/>
  <c r="P687" i="3"/>
  <c r="M685" i="3"/>
  <c r="P685" i="3" s="1"/>
  <c r="P755" i="3"/>
  <c r="M754" i="3"/>
  <c r="P754" i="3" s="1"/>
  <c r="K385" i="3"/>
  <c r="O431" i="3"/>
  <c r="I443" i="3"/>
  <c r="K443" i="3" s="1"/>
  <c r="N544" i="3"/>
  <c r="I543" i="3"/>
  <c r="K543" i="3" s="1"/>
  <c r="K559" i="3"/>
  <c r="O641" i="3"/>
  <c r="O787" i="3"/>
  <c r="L786" i="3"/>
  <c r="O786" i="3" s="1"/>
  <c r="N805" i="3"/>
  <c r="L555" i="3"/>
  <c r="O555" i="3" s="1"/>
  <c r="I654" i="3"/>
  <c r="K654" i="3" s="1"/>
  <c r="L658" i="3"/>
  <c r="O658" i="3" s="1"/>
  <c r="L546" i="3"/>
  <c r="I276" i="2"/>
  <c r="K276" i="2" s="1"/>
  <c r="J434" i="1"/>
  <c r="J418" i="1" s="1"/>
  <c r="J569" i="1"/>
  <c r="K569" i="1" s="1"/>
  <c r="N68" i="2"/>
  <c r="N66" i="2" s="1"/>
  <c r="L72" i="2"/>
  <c r="O72" i="2" s="1"/>
  <c r="L125" i="2"/>
  <c r="O125" i="2" s="1"/>
  <c r="N121" i="2"/>
  <c r="N119" i="2" s="1"/>
  <c r="L198" i="2"/>
  <c r="O198" i="2" s="1"/>
  <c r="I260" i="2"/>
  <c r="K260" i="2" s="1"/>
  <c r="L279" i="2"/>
  <c r="L277" i="2" s="1"/>
  <c r="P282" i="2"/>
  <c r="I297" i="2"/>
  <c r="K297" i="2" s="1"/>
  <c r="P320" i="2"/>
  <c r="N317" i="2"/>
  <c r="N315" i="2" s="1"/>
  <c r="K378" i="2"/>
  <c r="K800" i="2"/>
  <c r="K146" i="2"/>
  <c r="N263" i="2"/>
  <c r="N261" i="2" s="1"/>
  <c r="O301" i="2"/>
  <c r="M44" i="2"/>
  <c r="P44" i="2" s="1"/>
  <c r="M43" i="2"/>
  <c r="M41" i="2" s="1"/>
  <c r="M72" i="2"/>
  <c r="P72" i="2" s="1"/>
  <c r="P140" i="2"/>
  <c r="L249" i="2"/>
  <c r="O249" i="2" s="1"/>
  <c r="L395" i="2"/>
  <c r="O395" i="2" s="1"/>
  <c r="L408" i="2"/>
  <c r="O408" i="2" s="1"/>
  <c r="I559" i="2"/>
  <c r="K559" i="2" s="1"/>
  <c r="K675" i="2"/>
  <c r="J237" i="1"/>
  <c r="K237" i="1" s="1"/>
  <c r="L788" i="1"/>
  <c r="L786" i="1" s="1"/>
  <c r="M152" i="2"/>
  <c r="P152" i="2" s="1"/>
  <c r="O353" i="2"/>
  <c r="J100" i="1"/>
  <c r="K100" i="1" s="1"/>
  <c r="N184" i="2"/>
  <c r="O184" i="2" s="1"/>
  <c r="L187" i="2"/>
  <c r="O187" i="2" s="1"/>
  <c r="I190" i="2"/>
  <c r="K190" i="2" s="1"/>
  <c r="I233" i="2"/>
  <c r="K233" i="2" s="1"/>
  <c r="I237" i="2"/>
  <c r="K237" i="2" s="1"/>
  <c r="L238" i="2"/>
  <c r="O238" i="2" s="1"/>
  <c r="O264" i="2"/>
  <c r="M283" i="2"/>
  <c r="P283" i="2" s="1"/>
  <c r="K669" i="2"/>
  <c r="K369" i="2"/>
  <c r="K593" i="2"/>
  <c r="M121" i="1"/>
  <c r="M119" i="1" s="1"/>
  <c r="K651" i="1"/>
  <c r="M47" i="2"/>
  <c r="P47" i="2" s="1"/>
  <c r="P49" i="2"/>
  <c r="M55" i="2"/>
  <c r="M53" i="2" s="1"/>
  <c r="M91" i="2"/>
  <c r="P91" i="2" s="1"/>
  <c r="L171" i="2"/>
  <c r="O171" i="2" s="1"/>
  <c r="L231" i="2"/>
  <c r="M263" i="2"/>
  <c r="M300" i="2"/>
  <c r="M298" i="2" s="1"/>
  <c r="L317" i="2"/>
  <c r="L315" i="2" s="1"/>
  <c r="I434" i="2"/>
  <c r="K434" i="2" s="1"/>
  <c r="O331" i="2"/>
  <c r="K148" i="1"/>
  <c r="N404" i="1"/>
  <c r="N402" i="1" s="1"/>
  <c r="L152" i="2"/>
  <c r="O152" i="2" s="1"/>
  <c r="M23" i="2"/>
  <c r="M13" i="2" s="1"/>
  <c r="P93" i="2"/>
  <c r="K159" i="2"/>
  <c r="K176" i="2"/>
  <c r="M301" i="2"/>
  <c r="P301" i="2" s="1"/>
  <c r="L330" i="2"/>
  <c r="L328" i="2" s="1"/>
  <c r="M405" i="2"/>
  <c r="P405" i="2" s="1"/>
  <c r="P410" i="2"/>
  <c r="M408" i="2"/>
  <c r="P408" i="2" s="1"/>
  <c r="K82" i="1"/>
  <c r="N347" i="1"/>
  <c r="N345" i="1" s="1"/>
  <c r="L391" i="1"/>
  <c r="O391" i="1" s="1"/>
  <c r="I401" i="1"/>
  <c r="K401" i="1" s="1"/>
  <c r="L658" i="1"/>
  <c r="N660" i="1"/>
  <c r="N657" i="1" s="1"/>
  <c r="N655" i="1" s="1"/>
  <c r="L69" i="2"/>
  <c r="O69" i="2" s="1"/>
  <c r="M94" i="2"/>
  <c r="P94" i="2" s="1"/>
  <c r="M134" i="2"/>
  <c r="P134" i="2" s="1"/>
  <c r="I164" i="2"/>
  <c r="K164" i="2" s="1"/>
  <c r="M264" i="2"/>
  <c r="P264" i="2" s="1"/>
  <c r="N279" i="2"/>
  <c r="N277" i="2" s="1"/>
  <c r="L304" i="2"/>
  <c r="O304" i="2" s="1"/>
  <c r="K460" i="2"/>
  <c r="I442" i="2"/>
  <c r="K442" i="2" s="1"/>
  <c r="L525" i="2"/>
  <c r="L523" i="2" s="1"/>
  <c r="O523" i="2" s="1"/>
  <c r="K537" i="2"/>
  <c r="L688" i="2"/>
  <c r="O688" i="2" s="1"/>
  <c r="L687" i="2"/>
  <c r="O687" i="2" s="1"/>
  <c r="M263" i="1"/>
  <c r="M261" i="1" s="1"/>
  <c r="K83" i="1"/>
  <c r="K110" i="1"/>
  <c r="N228" i="1"/>
  <c r="N231" i="1"/>
  <c r="J236" i="1"/>
  <c r="N43" i="2"/>
  <c r="N41" i="2" s="1"/>
  <c r="N55" i="2"/>
  <c r="N53" i="2" s="1"/>
  <c r="M69" i="2"/>
  <c r="P69" i="2" s="1"/>
  <c r="P71" i="2"/>
  <c r="N90" i="2"/>
  <c r="N88" i="2" s="1"/>
  <c r="I131" i="2"/>
  <c r="K131" i="2" s="1"/>
  <c r="N134" i="2"/>
  <c r="N132" i="2" s="1"/>
  <c r="L167" i="2"/>
  <c r="O186" i="2"/>
  <c r="M267" i="2"/>
  <c r="P267" i="2" s="1"/>
  <c r="M280" i="2"/>
  <c r="P280" i="2" s="1"/>
  <c r="M304" i="2"/>
  <c r="P304" i="2" s="1"/>
  <c r="K338" i="2"/>
  <c r="L348" i="2"/>
  <c r="L347" i="2"/>
  <c r="L345" i="2" s="1"/>
  <c r="O351" i="2"/>
  <c r="K365" i="2"/>
  <c r="L391" i="2"/>
  <c r="O394" i="2"/>
  <c r="L392" i="2"/>
  <c r="O392" i="2" s="1"/>
  <c r="O424" i="2"/>
  <c r="K462" i="2"/>
  <c r="I443" i="2"/>
  <c r="K443" i="2" s="1"/>
  <c r="J537" i="2"/>
  <c r="J522" i="2" s="1"/>
  <c r="K538" i="2"/>
  <c r="K649" i="2"/>
  <c r="K725" i="2"/>
  <c r="O336" i="2"/>
  <c r="L334" i="2"/>
  <c r="O334" i="2" s="1"/>
  <c r="I76" i="1"/>
  <c r="I64" i="1" s="1"/>
  <c r="K81" i="1"/>
  <c r="L94" i="1"/>
  <c r="O94" i="1" s="1"/>
  <c r="K115" i="1"/>
  <c r="O191" i="1"/>
  <c r="K206" i="1"/>
  <c r="I233" i="1"/>
  <c r="P56" i="2"/>
  <c r="L68" i="2"/>
  <c r="L66" i="2" s="1"/>
  <c r="O66" i="2" s="1"/>
  <c r="K86" i="2"/>
  <c r="M167" i="2"/>
  <c r="M165" i="2" s="1"/>
  <c r="L228" i="2"/>
  <c r="O282" i="2"/>
  <c r="M404" i="2"/>
  <c r="M402" i="2" s="1"/>
  <c r="P402" i="2" s="1"/>
  <c r="K159" i="1"/>
  <c r="O351" i="1"/>
  <c r="K359" i="1"/>
  <c r="K643" i="1"/>
  <c r="K649" i="1"/>
  <c r="L33" i="2"/>
  <c r="M26" i="2"/>
  <c r="M24" i="2" s="1"/>
  <c r="O91" i="2"/>
  <c r="K340" i="2"/>
  <c r="O407" i="2"/>
  <c r="L404" i="2"/>
  <c r="O404" i="2" s="1"/>
  <c r="O549" i="2"/>
  <c r="L546" i="2"/>
  <c r="L657" i="2"/>
  <c r="O657" i="2" s="1"/>
  <c r="J327" i="2"/>
  <c r="K327" i="2" s="1"/>
  <c r="K381" i="2"/>
  <c r="O422" i="2"/>
  <c r="K647" i="2"/>
  <c r="J722" i="2"/>
  <c r="K722" i="2" s="1"/>
  <c r="I654" i="2"/>
  <c r="K654" i="2" s="1"/>
  <c r="K723" i="2"/>
  <c r="K821" i="2"/>
  <c r="K824" i="2"/>
  <c r="K827" i="2"/>
  <c r="J721" i="2"/>
  <c r="K721" i="2" s="1"/>
  <c r="K355" i="2"/>
  <c r="K651" i="2"/>
  <c r="K720" i="2"/>
  <c r="K785" i="2"/>
  <c r="K822" i="2"/>
  <c r="K825" i="2"/>
  <c r="K828" i="2"/>
  <c r="J77" i="1"/>
  <c r="J65" i="1" s="1"/>
  <c r="P15" i="2"/>
  <c r="L23" i="2"/>
  <c r="O46" i="2"/>
  <c r="O133" i="2"/>
  <c r="L263" i="2"/>
  <c r="O269" i="2"/>
  <c r="O350" i="2"/>
  <c r="N348" i="2"/>
  <c r="N347" i="2"/>
  <c r="P353" i="2"/>
  <c r="M351" i="2"/>
  <c r="P351" i="2" s="1"/>
  <c r="N392" i="2"/>
  <c r="N391" i="2"/>
  <c r="N389" i="2" s="1"/>
  <c r="M444" i="2"/>
  <c r="P444" i="2" s="1"/>
  <c r="P445" i="2"/>
  <c r="O472" i="2"/>
  <c r="N469" i="2"/>
  <c r="N467" i="2" s="1"/>
  <c r="N470" i="2"/>
  <c r="N33" i="2"/>
  <c r="O738" i="2"/>
  <c r="L737" i="2"/>
  <c r="O737" i="2" s="1"/>
  <c r="O788" i="2"/>
  <c r="L786" i="2"/>
  <c r="O786" i="2" s="1"/>
  <c r="K311" i="1"/>
  <c r="N690" i="1"/>
  <c r="N687" i="1" s="1"/>
  <c r="N685" i="1" s="1"/>
  <c r="K700" i="1"/>
  <c r="P29" i="2"/>
  <c r="P35" i="2"/>
  <c r="M34" i="2"/>
  <c r="P34" i="2" s="1"/>
  <c r="N59" i="2"/>
  <c r="N26" i="2"/>
  <c r="I77" i="2"/>
  <c r="K79" i="2"/>
  <c r="K99" i="2"/>
  <c r="I87" i="2"/>
  <c r="K87" i="2" s="1"/>
  <c r="O124" i="2"/>
  <c r="L121" i="2"/>
  <c r="N125" i="2"/>
  <c r="P133" i="2"/>
  <c r="P150" i="2"/>
  <c r="N168" i="2"/>
  <c r="O168" i="2" s="1"/>
  <c r="P170" i="2"/>
  <c r="N167" i="2"/>
  <c r="M187" i="2"/>
  <c r="P187" i="2" s="1"/>
  <c r="P262" i="2"/>
  <c r="N655" i="2"/>
  <c r="P756" i="2"/>
  <c r="M754" i="2"/>
  <c r="P754" i="2" s="1"/>
  <c r="O807" i="2"/>
  <c r="L805" i="2"/>
  <c r="O805" i="2" s="1"/>
  <c r="K113" i="1"/>
  <c r="K116" i="1"/>
  <c r="O186" i="1"/>
  <c r="K207" i="1"/>
  <c r="K257" i="1"/>
  <c r="N279" i="1"/>
  <c r="N277" i="1" s="1"/>
  <c r="K362" i="1"/>
  <c r="K369" i="1"/>
  <c r="K385" i="1"/>
  <c r="L404" i="1"/>
  <c r="O404" i="1" s="1"/>
  <c r="K495" i="1"/>
  <c r="N23" i="2"/>
  <c r="L44" i="2"/>
  <c r="O44" i="2" s="1"/>
  <c r="O49" i="2"/>
  <c r="L26" i="2"/>
  <c r="L122" i="2"/>
  <c r="O122" i="2" s="1"/>
  <c r="O157" i="2"/>
  <c r="L151" i="2"/>
  <c r="L183" i="2"/>
  <c r="L267" i="2"/>
  <c r="O267" i="2" s="1"/>
  <c r="P299" i="2"/>
  <c r="M317" i="2"/>
  <c r="L321" i="2"/>
  <c r="O321" i="2" s="1"/>
  <c r="O323" i="2"/>
  <c r="O346" i="2"/>
  <c r="K487" i="1"/>
  <c r="K79" i="1"/>
  <c r="J112" i="1"/>
  <c r="M155" i="1"/>
  <c r="P155" i="1" s="1"/>
  <c r="M183" i="1"/>
  <c r="M181" i="1" s="1"/>
  <c r="L249" i="1"/>
  <c r="L231" i="1"/>
  <c r="K258" i="1"/>
  <c r="J582" i="1"/>
  <c r="J576" i="1" s="1"/>
  <c r="M30" i="2"/>
  <c r="P30" i="2" s="1"/>
  <c r="P58" i="2"/>
  <c r="I76" i="2"/>
  <c r="L94" i="2"/>
  <c r="O94" i="2" s="1"/>
  <c r="M151" i="2"/>
  <c r="P151" i="2" s="1"/>
  <c r="P157" i="2"/>
  <c r="N304" i="2"/>
  <c r="N300" i="2"/>
  <c r="P318" i="2"/>
  <c r="P323" i="2"/>
  <c r="M321" i="2"/>
  <c r="P321" i="2" s="1"/>
  <c r="M330" i="2"/>
  <c r="P346" i="2"/>
  <c r="N209" i="1"/>
  <c r="L230" i="1"/>
  <c r="I235" i="1"/>
  <c r="O22" i="2"/>
  <c r="L19" i="2"/>
  <c r="L12" i="2"/>
  <c r="L43" i="2"/>
  <c r="P186" i="2"/>
  <c r="M183" i="2"/>
  <c r="O333" i="2"/>
  <c r="N330" i="2"/>
  <c r="P336" i="2"/>
  <c r="M334" i="2"/>
  <c r="P334" i="2" s="1"/>
  <c r="K103" i="1"/>
  <c r="K204" i="1"/>
  <c r="K214" i="1"/>
  <c r="N217" i="1"/>
  <c r="M279" i="1"/>
  <c r="M277" i="1" s="1"/>
  <c r="L317" i="1"/>
  <c r="L315" i="1" s="1"/>
  <c r="K370" i="1"/>
  <c r="K439" i="1"/>
  <c r="J595" i="1"/>
  <c r="L15" i="2"/>
  <c r="P22" i="2"/>
  <c r="M19" i="2"/>
  <c r="M12" i="2"/>
  <c r="O58" i="2"/>
  <c r="O93" i="2"/>
  <c r="L90" i="2"/>
  <c r="M121" i="2"/>
  <c r="P121" i="2" s="1"/>
  <c r="P127" i="2"/>
  <c r="K145" i="2"/>
  <c r="O170" i="2"/>
  <c r="M184" i="2"/>
  <c r="K215" i="2"/>
  <c r="I208" i="2"/>
  <c r="K208" i="2" s="1"/>
  <c r="O303" i="2"/>
  <c r="L300" i="2"/>
  <c r="P61" i="2"/>
  <c r="I112" i="2"/>
  <c r="K112" i="2" s="1"/>
  <c r="P137" i="2"/>
  <c r="L209" i="2"/>
  <c r="O209" i="2" s="1"/>
  <c r="P303" i="2"/>
  <c r="O468" i="2"/>
  <c r="P266" i="2"/>
  <c r="J288" i="2"/>
  <c r="I275" i="2"/>
  <c r="O420" i="2"/>
  <c r="J433" i="2"/>
  <c r="J417" i="2" s="1"/>
  <c r="I433" i="2"/>
  <c r="K435" i="2"/>
  <c r="J143" i="2"/>
  <c r="J131" i="2" s="1"/>
  <c r="O280" i="2"/>
  <c r="L318" i="2"/>
  <c r="O318" i="2" s="1"/>
  <c r="O320" i="2"/>
  <c r="K98" i="2"/>
  <c r="K144" i="2"/>
  <c r="K204" i="2"/>
  <c r="I197" i="2"/>
  <c r="K197" i="2" s="1"/>
  <c r="L230" i="2"/>
  <c r="O266" i="2"/>
  <c r="P333" i="2"/>
  <c r="M331" i="2"/>
  <c r="P331" i="2" s="1"/>
  <c r="L429" i="2"/>
  <c r="O429" i="2" s="1"/>
  <c r="O431" i="2"/>
  <c r="L421" i="2"/>
  <c r="O421" i="2" s="1"/>
  <c r="K359" i="2"/>
  <c r="I364" i="2"/>
  <c r="K374" i="2"/>
  <c r="O403" i="2"/>
  <c r="N444" i="2"/>
  <c r="L526" i="2"/>
  <c r="O526" i="2" s="1"/>
  <c r="O528" i="2"/>
  <c r="K577" i="2"/>
  <c r="K594" i="2"/>
  <c r="O755" i="2"/>
  <c r="L754" i="2"/>
  <c r="O754" i="2" s="1"/>
  <c r="L789" i="2"/>
  <c r="O789" i="2" s="1"/>
  <c r="O791" i="2"/>
  <c r="P350" i="2"/>
  <c r="M348" i="2"/>
  <c r="K379" i="2"/>
  <c r="P397" i="2"/>
  <c r="M395" i="2"/>
  <c r="P395" i="2" s="1"/>
  <c r="N419" i="2"/>
  <c r="P772" i="2"/>
  <c r="M770" i="2"/>
  <c r="P770" i="2" s="1"/>
  <c r="N807" i="2"/>
  <c r="N805" i="2" s="1"/>
  <c r="N808" i="2"/>
  <c r="L454" i="2"/>
  <c r="O454" i="2" s="1"/>
  <c r="O456" i="2"/>
  <c r="L446" i="2"/>
  <c r="P545" i="2"/>
  <c r="M544" i="2"/>
  <c r="P544" i="2" s="1"/>
  <c r="L639" i="2"/>
  <c r="O639" i="2" s="1"/>
  <c r="O641" i="2"/>
  <c r="L631" i="2"/>
  <c r="O771" i="2"/>
  <c r="L770" i="2"/>
  <c r="O770" i="2" s="1"/>
  <c r="M347" i="2"/>
  <c r="K362" i="2"/>
  <c r="J364" i="2"/>
  <c r="K370" i="2"/>
  <c r="P394" i="2"/>
  <c r="M392" i="2"/>
  <c r="P392" i="2" s="1"/>
  <c r="P419" i="2"/>
  <c r="O470" i="2"/>
  <c r="P739" i="2"/>
  <c r="M737" i="2"/>
  <c r="P737" i="2" s="1"/>
  <c r="P468" i="2"/>
  <c r="P503" i="2"/>
  <c r="O656" i="2"/>
  <c r="K674" i="2"/>
  <c r="L555" i="2"/>
  <c r="O555" i="2" s="1"/>
  <c r="L658" i="2"/>
  <c r="O658" i="2" s="1"/>
  <c r="K80" i="1"/>
  <c r="K102" i="1"/>
  <c r="N198" i="1"/>
  <c r="N263" i="1"/>
  <c r="N261" i="1" s="1"/>
  <c r="L279" i="1"/>
  <c r="N449" i="1"/>
  <c r="O449" i="1" s="1"/>
  <c r="J679" i="1"/>
  <c r="J678" i="1" s="1"/>
  <c r="K822" i="1"/>
  <c r="K825" i="1"/>
  <c r="K828" i="1"/>
  <c r="L55" i="1"/>
  <c r="L53" i="1" s="1"/>
  <c r="P71" i="1"/>
  <c r="K78" i="1"/>
  <c r="K86" i="1"/>
  <c r="K114" i="1"/>
  <c r="O140" i="1"/>
  <c r="O154" i="1"/>
  <c r="K193" i="1"/>
  <c r="L198" i="1"/>
  <c r="L238" i="1"/>
  <c r="K247" i="1"/>
  <c r="K374" i="1"/>
  <c r="K379" i="1"/>
  <c r="K462" i="1"/>
  <c r="K498" i="1"/>
  <c r="K670" i="1"/>
  <c r="I236" i="1"/>
  <c r="N317" i="1"/>
  <c r="N315" i="1" s="1"/>
  <c r="L43" i="1"/>
  <c r="O58" i="1"/>
  <c r="N43" i="1"/>
  <c r="N41" i="1" s="1"/>
  <c r="P58" i="1"/>
  <c r="N68" i="1"/>
  <c r="N66" i="1" s="1"/>
  <c r="K98" i="1"/>
  <c r="K111" i="1"/>
  <c r="K293" i="1"/>
  <c r="L334" i="1"/>
  <c r="O334" i="1" s="1"/>
  <c r="J355" i="1"/>
  <c r="K355" i="1" s="1"/>
  <c r="K437" i="1"/>
  <c r="P32" i="1"/>
  <c r="I77" i="1"/>
  <c r="I65" i="1" s="1"/>
  <c r="K84" i="1"/>
  <c r="N90" i="1"/>
  <c r="N88" i="1" s="1"/>
  <c r="K99" i="1"/>
  <c r="K104" i="1"/>
  <c r="K109" i="1"/>
  <c r="L217" i="1"/>
  <c r="K225" i="1"/>
  <c r="N229" i="1"/>
  <c r="L263" i="1"/>
  <c r="L261" i="1" s="1"/>
  <c r="K290" i="1"/>
  <c r="K294" i="1"/>
  <c r="M334" i="1"/>
  <c r="P334" i="1" s="1"/>
  <c r="J364" i="1"/>
  <c r="M395" i="1"/>
  <c r="P395" i="1" s="1"/>
  <c r="L33" i="1"/>
  <c r="L31" i="1" s="1"/>
  <c r="K489" i="1"/>
  <c r="J583" i="1"/>
  <c r="J577" i="1" s="1"/>
  <c r="K577" i="1" s="1"/>
  <c r="J603" i="1"/>
  <c r="K644" i="1"/>
  <c r="K647" i="1"/>
  <c r="J701" i="1"/>
  <c r="K701" i="1" s="1"/>
  <c r="K725" i="1"/>
  <c r="J722" i="1"/>
  <c r="K722" i="1" s="1"/>
  <c r="K145" i="1"/>
  <c r="I143" i="1"/>
  <c r="I131" i="1" s="1"/>
  <c r="N26" i="1"/>
  <c r="N16" i="1" s="1"/>
  <c r="N14" i="1" s="1"/>
  <c r="N230" i="1"/>
  <c r="L421" i="1"/>
  <c r="L419" i="1" s="1"/>
  <c r="N472" i="1"/>
  <c r="N469" i="1" s="1"/>
  <c r="N467" i="1" s="1"/>
  <c r="K723" i="1"/>
  <c r="J721" i="1"/>
  <c r="K721" i="1" s="1"/>
  <c r="K785" i="1"/>
  <c r="M69" i="1"/>
  <c r="P69" i="1" s="1"/>
  <c r="J235" i="1"/>
  <c r="M300" i="1"/>
  <c r="M298" i="1" s="1"/>
  <c r="O431" i="1"/>
  <c r="L36" i="1"/>
  <c r="M55" i="1"/>
  <c r="N59" i="1"/>
  <c r="O59" i="1" s="1"/>
  <c r="O61" i="1"/>
  <c r="M72" i="1"/>
  <c r="P72" i="1" s="1"/>
  <c r="N91" i="1"/>
  <c r="O91" i="1" s="1"/>
  <c r="K107" i="1"/>
  <c r="O125" i="1"/>
  <c r="P140" i="1"/>
  <c r="N187" i="1"/>
  <c r="N183" i="1"/>
  <c r="K246" i="1"/>
  <c r="N249" i="1"/>
  <c r="L300" i="1"/>
  <c r="L298" i="1" s="1"/>
  <c r="O303" i="1"/>
  <c r="N301" i="1"/>
  <c r="O301" i="1" s="1"/>
  <c r="O333" i="1"/>
  <c r="L331" i="1"/>
  <c r="O331" i="1" s="1"/>
  <c r="L546" i="1"/>
  <c r="L544" i="1" s="1"/>
  <c r="O557" i="1"/>
  <c r="L555" i="1"/>
  <c r="O555" i="1" s="1"/>
  <c r="J561" i="1"/>
  <c r="K561" i="1" s="1"/>
  <c r="J620" i="1"/>
  <c r="J628" i="1"/>
  <c r="K628" i="1" s="1"/>
  <c r="K720" i="1"/>
  <c r="L155" i="1"/>
  <c r="O155" i="1" s="1"/>
  <c r="O157" i="1"/>
  <c r="P61" i="1"/>
  <c r="O137" i="1"/>
  <c r="L134" i="1"/>
  <c r="L132" i="1" s="1"/>
  <c r="L135" i="1"/>
  <c r="O135" i="1" s="1"/>
  <c r="L209" i="1"/>
  <c r="N238" i="1"/>
  <c r="N300" i="1"/>
  <c r="N298" i="1" s="1"/>
  <c r="P154" i="1"/>
  <c r="M151" i="1"/>
  <c r="N152" i="1"/>
  <c r="P152" i="1" s="1"/>
  <c r="N151" i="1"/>
  <c r="N149" i="1" s="1"/>
  <c r="N23" i="1"/>
  <c r="N21" i="1" s="1"/>
  <c r="N55" i="1"/>
  <c r="N53" i="1" s="1"/>
  <c r="P56" i="1"/>
  <c r="J76" i="1"/>
  <c r="J64" i="1" s="1"/>
  <c r="N134" i="1"/>
  <c r="N132" i="1" s="1"/>
  <c r="M135" i="1"/>
  <c r="P135" i="1" s="1"/>
  <c r="P137" i="1"/>
  <c r="M134" i="1"/>
  <c r="I276" i="1"/>
  <c r="K276" i="1" s="1"/>
  <c r="K287" i="1"/>
  <c r="K325" i="1"/>
  <c r="I442" i="1"/>
  <c r="K442" i="1" s="1"/>
  <c r="O479" i="1"/>
  <c r="L477" i="1"/>
  <c r="O477" i="1" s="1"/>
  <c r="J465" i="1"/>
  <c r="K465" i="1" s="1"/>
  <c r="N528" i="1"/>
  <c r="N525" i="1" s="1"/>
  <c r="N523" i="1" s="1"/>
  <c r="K538" i="1"/>
  <c r="K541" i="1"/>
  <c r="K673" i="1"/>
  <c r="O350" i="1"/>
  <c r="L348" i="1"/>
  <c r="L447" i="1"/>
  <c r="N44" i="1"/>
  <c r="P44" i="1" s="1"/>
  <c r="M47" i="1"/>
  <c r="P47" i="1" s="1"/>
  <c r="N138" i="1"/>
  <c r="O138" i="1" s="1"/>
  <c r="O56" i="1"/>
  <c r="M23" i="1"/>
  <c r="M21" i="1" s="1"/>
  <c r="L68" i="1"/>
  <c r="O69" i="1"/>
  <c r="L90" i="1"/>
  <c r="O93" i="1"/>
  <c r="L121" i="1"/>
  <c r="L119" i="1" s="1"/>
  <c r="N121" i="1"/>
  <c r="N119" i="1" s="1"/>
  <c r="N122" i="1"/>
  <c r="J143" i="1"/>
  <c r="J131" i="1" s="1"/>
  <c r="K131" i="1" s="1"/>
  <c r="L151" i="1"/>
  <c r="K176" i="1"/>
  <c r="I174" i="1"/>
  <c r="I164" i="1" s="1"/>
  <c r="K164" i="1" s="1"/>
  <c r="L228" i="1"/>
  <c r="I260" i="1"/>
  <c r="K260" i="1" s="1"/>
  <c r="K271" i="1"/>
  <c r="L304" i="1"/>
  <c r="O304" i="1" s="1"/>
  <c r="O306" i="1"/>
  <c r="K310" i="1"/>
  <c r="K360" i="1"/>
  <c r="K435" i="1"/>
  <c r="I433" i="1"/>
  <c r="K433" i="1" s="1"/>
  <c r="J466" i="1"/>
  <c r="K466" i="1" s="1"/>
  <c r="K492" i="1"/>
  <c r="J560" i="1"/>
  <c r="K560" i="1" s="1"/>
  <c r="K726" i="1"/>
  <c r="K800" i="1"/>
  <c r="K106" i="1"/>
  <c r="K130" i="1"/>
  <c r="N167" i="1"/>
  <c r="P170" i="1"/>
  <c r="K248" i="1"/>
  <c r="K291" i="1"/>
  <c r="P333" i="1"/>
  <c r="P350" i="1"/>
  <c r="O353" i="1"/>
  <c r="K372" i="1"/>
  <c r="N424" i="1"/>
  <c r="N421" i="1" s="1"/>
  <c r="J621" i="1"/>
  <c r="J708" i="1"/>
  <c r="K708" i="1" s="1"/>
  <c r="K728" i="1"/>
  <c r="K823" i="1"/>
  <c r="K826" i="1"/>
  <c r="I112" i="1"/>
  <c r="P168" i="1"/>
  <c r="J604" i="1"/>
  <c r="N634" i="1"/>
  <c r="N632" i="1" s="1"/>
  <c r="L655" i="1"/>
  <c r="K146" i="1"/>
  <c r="P186" i="1"/>
  <c r="K312" i="1"/>
  <c r="N330" i="1"/>
  <c r="N328" i="1" s="1"/>
  <c r="N348" i="1"/>
  <c r="K378" i="1"/>
  <c r="N391" i="1"/>
  <c r="N389" i="1" s="1"/>
  <c r="K440" i="1"/>
  <c r="J568" i="1"/>
  <c r="K568" i="1" s="1"/>
  <c r="K671" i="1"/>
  <c r="K699" i="1"/>
  <c r="N791" i="1"/>
  <c r="O791" i="1" s="1"/>
  <c r="K821" i="1"/>
  <c r="K824" i="1"/>
  <c r="K827" i="1"/>
  <c r="P120" i="1"/>
  <c r="M304" i="1"/>
  <c r="P304" i="1" s="1"/>
  <c r="P306" i="1"/>
  <c r="M405" i="1"/>
  <c r="P405" i="1" s="1"/>
  <c r="P407" i="1"/>
  <c r="M404" i="1"/>
  <c r="P404" i="1" s="1"/>
  <c r="L12" i="1"/>
  <c r="L19" i="1"/>
  <c r="M26" i="1"/>
  <c r="N34" i="1"/>
  <c r="P96" i="1"/>
  <c r="K144" i="1"/>
  <c r="M167" i="1"/>
  <c r="L168" i="1"/>
  <c r="O168" i="1" s="1"/>
  <c r="O170" i="1"/>
  <c r="J208" i="1"/>
  <c r="K208" i="1" s="1"/>
  <c r="K215" i="1"/>
  <c r="K224" i="1"/>
  <c r="I216" i="1"/>
  <c r="K216" i="1" s="1"/>
  <c r="O264" i="1"/>
  <c r="J314" i="1"/>
  <c r="K314" i="1" s="1"/>
  <c r="L318" i="1"/>
  <c r="O318" i="1" s="1"/>
  <c r="O320" i="1"/>
  <c r="P503" i="1"/>
  <c r="M502" i="1"/>
  <c r="P502" i="1" s="1"/>
  <c r="M68" i="1"/>
  <c r="M301" i="1"/>
  <c r="P303" i="1"/>
  <c r="M12" i="1"/>
  <c r="P15" i="1"/>
  <c r="M19" i="1"/>
  <c r="P22" i="1"/>
  <c r="P29" i="1"/>
  <c r="P35" i="1"/>
  <c r="O46" i="1"/>
  <c r="O49" i="1"/>
  <c r="O71" i="1"/>
  <c r="O74" i="1"/>
  <c r="M90" i="1"/>
  <c r="O166" i="1"/>
  <c r="L171" i="1"/>
  <c r="O171" i="1" s="1"/>
  <c r="O173" i="1"/>
  <c r="L183" i="1"/>
  <c r="K190" i="1"/>
  <c r="M264" i="1"/>
  <c r="P264" i="1" s="1"/>
  <c r="P266" i="1"/>
  <c r="M267" i="1"/>
  <c r="P267" i="1" s="1"/>
  <c r="P269" i="1"/>
  <c r="O280" i="1"/>
  <c r="O299" i="1"/>
  <c r="I364" i="1"/>
  <c r="K365" i="1"/>
  <c r="P394" i="1"/>
  <c r="M391" i="1"/>
  <c r="P391" i="1" s="1"/>
  <c r="P46" i="1"/>
  <c r="P93" i="1"/>
  <c r="M280" i="1"/>
  <c r="P280" i="1" s="1"/>
  <c r="P282" i="1"/>
  <c r="M283" i="1"/>
  <c r="P283" i="1" s="1"/>
  <c r="P285" i="1"/>
  <c r="L26" i="1"/>
  <c r="M43" i="1"/>
  <c r="N12" i="1"/>
  <c r="L23" i="1"/>
  <c r="L44" i="1"/>
  <c r="M122" i="1"/>
  <c r="P122" i="1" s="1"/>
  <c r="P124" i="1"/>
  <c r="M171" i="1"/>
  <c r="P171" i="1" s="1"/>
  <c r="J194" i="1"/>
  <c r="O262" i="1"/>
  <c r="L321" i="1"/>
  <c r="O321" i="1" s="1"/>
  <c r="O323" i="1"/>
  <c r="J327" i="1"/>
  <c r="K327" i="1" s="1"/>
  <c r="K338" i="1"/>
  <c r="P351" i="1"/>
  <c r="P445" i="1"/>
  <c r="M444" i="1"/>
  <c r="L469" i="1"/>
  <c r="L470" i="1"/>
  <c r="M125" i="1"/>
  <c r="P125" i="1" s="1"/>
  <c r="P127" i="1"/>
  <c r="L184" i="1"/>
  <c r="O278" i="1"/>
  <c r="J297" i="1"/>
  <c r="K297" i="1" s="1"/>
  <c r="K309" i="1"/>
  <c r="P346" i="1"/>
  <c r="O390" i="1"/>
  <c r="L632" i="1"/>
  <c r="P390" i="1"/>
  <c r="I388" i="1"/>
  <c r="K388" i="1" s="1"/>
  <c r="K400" i="1"/>
  <c r="M408" i="1"/>
  <c r="P408" i="1" s="1"/>
  <c r="P410" i="1"/>
  <c r="L446" i="1"/>
  <c r="O456" i="1"/>
  <c r="P631" i="1"/>
  <c r="M629" i="1"/>
  <c r="P629" i="1" s="1"/>
  <c r="O772" i="1"/>
  <c r="L770" i="1"/>
  <c r="O770" i="1" s="1"/>
  <c r="N772" i="1"/>
  <c r="N773" i="1"/>
  <c r="P807" i="1"/>
  <c r="M805" i="1"/>
  <c r="P805" i="1" s="1"/>
  <c r="O124" i="1"/>
  <c r="O127" i="1"/>
  <c r="N184" i="1"/>
  <c r="P184" i="1" s="1"/>
  <c r="O266" i="1"/>
  <c r="O269" i="1"/>
  <c r="O282" i="1"/>
  <c r="O285" i="1"/>
  <c r="J288" i="1"/>
  <c r="J275" i="1" s="1"/>
  <c r="K275" i="1" s="1"/>
  <c r="M331" i="1"/>
  <c r="P331" i="1" s="1"/>
  <c r="N334" i="1"/>
  <c r="K340" i="1"/>
  <c r="M348" i="1"/>
  <c r="P353" i="1"/>
  <c r="P403" i="1"/>
  <c r="L454" i="1"/>
  <c r="O454" i="1" s="1"/>
  <c r="K485" i="1"/>
  <c r="J537" i="1"/>
  <c r="J522" i="1" s="1"/>
  <c r="N549" i="1"/>
  <c r="J596" i="1"/>
  <c r="K244" i="1"/>
  <c r="K255" i="1"/>
  <c r="M315" i="1"/>
  <c r="P315" i="1" s="1"/>
  <c r="L330" i="1"/>
  <c r="L347" i="1"/>
  <c r="L533" i="1"/>
  <c r="O533" i="1" s="1"/>
  <c r="L525" i="1"/>
  <c r="L523" i="1" s="1"/>
  <c r="K542" i="1"/>
  <c r="I592" i="1"/>
  <c r="O630" i="1"/>
  <c r="J675" i="1"/>
  <c r="J669" i="1" s="1"/>
  <c r="J654" i="1" s="1"/>
  <c r="K654" i="1" s="1"/>
  <c r="J729" i="1"/>
  <c r="K729" i="1" s="1"/>
  <c r="O739" i="1"/>
  <c r="L737" i="1"/>
  <c r="O737" i="1" s="1"/>
  <c r="N739" i="1"/>
  <c r="N737" i="1" s="1"/>
  <c r="N740" i="1"/>
  <c r="O806" i="1"/>
  <c r="L805" i="1"/>
  <c r="O805" i="1" s="1"/>
  <c r="M330" i="1"/>
  <c r="M347" i="1"/>
  <c r="I434" i="1"/>
  <c r="K438" i="1"/>
  <c r="L502" i="1"/>
  <c r="O502" i="1" s="1"/>
  <c r="L687" i="1"/>
  <c r="L392" i="1"/>
  <c r="O392" i="1" s="1"/>
  <c r="O394" i="1"/>
  <c r="K672" i="1"/>
  <c r="K674" i="1"/>
  <c r="O756" i="1"/>
  <c r="L754" i="1"/>
  <c r="O754" i="1" s="1"/>
  <c r="N756" i="1"/>
  <c r="N754" i="1" s="1"/>
  <c r="N757" i="1"/>
  <c r="N770" i="1"/>
  <c r="O397" i="1"/>
  <c r="O407" i="1"/>
  <c r="O410" i="1"/>
  <c r="I522" i="1"/>
  <c r="L526" i="1"/>
  <c r="L639" i="1"/>
  <c r="O639" i="1" s="1"/>
  <c r="M467" i="1"/>
  <c r="L655" i="14" l="1"/>
  <c r="O655" i="14" s="1"/>
  <c r="O345" i="15"/>
  <c r="O121" i="16"/>
  <c r="L685" i="16"/>
  <c r="O685" i="16" s="1"/>
  <c r="L685" i="14"/>
  <c r="O685" i="14" s="1"/>
  <c r="P279" i="18"/>
  <c r="M389" i="16"/>
  <c r="P389" i="16" s="1"/>
  <c r="O55" i="17"/>
  <c r="K537" i="18"/>
  <c r="M402" i="14"/>
  <c r="P402" i="14" s="1"/>
  <c r="I131" i="17"/>
  <c r="K131" i="17" s="1"/>
  <c r="M315" i="10"/>
  <c r="P315" i="10" s="1"/>
  <c r="N13" i="16"/>
  <c r="N10" i="16" s="1"/>
  <c r="O43" i="17"/>
  <c r="P330" i="5"/>
  <c r="P90" i="18"/>
  <c r="O631" i="18"/>
  <c r="L655" i="18"/>
  <c r="O655" i="18" s="1"/>
  <c r="K434" i="18"/>
  <c r="O317" i="18"/>
  <c r="O347" i="15"/>
  <c r="O43" i="16"/>
  <c r="O788" i="18"/>
  <c r="O90" i="18"/>
  <c r="P91" i="18"/>
  <c r="P90" i="16"/>
  <c r="L119" i="18"/>
  <c r="O119" i="18" s="1"/>
  <c r="P330" i="18"/>
  <c r="M119" i="18"/>
  <c r="P119" i="18" s="1"/>
  <c r="O41" i="18"/>
  <c r="P16" i="18"/>
  <c r="K143" i="18"/>
  <c r="K131" i="18"/>
  <c r="P348" i="18"/>
  <c r="P263" i="18"/>
  <c r="O263" i="18"/>
  <c r="L277" i="15"/>
  <c r="O277" i="15" s="1"/>
  <c r="P43" i="17"/>
  <c r="N14" i="17"/>
  <c r="K417" i="18"/>
  <c r="O55" i="18"/>
  <c r="O167" i="18"/>
  <c r="I64" i="18"/>
  <c r="K64" i="18" s="1"/>
  <c r="P68" i="18"/>
  <c r="L315" i="15"/>
  <c r="O315" i="15" s="1"/>
  <c r="O347" i="17"/>
  <c r="L16" i="18"/>
  <c r="O16" i="18" s="1"/>
  <c r="M389" i="18"/>
  <c r="P389" i="18" s="1"/>
  <c r="P183" i="16"/>
  <c r="P351" i="18"/>
  <c r="O68" i="18"/>
  <c r="O134" i="18"/>
  <c r="O183" i="18"/>
  <c r="P315" i="18"/>
  <c r="O68" i="16"/>
  <c r="L389" i="17"/>
  <c r="O389" i="17" s="1"/>
  <c r="O183" i="17"/>
  <c r="M149" i="17"/>
  <c r="P149" i="17" s="1"/>
  <c r="P66" i="16"/>
  <c r="N20" i="17"/>
  <c r="N18" i="17" s="1"/>
  <c r="L30" i="18"/>
  <c r="O30" i="18" s="1"/>
  <c r="P88" i="18"/>
  <c r="O36" i="18"/>
  <c r="O66" i="16"/>
  <c r="K433" i="18"/>
  <c r="K417" i="9"/>
  <c r="O469" i="18"/>
  <c r="O315" i="18"/>
  <c r="L31" i="18"/>
  <c r="O31" i="18" s="1"/>
  <c r="I164" i="15"/>
  <c r="K164" i="15" s="1"/>
  <c r="O261" i="17"/>
  <c r="M261" i="18"/>
  <c r="P261" i="18" s="1"/>
  <c r="P345" i="18"/>
  <c r="O263" i="15"/>
  <c r="L402" i="17"/>
  <c r="O402" i="17" s="1"/>
  <c r="L298" i="14"/>
  <c r="O298" i="14" s="1"/>
  <c r="L315" i="17"/>
  <c r="O315" i="17" s="1"/>
  <c r="O446" i="18"/>
  <c r="O347" i="18"/>
  <c r="P134" i="18"/>
  <c r="N24" i="18"/>
  <c r="O24" i="18" s="1"/>
  <c r="P26" i="18"/>
  <c r="K434" i="15"/>
  <c r="P263" i="17"/>
  <c r="L132" i="17"/>
  <c r="O132" i="17" s="1"/>
  <c r="P331" i="18"/>
  <c r="P264" i="18"/>
  <c r="L88" i="18"/>
  <c r="O88" i="18" s="1"/>
  <c r="P280" i="18"/>
  <c r="P167" i="18"/>
  <c r="P300" i="17"/>
  <c r="O300" i="18"/>
  <c r="P41" i="18"/>
  <c r="K364" i="15"/>
  <c r="N24" i="16"/>
  <c r="O90" i="15"/>
  <c r="O469" i="17"/>
  <c r="L345" i="18"/>
  <c r="O345" i="18" s="1"/>
  <c r="P165" i="18"/>
  <c r="O421" i="18"/>
  <c r="P263" i="16"/>
  <c r="L66" i="18"/>
  <c r="O66" i="18" s="1"/>
  <c r="L544" i="12"/>
  <c r="O544" i="12" s="1"/>
  <c r="P317" i="18"/>
  <c r="O43" i="18"/>
  <c r="P328" i="15"/>
  <c r="O26" i="16"/>
  <c r="N328" i="18"/>
  <c r="O328" i="18" s="1"/>
  <c r="O263" i="16"/>
  <c r="O421" i="17"/>
  <c r="K364" i="18"/>
  <c r="P347" i="18"/>
  <c r="L261" i="18"/>
  <c r="O261" i="18" s="1"/>
  <c r="O26" i="18"/>
  <c r="O391" i="18"/>
  <c r="L389" i="18"/>
  <c r="O389" i="18" s="1"/>
  <c r="P43" i="18"/>
  <c r="L523" i="16"/>
  <c r="O523" i="16" s="1"/>
  <c r="O330" i="18"/>
  <c r="P183" i="18"/>
  <c r="L21" i="18"/>
  <c r="L13" i="18"/>
  <c r="L20" i="18"/>
  <c r="L18" i="18" s="1"/>
  <c r="O88" i="16"/>
  <c r="P168" i="18"/>
  <c r="K288" i="18"/>
  <c r="M24" i="18"/>
  <c r="M298" i="18"/>
  <c r="P298" i="18" s="1"/>
  <c r="P300" i="18"/>
  <c r="N24" i="17"/>
  <c r="O24" i="17" s="1"/>
  <c r="L298" i="18"/>
  <c r="O298" i="18" s="1"/>
  <c r="N181" i="18"/>
  <c r="P181" i="18" s="1"/>
  <c r="P56" i="15"/>
  <c r="I64" i="16"/>
  <c r="K64" i="16" s="1"/>
  <c r="O347" i="16"/>
  <c r="P68" i="16"/>
  <c r="O467" i="18"/>
  <c r="N9" i="18"/>
  <c r="P44" i="18"/>
  <c r="P15" i="18"/>
  <c r="M14" i="18"/>
  <c r="P14" i="18" s="1"/>
  <c r="O29" i="18"/>
  <c r="O132" i="18"/>
  <c r="K275" i="16"/>
  <c r="P165" i="17"/>
  <c r="L544" i="18"/>
  <c r="O544" i="18" s="1"/>
  <c r="M414" i="18"/>
  <c r="P414" i="18" s="1"/>
  <c r="P419" i="18"/>
  <c r="O9" i="18"/>
  <c r="M315" i="7"/>
  <c r="P315" i="7" s="1"/>
  <c r="L298" i="15"/>
  <c r="O298" i="15" s="1"/>
  <c r="N24" i="15"/>
  <c r="O330" i="15"/>
  <c r="O264" i="16"/>
  <c r="P167" i="17"/>
  <c r="O300" i="17"/>
  <c r="I543" i="18"/>
  <c r="K543" i="18" s="1"/>
  <c r="K559" i="18"/>
  <c r="O279" i="18"/>
  <c r="L277" i="18"/>
  <c r="O277" i="18" s="1"/>
  <c r="M402" i="18"/>
  <c r="P402" i="18" s="1"/>
  <c r="O238" i="18"/>
  <c r="L227" i="18"/>
  <c r="P29" i="18"/>
  <c r="M28" i="18"/>
  <c r="P28" i="18" s="1"/>
  <c r="P9" i="18"/>
  <c r="P23" i="18"/>
  <c r="M20" i="18"/>
  <c r="M13" i="18"/>
  <c r="M21" i="18"/>
  <c r="L34" i="14"/>
  <c r="O34" i="14" s="1"/>
  <c r="L30" i="16"/>
  <c r="O30" i="16" s="1"/>
  <c r="O687" i="18"/>
  <c r="L685" i="18"/>
  <c r="O685" i="18" s="1"/>
  <c r="P545" i="18"/>
  <c r="M544" i="18"/>
  <c r="P544" i="18" s="1"/>
  <c r="P55" i="18"/>
  <c r="N53" i="18"/>
  <c r="P132" i="18"/>
  <c r="K237" i="18"/>
  <c r="I226" i="18"/>
  <c r="K226" i="18" s="1"/>
  <c r="P151" i="18"/>
  <c r="N149" i="18"/>
  <c r="P149" i="18" s="1"/>
  <c r="K77" i="18"/>
  <c r="I65" i="18"/>
  <c r="K65" i="18" s="1"/>
  <c r="O43" i="14"/>
  <c r="O345" i="16"/>
  <c r="L523" i="18"/>
  <c r="O523" i="18" s="1"/>
  <c r="O525" i="18"/>
  <c r="N414" i="18"/>
  <c r="M277" i="18"/>
  <c r="P277" i="18" s="1"/>
  <c r="P184" i="18"/>
  <c r="O184" i="18"/>
  <c r="N20" i="18"/>
  <c r="N13" i="18"/>
  <c r="N11" i="18" s="1"/>
  <c r="N21" i="18"/>
  <c r="O23" i="18"/>
  <c r="L402" i="18"/>
  <c r="O402" i="18" s="1"/>
  <c r="P66" i="18"/>
  <c r="L165" i="18"/>
  <c r="O165" i="18" s="1"/>
  <c r="O149" i="18"/>
  <c r="O15" i="18"/>
  <c r="O151" i="18"/>
  <c r="M13" i="15"/>
  <c r="M11" i="15" s="1"/>
  <c r="P183" i="15"/>
  <c r="N261" i="16"/>
  <c r="P261" i="16" s="1"/>
  <c r="L149" i="17"/>
  <c r="O149" i="17" s="1"/>
  <c r="N298" i="17"/>
  <c r="P298" i="17" s="1"/>
  <c r="M119" i="17"/>
  <c r="P119" i="17" s="1"/>
  <c r="P347" i="17"/>
  <c r="L53" i="17"/>
  <c r="O53" i="17" s="1"/>
  <c r="L30" i="17"/>
  <c r="L28" i="17" s="1"/>
  <c r="O28" i="17" s="1"/>
  <c r="O525" i="17"/>
  <c r="L523" i="17"/>
  <c r="O523" i="17" s="1"/>
  <c r="L181" i="17"/>
  <c r="O181" i="17" s="1"/>
  <c r="L34" i="17"/>
  <c r="O34" i="17" s="1"/>
  <c r="O36" i="17"/>
  <c r="L315" i="14"/>
  <c r="O315" i="14" s="1"/>
  <c r="L41" i="16"/>
  <c r="O41" i="16" s="1"/>
  <c r="O446" i="17"/>
  <c r="O631" i="17"/>
  <c r="O56" i="17"/>
  <c r="I64" i="15"/>
  <c r="K64" i="15" s="1"/>
  <c r="P317" i="15"/>
  <c r="L544" i="16"/>
  <c r="O544" i="16" s="1"/>
  <c r="L467" i="16"/>
  <c r="O467" i="16" s="1"/>
  <c r="K433" i="16"/>
  <c r="L31" i="16"/>
  <c r="O31" i="16" s="1"/>
  <c r="M402" i="17"/>
  <c r="P402" i="17" s="1"/>
  <c r="M66" i="17"/>
  <c r="P66" i="17" s="1"/>
  <c r="O263" i="17"/>
  <c r="M119" i="12"/>
  <c r="P119" i="12" s="1"/>
  <c r="P264" i="15"/>
  <c r="K364" i="16"/>
  <c r="M132" i="16"/>
  <c r="P132" i="16" s="1"/>
  <c r="P167" i="16"/>
  <c r="L24" i="16"/>
  <c r="N20" i="16"/>
  <c r="N18" i="16" s="1"/>
  <c r="O629" i="17"/>
  <c r="L31" i="17"/>
  <c r="O330" i="14"/>
  <c r="M402" i="15"/>
  <c r="P402" i="15" s="1"/>
  <c r="O788" i="17"/>
  <c r="P55" i="17"/>
  <c r="M53" i="17"/>
  <c r="P53" i="17" s="1"/>
  <c r="O279" i="8"/>
  <c r="O33" i="14"/>
  <c r="O152" i="15"/>
  <c r="N345" i="17"/>
  <c r="O345" i="17" s="1"/>
  <c r="M345" i="17"/>
  <c r="M132" i="17"/>
  <c r="P132" i="17" s="1"/>
  <c r="I418" i="17"/>
  <c r="K418" i="17" s="1"/>
  <c r="K434" i="17"/>
  <c r="K288" i="17"/>
  <c r="I65" i="17"/>
  <c r="K65" i="17" s="1"/>
  <c r="K77" i="17"/>
  <c r="P328" i="14"/>
  <c r="M20" i="15"/>
  <c r="M18" i="15" s="1"/>
  <c r="P330" i="15"/>
  <c r="P43" i="16"/>
  <c r="P331" i="16"/>
  <c r="P183" i="17"/>
  <c r="M181" i="17"/>
  <c r="P181" i="17" s="1"/>
  <c r="O330" i="17"/>
  <c r="N328" i="17"/>
  <c r="O328" i="17" s="1"/>
  <c r="P90" i="17"/>
  <c r="N88" i="17"/>
  <c r="M41" i="17"/>
  <c r="L66" i="17"/>
  <c r="O66" i="17" s="1"/>
  <c r="M389" i="17"/>
  <c r="P389" i="17" s="1"/>
  <c r="P29" i="17"/>
  <c r="M28" i="17"/>
  <c r="P28" i="17" s="1"/>
  <c r="P26" i="17"/>
  <c r="M16" i="17"/>
  <c r="M24" i="17"/>
  <c r="P19" i="17"/>
  <c r="O26" i="17"/>
  <c r="L16" i="17"/>
  <c r="O16" i="17" s="1"/>
  <c r="P53" i="15"/>
  <c r="P23" i="17"/>
  <c r="M20" i="17"/>
  <c r="M13" i="17"/>
  <c r="M21" i="17"/>
  <c r="P21" i="17" s="1"/>
  <c r="L655" i="10"/>
  <c r="O655" i="10" s="1"/>
  <c r="O167" i="12"/>
  <c r="O330" i="10"/>
  <c r="P419" i="17"/>
  <c r="P317" i="17"/>
  <c r="M315" i="17"/>
  <c r="P315" i="17" s="1"/>
  <c r="P330" i="17"/>
  <c r="M328" i="17"/>
  <c r="P12" i="17"/>
  <c r="M9" i="17"/>
  <c r="M315" i="13"/>
  <c r="P315" i="13" s="1"/>
  <c r="K364" i="13"/>
  <c r="O687" i="17"/>
  <c r="L685" i="17"/>
  <c r="O685" i="17" s="1"/>
  <c r="O444" i="17"/>
  <c r="K364" i="17"/>
  <c r="O167" i="17"/>
  <c r="L165" i="17"/>
  <c r="O165" i="17" s="1"/>
  <c r="O29" i="17"/>
  <c r="K174" i="17"/>
  <c r="I164" i="17"/>
  <c r="K164" i="17" s="1"/>
  <c r="I543" i="17"/>
  <c r="K543" i="17" s="1"/>
  <c r="K559" i="17"/>
  <c r="N444" i="17"/>
  <c r="N9" i="17"/>
  <c r="N31" i="17"/>
  <c r="L227" i="17"/>
  <c r="N13" i="17"/>
  <c r="N10" i="17" s="1"/>
  <c r="N414" i="17"/>
  <c r="O151" i="13"/>
  <c r="P167" i="15"/>
  <c r="L786" i="16"/>
  <c r="O786" i="16" s="1"/>
  <c r="M345" i="16"/>
  <c r="P345" i="16" s="1"/>
  <c r="O300" i="16"/>
  <c r="O546" i="17"/>
  <c r="L544" i="17"/>
  <c r="O544" i="17" s="1"/>
  <c r="O419" i="17"/>
  <c r="P279" i="17"/>
  <c r="O279" i="17"/>
  <c r="O15" i="17"/>
  <c r="O121" i="17"/>
  <c r="L119" i="17"/>
  <c r="O119" i="17" s="1"/>
  <c r="M544" i="17"/>
  <c r="P544" i="17" s="1"/>
  <c r="P545" i="17"/>
  <c r="O90" i="17"/>
  <c r="L88" i="17"/>
  <c r="L20" i="17"/>
  <c r="O23" i="17"/>
  <c r="L21" i="17"/>
  <c r="O21" i="17" s="1"/>
  <c r="L13" i="17"/>
  <c r="M261" i="17"/>
  <c r="P261" i="17" s="1"/>
  <c r="K433" i="17"/>
  <c r="I417" i="17"/>
  <c r="K417" i="17" s="1"/>
  <c r="L786" i="15"/>
  <c r="O786" i="15" s="1"/>
  <c r="L227" i="16"/>
  <c r="P298" i="16"/>
  <c r="L315" i="16"/>
  <c r="O315" i="16" s="1"/>
  <c r="P348" i="17"/>
  <c r="L9" i="17"/>
  <c r="I64" i="17"/>
  <c r="K64" i="17" s="1"/>
  <c r="K76" i="17"/>
  <c r="O33" i="17"/>
  <c r="L41" i="17"/>
  <c r="N277" i="17"/>
  <c r="O277" i="17" s="1"/>
  <c r="L34" i="16"/>
  <c r="O34" i="16" s="1"/>
  <c r="O36" i="16"/>
  <c r="P330" i="10"/>
  <c r="M21" i="13"/>
  <c r="P21" i="13" s="1"/>
  <c r="P55" i="15"/>
  <c r="I226" i="15"/>
  <c r="K226" i="15" s="1"/>
  <c r="L467" i="12"/>
  <c r="O467" i="12" s="1"/>
  <c r="O151" i="14"/>
  <c r="N181" i="15"/>
  <c r="O181" i="15" s="1"/>
  <c r="L444" i="16"/>
  <c r="O444" i="16" s="1"/>
  <c r="P300" i="16"/>
  <c r="L419" i="16"/>
  <c r="O419" i="16" s="1"/>
  <c r="L328" i="10"/>
  <c r="O328" i="10" s="1"/>
  <c r="P300" i="12"/>
  <c r="P347" i="13"/>
  <c r="O347" i="13"/>
  <c r="P330" i="16"/>
  <c r="M315" i="16"/>
  <c r="P315" i="16" s="1"/>
  <c r="L16" i="16"/>
  <c r="L14" i="16" s="1"/>
  <c r="O14" i="16" s="1"/>
  <c r="M315" i="14"/>
  <c r="P315" i="14" s="1"/>
  <c r="K434" i="16"/>
  <c r="P44" i="16"/>
  <c r="I226" i="16"/>
  <c r="K226" i="16" s="1"/>
  <c r="I418" i="4"/>
  <c r="K418" i="4" s="1"/>
  <c r="L629" i="15"/>
  <c r="O629" i="15" s="1"/>
  <c r="P151" i="15"/>
  <c r="L655" i="16"/>
  <c r="O655" i="16" s="1"/>
  <c r="P279" i="16"/>
  <c r="M277" i="16"/>
  <c r="P277" i="16" s="1"/>
  <c r="O56" i="16"/>
  <c r="O279" i="16"/>
  <c r="K434" i="14"/>
  <c r="P330" i="14"/>
  <c r="O167" i="14"/>
  <c r="P279" i="14"/>
  <c r="O279" i="14"/>
  <c r="O88" i="15"/>
  <c r="L119" i="14"/>
  <c r="O119" i="14" s="1"/>
  <c r="N165" i="16"/>
  <c r="P165" i="16" s="1"/>
  <c r="M402" i="16"/>
  <c r="P402" i="16" s="1"/>
  <c r="P121" i="16"/>
  <c r="L629" i="16"/>
  <c r="O629" i="16" s="1"/>
  <c r="O631" i="16"/>
  <c r="P280" i="16"/>
  <c r="P55" i="16"/>
  <c r="N53" i="16"/>
  <c r="P53" i="16" s="1"/>
  <c r="L21" i="16"/>
  <c r="O21" i="16" s="1"/>
  <c r="L13" i="16"/>
  <c r="O23" i="16"/>
  <c r="L20" i="16"/>
  <c r="O55" i="16"/>
  <c r="O134" i="16"/>
  <c r="L132" i="16"/>
  <c r="O132" i="16" s="1"/>
  <c r="O300" i="12"/>
  <c r="L402" i="15"/>
  <c r="O402" i="15" s="1"/>
  <c r="L655" i="15"/>
  <c r="O655" i="15" s="1"/>
  <c r="K143" i="15"/>
  <c r="N261" i="15"/>
  <c r="O261" i="15" s="1"/>
  <c r="P348" i="16"/>
  <c r="O277" i="16"/>
  <c r="O90" i="16"/>
  <c r="K288" i="16"/>
  <c r="N328" i="16"/>
  <c r="P328" i="16" s="1"/>
  <c r="P545" i="16"/>
  <c r="M544" i="16"/>
  <c r="P544" i="16" s="1"/>
  <c r="L389" i="16"/>
  <c r="O389" i="16" s="1"/>
  <c r="P419" i="16"/>
  <c r="N149" i="16"/>
  <c r="O149" i="16" s="1"/>
  <c r="O151" i="16"/>
  <c r="P168" i="16"/>
  <c r="P184" i="16"/>
  <c r="P330" i="13"/>
  <c r="O183" i="15"/>
  <c r="L181" i="16"/>
  <c r="O183" i="16"/>
  <c r="P19" i="16"/>
  <c r="M119" i="16"/>
  <c r="P26" i="16"/>
  <c r="M16" i="16"/>
  <c r="M24" i="16"/>
  <c r="P151" i="16"/>
  <c r="N119" i="16"/>
  <c r="N414" i="16"/>
  <c r="P125" i="16"/>
  <c r="O125" i="16"/>
  <c r="O404" i="16"/>
  <c r="L402" i="16"/>
  <c r="O402" i="16" s="1"/>
  <c r="M88" i="16"/>
  <c r="P88" i="16" s="1"/>
  <c r="O330" i="16"/>
  <c r="L328" i="16"/>
  <c r="P12" i="16"/>
  <c r="M9" i="16"/>
  <c r="O19" i="16"/>
  <c r="L165" i="16"/>
  <c r="O167" i="16"/>
  <c r="P41" i="16"/>
  <c r="I65" i="16"/>
  <c r="K65" i="16" s="1"/>
  <c r="K77" i="16"/>
  <c r="O12" i="16"/>
  <c r="L9" i="16"/>
  <c r="L685" i="15"/>
  <c r="O685" i="15" s="1"/>
  <c r="I543" i="16"/>
  <c r="K543" i="16" s="1"/>
  <c r="K559" i="16"/>
  <c r="M21" i="16"/>
  <c r="P21" i="16" s="1"/>
  <c r="P23" i="16"/>
  <c r="M20" i="16"/>
  <c r="M13" i="16"/>
  <c r="M11" i="16" s="1"/>
  <c r="N9" i="16"/>
  <c r="N181" i="16"/>
  <c r="P181" i="16" s="1"/>
  <c r="P277" i="14"/>
  <c r="O348" i="13"/>
  <c r="L328" i="15"/>
  <c r="O328" i="15" s="1"/>
  <c r="L34" i="15"/>
  <c r="O34" i="15" s="1"/>
  <c r="O31" i="14"/>
  <c r="P90" i="15"/>
  <c r="M88" i="15"/>
  <c r="P88" i="15" s="1"/>
  <c r="P391" i="3"/>
  <c r="P347" i="10"/>
  <c r="O331" i="10"/>
  <c r="O132" i="12"/>
  <c r="L467" i="10"/>
  <c r="O467" i="10" s="1"/>
  <c r="O788" i="12"/>
  <c r="P263" i="13"/>
  <c r="O347" i="14"/>
  <c r="I226" i="14"/>
  <c r="K226" i="14" s="1"/>
  <c r="O347" i="5"/>
  <c r="M389" i="14"/>
  <c r="P389" i="14" s="1"/>
  <c r="M149" i="15"/>
  <c r="P149" i="15" s="1"/>
  <c r="P345" i="14"/>
  <c r="L523" i="15"/>
  <c r="O523" i="15" s="1"/>
  <c r="M20" i="11"/>
  <c r="M18" i="11" s="1"/>
  <c r="O469" i="13"/>
  <c r="O345" i="14"/>
  <c r="L389" i="15"/>
  <c r="O389" i="15" s="1"/>
  <c r="O134" i="15"/>
  <c r="L132" i="15"/>
  <c r="O132" i="15" s="1"/>
  <c r="M21" i="4"/>
  <c r="L119" i="10"/>
  <c r="O119" i="10" s="1"/>
  <c r="P330" i="12"/>
  <c r="L24" i="15"/>
  <c r="O24" i="15" s="1"/>
  <c r="L16" i="15"/>
  <c r="O16" i="15" s="1"/>
  <c r="O26" i="15"/>
  <c r="P347" i="15"/>
  <c r="P55" i="8"/>
  <c r="P263" i="15"/>
  <c r="M261" i="15"/>
  <c r="P12" i="15"/>
  <c r="M9" i="15"/>
  <c r="O33" i="15"/>
  <c r="L30" i="15"/>
  <c r="O30" i="15" s="1"/>
  <c r="L31" i="15"/>
  <c r="O31" i="15" s="1"/>
  <c r="O9" i="15"/>
  <c r="O19" i="15"/>
  <c r="P90" i="12"/>
  <c r="L544" i="14"/>
  <c r="O544" i="14" s="1"/>
  <c r="O26" i="14"/>
  <c r="I543" i="15"/>
  <c r="K543" i="15" s="1"/>
  <c r="K559" i="15"/>
  <c r="P19" i="15"/>
  <c r="O55" i="15"/>
  <c r="L53" i="15"/>
  <c r="O151" i="15"/>
  <c r="L149" i="15"/>
  <c r="O149" i="15" s="1"/>
  <c r="O421" i="15"/>
  <c r="L419" i="15"/>
  <c r="L119" i="15"/>
  <c r="O119" i="15" s="1"/>
  <c r="P44" i="15"/>
  <c r="O44" i="15"/>
  <c r="N165" i="15"/>
  <c r="P165" i="15" s="1"/>
  <c r="O525" i="10"/>
  <c r="L34" i="11"/>
  <c r="O34" i="11" s="1"/>
  <c r="O23" i="12"/>
  <c r="M66" i="13"/>
  <c r="P66" i="13" s="1"/>
  <c r="O55" i="13"/>
  <c r="P545" i="15"/>
  <c r="M544" i="15"/>
  <c r="P544" i="15" s="1"/>
  <c r="M119" i="15"/>
  <c r="M132" i="15"/>
  <c r="P132" i="15" s="1"/>
  <c r="N20" i="15"/>
  <c r="N18" i="15" s="1"/>
  <c r="N13" i="15"/>
  <c r="N21" i="15"/>
  <c r="O21" i="15" s="1"/>
  <c r="P345" i="15"/>
  <c r="P23" i="15"/>
  <c r="P279" i="15"/>
  <c r="M277" i="15"/>
  <c r="P277" i="15" s="1"/>
  <c r="I65" i="15"/>
  <c r="K65" i="15" s="1"/>
  <c r="K77" i="15"/>
  <c r="O134" i="6"/>
  <c r="M13" i="11"/>
  <c r="M11" i="11" s="1"/>
  <c r="M10" i="12"/>
  <c r="P183" i="13"/>
  <c r="L119" i="13"/>
  <c r="O119" i="13" s="1"/>
  <c r="P134" i="13"/>
  <c r="P55" i="13"/>
  <c r="M13" i="14"/>
  <c r="M11" i="14" s="1"/>
  <c r="L544" i="15"/>
  <c r="O544" i="15" s="1"/>
  <c r="K433" i="15"/>
  <c r="I417" i="15"/>
  <c r="K417" i="15" s="1"/>
  <c r="L444" i="15"/>
  <c r="O444" i="15" s="1"/>
  <c r="O238" i="15"/>
  <c r="L227" i="15"/>
  <c r="P15" i="15"/>
  <c r="P43" i="15"/>
  <c r="O43" i="15"/>
  <c r="O29" i="15"/>
  <c r="M389" i="15"/>
  <c r="P389" i="15" s="1"/>
  <c r="P391" i="15"/>
  <c r="N41" i="15"/>
  <c r="L467" i="15"/>
  <c r="O467" i="15" s="1"/>
  <c r="O279" i="4"/>
  <c r="K364" i="7"/>
  <c r="P167" i="13"/>
  <c r="K417" i="13"/>
  <c r="O168" i="14"/>
  <c r="P300" i="15"/>
  <c r="M298" i="15"/>
  <c r="P298" i="15" s="1"/>
  <c r="O167" i="15"/>
  <c r="L165" i="15"/>
  <c r="M28" i="15"/>
  <c r="P28" i="15" s="1"/>
  <c r="P29" i="15"/>
  <c r="O68" i="15"/>
  <c r="N66" i="15"/>
  <c r="P68" i="15"/>
  <c r="O23" i="15"/>
  <c r="L20" i="15"/>
  <c r="L13" i="15"/>
  <c r="O15" i="15"/>
  <c r="M16" i="15"/>
  <c r="P16" i="15" s="1"/>
  <c r="P26" i="15"/>
  <c r="M24" i="15"/>
  <c r="P135" i="11"/>
  <c r="O330" i="12"/>
  <c r="O331" i="13"/>
  <c r="M16" i="13"/>
  <c r="P16" i="13" s="1"/>
  <c r="O167" i="13"/>
  <c r="L227" i="14"/>
  <c r="L30" i="14"/>
  <c r="L28" i="14" s="1"/>
  <c r="O28" i="14" s="1"/>
  <c r="O88" i="14"/>
  <c r="P168" i="14"/>
  <c r="O181" i="14"/>
  <c r="L402" i="12"/>
  <c r="O402" i="12" s="1"/>
  <c r="P167" i="12"/>
  <c r="M149" i="14"/>
  <c r="P149" i="14" s="1"/>
  <c r="P88" i="14"/>
  <c r="K364" i="14"/>
  <c r="P183" i="12"/>
  <c r="O90" i="14"/>
  <c r="L685" i="13"/>
  <c r="O685" i="13" s="1"/>
  <c r="L655" i="13"/>
  <c r="O655" i="13" s="1"/>
  <c r="O330" i="13"/>
  <c r="O183" i="14"/>
  <c r="O90" i="11"/>
  <c r="L315" i="11"/>
  <c r="O315" i="11" s="1"/>
  <c r="K364" i="12"/>
  <c r="M165" i="12"/>
  <c r="P165" i="12" s="1"/>
  <c r="M149" i="12"/>
  <c r="P149" i="12" s="1"/>
  <c r="L345" i="13"/>
  <c r="O345" i="13" s="1"/>
  <c r="K434" i="13"/>
  <c r="O90" i="13"/>
  <c r="L66" i="13"/>
  <c r="O66" i="13" s="1"/>
  <c r="L34" i="13"/>
  <c r="O34" i="13" s="1"/>
  <c r="O43" i="13"/>
  <c r="M20" i="13"/>
  <c r="M18" i="13" s="1"/>
  <c r="O165" i="13"/>
  <c r="P21" i="14"/>
  <c r="L16" i="14"/>
  <c r="L14" i="14" s="1"/>
  <c r="P300" i="14"/>
  <c r="M298" i="14"/>
  <c r="P298" i="14" s="1"/>
  <c r="O331" i="14"/>
  <c r="N53" i="13"/>
  <c r="O53" i="13" s="1"/>
  <c r="M41" i="13"/>
  <c r="P41" i="13" s="1"/>
  <c r="L467" i="14"/>
  <c r="O467" i="14" s="1"/>
  <c r="K417" i="14"/>
  <c r="L277" i="14"/>
  <c r="O277" i="14" s="1"/>
  <c r="L629" i="14"/>
  <c r="O629" i="14" s="1"/>
  <c r="O631" i="14"/>
  <c r="N24" i="14"/>
  <c r="O24" i="14" s="1"/>
  <c r="N16" i="14"/>
  <c r="N14" i="14" s="1"/>
  <c r="L149" i="13"/>
  <c r="O149" i="13" s="1"/>
  <c r="M132" i="14"/>
  <c r="P132" i="14" s="1"/>
  <c r="K433" i="14"/>
  <c r="O446" i="14"/>
  <c r="L444" i="14"/>
  <c r="O444" i="14" s="1"/>
  <c r="P280" i="14"/>
  <c r="L66" i="12"/>
  <c r="O66" i="12" s="1"/>
  <c r="P134" i="12"/>
  <c r="L227" i="13"/>
  <c r="O328" i="13"/>
  <c r="P90" i="14"/>
  <c r="N414" i="14"/>
  <c r="M20" i="12"/>
  <c r="M18" i="12" s="1"/>
  <c r="M261" i="13"/>
  <c r="P261" i="13" s="1"/>
  <c r="K288" i="14"/>
  <c r="J275" i="14"/>
  <c r="K275" i="14" s="1"/>
  <c r="P347" i="14"/>
  <c r="P263" i="14"/>
  <c r="N261" i="14"/>
  <c r="P261" i="14" s="1"/>
  <c r="L165" i="14"/>
  <c r="O165" i="14" s="1"/>
  <c r="L13" i="14"/>
  <c r="L11" i="14" s="1"/>
  <c r="L21" i="14"/>
  <c r="O21" i="14" s="1"/>
  <c r="O23" i="14"/>
  <c r="L20" i="14"/>
  <c r="L18" i="14" s="1"/>
  <c r="I64" i="14"/>
  <c r="K64" i="14" s="1"/>
  <c r="K76" i="14"/>
  <c r="P419" i="14"/>
  <c r="L328" i="14"/>
  <c r="O328" i="14" s="1"/>
  <c r="M181" i="14"/>
  <c r="P181" i="14" s="1"/>
  <c r="P183" i="14"/>
  <c r="P43" i="14"/>
  <c r="M41" i="14"/>
  <c r="P9" i="14"/>
  <c r="N9" i="14"/>
  <c r="O263" i="14"/>
  <c r="M66" i="14"/>
  <c r="P66" i="14" s="1"/>
  <c r="P68" i="14"/>
  <c r="I543" i="14"/>
  <c r="K543" i="14" s="1"/>
  <c r="K559" i="14"/>
  <c r="O404" i="14"/>
  <c r="L402" i="14"/>
  <c r="O402" i="14" s="1"/>
  <c r="P167" i="14"/>
  <c r="M165" i="14"/>
  <c r="P165" i="14" s="1"/>
  <c r="L389" i="14"/>
  <c r="O389" i="14" s="1"/>
  <c r="M20" i="14"/>
  <c r="M18" i="14" s="1"/>
  <c r="L132" i="14"/>
  <c r="O132" i="14" s="1"/>
  <c r="P545" i="14"/>
  <c r="M544" i="14"/>
  <c r="P544" i="14" s="1"/>
  <c r="P121" i="14"/>
  <c r="M119" i="14"/>
  <c r="P119" i="14" s="1"/>
  <c r="L419" i="14"/>
  <c r="M28" i="14"/>
  <c r="P28" i="14" s="1"/>
  <c r="P29" i="14"/>
  <c r="M16" i="14"/>
  <c r="P26" i="14"/>
  <c r="P23" i="14"/>
  <c r="P55" i="14"/>
  <c r="O55" i="14"/>
  <c r="O12" i="14"/>
  <c r="L9" i="14"/>
  <c r="N786" i="14"/>
  <c r="O786" i="14" s="1"/>
  <c r="O788" i="14"/>
  <c r="P351" i="14"/>
  <c r="O351" i="14"/>
  <c r="K143" i="14"/>
  <c r="I131" i="14"/>
  <c r="K131" i="14" s="1"/>
  <c r="N13" i="14"/>
  <c r="P13" i="14" s="1"/>
  <c r="N20" i="14"/>
  <c r="N18" i="14" s="1"/>
  <c r="L66" i="14"/>
  <c r="O66" i="14" s="1"/>
  <c r="K77" i="14"/>
  <c r="I65" i="14"/>
  <c r="K65" i="14" s="1"/>
  <c r="L41" i="14"/>
  <c r="O19" i="14"/>
  <c r="N53" i="14"/>
  <c r="L523" i="14"/>
  <c r="O523" i="14" s="1"/>
  <c r="P19" i="14"/>
  <c r="O687" i="10"/>
  <c r="P138" i="12"/>
  <c r="I226" i="13"/>
  <c r="K226" i="13" s="1"/>
  <c r="O41" i="12"/>
  <c r="M132" i="10"/>
  <c r="P132" i="10" s="1"/>
  <c r="I418" i="11"/>
  <c r="K418" i="11" s="1"/>
  <c r="L31" i="11"/>
  <c r="O31" i="11" s="1"/>
  <c r="L13" i="12"/>
  <c r="L11" i="12" s="1"/>
  <c r="L786" i="13"/>
  <c r="O786" i="13" s="1"/>
  <c r="P279" i="6"/>
  <c r="L523" i="7"/>
  <c r="O523" i="7" s="1"/>
  <c r="P167" i="7"/>
  <c r="M132" i="8"/>
  <c r="P132" i="8" s="1"/>
  <c r="L685" i="8"/>
  <c r="O685" i="8" s="1"/>
  <c r="L298" i="9"/>
  <c r="O298" i="9" s="1"/>
  <c r="M149" i="9"/>
  <c r="P149" i="9" s="1"/>
  <c r="M149" i="10"/>
  <c r="P149" i="10" s="1"/>
  <c r="P53" i="12"/>
  <c r="O36" i="12"/>
  <c r="L544" i="13"/>
  <c r="O544" i="13" s="1"/>
  <c r="M328" i="13"/>
  <c r="P328" i="13" s="1"/>
  <c r="O21" i="13"/>
  <c r="M66" i="9"/>
  <c r="P66" i="9" s="1"/>
  <c r="O43" i="12"/>
  <c r="O88" i="10"/>
  <c r="P23" i="11"/>
  <c r="P347" i="11"/>
  <c r="P43" i="11"/>
  <c r="M181" i="12"/>
  <c r="P181" i="12" s="1"/>
  <c r="O59" i="12"/>
  <c r="L30" i="12"/>
  <c r="M24" i="12"/>
  <c r="L402" i="13"/>
  <c r="O402" i="13" s="1"/>
  <c r="P26" i="13"/>
  <c r="O631" i="13"/>
  <c r="L629" i="13"/>
  <c r="O629" i="13" s="1"/>
  <c r="P23" i="13"/>
  <c r="M149" i="7"/>
  <c r="P149" i="7" s="1"/>
  <c r="P168" i="9"/>
  <c r="O55" i="10"/>
  <c r="L402" i="11"/>
  <c r="O402" i="11" s="1"/>
  <c r="P43" i="12"/>
  <c r="M21" i="12"/>
  <c r="L315" i="13"/>
  <c r="O315" i="13" s="1"/>
  <c r="K433" i="13"/>
  <c r="P56" i="13"/>
  <c r="N13" i="13"/>
  <c r="N11" i="13" s="1"/>
  <c r="O317" i="4"/>
  <c r="L655" i="4"/>
  <c r="O655" i="4" s="1"/>
  <c r="L34" i="7"/>
  <c r="O34" i="7" s="1"/>
  <c r="M315" i="8"/>
  <c r="P315" i="8" s="1"/>
  <c r="M389" i="10"/>
  <c r="P389" i="10" s="1"/>
  <c r="O165" i="12"/>
  <c r="L31" i="12"/>
  <c r="O31" i="12" s="1"/>
  <c r="P331" i="13"/>
  <c r="N20" i="13"/>
  <c r="N24" i="13"/>
  <c r="P24" i="13" s="1"/>
  <c r="O33" i="13"/>
  <c r="L30" i="13"/>
  <c r="O30" i="13" s="1"/>
  <c r="O134" i="13"/>
  <c r="L132" i="13"/>
  <c r="O132" i="13" s="1"/>
  <c r="M66" i="4"/>
  <c r="P66" i="4" s="1"/>
  <c r="N24" i="7"/>
  <c r="L467" i="9"/>
  <c r="O467" i="9" s="1"/>
  <c r="P69" i="11"/>
  <c r="I226" i="11"/>
  <c r="K226" i="11" s="1"/>
  <c r="O279" i="11"/>
  <c r="L119" i="11"/>
  <c r="O119" i="11" s="1"/>
  <c r="P301" i="12"/>
  <c r="P280" i="12"/>
  <c r="O263" i="12"/>
  <c r="O300" i="13"/>
  <c r="L298" i="13"/>
  <c r="O298" i="13" s="1"/>
  <c r="O421" i="13"/>
  <c r="L419" i="13"/>
  <c r="M165" i="13"/>
  <c r="P165" i="13" s="1"/>
  <c r="O26" i="13"/>
  <c r="L16" i="13"/>
  <c r="O16" i="13" s="1"/>
  <c r="K76" i="13"/>
  <c r="I64" i="13"/>
  <c r="K64" i="13" s="1"/>
  <c r="N9" i="13"/>
  <c r="N14" i="13"/>
  <c r="P277" i="11"/>
  <c r="L389" i="12"/>
  <c r="O389" i="12" s="1"/>
  <c r="N88" i="12"/>
  <c r="O88" i="12" s="1"/>
  <c r="O181" i="12"/>
  <c r="L655" i="12"/>
  <c r="O655" i="12" s="1"/>
  <c r="O183" i="12"/>
  <c r="O263" i="13"/>
  <c r="L261" i="13"/>
  <c r="O261" i="13" s="1"/>
  <c r="O391" i="13"/>
  <c r="L389" i="13"/>
  <c r="O389" i="13" s="1"/>
  <c r="P279" i="13"/>
  <c r="M277" i="13"/>
  <c r="P277" i="13" s="1"/>
  <c r="M298" i="13"/>
  <c r="P298" i="13" s="1"/>
  <c r="N181" i="13"/>
  <c r="P181" i="13" s="1"/>
  <c r="O29" i="13"/>
  <c r="P545" i="13"/>
  <c r="M544" i="13"/>
  <c r="P317" i="6"/>
  <c r="M315" i="9"/>
  <c r="P315" i="9" s="1"/>
  <c r="O546" i="10"/>
  <c r="L389" i="10"/>
  <c r="O389" i="10" s="1"/>
  <c r="L685" i="11"/>
  <c r="O685" i="11" s="1"/>
  <c r="P279" i="11"/>
  <c r="O90" i="12"/>
  <c r="O525" i="13"/>
  <c r="L523" i="13"/>
  <c r="O523" i="13" s="1"/>
  <c r="O446" i="13"/>
  <c r="L444" i="13"/>
  <c r="O444" i="13" s="1"/>
  <c r="P151" i="13"/>
  <c r="M149" i="13"/>
  <c r="P149" i="13" s="1"/>
  <c r="P12" i="13"/>
  <c r="M11" i="13"/>
  <c r="M9" i="13"/>
  <c r="O23" i="13"/>
  <c r="L20" i="13"/>
  <c r="L13" i="13"/>
  <c r="L11" i="13" s="1"/>
  <c r="N658" i="1"/>
  <c r="O658" i="1" s="1"/>
  <c r="O660" i="1"/>
  <c r="O167" i="5"/>
  <c r="O469" i="11"/>
  <c r="O301" i="12"/>
  <c r="O134" i="12"/>
  <c r="K559" i="13"/>
  <c r="I543" i="13"/>
  <c r="K543" i="13" s="1"/>
  <c r="M402" i="13"/>
  <c r="P402" i="13" s="1"/>
  <c r="O183" i="13"/>
  <c r="L181" i="13"/>
  <c r="M345" i="13"/>
  <c r="P345" i="13" s="1"/>
  <c r="L277" i="13"/>
  <c r="O277" i="13" s="1"/>
  <c r="O41" i="13"/>
  <c r="P19" i="13"/>
  <c r="N88" i="13"/>
  <c r="O88" i="13" s="1"/>
  <c r="O15" i="13"/>
  <c r="O391" i="7"/>
  <c r="L655" i="9"/>
  <c r="O655" i="9" s="1"/>
  <c r="O467" i="13"/>
  <c r="M389" i="13"/>
  <c r="P389" i="13" s="1"/>
  <c r="I131" i="13"/>
  <c r="K131" i="13" s="1"/>
  <c r="K143" i="13"/>
  <c r="P121" i="13"/>
  <c r="M119" i="13"/>
  <c r="P119" i="13" s="1"/>
  <c r="K77" i="13"/>
  <c r="I65" i="13"/>
  <c r="K65" i="13" s="1"/>
  <c r="O12" i="13"/>
  <c r="L9" i="13"/>
  <c r="P90" i="13"/>
  <c r="O331" i="12"/>
  <c r="P330" i="11"/>
  <c r="M132" i="12"/>
  <c r="P132" i="12" s="1"/>
  <c r="O687" i="12"/>
  <c r="L685" i="12"/>
  <c r="O685" i="12" s="1"/>
  <c r="O328" i="12"/>
  <c r="P132" i="11"/>
  <c r="L261" i="12"/>
  <c r="O261" i="12" s="1"/>
  <c r="P391" i="12"/>
  <c r="M389" i="12"/>
  <c r="P389" i="12" s="1"/>
  <c r="L119" i="8"/>
  <c r="O119" i="8" s="1"/>
  <c r="N345" i="11"/>
  <c r="P345" i="11" s="1"/>
  <c r="P261" i="10"/>
  <c r="K559" i="12"/>
  <c r="P135" i="12"/>
  <c r="O149" i="11"/>
  <c r="O151" i="12"/>
  <c r="L149" i="12"/>
  <c r="O149" i="12" s="1"/>
  <c r="L523" i="9"/>
  <c r="O523" i="9" s="1"/>
  <c r="O183" i="9"/>
  <c r="K559" i="11"/>
  <c r="K288" i="11"/>
  <c r="P68" i="11"/>
  <c r="P317" i="11"/>
  <c r="L315" i="12"/>
  <c r="O315" i="12" s="1"/>
  <c r="P345" i="8"/>
  <c r="P347" i="8"/>
  <c r="L277" i="11"/>
  <c r="O277" i="11" s="1"/>
  <c r="O43" i="11"/>
  <c r="P90" i="11"/>
  <c r="I418" i="12"/>
  <c r="K418" i="12" s="1"/>
  <c r="P55" i="12"/>
  <c r="O55" i="12"/>
  <c r="M328" i="12"/>
  <c r="P328" i="12" s="1"/>
  <c r="L53" i="12"/>
  <c r="O53" i="12" s="1"/>
  <c r="O138" i="12"/>
  <c r="O347" i="11"/>
  <c r="O68" i="11"/>
  <c r="N41" i="11"/>
  <c r="P41" i="11" s="1"/>
  <c r="O121" i="12"/>
  <c r="L119" i="12"/>
  <c r="O119" i="12" s="1"/>
  <c r="P263" i="12"/>
  <c r="M261" i="12"/>
  <c r="P261" i="12" s="1"/>
  <c r="L402" i="8"/>
  <c r="O402" i="8" s="1"/>
  <c r="P56" i="8"/>
  <c r="O687" i="9"/>
  <c r="K275" i="9"/>
  <c r="O544" i="10"/>
  <c r="P263" i="10"/>
  <c r="L444" i="12"/>
  <c r="O444" i="12" s="1"/>
  <c r="N21" i="12"/>
  <c r="O21" i="12" s="1"/>
  <c r="L523" i="12"/>
  <c r="O523" i="12" s="1"/>
  <c r="O525" i="12"/>
  <c r="P279" i="12"/>
  <c r="N277" i="12"/>
  <c r="P277" i="12" s="1"/>
  <c r="N414" i="12"/>
  <c r="P68" i="12"/>
  <c r="M66" i="12"/>
  <c r="P66" i="12" s="1"/>
  <c r="O238" i="12"/>
  <c r="L227" i="12"/>
  <c r="N9" i="12"/>
  <c r="L16" i="12"/>
  <c r="O16" i="12" s="1"/>
  <c r="O26" i="12"/>
  <c r="O300" i="4"/>
  <c r="L227" i="5"/>
  <c r="K417" i="6"/>
  <c r="O138" i="7"/>
  <c r="P184" i="10"/>
  <c r="I65" i="10"/>
  <c r="K65" i="10" s="1"/>
  <c r="L30" i="11"/>
  <c r="I226" i="12"/>
  <c r="K226" i="12" s="1"/>
  <c r="L419" i="12"/>
  <c r="O421" i="12"/>
  <c r="O298" i="12"/>
  <c r="P15" i="12"/>
  <c r="M14" i="12"/>
  <c r="P14" i="12" s="1"/>
  <c r="M298" i="12"/>
  <c r="P298" i="12" s="1"/>
  <c r="O15" i="12"/>
  <c r="L9" i="12"/>
  <c r="I418" i="10"/>
  <c r="K418" i="10" s="1"/>
  <c r="O525" i="11"/>
  <c r="O151" i="11"/>
  <c r="L66" i="11"/>
  <c r="O66" i="11" s="1"/>
  <c r="O280" i="11"/>
  <c r="P151" i="11"/>
  <c r="P23" i="12"/>
  <c r="N20" i="12"/>
  <c r="N13" i="12"/>
  <c r="O348" i="12"/>
  <c r="K143" i="12"/>
  <c r="P12" i="12"/>
  <c r="M9" i="12"/>
  <c r="M11" i="12"/>
  <c r="P90" i="9"/>
  <c r="M13" i="9"/>
  <c r="M11" i="9" s="1"/>
  <c r="O261" i="10"/>
  <c r="O631" i="12"/>
  <c r="L629" i="12"/>
  <c r="O629" i="12" s="1"/>
  <c r="P317" i="12"/>
  <c r="M315" i="12"/>
  <c r="P315" i="12" s="1"/>
  <c r="P347" i="12"/>
  <c r="M41" i="12"/>
  <c r="O279" i="12"/>
  <c r="M345" i="12"/>
  <c r="L20" i="12"/>
  <c r="N24" i="12"/>
  <c r="P347" i="6"/>
  <c r="O347" i="8"/>
  <c r="O347" i="12"/>
  <c r="N345" i="12"/>
  <c r="O345" i="12" s="1"/>
  <c r="I64" i="12"/>
  <c r="K64" i="12" s="1"/>
  <c r="K76" i="12"/>
  <c r="L24" i="12"/>
  <c r="P26" i="12"/>
  <c r="P16" i="12"/>
  <c r="O168" i="8"/>
  <c r="P279" i="10"/>
  <c r="O263" i="10"/>
  <c r="P44" i="11"/>
  <c r="K433" i="12"/>
  <c r="I417" i="12"/>
  <c r="K417" i="12" s="1"/>
  <c r="P404" i="12"/>
  <c r="M402" i="12"/>
  <c r="P402" i="12" s="1"/>
  <c r="P29" i="12"/>
  <c r="M28" i="12"/>
  <c r="P28" i="12" s="1"/>
  <c r="L277" i="12"/>
  <c r="O168" i="12"/>
  <c r="P91" i="12"/>
  <c r="O91" i="12"/>
  <c r="M414" i="12"/>
  <c r="P414" i="12" s="1"/>
  <c r="K77" i="12"/>
  <c r="I65" i="12"/>
  <c r="K65" i="12" s="1"/>
  <c r="M328" i="11"/>
  <c r="O43" i="10"/>
  <c r="L227" i="11"/>
  <c r="L389" i="11"/>
  <c r="O389" i="11" s="1"/>
  <c r="O184" i="11"/>
  <c r="K364" i="11"/>
  <c r="I418" i="8"/>
  <c r="K418" i="8" s="1"/>
  <c r="L389" i="8"/>
  <c r="O389" i="8" s="1"/>
  <c r="O347" i="9"/>
  <c r="P351" i="10"/>
  <c r="O345" i="10"/>
  <c r="M66" i="11"/>
  <c r="P66" i="11" s="1"/>
  <c r="O88" i="8"/>
  <c r="L31" i="8"/>
  <c r="O31" i="8" s="1"/>
  <c r="L132" i="9"/>
  <c r="O132" i="9" s="1"/>
  <c r="N14" i="10"/>
  <c r="L444" i="11"/>
  <c r="O444" i="11" s="1"/>
  <c r="P351" i="11"/>
  <c r="O56" i="11"/>
  <c r="O238" i="11"/>
  <c r="L655" i="11"/>
  <c r="O655" i="11" s="1"/>
  <c r="P264" i="6"/>
  <c r="K77" i="8"/>
  <c r="O90" i="10"/>
  <c r="L41" i="10"/>
  <c r="O41" i="10" s="1"/>
  <c r="L41" i="11"/>
  <c r="P149" i="11"/>
  <c r="P134" i="11"/>
  <c r="P391" i="11"/>
  <c r="M389" i="11"/>
  <c r="P389" i="11" s="1"/>
  <c r="O59" i="10"/>
  <c r="P59" i="10"/>
  <c r="O36" i="10"/>
  <c r="K275" i="11"/>
  <c r="P261" i="11"/>
  <c r="O261" i="11"/>
  <c r="N16" i="11"/>
  <c r="N14" i="11" s="1"/>
  <c r="N24" i="11"/>
  <c r="P183" i="11"/>
  <c r="M181" i="11"/>
  <c r="P181" i="11" s="1"/>
  <c r="L9" i="11"/>
  <c r="O12" i="11"/>
  <c r="P263" i="6"/>
  <c r="O546" i="11"/>
  <c r="L544" i="11"/>
  <c r="O544" i="11" s="1"/>
  <c r="L419" i="11"/>
  <c r="O421" i="11"/>
  <c r="K77" i="11"/>
  <c r="I65" i="11"/>
  <c r="K65" i="11" s="1"/>
  <c r="P29" i="11"/>
  <c r="M28" i="11"/>
  <c r="P28" i="11" s="1"/>
  <c r="N21" i="11"/>
  <c r="P21" i="11" s="1"/>
  <c r="L165" i="11"/>
  <c r="O165" i="11" s="1"/>
  <c r="O167" i="11"/>
  <c r="O19" i="11"/>
  <c r="O631" i="11"/>
  <c r="L629" i="11"/>
  <c r="O629" i="11" s="1"/>
  <c r="P15" i="11"/>
  <c r="N20" i="11"/>
  <c r="N18" i="11" s="1"/>
  <c r="N13" i="11"/>
  <c r="P55" i="11"/>
  <c r="M53" i="11"/>
  <c r="I64" i="11"/>
  <c r="K64" i="11" s="1"/>
  <c r="K76" i="11"/>
  <c r="O300" i="11"/>
  <c r="L298" i="11"/>
  <c r="O26" i="11"/>
  <c r="L16" i="11"/>
  <c r="L24" i="11"/>
  <c r="M16" i="8"/>
  <c r="P16" i="8" s="1"/>
  <c r="O279" i="9"/>
  <c r="O330" i="11"/>
  <c r="N328" i="11"/>
  <c r="O328" i="11" s="1"/>
  <c r="O55" i="11"/>
  <c r="N53" i="11"/>
  <c r="O53" i="11" s="1"/>
  <c r="L88" i="11"/>
  <c r="O88" i="11" s="1"/>
  <c r="M9" i="11"/>
  <c r="K143" i="11"/>
  <c r="I131" i="11"/>
  <c r="K131" i="11" s="1"/>
  <c r="P167" i="11"/>
  <c r="M165" i="11"/>
  <c r="P165" i="11" s="1"/>
  <c r="O168" i="11"/>
  <c r="M24" i="11"/>
  <c r="M16" i="11"/>
  <c r="P26" i="11"/>
  <c r="P183" i="10"/>
  <c r="K433" i="11"/>
  <c r="I417" i="11"/>
  <c r="K417" i="11" s="1"/>
  <c r="P121" i="11"/>
  <c r="M119" i="11"/>
  <c r="P119" i="11" s="1"/>
  <c r="O134" i="11"/>
  <c r="L132" i="11"/>
  <c r="O132" i="11" s="1"/>
  <c r="L181" i="11"/>
  <c r="O181" i="11" s="1"/>
  <c r="O183" i="11"/>
  <c r="O165" i="10"/>
  <c r="N414" i="11"/>
  <c r="P404" i="11"/>
  <c r="M402" i="11"/>
  <c r="P402" i="11" s="1"/>
  <c r="P263" i="11"/>
  <c r="O263" i="11"/>
  <c r="P300" i="11"/>
  <c r="N298" i="11"/>
  <c r="P298" i="11" s="1"/>
  <c r="O23" i="11"/>
  <c r="L20" i="11"/>
  <c r="L13" i="11"/>
  <c r="L11" i="11" s="1"/>
  <c r="K174" i="11"/>
  <c r="I164" i="11"/>
  <c r="K164" i="11" s="1"/>
  <c r="L21" i="11"/>
  <c r="P88" i="11"/>
  <c r="P183" i="9"/>
  <c r="L315" i="10"/>
  <c r="O315" i="10" s="1"/>
  <c r="M277" i="10"/>
  <c r="P277" i="10" s="1"/>
  <c r="P165" i="10"/>
  <c r="P69" i="10"/>
  <c r="O68" i="10"/>
  <c r="O347" i="10"/>
  <c r="P26" i="10"/>
  <c r="N10" i="9"/>
  <c r="K364" i="10"/>
  <c r="I226" i="10"/>
  <c r="K226" i="10" s="1"/>
  <c r="P43" i="10"/>
  <c r="O546" i="7"/>
  <c r="O544" i="7"/>
  <c r="O348" i="7"/>
  <c r="O152" i="8"/>
  <c r="N24" i="8"/>
  <c r="O24" i="8" s="1"/>
  <c r="P261" i="9"/>
  <c r="P167" i="9"/>
  <c r="K374" i="9"/>
  <c r="M181" i="10"/>
  <c r="P181" i="10" s="1"/>
  <c r="M16" i="10"/>
  <c r="P16" i="10" s="1"/>
  <c r="N24" i="10"/>
  <c r="L30" i="10"/>
  <c r="O30" i="10" s="1"/>
  <c r="O331" i="9"/>
  <c r="L119" i="9"/>
  <c r="O119" i="9" s="1"/>
  <c r="P279" i="4"/>
  <c r="O41" i="4"/>
  <c r="K559" i="8"/>
  <c r="L345" i="8"/>
  <c r="O345" i="8" s="1"/>
  <c r="L30" i="8"/>
  <c r="O30" i="8" s="1"/>
  <c r="L389" i="9"/>
  <c r="O389" i="9" s="1"/>
  <c r="K364" i="9"/>
  <c r="P277" i="9"/>
  <c r="O55" i="9"/>
  <c r="M20" i="9"/>
  <c r="M18" i="9" s="1"/>
  <c r="O348" i="9"/>
  <c r="L629" i="10"/>
  <c r="O629" i="10" s="1"/>
  <c r="P331" i="10"/>
  <c r="M298" i="10"/>
  <c r="P298" i="10" s="1"/>
  <c r="N66" i="10"/>
  <c r="P66" i="10" s="1"/>
  <c r="P68" i="10"/>
  <c r="O167" i="10"/>
  <c r="O183" i="10"/>
  <c r="P68" i="8"/>
  <c r="P43" i="4"/>
  <c r="O121" i="7"/>
  <c r="P300" i="8"/>
  <c r="O167" i="8"/>
  <c r="L34" i="9"/>
  <c r="O34" i="9" s="1"/>
  <c r="M298" i="9"/>
  <c r="P298" i="9" s="1"/>
  <c r="M119" i="10"/>
  <c r="P119" i="10" s="1"/>
  <c r="P24" i="10"/>
  <c r="P44" i="10"/>
  <c r="P277" i="5"/>
  <c r="P167" i="4"/>
  <c r="P55" i="5"/>
  <c r="L30" i="7"/>
  <c r="O30" i="7" s="1"/>
  <c r="L13" i="9"/>
  <c r="L11" i="9" s="1"/>
  <c r="M16" i="9"/>
  <c r="P16" i="9" s="1"/>
  <c r="P279" i="9"/>
  <c r="K275" i="10"/>
  <c r="L31" i="10"/>
  <c r="O31" i="10" s="1"/>
  <c r="O36" i="8"/>
  <c r="O55" i="5"/>
  <c r="O347" i="6"/>
  <c r="P167" i="6"/>
  <c r="O43" i="6"/>
  <c r="L655" i="7"/>
  <c r="O655" i="7" s="1"/>
  <c r="P121" i="7"/>
  <c r="P88" i="7"/>
  <c r="M119" i="8"/>
  <c r="P119" i="8" s="1"/>
  <c r="L16" i="8"/>
  <c r="O16" i="8" s="1"/>
  <c r="O261" i="9"/>
  <c r="M402" i="9"/>
  <c r="P402" i="9" s="1"/>
  <c r="K288" i="9"/>
  <c r="L402" i="10"/>
  <c r="O402" i="10" s="1"/>
  <c r="P167" i="10"/>
  <c r="L402" i="9"/>
  <c r="O402" i="9" s="1"/>
  <c r="L298" i="10"/>
  <c r="O298" i="10" s="1"/>
  <c r="O300" i="10"/>
  <c r="K433" i="10"/>
  <c r="I417" i="10"/>
  <c r="K417" i="10" s="1"/>
  <c r="M28" i="10"/>
  <c r="P28" i="10" s="1"/>
  <c r="P29" i="10"/>
  <c r="K288" i="10"/>
  <c r="L21" i="10"/>
  <c r="O21" i="10" s="1"/>
  <c r="L13" i="10"/>
  <c r="L20" i="10"/>
  <c r="L18" i="10" s="1"/>
  <c r="O23" i="10"/>
  <c r="L419" i="10"/>
  <c r="O19" i="10"/>
  <c r="O15" i="10"/>
  <c r="I64" i="10"/>
  <c r="K64" i="10" s="1"/>
  <c r="K76" i="10"/>
  <c r="M88" i="10"/>
  <c r="P88" i="10" s="1"/>
  <c r="P90" i="10"/>
  <c r="M414" i="10"/>
  <c r="P414" i="10" s="1"/>
  <c r="P419" i="10"/>
  <c r="M345" i="10"/>
  <c r="P345" i="10" s="1"/>
  <c r="L444" i="10"/>
  <c r="O444" i="10" s="1"/>
  <c r="P41" i="10"/>
  <c r="O151" i="6"/>
  <c r="P15" i="10"/>
  <c r="M13" i="10"/>
  <c r="M21" i="10"/>
  <c r="P21" i="10" s="1"/>
  <c r="M20" i="10"/>
  <c r="P23" i="10"/>
  <c r="N9" i="10"/>
  <c r="L9" i="10"/>
  <c r="P26" i="9"/>
  <c r="O238" i="10"/>
  <c r="L227" i="10"/>
  <c r="P404" i="10"/>
  <c r="M402" i="10"/>
  <c r="P402" i="10" s="1"/>
  <c r="O279" i="10"/>
  <c r="L277" i="10"/>
  <c r="O277" i="10" s="1"/>
  <c r="N53" i="10"/>
  <c r="P53" i="10" s="1"/>
  <c r="P55" i="10"/>
  <c r="M9" i="10"/>
  <c r="M328" i="10"/>
  <c r="P328" i="10" s="1"/>
  <c r="L149" i="10"/>
  <c r="O149" i="10" s="1"/>
  <c r="O151" i="10"/>
  <c r="O181" i="10"/>
  <c r="L132" i="10"/>
  <c r="O132" i="10" s="1"/>
  <c r="O26" i="10"/>
  <c r="L16" i="10"/>
  <c r="O16" i="10" s="1"/>
  <c r="L24" i="10"/>
  <c r="N20" i="10"/>
  <c r="N18" i="10" s="1"/>
  <c r="N13" i="10"/>
  <c r="N10" i="10" s="1"/>
  <c r="O29" i="10"/>
  <c r="L523" i="5"/>
  <c r="O523" i="5" s="1"/>
  <c r="L389" i="5"/>
  <c r="O389" i="5" s="1"/>
  <c r="O263" i="6"/>
  <c r="P135" i="6"/>
  <c r="O328" i="7"/>
  <c r="I164" i="7"/>
  <c r="K164" i="7" s="1"/>
  <c r="L227" i="8"/>
  <c r="N277" i="8"/>
  <c r="O277" i="8" s="1"/>
  <c r="L20" i="9"/>
  <c r="L18" i="9" s="1"/>
  <c r="O43" i="7"/>
  <c r="P134" i="6"/>
  <c r="O345" i="6"/>
  <c r="O467" i="8"/>
  <c r="O88" i="9"/>
  <c r="O26" i="8"/>
  <c r="N20" i="9"/>
  <c r="N18" i="9" s="1"/>
  <c r="N21" i="9"/>
  <c r="O21" i="9" s="1"/>
  <c r="O687" i="4"/>
  <c r="P88" i="3"/>
  <c r="M132" i="6"/>
  <c r="P132" i="6" s="1"/>
  <c r="O279" i="7"/>
  <c r="O404" i="7"/>
  <c r="O134" i="7"/>
  <c r="N13" i="8"/>
  <c r="N11" i="8" s="1"/>
  <c r="O657" i="8"/>
  <c r="K364" i="8"/>
  <c r="O183" i="8"/>
  <c r="O31" i="9"/>
  <c r="O23" i="9"/>
  <c r="L149" i="9"/>
  <c r="O149" i="9" s="1"/>
  <c r="K174" i="9"/>
  <c r="I164" i="9"/>
  <c r="K164" i="9" s="1"/>
  <c r="K434" i="9"/>
  <c r="I418" i="9"/>
  <c r="K418" i="9" s="1"/>
  <c r="L30" i="5"/>
  <c r="L28" i="5" s="1"/>
  <c r="O28" i="5" s="1"/>
  <c r="L149" i="6"/>
  <c r="O149" i="6" s="1"/>
  <c r="P151" i="6"/>
  <c r="O546" i="8"/>
  <c r="P348" i="9"/>
  <c r="P181" i="9"/>
  <c r="L30" i="9"/>
  <c r="L28" i="9" s="1"/>
  <c r="O28" i="9" s="1"/>
  <c r="M165" i="9"/>
  <c r="P165" i="9" s="1"/>
  <c r="O263" i="9"/>
  <c r="P263" i="9"/>
  <c r="P347" i="5"/>
  <c r="M53" i="5"/>
  <c r="P53" i="5" s="1"/>
  <c r="P149" i="6"/>
  <c r="P277" i="7"/>
  <c r="L41" i="7"/>
  <c r="O41" i="7" s="1"/>
  <c r="O44" i="8"/>
  <c r="P330" i="8"/>
  <c r="M389" i="9"/>
  <c r="P389" i="9" s="1"/>
  <c r="I226" i="9"/>
  <c r="K226" i="9" s="1"/>
  <c r="P23" i="9"/>
  <c r="O33" i="9"/>
  <c r="I418" i="6"/>
  <c r="K418" i="6" s="1"/>
  <c r="O277" i="7"/>
  <c r="L298" i="7"/>
  <c r="O298" i="7" s="1"/>
  <c r="N24" i="9"/>
  <c r="O26" i="9"/>
  <c r="L24" i="9"/>
  <c r="L16" i="9"/>
  <c r="O16" i="9" s="1"/>
  <c r="N414" i="9"/>
  <c r="M41" i="4"/>
  <c r="P41" i="4" s="1"/>
  <c r="O687" i="6"/>
  <c r="P23" i="8"/>
  <c r="K433" i="9"/>
  <c r="P351" i="9"/>
  <c r="P347" i="9"/>
  <c r="N345" i="9"/>
  <c r="O345" i="9" s="1"/>
  <c r="L53" i="9"/>
  <c r="O53" i="9" s="1"/>
  <c r="M9" i="9"/>
  <c r="P12" i="9"/>
  <c r="L66" i="9"/>
  <c r="O66" i="9" s="1"/>
  <c r="O421" i="9"/>
  <c r="L419" i="9"/>
  <c r="O446" i="9"/>
  <c r="L444" i="9"/>
  <c r="O444" i="9" s="1"/>
  <c r="O280" i="9"/>
  <c r="P280" i="9"/>
  <c r="I65" i="9"/>
  <c r="K65" i="9" s="1"/>
  <c r="K77" i="9"/>
  <c r="P263" i="7"/>
  <c r="O330" i="9"/>
  <c r="N328" i="9"/>
  <c r="O328" i="9" s="1"/>
  <c r="L181" i="9"/>
  <c r="O181" i="9" s="1"/>
  <c r="O29" i="9"/>
  <c r="O546" i="9"/>
  <c r="L544" i="9"/>
  <c r="O544" i="9" s="1"/>
  <c r="M414" i="9"/>
  <c r="P414" i="9" s="1"/>
  <c r="O631" i="9"/>
  <c r="L629" i="9"/>
  <c r="O629" i="9" s="1"/>
  <c r="L227" i="9"/>
  <c r="O238" i="9"/>
  <c r="P43" i="9"/>
  <c r="N41" i="9"/>
  <c r="O41" i="9" s="1"/>
  <c r="P134" i="9"/>
  <c r="M132" i="9"/>
  <c r="P132" i="9" s="1"/>
  <c r="I64" i="9"/>
  <c r="K64" i="9" s="1"/>
  <c r="K76" i="9"/>
  <c r="P121" i="9"/>
  <c r="M119" i="9"/>
  <c r="P119" i="9" s="1"/>
  <c r="O41" i="8"/>
  <c r="L132" i="8"/>
  <c r="O132" i="8" s="1"/>
  <c r="M88" i="9"/>
  <c r="P88" i="9" s="1"/>
  <c r="P330" i="9"/>
  <c r="O167" i="9"/>
  <c r="L165" i="9"/>
  <c r="O165" i="9" s="1"/>
  <c r="P15" i="9"/>
  <c r="M53" i="9"/>
  <c r="P55" i="9"/>
  <c r="O43" i="9"/>
  <c r="I131" i="8"/>
  <c r="K131" i="8" s="1"/>
  <c r="N9" i="9"/>
  <c r="N11" i="9"/>
  <c r="O277" i="9"/>
  <c r="O15" i="9"/>
  <c r="L9" i="9"/>
  <c r="O90" i="9"/>
  <c r="L315" i="9"/>
  <c r="O315" i="9" s="1"/>
  <c r="O317" i="9"/>
  <c r="P328" i="7"/>
  <c r="P132" i="7"/>
  <c r="O23" i="7"/>
  <c r="O345" i="7"/>
  <c r="P263" i="5"/>
  <c r="O88" i="6"/>
  <c r="P345" i="7"/>
  <c r="O23" i="4"/>
  <c r="P44" i="6"/>
  <c r="L119" i="6"/>
  <c r="O119" i="6" s="1"/>
  <c r="O168" i="6"/>
  <c r="O135" i="6"/>
  <c r="L21" i="7"/>
  <c r="O21" i="7" s="1"/>
  <c r="N20" i="7"/>
  <c r="N18" i="7" s="1"/>
  <c r="O330" i="7"/>
  <c r="L31" i="7"/>
  <c r="O31" i="7" s="1"/>
  <c r="O90" i="8"/>
  <c r="N298" i="8"/>
  <c r="L181" i="8"/>
  <c r="O181" i="8" s="1"/>
  <c r="M21" i="8"/>
  <c r="P21" i="8" s="1"/>
  <c r="N20" i="8"/>
  <c r="N18" i="8" s="1"/>
  <c r="O347" i="7"/>
  <c r="P26" i="8"/>
  <c r="O43" i="5"/>
  <c r="O261" i="6"/>
  <c r="O69" i="7"/>
  <c r="P90" i="7"/>
  <c r="O68" i="7"/>
  <c r="M328" i="8"/>
  <c r="P328" i="8" s="1"/>
  <c r="P168" i="8"/>
  <c r="M13" i="8"/>
  <c r="M11" i="8" s="1"/>
  <c r="M66" i="8"/>
  <c r="P66" i="8" s="1"/>
  <c r="M261" i="5"/>
  <c r="P261" i="5" s="1"/>
  <c r="N13" i="7"/>
  <c r="N11" i="7" s="1"/>
  <c r="K364" i="5"/>
  <c r="O152" i="5"/>
  <c r="L315" i="6"/>
  <c r="O315" i="6" s="1"/>
  <c r="L402" i="6"/>
  <c r="O402" i="6" s="1"/>
  <c r="P181" i="7"/>
  <c r="L149" i="7"/>
  <c r="O149" i="7" s="1"/>
  <c r="O183" i="7"/>
  <c r="M20" i="8"/>
  <c r="M18" i="8" s="1"/>
  <c r="O151" i="8"/>
  <c r="L149" i="8"/>
  <c r="O149" i="8" s="1"/>
  <c r="P300" i="6"/>
  <c r="L315" i="7"/>
  <c r="O315" i="7" s="1"/>
  <c r="M119" i="7"/>
  <c r="P119" i="7" s="1"/>
  <c r="O331" i="7"/>
  <c r="P183" i="7"/>
  <c r="O165" i="8"/>
  <c r="O300" i="8"/>
  <c r="O55" i="6"/>
  <c r="O53" i="6"/>
  <c r="O167" i="6"/>
  <c r="O181" i="7"/>
  <c r="O119" i="7"/>
  <c r="L66" i="7"/>
  <c r="O66" i="7" s="1"/>
  <c r="P167" i="8"/>
  <c r="M165" i="8"/>
  <c r="P165" i="8" s="1"/>
  <c r="O525" i="8"/>
  <c r="L523" i="8"/>
  <c r="O523" i="8" s="1"/>
  <c r="M66" i="5"/>
  <c r="P66" i="5" s="1"/>
  <c r="P261" i="6"/>
  <c r="O168" i="7"/>
  <c r="L13" i="7"/>
  <c r="L11" i="7" s="1"/>
  <c r="K288" i="8"/>
  <c r="O469" i="8"/>
  <c r="L315" i="8"/>
  <c r="O315" i="8" s="1"/>
  <c r="K433" i="8"/>
  <c r="P263" i="8"/>
  <c r="N261" i="8"/>
  <c r="P261" i="8" s="1"/>
  <c r="O263" i="8"/>
  <c r="O631" i="8"/>
  <c r="L629" i="8"/>
  <c r="O629" i="8" s="1"/>
  <c r="N414" i="8"/>
  <c r="K275" i="8"/>
  <c r="M414" i="8"/>
  <c r="P414" i="8" s="1"/>
  <c r="O15" i="8"/>
  <c r="P151" i="8"/>
  <c r="M149" i="8"/>
  <c r="P149" i="8" s="1"/>
  <c r="N9" i="8"/>
  <c r="P41" i="8"/>
  <c r="O88" i="7"/>
  <c r="P19" i="8"/>
  <c r="K417" i="8"/>
  <c r="P404" i="8"/>
  <c r="M402" i="8"/>
  <c r="P402" i="8" s="1"/>
  <c r="I64" i="8"/>
  <c r="K64" i="8" s="1"/>
  <c r="K76" i="8"/>
  <c r="P30" i="8"/>
  <c r="M28" i="8"/>
  <c r="P28" i="8" s="1"/>
  <c r="K237" i="8"/>
  <c r="I226" i="8"/>
  <c r="K226" i="8" s="1"/>
  <c r="O43" i="8"/>
  <c r="N345" i="5"/>
  <c r="O345" i="5" s="1"/>
  <c r="P300" i="4"/>
  <c r="I164" i="6"/>
  <c r="K164" i="6" s="1"/>
  <c r="L685" i="7"/>
  <c r="O685" i="7" s="1"/>
  <c r="P56" i="7"/>
  <c r="O263" i="7"/>
  <c r="O90" i="7"/>
  <c r="O446" i="8"/>
  <c r="L444" i="8"/>
  <c r="O444" i="8" s="1"/>
  <c r="O330" i="8"/>
  <c r="L328" i="8"/>
  <c r="O328" i="8" s="1"/>
  <c r="P391" i="8"/>
  <c r="M389" i="8"/>
  <c r="P389" i="8" s="1"/>
  <c r="O55" i="8"/>
  <c r="N53" i="8"/>
  <c r="O53" i="8" s="1"/>
  <c r="O788" i="8"/>
  <c r="L786" i="8"/>
  <c r="O786" i="8" s="1"/>
  <c r="O68" i="8"/>
  <c r="L66" i="8"/>
  <c r="O29" i="8"/>
  <c r="L9" i="8"/>
  <c r="O421" i="8"/>
  <c r="L419" i="8"/>
  <c r="O238" i="5"/>
  <c r="P331" i="7"/>
  <c r="P90" i="8"/>
  <c r="M88" i="8"/>
  <c r="P88" i="8" s="1"/>
  <c r="P12" i="8"/>
  <c r="M9" i="8"/>
  <c r="M181" i="8"/>
  <c r="P181" i="8" s="1"/>
  <c r="P183" i="8"/>
  <c r="P59" i="8"/>
  <c r="O59" i="8"/>
  <c r="P279" i="8"/>
  <c r="M277" i="8"/>
  <c r="O23" i="8"/>
  <c r="L20" i="8"/>
  <c r="L13" i="8"/>
  <c r="L21" i="8"/>
  <c r="O21" i="8" s="1"/>
  <c r="P43" i="8"/>
  <c r="O261" i="7"/>
  <c r="M389" i="2"/>
  <c r="P389" i="2" s="1"/>
  <c r="O469" i="5"/>
  <c r="L31" i="5"/>
  <c r="O31" i="5" s="1"/>
  <c r="O330" i="5"/>
  <c r="O546" i="6"/>
  <c r="M277" i="6"/>
  <c r="P277" i="6" s="1"/>
  <c r="I64" i="6"/>
  <c r="K64" i="6" s="1"/>
  <c r="K76" i="7"/>
  <c r="N14" i="7"/>
  <c r="P348" i="7"/>
  <c r="M298" i="7"/>
  <c r="P298" i="7" s="1"/>
  <c r="P300" i="7"/>
  <c r="N688" i="1"/>
  <c r="O688" i="1" s="1"/>
  <c r="O264" i="3"/>
  <c r="O687" i="5"/>
  <c r="I164" i="5"/>
  <c r="K164" i="5" s="1"/>
  <c r="P43" i="5"/>
  <c r="L34" i="5"/>
  <c r="O34" i="5" s="1"/>
  <c r="P88" i="6"/>
  <c r="K417" i="7"/>
  <c r="O167" i="7"/>
  <c r="N165" i="7"/>
  <c r="N37" i="7" s="1"/>
  <c r="O44" i="7"/>
  <c r="P134" i="7"/>
  <c r="M389" i="6"/>
  <c r="P389" i="6" s="1"/>
  <c r="P279" i="7"/>
  <c r="P347" i="7"/>
  <c r="M41" i="7"/>
  <c r="P41" i="7" s="1"/>
  <c r="P43" i="7"/>
  <c r="O31" i="6"/>
  <c r="O68" i="6"/>
  <c r="P53" i="6"/>
  <c r="P55" i="7"/>
  <c r="P330" i="7"/>
  <c r="O300" i="6"/>
  <c r="O33" i="6"/>
  <c r="M389" i="7"/>
  <c r="P389" i="7" s="1"/>
  <c r="L132" i="7"/>
  <c r="O132" i="7" s="1"/>
  <c r="O55" i="7"/>
  <c r="P68" i="7"/>
  <c r="M66" i="7"/>
  <c r="P66" i="7" s="1"/>
  <c r="P404" i="7"/>
  <c r="M402" i="7"/>
  <c r="P402" i="7" s="1"/>
  <c r="L165" i="6"/>
  <c r="O165" i="6" s="1"/>
  <c r="K434" i="7"/>
  <c r="I418" i="7"/>
  <c r="K418" i="7" s="1"/>
  <c r="N414" i="7"/>
  <c r="P23" i="7"/>
  <c r="M20" i="7"/>
  <c r="M13" i="7"/>
  <c r="M21" i="7"/>
  <c r="P21" i="7" s="1"/>
  <c r="O19" i="7"/>
  <c r="P264" i="7"/>
  <c r="O264" i="7"/>
  <c r="O469" i="7"/>
  <c r="P53" i="7"/>
  <c r="M414" i="7"/>
  <c r="P414" i="7" s="1"/>
  <c r="O90" i="5"/>
  <c r="K433" i="7"/>
  <c r="O238" i="7"/>
  <c r="L227" i="7"/>
  <c r="P26" i="7"/>
  <c r="M24" i="7"/>
  <c r="M16" i="7"/>
  <c r="P149" i="5"/>
  <c r="O631" i="7"/>
  <c r="L629" i="7"/>
  <c r="O629" i="7" s="1"/>
  <c r="I65" i="7"/>
  <c r="K65" i="7" s="1"/>
  <c r="K77" i="7"/>
  <c r="K237" i="7"/>
  <c r="I226" i="7"/>
  <c r="K226" i="7" s="1"/>
  <c r="O421" i="7"/>
  <c r="L419" i="7"/>
  <c r="O53" i="7"/>
  <c r="K288" i="7"/>
  <c r="L24" i="7"/>
  <c r="O26" i="7"/>
  <c r="L16" i="7"/>
  <c r="L20" i="7"/>
  <c r="L467" i="7"/>
  <c r="O467" i="7" s="1"/>
  <c r="P88" i="5"/>
  <c r="O90" i="6"/>
  <c r="O446" i="7"/>
  <c r="L444" i="7"/>
  <c r="O444" i="7" s="1"/>
  <c r="K143" i="7"/>
  <c r="I131" i="7"/>
  <c r="K131" i="7" s="1"/>
  <c r="L9" i="7"/>
  <c r="O12" i="7"/>
  <c r="P261" i="7"/>
  <c r="I64" i="3"/>
  <c r="K64" i="3" s="1"/>
  <c r="L402" i="4"/>
  <c r="O402" i="4" s="1"/>
  <c r="P44" i="5"/>
  <c r="O544" i="6"/>
  <c r="N298" i="6"/>
  <c r="P298" i="6" s="1"/>
  <c r="P55" i="6"/>
  <c r="P90" i="6"/>
  <c r="P151" i="5"/>
  <c r="O151" i="5"/>
  <c r="N24" i="6"/>
  <c r="P24" i="6" s="1"/>
  <c r="K559" i="6"/>
  <c r="K559" i="4"/>
  <c r="M132" i="4"/>
  <c r="P132" i="4" s="1"/>
  <c r="M119" i="4"/>
  <c r="P119" i="4" s="1"/>
  <c r="O88" i="5"/>
  <c r="L30" i="6"/>
  <c r="O30" i="6" s="1"/>
  <c r="L655" i="6"/>
  <c r="O655" i="6" s="1"/>
  <c r="P181" i="6"/>
  <c r="L34" i="6"/>
  <c r="O34" i="6" s="1"/>
  <c r="L298" i="4"/>
  <c r="O298" i="4" s="1"/>
  <c r="P183" i="5"/>
  <c r="O351" i="6"/>
  <c r="K288" i="5"/>
  <c r="P345" i="6"/>
  <c r="P183" i="6"/>
  <c r="O391" i="6"/>
  <c r="L389" i="6"/>
  <c r="O389" i="6" s="1"/>
  <c r="L66" i="6"/>
  <c r="O66" i="6" s="1"/>
  <c r="P138" i="6"/>
  <c r="P181" i="5"/>
  <c r="P121" i="6"/>
  <c r="M119" i="6"/>
  <c r="P119" i="6" s="1"/>
  <c r="P404" i="6"/>
  <c r="M402" i="6"/>
  <c r="P402" i="6" s="1"/>
  <c r="M41" i="6"/>
  <c r="P41" i="6" s="1"/>
  <c r="P43" i="6"/>
  <c r="O184" i="3"/>
  <c r="K364" i="6"/>
  <c r="P15" i="6"/>
  <c r="O183" i="6"/>
  <c r="L181" i="6"/>
  <c r="O181" i="6" s="1"/>
  <c r="O183" i="3"/>
  <c r="O68" i="3"/>
  <c r="O300" i="5"/>
  <c r="L53" i="5"/>
  <c r="O53" i="5" s="1"/>
  <c r="K433" i="6"/>
  <c r="P331" i="6"/>
  <c r="L132" i="6"/>
  <c r="O132" i="6" s="1"/>
  <c r="O19" i="6"/>
  <c r="K288" i="6"/>
  <c r="K143" i="6"/>
  <c r="I131" i="6"/>
  <c r="K131" i="6" s="1"/>
  <c r="P301" i="6"/>
  <c r="O301" i="6"/>
  <c r="L402" i="5"/>
  <c r="O402" i="5" s="1"/>
  <c r="O135" i="5"/>
  <c r="O525" i="6"/>
  <c r="L523" i="6"/>
  <c r="O523" i="6" s="1"/>
  <c r="I65" i="6"/>
  <c r="K65" i="6" s="1"/>
  <c r="K77" i="6"/>
  <c r="O279" i="6"/>
  <c r="L277" i="6"/>
  <c r="O277" i="6" s="1"/>
  <c r="P330" i="6"/>
  <c r="O330" i="6"/>
  <c r="N328" i="6"/>
  <c r="O12" i="6"/>
  <c r="L9" i="6"/>
  <c r="M28" i="6"/>
  <c r="P28" i="6" s="1"/>
  <c r="P29" i="6"/>
  <c r="M9" i="6"/>
  <c r="O23" i="6"/>
  <c r="L20" i="6"/>
  <c r="L13" i="6"/>
  <c r="L11" i="6" s="1"/>
  <c r="P26" i="6"/>
  <c r="M16" i="6"/>
  <c r="P16" i="6" s="1"/>
  <c r="O261" i="5"/>
  <c r="O469" i="6"/>
  <c r="N467" i="6"/>
  <c r="O631" i="6"/>
  <c r="L629" i="6"/>
  <c r="O629" i="6" s="1"/>
  <c r="P348" i="6"/>
  <c r="K237" i="6"/>
  <c r="I226" i="6"/>
  <c r="K226" i="6" s="1"/>
  <c r="L24" i="6"/>
  <c r="O26" i="6"/>
  <c r="L16" i="6"/>
  <c r="L41" i="6"/>
  <c r="P183" i="3"/>
  <c r="O184" i="4"/>
  <c r="O134" i="5"/>
  <c r="O788" i="6"/>
  <c r="L786" i="6"/>
  <c r="O786" i="6" s="1"/>
  <c r="M165" i="6"/>
  <c r="P165" i="6" s="1"/>
  <c r="O238" i="6"/>
  <c r="L227" i="6"/>
  <c r="N21" i="6"/>
  <c r="N13" i="6"/>
  <c r="N20" i="6"/>
  <c r="N18" i="6" s="1"/>
  <c r="P23" i="6"/>
  <c r="M20" i="6"/>
  <c r="M13" i="6"/>
  <c r="M21" i="6"/>
  <c r="L13" i="4"/>
  <c r="L11" i="4" s="1"/>
  <c r="M414" i="6"/>
  <c r="P414" i="6" s="1"/>
  <c r="O446" i="6"/>
  <c r="L444" i="6"/>
  <c r="O444" i="6" s="1"/>
  <c r="O421" i="6"/>
  <c r="L419" i="6"/>
  <c r="L21" i="6"/>
  <c r="P68" i="6"/>
  <c r="M66" i="6"/>
  <c r="O90" i="3"/>
  <c r="O56" i="5"/>
  <c r="L132" i="5"/>
  <c r="O132" i="5" s="1"/>
  <c r="M119" i="3"/>
  <c r="P119" i="3" s="1"/>
  <c r="L655" i="3"/>
  <c r="O655" i="3" s="1"/>
  <c r="O330" i="3"/>
  <c r="O263" i="3"/>
  <c r="O331" i="4"/>
  <c r="L31" i="4"/>
  <c r="O31" i="4" s="1"/>
  <c r="K559" i="5"/>
  <c r="P279" i="5"/>
  <c r="L655" i="5"/>
  <c r="O655" i="5" s="1"/>
  <c r="P300" i="5"/>
  <c r="P301" i="3"/>
  <c r="P90" i="3"/>
  <c r="O467" i="5"/>
  <c r="O167" i="1"/>
  <c r="P90" i="4"/>
  <c r="P88" i="4"/>
  <c r="O263" i="5"/>
  <c r="I226" i="5"/>
  <c r="K226" i="5" s="1"/>
  <c r="O298" i="5"/>
  <c r="K233" i="1"/>
  <c r="O546" i="4"/>
  <c r="L277" i="4"/>
  <c r="O277" i="4" s="1"/>
  <c r="L34" i="4"/>
  <c r="O34" i="4" s="1"/>
  <c r="N21" i="4"/>
  <c r="O347" i="4"/>
  <c r="P263" i="4"/>
  <c r="M328" i="5"/>
  <c r="P328" i="5" s="1"/>
  <c r="L119" i="5"/>
  <c r="O119" i="5" s="1"/>
  <c r="M315" i="5"/>
  <c r="P315" i="5" s="1"/>
  <c r="P317" i="5"/>
  <c r="L389" i="3"/>
  <c r="O389" i="3" s="1"/>
  <c r="P66" i="3"/>
  <c r="N13" i="4"/>
  <c r="N11" i="4" s="1"/>
  <c r="L41" i="5"/>
  <c r="O41" i="5" s="1"/>
  <c r="M389" i="5"/>
  <c r="P389" i="5" s="1"/>
  <c r="P277" i="3"/>
  <c r="L66" i="5"/>
  <c r="O66" i="5" s="1"/>
  <c r="O546" i="5"/>
  <c r="L544" i="5"/>
  <c r="O544" i="5" s="1"/>
  <c r="O328" i="5"/>
  <c r="P298" i="4"/>
  <c r="N24" i="5"/>
  <c r="K364" i="4"/>
  <c r="I418" i="5"/>
  <c r="K418" i="5" s="1"/>
  <c r="O44" i="5"/>
  <c r="P41" i="5"/>
  <c r="K112" i="1"/>
  <c r="O183" i="2"/>
  <c r="N414" i="5"/>
  <c r="M414" i="5"/>
  <c r="P414" i="5" s="1"/>
  <c r="I131" i="5"/>
  <c r="K131" i="5" s="1"/>
  <c r="K143" i="5"/>
  <c r="P121" i="5"/>
  <c r="M119" i="5"/>
  <c r="P119" i="5" s="1"/>
  <c r="P404" i="5"/>
  <c r="M402" i="5"/>
  <c r="P402" i="5" s="1"/>
  <c r="L277" i="5"/>
  <c r="O277" i="5" s="1"/>
  <c r="O279" i="5"/>
  <c r="P23" i="5"/>
  <c r="M13" i="5"/>
  <c r="M11" i="5" s="1"/>
  <c r="M20" i="5"/>
  <c r="M18" i="5" s="1"/>
  <c r="I65" i="5"/>
  <c r="K65" i="5" s="1"/>
  <c r="K77" i="5"/>
  <c r="P19" i="5"/>
  <c r="L20" i="5"/>
  <c r="L13" i="5"/>
  <c r="O23" i="5"/>
  <c r="L21" i="5"/>
  <c r="O91" i="5"/>
  <c r="O446" i="5"/>
  <c r="L444" i="5"/>
  <c r="O444" i="5" s="1"/>
  <c r="O421" i="5"/>
  <c r="L419" i="5"/>
  <c r="P301" i="5"/>
  <c r="I64" i="5"/>
  <c r="K64" i="5" s="1"/>
  <c r="K76" i="5"/>
  <c r="L149" i="5"/>
  <c r="O149" i="5" s="1"/>
  <c r="P12" i="5"/>
  <c r="M9" i="5"/>
  <c r="O9" i="5"/>
  <c r="L24" i="5"/>
  <c r="O26" i="5"/>
  <c r="L16" i="5"/>
  <c r="O209" i="1"/>
  <c r="O544" i="4"/>
  <c r="M165" i="4"/>
  <c r="P165" i="4" s="1"/>
  <c r="L66" i="4"/>
  <c r="O66" i="4" s="1"/>
  <c r="M16" i="4"/>
  <c r="M14" i="4" s="1"/>
  <c r="P14" i="4" s="1"/>
  <c r="P317" i="4"/>
  <c r="L30" i="4"/>
  <c r="O30" i="4" s="1"/>
  <c r="P298" i="5"/>
  <c r="L315" i="5"/>
  <c r="O315" i="5" s="1"/>
  <c r="K433" i="5"/>
  <c r="O631" i="5"/>
  <c r="L629" i="5"/>
  <c r="O629" i="5" s="1"/>
  <c r="M345" i="5"/>
  <c r="P134" i="5"/>
  <c r="M132" i="5"/>
  <c r="P132" i="5" s="1"/>
  <c r="P90" i="5"/>
  <c r="J364" i="3"/>
  <c r="K364" i="3" s="1"/>
  <c r="P68" i="3"/>
  <c r="N165" i="5"/>
  <c r="P167" i="5"/>
  <c r="P26" i="5"/>
  <c r="M16" i="5"/>
  <c r="M24" i="5"/>
  <c r="M21" i="5"/>
  <c r="L181" i="5"/>
  <c r="O181" i="5" s="1"/>
  <c r="O183" i="5"/>
  <c r="N20" i="5"/>
  <c r="N18" i="5" s="1"/>
  <c r="N13" i="5"/>
  <c r="N21" i="5"/>
  <c r="P183" i="1"/>
  <c r="O351" i="3"/>
  <c r="O55" i="3"/>
  <c r="L119" i="3"/>
  <c r="O119" i="3" s="1"/>
  <c r="M181" i="3"/>
  <c r="P181" i="3" s="1"/>
  <c r="P44" i="4"/>
  <c r="P23" i="4"/>
  <c r="P167" i="3"/>
  <c r="M149" i="4"/>
  <c r="P149" i="4" s="1"/>
  <c r="L88" i="3"/>
  <c r="O88" i="3" s="1"/>
  <c r="P53" i="3"/>
  <c r="O88" i="4"/>
  <c r="O181" i="4"/>
  <c r="O183" i="4"/>
  <c r="K364" i="1"/>
  <c r="L402" i="1"/>
  <c r="O402" i="1" s="1"/>
  <c r="L34" i="2"/>
  <c r="O34" i="2" s="1"/>
  <c r="N261" i="3"/>
  <c r="O261" i="3" s="1"/>
  <c r="L419" i="4"/>
  <c r="O419" i="4" s="1"/>
  <c r="K275" i="4"/>
  <c r="O53" i="4"/>
  <c r="L629" i="3"/>
  <c r="O629" i="3" s="1"/>
  <c r="O347" i="3"/>
  <c r="P315" i="4"/>
  <c r="O690" i="1"/>
  <c r="I417" i="1"/>
  <c r="K417" i="1" s="1"/>
  <c r="O167" i="2"/>
  <c r="K434" i="3"/>
  <c r="P404" i="3"/>
  <c r="O66" i="3"/>
  <c r="K417" i="3"/>
  <c r="N345" i="4"/>
  <c r="P345" i="4" s="1"/>
  <c r="P351" i="4"/>
  <c r="P53" i="4"/>
  <c r="K77" i="4"/>
  <c r="M20" i="4"/>
  <c r="M18" i="4" s="1"/>
  <c r="O167" i="4"/>
  <c r="L165" i="4"/>
  <c r="O165" i="4" s="1"/>
  <c r="O151" i="4"/>
  <c r="L149" i="4"/>
  <c r="O149" i="4" s="1"/>
  <c r="O90" i="4"/>
  <c r="P331" i="4"/>
  <c r="O43" i="4"/>
  <c r="L227" i="4"/>
  <c r="P55" i="3"/>
  <c r="O134" i="4"/>
  <c r="L132" i="4"/>
  <c r="O132" i="4" s="1"/>
  <c r="O55" i="4"/>
  <c r="O525" i="2"/>
  <c r="O135" i="3"/>
  <c r="L328" i="3"/>
  <c r="O328" i="3" s="1"/>
  <c r="P330" i="4"/>
  <c r="O121" i="4"/>
  <c r="L119" i="4"/>
  <c r="O119" i="4" s="1"/>
  <c r="O391" i="4"/>
  <c r="L389" i="4"/>
  <c r="O389" i="4" s="1"/>
  <c r="P55" i="4"/>
  <c r="K76" i="4"/>
  <c r="I64" i="4"/>
  <c r="K64" i="4" s="1"/>
  <c r="O43" i="1"/>
  <c r="O345" i="3"/>
  <c r="M277" i="4"/>
  <c r="P277" i="4" s="1"/>
  <c r="O263" i="4"/>
  <c r="M328" i="4"/>
  <c r="N261" i="4"/>
  <c r="P261" i="4" s="1"/>
  <c r="P347" i="4"/>
  <c r="P183" i="4"/>
  <c r="M181" i="4"/>
  <c r="P181" i="4" s="1"/>
  <c r="K64" i="1"/>
  <c r="K65" i="1"/>
  <c r="O300" i="3"/>
  <c r="M165" i="3"/>
  <c r="P165" i="3" s="1"/>
  <c r="L315" i="3"/>
  <c r="O315" i="3" s="1"/>
  <c r="M414" i="4"/>
  <c r="P414" i="4" s="1"/>
  <c r="P419" i="4"/>
  <c r="P9" i="4"/>
  <c r="O59" i="4"/>
  <c r="N24" i="4"/>
  <c r="P24" i="4" s="1"/>
  <c r="P26" i="4"/>
  <c r="P391" i="4"/>
  <c r="M389" i="4"/>
  <c r="P389" i="4" s="1"/>
  <c r="O151" i="3"/>
  <c r="K433" i="4"/>
  <c r="I417" i="4"/>
  <c r="K417" i="4" s="1"/>
  <c r="O15" i="4"/>
  <c r="O330" i="4"/>
  <c r="N328" i="4"/>
  <c r="O328" i="4" s="1"/>
  <c r="M11" i="4"/>
  <c r="N414" i="4"/>
  <c r="L24" i="4"/>
  <c r="O26" i="4"/>
  <c r="L16" i="4"/>
  <c r="O16" i="4" s="1"/>
  <c r="O525" i="4"/>
  <c r="L523" i="4"/>
  <c r="O523" i="4" s="1"/>
  <c r="K288" i="4"/>
  <c r="P29" i="4"/>
  <c r="M28" i="4"/>
  <c r="P28" i="4" s="1"/>
  <c r="L132" i="2"/>
  <c r="O132" i="2" s="1"/>
  <c r="P263" i="2"/>
  <c r="L685" i="3"/>
  <c r="O685" i="3" s="1"/>
  <c r="O469" i="4"/>
  <c r="L261" i="4"/>
  <c r="L20" i="4"/>
  <c r="L9" i="4"/>
  <c r="I226" i="4"/>
  <c r="K226" i="4" s="1"/>
  <c r="K433" i="3"/>
  <c r="O446" i="4"/>
  <c r="L444" i="4"/>
  <c r="O444" i="4" s="1"/>
  <c r="O631" i="4"/>
  <c r="L629" i="4"/>
  <c r="O629" i="4" s="1"/>
  <c r="L315" i="4"/>
  <c r="O315" i="4" s="1"/>
  <c r="P15" i="4"/>
  <c r="P404" i="4"/>
  <c r="M402" i="4"/>
  <c r="P402" i="4" s="1"/>
  <c r="O29" i="4"/>
  <c r="O168" i="4"/>
  <c r="N20" i="4"/>
  <c r="N18" i="4" s="1"/>
  <c r="O472" i="1"/>
  <c r="K174" i="1"/>
  <c r="O330" i="2"/>
  <c r="L34" i="3"/>
  <c r="O34" i="3" s="1"/>
  <c r="O298" i="1"/>
  <c r="P404" i="2"/>
  <c r="L402" i="3"/>
  <c r="O402" i="3" s="1"/>
  <c r="O277" i="3"/>
  <c r="L165" i="2"/>
  <c r="L298" i="3"/>
  <c r="O298" i="3" s="1"/>
  <c r="P279" i="3"/>
  <c r="O279" i="1"/>
  <c r="L181" i="3"/>
  <c r="O181" i="3" s="1"/>
  <c r="P300" i="2"/>
  <c r="M261" i="2"/>
  <c r="P261" i="2" s="1"/>
  <c r="O348" i="2"/>
  <c r="P88" i="2"/>
  <c r="O279" i="3"/>
  <c r="M21" i="3"/>
  <c r="P317" i="3"/>
  <c r="M315" i="3"/>
  <c r="P315" i="3" s="1"/>
  <c r="O238" i="3"/>
  <c r="L227" i="3"/>
  <c r="L165" i="3"/>
  <c r="O165" i="3" s="1"/>
  <c r="O167" i="3"/>
  <c r="K248" i="3"/>
  <c r="I226" i="3"/>
  <c r="K226" i="3" s="1"/>
  <c r="P134" i="3"/>
  <c r="M132" i="3"/>
  <c r="O33" i="3"/>
  <c r="L30" i="3"/>
  <c r="O30" i="3" s="1"/>
  <c r="P347" i="1"/>
  <c r="I543" i="2"/>
  <c r="K543" i="2" s="1"/>
  <c r="I226" i="2"/>
  <c r="K226" i="2" s="1"/>
  <c r="L467" i="2"/>
  <c r="O467" i="2" s="1"/>
  <c r="P277" i="2"/>
  <c r="O53" i="2"/>
  <c r="O249" i="1"/>
  <c r="O68" i="2"/>
  <c r="O55" i="2"/>
  <c r="J226" i="1"/>
  <c r="P68" i="2"/>
  <c r="L523" i="3"/>
  <c r="O523" i="3" s="1"/>
  <c r="O469" i="3"/>
  <c r="L467" i="3"/>
  <c r="O467" i="3" s="1"/>
  <c r="P12" i="3"/>
  <c r="M9" i="3"/>
  <c r="M11" i="3"/>
  <c r="P43" i="3"/>
  <c r="O43" i="3"/>
  <c r="N41" i="3"/>
  <c r="L31" i="3"/>
  <c r="O31" i="3" s="1"/>
  <c r="O421" i="3"/>
  <c r="L419" i="3"/>
  <c r="P26" i="3"/>
  <c r="M16" i="3"/>
  <c r="M14" i="3" s="1"/>
  <c r="P14" i="3" s="1"/>
  <c r="M24" i="3"/>
  <c r="P347" i="3"/>
  <c r="M345" i="3"/>
  <c r="P345" i="3" s="1"/>
  <c r="O315" i="2"/>
  <c r="L227" i="2"/>
  <c r="I418" i="2"/>
  <c r="K418" i="2" s="1"/>
  <c r="M20" i="2"/>
  <c r="O53" i="3"/>
  <c r="O29" i="3"/>
  <c r="M28" i="3"/>
  <c r="P28" i="3" s="1"/>
  <c r="P29" i="3"/>
  <c r="O9" i="3"/>
  <c r="O446" i="3"/>
  <c r="L444" i="3"/>
  <c r="O444" i="3" s="1"/>
  <c r="N20" i="3"/>
  <c r="N18" i="3" s="1"/>
  <c r="N13" i="3"/>
  <c r="N11" i="3" s="1"/>
  <c r="N21" i="3"/>
  <c r="O21" i="3" s="1"/>
  <c r="O279" i="2"/>
  <c r="O317" i="2"/>
  <c r="M414" i="3"/>
  <c r="P414" i="3" s="1"/>
  <c r="P300" i="3"/>
  <c r="M298" i="3"/>
  <c r="P298" i="3" s="1"/>
  <c r="O19" i="3"/>
  <c r="P151" i="3"/>
  <c r="N149" i="3"/>
  <c r="P149" i="3" s="1"/>
  <c r="J131" i="3"/>
  <c r="K131" i="3" s="1"/>
  <c r="K143" i="3"/>
  <c r="O23" i="3"/>
  <c r="L20" i="3"/>
  <c r="L13" i="3"/>
  <c r="I65" i="3"/>
  <c r="K65" i="3" s="1"/>
  <c r="K77" i="3"/>
  <c r="O90" i="1"/>
  <c r="O277" i="2"/>
  <c r="O546" i="3"/>
  <c r="L544" i="3"/>
  <c r="O544" i="3" s="1"/>
  <c r="P263" i="3"/>
  <c r="M261" i="3"/>
  <c r="P330" i="3"/>
  <c r="M328" i="3"/>
  <c r="P328" i="3" s="1"/>
  <c r="L16" i="3"/>
  <c r="L24" i="3"/>
  <c r="O26" i="3"/>
  <c r="N9" i="3"/>
  <c r="O134" i="3"/>
  <c r="L132" i="3"/>
  <c r="O132" i="3" s="1"/>
  <c r="P15" i="3"/>
  <c r="M20" i="3"/>
  <c r="N24" i="3"/>
  <c r="O44" i="3"/>
  <c r="P23" i="3"/>
  <c r="O263" i="1"/>
  <c r="N446" i="1"/>
  <c r="N444" i="1" s="1"/>
  <c r="N227" i="1"/>
  <c r="P23" i="2"/>
  <c r="N470" i="1"/>
  <c r="O470" i="1" s="1"/>
  <c r="N631" i="1"/>
  <c r="O631" i="1" s="1"/>
  <c r="L227" i="1"/>
  <c r="M21" i="2"/>
  <c r="P279" i="2"/>
  <c r="P43" i="2"/>
  <c r="P263" i="1"/>
  <c r="K235" i="1"/>
  <c r="N181" i="1"/>
  <c r="P181" i="1" s="1"/>
  <c r="M13" i="1"/>
  <c r="M11" i="1" s="1"/>
  <c r="O68" i="1"/>
  <c r="O317" i="1"/>
  <c r="P184" i="2"/>
  <c r="P26" i="2"/>
  <c r="P41" i="2"/>
  <c r="K77" i="1"/>
  <c r="M16" i="2"/>
  <c r="M10" i="2" s="1"/>
  <c r="K576" i="1"/>
  <c r="J559" i="1"/>
  <c r="O119" i="1"/>
  <c r="N447" i="1"/>
  <c r="O447" i="1" s="1"/>
  <c r="L181" i="2"/>
  <c r="O181" i="2" s="1"/>
  <c r="L389" i="2"/>
  <c r="O389" i="2" s="1"/>
  <c r="O391" i="2"/>
  <c r="O238" i="1"/>
  <c r="K236" i="1"/>
  <c r="P348" i="2"/>
  <c r="M132" i="2"/>
  <c r="P132" i="2" s="1"/>
  <c r="O546" i="2"/>
  <c r="L544" i="2"/>
  <c r="O544" i="2" s="1"/>
  <c r="P121" i="1"/>
  <c r="P23" i="1"/>
  <c r="L31" i="2"/>
  <c r="L30" i="2"/>
  <c r="L28" i="2" s="1"/>
  <c r="O315" i="1"/>
  <c r="L389" i="1"/>
  <c r="O389" i="1" s="1"/>
  <c r="P119" i="1"/>
  <c r="L685" i="2"/>
  <c r="O685" i="2" s="1"/>
  <c r="L402" i="2"/>
  <c r="O402" i="2" s="1"/>
  <c r="M119" i="2"/>
  <c r="P119" i="2" s="1"/>
  <c r="P55" i="2"/>
  <c r="P90" i="2"/>
  <c r="P348" i="1"/>
  <c r="L41" i="1"/>
  <c r="O41" i="1" s="1"/>
  <c r="K76" i="1"/>
  <c r="J593" i="1"/>
  <c r="J592" i="1" s="1"/>
  <c r="K592" i="1" s="1"/>
  <c r="O198" i="1"/>
  <c r="O347" i="2"/>
  <c r="L655" i="2"/>
  <c r="O655" i="2" s="1"/>
  <c r="M11" i="2"/>
  <c r="P12" i="2"/>
  <c r="M9" i="2"/>
  <c r="P183" i="2"/>
  <c r="M181" i="2"/>
  <c r="P181" i="2" s="1"/>
  <c r="P277" i="1"/>
  <c r="P279" i="1"/>
  <c r="N328" i="2"/>
  <c r="O328" i="2" s="1"/>
  <c r="P19" i="2"/>
  <c r="O12" i="2"/>
  <c r="L9" i="2"/>
  <c r="P330" i="2"/>
  <c r="M328" i="2"/>
  <c r="O26" i="2"/>
  <c r="L16" i="2"/>
  <c r="L14" i="2" s="1"/>
  <c r="L24" i="2"/>
  <c r="M28" i="2"/>
  <c r="P28" i="2" s="1"/>
  <c r="O300" i="1"/>
  <c r="O44" i="1"/>
  <c r="P21" i="1"/>
  <c r="P59" i="1"/>
  <c r="N414" i="2"/>
  <c r="K433" i="2"/>
  <c r="I417" i="2"/>
  <c r="K417" i="2" s="1"/>
  <c r="K288" i="2"/>
  <c r="J275" i="2"/>
  <c r="K275" i="2" s="1"/>
  <c r="O300" i="2"/>
  <c r="L298" i="2"/>
  <c r="O19" i="2"/>
  <c r="N298" i="2"/>
  <c r="P298" i="2" s="1"/>
  <c r="P167" i="2"/>
  <c r="N165" i="2"/>
  <c r="P165" i="2" s="1"/>
  <c r="M149" i="2"/>
  <c r="P149" i="2" s="1"/>
  <c r="N24" i="2"/>
  <c r="P24" i="2" s="1"/>
  <c r="N16" i="2"/>
  <c r="N14" i="2" s="1"/>
  <c r="O33" i="2"/>
  <c r="N30" i="2"/>
  <c r="N31" i="2"/>
  <c r="O121" i="2"/>
  <c r="L119" i="2"/>
  <c r="O119" i="2" s="1"/>
  <c r="P298" i="1"/>
  <c r="O631" i="2"/>
  <c r="L629" i="2"/>
  <c r="O629" i="2" s="1"/>
  <c r="O446" i="2"/>
  <c r="L444" i="2"/>
  <c r="O444" i="2" s="1"/>
  <c r="K364" i="2"/>
  <c r="O15" i="2"/>
  <c r="I64" i="2"/>
  <c r="K64" i="2" s="1"/>
  <c r="K76" i="2"/>
  <c r="O132" i="1"/>
  <c r="M414" i="2"/>
  <c r="P414" i="2" s="1"/>
  <c r="P347" i="2"/>
  <c r="L419" i="2"/>
  <c r="O151" i="2"/>
  <c r="L149" i="2"/>
  <c r="O149" i="2" s="1"/>
  <c r="P53" i="2"/>
  <c r="L261" i="2"/>
  <c r="O261" i="2" s="1"/>
  <c r="O263" i="2"/>
  <c r="O23" i="2"/>
  <c r="L20" i="2"/>
  <c r="L13" i="2"/>
  <c r="N20" i="2"/>
  <c r="N18" i="2" s="1"/>
  <c r="N13" i="2"/>
  <c r="P13" i="2" s="1"/>
  <c r="N21" i="2"/>
  <c r="J594" i="1"/>
  <c r="K594" i="1" s="1"/>
  <c r="O348" i="1"/>
  <c r="O217" i="1"/>
  <c r="N345" i="2"/>
  <c r="O345" i="2" s="1"/>
  <c r="O90" i="2"/>
  <c r="L88" i="2"/>
  <c r="O88" i="2" s="1"/>
  <c r="O43" i="2"/>
  <c r="L41" i="2"/>
  <c r="M345" i="2"/>
  <c r="M315" i="2"/>
  <c r="P315" i="2" s="1"/>
  <c r="P317" i="2"/>
  <c r="P168" i="2"/>
  <c r="K77" i="2"/>
  <c r="I65" i="2"/>
  <c r="K65" i="2" s="1"/>
  <c r="L21" i="2"/>
  <c r="N419" i="1"/>
  <c r="O419" i="1" s="1"/>
  <c r="O421" i="1"/>
  <c r="K669" i="1"/>
  <c r="O424" i="1"/>
  <c r="N788" i="1"/>
  <c r="N786" i="1" s="1"/>
  <c r="O786" i="1" s="1"/>
  <c r="L277" i="1"/>
  <c r="O277" i="1" s="1"/>
  <c r="O121" i="1"/>
  <c r="N422" i="1"/>
  <c r="O422" i="1" s="1"/>
  <c r="P138" i="1"/>
  <c r="P261" i="1"/>
  <c r="N789" i="1"/>
  <c r="O789" i="1" s="1"/>
  <c r="O655" i="1"/>
  <c r="O261" i="1"/>
  <c r="O152" i="1"/>
  <c r="K522" i="1"/>
  <c r="O134" i="1"/>
  <c r="O55" i="1"/>
  <c r="N526" i="1"/>
  <c r="O526" i="1" s="1"/>
  <c r="O634" i="1"/>
  <c r="N24" i="1"/>
  <c r="P300" i="1"/>
  <c r="L88" i="1"/>
  <c r="O88" i="1" s="1"/>
  <c r="O528" i="1"/>
  <c r="O632" i="1"/>
  <c r="L66" i="1"/>
  <c r="O66" i="1" s="1"/>
  <c r="N165" i="1"/>
  <c r="O165" i="1" s="1"/>
  <c r="O36" i="1"/>
  <c r="L34" i="1"/>
  <c r="O34" i="1" s="1"/>
  <c r="O53" i="1"/>
  <c r="K675" i="1"/>
  <c r="P301" i="1"/>
  <c r="N20" i="1"/>
  <c r="N18" i="1" s="1"/>
  <c r="P91" i="1"/>
  <c r="M132" i="1"/>
  <c r="P132" i="1" s="1"/>
  <c r="P134" i="1"/>
  <c r="P151" i="1"/>
  <c r="M149" i="1"/>
  <c r="P149" i="1" s="1"/>
  <c r="O525" i="1"/>
  <c r="K143" i="1"/>
  <c r="L30" i="1"/>
  <c r="L28" i="1" s="1"/>
  <c r="L149" i="1"/>
  <c r="O149" i="1" s="1"/>
  <c r="O151" i="1"/>
  <c r="P55" i="1"/>
  <c r="M53" i="1"/>
  <c r="P53" i="1" s="1"/>
  <c r="O687" i="1"/>
  <c r="N547" i="1"/>
  <c r="O547" i="1" s="1"/>
  <c r="N546" i="1"/>
  <c r="O549" i="1"/>
  <c r="N33" i="1"/>
  <c r="M402" i="1"/>
  <c r="P402" i="1" s="1"/>
  <c r="M414" i="1"/>
  <c r="P414" i="1" s="1"/>
  <c r="P444" i="1"/>
  <c r="P12" i="1"/>
  <c r="M9" i="1"/>
  <c r="P26" i="1"/>
  <c r="M16" i="1"/>
  <c r="M24" i="1"/>
  <c r="M20" i="1"/>
  <c r="M18" i="1" s="1"/>
  <c r="O523" i="1"/>
  <c r="P330" i="1"/>
  <c r="M328" i="1"/>
  <c r="M345" i="1"/>
  <c r="P345" i="1" s="1"/>
  <c r="O184" i="1"/>
  <c r="N9" i="1"/>
  <c r="L328" i="1"/>
  <c r="O328" i="1" s="1"/>
  <c r="O330" i="1"/>
  <c r="O23" i="1"/>
  <c r="L20" i="1"/>
  <c r="L13" i="1"/>
  <c r="L21" i="1"/>
  <c r="O21" i="1" s="1"/>
  <c r="P90" i="1"/>
  <c r="M88" i="1"/>
  <c r="P88" i="1" s="1"/>
  <c r="L685" i="1"/>
  <c r="O685" i="1" s="1"/>
  <c r="P43" i="1"/>
  <c r="M41" i="1"/>
  <c r="K288" i="1"/>
  <c r="O19" i="1"/>
  <c r="L345" i="1"/>
  <c r="O345" i="1" s="1"/>
  <c r="O347" i="1"/>
  <c r="O183" i="1"/>
  <c r="L181" i="1"/>
  <c r="P167" i="1"/>
  <c r="M165" i="1"/>
  <c r="O26" i="1"/>
  <c r="L16" i="1"/>
  <c r="L24" i="1"/>
  <c r="P19" i="1"/>
  <c r="P68" i="1"/>
  <c r="M66" i="1"/>
  <c r="P66" i="1" s="1"/>
  <c r="O12" i="1"/>
  <c r="L9" i="1"/>
  <c r="I418" i="1"/>
  <c r="K418" i="1" s="1"/>
  <c r="K434" i="1"/>
  <c r="O657" i="1"/>
  <c r="L444" i="1"/>
  <c r="O467" i="1"/>
  <c r="P467" i="1"/>
  <c r="M389" i="1"/>
  <c r="P389" i="1" s="1"/>
  <c r="K537" i="1"/>
  <c r="O20" i="15" l="1"/>
  <c r="N11" i="16"/>
  <c r="P11" i="16" s="1"/>
  <c r="O13" i="16"/>
  <c r="P24" i="16"/>
  <c r="P24" i="15"/>
  <c r="L14" i="18"/>
  <c r="O14" i="18" s="1"/>
  <c r="L28" i="16"/>
  <c r="O28" i="16" s="1"/>
  <c r="N8" i="16"/>
  <c r="P20" i="17"/>
  <c r="P24" i="18"/>
  <c r="O24" i="16"/>
  <c r="P20" i="16"/>
  <c r="L28" i="18"/>
  <c r="O28" i="18" s="1"/>
  <c r="O30" i="17"/>
  <c r="P24" i="17"/>
  <c r="L11" i="16"/>
  <c r="P328" i="18"/>
  <c r="O31" i="17"/>
  <c r="N8" i="17"/>
  <c r="P261" i="15"/>
  <c r="O181" i="18"/>
  <c r="L10" i="18"/>
  <c r="L8" i="18" s="1"/>
  <c r="L11" i="18"/>
  <c r="O11" i="18" s="1"/>
  <c r="O88" i="17"/>
  <c r="L14" i="17"/>
  <c r="O14" i="17" s="1"/>
  <c r="O21" i="18"/>
  <c r="N10" i="18"/>
  <c r="N8" i="18" s="1"/>
  <c r="O13" i="18"/>
  <c r="N18" i="18"/>
  <c r="O18" i="18" s="1"/>
  <c r="O20" i="18"/>
  <c r="O261" i="16"/>
  <c r="P345" i="17"/>
  <c r="O53" i="18"/>
  <c r="N37" i="18"/>
  <c r="P53" i="18"/>
  <c r="P21" i="18"/>
  <c r="P13" i="18"/>
  <c r="M10" i="18"/>
  <c r="M11" i="18"/>
  <c r="P11" i="18" s="1"/>
  <c r="L37" i="18"/>
  <c r="P20" i="18"/>
  <c r="M18" i="18"/>
  <c r="M37" i="18"/>
  <c r="L414" i="18"/>
  <c r="O414" i="18" s="1"/>
  <c r="O20" i="16"/>
  <c r="P181" i="15"/>
  <c r="O298" i="17"/>
  <c r="N11" i="17"/>
  <c r="P119" i="16"/>
  <c r="L10" i="16"/>
  <c r="O10" i="16" s="1"/>
  <c r="O16" i="16"/>
  <c r="M18" i="17"/>
  <c r="P18" i="17" s="1"/>
  <c r="P277" i="17"/>
  <c r="L14" i="13"/>
  <c r="O14" i="13" s="1"/>
  <c r="M14" i="13"/>
  <c r="P14" i="13" s="1"/>
  <c r="P9" i="17"/>
  <c r="O20" i="17"/>
  <c r="L18" i="17"/>
  <c r="O18" i="17" s="1"/>
  <c r="P13" i="17"/>
  <c r="M10" i="17"/>
  <c r="P10" i="17" s="1"/>
  <c r="O53" i="16"/>
  <c r="O13" i="17"/>
  <c r="L10" i="17"/>
  <c r="O10" i="17" s="1"/>
  <c r="L11" i="17"/>
  <c r="P16" i="17"/>
  <c r="M14" i="17"/>
  <c r="P14" i="17" s="1"/>
  <c r="O41" i="17"/>
  <c r="L37" i="17"/>
  <c r="O9" i="17"/>
  <c r="M11" i="17"/>
  <c r="M414" i="17"/>
  <c r="P414" i="17" s="1"/>
  <c r="M37" i="17"/>
  <c r="P41" i="17"/>
  <c r="L414" i="17"/>
  <c r="O414" i="17" s="1"/>
  <c r="P328" i="17"/>
  <c r="P88" i="17"/>
  <c r="N37" i="17"/>
  <c r="L18" i="16"/>
  <c r="O18" i="16" s="1"/>
  <c r="M18" i="16"/>
  <c r="P18" i="16" s="1"/>
  <c r="O328" i="16"/>
  <c r="O30" i="14"/>
  <c r="L414" i="16"/>
  <c r="O414" i="16" s="1"/>
  <c r="O165" i="16"/>
  <c r="O181" i="16"/>
  <c r="L28" i="15"/>
  <c r="O28" i="15" s="1"/>
  <c r="O41" i="11"/>
  <c r="P24" i="12"/>
  <c r="M37" i="16"/>
  <c r="P149" i="16"/>
  <c r="P9" i="16"/>
  <c r="M414" i="16"/>
  <c r="P414" i="16" s="1"/>
  <c r="O9" i="16"/>
  <c r="N37" i="16"/>
  <c r="O119" i="16"/>
  <c r="P13" i="16"/>
  <c r="M10" i="16"/>
  <c r="P10" i="16" s="1"/>
  <c r="M14" i="16"/>
  <c r="P14" i="16" s="1"/>
  <c r="P16" i="16"/>
  <c r="L37" i="16"/>
  <c r="P21" i="15"/>
  <c r="P53" i="13"/>
  <c r="P21" i="4"/>
  <c r="M10" i="15"/>
  <c r="M8" i="15" s="1"/>
  <c r="O24" i="7"/>
  <c r="M14" i="15"/>
  <c r="P14" i="15" s="1"/>
  <c r="M10" i="13"/>
  <c r="M8" i="13" s="1"/>
  <c r="L14" i="15"/>
  <c r="O14" i="15" s="1"/>
  <c r="O165" i="15"/>
  <c r="P20" i="15"/>
  <c r="P9" i="15"/>
  <c r="P20" i="13"/>
  <c r="N37" i="15"/>
  <c r="P41" i="15"/>
  <c r="O41" i="15"/>
  <c r="N10" i="15"/>
  <c r="N8" i="15" s="1"/>
  <c r="N11" i="15"/>
  <c r="P11" i="15" s="1"/>
  <c r="O419" i="15"/>
  <c r="L414" i="15"/>
  <c r="O414" i="15" s="1"/>
  <c r="O66" i="15"/>
  <c r="P66" i="15"/>
  <c r="P18" i="15"/>
  <c r="M414" i="15"/>
  <c r="P414" i="15" s="1"/>
  <c r="L10" i="15"/>
  <c r="O13" i="15"/>
  <c r="L11" i="15"/>
  <c r="P13" i="15"/>
  <c r="P119" i="15"/>
  <c r="M37" i="15"/>
  <c r="L18" i="15"/>
  <c r="O18" i="15" s="1"/>
  <c r="O53" i="15"/>
  <c r="L37" i="15"/>
  <c r="P20" i="12"/>
  <c r="O261" i="14"/>
  <c r="N10" i="13"/>
  <c r="N8" i="13" s="1"/>
  <c r="N10" i="14"/>
  <c r="N8" i="14" s="1"/>
  <c r="O14" i="14"/>
  <c r="O16" i="14"/>
  <c r="O24" i="13"/>
  <c r="P24" i="14"/>
  <c r="N11" i="14"/>
  <c r="O11" i="14" s="1"/>
  <c r="P16" i="14"/>
  <c r="M14" i="14"/>
  <c r="P14" i="14" s="1"/>
  <c r="P20" i="14"/>
  <c r="M37" i="14"/>
  <c r="P41" i="14"/>
  <c r="M414" i="14"/>
  <c r="P414" i="14" s="1"/>
  <c r="O13" i="14"/>
  <c r="L10" i="14"/>
  <c r="L8" i="14" s="1"/>
  <c r="P88" i="13"/>
  <c r="N37" i="14"/>
  <c r="P53" i="14"/>
  <c r="O53" i="14"/>
  <c r="P18" i="14"/>
  <c r="O18" i="14"/>
  <c r="O419" i="14"/>
  <c r="L414" i="14"/>
  <c r="O414" i="14" s="1"/>
  <c r="O20" i="14"/>
  <c r="L37" i="14"/>
  <c r="O41" i="14"/>
  <c r="O9" i="14"/>
  <c r="M10" i="14"/>
  <c r="P88" i="12"/>
  <c r="O20" i="11"/>
  <c r="L37" i="13"/>
  <c r="P13" i="9"/>
  <c r="N18" i="13"/>
  <c r="P18" i="13" s="1"/>
  <c r="P13" i="13"/>
  <c r="L10" i="12"/>
  <c r="L8" i="12" s="1"/>
  <c r="O30" i="12"/>
  <c r="L28" i="12"/>
  <c r="O28" i="12" s="1"/>
  <c r="O11" i="13"/>
  <c r="P21" i="12"/>
  <c r="P11" i="13"/>
  <c r="L28" i="13"/>
  <c r="O28" i="13" s="1"/>
  <c r="O9" i="13"/>
  <c r="M37" i="13"/>
  <c r="O419" i="13"/>
  <c r="L414" i="13"/>
  <c r="O414" i="13" s="1"/>
  <c r="P544" i="13"/>
  <c r="M414" i="13"/>
  <c r="P414" i="13" s="1"/>
  <c r="P24" i="7"/>
  <c r="P9" i="13"/>
  <c r="O181" i="13"/>
  <c r="L10" i="13"/>
  <c r="O13" i="13"/>
  <c r="O24" i="11"/>
  <c r="O20" i="13"/>
  <c r="L18" i="13"/>
  <c r="N37" i="13"/>
  <c r="L14" i="12"/>
  <c r="O14" i="12" s="1"/>
  <c r="P345" i="5"/>
  <c r="M14" i="8"/>
  <c r="P14" i="8" s="1"/>
  <c r="O24" i="10"/>
  <c r="O66" i="10"/>
  <c r="O345" i="11"/>
  <c r="N10" i="8"/>
  <c r="N8" i="8" s="1"/>
  <c r="P24" i="11"/>
  <c r="L37" i="12"/>
  <c r="P41" i="12"/>
  <c r="M37" i="12"/>
  <c r="N10" i="12"/>
  <c r="P10" i="12" s="1"/>
  <c r="P13" i="12"/>
  <c r="L414" i="12"/>
  <c r="O414" i="12" s="1"/>
  <c r="O419" i="12"/>
  <c r="N18" i="12"/>
  <c r="P18" i="12" s="1"/>
  <c r="P9" i="12"/>
  <c r="M8" i="12"/>
  <c r="O9" i="12"/>
  <c r="P16" i="11"/>
  <c r="O20" i="12"/>
  <c r="L18" i="12"/>
  <c r="O30" i="11"/>
  <c r="L28" i="11"/>
  <c r="O28" i="11" s="1"/>
  <c r="N11" i="12"/>
  <c r="O11" i="12" s="1"/>
  <c r="N10" i="7"/>
  <c r="N8" i="7" s="1"/>
  <c r="O277" i="12"/>
  <c r="P345" i="12"/>
  <c r="O24" i="12"/>
  <c r="O13" i="12"/>
  <c r="N37" i="12"/>
  <c r="P20" i="11"/>
  <c r="M10" i="11"/>
  <c r="P53" i="11"/>
  <c r="P16" i="4"/>
  <c r="P24" i="8"/>
  <c r="O13" i="9"/>
  <c r="M37" i="11"/>
  <c r="N8" i="9"/>
  <c r="P328" i="11"/>
  <c r="O21" i="11"/>
  <c r="N10" i="11"/>
  <c r="N8" i="11" s="1"/>
  <c r="N11" i="11"/>
  <c r="P11" i="11" s="1"/>
  <c r="O20" i="7"/>
  <c r="M10" i="8"/>
  <c r="M8" i="8" s="1"/>
  <c r="L28" i="10"/>
  <c r="O28" i="10" s="1"/>
  <c r="M14" i="10"/>
  <c r="P14" i="10" s="1"/>
  <c r="L37" i="11"/>
  <c r="N37" i="11"/>
  <c r="P18" i="11"/>
  <c r="L14" i="8"/>
  <c r="O14" i="8" s="1"/>
  <c r="O20" i="9"/>
  <c r="O16" i="11"/>
  <c r="L14" i="11"/>
  <c r="O14" i="11" s="1"/>
  <c r="L18" i="11"/>
  <c r="O18" i="11" s="1"/>
  <c r="L414" i="11"/>
  <c r="O414" i="11" s="1"/>
  <c r="O419" i="11"/>
  <c r="M14" i="11"/>
  <c r="P14" i="11" s="1"/>
  <c r="O9" i="11"/>
  <c r="O30" i="5"/>
  <c r="O298" i="11"/>
  <c r="P13" i="11"/>
  <c r="O13" i="11"/>
  <c r="L10" i="11"/>
  <c r="P9" i="11"/>
  <c r="O30" i="9"/>
  <c r="O18" i="9"/>
  <c r="N11" i="10"/>
  <c r="O11" i="7"/>
  <c r="L14" i="10"/>
  <c r="O14" i="10" s="1"/>
  <c r="M14" i="9"/>
  <c r="P14" i="9" s="1"/>
  <c r="L28" i="7"/>
  <c r="O28" i="7" s="1"/>
  <c r="L14" i="9"/>
  <c r="O14" i="9" s="1"/>
  <c r="M10" i="9"/>
  <c r="P10" i="9" s="1"/>
  <c r="L28" i="8"/>
  <c r="O28" i="8" s="1"/>
  <c r="P20" i="9"/>
  <c r="L10" i="9"/>
  <c r="O10" i="9" s="1"/>
  <c r="P18" i="9"/>
  <c r="O419" i="10"/>
  <c r="L414" i="10"/>
  <c r="O414" i="10" s="1"/>
  <c r="P20" i="10"/>
  <c r="M18" i="10"/>
  <c r="P18" i="10" s="1"/>
  <c r="P9" i="10"/>
  <c r="O9" i="10"/>
  <c r="P13" i="10"/>
  <c r="M10" i="10"/>
  <c r="P10" i="10" s="1"/>
  <c r="M11" i="10"/>
  <c r="M37" i="10"/>
  <c r="P277" i="8"/>
  <c r="P21" i="9"/>
  <c r="L37" i="10"/>
  <c r="N8" i="10"/>
  <c r="O18" i="10"/>
  <c r="O20" i="10"/>
  <c r="N37" i="10"/>
  <c r="O53" i="10"/>
  <c r="O13" i="10"/>
  <c r="L10" i="10"/>
  <c r="O10" i="10" s="1"/>
  <c r="L11" i="10"/>
  <c r="O24" i="9"/>
  <c r="P328" i="9"/>
  <c r="P345" i="9"/>
  <c r="L37" i="9"/>
  <c r="P13" i="8"/>
  <c r="P24" i="9"/>
  <c r="P9" i="9"/>
  <c r="L414" i="9"/>
  <c r="O414" i="9" s="1"/>
  <c r="O419" i="9"/>
  <c r="P11" i="9"/>
  <c r="O9" i="9"/>
  <c r="O11" i="9"/>
  <c r="P53" i="8"/>
  <c r="P53" i="9"/>
  <c r="M37" i="9"/>
  <c r="N37" i="9"/>
  <c r="P41" i="9"/>
  <c r="O13" i="7"/>
  <c r="P11" i="8"/>
  <c r="P20" i="8"/>
  <c r="P165" i="7"/>
  <c r="P18" i="8"/>
  <c r="O298" i="8"/>
  <c r="P298" i="8"/>
  <c r="L10" i="7"/>
  <c r="O261" i="8"/>
  <c r="O298" i="6"/>
  <c r="O13" i="8"/>
  <c r="L10" i="8"/>
  <c r="L11" i="8"/>
  <c r="O11" i="8" s="1"/>
  <c r="P9" i="8"/>
  <c r="L414" i="8"/>
  <c r="O414" i="8" s="1"/>
  <c r="O419" i="8"/>
  <c r="O20" i="8"/>
  <c r="L18" i="8"/>
  <c r="O18" i="8" s="1"/>
  <c r="O9" i="8"/>
  <c r="P21" i="6"/>
  <c r="O24" i="6"/>
  <c r="N37" i="8"/>
  <c r="O66" i="8"/>
  <c r="L37" i="8"/>
  <c r="M37" i="8"/>
  <c r="N37" i="6"/>
  <c r="O165" i="7"/>
  <c r="O21" i="6"/>
  <c r="L37" i="7"/>
  <c r="O37" i="7" s="1"/>
  <c r="M37" i="7"/>
  <c r="P37" i="7" s="1"/>
  <c r="P13" i="7"/>
  <c r="M11" i="7"/>
  <c r="P11" i="7" s="1"/>
  <c r="M10" i="7"/>
  <c r="M10" i="4"/>
  <c r="M8" i="4" s="1"/>
  <c r="O16" i="7"/>
  <c r="L14" i="7"/>
  <c r="O14" i="7" s="1"/>
  <c r="P20" i="7"/>
  <c r="M18" i="7"/>
  <c r="P18" i="7" s="1"/>
  <c r="O9" i="7"/>
  <c r="P16" i="7"/>
  <c r="M14" i="7"/>
  <c r="P14" i="7" s="1"/>
  <c r="L18" i="7"/>
  <c r="O18" i="7" s="1"/>
  <c r="L414" i="7"/>
  <c r="O414" i="7" s="1"/>
  <c r="O419" i="7"/>
  <c r="L28" i="6"/>
  <c r="O28" i="6" s="1"/>
  <c r="P24" i="5"/>
  <c r="O21" i="4"/>
  <c r="L414" i="6"/>
  <c r="O419" i="6"/>
  <c r="N10" i="6"/>
  <c r="N8" i="6" s="1"/>
  <c r="N11" i="6"/>
  <c r="O11" i="6" s="1"/>
  <c r="O41" i="6"/>
  <c r="L37" i="6"/>
  <c r="O20" i="6"/>
  <c r="P13" i="6"/>
  <c r="M10" i="6"/>
  <c r="M11" i="6"/>
  <c r="O16" i="6"/>
  <c r="L14" i="6"/>
  <c r="O14" i="6" s="1"/>
  <c r="P9" i="6"/>
  <c r="O328" i="6"/>
  <c r="P328" i="6"/>
  <c r="P66" i="6"/>
  <c r="M37" i="6"/>
  <c r="P20" i="6"/>
  <c r="M18" i="6"/>
  <c r="P18" i="6" s="1"/>
  <c r="N414" i="6"/>
  <c r="O467" i="6"/>
  <c r="L18" i="6"/>
  <c r="O18" i="6" s="1"/>
  <c r="P18" i="5"/>
  <c r="O13" i="6"/>
  <c r="L10" i="6"/>
  <c r="O9" i="6"/>
  <c r="M14" i="6"/>
  <c r="P14" i="6" s="1"/>
  <c r="L28" i="4"/>
  <c r="O28" i="4" s="1"/>
  <c r="L10" i="4"/>
  <c r="O11" i="4"/>
  <c r="N10" i="4"/>
  <c r="N8" i="4" s="1"/>
  <c r="P11" i="4"/>
  <c r="O24" i="5"/>
  <c r="P13" i="4"/>
  <c r="O13" i="4"/>
  <c r="P21" i="5"/>
  <c r="O16" i="5"/>
  <c r="L14" i="5"/>
  <c r="O14" i="5" s="1"/>
  <c r="N10" i="5"/>
  <c r="N8" i="5" s="1"/>
  <c r="N11" i="5"/>
  <c r="P11" i="5" s="1"/>
  <c r="P16" i="5"/>
  <c r="M14" i="5"/>
  <c r="P14" i="5" s="1"/>
  <c r="P9" i="5"/>
  <c r="L414" i="5"/>
  <c r="O414" i="5" s="1"/>
  <c r="O419" i="5"/>
  <c r="O21" i="5"/>
  <c r="M37" i="5"/>
  <c r="O13" i="5"/>
  <c r="L10" i="5"/>
  <c r="L11" i="5"/>
  <c r="P20" i="5"/>
  <c r="O165" i="5"/>
  <c r="N37" i="5"/>
  <c r="P165" i="5"/>
  <c r="L37" i="5"/>
  <c r="O20" i="5"/>
  <c r="L18" i="5"/>
  <c r="O18" i="5" s="1"/>
  <c r="P13" i="5"/>
  <c r="M10" i="5"/>
  <c r="P261" i="3"/>
  <c r="L14" i="4"/>
  <c r="O14" i="4" s="1"/>
  <c r="O261" i="4"/>
  <c r="O24" i="4"/>
  <c r="O345" i="4"/>
  <c r="O24" i="3"/>
  <c r="L414" i="4"/>
  <c r="O414" i="4" s="1"/>
  <c r="O9" i="4"/>
  <c r="P18" i="4"/>
  <c r="P328" i="4"/>
  <c r="P20" i="4"/>
  <c r="L37" i="4"/>
  <c r="L18" i="4"/>
  <c r="O18" i="4" s="1"/>
  <c r="O20" i="4"/>
  <c r="M37" i="4"/>
  <c r="N37" i="4"/>
  <c r="K593" i="1"/>
  <c r="O446" i="1"/>
  <c r="P21" i="3"/>
  <c r="P20" i="2"/>
  <c r="O181" i="1"/>
  <c r="N37" i="1"/>
  <c r="M18" i="2"/>
  <c r="P18" i="2" s="1"/>
  <c r="O444" i="1"/>
  <c r="M10" i="1"/>
  <c r="M8" i="1" s="1"/>
  <c r="P21" i="2"/>
  <c r="P9" i="3"/>
  <c r="J180" i="1"/>
  <c r="K180" i="1" s="1"/>
  <c r="K226" i="1"/>
  <c r="M14" i="2"/>
  <c r="P14" i="2" s="1"/>
  <c r="O16" i="3"/>
  <c r="L14" i="3"/>
  <c r="O14" i="3" s="1"/>
  <c r="O165" i="2"/>
  <c r="O149" i="3"/>
  <c r="O13" i="3"/>
  <c r="L10" i="3"/>
  <c r="L11" i="3"/>
  <c r="O11" i="3" s="1"/>
  <c r="P24" i="3"/>
  <c r="N37" i="3"/>
  <c r="O41" i="3"/>
  <c r="P41" i="3"/>
  <c r="O20" i="3"/>
  <c r="L18" i="3"/>
  <c r="O18" i="3" s="1"/>
  <c r="L28" i="3"/>
  <c r="O28" i="3" s="1"/>
  <c r="P16" i="3"/>
  <c r="M10" i="3"/>
  <c r="P132" i="3"/>
  <c r="M37" i="3"/>
  <c r="O298" i="2"/>
  <c r="O31" i="2"/>
  <c r="O14" i="2"/>
  <c r="P20" i="3"/>
  <c r="M18" i="3"/>
  <c r="P18" i="3" s="1"/>
  <c r="L37" i="3"/>
  <c r="O788" i="1"/>
  <c r="N10" i="3"/>
  <c r="N8" i="3" s="1"/>
  <c r="P13" i="3"/>
  <c r="L414" i="3"/>
  <c r="O414" i="3" s="1"/>
  <c r="O419" i="3"/>
  <c r="P11" i="3"/>
  <c r="N629" i="1"/>
  <c r="O629" i="1" s="1"/>
  <c r="P345" i="2"/>
  <c r="O20" i="2"/>
  <c r="O24" i="2"/>
  <c r="O20" i="1"/>
  <c r="J543" i="1"/>
  <c r="K543" i="1" s="1"/>
  <c r="K559" i="1"/>
  <c r="P18" i="1"/>
  <c r="L37" i="1"/>
  <c r="P24" i="1"/>
  <c r="N11" i="2"/>
  <c r="P11" i="2" s="1"/>
  <c r="N10" i="2"/>
  <c r="N8" i="2" s="1"/>
  <c r="O30" i="2"/>
  <c r="N28" i="2"/>
  <c r="O28" i="2" s="1"/>
  <c r="P16" i="2"/>
  <c r="P328" i="2"/>
  <c r="O21" i="2"/>
  <c r="N37" i="2"/>
  <c r="O13" i="2"/>
  <c r="L10" i="2"/>
  <c r="L8" i="2" s="1"/>
  <c r="O9" i="2"/>
  <c r="L414" i="2"/>
  <c r="O414" i="2" s="1"/>
  <c r="O419" i="2"/>
  <c r="L18" i="2"/>
  <c r="O18" i="2" s="1"/>
  <c r="O16" i="2"/>
  <c r="P9" i="2"/>
  <c r="M8" i="2"/>
  <c r="M37" i="2"/>
  <c r="L11" i="2"/>
  <c r="L37" i="2"/>
  <c r="O41" i="2"/>
  <c r="P165" i="1"/>
  <c r="P20" i="1"/>
  <c r="O24" i="1"/>
  <c r="N30" i="1"/>
  <c r="O33" i="1"/>
  <c r="N13" i="1"/>
  <c r="O13" i="1" s="1"/>
  <c r="N31" i="1"/>
  <c r="O31" i="1" s="1"/>
  <c r="M37" i="1"/>
  <c r="P41" i="1"/>
  <c r="L10" i="1"/>
  <c r="L8" i="1" s="1"/>
  <c r="O16" i="1"/>
  <c r="L14" i="1"/>
  <c r="O14" i="1" s="1"/>
  <c r="P9" i="1"/>
  <c r="O546" i="1"/>
  <c r="N544" i="1"/>
  <c r="L11" i="1"/>
  <c r="L18" i="1"/>
  <c r="O18" i="1" s="1"/>
  <c r="L414" i="1"/>
  <c r="O9" i="1"/>
  <c r="P16" i="1"/>
  <c r="M14" i="1"/>
  <c r="P14" i="1" s="1"/>
  <c r="O37" i="15" l="1"/>
  <c r="O11" i="16"/>
  <c r="O37" i="9"/>
  <c r="P11" i="17"/>
  <c r="O11" i="17"/>
  <c r="O8" i="18"/>
  <c r="O10" i="18"/>
  <c r="P18" i="18"/>
  <c r="O37" i="16"/>
  <c r="P37" i="18"/>
  <c r="O37" i="18"/>
  <c r="P10" i="18"/>
  <c r="M8" i="18"/>
  <c r="P8" i="18" s="1"/>
  <c r="L8" i="16"/>
  <c r="O8" i="16" s="1"/>
  <c r="O37" i="17"/>
  <c r="L8" i="17"/>
  <c r="O8" i="17" s="1"/>
  <c r="P37" i="17"/>
  <c r="M8" i="17"/>
  <c r="P8" i="17" s="1"/>
  <c r="P37" i="16"/>
  <c r="P37" i="15"/>
  <c r="M8" i="16"/>
  <c r="P8" i="16" s="1"/>
  <c r="O37" i="13"/>
  <c r="P10" i="15"/>
  <c r="O10" i="13"/>
  <c r="P10" i="13"/>
  <c r="O11" i="15"/>
  <c r="P8" i="15"/>
  <c r="O10" i="15"/>
  <c r="L8" i="15"/>
  <c r="O8" i="15" s="1"/>
  <c r="O8" i="14"/>
  <c r="O10" i="14"/>
  <c r="O37" i="14"/>
  <c r="P11" i="14"/>
  <c r="P10" i="14"/>
  <c r="M8" i="14"/>
  <c r="P8" i="14" s="1"/>
  <c r="P37" i="14"/>
  <c r="P37" i="13"/>
  <c r="L8" i="13"/>
  <c r="O8" i="13" s="1"/>
  <c r="O18" i="13"/>
  <c r="P8" i="13"/>
  <c r="P10" i="8"/>
  <c r="O10" i="8"/>
  <c r="N8" i="12"/>
  <c r="P8" i="12" s="1"/>
  <c r="O10" i="7"/>
  <c r="O18" i="12"/>
  <c r="O37" i="12"/>
  <c r="O10" i="11"/>
  <c r="O11" i="10"/>
  <c r="P11" i="10"/>
  <c r="O10" i="12"/>
  <c r="P11" i="12"/>
  <c r="P37" i="12"/>
  <c r="P10" i="11"/>
  <c r="M8" i="11"/>
  <c r="P8" i="11" s="1"/>
  <c r="P37" i="11"/>
  <c r="L8" i="11"/>
  <c r="O8" i="11" s="1"/>
  <c r="O37" i="11"/>
  <c r="O11" i="11"/>
  <c r="O37" i="2"/>
  <c r="O37" i="10"/>
  <c r="L8" i="9"/>
  <c r="O8" i="9" s="1"/>
  <c r="M8" i="9"/>
  <c r="P8" i="9" s="1"/>
  <c r="P37" i="10"/>
  <c r="L8" i="10"/>
  <c r="O8" i="10" s="1"/>
  <c r="M8" i="10"/>
  <c r="P8" i="10" s="1"/>
  <c r="P11" i="6"/>
  <c r="P10" i="6"/>
  <c r="P37" i="9"/>
  <c r="P8" i="8"/>
  <c r="L8" i="7"/>
  <c r="O8" i="7" s="1"/>
  <c r="P37" i="8"/>
  <c r="O37" i="8"/>
  <c r="L8" i="8"/>
  <c r="O8" i="8" s="1"/>
  <c r="P37" i="6"/>
  <c r="O37" i="6"/>
  <c r="P10" i="7"/>
  <c r="M8" i="7"/>
  <c r="P8" i="7" s="1"/>
  <c r="O10" i="4"/>
  <c r="O10" i="6"/>
  <c r="M8" i="6"/>
  <c r="P8" i="6" s="1"/>
  <c r="L8" i="4"/>
  <c r="O8" i="4" s="1"/>
  <c r="L8" i="6"/>
  <c r="O8" i="6" s="1"/>
  <c r="P8" i="4"/>
  <c r="P10" i="4"/>
  <c r="O11" i="5"/>
  <c r="O414" i="6"/>
  <c r="P10" i="5"/>
  <c r="O37" i="5"/>
  <c r="O10" i="5"/>
  <c r="L8" i="5"/>
  <c r="O8" i="5" s="1"/>
  <c r="P37" i="5"/>
  <c r="M8" i="5"/>
  <c r="P8" i="5" s="1"/>
  <c r="P10" i="3"/>
  <c r="O37" i="3"/>
  <c r="P37" i="4"/>
  <c r="P37" i="3"/>
  <c r="O37" i="4"/>
  <c r="P37" i="1"/>
  <c r="O37" i="1"/>
  <c r="O10" i="3"/>
  <c r="L8" i="3"/>
  <c r="O8" i="3" s="1"/>
  <c r="M8" i="3"/>
  <c r="P8" i="3" s="1"/>
  <c r="O8" i="2"/>
  <c r="P10" i="2"/>
  <c r="O11" i="2"/>
  <c r="P8" i="2"/>
  <c r="P37" i="2"/>
  <c r="O10" i="2"/>
  <c r="N10" i="1"/>
  <c r="N11" i="1"/>
  <c r="P11" i="1" s="1"/>
  <c r="P13" i="1"/>
  <c r="O544" i="1"/>
  <c r="N414" i="1"/>
  <c r="O414" i="1" s="1"/>
  <c r="N28" i="1"/>
  <c r="O28" i="1" s="1"/>
  <c r="O30" i="1"/>
  <c r="O8" i="12" l="1"/>
  <c r="O11" i="1"/>
  <c r="P10" i="1"/>
  <c r="N8" i="1"/>
  <c r="O10" i="1"/>
  <c r="O8" i="1" l="1"/>
  <c r="P8" i="1"/>
</calcChain>
</file>

<file path=xl/sharedStrings.xml><?xml version="1.0" encoding="utf-8"?>
<sst xmlns="http://schemas.openxmlformats.org/spreadsheetml/2006/main" count="27972" uniqueCount="356">
  <si>
    <t>รายละเอียดแผนงาน/โครงการ ผลผลิต/กิจกรรม ปีงบประมาณ พ.ศ. 2566</t>
  </si>
  <si>
    <t>ภาคเหนือ</t>
  </si>
  <si>
    <t>แผนงาน/โครงการ/กิจกรรม</t>
  </si>
  <si>
    <t>หน่วย</t>
  </si>
  <si>
    <t>แผนงาน-ผลงาน</t>
  </si>
  <si>
    <t>งบประมาณ (บาท)</t>
  </si>
  <si>
    <t>ผลการเบิกจ่าย</t>
  </si>
  <si>
    <t>แผนงาน</t>
  </si>
  <si>
    <t>ผลงาน</t>
  </si>
  <si>
    <t>ร้อยละ</t>
  </si>
  <si>
    <t>ได้รับ</t>
  </si>
  <si>
    <t>จัดสรร</t>
  </si>
  <si>
    <t>บาท</t>
  </si>
  <si>
    <t>ร้อยละ(ได้รับ)</t>
  </si>
  <si>
    <t>ร้อยละ(จัดสรร)</t>
  </si>
  <si>
    <t>รวม งบประมาณตาม พรบ.+ งบประมาณกองทุน</t>
  </si>
  <si>
    <t>◾</t>
  </si>
  <si>
    <t>รวมงบประมาณ</t>
  </si>
  <si>
    <t>- ส.ป.ก.ส่วนกลาง</t>
  </si>
  <si>
    <t>- ส.ป.ก.จังหวัด</t>
  </si>
  <si>
    <t>งบดำเนินงาน</t>
  </si>
  <si>
    <t>งบลงทุน</t>
  </si>
  <si>
    <t>รวม งบประมาณตาม พรบ.</t>
  </si>
  <si>
    <t>รวม งบประมาณกองทุน</t>
  </si>
  <si>
    <t>งบประมาณตาม พรบ.งบประมาณ 2566</t>
  </si>
  <si>
    <t>แผนงานบุคลากรภาครัฐ</t>
  </si>
  <si>
    <t>รายการค่าใช้จ่ายบุคลากรภาครัฐ</t>
  </si>
  <si>
    <t>กิจกรรมพัฒนาการเกษตรยั่งยืน</t>
  </si>
  <si>
    <t>แผนงานพื้นฐานด้านการสร้างความสามารถในการแข่งขัน</t>
  </si>
  <si>
    <t>ผลผลิตที่ 1 การปฏิรูปที่ดินเพื่อเกษตรกรรม</t>
  </si>
  <si>
    <t>กิจกรรมบริหารจัดการ</t>
  </si>
  <si>
    <t>แผนงานยุทธศาสตร์การเกษตรสร้างมูลค่า</t>
  </si>
  <si>
    <t>โครงการที่ 1 : โครงการระบบส่งเสริมเกษตรแบบแปลงใหญ่</t>
  </si>
  <si>
    <t>กิจกรรมส่งเสริมการเกษตรแบบแปลงใหญ่</t>
  </si>
  <si>
    <t>แปลง</t>
  </si>
  <si>
    <t>ราย</t>
  </si>
  <si>
    <t xml:space="preserve">- ส.ป.ก.ส่วนกลาง </t>
  </si>
  <si>
    <t xml:space="preserve">- ส.ป.ก.จังหวัด  </t>
  </si>
  <si>
    <t>ขั้นตอนการดำเนินงาน</t>
  </si>
  <si>
    <t xml:space="preserve"> - อบรมเกษตรกร  </t>
  </si>
  <si>
    <t xml:space="preserve"> - แปลงใหญ่ ปี 2566</t>
  </si>
  <si>
    <t xml:space="preserve"> - แปลงใหญ่ ปี 2565</t>
  </si>
  <si>
    <t xml:space="preserve"> - แปลงใหญ่ ปี 2564</t>
  </si>
  <si>
    <t xml:space="preserve"> - สนับสนุนปัจจัยการผลิต</t>
  </si>
  <si>
    <t>โครงการที่ 2 : โครงการพัฒนาเกษตรกรรมยั่งยืน</t>
  </si>
  <si>
    <t>กิจกรรมส่งเสริมและพัฒนาเกษตรทฤษฎีใหม่ในเขตปฏิรูปที่ดิน</t>
  </si>
  <si>
    <t>ไร่</t>
  </si>
  <si>
    <t>- พื้นที่ที่ได้รับการส่งเสริมเป็นเกษตรทฤษฎีใหม่</t>
  </si>
  <si>
    <t>- อบรมเกษตรกร (โดย ส.ป.ก.จังหวัด)</t>
  </si>
  <si>
    <t>กลุ่ม</t>
  </si>
  <si>
    <t>ขั้นที่ 1</t>
  </si>
  <si>
    <r>
      <rPr>
        <sz val="15"/>
        <color theme="1"/>
        <rFont val="Arial"/>
      </rPr>
      <t xml:space="preserve">- เกษตรกรที่เข้าร่วมโครงการขั้นที่ 1 </t>
    </r>
    <r>
      <rPr>
        <b/>
        <sz val="15"/>
        <color rgb="FFFF0000"/>
        <rFont val="Arial"/>
      </rPr>
      <t>ทั้งหมด</t>
    </r>
  </si>
  <si>
    <r>
      <rPr>
        <sz val="14"/>
        <color theme="1"/>
        <rFont val="Arial"/>
      </rPr>
      <t>- เกษตรกร</t>
    </r>
    <r>
      <rPr>
        <b/>
        <sz val="14"/>
        <color rgb="FFFF0000"/>
        <rFont val="Arial"/>
      </rPr>
      <t>เฉพาะ</t>
    </r>
    <r>
      <rPr>
        <sz val="14"/>
        <color theme="1"/>
        <rFont val="Arial"/>
      </rPr>
      <t>ที่ได้รับการอบรม การปรับเปลี่ยนรูปแบบการผลิต ฯ</t>
    </r>
  </si>
  <si>
    <t>ขั้นที่ 2</t>
  </si>
  <si>
    <r>
      <rPr>
        <sz val="15"/>
        <color theme="1"/>
        <rFont val="Arial"/>
      </rPr>
      <t xml:space="preserve">- เกษตรกรที่เข้าร่วมโครงการขั้นที่ 2 </t>
    </r>
    <r>
      <rPr>
        <b/>
        <sz val="15"/>
        <color rgb="FFFF0000"/>
        <rFont val="Arial"/>
      </rPr>
      <t>ทั้งหมด</t>
    </r>
  </si>
  <si>
    <r>
      <rPr>
        <sz val="14"/>
        <color theme="1"/>
        <rFont val="Arial"/>
      </rPr>
      <t>- เกษตรกร</t>
    </r>
    <r>
      <rPr>
        <b/>
        <sz val="14"/>
        <color rgb="FFFF0000"/>
        <rFont val="Arial"/>
      </rPr>
      <t>เฉพาะ</t>
    </r>
    <r>
      <rPr>
        <sz val="14"/>
        <color theme="1"/>
        <rFont val="Arial"/>
      </rPr>
      <t>ที่ได้รับการอบรม การเพิ่มมูลค่าผลผลิต การแปรรูป ฯ</t>
    </r>
  </si>
  <si>
    <t>ขั้นที่ 3</t>
  </si>
  <si>
    <r>
      <rPr>
        <sz val="15"/>
        <color theme="1"/>
        <rFont val="Arial"/>
      </rPr>
      <t xml:space="preserve">- เกษตรกรที่เข้าร่วมโครงการขั้นที่ 3 </t>
    </r>
    <r>
      <rPr>
        <b/>
        <sz val="15"/>
        <color rgb="FFFF0000"/>
        <rFont val="Arial"/>
      </rPr>
      <t>ทั้งหมด</t>
    </r>
  </si>
  <si>
    <r>
      <rPr>
        <sz val="13"/>
        <color theme="1"/>
        <rFont val="Arial"/>
      </rPr>
      <t>- เกษตรกร</t>
    </r>
    <r>
      <rPr>
        <b/>
        <sz val="13"/>
        <color rgb="FFFF0000"/>
        <rFont val="Arial"/>
      </rPr>
      <t>เฉพาะ</t>
    </r>
    <r>
      <rPr>
        <sz val="13"/>
        <color theme="1"/>
        <rFont val="Arial"/>
      </rPr>
      <t>ที่ได้รับการอบรม เตรียมความพร้อมในการรับรองมาตรฐาน ฯ</t>
    </r>
  </si>
  <si>
    <t>- สนับสนุนปัจจัยการผลิต</t>
  </si>
  <si>
    <r>
      <rPr>
        <sz val="15"/>
        <color theme="1"/>
        <rFont val="Arial"/>
      </rPr>
      <t xml:space="preserve">- ขั้นที่ 1 (เกษตรกรที่เข้าร่วมโครงการ </t>
    </r>
    <r>
      <rPr>
        <b/>
        <sz val="15"/>
        <color rgb="FFFF0000"/>
        <rFont val="Arial"/>
      </rPr>
      <t>ทั้งหมด</t>
    </r>
    <r>
      <rPr>
        <sz val="15"/>
        <color theme="1"/>
        <rFont val="Arial"/>
      </rPr>
      <t>)</t>
    </r>
  </si>
  <si>
    <r>
      <rPr>
        <sz val="15"/>
        <color theme="1"/>
        <rFont val="Arial"/>
      </rPr>
      <t xml:space="preserve">- ขั้นที่ 1 (เกษตรกร </t>
    </r>
    <r>
      <rPr>
        <b/>
        <sz val="15"/>
        <color rgb="FFFF0000"/>
        <rFont val="Arial"/>
      </rPr>
      <t>เฉพาะ</t>
    </r>
    <r>
      <rPr>
        <sz val="15"/>
        <color theme="1"/>
        <rFont val="Arial"/>
      </rPr>
      <t xml:space="preserve"> ที่ได้รับการอบรม)</t>
    </r>
  </si>
  <si>
    <t>- ขั้นที่ 2</t>
  </si>
  <si>
    <t>- ขั้นที่ 3</t>
  </si>
  <si>
    <t>โครงการที่ 3 : โครงการพัฒนาธุรกิจชุมชน</t>
  </si>
  <si>
    <t>กิจกรรมพัฒนาธุรกิจชุมชนในเขตปฏิรูปที่ดิน  (เฉพาะงบลงทุน)</t>
  </si>
  <si>
    <t>โครงการที่ 4 : โครงการส่งเสริมและพัฒนาสินค้าเกษตรชีวภาพ</t>
  </si>
  <si>
    <t>กิจกรรมส่งเสริมการแปรรูปสมุนไพรด้วยโรงอบพลังงานแสงอาทิตย์ต้นทุนต่ำในเขตปฏิรูปที่ดิน</t>
  </si>
  <si>
    <t>โรงอบ</t>
  </si>
  <si>
    <t>แห่ง</t>
  </si>
  <si>
    <t>อบรมเกษตรกร</t>
  </si>
  <si>
    <t>- การเตรียมการ (การจัดทำฐานข้อมูลสมุนไพรและแผนการผลิต ฯ)</t>
  </si>
  <si>
    <t>- อบรมเกษตรกร (เกษตรกรรายเดิมอบรมสองหลักสูตรต่อเนื่อง)</t>
  </si>
  <si>
    <t>- หลักสูตรการดูแลรักษาโรงอบพลังงานแสงอาทิตย์ต้นทุนต่ำ ฯ</t>
  </si>
  <si>
    <t>- หลักสูตรการเพิ่มมูลค่าผลิตภัณฑ์สมุนไพร มาตรฐานสินค้า ฯ</t>
  </si>
  <si>
    <t>- จัดทำโรงอบ (งบลงทุน)</t>
  </si>
  <si>
    <t>โครงการที่ 5 : โครงการยกระดับคุณภาพมาตรฐานสินค้าเกษตร</t>
  </si>
  <si>
    <t xml:space="preserve">กิจกรรมตรวจรับรองสินค้าเกษตรในเขตปฏิรูปที่ดินตามมาตรฐาน GAP </t>
  </si>
  <si>
    <t>- เกษตรกรยื่นขอรับการรับรองมาตรฐานสินค้า (โดย ส.ป.ก.จังหวัด)</t>
  </si>
  <si>
    <t>- ตรวจประเมินเพื่อการรับรองมาตรฐานสินค้า (โดย ส.ป.ก.ส่วนกลาง)</t>
  </si>
  <si>
    <t>- เกษตรกรได้การรับรองสินค้าตามมาตรฐาน GAP (โดย ส.ป.ก.ส่วนกลาง)</t>
  </si>
  <si>
    <t>แผนงานยุทธศาสตร์เสริมสร้างพลังทางสังคม</t>
  </si>
  <si>
    <t>โครงการที่ 1 : โครงการส่งเสริมการดำเนินงานอันเนื่องมาจากพระราชดำริ</t>
  </si>
  <si>
    <t xml:space="preserve">กิจกรรมพัฒนาและส่งเสริมศิลปหัตถกรรม  </t>
  </si>
  <si>
    <t xml:space="preserve">- หลักสูตรศิลปาชีพเพื่อเกษตรในเขตปฏิรูปที่ดิน (โดย ส.ป.ก.จังหวัด)  </t>
  </si>
  <si>
    <t xml:space="preserve"> - อบรมเกษตรกร</t>
  </si>
  <si>
    <t xml:space="preserve">- หลักสูตรศิลปาชีพเพื่อผู้สนใจ (โดย ศพส.)  </t>
  </si>
  <si>
    <t xml:space="preserve"> - อบรมเกษตรกร </t>
  </si>
  <si>
    <t>กิจกรรมพัฒนาตามแนวทางพระราชดำริ</t>
  </si>
  <si>
    <t>(1) โครงการคลินิกเกษตรเคลื่อนที่ในพระราชานุเคราะห์ ฯ</t>
  </si>
  <si>
    <t>ครั้ง</t>
  </si>
  <si>
    <t>- ออกหน่วยบริการคลินิกเกษตรเคลื่อนที่</t>
  </si>
  <si>
    <t>- เกษตรกรใช้บริการคลินิก</t>
  </si>
  <si>
    <t>- บริการเบ็ดเสร็จ</t>
  </si>
  <si>
    <t>- บริการต่อเนื่อง</t>
  </si>
  <si>
    <t>(2) โครงการอนุรักษ์พันธุกรรมพืชฯ (อพ.สธ.)</t>
  </si>
  <si>
    <t>โรงเรียน</t>
  </si>
  <si>
    <t>- ค่าบริหารโครงการ</t>
  </si>
  <si>
    <t>- งบอบรม</t>
  </si>
  <si>
    <t>- วัสดุการเกษตร</t>
  </si>
  <si>
    <t>- งบปัจจัยต้นแบบ/ศูนย์/กิจกรรม</t>
  </si>
  <si>
    <t>- จัดฝึกอบรม</t>
  </si>
  <si>
    <t>- โรงเรียนที่เข้าร่วมโครงการ</t>
  </si>
  <si>
    <t>- ต้นแบบ</t>
  </si>
  <si>
    <t>โรงเรียน/ราย</t>
  </si>
  <si>
    <t>(3) โครงการเพิ่มศักยภาพระบบงานเกษตรภายใต้แผนพัฒนาเด็ก ฯ</t>
  </si>
  <si>
    <t>- สนับสนุนวัสดุการเกษตร</t>
  </si>
  <si>
    <t>- ฝึกอบรมเด็กและเยาวชน</t>
  </si>
  <si>
    <t xml:space="preserve">(4) โครงการพัฒนาและรณรงค์การใช้หญ้าแฝก </t>
  </si>
  <si>
    <t>กล้า</t>
  </si>
  <si>
    <t>- งบปลูกแฝก (ค่าขนกล้า)</t>
  </si>
  <si>
    <t>- ส่งเสริมการปลูกหญ้าแฝก</t>
  </si>
  <si>
    <t xml:space="preserve"> - ประสานขอรับพันธุ์กล้าจากสำนักงานพัฒนาที่ดิน</t>
  </si>
  <si>
    <t xml:space="preserve"> - ปลูกหญ้าแฝก</t>
  </si>
  <si>
    <t>- การฝึกอบรมการพัฒนาผลิตภัณฑ์และเชื่อมโยงการตลาด</t>
  </si>
  <si>
    <t>(5) โครงการอันเนื่องมาจากพระราชดำริพัฒนาความรู้ 12 โครงการ</t>
  </si>
  <si>
    <t>- งบปัจจัยรายบุคคล</t>
  </si>
  <si>
    <t xml:space="preserve"> - อบรมเกษตรกรในพื้นที่โครงการ</t>
  </si>
  <si>
    <t xml:space="preserve"> - รายบุคคล</t>
  </si>
  <si>
    <t xml:space="preserve"> - แปลง/ศูนย์/แห่ง</t>
  </si>
  <si>
    <t>(5) โครงการ...</t>
  </si>
  <si>
    <t>(6) โครงการ...</t>
  </si>
  <si>
    <t>โครงการที่ 2 : โครงการพัฒนาผู้แทนเกษตรกร</t>
  </si>
  <si>
    <t>กิจกรรมพัฒนาผู้แทนเกษตรกรในเขตปฏิรูปที่ดิน</t>
  </si>
  <si>
    <t xml:space="preserve"> - อบรม หลักสูตรการพัฒนาผู้แทนเกษตรกรในระดับพื้นที่ (โดย ส.ป.ก.จังหวัด)</t>
  </si>
  <si>
    <t xml:space="preserve"> - อบรม หลักสูตรการพัฒนาภาวะผู้นำแก่ผู้นำเกษตรกร (โดย สพท.)</t>
  </si>
  <si>
    <t>แผนงานยุทธศาสตร์จัดการมลพิษและสิ่งแวดล้อม</t>
  </si>
  <si>
    <t>โครงการที่ 1 : โครงการเฝ้าระวังการเผาซากพืช วัชพืช และวัสดุทางการเกษตรในเขตปฏิรูปที่ดิน</t>
  </si>
  <si>
    <t>กิจกรรมเฝ้าระวังการเผาซากพืช วัชพืช และวัสดุทางการเกษตร ฯ</t>
  </si>
  <si>
    <t>- พื้นที่ที่ได้รับการส่งเสริมและเฝ้าระวังให้มีการลดการเผา</t>
  </si>
  <si>
    <t>- อบรมเกษตรกร (เกษตรกรรายเดิมอบรมหลักสูตรต่อเนื่อง)</t>
  </si>
  <si>
    <t>หลักสูตร แนวทางการเฝ้าระวังการเผาไหม้ฯ</t>
  </si>
  <si>
    <r>
      <rPr>
        <sz val="15"/>
        <color theme="1"/>
        <rFont val="Arial"/>
      </rPr>
      <t xml:space="preserve">- เกษตรกรที่เข้าร่วมโครงการ </t>
    </r>
    <r>
      <rPr>
        <b/>
        <sz val="15"/>
        <color rgb="FFFF0000"/>
        <rFont val="Arial"/>
      </rPr>
      <t>ทั้งหมด</t>
    </r>
  </si>
  <si>
    <r>
      <rPr>
        <sz val="15"/>
        <color theme="1"/>
        <rFont val="Arial"/>
      </rPr>
      <t xml:space="preserve">- เกษตรกร </t>
    </r>
    <r>
      <rPr>
        <b/>
        <sz val="15"/>
        <color rgb="FFFF0000"/>
        <rFont val="Arial"/>
      </rPr>
      <t>เฉพาะ</t>
    </r>
    <r>
      <rPr>
        <sz val="15"/>
        <color theme="1"/>
        <rFont val="Arial"/>
      </rPr>
      <t xml:space="preserve"> ที่ได้รับการอบรม แนวทางการเฝ้าระวังการเผาไหม้ฯ</t>
    </r>
  </si>
  <si>
    <t>หลักสูตร การบริหารจัดการเศษวัสดุเหลือใช้ฯ</t>
  </si>
  <si>
    <r>
      <rPr>
        <sz val="15"/>
        <color theme="1"/>
        <rFont val="Arial"/>
      </rPr>
      <t xml:space="preserve">- เกษตรกรที่เข้าร่วมโครงการ </t>
    </r>
    <r>
      <rPr>
        <b/>
        <sz val="15"/>
        <color rgb="FFFF0000"/>
        <rFont val="Arial"/>
      </rPr>
      <t>ทั้งหมด</t>
    </r>
  </si>
  <si>
    <r>
      <rPr>
        <sz val="15"/>
        <color theme="1"/>
        <rFont val="Arial"/>
      </rPr>
      <t xml:space="preserve">- เกษตรกร </t>
    </r>
    <r>
      <rPr>
        <b/>
        <sz val="15"/>
        <color rgb="FFFF0000"/>
        <rFont val="Arial"/>
      </rPr>
      <t>เฉพาะ</t>
    </r>
    <r>
      <rPr>
        <sz val="15"/>
        <color theme="1"/>
        <rFont val="Arial"/>
      </rPr>
      <t xml:space="preserve"> ที่ได้รับการอบรม การบริหารจัดการเศษวัสดุเหลือใช้ฯ</t>
    </r>
  </si>
  <si>
    <t>แผนงานบูรณาการพัฒนาและส่งเสริมเศรษฐกิจฐานราก</t>
  </si>
  <si>
    <t>โครงการที่ 1 : โครงการพัฒนาเกษตรกรปราดเปรื่อง (Smart Farmer)</t>
  </si>
  <si>
    <t>กิจกรรมพัฒนาเกษตรกรปราดเปรื่องในเขตปฏิรูปที่ดิน (Smart Farmer)</t>
  </si>
  <si>
    <t>- เตรียมความพร้อมและทำแผนพัฒนาเกษตรกร (เตรียมแล้วให้ใส่ 1)</t>
  </si>
  <si>
    <t>- พัฒนาเกษตรกร (ฝึกอบรมและขยายผลองค์ความรู้ฯ)</t>
  </si>
  <si>
    <t>- ศึกษาดูงาน</t>
  </si>
  <si>
    <t>- คัดเลือกเกษตรกรปราดเปรื่องต้นแบบ</t>
  </si>
  <si>
    <t>โครงการที่ 2 : โครงการส่งเสริมและพัฒนาอาชีพเพื่อแก้ไขปัญหาที่ดินทำกินของเกษตรกร</t>
  </si>
  <si>
    <t>กิจกรรมบริหารจัดการพื้นที่ที่ดินแปลงรวม</t>
  </si>
  <si>
    <t>พื้นที่</t>
  </si>
  <si>
    <t xml:space="preserve"> - ประสาน/สำรวจพื้นที่/ประสานหน่วยงานที่เกี่ยวข้อง</t>
  </si>
  <si>
    <t>โครงการที่ 3 : โครงการบริหารจัดการที่ดินทำกินแก่เกษตรกรรายย่อยและผู้ด้อยโอกาส</t>
  </si>
  <si>
    <t>กิจกรรมศูนย์บริการประชาชน</t>
  </si>
  <si>
    <t>- ให้บริการเกษตรกร ณ ศูนย์บริการประชาชน</t>
  </si>
  <si>
    <t>- ออกศูนย์บริการเคลื่อนที่ในเขตปฏิรูปที่ดิน</t>
  </si>
  <si>
    <t>- ตำบลที่ออกให้บริการ</t>
  </si>
  <si>
    <t>ตำบล</t>
  </si>
  <si>
    <t>- จำนวนผู้มารับบริการ</t>
  </si>
  <si>
    <t>- จำนวนผู้รับบริการจากระบบออนไลน์</t>
  </si>
  <si>
    <t>- จำนวนผู้รับบริการจากการออกรับบริการร่วมกับหน่วยงานภายนอกอื่น ๆ</t>
  </si>
  <si>
    <t>กิจกรรมจัดที่ดิน</t>
  </si>
  <si>
    <t>จัดที่ดิน แปลงเกษตรกรรม</t>
  </si>
  <si>
    <t>แผนงานตาม พ.ร.บ.</t>
  </si>
  <si>
    <t>(พื้นที่คงค้างการจัดที่ดิน (X-Ray, 0-3) + จัดที่ดินแทนที่ กรณีสละสิทธิแบ่งแปลงและเสียชีวิตแบ่งแปลง)</t>
  </si>
  <si>
    <t>- รังวัด</t>
  </si>
  <si>
    <t>- สอบสวนสิทธิ</t>
  </si>
  <si>
    <t>- มอบ ส.ป.ก. 4-01</t>
  </si>
  <si>
    <t>*ข้อมูลจาก ALRO Land Online</t>
  </si>
  <si>
    <t>แผนงานตาม พ.ร.บ. + แผนงานแก้ไขปัญหาเร่งด่วน</t>
  </si>
  <si>
    <t>-- พื้นที่คงค้างการจัดที่ดิน</t>
  </si>
  <si>
    <t>(X-Ray, 0-3)</t>
  </si>
  <si>
    <t>-- จัดที่ดินแทนที่</t>
  </si>
  <si>
    <t>(กรณีสละสิทธิแบ่งแปลง เสียชีวิตแบ่งแปลง สละสิทธิเต็มแปลง เสียชีวิตเต็มแปลง)</t>
  </si>
  <si>
    <t>งานพิพาท</t>
  </si>
  <si>
    <t>แผนงานบูรณาการบริหารจัดการทรัพยากรน้ำ</t>
  </si>
  <si>
    <t>โครงการที่ 1 : โครงการพัฒนาแหล่งน้ำเพื่อการเกษตรในเขตปฏิรูปที่ดิน</t>
  </si>
  <si>
    <t xml:space="preserve">กิจกรรมขุดสระน้ำพร้อมระบบส่งน้ำ </t>
  </si>
  <si>
    <t>- ความก้าวหน้า</t>
  </si>
  <si>
    <t xml:space="preserve">- ขุดสระน้ำพร้อมระบบส่งน้ำ </t>
  </si>
  <si>
    <t>กิจกรรมขุดสระน้ำเก็บน้ำสาธารณะ</t>
  </si>
  <si>
    <t>- พัฒนาแหล่งน้ำ/ขุดสระเก็บน้ำสาธารณะ</t>
  </si>
  <si>
    <t>- จำนวนปริมาตรกักเก็บน้ำ</t>
  </si>
  <si>
    <t>ลบ.ม.</t>
  </si>
  <si>
    <t>งบประมาณกองทุนการปฏิรูปที่ดินเพื่อเกษตรกรรม</t>
  </si>
  <si>
    <t>โครงการเพื่อการปฏิรูปที่ดินเพื่อเกษตรกรรมที่เร่งด่วนและเป็นภารกิจของ ส.ป.ก. โดยตรง แต่ไม่ได้รับจัดสรรเงินงบประมาณ</t>
  </si>
  <si>
    <t>แผนงานยุทธศาสตร์เกษตรสร้างมูลค่า</t>
  </si>
  <si>
    <t>โครงการพัฒนาธุรกิจชุมชนในเขตปฏิรูปที่ดิน</t>
  </si>
  <si>
    <t xml:space="preserve"> - ส.ป.ก.ส่วนกลาง </t>
  </si>
  <si>
    <t xml:space="preserve"> - ส.ป.ก.จังหวัด  </t>
  </si>
  <si>
    <t xml:space="preserve">1) ฝึกอบรม </t>
  </si>
  <si>
    <t xml:space="preserve">2) วัสดุการเกษตร </t>
  </si>
  <si>
    <t>3) จ้างเหมาบริการ</t>
  </si>
  <si>
    <t>4) ดำเนินงาน (ค่าใช้สอย เบี้ยเลี้ยง ที่พัก พาหนะ ฯ)</t>
  </si>
  <si>
    <t>อบรมเกษตรกร กลุ่มเกษตรกร วิสาหกิจชุมชน</t>
  </si>
  <si>
    <t>และสหกรณ์การเกษตรในเขตปฏิรูปที่ดิน</t>
  </si>
  <si>
    <t xml:space="preserve"> - หลักสูตรที่ 1 การมีส่วนร่วมและการเสริมสร้างความเข็มแข็งของชุมชน</t>
  </si>
  <si>
    <t>(อบรมรวมทั้งกลุ่มเกษตรกร วิสาหกิจชุมชน และสหกรณ์การเกษตร)</t>
  </si>
  <si>
    <t>- หลักสูตรที่ 2 การจัดทำแผนธุรกิจและการบริหารจัดการกลุ่ม</t>
  </si>
  <si>
    <t>(อบรมสหกรณ์การเกษตรในเขตปฏิรูปที่ดิน)</t>
  </si>
  <si>
    <t>- หลักสูตรที่ 3 การเพิ่มมูลค่าสินค้า</t>
  </si>
  <si>
    <t>(อบรมกลุ่มเกษตรกร วิสาหกิจชุมชน)</t>
  </si>
  <si>
    <t>- หลักสูตรที่ 4 โดย สพท.</t>
  </si>
  <si>
    <t>โครงการส่งเสริมเกษตรอินทรีย์ในเขตปฏิรูปที่ดิน</t>
  </si>
  <si>
    <t xml:space="preserve"> - อบรม หลักสูตรสำหรับพัฒนากลไกผู้นำเกษตรกรและเจ้าหน้าที่</t>
  </si>
  <si>
    <t>ด้านส่งเสริมเกษตรอินทรีย์ (โดย สพท.)</t>
  </si>
  <si>
    <t xml:space="preserve"> - อบรม หลักสูตรสำหรับส่งเสริมเกษตรอินทรีย์โดยใช้กระบวนการ</t>
  </si>
  <si>
    <t>โรงเรียนเกษตรกร (โดย ส.ป.ก.จังหวัด)</t>
  </si>
  <si>
    <t>- พื้นที่ในเขตปฏิรูปที่ดินได้รับการส่งเสริมเกษตรอินทรีย์</t>
  </si>
  <si>
    <t>โครงการส่งเสริมระบบวนเกษตรในเขตปฏิรูปที่ดิน</t>
  </si>
  <si>
    <t>- อบรมเกษตรกร</t>
  </si>
  <si>
    <t>- ขั้นที่ 1</t>
  </si>
  <si>
    <t>- พื้นที่ที่ได้รับการส่งเสริมเป็นวนเกษตร</t>
  </si>
  <si>
    <r>
      <rPr>
        <sz val="15"/>
        <color theme="1"/>
        <rFont val="Arial"/>
      </rPr>
      <t>- เกษตรกรที่เข้าร่วมโครงการขั้นที่ 1</t>
    </r>
    <r>
      <rPr>
        <sz val="15"/>
        <color rgb="FFFF0000"/>
        <rFont val="Arial"/>
      </rPr>
      <t xml:space="preserve"> ทั้งหมด</t>
    </r>
  </si>
  <si>
    <r>
      <rPr>
        <sz val="15"/>
        <color theme="1"/>
        <rFont val="Arial"/>
      </rPr>
      <t>- เกษตรก</t>
    </r>
    <r>
      <rPr>
        <sz val="15"/>
        <color rgb="FFFF0000"/>
        <rFont val="Arial"/>
      </rPr>
      <t>รเฉพา</t>
    </r>
    <r>
      <rPr>
        <sz val="15"/>
        <color theme="1"/>
        <rFont val="Arial"/>
      </rPr>
      <t>ะที่ได้รับการอบรม ขั้นที่ 1</t>
    </r>
  </si>
  <si>
    <r>
      <rPr>
        <sz val="15"/>
        <color theme="1"/>
        <rFont val="Arial"/>
      </rPr>
      <t>- เกษตรกรที่เข้าร่วมโครงการขั้นที่ 2</t>
    </r>
    <r>
      <rPr>
        <sz val="15"/>
        <color rgb="FFFF0000"/>
        <rFont val="Arial"/>
      </rPr>
      <t xml:space="preserve"> ทั้งหมด</t>
    </r>
  </si>
  <si>
    <r>
      <rPr>
        <sz val="15"/>
        <color theme="1"/>
        <rFont val="Arial"/>
      </rPr>
      <t>- เกษตรก</t>
    </r>
    <r>
      <rPr>
        <sz val="15"/>
        <color rgb="FFFF0000"/>
        <rFont val="Arial"/>
      </rPr>
      <t>รเฉพา</t>
    </r>
    <r>
      <rPr>
        <sz val="15"/>
        <color theme="1"/>
        <rFont val="Arial"/>
      </rPr>
      <t>ะที่ได้รับการอบรม ขั้นที่ 2</t>
    </r>
  </si>
  <si>
    <r>
      <rPr>
        <sz val="15"/>
        <color theme="1"/>
        <rFont val="Arial"/>
      </rPr>
      <t>- เกษตรกรที่เข้าร่วมโครงการขั้นที่ 3</t>
    </r>
    <r>
      <rPr>
        <sz val="15"/>
        <color rgb="FFFF0000"/>
        <rFont val="Arial"/>
      </rPr>
      <t xml:space="preserve"> ทั้งหมด</t>
    </r>
  </si>
  <si>
    <r>
      <rPr>
        <sz val="15"/>
        <color theme="1"/>
        <rFont val="Arial"/>
      </rPr>
      <t>- เกษตรก</t>
    </r>
    <r>
      <rPr>
        <sz val="15"/>
        <color rgb="FFFF0000"/>
        <rFont val="Arial"/>
      </rPr>
      <t>รเฉพา</t>
    </r>
    <r>
      <rPr>
        <sz val="15"/>
        <color theme="1"/>
        <rFont val="Arial"/>
      </rPr>
      <t>ะที่ได้รับการอบรม ขั้นที่ 3</t>
    </r>
  </si>
  <si>
    <r>
      <rPr>
        <sz val="15"/>
        <color theme="1"/>
        <rFont val="Arial"/>
      </rPr>
      <t>- เกษตรกรขั้นที่ 1 (</t>
    </r>
    <r>
      <rPr>
        <sz val="15"/>
        <color rgb="FFFF0000"/>
        <rFont val="Arial"/>
      </rPr>
      <t>เฉพาะ</t>
    </r>
    <r>
      <rPr>
        <sz val="15"/>
        <color theme="1"/>
        <rFont val="Arial"/>
      </rPr>
      <t>) ที่ได้รับการอบรม</t>
    </r>
  </si>
  <si>
    <r>
      <rPr>
        <sz val="15"/>
        <color theme="1"/>
        <rFont val="Arial"/>
      </rPr>
      <t xml:space="preserve"> - เกษตรกรขั้นที่ 1 (เกษตรกรที่เข้าร่วมโครงกา</t>
    </r>
    <r>
      <rPr>
        <sz val="15"/>
        <color rgb="FFFF0000"/>
        <rFont val="Arial"/>
      </rPr>
      <t>รทั้งหม</t>
    </r>
    <r>
      <rPr>
        <sz val="15"/>
        <color theme="1"/>
        <rFont val="Arial"/>
      </rPr>
      <t>ด)</t>
    </r>
  </si>
  <si>
    <r>
      <rPr>
        <sz val="15"/>
        <color theme="1"/>
        <rFont val="Arial"/>
      </rPr>
      <t>- เกษตรกรขั้นที่ 2 (</t>
    </r>
    <r>
      <rPr>
        <sz val="15"/>
        <color rgb="FFFF0000"/>
        <rFont val="Arial"/>
      </rPr>
      <t>เฉพาะ</t>
    </r>
    <r>
      <rPr>
        <sz val="15"/>
        <color theme="1"/>
        <rFont val="Arial"/>
      </rPr>
      <t>) ที่ได้รับการอบรม</t>
    </r>
  </si>
  <si>
    <r>
      <rPr>
        <sz val="15"/>
        <color theme="1"/>
        <rFont val="Arial"/>
      </rPr>
      <t>- เกษตรกรขั้นที่ 2 (เกษตรกรที่เข้าร่วมโครงการ</t>
    </r>
    <r>
      <rPr>
        <sz val="15"/>
        <color rgb="FFFF0000"/>
        <rFont val="Arial"/>
      </rPr>
      <t>ทั้งหมด</t>
    </r>
    <r>
      <rPr>
        <sz val="15"/>
        <color theme="1"/>
        <rFont val="Arial"/>
      </rPr>
      <t>)</t>
    </r>
  </si>
  <si>
    <t>โครงการส่งเสริมและขยายพันธุ์พืชในเขตปฏิรูปที่ดิน</t>
  </si>
  <si>
    <t>ดำเนินการโดย สพท.</t>
  </si>
  <si>
    <t>- สนับสนุนกล้าไม้</t>
  </si>
  <si>
    <t>- ผู้สนใจเข้าศึกษาดูงาน</t>
  </si>
  <si>
    <t>- ศูนย์ส่งเสริมและขยายพันธุ์ฯ จ.พระนครศรีอยุธยา</t>
  </si>
  <si>
    <t>- ศูนย์ส่งเสริมและขยายพันธุ์ฯ จ.ฉะเชิงเทรา</t>
  </si>
  <si>
    <t xml:space="preserve">โครงการส่งเสริมและพัฒนาอาชีพเพื่อแก้ไขปัญหาที่ดินทำกินของเกษตรกร </t>
  </si>
  <si>
    <t>กิจกรรมยกระดับรายได้เกษตรกรในเขตปฏิรูปที่ดินเพื่อลดความเหลื่อมล้ำ</t>
  </si>
  <si>
    <t>- จัดฝึกอบรมเกษตรกรตามหลักสูตร</t>
  </si>
  <si>
    <t>- หลักสูตร 1 จัดทำ พัฒนา สรุปและถอดบทเรียนแผนชุมชน</t>
  </si>
  <si>
    <t>- หลักสูตร 2 การพัฒนาอาชีพ ส่งเสริมและสนับสนุนองค์ความรู้ฯ</t>
  </si>
  <si>
    <t>- หลักสูตร 3 การพัฒนาสถาบันเกษตรกรในพื้นที่ คทช.</t>
  </si>
  <si>
    <t>- หลักสูตร 4 การพัฒนาหรือศึกษาดูงานการเพิ่มประสิทธิภาพการผลิต</t>
  </si>
  <si>
    <t>โครงการตรวจสอบที่ดินในเขตปฏิรูปที่ดิน</t>
  </si>
  <si>
    <t>5) ค่าธรรมเนียมศาล</t>
  </si>
  <si>
    <t>ตรวจสอบการถือครอง (กรณีแผนงานปกติ)</t>
  </si>
  <si>
    <t>1. ผลการลงพื้นที่หาข้อมูลเบื้องต้นจากผู้ที่น่าเชื่อถือได้</t>
  </si>
  <si>
    <t>1.1 ใช้ประโยชน์ด้วยตนเอง</t>
  </si>
  <si>
    <t>1.2 ไม่ใช้ประโยชน์ในที่ดิน (รวมไม่ทราบข้อมูล)</t>
  </si>
  <si>
    <t>1.3 เสียชีวิต</t>
  </si>
  <si>
    <t>2. ผลการพิจารณาของคณะอนุกรรมการ</t>
  </si>
  <si>
    <t>2.1 ใช้ประโยชน์ด้วยตนเอง</t>
  </si>
  <si>
    <t>2.2 ไม่ใช้ประโยชน์ในที่ดิน (รวมไม่ทราบข้อมูล)</t>
  </si>
  <si>
    <t>2.3 เสียชีวิต</t>
  </si>
  <si>
    <t>3. สรุปผลการตรวจสอบการถือครอง</t>
  </si>
  <si>
    <t>3.1 ใช้ประโยชน์ด้วยตนเอง</t>
  </si>
  <si>
    <t>3.2 ไม่ใช้ประโยชน์ในที่ดิน (รวมไม่ทราบข้อมูล)</t>
  </si>
  <si>
    <t>3.3 เสียชีวิต</t>
  </si>
  <si>
    <t>- เสียชีวิต ทายาททำประโยชน์</t>
  </si>
  <si>
    <t>- เสียชีวิต บุคคลอื่นทำประโยชน์</t>
  </si>
  <si>
    <t>3.4 ไม่มาให้ข้อเท็จจริง</t>
  </si>
  <si>
    <t>3.5 บอกเลิกสัญญาเช่า/เช่าซื้อ</t>
  </si>
  <si>
    <t>ตรวจสอบการถือครอง (กรณีผิดปกติ)</t>
  </si>
  <si>
    <t>สรุป</t>
  </si>
  <si>
    <t>1. เกษตรกรมีชีวิตอยู่</t>
  </si>
  <si>
    <t>1.1 ปฏิบัติตามระเบียบ (ผลจากการลงพื้นที่/ยุติเรื่อง)</t>
  </si>
  <si>
    <t>1.2 ไม่ปฏิบัติตามระเบียบ (หลังจากทำหนังสือแจ้งเตือน/แจ้งสิทธิ)</t>
  </si>
  <si>
    <t>1.3 คปจ.สั่งให้สิ้นสิทธิ</t>
  </si>
  <si>
    <t>2. เกษตรกรเสียชีวิต</t>
  </si>
  <si>
    <t>2.1 เสียชีวิต ทายาททำประโยชน์</t>
  </si>
  <si>
    <t>2.2  เสียชีวิต บุคคลอื่นทำประโยชน์</t>
  </si>
  <si>
    <t>3. กรณีอื่นๆ ( เช่น พื้นที่นอกเขตฯ ฐานข้อมูลคลาดเคลื่อน)</t>
  </si>
  <si>
    <t>ตรวจสอบการใช้ที่ดินผิดวัตถุประสงค์ โดยแผนที่ภาพถ่ายทางอากาศ/ดาวเทียม</t>
  </si>
  <si>
    <t xml:space="preserve"> - สผส. ตรวจสอบ ติดตามการใช้ประโยชน์ที่ดินรายแปลง</t>
  </si>
  <si>
    <t>ด้วยภาพถ่ายทางอากาศและ/หรือภาพดาวเทียมรายละเอียดสูง</t>
  </si>
  <si>
    <t>- ใช้ที่ผิดวัตถุประสงค์</t>
  </si>
  <si>
    <t>- ส่งข้อมูลกรณีใช้ที่ผิดวัตถุประสงค์ให้ ส.ป.ก.จังหวัด ตรวจสอบ</t>
  </si>
  <si>
    <t xml:space="preserve"> - ส.ป.ก.จังหวัด ตรวจสอบ ติดตามการใช้ประโยชน์ที่ดินรายแปลง</t>
  </si>
  <si>
    <t xml:space="preserve">  แปลงที่ใช้ที่ดินผิดวัตถุประสงค์ จากการตรวจพบของ สผส.</t>
  </si>
  <si>
    <t>- ใช้ที่ดินตามวัตถุประสงค์</t>
  </si>
  <si>
    <t>- อื่น ๆ</t>
  </si>
  <si>
    <t>โครงการจัดที่ดินชุมชนในเขตปฏิรูปที่ดิน</t>
  </si>
  <si>
    <t>- จัดทำประชาคม</t>
  </si>
  <si>
    <t>ชุมชน</t>
  </si>
  <si>
    <t>- จัดทำวงรอบ</t>
  </si>
  <si>
    <t>ชุุมชน</t>
  </si>
  <si>
    <t>- สำรวจรังวัด</t>
  </si>
  <si>
    <t>- คปจ.</t>
  </si>
  <si>
    <t>- จัดทำสัญญาเข้าทำประโยชน์ (ส.ป.ก. 4-118)</t>
  </si>
  <si>
    <t>โครงการบริหารจัดการที่ดินเอกชน</t>
  </si>
  <si>
    <t>กิจกรรมการจัดหาที่ดินเอกชน</t>
  </si>
  <si>
    <t>1. การจัดหาที่ดินเพื่อการจัดซื้อที่ดินเอกชน ปี 2566</t>
  </si>
  <si>
    <t>- จัดทำป้ายประชาสัมพันธ์เพื่อประกาศพื้นที่</t>
  </si>
  <si>
    <t>- ปิดป้ายประชาสัมพันธ์เพื่อประกาศพื้นที่</t>
  </si>
  <si>
    <t>- รับคำเสนอขาย/ตรวจสอบความถูกต้องหนังสือแสดงสิทธิในที่ดิน</t>
  </si>
  <si>
    <t>- ตรวจสอบสภาพพื้นที่ แปลงที่ดิน การทำประโยชน์/ต่อรองราคา</t>
  </si>
  <si>
    <t>- คณะอนุกรรมการจัดซื้อที่ดินพิจารณาความเหมาะสมของที่ดิน</t>
  </si>
  <si>
    <t>- นำเสนอ คปจ./อกก.คง.</t>
  </si>
  <si>
    <t>- อำนาจ คปจ. เห็นชอบและอนุมัติ กรณีราคาไม่เกิน 1.5 เท่า</t>
  </si>
  <si>
    <t>- อำนาจ อกก.คง. เห็นชอบและอนุมัติ กรณีราคาเกิน 1.5 เท่า</t>
  </si>
  <si>
    <t>2. จัดซื้อที่ดินงานต่อเนื่อง</t>
  </si>
  <si>
    <t>- นำเสนอ คปจ.</t>
  </si>
  <si>
    <t>- ประกาศเขตปฏิรูปที่ดิน</t>
  </si>
  <si>
    <t>- จดทะเบียนสิทธิและนิติกรรม และชำระมูลค่าที่ดิน</t>
  </si>
  <si>
    <t>กิจกรรมการจัดที่ดินเอกชน 7 กิจกรรม</t>
  </si>
  <si>
    <t>1. สำรวจรังวัดปูผังแบ่งแปลงที่ดิน (แปลงว่าง) *</t>
  </si>
  <si>
    <t>2. จัดทำสัญญาเช่า/เช่าซื้อ (แปลงว่าง) *</t>
  </si>
  <si>
    <t>3. ปรับปรุงสิทธิ</t>
  </si>
  <si>
    <t>- การเช่าไปสู่การเช่าซื้อ</t>
  </si>
  <si>
    <t>- การเช่าซื้อไปสู่การเช่า</t>
  </si>
  <si>
    <t>4. การสำรวจรังวัดแบ่งแยกในนามเดิมยื่นคำขอออกโฉนดที่ดินกับ สนง.ที่ดิน</t>
  </si>
  <si>
    <t>- แปลงต้นขั้ว</t>
  </si>
  <si>
    <t>- แปลงยื่นสำรวจรังวัดแบ่งแยก</t>
  </si>
  <si>
    <t>- อยู่ระหว่างยื่นดำเนินการ</t>
  </si>
  <si>
    <t>- ดำเนินการเรียบร้อยแล้ว</t>
  </si>
  <si>
    <t>5. จดทะเบียนสิทธิและนิติกรรม (ตามสัญญาเช่าซื้อ) *</t>
  </si>
  <si>
    <t>6. โอนสิทธิและมรดกสิทธิการเช่า/เช่าซื้อ เต็มแปลง/แบ่งแปลง *</t>
  </si>
  <si>
    <t>- เต็มแปลง</t>
  </si>
  <si>
    <t>- แบ่งแปลง</t>
  </si>
  <si>
    <t>7. การเจรจาไกล่เกลี่ยข้อพิพาท</t>
  </si>
  <si>
    <t>- อยู่ระหว่างแก้ไขปัญหา</t>
  </si>
  <si>
    <t>- ยุติเรื่อง</t>
  </si>
  <si>
    <t>* กิจกรรมที่ 1,2,5,6 ข้อมูลจาก ALRO Land Online</t>
  </si>
  <si>
    <t xml:space="preserve">โครงการจัดทำและปรับปรุงฐานข้อมูลที่ดินและแผนที่ กมร. </t>
  </si>
  <si>
    <t>จัดทำและปรับปรุงฐานข้อมูลที่ดินและแผนที่ กมร.</t>
  </si>
  <si>
    <t>ระวาง</t>
  </si>
  <si>
    <t>โครงการตรวจสอบมาตรฐานแผนที่ตามระเบียบ กมร.</t>
  </si>
  <si>
    <t>ตรวจสอบมาตรฐานแผนที่ตามระเบียบ กมร.</t>
  </si>
  <si>
    <t>โครงการสำรวจวางโครงหมุดหลักฐานแผนที่ด้วยเครื่อง GNSS</t>
  </si>
  <si>
    <t>สำรวจวางโครงหมุดหลักฐานแผนที่ด้วยเครื่อง GNSS</t>
  </si>
  <si>
    <t>โครงการสำรวจรังวัดปรับปรุงแผนที่แปลงที่ดินมาตรฐาน RTK GNSS Network</t>
  </si>
  <si>
    <t>ดำเนินการโดย ส.ป.ก. จังหวัด (ข้อมูลจาก สผส.)</t>
  </si>
  <si>
    <t>ดำเนินการโดย สผส.</t>
  </si>
  <si>
    <t>โครงการสำรวจวางโครงหมุดหลักฐานแผนที่ และปักหลักเขต</t>
  </si>
  <si>
    <t>สำรวจวางโครงหมุดหลักฐานแผนที่ และปักหลักเขต</t>
  </si>
  <si>
    <t>การดำเนินงานกองทุนการปฏิรูปที่ดินเพื่อเกษตรกรรม (ข้อมูลโดย สบท.)</t>
  </si>
  <si>
    <t>แผนการจัดเก็บหนี้ต้นเงินกู้ที่ครบกำหนดชำระ</t>
  </si>
  <si>
    <t>แผนการจัดเก็บหนี้ต้นเงินกู้ค้างชำระ</t>
  </si>
  <si>
    <t>แผนการจัดเก็บรายได้ค่าเช่าและเงินต้นค่าเช่าซื้อ</t>
  </si>
  <si>
    <t>แผนการให้สินเชื่อเงินกองทุนฯ</t>
  </si>
  <si>
    <t>สำนักงานการปฏิรูปที่ดินจังหวัด กำแพงเพชร</t>
  </si>
  <si>
    <t>(5) โครงการพัชรสุธาคชานุรักษ์</t>
  </si>
  <si>
    <t>(6) โครงการพัฒนาพื้นที่ราบเชิงเขา</t>
  </si>
  <si>
    <r>
      <rPr>
        <b/>
        <sz val="15"/>
        <color theme="1"/>
        <rFont val="Arial"/>
      </rPr>
      <t xml:space="preserve">การดำเนินงานกองทุนการปฏิรูปที่ดินเพื่อเกษตรกรรม </t>
    </r>
    <r>
      <rPr>
        <b/>
        <sz val="15"/>
        <color rgb="FF980000"/>
        <rFont val="Arial"/>
      </rPr>
      <t>(ใช้ข้อมูลจาก สบท.)</t>
    </r>
  </si>
  <si>
    <t>สำนักงานการปฏิรูปที่ดินจังหวัด เชียงราย</t>
  </si>
  <si>
    <t>สำนักงานการปฏิรูปที่ดินจังหวัด เชียงใหม่</t>
  </si>
  <si>
    <t>(5) โครงการธนาคารอาหารชุมชน (เกษตรวิชญา)</t>
  </si>
  <si>
    <t>สำนักงานการปฏิรูปที่ดินจังหวัด ตาก</t>
  </si>
  <si>
    <t>สำนักงานการปฏิรูปที่ดินจังหวัด นครสวรรค์</t>
  </si>
  <si>
    <t>สำนักงานการปฏิรูปที่ดินจังหวัด น่าน</t>
  </si>
  <si>
    <t>(5) โครงการศูนย์ภูฟ้าฯ</t>
  </si>
  <si>
    <t>(6) โครงการปิดทองหลังพระ</t>
  </si>
  <si>
    <t>สำนักงานการปฏิรูปที่ดินจังหวัด พะเยา</t>
  </si>
  <si>
    <t>(5) โครงการศูนย์เรียนรู้การพัฒนาเกษตรอ่างเก็บน้ำห้วยไฟ</t>
  </si>
  <si>
    <t>สำนักงานการปฏิรูปที่ดินจังหวัด พิจิตร</t>
  </si>
  <si>
    <t>สำนักงานการปฏิรูปที่ดินจังหวัด พิษณุโลก</t>
  </si>
  <si>
    <t>สำนักงานการปฏิรูปที่ดินจังหวัด เพชรบูรณ์</t>
  </si>
  <si>
    <t>สำนักงานการปฏิรูปที่ดินจังหวัด แพร่</t>
  </si>
  <si>
    <t>สำนักงานการปฏิรูปที่ดินจังหวัด แม่ฮ่องสอน</t>
  </si>
  <si>
    <r>
      <rPr>
        <sz val="15"/>
        <color theme="1"/>
        <rFont val="Arial"/>
      </rPr>
      <t xml:space="preserve">- เกษตรกร </t>
    </r>
    <r>
      <rPr>
        <b/>
        <sz val="15"/>
        <color rgb="FFFF0000"/>
        <rFont val="Arial"/>
      </rPr>
      <t>เฉพาะ</t>
    </r>
    <r>
      <rPr>
        <sz val="15"/>
        <color theme="1"/>
        <rFont val="Arial"/>
      </rPr>
      <t xml:space="preserve"> ที่ได้รับการอบรม แนวทางการเฝ้าระวัง</t>
    </r>
  </si>
  <si>
    <t>สำนักงานการปฏิรูปที่ดินจังหวัด ลำปาง</t>
  </si>
  <si>
    <t>สำนักงานการปฏิรูปที่ดินจังหวัด ลำพูน</t>
  </si>
  <si>
    <t>(5) โครงการพัฒนาพื้นที่ลุ่มน้ำแม่อาวฯ</t>
  </si>
  <si>
    <t>สำนักงานการปฏิรูปที่ดินจังหวัด สุโขทัย</t>
  </si>
  <si>
    <t>สำนักงานการปฏิรูปที่ดินจังหวัด อุตรดิตถ์</t>
  </si>
  <si>
    <t>สำนักงานการปฏิรูปที่ดินจังหวัด อุทัยธานี</t>
  </si>
  <si>
    <t>ข้อมูล ณ วันที่ 15 ธันวาคม 2565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</si>
</sst>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1" formatCode="_-* #,##0_-;\-* #,##0_-;_-* &quot;-&quot;_-;_-@_-"/>
    <numFmt numFmtId="187" formatCode="_-* #,##0_-;\-* #,##0_-;_-* &quot;-&quot;??_-;_-@"/>
    <numFmt numFmtId="188" formatCode="_-* #,##0.00_-;\-* #,##0.00_-;_-* &quot;-&quot;??_-;_-@"/>
    <numFmt numFmtId="189" formatCode="_-* #,##0_-;\-* #,##0_-;_-* &quot;-&quot;_-;_-@"/>
    <numFmt numFmtId="190" formatCode="_(* #,##0_);_(* \(#,##0\);_(* &quot;-&quot;??_);_(@_)"/>
    <numFmt numFmtId="191" formatCode="_-* #,##0.00_-;\-* #,##0.00_-;_-* &quot;-&quot;????_-;_-@"/>
  </numFmts>
  <fonts count="74">
    <font>
      <sz val="10"/>
      <color rgb="FF000000"/>
      <name val="Arial"/>
      <scheme val="minor"/>
    </font>
    <font>
      <b/>
      <sz val="15"/>
      <color theme="1"/>
      <name val="Arial"/>
    </font>
    <font>
      <sz val="10"/>
      <color theme="1"/>
      <name val="Arial"/>
    </font>
    <font>
      <sz val="10"/>
      <name val="Arial"/>
    </font>
    <font>
      <sz val="15"/>
      <color theme="1"/>
      <name val="Arial"/>
      <scheme val="minor"/>
    </font>
    <font>
      <b/>
      <u/>
      <sz val="15"/>
      <color theme="1"/>
      <name val="Arial"/>
    </font>
    <font>
      <b/>
      <sz val="15"/>
      <color theme="1"/>
      <name val="Arial"/>
      <scheme val="minor"/>
    </font>
    <font>
      <sz val="10"/>
      <color rgb="FFFF0000"/>
      <name val="Arial"/>
    </font>
    <font>
      <sz val="15"/>
      <color rgb="FFFF0000"/>
      <name val="Arial"/>
    </font>
    <font>
      <sz val="15"/>
      <color rgb="FFFF0000"/>
      <name val="Arial"/>
      <scheme val="minor"/>
    </font>
    <font>
      <u/>
      <sz val="15"/>
      <color theme="1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sz val="15"/>
      <color theme="1"/>
      <name val="Arial"/>
    </font>
    <font>
      <b/>
      <sz val="15"/>
      <color rgb="FFFF0000"/>
      <name val="Arial"/>
    </font>
    <font>
      <b/>
      <u/>
      <sz val="15"/>
      <color theme="1"/>
      <name val="Arial"/>
    </font>
    <font>
      <sz val="14"/>
      <color theme="1"/>
      <name val="Arial"/>
    </font>
    <font>
      <sz val="13"/>
      <color theme="1"/>
      <name val="Arial"/>
    </font>
    <font>
      <u/>
      <sz val="15"/>
      <color theme="1"/>
      <name val="Arial"/>
    </font>
    <font>
      <b/>
      <sz val="10"/>
      <color theme="1"/>
      <name val="Arial"/>
    </font>
    <font>
      <b/>
      <u/>
      <sz val="15"/>
      <color theme="1"/>
      <name val="Arial"/>
    </font>
    <font>
      <b/>
      <sz val="10"/>
      <color theme="1"/>
      <name val="Arial"/>
      <scheme val="minor"/>
    </font>
    <font>
      <u/>
      <sz val="15"/>
      <color rgb="FFFF0000"/>
      <name val="Arial"/>
    </font>
    <font>
      <sz val="10"/>
      <color rgb="FFFF0000"/>
      <name val="Arial"/>
      <scheme val="minor"/>
    </font>
    <font>
      <u/>
      <sz val="15"/>
      <color rgb="FFFF0000"/>
      <name val="Arial"/>
    </font>
    <font>
      <b/>
      <sz val="15"/>
      <color rgb="FFFF0000"/>
      <name val="Arial"/>
      <scheme val="minor"/>
    </font>
    <font>
      <b/>
      <u/>
      <sz val="15"/>
      <color rgb="FFFF0000"/>
      <name val="Arial"/>
    </font>
    <font>
      <b/>
      <u/>
      <sz val="15"/>
      <color theme="1"/>
      <name val="Arial"/>
    </font>
    <font>
      <sz val="10"/>
      <color rgb="FF000000"/>
      <name val="Arial"/>
    </font>
    <font>
      <b/>
      <sz val="15"/>
      <color rgb="FF000000"/>
      <name val="Arial"/>
    </font>
    <font>
      <b/>
      <sz val="15"/>
      <color rgb="FF000000"/>
      <name val="Arial"/>
      <scheme val="minor"/>
    </font>
    <font>
      <sz val="15"/>
      <color rgb="FF000000"/>
      <name val="Arial"/>
      <scheme val="minor"/>
    </font>
    <font>
      <sz val="10"/>
      <color rgb="FF000000"/>
      <name val="Arial"/>
      <scheme val="minor"/>
    </font>
    <font>
      <b/>
      <u/>
      <sz val="15"/>
      <color rgb="FF000000"/>
      <name val="Arial"/>
    </font>
    <font>
      <sz val="15"/>
      <color rgb="FF000000"/>
      <name val="Arial"/>
    </font>
    <font>
      <b/>
      <u/>
      <sz val="15"/>
      <color rgb="FF000000"/>
      <name val="Arial"/>
    </font>
    <font>
      <b/>
      <sz val="15"/>
      <color rgb="FFFFFFFF"/>
      <name val="Arial"/>
    </font>
    <font>
      <sz val="15"/>
      <color theme="1"/>
      <name val="Sarabun"/>
    </font>
    <font>
      <b/>
      <u/>
      <sz val="15"/>
      <color theme="1"/>
      <name val="Arial"/>
    </font>
    <font>
      <b/>
      <u/>
      <sz val="15"/>
      <color theme="1"/>
      <name val="Arial"/>
    </font>
    <font>
      <sz val="13"/>
      <color rgb="FFFF0000"/>
      <name val="Arial"/>
      <scheme val="minor"/>
    </font>
    <font>
      <sz val="10"/>
      <color rgb="FF1155CC"/>
      <name val="Arial"/>
    </font>
    <font>
      <b/>
      <sz val="15"/>
      <color rgb="FF1155CC"/>
      <name val="Arial"/>
    </font>
    <font>
      <b/>
      <u/>
      <sz val="15"/>
      <color rgb="FF1155CC"/>
      <name val="Arial"/>
    </font>
    <font>
      <b/>
      <sz val="15"/>
      <color rgb="FF1155CC"/>
      <name val="Arial"/>
      <scheme val="minor"/>
    </font>
    <font>
      <sz val="15"/>
      <color rgb="FF1155CC"/>
      <name val="Arial"/>
      <scheme val="minor"/>
    </font>
    <font>
      <sz val="10"/>
      <color rgb="FF1155CC"/>
      <name val="Arial"/>
      <scheme val="minor"/>
    </font>
    <font>
      <sz val="13"/>
      <color rgb="FF1155CC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b/>
      <u/>
      <sz val="15"/>
      <color theme="1"/>
      <name val="Arial"/>
      <scheme val="minor"/>
    </font>
    <font>
      <u/>
      <sz val="15"/>
      <color theme="1"/>
      <name val="Arial"/>
      <scheme val="minor"/>
    </font>
    <font>
      <b/>
      <u/>
      <sz val="15"/>
      <color theme="1"/>
      <name val="Arial"/>
      <scheme val="minor"/>
    </font>
    <font>
      <i/>
      <sz val="15"/>
      <color rgb="FFFF00FF"/>
      <name val="Arial"/>
      <scheme val="minor"/>
    </font>
    <font>
      <b/>
      <u/>
      <sz val="15"/>
      <color theme="1"/>
      <name val="Arial"/>
      <scheme val="minor"/>
    </font>
    <font>
      <b/>
      <u/>
      <sz val="15"/>
      <color rgb="FFFF0000"/>
      <name val="Arial"/>
      <scheme val="minor"/>
    </font>
    <font>
      <u/>
      <sz val="15"/>
      <color rgb="FFFF0000"/>
      <name val="Arial"/>
      <scheme val="minor"/>
    </font>
    <font>
      <b/>
      <u/>
      <sz val="15"/>
      <color rgb="FFFF0000"/>
      <name val="Arial"/>
      <scheme val="minor"/>
    </font>
    <font>
      <b/>
      <u/>
      <sz val="15"/>
      <color theme="1"/>
      <name val="Arial"/>
      <scheme val="minor"/>
    </font>
    <font>
      <sz val="14"/>
      <color theme="1"/>
      <name val="Arial"/>
      <scheme val="minor"/>
    </font>
    <font>
      <b/>
      <u/>
      <sz val="15"/>
      <color theme="1"/>
      <name val="Arial"/>
      <scheme val="minor"/>
    </font>
    <font>
      <b/>
      <sz val="14"/>
      <color theme="1"/>
      <name val="Arial"/>
      <scheme val="minor"/>
    </font>
    <font>
      <u/>
      <sz val="15"/>
      <color theme="1"/>
      <name val="Arial"/>
      <scheme val="minor"/>
    </font>
    <font>
      <b/>
      <u/>
      <sz val="15"/>
      <color theme="1"/>
      <name val="Arial"/>
      <scheme val="minor"/>
    </font>
    <font>
      <i/>
      <sz val="15"/>
      <color rgb="FF999999"/>
      <name val="Arial"/>
      <scheme val="minor"/>
    </font>
    <font>
      <b/>
      <u/>
      <sz val="15"/>
      <color rgb="FFFF0000"/>
      <name val="Arial"/>
      <scheme val="minor"/>
    </font>
    <font>
      <b/>
      <u/>
      <sz val="15"/>
      <color rgb="FFFF0000"/>
      <name val="Arial"/>
      <scheme val="minor"/>
    </font>
    <font>
      <u/>
      <sz val="15"/>
      <color rgb="FFFF0000"/>
      <name val="Arial"/>
      <scheme val="minor"/>
    </font>
    <font>
      <b/>
      <u/>
      <sz val="15"/>
      <color rgb="FFFF0000"/>
      <name val="Arial"/>
      <scheme val="minor"/>
    </font>
    <font>
      <b/>
      <sz val="14"/>
      <color rgb="FFFF0000"/>
      <name val="Arial"/>
    </font>
    <font>
      <b/>
      <sz val="13"/>
      <color rgb="FFFF0000"/>
      <name val="Arial"/>
    </font>
    <font>
      <b/>
      <sz val="15"/>
      <color rgb="FF980000"/>
      <name val="Arial"/>
    </font>
  </fonts>
  <fills count="41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548135"/>
        <bgColor rgb="FF548135"/>
      </patternFill>
    </fill>
    <fill>
      <patternFill patternType="solid">
        <fgColor rgb="FFFCFAB0"/>
        <bgColor rgb="FFFCFAB0"/>
      </patternFill>
    </fill>
    <fill>
      <patternFill patternType="solid">
        <fgColor rgb="FFDADADA"/>
        <bgColor rgb="FFDADADA"/>
      </patternFill>
    </fill>
    <fill>
      <patternFill patternType="solid">
        <fgColor rgb="FFFAE6F6"/>
        <bgColor rgb="FFFAE6F6"/>
      </patternFill>
    </fill>
    <fill>
      <patternFill patternType="solid">
        <fgColor rgb="FFA8D08D"/>
        <bgColor rgb="FFA8D08D"/>
      </patternFill>
    </fill>
    <fill>
      <patternFill patternType="solid">
        <fgColor rgb="FF9BC2E6"/>
        <bgColor rgb="FF9BC2E6"/>
      </patternFill>
    </fill>
    <fill>
      <patternFill patternType="solid">
        <fgColor rgb="FFD9E2F3"/>
        <bgColor rgb="FFD9E2F3"/>
      </patternFill>
    </fill>
    <fill>
      <patternFill patternType="solid">
        <fgColor rgb="FFFFFF00"/>
        <bgColor rgb="FFFFFF00"/>
      </patternFill>
    </fill>
    <fill>
      <patternFill patternType="solid">
        <fgColor rgb="FFF4B084"/>
        <bgColor rgb="FFF4B084"/>
      </patternFill>
    </fill>
    <fill>
      <patternFill patternType="solid">
        <fgColor rgb="FFF9CB9C"/>
        <bgColor rgb="FFF9CB9C"/>
      </patternFill>
    </fill>
    <fill>
      <patternFill patternType="solid">
        <fgColor rgb="FFF8CBAD"/>
        <bgColor rgb="FFF8CBAD"/>
      </patternFill>
    </fill>
    <fill>
      <patternFill patternType="solid">
        <fgColor rgb="FFFCE4D6"/>
        <bgColor rgb="FFFCE4D6"/>
      </patternFill>
    </fill>
    <fill>
      <patternFill patternType="solid">
        <fgColor rgb="FFC776D4"/>
        <bgColor rgb="FFC776D4"/>
      </patternFill>
    </fill>
    <fill>
      <patternFill patternType="solid">
        <fgColor rgb="FFDB8DBF"/>
        <bgColor rgb="FFDB8DBF"/>
      </patternFill>
    </fill>
    <fill>
      <patternFill patternType="solid">
        <fgColor rgb="FFE9B9D8"/>
        <bgColor rgb="FFE9B9D8"/>
      </patternFill>
    </fill>
    <fill>
      <patternFill patternType="solid">
        <fgColor rgb="FFFCD8F3"/>
        <bgColor rgb="FFFCD8F3"/>
      </patternFill>
    </fill>
    <fill>
      <patternFill patternType="solid">
        <fgColor rgb="FF8EAADB"/>
        <bgColor rgb="FF8EAADB"/>
      </patternFill>
    </fill>
    <fill>
      <patternFill patternType="solid">
        <fgColor rgb="FFB4C6E7"/>
        <bgColor rgb="FFB4C6E7"/>
      </patternFill>
    </fill>
    <fill>
      <patternFill patternType="solid">
        <fgColor rgb="FFE2EFD9"/>
        <bgColor rgb="FFE2EFD9"/>
      </patternFill>
    </fill>
    <fill>
      <patternFill patternType="solid">
        <fgColor rgb="FFC5E0B3"/>
        <bgColor rgb="FFC5E0B3"/>
      </patternFill>
    </fill>
    <fill>
      <patternFill patternType="solid">
        <fgColor rgb="FFFEF2CB"/>
        <bgColor rgb="FFFEF2CB"/>
      </patternFill>
    </fill>
    <fill>
      <patternFill patternType="solid">
        <fgColor rgb="FFCC4125"/>
        <bgColor rgb="FFCC4125"/>
      </patternFill>
    </fill>
    <fill>
      <patternFill patternType="solid">
        <fgColor rgb="FFDD7E6B"/>
        <bgColor rgb="FFDD7E6B"/>
      </patternFill>
    </fill>
    <fill>
      <patternFill patternType="solid">
        <fgColor rgb="FFE6B8AF"/>
        <bgColor rgb="FFE6B8AF"/>
      </patternFill>
    </fill>
    <fill>
      <patternFill patternType="solid">
        <fgColor rgb="FFE072D8"/>
        <bgColor rgb="FFE072D8"/>
      </patternFill>
    </fill>
    <fill>
      <patternFill patternType="solid">
        <fgColor rgb="FFF0A6F0"/>
        <bgColor rgb="FFF0A6F0"/>
      </patternFill>
    </fill>
    <fill>
      <patternFill patternType="solid">
        <fgColor rgb="FFF5C7EC"/>
        <bgColor rgb="FFF5C7EC"/>
      </patternFill>
    </fill>
    <fill>
      <patternFill patternType="solid">
        <fgColor rgb="FFCFE2F3"/>
        <bgColor rgb="FFCFE2F3"/>
      </patternFill>
    </fill>
    <fill>
      <patternFill patternType="solid">
        <fgColor rgb="FFF1C232"/>
        <bgColor rgb="FFF1C232"/>
      </patternFill>
    </fill>
    <fill>
      <patternFill patternType="solid">
        <fgColor rgb="FFFFE599"/>
        <bgColor rgb="FFFFE599"/>
      </patternFill>
    </fill>
    <fill>
      <patternFill patternType="solid">
        <fgColor rgb="FFFFF2CC"/>
        <bgColor rgb="FFFFF2CC"/>
      </patternFill>
    </fill>
    <fill>
      <patternFill patternType="solid">
        <fgColor rgb="FFFF9933"/>
        <bgColor rgb="FFFF9933"/>
      </patternFill>
    </fill>
    <fill>
      <patternFill patternType="solid">
        <fgColor rgb="FFF4B083"/>
        <bgColor rgb="FFF4B083"/>
      </patternFill>
    </fill>
    <fill>
      <patternFill patternType="solid">
        <fgColor rgb="FFF7CAAC"/>
        <bgColor rgb="FFF7CAAC"/>
      </patternFill>
    </fill>
    <fill>
      <patternFill patternType="solid">
        <fgColor rgb="FF76A5AF"/>
        <bgColor rgb="FF76A5AF"/>
      </patternFill>
    </fill>
    <fill>
      <patternFill patternType="solid">
        <fgColor rgb="FFA2C4C9"/>
        <bgColor rgb="FFA2C4C9"/>
      </patternFill>
    </fill>
    <fill>
      <patternFill patternType="solid">
        <fgColor rgb="FFD0E0E3"/>
        <bgColor rgb="FFD0E0E3"/>
      </patternFill>
    </fill>
    <fill>
      <patternFill patternType="solid">
        <fgColor rgb="FFF3F3F3"/>
        <bgColor rgb="FFF3F3F3"/>
      </patternFill>
    </fill>
  </fills>
  <borders count="30"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hair">
        <color rgb="FF000000"/>
      </bottom>
      <diagonal/>
    </border>
    <border>
      <left/>
      <right/>
      <top style="thin">
        <color rgb="FF000000"/>
      </top>
      <bottom style="hair">
        <color rgb="FF000000"/>
      </bottom>
      <diagonal/>
    </border>
    <border>
      <left/>
      <right style="thin">
        <color rgb="FF000000"/>
      </right>
      <top style="thin">
        <color rgb="FF000000"/>
      </top>
      <bottom style="hair">
        <color rgb="FF000000"/>
      </bottom>
      <diagonal/>
    </border>
    <border>
      <left style="thin">
        <color rgb="FF000000"/>
      </left>
      <right/>
      <top/>
      <bottom style="hair">
        <color rgb="FF000000"/>
      </bottom>
      <diagonal/>
    </border>
    <border>
      <left/>
      <right/>
      <top/>
      <bottom style="hair">
        <color rgb="FF000000"/>
      </bottom>
      <diagonal/>
    </border>
    <border>
      <left/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/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thin">
        <color rgb="FF000000"/>
      </bottom>
      <diagonal/>
    </border>
    <border>
      <left/>
      <right/>
      <top style="hair">
        <color rgb="FF000000"/>
      </top>
      <bottom style="thin">
        <color rgb="FF000000"/>
      </bottom>
      <diagonal/>
    </border>
    <border>
      <left/>
      <right style="thin">
        <color rgb="FF000000"/>
      </right>
      <top style="hair">
        <color rgb="FF000000"/>
      </top>
      <bottom style="thin">
        <color rgb="FF000000"/>
      </bottom>
      <diagonal/>
    </border>
    <border>
      <left style="thin">
        <color rgb="FF000000"/>
      </left>
      <right/>
      <top style="hair">
        <color rgb="FF000000"/>
      </top>
      <bottom style="medium">
        <color rgb="FF000000"/>
      </bottom>
      <diagonal/>
    </border>
    <border>
      <left/>
      <right/>
      <top style="hair">
        <color rgb="FF000000"/>
      </top>
      <bottom style="medium">
        <color rgb="FF000000"/>
      </bottom>
      <diagonal/>
    </border>
    <border>
      <left/>
      <right style="thin">
        <color rgb="FF000000"/>
      </right>
      <top style="hair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/>
      <top style="medium">
        <color rgb="FF000000"/>
      </top>
      <bottom style="hair">
        <color rgb="FF000000"/>
      </bottom>
      <diagonal/>
    </border>
    <border>
      <left/>
      <right/>
      <top style="medium">
        <color rgb="FF000000"/>
      </top>
      <bottom style="hair">
        <color rgb="FF000000"/>
      </bottom>
      <diagonal/>
    </border>
    <border>
      <left/>
      <right style="thin">
        <color rgb="FF000000"/>
      </right>
      <top style="medium">
        <color rgb="FF000000"/>
      </top>
      <bottom style="hair">
        <color rgb="FF000000"/>
      </bottom>
      <diagonal/>
    </border>
  </borders>
  <cellStyleXfs count="1">
    <xf numFmtId="0" fontId="0" fillId="0" borderId="0"/>
  </cellStyleXfs>
  <cellXfs count="868">
    <xf numFmtId="0" fontId="0" fillId="0" borderId="0" xfId="0" applyFont="1" applyAlignment="1"/>
    <xf numFmtId="0" fontId="2" fillId="2" borderId="1" xfId="0" applyFont="1" applyFill="1" applyBorder="1" applyAlignment="1"/>
    <xf numFmtId="187" fontId="2" fillId="2" borderId="1" xfId="0" applyNumberFormat="1" applyFont="1" applyFill="1" applyBorder="1" applyAlignment="1"/>
    <xf numFmtId="188" fontId="2" fillId="2" borderId="1" xfId="0" applyNumberFormat="1" applyFont="1" applyFill="1" applyBorder="1" applyAlignment="1"/>
    <xf numFmtId="188" fontId="1" fillId="4" borderId="4" xfId="0" applyNumberFormat="1" applyFont="1" applyFill="1" applyBorder="1" applyAlignment="1">
      <alignment horizontal="center"/>
    </xf>
    <xf numFmtId="187" fontId="1" fillId="4" borderId="4" xfId="0" applyNumberFormat="1" applyFont="1" applyFill="1" applyBorder="1" applyAlignment="1">
      <alignment horizontal="center" wrapText="1"/>
    </xf>
    <xf numFmtId="188" fontId="1" fillId="5" borderId="4" xfId="0" applyNumberFormat="1" applyFont="1" applyFill="1" applyBorder="1" applyAlignment="1">
      <alignment horizontal="center" wrapText="1"/>
    </xf>
    <xf numFmtId="188" fontId="1" fillId="7" borderId="4" xfId="0" applyNumberFormat="1" applyFont="1" applyFill="1" applyBorder="1" applyAlignment="1">
      <alignment horizontal="center" wrapText="1"/>
    </xf>
    <xf numFmtId="188" fontId="1" fillId="6" borderId="4" xfId="0" applyNumberFormat="1" applyFont="1" applyFill="1" applyBorder="1" applyAlignment="1">
      <alignment horizontal="center"/>
    </xf>
    <xf numFmtId="188" fontId="1" fillId="5" borderId="4" xfId="0" applyNumberFormat="1" applyFont="1" applyFill="1" applyBorder="1" applyAlignment="1">
      <alignment horizontal="center"/>
    </xf>
    <xf numFmtId="188" fontId="1" fillId="7" borderId="1" xfId="0" applyNumberFormat="1" applyFont="1" applyFill="1" applyBorder="1" applyAlignment="1">
      <alignment horizontal="center"/>
    </xf>
    <xf numFmtId="0" fontId="4" fillId="8" borderId="4" xfId="0" applyFont="1" applyFill="1" applyBorder="1" applyAlignment="1"/>
    <xf numFmtId="189" fontId="4" fillId="8" borderId="4" xfId="0" applyNumberFormat="1" applyFont="1" applyFill="1" applyBorder="1" applyAlignment="1"/>
    <xf numFmtId="188" fontId="4" fillId="8" borderId="4" xfId="0" applyNumberFormat="1" applyFont="1" applyFill="1" applyBorder="1" applyAlignment="1"/>
    <xf numFmtId="0" fontId="2" fillId="9" borderId="6" xfId="0" applyFont="1" applyFill="1" applyBorder="1" applyAlignment="1"/>
    <xf numFmtId="0" fontId="2" fillId="9" borderId="7" xfId="0" applyFont="1" applyFill="1" applyBorder="1" applyAlignment="1"/>
    <xf numFmtId="0" fontId="1" fillId="9" borderId="7" xfId="0" applyFont="1" applyFill="1" applyBorder="1" applyAlignment="1"/>
    <xf numFmtId="0" fontId="5" fillId="9" borderId="7" xfId="0" applyFont="1" applyFill="1" applyBorder="1" applyAlignment="1"/>
    <xf numFmtId="0" fontId="2" fillId="9" borderId="8" xfId="0" applyFont="1" applyFill="1" applyBorder="1" applyAlignment="1"/>
    <xf numFmtId="0" fontId="6" fillId="9" borderId="8" xfId="0" applyFont="1" applyFill="1" applyBorder="1" applyAlignment="1">
      <alignment horizontal="center"/>
    </xf>
    <xf numFmtId="189" fontId="4" fillId="9" borderId="8" xfId="0" applyNumberFormat="1" applyFont="1" applyFill="1" applyBorder="1" applyAlignment="1"/>
    <xf numFmtId="188" fontId="4" fillId="9" borderId="8" xfId="0" applyNumberFormat="1" applyFont="1" applyFill="1" applyBorder="1" applyAlignment="1"/>
    <xf numFmtId="188" fontId="6" fillId="9" borderId="8" xfId="0" applyNumberFormat="1" applyFont="1" applyFill="1" applyBorder="1" applyAlignment="1"/>
    <xf numFmtId="0" fontId="2" fillId="0" borderId="0" xfId="0" applyFont="1" applyAlignment="1"/>
    <xf numFmtId="0" fontId="7" fillId="9" borderId="9" xfId="0" applyFont="1" applyFill="1" applyBorder="1" applyAlignment="1"/>
    <xf numFmtId="0" fontId="7" fillId="9" borderId="10" xfId="0" applyFont="1" applyFill="1" applyBorder="1" applyAlignment="1"/>
    <xf numFmtId="0" fontId="8" fillId="9" borderId="10" xfId="0" applyFont="1" applyFill="1" applyBorder="1" applyAlignment="1"/>
    <xf numFmtId="0" fontId="7" fillId="9" borderId="11" xfId="0" applyFont="1" applyFill="1" applyBorder="1" applyAlignment="1"/>
    <xf numFmtId="0" fontId="9" fillId="9" borderId="11" xfId="0" applyFont="1" applyFill="1" applyBorder="1" applyAlignment="1">
      <alignment horizontal="center"/>
    </xf>
    <xf numFmtId="189" fontId="9" fillId="9" borderId="11" xfId="0" applyNumberFormat="1" applyFont="1" applyFill="1" applyBorder="1" applyAlignment="1"/>
    <xf numFmtId="188" fontId="9" fillId="9" borderId="11" xfId="0" applyNumberFormat="1" applyFont="1" applyFill="1" applyBorder="1" applyAlignment="1"/>
    <xf numFmtId="0" fontId="7" fillId="0" borderId="0" xfId="0" applyFont="1" applyAlignment="1"/>
    <xf numFmtId="0" fontId="2" fillId="2" borderId="9" xfId="0" applyFont="1" applyFill="1" applyBorder="1" applyAlignment="1"/>
    <xf numFmtId="0" fontId="2" fillId="2" borderId="10" xfId="0" applyFont="1" applyFill="1" applyBorder="1" applyAlignment="1"/>
    <xf numFmtId="0" fontId="10" fillId="2" borderId="10" xfId="0" applyFont="1" applyFill="1" applyBorder="1" applyAlignment="1"/>
    <xf numFmtId="0" fontId="2" fillId="2" borderId="11" xfId="0" applyFont="1" applyFill="1" applyBorder="1" applyAlignment="1"/>
    <xf numFmtId="0" fontId="4" fillId="2" borderId="11" xfId="0" applyFont="1" applyFill="1" applyBorder="1" applyAlignment="1">
      <alignment horizontal="center"/>
    </xf>
    <xf numFmtId="189" fontId="4" fillId="2" borderId="11" xfId="0" applyNumberFormat="1" applyFont="1" applyFill="1" applyBorder="1" applyAlignment="1"/>
    <xf numFmtId="188" fontId="4" fillId="2" borderId="11" xfId="0" applyNumberFormat="1" applyFont="1" applyFill="1" applyBorder="1" applyAlignment="1"/>
    <xf numFmtId="0" fontId="7" fillId="2" borderId="9" xfId="0" applyFont="1" applyFill="1" applyBorder="1" applyAlignment="1"/>
    <xf numFmtId="0" fontId="7" fillId="2" borderId="10" xfId="0" applyFont="1" applyFill="1" applyBorder="1" applyAlignment="1"/>
    <xf numFmtId="0" fontId="8" fillId="2" borderId="10" xfId="0" applyFont="1" applyFill="1" applyBorder="1" applyAlignment="1"/>
    <xf numFmtId="0" fontId="7" fillId="2" borderId="11" xfId="0" applyFont="1" applyFill="1" applyBorder="1" applyAlignment="1"/>
    <xf numFmtId="0" fontId="9" fillId="2" borderId="11" xfId="0" applyFont="1" applyFill="1" applyBorder="1" applyAlignment="1">
      <alignment horizontal="center"/>
    </xf>
    <xf numFmtId="189" fontId="9" fillId="2" borderId="11" xfId="0" applyNumberFormat="1" applyFont="1" applyFill="1" applyBorder="1" applyAlignment="1"/>
    <xf numFmtId="188" fontId="9" fillId="2" borderId="11" xfId="0" applyNumberFormat="1" applyFont="1" applyFill="1" applyBorder="1" applyAlignment="1"/>
    <xf numFmtId="0" fontId="7" fillId="2" borderId="5" xfId="0" applyFont="1" applyFill="1" applyBorder="1" applyAlignment="1"/>
    <xf numFmtId="0" fontId="7" fillId="2" borderId="1" xfId="0" applyFont="1" applyFill="1" applyBorder="1" applyAlignment="1"/>
    <xf numFmtId="0" fontId="8" fillId="2" borderId="1" xfId="0" applyFont="1" applyFill="1" applyBorder="1" applyAlignment="1"/>
    <xf numFmtId="0" fontId="8" fillId="2" borderId="4" xfId="0" applyFont="1" applyFill="1" applyBorder="1" applyAlignment="1"/>
    <xf numFmtId="0" fontId="9" fillId="2" borderId="4" xfId="0" applyFont="1" applyFill="1" applyBorder="1" applyAlignment="1">
      <alignment horizontal="center"/>
    </xf>
    <xf numFmtId="189" fontId="9" fillId="2" borderId="4" xfId="0" applyNumberFormat="1" applyFont="1" applyFill="1" applyBorder="1" applyAlignment="1"/>
    <xf numFmtId="188" fontId="9" fillId="2" borderId="4" xfId="0" applyNumberFormat="1" applyFont="1" applyFill="1" applyBorder="1" applyAlignment="1"/>
    <xf numFmtId="0" fontId="1" fillId="10" borderId="5" xfId="0" applyFont="1" applyFill="1" applyBorder="1" applyAlignment="1"/>
    <xf numFmtId="0" fontId="2" fillId="10" borderId="1" xfId="0" applyFont="1" applyFill="1" applyBorder="1" applyAlignment="1"/>
    <xf numFmtId="0" fontId="2" fillId="10" borderId="4" xfId="0" applyFont="1" applyFill="1" applyBorder="1" applyAlignment="1"/>
    <xf numFmtId="0" fontId="4" fillId="10" borderId="4" xfId="0" applyFont="1" applyFill="1" applyBorder="1" applyAlignment="1"/>
    <xf numFmtId="189" fontId="4" fillId="10" borderId="4" xfId="0" applyNumberFormat="1" applyFont="1" applyFill="1" applyBorder="1" applyAlignment="1"/>
    <xf numFmtId="188" fontId="4" fillId="10" borderId="4" xfId="0" applyNumberFormat="1" applyFont="1" applyFill="1" applyBorder="1" applyAlignment="1"/>
    <xf numFmtId="188" fontId="6" fillId="10" borderId="4" xfId="0" applyNumberFormat="1" applyFont="1" applyFill="1" applyBorder="1" applyAlignment="1"/>
    <xf numFmtId="0" fontId="1" fillId="11" borderId="5" xfId="0" applyFont="1" applyFill="1" applyBorder="1" applyAlignment="1"/>
    <xf numFmtId="0" fontId="2" fillId="11" borderId="1" xfId="0" applyFont="1" applyFill="1" applyBorder="1" applyAlignment="1"/>
    <xf numFmtId="0" fontId="2" fillId="11" borderId="4" xfId="0" applyFont="1" applyFill="1" applyBorder="1" applyAlignment="1"/>
    <xf numFmtId="0" fontId="4" fillId="11" borderId="4" xfId="0" applyFont="1" applyFill="1" applyBorder="1" applyAlignment="1"/>
    <xf numFmtId="189" fontId="4" fillId="11" borderId="4" xfId="0" applyNumberFormat="1" applyFont="1" applyFill="1" applyBorder="1" applyAlignment="1"/>
    <xf numFmtId="188" fontId="4" fillId="11" borderId="4" xfId="0" applyNumberFormat="1" applyFont="1" applyFill="1" applyBorder="1" applyAlignment="1"/>
    <xf numFmtId="0" fontId="2" fillId="12" borderId="9" xfId="0" applyFont="1" applyFill="1" applyBorder="1" applyAlignment="1"/>
    <xf numFmtId="0" fontId="1" fillId="12" borderId="10" xfId="0" applyFont="1" applyFill="1" applyBorder="1" applyAlignment="1"/>
    <xf numFmtId="0" fontId="2" fillId="12" borderId="10" xfId="0" applyFont="1" applyFill="1" applyBorder="1" applyAlignment="1"/>
    <xf numFmtId="0" fontId="2" fillId="12" borderId="11" xfId="0" applyFont="1" applyFill="1" applyBorder="1" applyAlignment="1"/>
    <xf numFmtId="0" fontId="4" fillId="12" borderId="11" xfId="0" applyFont="1" applyFill="1" applyBorder="1" applyAlignment="1"/>
    <xf numFmtId="189" fontId="4" fillId="12" borderId="11" xfId="0" applyNumberFormat="1" applyFont="1" applyFill="1" applyBorder="1" applyAlignment="1"/>
    <xf numFmtId="188" fontId="4" fillId="12" borderId="11" xfId="0" applyNumberFormat="1" applyFont="1" applyFill="1" applyBorder="1" applyAlignment="1"/>
    <xf numFmtId="0" fontId="2" fillId="13" borderId="9" xfId="0" applyFont="1" applyFill="1" applyBorder="1" applyAlignment="1"/>
    <xf numFmtId="0" fontId="4" fillId="13" borderId="11" xfId="0" applyFont="1" applyFill="1" applyBorder="1" applyAlignment="1"/>
    <xf numFmtId="189" fontId="4" fillId="13" borderId="11" xfId="0" applyNumberFormat="1" applyFont="1" applyFill="1" applyBorder="1" applyAlignment="1"/>
    <xf numFmtId="188" fontId="4" fillId="13" borderId="11" xfId="0" applyNumberFormat="1" applyFont="1" applyFill="1" applyBorder="1" applyAlignment="1"/>
    <xf numFmtId="0" fontId="2" fillId="14" borderId="12" xfId="0" applyFont="1" applyFill="1" applyBorder="1" applyAlignment="1"/>
    <xf numFmtId="0" fontId="2" fillId="14" borderId="13" xfId="0" applyFont="1" applyFill="1" applyBorder="1" applyAlignment="1"/>
    <xf numFmtId="0" fontId="1" fillId="14" borderId="13" xfId="0" applyFont="1" applyFill="1" applyBorder="1" applyAlignment="1"/>
    <xf numFmtId="0" fontId="11" fillId="14" borderId="13" xfId="0" applyFont="1" applyFill="1" applyBorder="1" applyAlignment="1"/>
    <xf numFmtId="0" fontId="2" fillId="14" borderId="14" xfId="0" applyFont="1" applyFill="1" applyBorder="1" applyAlignment="1"/>
    <xf numFmtId="0" fontId="6" fillId="14" borderId="14" xfId="0" applyFont="1" applyFill="1" applyBorder="1" applyAlignment="1">
      <alignment horizontal="center"/>
    </xf>
    <xf numFmtId="189" fontId="4" fillId="14" borderId="14" xfId="0" applyNumberFormat="1" applyFont="1" applyFill="1" applyBorder="1" applyAlignment="1"/>
    <xf numFmtId="188" fontId="4" fillId="14" borderId="14" xfId="0" applyNumberFormat="1" applyFont="1" applyFill="1" applyBorder="1" applyAlignment="1"/>
    <xf numFmtId="188" fontId="6" fillId="14" borderId="14" xfId="0" applyNumberFormat="1" applyFont="1" applyFill="1" applyBorder="1" applyAlignment="1"/>
    <xf numFmtId="0" fontId="7" fillId="14" borderId="9" xfId="0" applyFont="1" applyFill="1" applyBorder="1" applyAlignment="1"/>
    <xf numFmtId="0" fontId="7" fillId="14" borderId="10" xfId="0" applyFont="1" applyFill="1" applyBorder="1" applyAlignment="1"/>
    <xf numFmtId="0" fontId="8" fillId="14" borderId="10" xfId="0" applyFont="1" applyFill="1" applyBorder="1" applyAlignment="1"/>
    <xf numFmtId="0" fontId="8" fillId="14" borderId="11" xfId="0" applyFont="1" applyFill="1" applyBorder="1" applyAlignment="1"/>
    <xf numFmtId="0" fontId="9" fillId="14" borderId="11" xfId="0" applyFont="1" applyFill="1" applyBorder="1" applyAlignment="1">
      <alignment horizontal="center"/>
    </xf>
    <xf numFmtId="189" fontId="9" fillId="14" borderId="11" xfId="0" applyNumberFormat="1" applyFont="1" applyFill="1" applyBorder="1" applyAlignment="1"/>
    <xf numFmtId="188" fontId="9" fillId="14" borderId="11" xfId="0" applyNumberFormat="1" applyFont="1" applyFill="1" applyBorder="1" applyAlignment="1"/>
    <xf numFmtId="188" fontId="9" fillId="2" borderId="11" xfId="0" applyNumberFormat="1" applyFont="1" applyFill="1" applyBorder="1" applyAlignment="1"/>
    <xf numFmtId="0" fontId="4" fillId="15" borderId="4" xfId="0" applyFont="1" applyFill="1" applyBorder="1" applyAlignment="1"/>
    <xf numFmtId="189" fontId="4" fillId="15" borderId="4" xfId="0" applyNumberFormat="1" applyFont="1" applyFill="1" applyBorder="1" applyAlignment="1"/>
    <xf numFmtId="188" fontId="4" fillId="15" borderId="4" xfId="0" applyNumberFormat="1" applyFont="1" applyFill="1" applyBorder="1" applyAlignment="1"/>
    <xf numFmtId="0" fontId="2" fillId="16" borderId="9" xfId="0" applyFont="1" applyFill="1" applyBorder="1" applyAlignment="1"/>
    <xf numFmtId="0" fontId="4" fillId="16" borderId="11" xfId="0" applyFont="1" applyFill="1" applyBorder="1" applyAlignment="1"/>
    <xf numFmtId="189" fontId="4" fillId="16" borderId="11" xfId="0" applyNumberFormat="1" applyFont="1" applyFill="1" applyBorder="1" applyAlignment="1"/>
    <xf numFmtId="188" fontId="4" fillId="16" borderId="11" xfId="0" applyNumberFormat="1" applyFont="1" applyFill="1" applyBorder="1" applyAlignment="1"/>
    <xf numFmtId="0" fontId="2" fillId="17" borderId="9" xfId="0" applyFont="1" applyFill="1" applyBorder="1" applyAlignment="1"/>
    <xf numFmtId="0" fontId="1" fillId="17" borderId="10" xfId="0" applyFont="1" applyFill="1" applyBorder="1" applyAlignment="1"/>
    <xf numFmtId="0" fontId="2" fillId="17" borderId="10" xfId="0" applyFont="1" applyFill="1" applyBorder="1" applyAlignment="1"/>
    <xf numFmtId="0" fontId="2" fillId="17" borderId="11" xfId="0" applyFont="1" applyFill="1" applyBorder="1" applyAlignment="1"/>
    <xf numFmtId="0" fontId="4" fillId="17" borderId="11" xfId="0" applyFont="1" applyFill="1" applyBorder="1" applyAlignment="1"/>
    <xf numFmtId="189" fontId="4" fillId="17" borderId="11" xfId="0" applyNumberFormat="1" applyFont="1" applyFill="1" applyBorder="1" applyAlignment="1"/>
    <xf numFmtId="188" fontId="4" fillId="17" borderId="11" xfId="0" applyNumberFormat="1" applyFont="1" applyFill="1" applyBorder="1" applyAlignment="1"/>
    <xf numFmtId="0" fontId="2" fillId="18" borderId="12" xfId="0" applyFont="1" applyFill="1" applyBorder="1" applyAlignment="1"/>
    <xf numFmtId="0" fontId="2" fillId="18" borderId="13" xfId="0" applyFont="1" applyFill="1" applyBorder="1" applyAlignment="1"/>
    <xf numFmtId="0" fontId="1" fillId="18" borderId="13" xfId="0" applyFont="1" applyFill="1" applyBorder="1" applyAlignment="1"/>
    <xf numFmtId="0" fontId="12" fillId="18" borderId="13" xfId="0" applyFont="1" applyFill="1" applyBorder="1" applyAlignment="1"/>
    <xf numFmtId="0" fontId="2" fillId="18" borderId="14" xfId="0" applyFont="1" applyFill="1" applyBorder="1" applyAlignment="1"/>
    <xf numFmtId="0" fontId="6" fillId="18" borderId="14" xfId="0" applyFont="1" applyFill="1" applyBorder="1" applyAlignment="1">
      <alignment horizontal="center"/>
    </xf>
    <xf numFmtId="189" fontId="4" fillId="18" borderId="14" xfId="0" applyNumberFormat="1" applyFont="1" applyFill="1" applyBorder="1" applyAlignment="1"/>
    <xf numFmtId="188" fontId="4" fillId="18" borderId="14" xfId="0" applyNumberFormat="1" applyFont="1" applyFill="1" applyBorder="1" applyAlignment="1"/>
    <xf numFmtId="188" fontId="6" fillId="18" borderId="14" xfId="0" applyNumberFormat="1" applyFont="1" applyFill="1" applyBorder="1" applyAlignment="1"/>
    <xf numFmtId="0" fontId="7" fillId="18" borderId="9" xfId="0" applyFont="1" applyFill="1" applyBorder="1" applyAlignment="1"/>
    <xf numFmtId="0" fontId="7" fillId="18" borderId="10" xfId="0" applyFont="1" applyFill="1" applyBorder="1" applyAlignment="1"/>
    <xf numFmtId="0" fontId="8" fillId="18" borderId="10" xfId="0" applyFont="1" applyFill="1" applyBorder="1" applyAlignment="1"/>
    <xf numFmtId="0" fontId="8" fillId="18" borderId="11" xfId="0" applyFont="1" applyFill="1" applyBorder="1" applyAlignment="1"/>
    <xf numFmtId="0" fontId="9" fillId="18" borderId="11" xfId="0" applyFont="1" applyFill="1" applyBorder="1" applyAlignment="1">
      <alignment horizontal="center"/>
    </xf>
    <xf numFmtId="189" fontId="9" fillId="18" borderId="11" xfId="0" applyNumberFormat="1" applyFont="1" applyFill="1" applyBorder="1" applyAlignment="1"/>
    <xf numFmtId="188" fontId="9" fillId="18" borderId="11" xfId="0" applyNumberFormat="1" applyFont="1" applyFill="1" applyBorder="1" applyAlignment="1"/>
    <xf numFmtId="187" fontId="1" fillId="19" borderId="5" xfId="0" applyNumberFormat="1" applyFont="1" applyFill="1" applyBorder="1" applyAlignment="1"/>
    <xf numFmtId="187" fontId="2" fillId="19" borderId="1" xfId="0" applyNumberFormat="1" applyFont="1" applyFill="1" applyBorder="1" applyAlignment="1"/>
    <xf numFmtId="0" fontId="2" fillId="19" borderId="1" xfId="0" applyFont="1" applyFill="1" applyBorder="1" applyAlignment="1"/>
    <xf numFmtId="0" fontId="2" fillId="19" borderId="4" xfId="0" applyFont="1" applyFill="1" applyBorder="1" applyAlignment="1"/>
    <xf numFmtId="0" fontId="4" fillId="19" borderId="4" xfId="0" applyFont="1" applyFill="1" applyBorder="1" applyAlignment="1"/>
    <xf numFmtId="189" fontId="4" fillId="19" borderId="4" xfId="0" applyNumberFormat="1" applyFont="1" applyFill="1" applyBorder="1" applyAlignment="1"/>
    <xf numFmtId="188" fontId="4" fillId="19" borderId="4" xfId="0" applyNumberFormat="1" applyFont="1" applyFill="1" applyBorder="1" applyAlignment="1"/>
    <xf numFmtId="187" fontId="1" fillId="20" borderId="9" xfId="0" applyNumberFormat="1" applyFont="1" applyFill="1" applyBorder="1" applyAlignment="1"/>
    <xf numFmtId="0" fontId="2" fillId="20" borderId="10" xfId="0" applyFont="1" applyFill="1" applyBorder="1" applyAlignment="1"/>
    <xf numFmtId="187" fontId="2" fillId="20" borderId="10" xfId="0" applyNumberFormat="1" applyFont="1" applyFill="1" applyBorder="1" applyAlignment="1"/>
    <xf numFmtId="0" fontId="2" fillId="20" borderId="11" xfId="0" applyFont="1" applyFill="1" applyBorder="1" applyAlignment="1"/>
    <xf numFmtId="0" fontId="4" fillId="20" borderId="11" xfId="0" applyFont="1" applyFill="1" applyBorder="1" applyAlignment="1"/>
    <xf numFmtId="189" fontId="4" fillId="20" borderId="11" xfId="0" applyNumberFormat="1" applyFont="1" applyFill="1" applyBorder="1" applyAlignment="1"/>
    <xf numFmtId="188" fontId="4" fillId="20" borderId="11" xfId="0" applyNumberFormat="1" applyFont="1" applyFill="1" applyBorder="1" applyAlignment="1"/>
    <xf numFmtId="190" fontId="2" fillId="9" borderId="9" xfId="0" applyNumberFormat="1" applyFont="1" applyFill="1" applyBorder="1" applyAlignment="1"/>
    <xf numFmtId="0" fontId="1" fillId="9" borderId="10" xfId="0" applyFont="1" applyFill="1" applyBorder="1" applyAlignment="1"/>
    <xf numFmtId="0" fontId="2" fillId="9" borderId="10" xfId="0" applyFont="1" applyFill="1" applyBorder="1" applyAlignment="1"/>
    <xf numFmtId="187" fontId="2" fillId="9" borderId="10" xfId="0" applyNumberFormat="1" applyFont="1" applyFill="1" applyBorder="1" applyAlignment="1"/>
    <xf numFmtId="0" fontId="2" fillId="9" borderId="11" xfId="0" applyFont="1" applyFill="1" applyBorder="1" applyAlignment="1"/>
    <xf numFmtId="0" fontId="6" fillId="9" borderId="11" xfId="0" applyFont="1" applyFill="1" applyBorder="1" applyAlignment="1">
      <alignment horizontal="center" wrapText="1"/>
    </xf>
    <xf numFmtId="189" fontId="6" fillId="9" borderId="11" xfId="0" applyNumberFormat="1" applyFont="1" applyFill="1" applyBorder="1" applyAlignment="1"/>
    <xf numFmtId="188" fontId="6" fillId="9" borderId="11" xfId="0" applyNumberFormat="1" applyFont="1" applyFill="1" applyBorder="1" applyAlignment="1"/>
    <xf numFmtId="188" fontId="4" fillId="9" borderId="11" xfId="0" applyNumberFormat="1" applyFont="1" applyFill="1" applyBorder="1" applyAlignment="1"/>
    <xf numFmtId="190" fontId="2" fillId="2" borderId="12" xfId="0" applyNumberFormat="1" applyFont="1" applyFill="1" applyBorder="1" applyAlignment="1"/>
    <xf numFmtId="0" fontId="2" fillId="2" borderId="13" xfId="0" applyFont="1" applyFill="1" applyBorder="1" applyAlignment="1"/>
    <xf numFmtId="0" fontId="1" fillId="2" borderId="13" xfId="0" applyFont="1" applyFill="1" applyBorder="1" applyAlignment="1"/>
    <xf numFmtId="0" fontId="13" fillId="2" borderId="13" xfId="0" applyFont="1" applyFill="1" applyBorder="1" applyAlignment="1"/>
    <xf numFmtId="0" fontId="2" fillId="2" borderId="14" xfId="0" applyFont="1" applyFill="1" applyBorder="1" applyAlignment="1"/>
    <xf numFmtId="187" fontId="6" fillId="2" borderId="14" xfId="0" applyNumberFormat="1" applyFont="1" applyFill="1" applyBorder="1" applyAlignment="1">
      <alignment horizontal="center"/>
    </xf>
    <xf numFmtId="189" fontId="4" fillId="2" borderId="14" xfId="0" applyNumberFormat="1" applyFont="1" applyFill="1" applyBorder="1" applyAlignment="1"/>
    <xf numFmtId="188" fontId="4" fillId="2" borderId="14" xfId="0" applyNumberFormat="1" applyFont="1" applyFill="1" applyBorder="1" applyAlignment="1"/>
    <xf numFmtId="188" fontId="6" fillId="2" borderId="14" xfId="0" applyNumberFormat="1" applyFont="1" applyFill="1" applyBorder="1" applyAlignment="1"/>
    <xf numFmtId="190" fontId="7" fillId="2" borderId="9" xfId="0" applyNumberFormat="1" applyFont="1" applyFill="1" applyBorder="1" applyAlignment="1"/>
    <xf numFmtId="0" fontId="8" fillId="2" borderId="11" xfId="0" applyFont="1" applyFill="1" applyBorder="1" applyAlignment="1"/>
    <xf numFmtId="187" fontId="9" fillId="2" borderId="11" xfId="0" applyNumberFormat="1" applyFont="1" applyFill="1" applyBorder="1" applyAlignment="1">
      <alignment horizontal="center"/>
    </xf>
    <xf numFmtId="190" fontId="2" fillId="2" borderId="9" xfId="0" applyNumberFormat="1" applyFont="1" applyFill="1" applyBorder="1" applyAlignment="1"/>
    <xf numFmtId="0" fontId="14" fillId="2" borderId="10" xfId="0" applyFont="1" applyFill="1" applyBorder="1" applyAlignment="1"/>
    <xf numFmtId="187" fontId="4" fillId="0" borderId="11" xfId="0" applyNumberFormat="1" applyFont="1" applyBorder="1" applyAlignment="1">
      <alignment horizontal="center" wrapText="1"/>
    </xf>
    <xf numFmtId="189" fontId="4" fillId="0" borderId="11" xfId="0" applyNumberFormat="1" applyFont="1" applyBorder="1" applyAlignment="1"/>
    <xf numFmtId="188" fontId="4" fillId="0" borderId="11" xfId="0" applyNumberFormat="1" applyFont="1" applyBorder="1" applyAlignment="1"/>
    <xf numFmtId="0" fontId="15" fillId="2" borderId="10" xfId="0" applyFont="1" applyFill="1" applyBorder="1" applyAlignment="1"/>
    <xf numFmtId="187" fontId="9" fillId="0" borderId="11" xfId="0" applyNumberFormat="1" applyFont="1" applyBorder="1" applyAlignment="1">
      <alignment horizontal="center" wrapText="1"/>
    </xf>
    <xf numFmtId="189" fontId="9" fillId="0" borderId="11" xfId="0" applyNumberFormat="1" applyFont="1" applyBorder="1" applyAlignment="1"/>
    <xf numFmtId="188" fontId="9" fillId="0" borderId="11" xfId="0" applyNumberFormat="1" applyFont="1" applyBorder="1" applyAlignment="1"/>
    <xf numFmtId="187" fontId="4" fillId="0" borderId="11" xfId="0" applyNumberFormat="1" applyFont="1" applyBorder="1" applyAlignment="1">
      <alignment horizontal="center"/>
    </xf>
    <xf numFmtId="187" fontId="9" fillId="0" borderId="11" xfId="0" applyNumberFormat="1" applyFont="1" applyBorder="1" applyAlignment="1">
      <alignment horizontal="center"/>
    </xf>
    <xf numFmtId="187" fontId="2" fillId="0" borderId="9" xfId="0" applyNumberFormat="1" applyFont="1" applyBorder="1" applyAlignment="1"/>
    <xf numFmtId="187" fontId="2" fillId="0" borderId="10" xfId="0" applyNumberFormat="1" applyFont="1" applyBorder="1" applyAlignment="1"/>
    <xf numFmtId="0" fontId="16" fillId="21" borderId="10" xfId="0" quotePrefix="1" applyFont="1" applyFill="1" applyBorder="1" applyAlignment="1"/>
    <xf numFmtId="0" fontId="2" fillId="21" borderId="10" xfId="0" applyFont="1" applyFill="1" applyBorder="1" applyAlignment="1"/>
    <xf numFmtId="0" fontId="2" fillId="21" borderId="11" xfId="0" applyFont="1" applyFill="1" applyBorder="1" applyAlignment="1"/>
    <xf numFmtId="0" fontId="4" fillId="0" borderId="11" xfId="0" applyFont="1" applyBorder="1" applyAlignment="1"/>
    <xf numFmtId="0" fontId="14" fillId="0" borderId="10" xfId="0" quotePrefix="1" applyFont="1" applyBorder="1" applyAlignment="1"/>
    <xf numFmtId="0" fontId="14" fillId="0" borderId="10" xfId="0" applyFont="1" applyBorder="1" applyAlignment="1"/>
    <xf numFmtId="0" fontId="2" fillId="0" borderId="10" xfId="0" applyFont="1" applyBorder="1" applyAlignment="1"/>
    <xf numFmtId="0" fontId="2" fillId="0" borderId="11" xfId="0" applyFont="1" applyBorder="1" applyAlignment="1"/>
    <xf numFmtId="0" fontId="6" fillId="0" borderId="11" xfId="0" applyFont="1" applyBorder="1" applyAlignment="1">
      <alignment horizontal="center" wrapText="1"/>
    </xf>
    <xf numFmtId="0" fontId="14" fillId="0" borderId="10" xfId="0" applyFont="1" applyBorder="1" applyAlignment="1"/>
    <xf numFmtId="0" fontId="4" fillId="0" borderId="11" xfId="0" applyFont="1" applyBorder="1" applyAlignment="1">
      <alignment horizontal="center"/>
    </xf>
    <xf numFmtId="189" fontId="4" fillId="10" borderId="11" xfId="0" applyNumberFormat="1" applyFont="1" applyFill="1" applyBorder="1" applyAlignment="1"/>
    <xf numFmtId="189" fontId="4" fillId="0" borderId="11" xfId="0" applyNumberFormat="1" applyFont="1" applyBorder="1" applyAlignment="1"/>
    <xf numFmtId="0" fontId="4" fillId="0" borderId="11" xfId="0" applyFont="1" applyBorder="1" applyAlignment="1">
      <alignment horizontal="center" wrapText="1"/>
    </xf>
    <xf numFmtId="0" fontId="1" fillId="0" borderId="10" xfId="0" applyFont="1" applyBorder="1" applyAlignment="1"/>
    <xf numFmtId="0" fontId="4" fillId="0" borderId="10" xfId="0" applyFont="1" applyBorder="1" applyAlignment="1"/>
    <xf numFmtId="0" fontId="17" fillId="0" borderId="10" xfId="0" applyFont="1" applyBorder="1" applyAlignment="1"/>
    <xf numFmtId="0" fontId="4" fillId="2" borderId="11" xfId="0" applyFont="1" applyFill="1" applyBorder="1" applyAlignment="1"/>
    <xf numFmtId="0" fontId="18" fillId="0" borderId="10" xfId="0" applyFont="1" applyBorder="1" applyAlignment="1"/>
    <xf numFmtId="0" fontId="1" fillId="0" borderId="10" xfId="0" applyFont="1" applyBorder="1" applyAlignment="1"/>
    <xf numFmtId="0" fontId="6" fillId="0" borderId="11" xfId="0" applyFont="1" applyBorder="1" applyAlignment="1">
      <alignment horizontal="center"/>
    </xf>
    <xf numFmtId="189" fontId="6" fillId="0" borderId="11" xfId="0" applyNumberFormat="1" applyFont="1" applyBorder="1" applyAlignment="1"/>
    <xf numFmtId="189" fontId="6" fillId="2" borderId="11" xfId="0" applyNumberFormat="1" applyFont="1" applyFill="1" applyBorder="1" applyAlignment="1"/>
    <xf numFmtId="188" fontId="6" fillId="2" borderId="11" xfId="0" applyNumberFormat="1" applyFont="1" applyFill="1" applyBorder="1" applyAlignment="1"/>
    <xf numFmtId="0" fontId="6" fillId="2" borderId="11" xfId="0" applyFont="1" applyFill="1" applyBorder="1" applyAlignment="1">
      <alignment horizontal="center"/>
    </xf>
    <xf numFmtId="0" fontId="14" fillId="0" borderId="13" xfId="0" applyFont="1" applyBorder="1" applyAlignment="1"/>
    <xf numFmtId="0" fontId="4" fillId="0" borderId="15" xfId="0" applyFont="1" applyBorder="1" applyAlignment="1">
      <alignment horizontal="center"/>
    </xf>
    <xf numFmtId="0" fontId="4" fillId="0" borderId="16" xfId="0" applyFont="1" applyBorder="1" applyAlignment="1">
      <alignment horizontal="center"/>
    </xf>
    <xf numFmtId="190" fontId="2" fillId="20" borderId="10" xfId="0" applyNumberFormat="1" applyFont="1" applyFill="1" applyBorder="1" applyAlignment="1"/>
    <xf numFmtId="0" fontId="4" fillId="20" borderId="10" xfId="0" applyFont="1" applyFill="1" applyBorder="1" applyAlignment="1"/>
    <xf numFmtId="189" fontId="4" fillId="20" borderId="10" xfId="0" applyNumberFormat="1" applyFont="1" applyFill="1" applyBorder="1" applyAlignment="1"/>
    <xf numFmtId="188" fontId="4" fillId="20" borderId="10" xfId="0" applyNumberFormat="1" applyFont="1" applyFill="1" applyBorder="1" applyAlignment="1"/>
    <xf numFmtId="190" fontId="2" fillId="9" borderId="10" xfId="0" applyNumberFormat="1" applyFont="1" applyFill="1" applyBorder="1" applyAlignment="1"/>
    <xf numFmtId="189" fontId="4" fillId="9" borderId="11" xfId="0" applyNumberFormat="1" applyFont="1" applyFill="1" applyBorder="1" applyAlignment="1"/>
    <xf numFmtId="0" fontId="8" fillId="2" borderId="10" xfId="0" applyFont="1" applyFill="1" applyBorder="1" applyAlignment="1"/>
    <xf numFmtId="0" fontId="6" fillId="9" borderId="10" xfId="0" applyFont="1" applyFill="1" applyBorder="1" applyAlignment="1">
      <alignment horizontal="center" wrapText="1"/>
    </xf>
    <xf numFmtId="0" fontId="1" fillId="9" borderId="10" xfId="0" applyFont="1" applyFill="1" applyBorder="1" applyAlignment="1"/>
    <xf numFmtId="190" fontId="1" fillId="9" borderId="10" xfId="0" applyNumberFormat="1" applyFont="1" applyFill="1" applyBorder="1" applyAlignment="1"/>
    <xf numFmtId="0" fontId="1" fillId="2" borderId="10" xfId="0" applyFont="1" applyFill="1" applyBorder="1" applyAlignment="1"/>
    <xf numFmtId="0" fontId="14" fillId="2" borderId="10" xfId="0" applyFont="1" applyFill="1" applyBorder="1" applyAlignment="1"/>
    <xf numFmtId="0" fontId="19" fillId="2" borderId="10" xfId="0" applyFont="1" applyFill="1" applyBorder="1" applyAlignment="1"/>
    <xf numFmtId="0" fontId="14" fillId="2" borderId="11" xfId="0" applyFont="1" applyFill="1" applyBorder="1" applyAlignment="1"/>
    <xf numFmtId="189" fontId="4" fillId="10" borderId="11" xfId="0" applyNumberFormat="1" applyFont="1" applyFill="1" applyBorder="1" applyAlignment="1"/>
    <xf numFmtId="0" fontId="14" fillId="2" borderId="10" xfId="0" applyFont="1" applyFill="1" applyBorder="1" applyAlignment="1"/>
    <xf numFmtId="190" fontId="20" fillId="9" borderId="9" xfId="0" applyNumberFormat="1" applyFont="1" applyFill="1" applyBorder="1" applyAlignment="1"/>
    <xf numFmtId="0" fontId="21" fillId="9" borderId="10" xfId="0" applyFont="1" applyFill="1" applyBorder="1" applyAlignment="1"/>
    <xf numFmtId="0" fontId="20" fillId="9" borderId="10" xfId="0" applyFont="1" applyFill="1" applyBorder="1" applyAlignment="1"/>
    <xf numFmtId="0" fontId="1" fillId="9" borderId="11" xfId="0" applyFont="1" applyFill="1" applyBorder="1" applyAlignment="1"/>
    <xf numFmtId="187" fontId="6" fillId="9" borderId="11" xfId="0" applyNumberFormat="1" applyFont="1" applyFill="1" applyBorder="1" applyAlignment="1">
      <alignment horizontal="center"/>
    </xf>
    <xf numFmtId="0" fontId="22" fillId="0" borderId="0" xfId="0" applyFont="1"/>
    <xf numFmtId="0" fontId="8" fillId="2" borderId="10" xfId="0" applyFont="1" applyFill="1" applyBorder="1" applyAlignment="1"/>
    <xf numFmtId="0" fontId="23" fillId="2" borderId="10" xfId="0" applyFont="1" applyFill="1" applyBorder="1" applyAlignment="1"/>
    <xf numFmtId="0" fontId="24" fillId="0" borderId="0" xfId="0" applyFont="1"/>
    <xf numFmtId="190" fontId="7" fillId="2" borderId="17" xfId="0" applyNumberFormat="1" applyFont="1" applyFill="1" applyBorder="1" applyAlignment="1"/>
    <xf numFmtId="0" fontId="7" fillId="2" borderId="18" xfId="0" applyFont="1" applyFill="1" applyBorder="1" applyAlignment="1"/>
    <xf numFmtId="0" fontId="15" fillId="2" borderId="18" xfId="0" applyFont="1" applyFill="1" applyBorder="1" applyAlignment="1"/>
    <xf numFmtId="0" fontId="8" fillId="2" borderId="18" xfId="0" applyFont="1" applyFill="1" applyBorder="1" applyAlignment="1"/>
    <xf numFmtId="0" fontId="25" fillId="2" borderId="18" xfId="0" applyFont="1" applyFill="1" applyBorder="1" applyAlignment="1"/>
    <xf numFmtId="0" fontId="8" fillId="2" borderId="19" xfId="0" applyFont="1" applyFill="1" applyBorder="1" applyAlignment="1"/>
    <xf numFmtId="187" fontId="9" fillId="0" borderId="19" xfId="0" applyNumberFormat="1" applyFont="1" applyBorder="1" applyAlignment="1">
      <alignment horizontal="center"/>
    </xf>
    <xf numFmtId="189" fontId="9" fillId="2" borderId="19" xfId="0" applyNumberFormat="1" applyFont="1" applyFill="1" applyBorder="1" applyAlignment="1"/>
    <xf numFmtId="188" fontId="9" fillId="2" borderId="19" xfId="0" applyNumberFormat="1" applyFont="1" applyFill="1" applyBorder="1" applyAlignment="1"/>
    <xf numFmtId="187" fontId="1" fillId="7" borderId="5" xfId="0" applyNumberFormat="1" applyFont="1" applyFill="1" applyBorder="1" applyAlignment="1"/>
    <xf numFmtId="187" fontId="2" fillId="7" borderId="1" xfId="0" applyNumberFormat="1" applyFont="1" applyFill="1" applyBorder="1" applyAlignment="1"/>
    <xf numFmtId="0" fontId="2" fillId="7" borderId="1" xfId="0" applyFont="1" applyFill="1" applyBorder="1" applyAlignment="1"/>
    <xf numFmtId="0" fontId="2" fillId="7" borderId="4" xfId="0" applyFont="1" applyFill="1" applyBorder="1" applyAlignment="1"/>
    <xf numFmtId="0" fontId="4" fillId="7" borderId="4" xfId="0" applyFont="1" applyFill="1" applyBorder="1" applyAlignment="1"/>
    <xf numFmtId="189" fontId="4" fillId="7" borderId="4" xfId="0" applyNumberFormat="1" applyFont="1" applyFill="1" applyBorder="1" applyAlignment="1"/>
    <xf numFmtId="188" fontId="4" fillId="7" borderId="4" xfId="0" applyNumberFormat="1" applyFont="1" applyFill="1" applyBorder="1" applyAlignment="1"/>
    <xf numFmtId="187" fontId="1" fillId="22" borderId="9" xfId="0" applyNumberFormat="1" applyFont="1" applyFill="1" applyBorder="1" applyAlignment="1"/>
    <xf numFmtId="187" fontId="2" fillId="22" borderId="10" xfId="0" applyNumberFormat="1" applyFont="1" applyFill="1" applyBorder="1" applyAlignment="1"/>
    <xf numFmtId="0" fontId="2" fillId="22" borderId="10" xfId="0" applyFont="1" applyFill="1" applyBorder="1" applyAlignment="1"/>
    <xf numFmtId="0" fontId="2" fillId="22" borderId="11" xfId="0" applyFont="1" applyFill="1" applyBorder="1" applyAlignment="1"/>
    <xf numFmtId="0" fontId="4" fillId="22" borderId="11" xfId="0" applyFont="1" applyFill="1" applyBorder="1" applyAlignment="1"/>
    <xf numFmtId="189" fontId="4" fillId="22" borderId="11" xfId="0" applyNumberFormat="1" applyFont="1" applyFill="1" applyBorder="1" applyAlignment="1"/>
    <xf numFmtId="188" fontId="4" fillId="22" borderId="11" xfId="0" applyNumberFormat="1" applyFont="1" applyFill="1" applyBorder="1" applyAlignment="1"/>
    <xf numFmtId="187" fontId="2" fillId="21" borderId="9" xfId="0" applyNumberFormat="1" applyFont="1" applyFill="1" applyBorder="1" applyAlignment="1"/>
    <xf numFmtId="0" fontId="1" fillId="21" borderId="10" xfId="0" applyFont="1" applyFill="1" applyBorder="1" applyAlignment="1"/>
    <xf numFmtId="187" fontId="2" fillId="21" borderId="10" xfId="0" applyNumberFormat="1" applyFont="1" applyFill="1" applyBorder="1" applyAlignment="1"/>
    <xf numFmtId="0" fontId="6" fillId="21" borderId="11" xfId="0" applyFont="1" applyFill="1" applyBorder="1" applyAlignment="1">
      <alignment horizontal="center" wrapText="1"/>
    </xf>
    <xf numFmtId="189" fontId="6" fillId="21" borderId="11" xfId="0" applyNumberFormat="1" applyFont="1" applyFill="1" applyBorder="1" applyAlignment="1"/>
    <xf numFmtId="188" fontId="6" fillId="21" borderId="11" xfId="0" applyNumberFormat="1" applyFont="1" applyFill="1" applyBorder="1" applyAlignment="1"/>
    <xf numFmtId="188" fontId="4" fillId="21" borderId="11" xfId="0" applyNumberFormat="1" applyFont="1" applyFill="1" applyBorder="1" applyAlignment="1"/>
    <xf numFmtId="187" fontId="2" fillId="23" borderId="9" xfId="0" applyNumberFormat="1" applyFont="1" applyFill="1" applyBorder="1" applyAlignment="1"/>
    <xf numFmtId="0" fontId="2" fillId="23" borderId="10" xfId="0" applyFont="1" applyFill="1" applyBorder="1" applyAlignment="1"/>
    <xf numFmtId="187" fontId="14" fillId="23" borderId="10" xfId="0" applyNumberFormat="1" applyFont="1" applyFill="1" applyBorder="1" applyAlignment="1"/>
    <xf numFmtId="0" fontId="2" fillId="23" borderId="11" xfId="0" applyFont="1" applyFill="1" applyBorder="1" applyAlignment="1"/>
    <xf numFmtId="0" fontId="6" fillId="23" borderId="11" xfId="0" applyFont="1" applyFill="1" applyBorder="1" applyAlignment="1">
      <alignment horizontal="center" wrapText="1"/>
    </xf>
    <xf numFmtId="189" fontId="4" fillId="23" borderId="11" xfId="0" applyNumberFormat="1" applyFont="1" applyFill="1" applyBorder="1" applyAlignment="1"/>
    <xf numFmtId="188" fontId="4" fillId="23" borderId="11" xfId="0" applyNumberFormat="1" applyFont="1" applyFill="1" applyBorder="1" applyAlignment="1"/>
    <xf numFmtId="0" fontId="4" fillId="0" borderId="10" xfId="0" quotePrefix="1" applyFont="1" applyBorder="1" applyAlignment="1"/>
    <xf numFmtId="187" fontId="2" fillId="23" borderId="10" xfId="0" applyNumberFormat="1" applyFont="1" applyFill="1" applyBorder="1" applyAlignment="1"/>
    <xf numFmtId="187" fontId="8" fillId="23" borderId="10" xfId="0" applyNumberFormat="1" applyFont="1" applyFill="1" applyBorder="1" applyAlignment="1"/>
    <xf numFmtId="0" fontId="26" fillId="23" borderId="11" xfId="0" applyFont="1" applyFill="1" applyBorder="1" applyAlignment="1">
      <alignment horizontal="center" wrapText="1"/>
    </xf>
    <xf numFmtId="0" fontId="27" fillId="21" borderId="10" xfId="0" quotePrefix="1" applyFont="1" applyFill="1" applyBorder="1" applyAlignment="1"/>
    <xf numFmtId="0" fontId="8" fillId="0" borderId="10" xfId="0" quotePrefix="1" applyFont="1" applyBorder="1" applyAlignment="1"/>
    <xf numFmtId="0" fontId="8" fillId="0" borderId="10" xfId="0" applyFont="1" applyBorder="1" applyAlignment="1"/>
    <xf numFmtId="189" fontId="4" fillId="2" borderId="11" xfId="0" applyNumberFormat="1" applyFont="1" applyFill="1" applyBorder="1" applyAlignment="1"/>
    <xf numFmtId="0" fontId="1" fillId="23" borderId="10" xfId="0" applyFont="1" applyFill="1" applyBorder="1" applyAlignment="1"/>
    <xf numFmtId="189" fontId="6" fillId="23" borderId="11" xfId="0" applyNumberFormat="1" applyFont="1" applyFill="1" applyBorder="1" applyAlignment="1"/>
    <xf numFmtId="188" fontId="6" fillId="23" borderId="11" xfId="0" applyNumberFormat="1" applyFont="1" applyFill="1" applyBorder="1" applyAlignment="1"/>
    <xf numFmtId="0" fontId="28" fillId="2" borderId="13" xfId="0" quotePrefix="1" applyFont="1" applyFill="1" applyBorder="1" applyAlignment="1"/>
    <xf numFmtId="187" fontId="6" fillId="0" borderId="14" xfId="0" applyNumberFormat="1" applyFont="1" applyBorder="1" applyAlignment="1">
      <alignment horizontal="center" wrapText="1"/>
    </xf>
    <xf numFmtId="188" fontId="6" fillId="10" borderId="14" xfId="0" applyNumberFormat="1" applyFont="1" applyFill="1" applyBorder="1" applyAlignment="1"/>
    <xf numFmtId="0" fontId="4" fillId="2" borderId="11" xfId="0" applyFont="1" applyFill="1" applyBorder="1" applyAlignment="1">
      <alignment horizontal="center" wrapText="1"/>
    </xf>
    <xf numFmtId="0" fontId="6" fillId="23" borderId="11" xfId="0" applyFont="1" applyFill="1" applyBorder="1" applyAlignment="1">
      <alignment horizontal="center"/>
    </xf>
    <xf numFmtId="189" fontId="4" fillId="0" borderId="14" xfId="0" applyNumberFormat="1" applyFont="1" applyBorder="1" applyAlignment="1"/>
    <xf numFmtId="188" fontId="4" fillId="0" borderId="14" xfId="0" applyNumberFormat="1" applyFont="1" applyBorder="1" applyAlignment="1"/>
    <xf numFmtId="187" fontId="2" fillId="2" borderId="10" xfId="0" applyNumberFormat="1" applyFont="1" applyFill="1" applyBorder="1" applyAlignment="1"/>
    <xf numFmtId="0" fontId="14" fillId="2" borderId="10" xfId="0" applyFont="1" applyFill="1" applyBorder="1" applyAlignment="1"/>
    <xf numFmtId="188" fontId="4" fillId="10" borderId="11" xfId="0" applyNumberFormat="1" applyFont="1" applyFill="1" applyBorder="1" applyAlignment="1"/>
    <xf numFmtId="187" fontId="2" fillId="2" borderId="9" xfId="0" applyNumberFormat="1" applyFont="1" applyFill="1" applyBorder="1" applyAlignment="1"/>
    <xf numFmtId="0" fontId="4" fillId="2" borderId="11" xfId="0" applyFont="1" applyFill="1" applyBorder="1" applyAlignment="1">
      <alignment horizontal="center"/>
    </xf>
    <xf numFmtId="0" fontId="2" fillId="2" borderId="0" xfId="0" applyFont="1" applyFill="1" applyAlignment="1"/>
    <xf numFmtId="0" fontId="2" fillId="0" borderId="13" xfId="0" applyFont="1" applyBorder="1" applyAlignment="1"/>
    <xf numFmtId="0" fontId="2" fillId="0" borderId="14" xfId="0" applyFont="1" applyBorder="1" applyAlignment="1"/>
    <xf numFmtId="0" fontId="14" fillId="0" borderId="14" xfId="0" applyFont="1" applyBorder="1" applyAlignment="1"/>
    <xf numFmtId="0" fontId="14" fillId="0" borderId="10" xfId="0" applyFont="1" applyBorder="1" applyAlignment="1">
      <alignment horizontal="center"/>
    </xf>
    <xf numFmtId="0" fontId="2" fillId="23" borderId="13" xfId="0" applyFont="1" applyFill="1" applyBorder="1" applyAlignment="1"/>
    <xf numFmtId="187" fontId="1" fillId="2" borderId="10" xfId="0" applyNumberFormat="1" applyFont="1" applyFill="1" applyBorder="1" applyAlignment="1"/>
    <xf numFmtId="187" fontId="29" fillId="23" borderId="9" xfId="0" applyNumberFormat="1" applyFont="1" applyFill="1" applyBorder="1" applyAlignment="1"/>
    <xf numFmtId="187" fontId="29" fillId="23" borderId="10" xfId="0" applyNumberFormat="1" applyFont="1" applyFill="1" applyBorder="1" applyAlignment="1"/>
    <xf numFmtId="0" fontId="30" fillId="23" borderId="10" xfId="0" applyFont="1" applyFill="1" applyBorder="1" applyAlignment="1"/>
    <xf numFmtId="0" fontId="29" fillId="23" borderId="10" xfId="0" applyFont="1" applyFill="1" applyBorder="1" applyAlignment="1"/>
    <xf numFmtId="0" fontId="29" fillId="23" borderId="11" xfId="0" applyFont="1" applyFill="1" applyBorder="1" applyAlignment="1"/>
    <xf numFmtId="0" fontId="31" fillId="23" borderId="11" xfId="0" applyFont="1" applyFill="1" applyBorder="1" applyAlignment="1">
      <alignment horizontal="center" wrapText="1"/>
    </xf>
    <xf numFmtId="189" fontId="31" fillId="23" borderId="11" xfId="0" applyNumberFormat="1" applyFont="1" applyFill="1" applyBorder="1" applyAlignment="1"/>
    <xf numFmtId="188" fontId="31" fillId="23" borderId="11" xfId="0" applyNumberFormat="1" applyFont="1" applyFill="1" applyBorder="1" applyAlignment="1"/>
    <xf numFmtId="188" fontId="32" fillId="23" borderId="11" xfId="0" applyNumberFormat="1" applyFont="1" applyFill="1" applyBorder="1" applyAlignment="1"/>
    <xf numFmtId="0" fontId="33" fillId="0" borderId="0" xfId="0" applyFont="1"/>
    <xf numFmtId="190" fontId="29" fillId="2" borderId="12" xfId="0" applyNumberFormat="1" applyFont="1" applyFill="1" applyBorder="1" applyAlignment="1"/>
    <xf numFmtId="0" fontId="29" fillId="2" borderId="13" xfId="0" applyFont="1" applyFill="1" applyBorder="1" applyAlignment="1"/>
    <xf numFmtId="0" fontId="30" fillId="2" borderId="13" xfId="0" applyFont="1" applyFill="1" applyBorder="1" applyAlignment="1"/>
    <xf numFmtId="0" fontId="34" fillId="2" borderId="13" xfId="0" applyFont="1" applyFill="1" applyBorder="1" applyAlignment="1"/>
    <xf numFmtId="0" fontId="29" fillId="2" borderId="14" xfId="0" applyFont="1" applyFill="1" applyBorder="1" applyAlignment="1"/>
    <xf numFmtId="187" fontId="31" fillId="0" borderId="14" xfId="0" applyNumberFormat="1" applyFont="1" applyBorder="1" applyAlignment="1">
      <alignment horizontal="center" wrapText="1"/>
    </xf>
    <xf numFmtId="189" fontId="32" fillId="0" borderId="14" xfId="0" applyNumberFormat="1" applyFont="1" applyBorder="1" applyAlignment="1"/>
    <xf numFmtId="188" fontId="32" fillId="0" borderId="14" xfId="0" applyNumberFormat="1" applyFont="1" applyBorder="1" applyAlignment="1"/>
    <xf numFmtId="188" fontId="31" fillId="2" borderId="14" xfId="0" applyNumberFormat="1" applyFont="1" applyFill="1" applyBorder="1" applyAlignment="1"/>
    <xf numFmtId="188" fontId="32" fillId="2" borderId="14" xfId="0" applyNumberFormat="1" applyFont="1" applyFill="1" applyBorder="1" applyAlignment="1"/>
    <xf numFmtId="0" fontId="29" fillId="0" borderId="0" xfId="0" applyFont="1" applyAlignment="1"/>
    <xf numFmtId="190" fontId="29" fillId="2" borderId="9" xfId="0" applyNumberFormat="1" applyFont="1" applyFill="1" applyBorder="1" applyAlignment="1"/>
    <xf numFmtId="187" fontId="29" fillId="2" borderId="10" xfId="0" applyNumberFormat="1" applyFont="1" applyFill="1" applyBorder="1" applyAlignment="1"/>
    <xf numFmtId="0" fontId="29" fillId="2" borderId="10" xfId="0" applyFont="1" applyFill="1" applyBorder="1" applyAlignment="1"/>
    <xf numFmtId="0" fontId="35" fillId="2" borderId="10" xfId="0" applyFont="1" applyFill="1" applyBorder="1" applyAlignment="1"/>
    <xf numFmtId="0" fontId="29" fillId="2" borderId="11" xfId="0" applyFont="1" applyFill="1" applyBorder="1" applyAlignment="1"/>
    <xf numFmtId="187" fontId="32" fillId="0" borderId="11" xfId="0" applyNumberFormat="1" applyFont="1" applyBorder="1" applyAlignment="1">
      <alignment horizontal="center" wrapText="1"/>
    </xf>
    <xf numFmtId="189" fontId="32" fillId="0" borderId="11" xfId="0" applyNumberFormat="1" applyFont="1" applyBorder="1" applyAlignment="1"/>
    <xf numFmtId="188" fontId="32" fillId="0" borderId="11" xfId="0" applyNumberFormat="1" applyFont="1" applyBorder="1" applyAlignment="1"/>
    <xf numFmtId="188" fontId="32" fillId="2" borderId="11" xfId="0" applyNumberFormat="1" applyFont="1" applyFill="1" applyBorder="1" applyAlignment="1"/>
    <xf numFmtId="187" fontId="29" fillId="2" borderId="9" xfId="0" applyNumberFormat="1" applyFont="1" applyFill="1" applyBorder="1" applyAlignment="1"/>
    <xf numFmtId="187" fontId="30" fillId="2" borderId="10" xfId="0" applyNumberFormat="1" applyFont="1" applyFill="1" applyBorder="1" applyAlignment="1"/>
    <xf numFmtId="0" fontId="35" fillId="2" borderId="10" xfId="0" applyFont="1" applyFill="1" applyBorder="1" applyAlignment="1"/>
    <xf numFmtId="189" fontId="32" fillId="2" borderId="11" xfId="0" applyNumberFormat="1" applyFont="1" applyFill="1" applyBorder="1" applyAlignment="1"/>
    <xf numFmtId="0" fontId="29" fillId="2" borderId="0" xfId="0" applyFont="1" applyFill="1" applyAlignment="1"/>
    <xf numFmtId="187" fontId="29" fillId="0" borderId="9" xfId="0" applyNumberFormat="1" applyFont="1" applyBorder="1" applyAlignment="1"/>
    <xf numFmtId="187" fontId="29" fillId="0" borderId="10" xfId="0" applyNumberFormat="1" applyFont="1" applyBorder="1" applyAlignment="1"/>
    <xf numFmtId="0" fontId="36" fillId="21" borderId="10" xfId="0" quotePrefix="1" applyFont="1" applyFill="1" applyBorder="1" applyAlignment="1"/>
    <xf numFmtId="0" fontId="29" fillId="21" borderId="10" xfId="0" applyFont="1" applyFill="1" applyBorder="1" applyAlignment="1"/>
    <xf numFmtId="0" fontId="29" fillId="21" borderId="11" xfId="0" applyFont="1" applyFill="1" applyBorder="1" applyAlignment="1"/>
    <xf numFmtId="0" fontId="32" fillId="0" borderId="11" xfId="0" applyFont="1" applyBorder="1" applyAlignment="1"/>
    <xf numFmtId="0" fontId="35" fillId="0" borderId="10" xfId="0" applyFont="1" applyBorder="1" applyAlignment="1"/>
    <xf numFmtId="0" fontId="29" fillId="0" borderId="10" xfId="0" applyFont="1" applyBorder="1" applyAlignment="1"/>
    <xf numFmtId="0" fontId="29" fillId="0" borderId="11" xfId="0" applyFont="1" applyBorder="1" applyAlignment="1"/>
    <xf numFmtId="0" fontId="32" fillId="0" borderId="11" xfId="0" applyFont="1" applyBorder="1" applyAlignment="1">
      <alignment horizontal="center"/>
    </xf>
    <xf numFmtId="187" fontId="35" fillId="0" borderId="10" xfId="0" quotePrefix="1" applyNumberFormat="1" applyFont="1" applyBorder="1" applyAlignment="1"/>
    <xf numFmtId="0" fontId="35" fillId="0" borderId="10" xfId="0" quotePrefix="1" applyFont="1" applyBorder="1" applyAlignment="1"/>
    <xf numFmtId="0" fontId="1" fillId="23" borderId="10" xfId="0" applyFont="1" applyFill="1" applyBorder="1" applyAlignment="1"/>
    <xf numFmtId="188" fontId="32" fillId="10" borderId="11" xfId="0" applyNumberFormat="1" applyFont="1" applyFill="1" applyBorder="1" applyAlignment="1"/>
    <xf numFmtId="187" fontId="14" fillId="0" borderId="10" xfId="0" quotePrefix="1" applyNumberFormat="1" applyFont="1" applyBorder="1" applyAlignment="1"/>
    <xf numFmtId="0" fontId="2" fillId="0" borderId="10" xfId="0" applyFont="1" applyBorder="1" applyAlignment="1"/>
    <xf numFmtId="0" fontId="14" fillId="0" borderId="10" xfId="0" quotePrefix="1" applyFont="1" applyBorder="1" applyAlignment="1"/>
    <xf numFmtId="0" fontId="17" fillId="0" borderId="10" xfId="0" quotePrefix="1" applyFont="1" applyBorder="1" applyAlignment="1"/>
    <xf numFmtId="0" fontId="32" fillId="2" borderId="11" xfId="0" applyFont="1" applyFill="1" applyBorder="1" applyAlignment="1">
      <alignment horizontal="center"/>
    </xf>
    <xf numFmtId="187" fontId="2" fillId="0" borderId="5" xfId="0" applyNumberFormat="1" applyFont="1" applyBorder="1" applyAlignment="1"/>
    <xf numFmtId="187" fontId="2" fillId="0" borderId="1" xfId="0" applyNumberFormat="1" applyFont="1" applyBorder="1" applyAlignment="1"/>
    <xf numFmtId="0" fontId="8" fillId="0" borderId="1" xfId="0" quotePrefix="1" applyFont="1" applyBorder="1" applyAlignment="1"/>
    <xf numFmtId="0" fontId="2" fillId="0" borderId="1" xfId="0" applyFont="1" applyBorder="1" applyAlignment="1"/>
    <xf numFmtId="0" fontId="2" fillId="0" borderId="4" xfId="0" applyFont="1" applyBorder="1" applyAlignment="1"/>
    <xf numFmtId="189" fontId="4" fillId="2" borderId="4" xfId="0" applyNumberFormat="1" applyFont="1" applyFill="1" applyBorder="1" applyAlignment="1"/>
    <xf numFmtId="188" fontId="4" fillId="0" borderId="4" xfId="0" applyNumberFormat="1" applyFont="1" applyBorder="1" applyAlignment="1"/>
    <xf numFmtId="188" fontId="4" fillId="0" borderId="4" xfId="0" applyNumberFormat="1" applyFont="1" applyBorder="1" applyAlignment="1"/>
    <xf numFmtId="187" fontId="37" fillId="24" borderId="5" xfId="0" applyNumberFormat="1" applyFont="1" applyFill="1" applyBorder="1" applyAlignment="1"/>
    <xf numFmtId="187" fontId="2" fillId="24" borderId="1" xfId="0" applyNumberFormat="1" applyFont="1" applyFill="1" applyBorder="1" applyAlignment="1"/>
    <xf numFmtId="0" fontId="2" fillId="24" borderId="1" xfId="0" applyFont="1" applyFill="1" applyBorder="1" applyAlignment="1"/>
    <xf numFmtId="0" fontId="2" fillId="24" borderId="4" xfId="0" applyFont="1" applyFill="1" applyBorder="1" applyAlignment="1"/>
    <xf numFmtId="0" fontId="4" fillId="24" borderId="4" xfId="0" applyFont="1" applyFill="1" applyBorder="1" applyAlignment="1"/>
    <xf numFmtId="189" fontId="4" fillId="24" borderId="4" xfId="0" applyNumberFormat="1" applyFont="1" applyFill="1" applyBorder="1" applyAlignment="1"/>
    <xf numFmtId="188" fontId="4" fillId="24" borderId="4" xfId="0" applyNumberFormat="1" applyFont="1" applyFill="1" applyBorder="1" applyAlignment="1"/>
    <xf numFmtId="187" fontId="1" fillId="25" borderId="9" xfId="0" applyNumberFormat="1" applyFont="1" applyFill="1" applyBorder="1" applyAlignment="1"/>
    <xf numFmtId="0" fontId="2" fillId="25" borderId="10" xfId="0" applyFont="1" applyFill="1" applyBorder="1" applyAlignment="1"/>
    <xf numFmtId="187" fontId="2" fillId="25" borderId="10" xfId="0" applyNumberFormat="1" applyFont="1" applyFill="1" applyBorder="1" applyAlignment="1"/>
    <xf numFmtId="0" fontId="4" fillId="25" borderId="10" xfId="0" applyFont="1" applyFill="1" applyBorder="1" applyAlignment="1"/>
    <xf numFmtId="189" fontId="4" fillId="25" borderId="10" xfId="0" applyNumberFormat="1" applyFont="1" applyFill="1" applyBorder="1" applyAlignment="1"/>
    <xf numFmtId="189" fontId="4" fillId="25" borderId="11" xfId="0" applyNumberFormat="1" applyFont="1" applyFill="1" applyBorder="1" applyAlignment="1"/>
    <xf numFmtId="188" fontId="4" fillId="25" borderId="11" xfId="0" applyNumberFormat="1" applyFont="1" applyFill="1" applyBorder="1" applyAlignment="1"/>
    <xf numFmtId="190" fontId="2" fillId="26" borderId="9" xfId="0" applyNumberFormat="1" applyFont="1" applyFill="1" applyBorder="1" applyAlignment="1"/>
    <xf numFmtId="0" fontId="1" fillId="26" borderId="10" xfId="0" applyFont="1" applyFill="1" applyBorder="1" applyAlignment="1"/>
    <xf numFmtId="0" fontId="2" fillId="26" borderId="10" xfId="0" applyFont="1" applyFill="1" applyBorder="1" applyAlignment="1"/>
    <xf numFmtId="187" fontId="2" fillId="26" borderId="10" xfId="0" applyNumberFormat="1" applyFont="1" applyFill="1" applyBorder="1" applyAlignment="1"/>
    <xf numFmtId="0" fontId="2" fillId="26" borderId="11" xfId="0" applyFont="1" applyFill="1" applyBorder="1" applyAlignment="1"/>
    <xf numFmtId="0" fontId="6" fillId="26" borderId="11" xfId="0" applyFont="1" applyFill="1" applyBorder="1" applyAlignment="1">
      <alignment horizontal="center" wrapText="1"/>
    </xf>
    <xf numFmtId="189" fontId="6" fillId="26" borderId="11" xfId="0" applyNumberFormat="1" applyFont="1" applyFill="1" applyBorder="1" applyAlignment="1"/>
    <xf numFmtId="188" fontId="6" fillId="26" borderId="11" xfId="0" applyNumberFormat="1" applyFont="1" applyFill="1" applyBorder="1" applyAlignment="1"/>
    <xf numFmtId="188" fontId="4" fillId="26" borderId="11" xfId="0" applyNumberFormat="1" applyFont="1" applyFill="1" applyBorder="1" applyAlignment="1"/>
    <xf numFmtId="0" fontId="1" fillId="26" borderId="10" xfId="0" applyFont="1" applyFill="1" applyBorder="1" applyAlignment="1"/>
    <xf numFmtId="0" fontId="4" fillId="0" borderId="10" xfId="0" applyFont="1" applyBorder="1" applyAlignment="1"/>
    <xf numFmtId="188" fontId="6" fillId="0" borderId="11" xfId="0" applyNumberFormat="1" applyFont="1" applyBorder="1" applyAlignment="1"/>
    <xf numFmtId="0" fontId="38" fillId="0" borderId="10" xfId="0" applyFont="1" applyBorder="1" applyAlignment="1"/>
    <xf numFmtId="0" fontId="6" fillId="0" borderId="10" xfId="0" applyFont="1" applyBorder="1" applyAlignment="1"/>
    <xf numFmtId="187" fontId="2" fillId="0" borderId="12" xfId="0" applyNumberFormat="1" applyFont="1" applyBorder="1" applyAlignment="1"/>
    <xf numFmtId="187" fontId="2" fillId="0" borderId="13" xfId="0" applyNumberFormat="1" applyFont="1" applyBorder="1" applyAlignment="1"/>
    <xf numFmtId="0" fontId="38" fillId="0" borderId="13" xfId="0" applyFont="1" applyBorder="1" applyAlignment="1"/>
    <xf numFmtId="0" fontId="6" fillId="0" borderId="13" xfId="0" applyFont="1" applyBorder="1" applyAlignment="1"/>
    <xf numFmtId="0" fontId="4" fillId="0" borderId="14" xfId="0" applyFont="1" applyBorder="1" applyAlignment="1">
      <alignment horizontal="center"/>
    </xf>
    <xf numFmtId="189" fontId="4" fillId="0" borderId="14" xfId="0" applyNumberFormat="1" applyFont="1" applyBorder="1" applyAlignment="1"/>
    <xf numFmtId="189" fontId="4" fillId="2" borderId="14" xfId="0" applyNumberFormat="1" applyFont="1" applyFill="1" applyBorder="1" applyAlignment="1"/>
    <xf numFmtId="0" fontId="4" fillId="0" borderId="1" xfId="0" applyFont="1" applyBorder="1" applyAlignment="1"/>
    <xf numFmtId="0" fontId="4" fillId="0" borderId="4" xfId="0" applyFont="1" applyBorder="1" applyAlignment="1">
      <alignment horizontal="center"/>
    </xf>
    <xf numFmtId="189" fontId="4" fillId="0" borderId="4" xfId="0" applyNumberFormat="1" applyFont="1" applyBorder="1" applyAlignment="1"/>
    <xf numFmtId="189" fontId="4" fillId="10" borderId="4" xfId="0" applyNumberFormat="1" applyFont="1" applyFill="1" applyBorder="1" applyAlignment="1"/>
    <xf numFmtId="187" fontId="1" fillId="27" borderId="5" xfId="0" applyNumberFormat="1" applyFont="1" applyFill="1" applyBorder="1" applyAlignment="1"/>
    <xf numFmtId="187" fontId="2" fillId="27" borderId="1" xfId="0" applyNumberFormat="1" applyFont="1" applyFill="1" applyBorder="1" applyAlignment="1"/>
    <xf numFmtId="0" fontId="2" fillId="27" borderId="1" xfId="0" applyFont="1" applyFill="1" applyBorder="1" applyAlignment="1"/>
    <xf numFmtId="0" fontId="2" fillId="27" borderId="4" xfId="0" applyFont="1" applyFill="1" applyBorder="1" applyAlignment="1"/>
    <xf numFmtId="0" fontId="4" fillId="27" borderId="4" xfId="0" applyFont="1" applyFill="1" applyBorder="1" applyAlignment="1"/>
    <xf numFmtId="189" fontId="4" fillId="27" borderId="4" xfId="0" applyNumberFormat="1" applyFont="1" applyFill="1" applyBorder="1" applyAlignment="1"/>
    <xf numFmtId="188" fontId="4" fillId="27" borderId="4" xfId="0" applyNumberFormat="1" applyFont="1" applyFill="1" applyBorder="1" applyAlignment="1"/>
    <xf numFmtId="187" fontId="1" fillId="28" borderId="9" xfId="0" applyNumberFormat="1" applyFont="1" applyFill="1" applyBorder="1" applyAlignment="1"/>
    <xf numFmtId="187" fontId="2" fillId="28" borderId="10" xfId="0" applyNumberFormat="1" applyFont="1" applyFill="1" applyBorder="1" applyAlignment="1"/>
    <xf numFmtId="0" fontId="2" fillId="28" borderId="10" xfId="0" applyFont="1" applyFill="1" applyBorder="1" applyAlignment="1"/>
    <xf numFmtId="0" fontId="2" fillId="28" borderId="11" xfId="0" applyFont="1" applyFill="1" applyBorder="1" applyAlignment="1"/>
    <xf numFmtId="0" fontId="4" fillId="28" borderId="11" xfId="0" applyFont="1" applyFill="1" applyBorder="1" applyAlignment="1"/>
    <xf numFmtId="189" fontId="4" fillId="28" borderId="11" xfId="0" applyNumberFormat="1" applyFont="1" applyFill="1" applyBorder="1" applyAlignment="1"/>
    <xf numFmtId="188" fontId="4" fillId="28" borderId="11" xfId="0" applyNumberFormat="1" applyFont="1" applyFill="1" applyBorder="1" applyAlignment="1"/>
    <xf numFmtId="187" fontId="2" fillId="29" borderId="9" xfId="0" applyNumberFormat="1" applyFont="1" applyFill="1" applyBorder="1" applyAlignment="1"/>
    <xf numFmtId="0" fontId="1" fillId="29" borderId="10" xfId="0" applyFont="1" applyFill="1" applyBorder="1" applyAlignment="1"/>
    <xf numFmtId="0" fontId="2" fillId="29" borderId="10" xfId="0" applyFont="1" applyFill="1" applyBorder="1" applyAlignment="1"/>
    <xf numFmtId="0" fontId="2" fillId="29" borderId="11" xfId="0" applyFont="1" applyFill="1" applyBorder="1" applyAlignment="1"/>
    <xf numFmtId="0" fontId="6" fillId="29" borderId="11" xfId="0" applyFont="1" applyFill="1" applyBorder="1" applyAlignment="1">
      <alignment horizontal="center" wrapText="1"/>
    </xf>
    <xf numFmtId="189" fontId="6" fillId="29" borderId="11" xfId="0" applyNumberFormat="1" applyFont="1" applyFill="1" applyBorder="1" applyAlignment="1"/>
    <xf numFmtId="188" fontId="6" fillId="29" borderId="11" xfId="0" applyNumberFormat="1" applyFont="1" applyFill="1" applyBorder="1" applyAlignment="1"/>
    <xf numFmtId="188" fontId="4" fillId="29" borderId="11" xfId="0" applyNumberFormat="1" applyFont="1" applyFill="1" applyBorder="1" applyAlignment="1"/>
    <xf numFmtId="0" fontId="14" fillId="0" borderId="10" xfId="0" applyFont="1" applyBorder="1" applyAlignment="1"/>
    <xf numFmtId="0" fontId="4" fillId="0" borderId="11" xfId="0" applyFont="1" applyBorder="1" applyAlignment="1">
      <alignment horizontal="center"/>
    </xf>
    <xf numFmtId="0" fontId="4" fillId="28" borderId="10" xfId="0" applyFont="1" applyFill="1" applyBorder="1" applyAlignment="1"/>
    <xf numFmtId="190" fontId="2" fillId="29" borderId="9" xfId="0" applyNumberFormat="1" applyFont="1" applyFill="1" applyBorder="1" applyAlignment="1"/>
    <xf numFmtId="190" fontId="2" fillId="29" borderId="10" xfId="0" applyNumberFormat="1" applyFont="1" applyFill="1" applyBorder="1" applyAlignment="1"/>
    <xf numFmtId="187" fontId="2" fillId="29" borderId="10" xfId="0" applyNumberFormat="1" applyFont="1" applyFill="1" applyBorder="1" applyAlignment="1"/>
    <xf numFmtId="189" fontId="4" fillId="29" borderId="11" xfId="0" applyNumberFormat="1" applyFont="1" applyFill="1" applyBorder="1" applyAlignment="1"/>
    <xf numFmtId="0" fontId="39" fillId="23" borderId="10" xfId="0" applyFont="1" applyFill="1" applyBorder="1" applyAlignment="1"/>
    <xf numFmtId="0" fontId="4" fillId="23" borderId="11" xfId="0" applyFont="1" applyFill="1" applyBorder="1" applyAlignment="1"/>
    <xf numFmtId="187" fontId="2" fillId="8" borderId="9" xfId="0" applyNumberFormat="1" applyFont="1" applyFill="1" applyBorder="1" applyAlignment="1"/>
    <xf numFmtId="187" fontId="2" fillId="8" borderId="10" xfId="0" applyNumberFormat="1" applyFont="1" applyFill="1" applyBorder="1" applyAlignment="1"/>
    <xf numFmtId="0" fontId="15" fillId="8" borderId="10" xfId="0" applyFont="1" applyFill="1" applyBorder="1" applyAlignment="1"/>
    <xf numFmtId="0" fontId="40" fillId="8" borderId="10" xfId="0" applyFont="1" applyFill="1" applyBorder="1" applyAlignment="1"/>
    <xf numFmtId="0" fontId="2" fillId="8" borderId="10" xfId="0" applyFont="1" applyFill="1" applyBorder="1" applyAlignment="1"/>
    <xf numFmtId="0" fontId="2" fillId="8" borderId="11" xfId="0" applyFont="1" applyFill="1" applyBorder="1" applyAlignment="1"/>
    <xf numFmtId="0" fontId="6" fillId="8" borderId="11" xfId="0" applyFont="1" applyFill="1" applyBorder="1" applyAlignment="1">
      <alignment horizontal="center"/>
    </xf>
    <xf numFmtId="189" fontId="6" fillId="8" borderId="11" xfId="0" applyNumberFormat="1" applyFont="1" applyFill="1" applyBorder="1" applyAlignment="1"/>
    <xf numFmtId="189" fontId="6" fillId="8" borderId="11" xfId="0" applyNumberFormat="1" applyFont="1" applyFill="1" applyBorder="1" applyAlignment="1"/>
    <xf numFmtId="188" fontId="6" fillId="8" borderId="11" xfId="0" applyNumberFormat="1" applyFont="1" applyFill="1" applyBorder="1" applyAlignment="1"/>
    <xf numFmtId="188" fontId="4" fillId="8" borderId="11" xfId="0" applyNumberFormat="1" applyFont="1" applyFill="1" applyBorder="1" applyAlignment="1"/>
    <xf numFmtId="0" fontId="18" fillId="8" borderId="10" xfId="0" applyFont="1" applyFill="1" applyBorder="1" applyAlignment="1"/>
    <xf numFmtId="0" fontId="4" fillId="8" borderId="11" xfId="0" applyFont="1" applyFill="1" applyBorder="1" applyAlignment="1"/>
    <xf numFmtId="189" fontId="4" fillId="8" borderId="11" xfId="0" applyNumberFormat="1" applyFont="1" applyFill="1" applyBorder="1" applyAlignment="1"/>
    <xf numFmtId="187" fontId="41" fillId="0" borderId="9" xfId="0" applyNumberFormat="1" applyFont="1" applyBorder="1" applyAlignment="1"/>
    <xf numFmtId="187" fontId="42" fillId="8" borderId="9" xfId="0" applyNumberFormat="1" applyFont="1" applyFill="1" applyBorder="1" applyAlignment="1"/>
    <xf numFmtId="187" fontId="42" fillId="8" borderId="10" xfId="0" applyNumberFormat="1" applyFont="1" applyFill="1" applyBorder="1" applyAlignment="1"/>
    <xf numFmtId="0" fontId="43" fillId="8" borderId="10" xfId="0" applyFont="1" applyFill="1" applyBorder="1" applyAlignment="1"/>
    <xf numFmtId="0" fontId="44" fillId="8" borderId="10" xfId="0" applyFont="1" applyFill="1" applyBorder="1" applyAlignment="1"/>
    <xf numFmtId="0" fontId="42" fillId="8" borderId="10" xfId="0" applyFont="1" applyFill="1" applyBorder="1" applyAlignment="1"/>
    <xf numFmtId="0" fontId="42" fillId="8" borderId="11" xfId="0" applyFont="1" applyFill="1" applyBorder="1" applyAlignment="1"/>
    <xf numFmtId="0" fontId="45" fillId="8" borderId="11" xfId="0" applyFont="1" applyFill="1" applyBorder="1" applyAlignment="1">
      <alignment horizontal="center"/>
    </xf>
    <xf numFmtId="189" fontId="45" fillId="8" borderId="11" xfId="0" applyNumberFormat="1" applyFont="1" applyFill="1" applyBorder="1" applyAlignment="1"/>
    <xf numFmtId="188" fontId="45" fillId="8" borderId="11" xfId="0" applyNumberFormat="1" applyFont="1" applyFill="1" applyBorder="1" applyAlignment="1"/>
    <xf numFmtId="188" fontId="46" fillId="8" borderId="11" xfId="0" applyNumberFormat="1" applyFont="1" applyFill="1" applyBorder="1" applyAlignment="1"/>
    <xf numFmtId="0" fontId="47" fillId="0" borderId="0" xfId="0" applyFont="1"/>
    <xf numFmtId="187" fontId="42" fillId="30" borderId="9" xfId="0" applyNumberFormat="1" applyFont="1" applyFill="1" applyBorder="1" applyAlignment="1"/>
    <xf numFmtId="187" fontId="42" fillId="30" borderId="10" xfId="0" applyNumberFormat="1" applyFont="1" applyFill="1" applyBorder="1" applyAlignment="1"/>
    <xf numFmtId="0" fontId="43" fillId="30" borderId="10" xfId="0" applyFont="1" applyFill="1" applyBorder="1" applyAlignment="1"/>
    <xf numFmtId="0" fontId="43" fillId="30" borderId="10" xfId="0" applyFont="1" applyFill="1" applyBorder="1" applyAlignment="1"/>
    <xf numFmtId="0" fontId="42" fillId="30" borderId="10" xfId="0" applyFont="1" applyFill="1" applyBorder="1" applyAlignment="1"/>
    <xf numFmtId="0" fontId="42" fillId="30" borderId="11" xfId="0" applyFont="1" applyFill="1" applyBorder="1" applyAlignment="1"/>
    <xf numFmtId="0" fontId="45" fillId="30" borderId="11" xfId="0" applyFont="1" applyFill="1" applyBorder="1" applyAlignment="1">
      <alignment horizontal="center"/>
    </xf>
    <xf numFmtId="189" fontId="45" fillId="30" borderId="11" xfId="0" applyNumberFormat="1" applyFont="1" applyFill="1" applyBorder="1" applyAlignment="1"/>
    <xf numFmtId="189" fontId="45" fillId="30" borderId="11" xfId="0" applyNumberFormat="1" applyFont="1" applyFill="1" applyBorder="1" applyAlignment="1"/>
    <xf numFmtId="188" fontId="45" fillId="30" borderId="11" xfId="0" applyNumberFormat="1" applyFont="1" applyFill="1" applyBorder="1" applyAlignment="1"/>
    <xf numFmtId="188" fontId="46" fillId="30" borderId="11" xfId="0" applyNumberFormat="1" applyFont="1" applyFill="1" applyBorder="1" applyAlignment="1"/>
    <xf numFmtId="0" fontId="48" fillId="30" borderId="10" xfId="0" applyFont="1" applyFill="1" applyBorder="1" applyAlignment="1"/>
    <xf numFmtId="0" fontId="46" fillId="30" borderId="11" xfId="0" applyFont="1" applyFill="1" applyBorder="1" applyAlignment="1"/>
    <xf numFmtId="189" fontId="46" fillId="30" borderId="11" xfId="0" applyNumberFormat="1" applyFont="1" applyFill="1" applyBorder="1" applyAlignment="1"/>
    <xf numFmtId="41" fontId="45" fillId="30" borderId="11" xfId="0" applyNumberFormat="1" applyFont="1" applyFill="1" applyBorder="1" applyAlignment="1"/>
    <xf numFmtId="188" fontId="4" fillId="2" borderId="11" xfId="0" applyNumberFormat="1" applyFont="1" applyFill="1" applyBorder="1" applyAlignment="1"/>
    <xf numFmtId="0" fontId="14" fillId="0" borderId="1" xfId="0" applyFont="1" applyBorder="1" applyAlignment="1"/>
    <xf numFmtId="0" fontId="4" fillId="0" borderId="4" xfId="0" applyFont="1" applyBorder="1" applyAlignment="1">
      <alignment horizontal="center" wrapText="1"/>
    </xf>
    <xf numFmtId="189" fontId="4" fillId="2" borderId="4" xfId="0" applyNumberFormat="1" applyFont="1" applyFill="1" applyBorder="1" applyAlignment="1"/>
    <xf numFmtId="188" fontId="4" fillId="2" borderId="4" xfId="0" applyNumberFormat="1" applyFont="1" applyFill="1" applyBorder="1" applyAlignment="1"/>
    <xf numFmtId="187" fontId="1" fillId="31" borderId="5" xfId="0" applyNumberFormat="1" applyFont="1" applyFill="1" applyBorder="1" applyAlignment="1"/>
    <xf numFmtId="187" fontId="2" fillId="31" borderId="1" xfId="0" applyNumberFormat="1" applyFont="1" applyFill="1" applyBorder="1" applyAlignment="1"/>
    <xf numFmtId="0" fontId="2" fillId="31" borderId="1" xfId="0" applyFont="1" applyFill="1" applyBorder="1" applyAlignment="1"/>
    <xf numFmtId="0" fontId="2" fillId="31" borderId="4" xfId="0" applyFont="1" applyFill="1" applyBorder="1" applyAlignment="1"/>
    <xf numFmtId="0" fontId="4" fillId="31" borderId="4" xfId="0" applyFont="1" applyFill="1" applyBorder="1" applyAlignment="1"/>
    <xf numFmtId="189" fontId="4" fillId="31" borderId="4" xfId="0" applyNumberFormat="1" applyFont="1" applyFill="1" applyBorder="1" applyAlignment="1"/>
    <xf numFmtId="188" fontId="4" fillId="31" borderId="4" xfId="0" applyNumberFormat="1" applyFont="1" applyFill="1" applyBorder="1" applyAlignment="1"/>
    <xf numFmtId="187" fontId="1" fillId="32" borderId="9" xfId="0" applyNumberFormat="1" applyFont="1" applyFill="1" applyBorder="1" applyAlignment="1"/>
    <xf numFmtId="187" fontId="2" fillId="32" borderId="10" xfId="0" applyNumberFormat="1" applyFont="1" applyFill="1" applyBorder="1" applyAlignment="1"/>
    <xf numFmtId="0" fontId="2" fillId="32" borderId="10" xfId="0" applyFont="1" applyFill="1" applyBorder="1" applyAlignment="1"/>
    <xf numFmtId="0" fontId="4" fillId="32" borderId="11" xfId="0" applyFont="1" applyFill="1" applyBorder="1" applyAlignment="1"/>
    <xf numFmtId="189" fontId="4" fillId="32" borderId="11" xfId="0" applyNumberFormat="1" applyFont="1" applyFill="1" applyBorder="1" applyAlignment="1"/>
    <xf numFmtId="188" fontId="4" fillId="32" borderId="11" xfId="0" applyNumberFormat="1" applyFont="1" applyFill="1" applyBorder="1" applyAlignment="1"/>
    <xf numFmtId="187" fontId="2" fillId="33" borderId="9" xfId="0" applyNumberFormat="1" applyFont="1" applyFill="1" applyBorder="1" applyAlignment="1"/>
    <xf numFmtId="0" fontId="1" fillId="33" borderId="10" xfId="0" applyFont="1" applyFill="1" applyBorder="1" applyAlignment="1"/>
    <xf numFmtId="187" fontId="2" fillId="33" borderId="10" xfId="0" applyNumberFormat="1" applyFont="1" applyFill="1" applyBorder="1" applyAlignment="1"/>
    <xf numFmtId="0" fontId="2" fillId="33" borderId="10" xfId="0" applyFont="1" applyFill="1" applyBorder="1" applyAlignment="1"/>
    <xf numFmtId="0" fontId="2" fillId="33" borderId="11" xfId="0" applyFont="1" applyFill="1" applyBorder="1" applyAlignment="1"/>
    <xf numFmtId="0" fontId="6" fillId="33" borderId="11" xfId="0" applyFont="1" applyFill="1" applyBorder="1" applyAlignment="1">
      <alignment horizontal="center" wrapText="1"/>
    </xf>
    <xf numFmtId="189" fontId="6" fillId="33" borderId="11" xfId="0" applyNumberFormat="1" applyFont="1" applyFill="1" applyBorder="1" applyAlignment="1"/>
    <xf numFmtId="188" fontId="6" fillId="33" borderId="11" xfId="0" applyNumberFormat="1" applyFont="1" applyFill="1" applyBorder="1" applyAlignment="1"/>
    <xf numFmtId="188" fontId="4" fillId="33" borderId="11" xfId="0" applyNumberFormat="1" applyFont="1" applyFill="1" applyBorder="1" applyAlignment="1"/>
    <xf numFmtId="187" fontId="2" fillId="2" borderId="12" xfId="0" applyNumberFormat="1" applyFont="1" applyFill="1" applyBorder="1" applyAlignment="1"/>
    <xf numFmtId="187" fontId="2" fillId="2" borderId="13" xfId="0" applyNumberFormat="1" applyFont="1" applyFill="1" applyBorder="1" applyAlignment="1"/>
    <xf numFmtId="0" fontId="14" fillId="0" borderId="13" xfId="0" applyFont="1" applyBorder="1" applyAlignment="1"/>
    <xf numFmtId="0" fontId="14" fillId="2" borderId="14" xfId="0" applyFont="1" applyFill="1" applyBorder="1" applyAlignment="1">
      <alignment horizontal="center" wrapText="1"/>
    </xf>
    <xf numFmtId="188" fontId="2" fillId="2" borderId="14" xfId="0" applyNumberFormat="1" applyFont="1" applyFill="1" applyBorder="1" applyAlignment="1"/>
    <xf numFmtId="0" fontId="49" fillId="21" borderId="0" xfId="0" quotePrefix="1" applyFont="1" applyFill="1" applyAlignment="1"/>
    <xf numFmtId="0" fontId="2" fillId="21" borderId="0" xfId="0" applyFont="1" applyFill="1" applyAlignment="1"/>
    <xf numFmtId="0" fontId="2" fillId="21" borderId="3" xfId="0" applyFont="1" applyFill="1" applyBorder="1" applyAlignment="1"/>
    <xf numFmtId="187" fontId="4" fillId="0" borderId="15" xfId="0" applyNumberFormat="1" applyFont="1" applyBorder="1" applyAlignment="1">
      <alignment horizontal="center"/>
    </xf>
    <xf numFmtId="187" fontId="2" fillId="0" borderId="20" xfId="0" applyNumberFormat="1" applyFont="1" applyBorder="1" applyAlignment="1"/>
    <xf numFmtId="0" fontId="2" fillId="0" borderId="21" xfId="0" applyFont="1" applyBorder="1" applyAlignment="1"/>
    <xf numFmtId="0" fontId="14" fillId="0" borderId="21" xfId="0" applyFont="1" applyBorder="1" applyAlignment="1"/>
    <xf numFmtId="0" fontId="2" fillId="0" borderId="22" xfId="0" applyFont="1" applyBorder="1" applyAlignment="1"/>
    <xf numFmtId="0" fontId="4" fillId="0" borderId="23" xfId="0" applyFont="1" applyBorder="1" applyAlignment="1">
      <alignment horizontal="center"/>
    </xf>
    <xf numFmtId="189" fontId="4" fillId="2" borderId="22" xfId="0" applyNumberFormat="1" applyFont="1" applyFill="1" applyBorder="1" applyAlignment="1"/>
    <xf numFmtId="189" fontId="4" fillId="10" borderId="22" xfId="0" applyNumberFormat="1" applyFont="1" applyFill="1" applyBorder="1" applyAlignment="1"/>
    <xf numFmtId="188" fontId="4" fillId="2" borderId="22" xfId="0" applyNumberFormat="1" applyFont="1" applyFill="1" applyBorder="1" applyAlignment="1"/>
    <xf numFmtId="188" fontId="4" fillId="0" borderId="22" xfId="0" applyNumberFormat="1" applyFont="1" applyBorder="1" applyAlignment="1"/>
    <xf numFmtId="0" fontId="1" fillId="34" borderId="9" xfId="0" applyFont="1" applyFill="1" applyBorder="1" applyAlignment="1"/>
    <xf numFmtId="0" fontId="2" fillId="34" borderId="10" xfId="0" applyFont="1" applyFill="1" applyBorder="1" applyAlignment="1"/>
    <xf numFmtId="0" fontId="2" fillId="34" borderId="11" xfId="0" applyFont="1" applyFill="1" applyBorder="1" applyAlignment="1"/>
    <xf numFmtId="0" fontId="4" fillId="34" borderId="11" xfId="0" applyFont="1" applyFill="1" applyBorder="1" applyAlignment="1"/>
    <xf numFmtId="189" fontId="4" fillId="34" borderId="11" xfId="0" applyNumberFormat="1" applyFont="1" applyFill="1" applyBorder="1" applyAlignment="1"/>
    <xf numFmtId="188" fontId="4" fillId="34" borderId="11" xfId="0" applyNumberFormat="1" applyFont="1" applyFill="1" applyBorder="1" applyAlignment="1"/>
    <xf numFmtId="188" fontId="6" fillId="34" borderId="11" xfId="0" applyNumberFormat="1" applyFont="1" applyFill="1" applyBorder="1" applyAlignment="1"/>
    <xf numFmtId="0" fontId="1" fillId="35" borderId="9" xfId="0" applyFont="1" applyFill="1" applyBorder="1" applyAlignment="1"/>
    <xf numFmtId="0" fontId="2" fillId="35" borderId="10" xfId="0" applyFont="1" applyFill="1" applyBorder="1" applyAlignment="1"/>
    <xf numFmtId="0" fontId="4" fillId="35" borderId="10" xfId="0" applyFont="1" applyFill="1" applyBorder="1" applyAlignment="1"/>
    <xf numFmtId="189" fontId="4" fillId="35" borderId="10" xfId="0" applyNumberFormat="1" applyFont="1" applyFill="1" applyBorder="1" applyAlignment="1"/>
    <xf numFmtId="188" fontId="4" fillId="35" borderId="10" xfId="0" applyNumberFormat="1" applyFont="1" applyFill="1" applyBorder="1" applyAlignment="1"/>
    <xf numFmtId="188" fontId="4" fillId="35" borderId="11" xfId="0" applyNumberFormat="1" applyFont="1" applyFill="1" applyBorder="1" applyAlignment="1"/>
    <xf numFmtId="0" fontId="2" fillId="35" borderId="11" xfId="0" applyFont="1" applyFill="1" applyBorder="1" applyAlignment="1"/>
    <xf numFmtId="0" fontId="4" fillId="35" borderId="11" xfId="0" applyFont="1" applyFill="1" applyBorder="1" applyAlignment="1"/>
    <xf numFmtId="189" fontId="4" fillId="35" borderId="11" xfId="0" applyNumberFormat="1" applyFont="1" applyFill="1" applyBorder="1" applyAlignment="1"/>
    <xf numFmtId="187" fontId="1" fillId="36" borderId="10" xfId="0" applyNumberFormat="1" applyFont="1" applyFill="1" applyBorder="1" applyAlignment="1">
      <alignment wrapText="1"/>
    </xf>
    <xf numFmtId="187" fontId="1" fillId="36" borderId="10" xfId="0" applyNumberFormat="1" applyFont="1" applyFill="1" applyBorder="1" applyAlignment="1"/>
    <xf numFmtId="187" fontId="1" fillId="36" borderId="10" xfId="0" applyNumberFormat="1" applyFont="1" applyFill="1" applyBorder="1" applyAlignment="1"/>
    <xf numFmtId="0" fontId="2" fillId="36" borderId="10" xfId="0" applyFont="1" applyFill="1" applyBorder="1" applyAlignment="1"/>
    <xf numFmtId="0" fontId="2" fillId="36" borderId="11" xfId="0" applyFont="1" applyFill="1" applyBorder="1" applyAlignment="1"/>
    <xf numFmtId="0" fontId="6" fillId="36" borderId="11" xfId="0" applyFont="1" applyFill="1" applyBorder="1" applyAlignment="1">
      <alignment horizontal="center"/>
    </xf>
    <xf numFmtId="189" fontId="6" fillId="36" borderId="11" xfId="0" applyNumberFormat="1" applyFont="1" applyFill="1" applyBorder="1" applyAlignment="1"/>
    <xf numFmtId="188" fontId="6" fillId="36" borderId="11" xfId="0" applyNumberFormat="1" applyFont="1" applyFill="1" applyBorder="1" applyAlignment="1"/>
    <xf numFmtId="188" fontId="4" fillId="36" borderId="11" xfId="0" applyNumberFormat="1" applyFont="1" applyFill="1" applyBorder="1" applyAlignment="1"/>
    <xf numFmtId="0" fontId="2" fillId="36" borderId="9" xfId="0" applyFont="1" applyFill="1" applyBorder="1" applyAlignment="1"/>
    <xf numFmtId="0" fontId="7" fillId="0" borderId="10" xfId="0" applyFont="1" applyBorder="1" applyAlignment="1"/>
    <xf numFmtId="187" fontId="4" fillId="2" borderId="9" xfId="0" applyNumberFormat="1" applyFont="1" applyFill="1" applyBorder="1" applyAlignment="1"/>
    <xf numFmtId="187" fontId="4" fillId="2" borderId="10" xfId="0" applyNumberFormat="1" applyFont="1" applyFill="1" applyBorder="1" applyAlignment="1"/>
    <xf numFmtId="0" fontId="4" fillId="2" borderId="10" xfId="0" applyFont="1" applyFill="1" applyBorder="1" applyAlignment="1"/>
    <xf numFmtId="0" fontId="4" fillId="2" borderId="10" xfId="0" applyFont="1" applyFill="1" applyBorder="1" applyAlignment="1"/>
    <xf numFmtId="0" fontId="4" fillId="0" borderId="0" xfId="0" applyFont="1" applyAlignment="1"/>
    <xf numFmtId="187" fontId="7" fillId="2" borderId="10" xfId="0" applyNumberFormat="1" applyFont="1" applyFill="1" applyBorder="1" applyAlignment="1"/>
    <xf numFmtId="0" fontId="51" fillId="21" borderId="13" xfId="0" quotePrefix="1" applyFont="1" applyFill="1" applyBorder="1" applyAlignment="1"/>
    <xf numFmtId="0" fontId="2" fillId="21" borderId="13" xfId="0" applyFont="1" applyFill="1" applyBorder="1" applyAlignment="1"/>
    <xf numFmtId="0" fontId="2" fillId="21" borderId="14" xfId="0" applyFont="1" applyFill="1" applyBorder="1" applyAlignment="1"/>
    <xf numFmtId="0" fontId="4" fillId="0" borderId="14" xfId="0" applyFont="1" applyBorder="1" applyAlignment="1"/>
    <xf numFmtId="189" fontId="4" fillId="2" borderId="11" xfId="0" applyNumberFormat="1" applyFont="1" applyFill="1" applyBorder="1" applyAlignment="1">
      <alignment horizontal="right"/>
    </xf>
    <xf numFmtId="189" fontId="4" fillId="10" borderId="11" xfId="0" applyNumberFormat="1" applyFont="1" applyFill="1" applyBorder="1" applyAlignment="1">
      <alignment horizontal="right"/>
    </xf>
    <xf numFmtId="187" fontId="6" fillId="36" borderId="13" xfId="0" applyNumberFormat="1" applyFont="1" applyFill="1" applyBorder="1" applyAlignment="1">
      <alignment horizontal="right"/>
    </xf>
    <xf numFmtId="0" fontId="6" fillId="36" borderId="13" xfId="0" applyFont="1" applyFill="1" applyBorder="1" applyAlignment="1"/>
    <xf numFmtId="0" fontId="4" fillId="36" borderId="13" xfId="0" applyFont="1" applyFill="1" applyBorder="1" applyAlignment="1"/>
    <xf numFmtId="0" fontId="4" fillId="36" borderId="14" xfId="0" applyFont="1" applyFill="1" applyBorder="1" applyAlignment="1"/>
    <xf numFmtId="0" fontId="6" fillId="36" borderId="14" xfId="0" applyFont="1" applyFill="1" applyBorder="1" applyAlignment="1">
      <alignment horizontal="center"/>
    </xf>
    <xf numFmtId="189" fontId="6" fillId="36" borderId="14" xfId="0" applyNumberFormat="1" applyFont="1" applyFill="1" applyBorder="1" applyAlignment="1"/>
    <xf numFmtId="188" fontId="6" fillId="36" borderId="14" xfId="0" applyNumberFormat="1" applyFont="1" applyFill="1" applyBorder="1" applyAlignment="1"/>
    <xf numFmtId="188" fontId="4" fillId="36" borderId="14" xfId="0" applyNumberFormat="1" applyFont="1" applyFill="1" applyBorder="1" applyAlignment="1"/>
    <xf numFmtId="0" fontId="4" fillId="36" borderId="9" xfId="0" applyFont="1" applyFill="1" applyBorder="1" applyAlignment="1"/>
    <xf numFmtId="187" fontId="4" fillId="36" borderId="10" xfId="0" applyNumberFormat="1" applyFont="1" applyFill="1" applyBorder="1" applyAlignment="1"/>
    <xf numFmtId="0" fontId="4" fillId="36" borderId="10" xfId="0" applyFont="1" applyFill="1" applyBorder="1" applyAlignment="1"/>
    <xf numFmtId="0" fontId="4" fillId="36" borderId="11" xfId="0" applyFont="1" applyFill="1" applyBorder="1" applyAlignment="1"/>
    <xf numFmtId="190" fontId="4" fillId="2" borderId="9" xfId="0" applyNumberFormat="1" applyFont="1" applyFill="1" applyBorder="1" applyAlignment="1"/>
    <xf numFmtId="187" fontId="6" fillId="0" borderId="11" xfId="0" applyNumberFormat="1" applyFont="1" applyBorder="1" applyAlignment="1">
      <alignment horizontal="center" wrapText="1"/>
    </xf>
    <xf numFmtId="190" fontId="9" fillId="2" borderId="9" xfId="0" applyNumberFormat="1" applyFont="1" applyFill="1" applyBorder="1" applyAlignment="1"/>
    <xf numFmtId="0" fontId="9" fillId="2" borderId="10" xfId="0" applyFont="1" applyFill="1" applyBorder="1" applyAlignment="1"/>
    <xf numFmtId="0" fontId="9" fillId="0" borderId="10" xfId="0" applyFont="1" applyBorder="1" applyAlignment="1"/>
    <xf numFmtId="0" fontId="9" fillId="2" borderId="10" xfId="0" applyFont="1" applyFill="1" applyBorder="1" applyAlignment="1"/>
    <xf numFmtId="0" fontId="9" fillId="2" borderId="11" xfId="0" applyFont="1" applyFill="1" applyBorder="1" applyAlignment="1"/>
    <xf numFmtId="0" fontId="9" fillId="0" borderId="0" xfId="0" applyFont="1" applyAlignment="1"/>
    <xf numFmtId="187" fontId="9" fillId="2" borderId="10" xfId="0" applyNumberFormat="1" applyFont="1" applyFill="1" applyBorder="1" applyAlignment="1"/>
    <xf numFmtId="0" fontId="53" fillId="2" borderId="10" xfId="0" applyFont="1" applyFill="1" applyBorder="1" applyAlignment="1"/>
    <xf numFmtId="187" fontId="9" fillId="2" borderId="10" xfId="0" applyNumberFormat="1" applyFont="1" applyFill="1" applyBorder="1" applyAlignment="1"/>
    <xf numFmtId="187" fontId="4" fillId="0" borderId="9" xfId="0" applyNumberFormat="1" applyFont="1" applyBorder="1" applyAlignment="1"/>
    <xf numFmtId="187" fontId="4" fillId="0" borderId="10" xfId="0" applyNumberFormat="1" applyFont="1" applyBorder="1" applyAlignment="1"/>
    <xf numFmtId="187" fontId="54" fillId="21" borderId="10" xfId="0" applyNumberFormat="1" applyFont="1" applyFill="1" applyBorder="1" applyAlignment="1"/>
    <xf numFmtId="187" fontId="4" fillId="21" borderId="10" xfId="0" applyNumberFormat="1" applyFont="1" applyFill="1" applyBorder="1" applyAlignment="1"/>
    <xf numFmtId="0" fontId="4" fillId="21" borderId="10" xfId="0" applyFont="1" applyFill="1" applyBorder="1" applyAlignment="1"/>
    <xf numFmtId="0" fontId="4" fillId="21" borderId="11" xfId="0" applyFont="1" applyFill="1" applyBorder="1" applyAlignment="1"/>
    <xf numFmtId="187" fontId="9" fillId="0" borderId="9" xfId="0" applyNumberFormat="1" applyFont="1" applyBorder="1" applyAlignment="1"/>
    <xf numFmtId="187" fontId="9" fillId="0" borderId="10" xfId="0" applyNumberFormat="1" applyFont="1" applyBorder="1" applyAlignment="1"/>
    <xf numFmtId="187" fontId="9" fillId="0" borderId="10" xfId="0" applyNumberFormat="1" applyFont="1" applyBorder="1" applyAlignment="1"/>
    <xf numFmtId="0" fontId="9" fillId="0" borderId="11" xfId="0" applyFont="1" applyBorder="1" applyAlignment="1"/>
    <xf numFmtId="0" fontId="9" fillId="0" borderId="11" xfId="0" applyFont="1" applyBorder="1" applyAlignment="1">
      <alignment horizontal="center"/>
    </xf>
    <xf numFmtId="189" fontId="9" fillId="2" borderId="11" xfId="0" applyNumberFormat="1" applyFont="1" applyFill="1" applyBorder="1" applyAlignment="1"/>
    <xf numFmtId="187" fontId="4" fillId="0" borderId="10" xfId="0" applyNumberFormat="1" applyFont="1" applyBorder="1" applyAlignment="1"/>
    <xf numFmtId="0" fontId="4" fillId="0" borderId="10" xfId="0" applyFont="1" applyBorder="1" applyAlignment="1"/>
    <xf numFmtId="0" fontId="55" fillId="2" borderId="11" xfId="0" applyFont="1" applyFill="1" applyBorder="1" applyAlignment="1"/>
    <xf numFmtId="187" fontId="56" fillId="21" borderId="10" xfId="0" quotePrefix="1" applyNumberFormat="1" applyFont="1" applyFill="1" applyBorder="1" applyAlignment="1"/>
    <xf numFmtId="187" fontId="6" fillId="0" borderId="10" xfId="0" applyNumberFormat="1" applyFont="1" applyBorder="1" applyAlignment="1"/>
    <xf numFmtId="0" fontId="4" fillId="2" borderId="11" xfId="0" applyFont="1" applyFill="1" applyBorder="1" applyAlignment="1">
      <alignment horizontal="center"/>
    </xf>
    <xf numFmtId="0" fontId="4" fillId="0" borderId="10" xfId="0" applyFont="1" applyBorder="1" applyAlignment="1"/>
    <xf numFmtId="187" fontId="6" fillId="0" borderId="10" xfId="0" applyNumberFormat="1" applyFont="1" applyBorder="1" applyAlignment="1"/>
    <xf numFmtId="0" fontId="4" fillId="0" borderId="10" xfId="0" applyFont="1" applyBorder="1" applyAlignment="1"/>
    <xf numFmtId="187" fontId="26" fillId="36" borderId="13" xfId="0" applyNumberFormat="1" applyFont="1" applyFill="1" applyBorder="1" applyAlignment="1">
      <alignment horizontal="right"/>
    </xf>
    <xf numFmtId="187" fontId="26" fillId="36" borderId="13" xfId="0" applyNumberFormat="1" applyFont="1" applyFill="1" applyBorder="1" applyAlignment="1"/>
    <xf numFmtId="187" fontId="9" fillId="36" borderId="13" xfId="0" applyNumberFormat="1" applyFont="1" applyFill="1" applyBorder="1" applyAlignment="1"/>
    <xf numFmtId="0" fontId="9" fillId="36" borderId="13" xfId="0" applyFont="1" applyFill="1" applyBorder="1" applyAlignment="1"/>
    <xf numFmtId="0" fontId="9" fillId="36" borderId="14" xfId="0" applyFont="1" applyFill="1" applyBorder="1" applyAlignment="1"/>
    <xf numFmtId="0" fontId="26" fillId="36" borderId="14" xfId="0" applyFont="1" applyFill="1" applyBorder="1" applyAlignment="1">
      <alignment horizontal="center"/>
    </xf>
    <xf numFmtId="189" fontId="26" fillId="36" borderId="14" xfId="0" applyNumberFormat="1" applyFont="1" applyFill="1" applyBorder="1" applyAlignment="1"/>
    <xf numFmtId="188" fontId="26" fillId="36" borderId="14" xfId="0" applyNumberFormat="1" applyFont="1" applyFill="1" applyBorder="1" applyAlignment="1"/>
    <xf numFmtId="188" fontId="9" fillId="36" borderId="14" xfId="0" applyNumberFormat="1" applyFont="1" applyFill="1" applyBorder="1" applyAlignment="1"/>
    <xf numFmtId="0" fontId="9" fillId="36" borderId="9" xfId="0" applyFont="1" applyFill="1" applyBorder="1" applyAlignment="1"/>
    <xf numFmtId="187" fontId="9" fillId="36" borderId="10" xfId="0" applyNumberFormat="1" applyFont="1" applyFill="1" applyBorder="1" applyAlignment="1"/>
    <xf numFmtId="187" fontId="9" fillId="36" borderId="10" xfId="0" applyNumberFormat="1" applyFont="1" applyFill="1" applyBorder="1" applyAlignment="1"/>
    <xf numFmtId="0" fontId="9" fillId="36" borderId="10" xfId="0" applyFont="1" applyFill="1" applyBorder="1" applyAlignment="1"/>
    <xf numFmtId="0" fontId="9" fillId="36" borderId="11" xfId="0" applyFont="1" applyFill="1" applyBorder="1" applyAlignment="1"/>
    <xf numFmtId="0" fontId="26" fillId="36" borderId="11" xfId="0" applyFont="1" applyFill="1" applyBorder="1" applyAlignment="1">
      <alignment horizontal="center"/>
    </xf>
    <xf numFmtId="189" fontId="26" fillId="36" borderId="11" xfId="0" applyNumberFormat="1" applyFont="1" applyFill="1" applyBorder="1" applyAlignment="1"/>
    <xf numFmtId="188" fontId="26" fillId="36" borderId="11" xfId="0" applyNumberFormat="1" applyFont="1" applyFill="1" applyBorder="1" applyAlignment="1"/>
    <xf numFmtId="188" fontId="9" fillId="36" borderId="11" xfId="0" applyNumberFormat="1" applyFont="1" applyFill="1" applyBorder="1" applyAlignment="1"/>
    <xf numFmtId="0" fontId="57" fillId="2" borderId="10" xfId="0" applyFont="1" applyFill="1" applyBorder="1" applyAlignment="1"/>
    <xf numFmtId="187" fontId="26" fillId="0" borderId="11" xfId="0" applyNumberFormat="1" applyFont="1" applyBorder="1" applyAlignment="1">
      <alignment horizontal="center" wrapText="1"/>
    </xf>
    <xf numFmtId="188" fontId="26" fillId="2" borderId="11" xfId="0" applyNumberFormat="1" applyFont="1" applyFill="1" applyBorder="1" applyAlignment="1"/>
    <xf numFmtId="0" fontId="58" fillId="2" borderId="10" xfId="0" applyFont="1" applyFill="1" applyBorder="1" applyAlignment="1"/>
    <xf numFmtId="187" fontId="9" fillId="2" borderId="9" xfId="0" applyNumberFormat="1" applyFont="1" applyFill="1" applyBorder="1" applyAlignment="1"/>
    <xf numFmtId="0" fontId="59" fillId="21" borderId="10" xfId="0" quotePrefix="1" applyFont="1" applyFill="1" applyBorder="1" applyAlignment="1"/>
    <xf numFmtId="0" fontId="9" fillId="21" borderId="10" xfId="0" applyFont="1" applyFill="1" applyBorder="1" applyAlignment="1"/>
    <xf numFmtId="0" fontId="9" fillId="21" borderId="11" xfId="0" applyFont="1" applyFill="1" applyBorder="1" applyAlignment="1"/>
    <xf numFmtId="0" fontId="9" fillId="0" borderId="11" xfId="0" applyFont="1" applyBorder="1" applyAlignment="1">
      <alignment horizontal="center" wrapText="1"/>
    </xf>
    <xf numFmtId="0" fontId="26" fillId="0" borderId="11" xfId="0" applyFont="1" applyBorder="1" applyAlignment="1">
      <alignment horizontal="center" wrapText="1"/>
    </xf>
    <xf numFmtId="189" fontId="26" fillId="2" borderId="11" xfId="0" applyNumberFormat="1" applyFont="1" applyFill="1" applyBorder="1" applyAlignment="1"/>
    <xf numFmtId="188" fontId="26" fillId="0" borderId="11" xfId="0" applyNumberFormat="1" applyFont="1" applyBorder="1" applyAlignment="1"/>
    <xf numFmtId="0" fontId="1" fillId="37" borderId="9" xfId="0" applyFont="1" applyFill="1" applyBorder="1" applyAlignment="1"/>
    <xf numFmtId="187" fontId="2" fillId="37" borderId="10" xfId="0" applyNumberFormat="1" applyFont="1" applyFill="1" applyBorder="1" applyAlignment="1"/>
    <xf numFmtId="0" fontId="2" fillId="37" borderId="10" xfId="0" applyFont="1" applyFill="1" applyBorder="1" applyAlignment="1"/>
    <xf numFmtId="0" fontId="2" fillId="37" borderId="11" xfId="0" applyFont="1" applyFill="1" applyBorder="1" applyAlignment="1"/>
    <xf numFmtId="0" fontId="4" fillId="37" borderId="11" xfId="0" applyFont="1" applyFill="1" applyBorder="1" applyAlignment="1"/>
    <xf numFmtId="189" fontId="4" fillId="37" borderId="11" xfId="0" applyNumberFormat="1" applyFont="1" applyFill="1" applyBorder="1" applyAlignment="1"/>
    <xf numFmtId="188" fontId="4" fillId="37" borderId="11" xfId="0" applyNumberFormat="1" applyFont="1" applyFill="1" applyBorder="1" applyAlignment="1"/>
    <xf numFmtId="187" fontId="6" fillId="38" borderId="13" xfId="0" applyNumberFormat="1" applyFont="1" applyFill="1" applyBorder="1" applyAlignment="1">
      <alignment horizontal="right"/>
    </xf>
    <xf numFmtId="187" fontId="6" fillId="38" borderId="13" xfId="0" applyNumberFormat="1" applyFont="1" applyFill="1" applyBorder="1" applyAlignment="1"/>
    <xf numFmtId="187" fontId="4" fillId="38" borderId="13" xfId="0" applyNumberFormat="1" applyFont="1" applyFill="1" applyBorder="1" applyAlignment="1"/>
    <xf numFmtId="0" fontId="4" fillId="38" borderId="13" xfId="0" applyFont="1" applyFill="1" applyBorder="1" applyAlignment="1"/>
    <xf numFmtId="0" fontId="4" fillId="38" borderId="14" xfId="0" applyFont="1" applyFill="1" applyBorder="1" applyAlignment="1"/>
    <xf numFmtId="189" fontId="4" fillId="38" borderId="14" xfId="0" applyNumberFormat="1" applyFont="1" applyFill="1" applyBorder="1" applyAlignment="1"/>
    <xf numFmtId="188" fontId="4" fillId="38" borderId="14" xfId="0" applyNumberFormat="1" applyFont="1" applyFill="1" applyBorder="1" applyAlignment="1"/>
    <xf numFmtId="190" fontId="4" fillId="39" borderId="9" xfId="0" applyNumberFormat="1" applyFont="1" applyFill="1" applyBorder="1" applyAlignment="1"/>
    <xf numFmtId="0" fontId="6" fillId="39" borderId="10" xfId="0" applyFont="1" applyFill="1" applyBorder="1" applyAlignment="1"/>
    <xf numFmtId="0" fontId="4" fillId="39" borderId="10" xfId="0" applyFont="1" applyFill="1" applyBorder="1" applyAlignment="1"/>
    <xf numFmtId="0" fontId="4" fillId="39" borderId="11" xfId="0" applyFont="1" applyFill="1" applyBorder="1" applyAlignment="1"/>
    <xf numFmtId="187" fontId="6" fillId="39" borderId="11" xfId="0" applyNumberFormat="1" applyFont="1" applyFill="1" applyBorder="1" applyAlignment="1">
      <alignment horizontal="center"/>
    </xf>
    <xf numFmtId="189" fontId="6" fillId="39" borderId="11" xfId="0" applyNumberFormat="1" applyFont="1" applyFill="1" applyBorder="1" applyAlignment="1"/>
    <xf numFmtId="188" fontId="6" fillId="39" borderId="11" xfId="0" applyNumberFormat="1" applyFont="1" applyFill="1" applyBorder="1" applyAlignment="1"/>
    <xf numFmtId="188" fontId="4" fillId="39" borderId="11" xfId="0" applyNumberFormat="1" applyFont="1" applyFill="1" applyBorder="1" applyAlignment="1"/>
    <xf numFmtId="0" fontId="60" fillId="21" borderId="10" xfId="0" quotePrefix="1" applyFont="1" applyFill="1" applyBorder="1" applyAlignment="1"/>
    <xf numFmtId="0" fontId="4" fillId="2" borderId="10" xfId="0" applyFont="1" applyFill="1" applyBorder="1" applyAlignment="1"/>
    <xf numFmtId="189" fontId="6" fillId="2" borderId="11" xfId="0" applyNumberFormat="1" applyFont="1" applyFill="1" applyBorder="1" applyAlignment="1"/>
    <xf numFmtId="0" fontId="4" fillId="2" borderId="0" xfId="0" applyFont="1" applyFill="1" applyAlignment="1"/>
    <xf numFmtId="0" fontId="4" fillId="2" borderId="10" xfId="0" applyFont="1" applyFill="1" applyBorder="1" applyAlignment="1"/>
    <xf numFmtId="0" fontId="61" fillId="2" borderId="10" xfId="0" applyFont="1" applyFill="1" applyBorder="1" applyAlignment="1"/>
    <xf numFmtId="0" fontId="6" fillId="38" borderId="13" xfId="0" applyFont="1" applyFill="1" applyBorder="1" applyAlignment="1"/>
    <xf numFmtId="0" fontId="6" fillId="38" borderId="14" xfId="0" applyFont="1" applyFill="1" applyBorder="1" applyAlignment="1">
      <alignment horizontal="center"/>
    </xf>
    <xf numFmtId="189" fontId="6" fillId="38" borderId="14" xfId="0" applyNumberFormat="1" applyFont="1" applyFill="1" applyBorder="1" applyAlignment="1"/>
    <xf numFmtId="188" fontId="6" fillId="38" borderId="14" xfId="0" applyNumberFormat="1" applyFont="1" applyFill="1" applyBorder="1" applyAlignment="1"/>
    <xf numFmtId="190" fontId="4" fillId="2" borderId="12" xfId="0" applyNumberFormat="1" applyFont="1" applyFill="1" applyBorder="1" applyAlignment="1"/>
    <xf numFmtId="0" fontId="4" fillId="2" borderId="13" xfId="0" applyFont="1" applyFill="1" applyBorder="1" applyAlignment="1"/>
    <xf numFmtId="0" fontId="4" fillId="2" borderId="14" xfId="0" applyFont="1" applyFill="1" applyBorder="1" applyAlignment="1"/>
    <xf numFmtId="187" fontId="4" fillId="39" borderId="9" xfId="0" applyNumberFormat="1" applyFont="1" applyFill="1" applyBorder="1" applyAlignment="1"/>
    <xf numFmtId="187" fontId="6" fillId="39" borderId="10" xfId="0" applyNumberFormat="1" applyFont="1" applyFill="1" applyBorder="1" applyAlignment="1"/>
    <xf numFmtId="187" fontId="4" fillId="39" borderId="10" xfId="0" applyNumberFormat="1" applyFont="1" applyFill="1" applyBorder="1" applyAlignment="1"/>
    <xf numFmtId="0" fontId="6" fillId="39" borderId="11" xfId="0" applyFont="1" applyFill="1" applyBorder="1" applyAlignment="1">
      <alignment horizontal="center" wrapText="1"/>
    </xf>
    <xf numFmtId="187" fontId="4" fillId="0" borderId="2" xfId="0" applyNumberFormat="1" applyFont="1" applyBorder="1" applyAlignment="1"/>
    <xf numFmtId="187" fontId="4" fillId="0" borderId="0" xfId="0" applyNumberFormat="1" applyFont="1" applyAlignment="1"/>
    <xf numFmtId="0" fontId="4" fillId="0" borderId="3" xfId="0" applyFont="1" applyBorder="1" applyAlignment="1"/>
    <xf numFmtId="0" fontId="4" fillId="0" borderId="3" xfId="0" applyFont="1" applyBorder="1" applyAlignment="1">
      <alignment horizontal="center"/>
    </xf>
    <xf numFmtId="189" fontId="4" fillId="0" borderId="3" xfId="0" applyNumberFormat="1" applyFont="1" applyBorder="1" applyAlignment="1"/>
    <xf numFmtId="189" fontId="4" fillId="10" borderId="3" xfId="0" applyNumberFormat="1" applyFont="1" applyFill="1" applyBorder="1" applyAlignment="1"/>
    <xf numFmtId="188" fontId="4" fillId="0" borderId="3" xfId="0" applyNumberFormat="1" applyFont="1" applyBorder="1" applyAlignment="1"/>
    <xf numFmtId="187" fontId="4" fillId="0" borderId="10" xfId="0" quotePrefix="1" applyNumberFormat="1" applyFont="1" applyBorder="1" applyAlignment="1"/>
    <xf numFmtId="187" fontId="63" fillId="39" borderId="10" xfId="0" applyNumberFormat="1" applyFont="1" applyFill="1" applyBorder="1" applyAlignment="1"/>
    <xf numFmtId="0" fontId="6" fillId="39" borderId="11" xfId="0" applyFont="1" applyFill="1" applyBorder="1" applyAlignment="1">
      <alignment horizontal="center"/>
    </xf>
    <xf numFmtId="189" fontId="6" fillId="39" borderId="11" xfId="0" applyNumberFormat="1" applyFont="1" applyFill="1" applyBorder="1" applyAlignment="1"/>
    <xf numFmtId="187" fontId="9" fillId="40" borderId="9" xfId="0" applyNumberFormat="1" applyFont="1" applyFill="1" applyBorder="1" applyAlignment="1"/>
    <xf numFmtId="187" fontId="9" fillId="40" borderId="10" xfId="0" applyNumberFormat="1" applyFont="1" applyFill="1" applyBorder="1" applyAlignment="1"/>
    <xf numFmtId="187" fontId="26" fillId="40" borderId="10" xfId="0" applyNumberFormat="1" applyFont="1" applyFill="1" applyBorder="1" applyAlignment="1"/>
    <xf numFmtId="0" fontId="9" fillId="40" borderId="10" xfId="0" applyFont="1" applyFill="1" applyBorder="1" applyAlignment="1"/>
    <xf numFmtId="0" fontId="9" fillId="40" borderId="11" xfId="0" applyFont="1" applyFill="1" applyBorder="1" applyAlignment="1"/>
    <xf numFmtId="0" fontId="26" fillId="40" borderId="11" xfId="0" applyFont="1" applyFill="1" applyBorder="1" applyAlignment="1">
      <alignment horizontal="center"/>
    </xf>
    <xf numFmtId="189" fontId="26" fillId="40" borderId="11" xfId="0" applyNumberFormat="1" applyFont="1" applyFill="1" applyBorder="1" applyAlignment="1"/>
    <xf numFmtId="189" fontId="26" fillId="40" borderId="11" xfId="0" applyNumberFormat="1" applyFont="1" applyFill="1" applyBorder="1" applyAlignment="1"/>
    <xf numFmtId="188" fontId="26" fillId="40" borderId="11" xfId="0" applyNumberFormat="1" applyFont="1" applyFill="1" applyBorder="1" applyAlignment="1"/>
    <xf numFmtId="188" fontId="9" fillId="40" borderId="11" xfId="0" applyNumberFormat="1" applyFont="1" applyFill="1" applyBorder="1" applyAlignment="1"/>
    <xf numFmtId="187" fontId="9" fillId="40" borderId="10" xfId="0" applyNumberFormat="1" applyFont="1" applyFill="1" applyBorder="1" applyAlignment="1"/>
    <xf numFmtId="0" fontId="9" fillId="0" borderId="10" xfId="0" applyFont="1" applyBorder="1" applyAlignment="1"/>
    <xf numFmtId="0" fontId="9" fillId="0" borderId="10" xfId="0" quotePrefix="1" applyFont="1" applyBorder="1" applyAlignment="1"/>
    <xf numFmtId="187" fontId="4" fillId="40" borderId="9" xfId="0" applyNumberFormat="1" applyFont="1" applyFill="1" applyBorder="1" applyAlignment="1"/>
    <xf numFmtId="187" fontId="4" fillId="40" borderId="10" xfId="0" applyNumberFormat="1" applyFont="1" applyFill="1" applyBorder="1" applyAlignment="1"/>
    <xf numFmtId="187" fontId="6" fillId="40" borderId="10" xfId="0" applyNumberFormat="1" applyFont="1" applyFill="1" applyBorder="1" applyAlignment="1"/>
    <xf numFmtId="0" fontId="4" fillId="40" borderId="10" xfId="0" applyFont="1" applyFill="1" applyBorder="1" applyAlignment="1"/>
    <xf numFmtId="0" fontId="4" fillId="40" borderId="11" xfId="0" applyFont="1" applyFill="1" applyBorder="1" applyAlignment="1"/>
    <xf numFmtId="0" fontId="6" fillId="40" borderId="11" xfId="0" applyFont="1" applyFill="1" applyBorder="1" applyAlignment="1">
      <alignment horizontal="center"/>
    </xf>
    <xf numFmtId="189" fontId="6" fillId="40" borderId="11" xfId="0" applyNumberFormat="1" applyFont="1" applyFill="1" applyBorder="1" applyAlignment="1"/>
    <xf numFmtId="188" fontId="6" fillId="40" borderId="11" xfId="0" applyNumberFormat="1" applyFont="1" applyFill="1" applyBorder="1" applyAlignment="1"/>
    <xf numFmtId="188" fontId="4" fillId="40" borderId="11" xfId="0" applyNumberFormat="1" applyFont="1" applyFill="1" applyBorder="1" applyAlignment="1"/>
    <xf numFmtId="187" fontId="4" fillId="40" borderId="10" xfId="0" applyNumberFormat="1" applyFont="1" applyFill="1" applyBorder="1" applyAlignment="1"/>
    <xf numFmtId="187" fontId="4" fillId="0" borderId="5" xfId="0" applyNumberFormat="1" applyFont="1" applyBorder="1" applyAlignment="1"/>
    <xf numFmtId="187" fontId="4" fillId="0" borderId="1" xfId="0" applyNumberFormat="1" applyFont="1" applyBorder="1" applyAlignment="1"/>
    <xf numFmtId="0" fontId="4" fillId="0" borderId="1" xfId="0" applyFont="1" applyBorder="1" applyAlignment="1"/>
    <xf numFmtId="0" fontId="4" fillId="0" borderId="4" xfId="0" applyFont="1" applyBorder="1" applyAlignment="1"/>
    <xf numFmtId="187" fontId="6" fillId="38" borderId="7" xfId="0" applyNumberFormat="1" applyFont="1" applyFill="1" applyBorder="1" applyAlignment="1">
      <alignment horizontal="right"/>
    </xf>
    <xf numFmtId="0" fontId="6" fillId="38" borderId="7" xfId="0" applyFont="1" applyFill="1" applyBorder="1" applyAlignment="1"/>
    <xf numFmtId="0" fontId="4" fillId="38" borderId="7" xfId="0" applyFont="1" applyFill="1" applyBorder="1" applyAlignment="1"/>
    <xf numFmtId="0" fontId="4" fillId="38" borderId="8" xfId="0" applyFont="1" applyFill="1" applyBorder="1" applyAlignment="1"/>
    <xf numFmtId="0" fontId="4" fillId="38" borderId="8" xfId="0" applyFont="1" applyFill="1" applyBorder="1" applyAlignment="1">
      <alignment horizontal="center"/>
    </xf>
    <xf numFmtId="189" fontId="6" fillId="38" borderId="8" xfId="0" applyNumberFormat="1" applyFont="1" applyFill="1" applyBorder="1" applyAlignment="1"/>
    <xf numFmtId="188" fontId="6" fillId="38" borderId="8" xfId="0" applyNumberFormat="1" applyFont="1" applyFill="1" applyBorder="1" applyAlignment="1"/>
    <xf numFmtId="188" fontId="4" fillId="38" borderId="8" xfId="0" applyNumberFormat="1" applyFont="1" applyFill="1" applyBorder="1" applyAlignment="1"/>
    <xf numFmtId="0" fontId="4" fillId="2" borderId="9" xfId="0" applyFont="1" applyFill="1" applyBorder="1" applyAlignment="1"/>
    <xf numFmtId="0" fontId="4" fillId="0" borderId="10" xfId="0" quotePrefix="1" applyFont="1" applyBorder="1" applyAlignment="1"/>
    <xf numFmtId="0" fontId="4" fillId="0" borderId="10" xfId="0" quotePrefix="1" applyFont="1" applyBorder="1" applyAlignment="1"/>
    <xf numFmtId="0" fontId="4" fillId="2" borderId="5" xfId="0" applyFont="1" applyFill="1" applyBorder="1" applyAlignment="1"/>
    <xf numFmtId="187" fontId="4" fillId="2" borderId="1" xfId="0" applyNumberFormat="1" applyFont="1" applyFill="1" applyBorder="1" applyAlignment="1"/>
    <xf numFmtId="0" fontId="4" fillId="2" borderId="1" xfId="0" applyFont="1" applyFill="1" applyBorder="1" applyAlignment="1"/>
    <xf numFmtId="0" fontId="6" fillId="38" borderId="7" xfId="0" applyFont="1" applyFill="1" applyBorder="1" applyAlignment="1">
      <alignment horizontal="right"/>
    </xf>
    <xf numFmtId="189" fontId="4" fillId="38" borderId="8" xfId="0" applyNumberFormat="1" applyFont="1" applyFill="1" applyBorder="1" applyAlignment="1"/>
    <xf numFmtId="0" fontId="6" fillId="0" borderId="11" xfId="0" applyFont="1" applyBorder="1" applyAlignment="1">
      <alignment horizontal="center"/>
    </xf>
    <xf numFmtId="0" fontId="4" fillId="39" borderId="13" xfId="0" applyFont="1" applyFill="1" applyBorder="1" applyAlignment="1"/>
    <xf numFmtId="0" fontId="6" fillId="39" borderId="13" xfId="0" applyFont="1" applyFill="1" applyBorder="1" applyAlignment="1"/>
    <xf numFmtId="0" fontId="4" fillId="39" borderId="14" xfId="0" applyFont="1" applyFill="1" applyBorder="1" applyAlignment="1"/>
    <xf numFmtId="189" fontId="4" fillId="39" borderId="14" xfId="0" applyNumberFormat="1" applyFont="1" applyFill="1" applyBorder="1" applyAlignment="1"/>
    <xf numFmtId="188" fontId="4" fillId="39" borderId="14" xfId="0" applyNumberFormat="1" applyFont="1" applyFill="1" applyBorder="1" applyAlignment="1"/>
    <xf numFmtId="0" fontId="64" fillId="2" borderId="10" xfId="0" applyFont="1" applyFill="1" applyBorder="1" applyAlignment="1"/>
    <xf numFmtId="0" fontId="9" fillId="2" borderId="10" xfId="0" applyFont="1" applyFill="1" applyBorder="1" applyAlignment="1"/>
    <xf numFmtId="0" fontId="65" fillId="21" borderId="10" xfId="0" applyFont="1" applyFill="1" applyBorder="1" applyAlignment="1"/>
    <xf numFmtId="0" fontId="4" fillId="21" borderId="10" xfId="0" applyFont="1" applyFill="1" applyBorder="1" applyAlignment="1"/>
    <xf numFmtId="0" fontId="4" fillId="0" borderId="11" xfId="0" applyFont="1" applyBorder="1" applyAlignment="1"/>
    <xf numFmtId="0" fontId="4" fillId="2" borderId="10" xfId="0" applyFont="1" applyFill="1" applyBorder="1" applyAlignment="1"/>
    <xf numFmtId="0" fontId="4" fillId="0" borderId="11" xfId="0" applyFont="1" applyBorder="1" applyAlignment="1">
      <alignment horizontal="center"/>
    </xf>
    <xf numFmtId="187" fontId="4" fillId="2" borderId="11" xfId="0" applyNumberFormat="1" applyFont="1" applyFill="1" applyBorder="1" applyAlignment="1"/>
    <xf numFmtId="191" fontId="4" fillId="2" borderId="11" xfId="0" applyNumberFormat="1" applyFont="1" applyFill="1" applyBorder="1" applyAlignment="1"/>
    <xf numFmtId="0" fontId="6" fillId="0" borderId="11" xfId="0" applyFont="1" applyBorder="1" applyAlignment="1">
      <alignment horizontal="center"/>
    </xf>
    <xf numFmtId="187" fontId="6" fillId="2" borderId="11" xfId="0" applyNumberFormat="1" applyFont="1" applyFill="1" applyBorder="1" applyAlignment="1"/>
    <xf numFmtId="0" fontId="61" fillId="2" borderId="10" xfId="0" applyFont="1" applyFill="1" applyBorder="1" applyAlignment="1"/>
    <xf numFmtId="0" fontId="4" fillId="0" borderId="5" xfId="0" applyFont="1" applyBorder="1" applyAlignment="1"/>
    <xf numFmtId="0" fontId="66" fillId="0" borderId="1" xfId="0" applyFont="1" applyBorder="1" applyAlignment="1"/>
    <xf numFmtId="187" fontId="4" fillId="2" borderId="4" xfId="0" applyNumberFormat="1" applyFont="1" applyFill="1" applyBorder="1" applyAlignment="1"/>
    <xf numFmtId="191" fontId="4" fillId="2" borderId="4" xfId="0" applyNumberFormat="1" applyFont="1" applyFill="1" applyBorder="1" applyAlignment="1"/>
    <xf numFmtId="0" fontId="26" fillId="38" borderId="7" xfId="0" applyFont="1" applyFill="1" applyBorder="1" applyAlignment="1">
      <alignment horizontal="right"/>
    </xf>
    <xf numFmtId="0" fontId="26" fillId="38" borderId="7" xfId="0" applyFont="1" applyFill="1" applyBorder="1" applyAlignment="1"/>
    <xf numFmtId="0" fontId="9" fillId="38" borderId="7" xfId="0" applyFont="1" applyFill="1" applyBorder="1" applyAlignment="1"/>
    <xf numFmtId="0" fontId="9" fillId="38" borderId="8" xfId="0" applyFont="1" applyFill="1" applyBorder="1" applyAlignment="1"/>
    <xf numFmtId="0" fontId="26" fillId="38" borderId="8" xfId="0" applyFont="1" applyFill="1" applyBorder="1" applyAlignment="1">
      <alignment horizontal="center"/>
    </xf>
    <xf numFmtId="189" fontId="9" fillId="38" borderId="8" xfId="0" applyNumberFormat="1" applyFont="1" applyFill="1" applyBorder="1" applyAlignment="1"/>
    <xf numFmtId="188" fontId="26" fillId="38" borderId="8" xfId="0" applyNumberFormat="1" applyFont="1" applyFill="1" applyBorder="1" applyAlignment="1"/>
    <xf numFmtId="188" fontId="9" fillId="38" borderId="8" xfId="0" applyNumberFormat="1" applyFont="1" applyFill="1" applyBorder="1" applyAlignment="1"/>
    <xf numFmtId="0" fontId="67" fillId="2" borderId="10" xfId="0" applyFont="1" applyFill="1" applyBorder="1" applyAlignment="1"/>
    <xf numFmtId="187" fontId="26" fillId="0" borderId="11" xfId="0" applyNumberFormat="1" applyFont="1" applyBorder="1" applyAlignment="1">
      <alignment horizontal="center"/>
    </xf>
    <xf numFmtId="0" fontId="68" fillId="21" borderId="10" xfId="0" applyFont="1" applyFill="1" applyBorder="1" applyAlignment="1"/>
    <xf numFmtId="0" fontId="26" fillId="38" borderId="13" xfId="0" applyFont="1" applyFill="1" applyBorder="1" applyAlignment="1">
      <alignment horizontal="right"/>
    </xf>
    <xf numFmtId="0" fontId="26" fillId="38" borderId="13" xfId="0" applyFont="1" applyFill="1" applyBorder="1" applyAlignment="1"/>
    <xf numFmtId="0" fontId="9" fillId="38" borderId="13" xfId="0" applyFont="1" applyFill="1" applyBorder="1" applyAlignment="1"/>
    <xf numFmtId="0" fontId="9" fillId="38" borderId="14" xfId="0" applyFont="1" applyFill="1" applyBorder="1" applyAlignment="1"/>
    <xf numFmtId="0" fontId="26" fillId="38" borderId="14" xfId="0" applyFont="1" applyFill="1" applyBorder="1" applyAlignment="1">
      <alignment horizontal="center"/>
    </xf>
    <xf numFmtId="189" fontId="9" fillId="38" borderId="14" xfId="0" applyNumberFormat="1" applyFont="1" applyFill="1" applyBorder="1" applyAlignment="1"/>
    <xf numFmtId="188" fontId="26" fillId="38" borderId="14" xfId="0" applyNumberFormat="1" applyFont="1" applyFill="1" applyBorder="1" applyAlignment="1"/>
    <xf numFmtId="188" fontId="9" fillId="38" borderId="14" xfId="0" applyNumberFormat="1" applyFont="1" applyFill="1" applyBorder="1" applyAlignment="1"/>
    <xf numFmtId="0" fontId="26" fillId="38" borderId="10" xfId="0" applyFont="1" applyFill="1" applyBorder="1" applyAlignment="1">
      <alignment horizontal="right"/>
    </xf>
    <xf numFmtId="0" fontId="26" fillId="38" borderId="10" xfId="0" applyFont="1" applyFill="1" applyBorder="1" applyAlignment="1"/>
    <xf numFmtId="0" fontId="9" fillId="38" borderId="10" xfId="0" applyFont="1" applyFill="1" applyBorder="1" applyAlignment="1"/>
    <xf numFmtId="0" fontId="9" fillId="38" borderId="11" xfId="0" applyFont="1" applyFill="1" applyBorder="1" applyAlignment="1"/>
    <xf numFmtId="0" fontId="26" fillId="38" borderId="11" xfId="0" applyFont="1" applyFill="1" applyBorder="1" applyAlignment="1">
      <alignment horizontal="center"/>
    </xf>
    <xf numFmtId="189" fontId="9" fillId="38" borderId="11" xfId="0" applyNumberFormat="1" applyFont="1" applyFill="1" applyBorder="1" applyAlignment="1"/>
    <xf numFmtId="188" fontId="26" fillId="38" borderId="11" xfId="0" applyNumberFormat="1" applyFont="1" applyFill="1" applyBorder="1" applyAlignment="1"/>
    <xf numFmtId="188" fontId="9" fillId="38" borderId="11" xfId="0" applyNumberFormat="1" applyFont="1" applyFill="1" applyBorder="1" applyAlignment="1"/>
    <xf numFmtId="187" fontId="9" fillId="0" borderId="11" xfId="0" applyNumberFormat="1" applyFont="1" applyBorder="1" applyAlignment="1"/>
    <xf numFmtId="0" fontId="31" fillId="38" borderId="10" xfId="0" applyFont="1" applyFill="1" applyBorder="1" applyAlignment="1">
      <alignment horizontal="right"/>
    </xf>
    <xf numFmtId="187" fontId="63" fillId="38" borderId="10" xfId="0" applyNumberFormat="1" applyFont="1" applyFill="1" applyBorder="1" applyAlignment="1"/>
    <xf numFmtId="0" fontId="4" fillId="38" borderId="10" xfId="0" applyFont="1" applyFill="1" applyBorder="1" applyAlignment="1"/>
    <xf numFmtId="0" fontId="4" fillId="38" borderId="11" xfId="0" applyFont="1" applyFill="1" applyBorder="1" applyAlignment="1"/>
    <xf numFmtId="187" fontId="6" fillId="38" borderId="11" xfId="0" applyNumberFormat="1" applyFont="1" applyFill="1" applyBorder="1" applyAlignment="1">
      <alignment horizontal="center"/>
    </xf>
    <xf numFmtId="189" fontId="6" fillId="38" borderId="11" xfId="0" applyNumberFormat="1" applyFont="1" applyFill="1" applyBorder="1" applyAlignment="1"/>
    <xf numFmtId="188" fontId="6" fillId="38" borderId="11" xfId="0" applyNumberFormat="1" applyFont="1" applyFill="1" applyBorder="1" applyAlignment="1"/>
    <xf numFmtId="188" fontId="4" fillId="38" borderId="11" xfId="0" applyNumberFormat="1" applyFont="1" applyFill="1" applyBorder="1" applyAlignment="1"/>
    <xf numFmtId="187" fontId="4" fillId="0" borderId="11" xfId="0" applyNumberFormat="1" applyFont="1" applyBorder="1" applyAlignment="1"/>
    <xf numFmtId="187" fontId="9" fillId="38" borderId="10" xfId="0" applyNumberFormat="1" applyFont="1" applyFill="1" applyBorder="1" applyAlignment="1"/>
    <xf numFmtId="187" fontId="70" fillId="21" borderId="10" xfId="0" applyNumberFormat="1" applyFont="1" applyFill="1" applyBorder="1" applyAlignment="1"/>
    <xf numFmtId="187" fontId="9" fillId="2" borderId="24" xfId="0" applyNumberFormat="1" applyFont="1" applyFill="1" applyBorder="1" applyAlignment="1"/>
    <xf numFmtId="187" fontId="9" fillId="2" borderId="25" xfId="0" applyNumberFormat="1" applyFont="1" applyFill="1" applyBorder="1" applyAlignment="1"/>
    <xf numFmtId="0" fontId="9" fillId="2" borderId="25" xfId="0" applyFont="1" applyFill="1" applyBorder="1" applyAlignment="1"/>
    <xf numFmtId="0" fontId="9" fillId="2" borderId="25" xfId="0" applyFont="1" applyFill="1" applyBorder="1" applyAlignment="1"/>
    <xf numFmtId="0" fontId="9" fillId="2" borderId="26" xfId="0" applyFont="1" applyFill="1" applyBorder="1" applyAlignment="1"/>
    <xf numFmtId="187" fontId="9" fillId="0" borderId="26" xfId="0" applyNumberFormat="1" applyFont="1" applyBorder="1" applyAlignment="1">
      <alignment horizontal="center" wrapText="1"/>
    </xf>
    <xf numFmtId="189" fontId="9" fillId="2" borderId="26" xfId="0" applyNumberFormat="1" applyFont="1" applyFill="1" applyBorder="1" applyAlignment="1"/>
    <xf numFmtId="188" fontId="9" fillId="2" borderId="26" xfId="0" applyNumberFormat="1" applyFont="1" applyFill="1" applyBorder="1" applyAlignment="1"/>
    <xf numFmtId="0" fontId="6" fillId="10" borderId="9" xfId="0" applyFont="1" applyFill="1" applyBorder="1" applyAlignment="1"/>
    <xf numFmtId="0" fontId="4" fillId="10" borderId="10" xfId="0" applyFont="1" applyFill="1" applyBorder="1" applyAlignment="1"/>
    <xf numFmtId="187" fontId="4" fillId="10" borderId="10" xfId="0" applyNumberFormat="1" applyFont="1" applyFill="1" applyBorder="1" applyAlignment="1"/>
    <xf numFmtId="0" fontId="4" fillId="10" borderId="11" xfId="0" applyFont="1" applyFill="1" applyBorder="1" applyAlignment="1"/>
    <xf numFmtId="188" fontId="4" fillId="10" borderId="11" xfId="0" applyNumberFormat="1" applyFont="1" applyFill="1" applyBorder="1" applyAlignment="1"/>
    <xf numFmtId="0" fontId="4" fillId="2" borderId="4" xfId="0" applyFont="1" applyFill="1" applyBorder="1" applyAlignment="1"/>
    <xf numFmtId="0" fontId="4" fillId="2" borderId="4" xfId="0" applyFont="1" applyFill="1" applyBorder="1" applyAlignment="1">
      <alignment horizontal="center"/>
    </xf>
    <xf numFmtId="0" fontId="1" fillId="0" borderId="0" xfId="0" applyFont="1" applyAlignment="1">
      <alignment horizontal="center"/>
    </xf>
    <xf numFmtId="0" fontId="0" fillId="0" borderId="0" xfId="0" applyFont="1" applyAlignment="1"/>
    <xf numFmtId="0" fontId="1" fillId="3" borderId="3" xfId="0" applyFont="1" applyFill="1" applyBorder="1" applyAlignment="1">
      <alignment horizontal="center"/>
    </xf>
    <xf numFmtId="0" fontId="3" fillId="0" borderId="4" xfId="0" applyFont="1" applyBorder="1"/>
    <xf numFmtId="0" fontId="1" fillId="4" borderId="1" xfId="0" applyFont="1" applyFill="1" applyBorder="1" applyAlignment="1">
      <alignment horizontal="center"/>
    </xf>
    <xf numFmtId="0" fontId="3" fillId="0" borderId="1" xfId="0" applyFont="1" applyBorder="1"/>
    <xf numFmtId="188" fontId="1" fillId="5" borderId="1" xfId="0" applyNumberFormat="1" applyFont="1" applyFill="1" applyBorder="1" applyAlignment="1">
      <alignment horizontal="center" wrapText="1"/>
    </xf>
    <xf numFmtId="188" fontId="1" fillId="6" borderId="1" xfId="0" applyNumberFormat="1" applyFont="1" applyFill="1" applyBorder="1" applyAlignment="1">
      <alignment horizontal="center"/>
    </xf>
    <xf numFmtId="0" fontId="1" fillId="3" borderId="2" xfId="0" applyFont="1" applyFill="1" applyBorder="1" applyAlignment="1">
      <alignment horizontal="center"/>
    </xf>
    <xf numFmtId="0" fontId="3" fillId="0" borderId="3" xfId="0" applyFont="1" applyBorder="1"/>
    <xf numFmtId="0" fontId="3" fillId="0" borderId="5" xfId="0" applyFont="1" applyBorder="1"/>
    <xf numFmtId="0" fontId="1" fillId="8" borderId="5" xfId="0" applyFont="1" applyFill="1" applyBorder="1" applyAlignment="1"/>
    <xf numFmtId="0" fontId="1" fillId="13" borderId="10" xfId="0" applyFont="1" applyFill="1" applyBorder="1" applyAlignment="1"/>
    <xf numFmtId="0" fontId="3" fillId="0" borderId="10" xfId="0" applyFont="1" applyBorder="1"/>
    <xf numFmtId="0" fontId="3" fillId="0" borderId="11" xfId="0" applyFont="1" applyBorder="1"/>
    <xf numFmtId="0" fontId="1" fillId="15" borderId="5" xfId="0" applyFont="1" applyFill="1" applyBorder="1" applyAlignment="1"/>
    <xf numFmtId="0" fontId="1" fillId="16" borderId="10" xfId="0" applyFont="1" applyFill="1" applyBorder="1" applyAlignment="1"/>
    <xf numFmtId="0" fontId="50" fillId="2" borderId="13" xfId="0" applyFont="1" applyFill="1" applyBorder="1" applyAlignment="1"/>
    <xf numFmtId="0" fontId="3" fillId="0" borderId="13" xfId="0" applyFont="1" applyBorder="1"/>
    <xf numFmtId="0" fontId="52" fillId="2" borderId="10" xfId="0" applyFont="1" applyFill="1" applyBorder="1" applyAlignment="1"/>
    <xf numFmtId="0" fontId="57" fillId="2" borderId="10" xfId="0" applyFont="1" applyFill="1" applyBorder="1" applyAlignment="1"/>
    <xf numFmtId="0" fontId="62" fillId="2" borderId="13" xfId="0" applyFont="1" applyFill="1" applyBorder="1" applyAlignment="1"/>
    <xf numFmtId="0" fontId="69" fillId="2" borderId="10" xfId="0" applyFont="1" applyFill="1" applyBorder="1" applyAlignment="1"/>
    <xf numFmtId="0" fontId="5" fillId="14" borderId="13" xfId="0" applyFont="1" applyFill="1" applyBorder="1" applyAlignment="1"/>
    <xf numFmtId="0" fontId="5" fillId="18" borderId="13" xfId="0" applyFont="1" applyFill="1" applyBorder="1" applyAlignment="1"/>
    <xf numFmtId="0" fontId="5" fillId="2" borderId="13" xfId="0" applyFont="1" applyFill="1" applyBorder="1" applyAlignment="1"/>
    <xf numFmtId="0" fontId="5" fillId="21" borderId="10" xfId="0" quotePrefix="1" applyFont="1" applyFill="1" applyBorder="1" applyAlignment="1"/>
    <xf numFmtId="0" fontId="5" fillId="9" borderId="10" xfId="0" applyFont="1" applyFill="1" applyBorder="1" applyAlignment="1"/>
    <xf numFmtId="0" fontId="23" fillId="2" borderId="18" xfId="0" applyFont="1" applyFill="1" applyBorder="1" applyAlignment="1"/>
    <xf numFmtId="189" fontId="4" fillId="21" borderId="11" xfId="0" applyNumberFormat="1" applyFont="1" applyFill="1" applyBorder="1" applyAlignment="1"/>
    <xf numFmtId="0" fontId="5" fillId="2" borderId="13" xfId="0" quotePrefix="1" applyFont="1" applyFill="1" applyBorder="1" applyAlignment="1"/>
    <xf numFmtId="0" fontId="15" fillId="23" borderId="10" xfId="0" applyFont="1" applyFill="1" applyBorder="1" applyAlignment="1"/>
    <xf numFmtId="189" fontId="26" fillId="23" borderId="11" xfId="0" applyNumberFormat="1" applyFont="1" applyFill="1" applyBorder="1" applyAlignment="1"/>
    <xf numFmtId="188" fontId="26" fillId="23" borderId="11" xfId="0" applyNumberFormat="1" applyFont="1" applyFill="1" applyBorder="1" applyAlignment="1"/>
    <xf numFmtId="190" fontId="7" fillId="2" borderId="12" xfId="0" applyNumberFormat="1" applyFont="1" applyFill="1" applyBorder="1" applyAlignment="1"/>
    <xf numFmtId="0" fontId="7" fillId="2" borderId="13" xfId="0" applyFont="1" applyFill="1" applyBorder="1" applyAlignment="1"/>
    <xf numFmtId="0" fontId="15" fillId="2" borderId="13" xfId="0" applyFont="1" applyFill="1" applyBorder="1" applyAlignment="1"/>
    <xf numFmtId="0" fontId="27" fillId="2" borderId="13" xfId="0" applyFont="1" applyFill="1" applyBorder="1" applyAlignment="1"/>
    <xf numFmtId="0" fontId="7" fillId="2" borderId="14" xfId="0" applyFont="1" applyFill="1" applyBorder="1" applyAlignment="1"/>
    <xf numFmtId="187" fontId="26" fillId="0" borderId="14" xfId="0" applyNumberFormat="1" applyFont="1" applyBorder="1" applyAlignment="1">
      <alignment horizontal="center" wrapText="1"/>
    </xf>
    <xf numFmtId="189" fontId="9" fillId="0" borderId="14" xfId="0" applyNumberFormat="1" applyFont="1" applyBorder="1" applyAlignment="1"/>
    <xf numFmtId="188" fontId="9" fillId="0" borderId="14" xfId="0" applyNumberFormat="1" applyFont="1" applyBorder="1" applyAlignment="1"/>
    <xf numFmtId="188" fontId="26" fillId="2" borderId="14" xfId="0" applyNumberFormat="1" applyFont="1" applyFill="1" applyBorder="1" applyAlignment="1"/>
    <xf numFmtId="188" fontId="9" fillId="2" borderId="14" xfId="0" applyNumberFormat="1" applyFont="1" applyFill="1" applyBorder="1" applyAlignment="1"/>
    <xf numFmtId="187" fontId="7" fillId="2" borderId="9" xfId="0" applyNumberFormat="1" applyFont="1" applyFill="1" applyBorder="1" applyAlignment="1"/>
    <xf numFmtId="187" fontId="15" fillId="2" borderId="10" xfId="0" applyNumberFormat="1" applyFont="1" applyFill="1" applyBorder="1" applyAlignment="1"/>
    <xf numFmtId="0" fontId="7" fillId="2" borderId="0" xfId="0" applyFont="1" applyFill="1" applyAlignment="1"/>
    <xf numFmtId="187" fontId="7" fillId="0" borderId="9" xfId="0" applyNumberFormat="1" applyFont="1" applyBorder="1" applyAlignment="1"/>
    <xf numFmtId="187" fontId="7" fillId="0" borderId="10" xfId="0" applyNumberFormat="1" applyFont="1" applyBorder="1" applyAlignment="1"/>
    <xf numFmtId="0" fontId="7" fillId="21" borderId="10" xfId="0" applyFont="1" applyFill="1" applyBorder="1" applyAlignment="1"/>
    <xf numFmtId="0" fontId="7" fillId="21" borderId="11" xfId="0" applyFont="1" applyFill="1" applyBorder="1" applyAlignment="1"/>
    <xf numFmtId="0" fontId="7" fillId="0" borderId="11" xfId="0" applyFont="1" applyBorder="1" applyAlignment="1"/>
    <xf numFmtId="187" fontId="8" fillId="0" borderId="10" xfId="0" quotePrefix="1" applyNumberFormat="1" applyFont="1" applyBorder="1" applyAlignment="1"/>
    <xf numFmtId="0" fontId="5" fillId="23" borderId="10" xfId="0" applyFont="1" applyFill="1" applyBorder="1" applyAlignment="1"/>
    <xf numFmtId="0" fontId="5" fillId="8" borderId="10" xfId="0" applyFont="1" applyFill="1" applyBorder="1" applyAlignment="1"/>
    <xf numFmtId="0" fontId="5" fillId="21" borderId="0" xfId="0" quotePrefix="1" applyFont="1" applyFill="1" applyAlignment="1"/>
    <xf numFmtId="0" fontId="5" fillId="2" borderId="13" xfId="0" applyFont="1" applyFill="1" applyBorder="1" applyAlignment="1"/>
    <xf numFmtId="0" fontId="5" fillId="21" borderId="13" xfId="0" quotePrefix="1" applyFont="1" applyFill="1" applyBorder="1" applyAlignment="1"/>
    <xf numFmtId="187" fontId="52" fillId="21" borderId="10" xfId="0" applyNumberFormat="1" applyFont="1" applyFill="1" applyBorder="1" applyAlignment="1"/>
    <xf numFmtId="187" fontId="52" fillId="21" borderId="10" xfId="0" quotePrefix="1" applyNumberFormat="1" applyFont="1" applyFill="1" applyBorder="1" applyAlignment="1"/>
    <xf numFmtId="0" fontId="57" fillId="21" borderId="10" xfId="0" quotePrefix="1" applyFont="1" applyFill="1" applyBorder="1" applyAlignment="1"/>
    <xf numFmtId="0" fontId="52" fillId="21" borderId="10" xfId="0" quotePrefix="1" applyFont="1" applyFill="1" applyBorder="1" applyAlignment="1"/>
    <xf numFmtId="0" fontId="52" fillId="2" borderId="13" xfId="0" applyFont="1" applyFill="1" applyBorder="1" applyAlignment="1"/>
    <xf numFmtId="0" fontId="52" fillId="21" borderId="10" xfId="0" applyFont="1" applyFill="1" applyBorder="1" applyAlignment="1"/>
    <xf numFmtId="0" fontId="57" fillId="21" borderId="10" xfId="0" applyFont="1" applyFill="1" applyBorder="1" applyAlignment="1"/>
    <xf numFmtId="0" fontId="58" fillId="2" borderId="10" xfId="0" applyFont="1" applyFill="1" applyBorder="1" applyAlignment="1"/>
    <xf numFmtId="187" fontId="57" fillId="21" borderId="10" xfId="0" applyNumberFormat="1" applyFont="1" applyFill="1" applyBorder="1" applyAlignment="1"/>
    <xf numFmtId="189" fontId="4" fillId="26" borderId="11" xfId="0" applyNumberFormat="1" applyFont="1" applyFill="1" applyBorder="1" applyAlignment="1"/>
    <xf numFmtId="189" fontId="4" fillId="38" borderId="11" xfId="0" applyNumberFormat="1" applyFont="1" applyFill="1" applyBorder="1" applyAlignment="1"/>
    <xf numFmtId="0" fontId="6" fillId="10" borderId="27" xfId="0" applyFont="1" applyFill="1" applyBorder="1" applyAlignment="1"/>
    <xf numFmtId="0" fontId="4" fillId="10" borderId="28" xfId="0" applyFont="1" applyFill="1" applyBorder="1" applyAlignment="1"/>
    <xf numFmtId="187" fontId="4" fillId="10" borderId="28" xfId="0" applyNumberFormat="1" applyFont="1" applyFill="1" applyBorder="1" applyAlignment="1"/>
    <xf numFmtId="0" fontId="4" fillId="10" borderId="29" xfId="0" applyFont="1" applyFill="1" applyBorder="1" applyAlignment="1"/>
    <xf numFmtId="189" fontId="4" fillId="10" borderId="29" xfId="0" applyNumberFormat="1" applyFont="1" applyFill="1" applyBorder="1" applyAlignment="1"/>
    <xf numFmtId="188" fontId="4" fillId="10" borderId="29" xfId="0" applyNumberFormat="1" applyFont="1" applyFill="1" applyBorder="1" applyAlignment="1"/>
    <xf numFmtId="0" fontId="6" fillId="38" borderId="8" xfId="0" applyFont="1" applyFill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  <pageSetUpPr fitToPage="1"/>
  </sheetPr>
  <dimension ref="A1:Z828"/>
  <sheetViews>
    <sheetView tabSelected="1" view="pageBreakPreview" zoomScale="60" zoomScaleNormal="100" workbookViewId="0">
      <pane ySplit="6" topLeftCell="A7" activePane="bottomLeft" state="frozen"/>
      <selection pane="bottomLeft" activeCell="A2" sqref="A2:P2"/>
    </sheetView>
  </sheetViews>
  <sheetFormatPr defaultColWidth="12.5703125" defaultRowHeight="15.75" customHeight="1"/>
  <cols>
    <col min="1" max="1" width="4.28515625" customWidth="1"/>
    <col min="2" max="3" width="3.28515625" customWidth="1"/>
    <col min="4" max="6" width="5.85546875" customWidth="1"/>
    <col min="7" max="7" width="56.42578125" customWidth="1"/>
    <col min="8" max="8" width="9.42578125" customWidth="1"/>
    <col min="9" max="9" width="20.42578125" bestFit="1" customWidth="1"/>
    <col min="10" max="10" width="16.85546875" bestFit="1" customWidth="1"/>
    <col min="11" max="11" width="12.5703125" customWidth="1"/>
    <col min="12" max="12" width="24.7109375" bestFit="1" customWidth="1"/>
    <col min="13" max="14" width="23" bestFit="1" customWidth="1"/>
    <col min="15" max="15" width="20.140625" bestFit="1" customWidth="1"/>
    <col min="16" max="16" width="22" bestFit="1" customWidth="1"/>
  </cols>
  <sheetData>
    <row r="1" spans="1:26" ht="19.5">
      <c r="A1" s="792" t="s">
        <v>0</v>
      </c>
      <c r="B1" s="793"/>
      <c r="C1" s="793"/>
      <c r="D1" s="793"/>
      <c r="E1" s="793"/>
      <c r="F1" s="793"/>
      <c r="G1" s="793"/>
      <c r="H1" s="793"/>
      <c r="I1" s="793"/>
      <c r="J1" s="793"/>
      <c r="K1" s="793"/>
      <c r="L1" s="793"/>
      <c r="M1" s="793"/>
      <c r="N1" s="793"/>
      <c r="O1" s="793"/>
      <c r="P1" s="793"/>
    </row>
    <row r="2" spans="1:26" ht="19.5">
      <c r="A2" s="792" t="s">
        <v>1</v>
      </c>
      <c r="B2" s="793"/>
      <c r="C2" s="793"/>
      <c r="D2" s="793"/>
      <c r="E2" s="793"/>
      <c r="F2" s="793"/>
      <c r="G2" s="793"/>
      <c r="H2" s="793"/>
      <c r="I2" s="793"/>
      <c r="J2" s="793"/>
      <c r="K2" s="793"/>
      <c r="L2" s="793"/>
      <c r="M2" s="793"/>
      <c r="N2" s="793"/>
      <c r="O2" s="793"/>
      <c r="P2" s="793"/>
    </row>
    <row r="3" spans="1:26" ht="19.5">
      <c r="A3" s="792" t="s">
        <v>355</v>
      </c>
      <c r="B3" s="793"/>
      <c r="C3" s="793"/>
      <c r="D3" s="793"/>
      <c r="E3" s="793"/>
      <c r="F3" s="793"/>
      <c r="G3" s="793"/>
      <c r="H3" s="793"/>
      <c r="I3" s="793"/>
      <c r="J3" s="793"/>
      <c r="K3" s="793"/>
      <c r="L3" s="793"/>
      <c r="M3" s="793"/>
      <c r="N3" s="793"/>
      <c r="O3" s="793"/>
      <c r="P3" s="793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00" t="s">
        <v>2</v>
      </c>
      <c r="B5" s="793"/>
      <c r="C5" s="793"/>
      <c r="D5" s="793"/>
      <c r="E5" s="793"/>
      <c r="F5" s="793"/>
      <c r="G5" s="801"/>
      <c r="H5" s="794" t="s">
        <v>3</v>
      </c>
      <c r="I5" s="796" t="s">
        <v>4</v>
      </c>
      <c r="J5" s="797"/>
      <c r="K5" s="795"/>
      <c r="L5" s="798" t="s">
        <v>5</v>
      </c>
      <c r="M5" s="795"/>
      <c r="N5" s="799" t="s">
        <v>6</v>
      </c>
      <c r="O5" s="797"/>
      <c r="P5" s="795"/>
    </row>
    <row r="6" spans="1:26" ht="19.5">
      <c r="A6" s="802"/>
      <c r="B6" s="797"/>
      <c r="C6" s="797"/>
      <c r="D6" s="797"/>
      <c r="E6" s="797"/>
      <c r="F6" s="797"/>
      <c r="G6" s="795"/>
      <c r="H6" s="795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03" t="s">
        <v>15</v>
      </c>
      <c r="B7" s="797"/>
      <c r="C7" s="797"/>
      <c r="D7" s="797"/>
      <c r="E7" s="797"/>
      <c r="F7" s="797"/>
      <c r="G7" s="795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114386071</v>
      </c>
      <c r="M8" s="22">
        <f t="shared" ca="1" si="0"/>
        <v>49597488</v>
      </c>
      <c r="N8" s="22">
        <f t="shared" ca="1" si="0"/>
        <v>15541827.999999976</v>
      </c>
      <c r="O8" s="22">
        <f t="shared" ref="O8:O16" ca="1" si="1">IF(L8&gt;0,N8*100/L8,0)</f>
        <v>13.587168318771939</v>
      </c>
      <c r="P8" s="22">
        <f t="shared" ref="P8:P16" ca="1" si="2">IF(M8&gt;0,N8*100/M8,0)</f>
        <v>31.335917657765201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9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ref="L10:N10" ca="1" si="4">L13+L16</f>
        <v>114386071</v>
      </c>
      <c r="M10" s="30">
        <f t="shared" ca="1" si="4"/>
        <v>49597488</v>
      </c>
      <c r="N10" s="30">
        <f t="shared" ca="1" si="4"/>
        <v>15541827.999999976</v>
      </c>
      <c r="O10" s="30">
        <f t="shared" ca="1" si="1"/>
        <v>13.587168318771939</v>
      </c>
      <c r="P10" s="30">
        <f t="shared" ca="1" si="2"/>
        <v>31.335917657765201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36" t="s">
        <v>12</v>
      </c>
      <c r="I11" s="37"/>
      <c r="J11" s="37"/>
      <c r="K11" s="38"/>
      <c r="L11" s="38">
        <f t="shared" ref="L11:N11" ca="1" si="5">L12+L13</f>
        <v>95499971</v>
      </c>
      <c r="M11" s="38">
        <f t="shared" ca="1" si="5"/>
        <v>30729688</v>
      </c>
      <c r="N11" s="38">
        <f t="shared" ca="1" si="5"/>
        <v>11520231.999999976</v>
      </c>
      <c r="O11" s="38">
        <f t="shared" ca="1" si="1"/>
        <v>12.063073820200403</v>
      </c>
      <c r="P11" s="38">
        <f t="shared" ca="1" si="2"/>
        <v>37.488932526747348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41" t="s">
        <v>18</v>
      </c>
      <c r="F12" s="40"/>
      <c r="G12" s="42"/>
      <c r="H12" s="43" t="s">
        <v>12</v>
      </c>
      <c r="I12" s="44"/>
      <c r="J12" s="44"/>
      <c r="K12" s="45"/>
      <c r="L12" s="45">
        <f t="shared" ref="L12:N12" si="6">L22+L32</f>
        <v>0</v>
      </c>
      <c r="M12" s="45">
        <f t="shared" si="6"/>
        <v>0</v>
      </c>
      <c r="N12" s="45">
        <f t="shared" si="6"/>
        <v>0</v>
      </c>
      <c r="O12" s="45">
        <f t="shared" si="1"/>
        <v>0</v>
      </c>
      <c r="P12" s="45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41" t="s">
        <v>19</v>
      </c>
      <c r="F13" s="40"/>
      <c r="G13" s="42"/>
      <c r="H13" s="43" t="s">
        <v>12</v>
      </c>
      <c r="I13" s="44"/>
      <c r="J13" s="44"/>
      <c r="K13" s="45"/>
      <c r="L13" s="45">
        <f t="shared" ref="L13:N13" ca="1" si="7">L23+L33</f>
        <v>95499971</v>
      </c>
      <c r="M13" s="45">
        <f t="shared" ca="1" si="7"/>
        <v>30729688</v>
      </c>
      <c r="N13" s="45">
        <f t="shared" ca="1" si="7"/>
        <v>11520231.999999976</v>
      </c>
      <c r="O13" s="45">
        <f t="shared" ca="1" si="1"/>
        <v>12.063073820200403</v>
      </c>
      <c r="P13" s="45">
        <f t="shared" ca="1" si="2"/>
        <v>37.488932526747348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36" t="s">
        <v>12</v>
      </c>
      <c r="I14" s="37"/>
      <c r="J14" s="37"/>
      <c r="K14" s="38"/>
      <c r="L14" s="38">
        <f t="shared" ref="L14:N14" ca="1" si="8">L15+L16</f>
        <v>18886100</v>
      </c>
      <c r="M14" s="38">
        <f t="shared" ca="1" si="8"/>
        <v>18867800</v>
      </c>
      <c r="N14" s="38">
        <f t="shared" ca="1" si="8"/>
        <v>4021596</v>
      </c>
      <c r="O14" s="38">
        <f t="shared" ca="1" si="1"/>
        <v>21.293946341489242</v>
      </c>
      <c r="P14" s="38">
        <f t="shared" ca="1" si="2"/>
        <v>21.314599476356545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41" t="s">
        <v>18</v>
      </c>
      <c r="F15" s="40"/>
      <c r="G15" s="42"/>
      <c r="H15" s="43" t="s">
        <v>12</v>
      </c>
      <c r="I15" s="44"/>
      <c r="J15" s="44"/>
      <c r="K15" s="45"/>
      <c r="L15" s="45">
        <f t="shared" ref="L15:N15" si="9">L25+L35</f>
        <v>0</v>
      </c>
      <c r="M15" s="45">
        <f t="shared" si="9"/>
        <v>0</v>
      </c>
      <c r="N15" s="45">
        <f t="shared" si="9"/>
        <v>0</v>
      </c>
      <c r="O15" s="45">
        <f t="shared" si="1"/>
        <v>0</v>
      </c>
      <c r="P15" s="45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ref="L16:N16" ca="1" si="10">L26+L36</f>
        <v>18886100</v>
      </c>
      <c r="M16" s="52">
        <f t="shared" ca="1" si="10"/>
        <v>18867800</v>
      </c>
      <c r="N16" s="52">
        <f t="shared" ca="1" si="10"/>
        <v>4021596</v>
      </c>
      <c r="O16" s="52">
        <f t="shared" ca="1" si="1"/>
        <v>21.293946341489242</v>
      </c>
      <c r="P16" s="52">
        <f t="shared" ca="1" si="2"/>
        <v>21.314599476356545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03" t="s">
        <v>22</v>
      </c>
      <c r="B17" s="797"/>
      <c r="C17" s="797"/>
      <c r="D17" s="797"/>
      <c r="E17" s="797"/>
      <c r="F17" s="797"/>
      <c r="G17" s="795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11">L19+L20</f>
        <v>79387498</v>
      </c>
      <c r="M18" s="22">
        <f t="shared" ca="1" si="11"/>
        <v>49597488</v>
      </c>
      <c r="N18" s="22">
        <f t="shared" ca="1" si="11"/>
        <v>15027048.129999977</v>
      </c>
      <c r="O18" s="22">
        <f t="shared" ref="O18:O26" ca="1" si="12">IF(L18&gt;0,N18*100/L18,0)</f>
        <v>18.928733753518692</v>
      </c>
      <c r="P18" s="22">
        <f t="shared" ref="P18:P26" ca="1" si="13">IF(M18&gt;0,N18*100/M18,0)</f>
        <v>30.298002451253129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19" si="14">L22+L25</f>
        <v>0</v>
      </c>
      <c r="M19" s="30">
        <f t="shared" si="14"/>
        <v>0</v>
      </c>
      <c r="N19" s="30">
        <f t="shared" si="14"/>
        <v>0</v>
      </c>
      <c r="O19" s="30">
        <f t="shared" si="12"/>
        <v>0</v>
      </c>
      <c r="P19" s="30">
        <f t="shared" si="13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ref="L20:N20" ca="1" si="15">L23+L26</f>
        <v>79387498</v>
      </c>
      <c r="M20" s="30">
        <f t="shared" ca="1" si="15"/>
        <v>49597488</v>
      </c>
      <c r="N20" s="30">
        <f t="shared" ca="1" si="15"/>
        <v>15027048.129999977</v>
      </c>
      <c r="O20" s="30">
        <f t="shared" ca="1" si="12"/>
        <v>18.928733753518692</v>
      </c>
      <c r="P20" s="30">
        <f t="shared" ca="1" si="13"/>
        <v>30.298002451253129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36" t="s">
        <v>12</v>
      </c>
      <c r="I21" s="37"/>
      <c r="J21" s="37"/>
      <c r="K21" s="38"/>
      <c r="L21" s="38">
        <f t="shared" ref="L21:N21" ca="1" si="16">L22+L23</f>
        <v>60501398</v>
      </c>
      <c r="M21" s="38">
        <f t="shared" ca="1" si="16"/>
        <v>30729688</v>
      </c>
      <c r="N21" s="38">
        <f t="shared" ca="1" si="16"/>
        <v>11005452.129999977</v>
      </c>
      <c r="O21" s="38">
        <f t="shared" ca="1" si="12"/>
        <v>18.190409633179016</v>
      </c>
      <c r="P21" s="38">
        <f t="shared" ca="1" si="13"/>
        <v>35.813745098876289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41" t="s">
        <v>18</v>
      </c>
      <c r="F22" s="40"/>
      <c r="G22" s="42"/>
      <c r="H22" s="43" t="s">
        <v>12</v>
      </c>
      <c r="I22" s="44"/>
      <c r="J22" s="44"/>
      <c r="K22" s="45"/>
      <c r="L22" s="45">
        <f t="shared" ref="L22:N22" si="17">L45+L57+L70+L92+L123+L136+L153+L185+L169+L265+L281+L302+L319+L332+L349+L393+L406</f>
        <v>0</v>
      </c>
      <c r="M22" s="45">
        <f t="shared" si="17"/>
        <v>0</v>
      </c>
      <c r="N22" s="45">
        <f t="shared" si="17"/>
        <v>0</v>
      </c>
      <c r="O22" s="45">
        <f t="shared" si="12"/>
        <v>0</v>
      </c>
      <c r="P22" s="45">
        <f t="shared" si="13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41" t="s">
        <v>19</v>
      </c>
      <c r="F23" s="40"/>
      <c r="G23" s="42"/>
      <c r="H23" s="43" t="s">
        <v>12</v>
      </c>
      <c r="I23" s="44"/>
      <c r="J23" s="44"/>
      <c r="K23" s="45"/>
      <c r="L23" s="45">
        <f t="shared" ref="L23:N23" ca="1" si="18">L46+L58+L71+L93+L124+L137+L154+L186+L170+L266+L282+L303+L320+L333+L350+L394+L407</f>
        <v>60501398</v>
      </c>
      <c r="M23" s="45">
        <f t="shared" ca="1" si="18"/>
        <v>30729688</v>
      </c>
      <c r="N23" s="45">
        <f t="shared" ca="1" si="18"/>
        <v>11005452.129999977</v>
      </c>
      <c r="O23" s="45">
        <f t="shared" ca="1" si="12"/>
        <v>18.190409633179016</v>
      </c>
      <c r="P23" s="45">
        <f t="shared" ca="1" si="13"/>
        <v>35.813745098876289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36" t="s">
        <v>12</v>
      </c>
      <c r="I24" s="37"/>
      <c r="J24" s="37"/>
      <c r="K24" s="38"/>
      <c r="L24" s="38">
        <f t="shared" ref="L24:N24" ca="1" si="19">L25+L26</f>
        <v>18886100</v>
      </c>
      <c r="M24" s="38">
        <f t="shared" ca="1" si="19"/>
        <v>18867800</v>
      </c>
      <c r="N24" s="38">
        <f t="shared" ca="1" si="19"/>
        <v>4021596</v>
      </c>
      <c r="O24" s="38">
        <f t="shared" ca="1" si="12"/>
        <v>21.293946341489242</v>
      </c>
      <c r="P24" s="38">
        <f t="shared" ca="1" si="13"/>
        <v>21.314599476356545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41" t="s">
        <v>18</v>
      </c>
      <c r="F25" s="40"/>
      <c r="G25" s="42"/>
      <c r="H25" s="43" t="s">
        <v>12</v>
      </c>
      <c r="I25" s="44"/>
      <c r="J25" s="44"/>
      <c r="K25" s="45"/>
      <c r="L25" s="45">
        <f t="shared" ref="L25:L26" si="20">L48+L60+L73+L95+L126+L139+L156+L188+L172+L268+L284+L305+L322+L335+L352+L396+L409</f>
        <v>0</v>
      </c>
      <c r="M25" s="45">
        <f>M48+M60+M73+M95+M126+M139+M156+M188+M172+M268+M284+M305+M462+M335+M352+M396+M409</f>
        <v>0</v>
      </c>
      <c r="N25" s="45">
        <f>N48+N60+N73+N95+N126+N139+N156+N188+N172+N268+N284+N305+N322+N335+N352+N396+N409</f>
        <v>0</v>
      </c>
      <c r="O25" s="45">
        <f t="shared" si="12"/>
        <v>0</v>
      </c>
      <c r="P25" s="45">
        <f t="shared" si="13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20"/>
        <v>18886100</v>
      </c>
      <c r="M26" s="52">
        <f t="shared" ref="M26:N26" ca="1" si="21">M49+M61+M74+M96+M127+M140+M157+M189+M173+M269+M285+M306+M323+M336+M353+M397+M410</f>
        <v>18867800</v>
      </c>
      <c r="N26" s="52">
        <f t="shared" ca="1" si="21"/>
        <v>4021596</v>
      </c>
      <c r="O26" s="52">
        <f t="shared" ca="1" si="12"/>
        <v>21.293946341489242</v>
      </c>
      <c r="P26" s="52">
        <f t="shared" ca="1" si="13"/>
        <v>21.314599476356545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03" t="s">
        <v>23</v>
      </c>
      <c r="B27" s="797"/>
      <c r="C27" s="797"/>
      <c r="D27" s="797"/>
      <c r="E27" s="797"/>
      <c r="F27" s="797"/>
      <c r="G27" s="795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22">L29+L30</f>
        <v>34998573</v>
      </c>
      <c r="M28" s="22">
        <f t="shared" si="22"/>
        <v>0</v>
      </c>
      <c r="N28" s="22">
        <f t="shared" ca="1" si="22"/>
        <v>514779.87</v>
      </c>
      <c r="O28" s="22">
        <f t="shared" ref="O28:O37" ca="1" si="23">IF(L28&gt;0,N28*100/L28,0)</f>
        <v>1.4708595976184515</v>
      </c>
      <c r="P28" s="22">
        <f t="shared" ref="P28:P31" si="24">IF(M28&gt;0,N28*100/M28,0)</f>
        <v>0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29" si="25">L32+L35</f>
        <v>0</v>
      </c>
      <c r="M29" s="30">
        <f t="shared" si="25"/>
        <v>0</v>
      </c>
      <c r="N29" s="30">
        <f t="shared" si="25"/>
        <v>0</v>
      </c>
      <c r="O29" s="30">
        <f t="shared" si="23"/>
        <v>0</v>
      </c>
      <c r="P29" s="30">
        <f t="shared" si="24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ref="L30:N30" ca="1" si="26">L33+L36</f>
        <v>34998573</v>
      </c>
      <c r="M30" s="30">
        <f t="shared" si="26"/>
        <v>0</v>
      </c>
      <c r="N30" s="30">
        <f t="shared" ca="1" si="26"/>
        <v>514779.87</v>
      </c>
      <c r="O30" s="30">
        <f t="shared" ca="1" si="23"/>
        <v>1.4708595976184515</v>
      </c>
      <c r="P30" s="30">
        <f t="shared" si="24"/>
        <v>0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36" t="s">
        <v>12</v>
      </c>
      <c r="I31" s="37"/>
      <c r="J31" s="37"/>
      <c r="K31" s="38"/>
      <c r="L31" s="38">
        <f t="shared" ref="L31:N31" ca="1" si="27">L32+L33</f>
        <v>34998573</v>
      </c>
      <c r="M31" s="38">
        <f t="shared" si="27"/>
        <v>0</v>
      </c>
      <c r="N31" s="38">
        <f t="shared" ca="1" si="27"/>
        <v>514779.87</v>
      </c>
      <c r="O31" s="38">
        <f t="shared" ca="1" si="23"/>
        <v>1.4708595976184515</v>
      </c>
      <c r="P31" s="38">
        <f t="shared" si="24"/>
        <v>0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41" t="s">
        <v>18</v>
      </c>
      <c r="F32" s="40"/>
      <c r="G32" s="42"/>
      <c r="H32" s="43" t="s">
        <v>12</v>
      </c>
      <c r="I32" s="44"/>
      <c r="J32" s="44"/>
      <c r="K32" s="45"/>
      <c r="L32" s="45">
        <f t="shared" ref="L32:N32" si="28">L423+L448+L471+L506+L527+L548+L633+L659+L689+L741+L758+L774+L790+L809</f>
        <v>0</v>
      </c>
      <c r="M32" s="45">
        <f t="shared" si="28"/>
        <v>0</v>
      </c>
      <c r="N32" s="45">
        <f t="shared" si="28"/>
        <v>0</v>
      </c>
      <c r="O32" s="45">
        <f t="shared" si="23"/>
        <v>0</v>
      </c>
      <c r="P32" s="45">
        <f ca="1">IF(M46&gt;0,N32*100/M46,0)</f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41" t="s">
        <v>19</v>
      </c>
      <c r="F33" s="40"/>
      <c r="G33" s="42"/>
      <c r="H33" s="43" t="s">
        <v>12</v>
      </c>
      <c r="I33" s="44"/>
      <c r="J33" s="44"/>
      <c r="K33" s="45"/>
      <c r="L33" s="45">
        <f t="shared" ref="L33:N33" ca="1" si="29">L424+L449+L472+L507+L528+L549+L634+L660+L690+L742+L759+L775+L791+L810</f>
        <v>34998573</v>
      </c>
      <c r="M33" s="45">
        <f t="shared" si="29"/>
        <v>0</v>
      </c>
      <c r="N33" s="45">
        <f t="shared" ca="1" si="29"/>
        <v>514779.87</v>
      </c>
      <c r="O33" s="45">
        <f t="shared" ca="1" si="23"/>
        <v>1.4708595976184515</v>
      </c>
      <c r="P33" s="45">
        <f t="shared" ref="P33:P37" si="30">IF(M33&gt;0,N33*100/M33,0)</f>
        <v>0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36" t="s">
        <v>12</v>
      </c>
      <c r="I34" s="37"/>
      <c r="J34" s="37"/>
      <c r="K34" s="38"/>
      <c r="L34" s="38">
        <f t="shared" ref="L34:N34" ca="1" si="31">L35+L36</f>
        <v>0</v>
      </c>
      <c r="M34" s="38">
        <f t="shared" si="31"/>
        <v>0</v>
      </c>
      <c r="N34" s="38">
        <f t="shared" si="31"/>
        <v>0</v>
      </c>
      <c r="O34" s="38">
        <f t="shared" ca="1" si="23"/>
        <v>0</v>
      </c>
      <c r="P34" s="38">
        <f t="shared" si="30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41" t="s">
        <v>18</v>
      </c>
      <c r="F35" s="40"/>
      <c r="G35" s="42"/>
      <c r="H35" s="43" t="s">
        <v>12</v>
      </c>
      <c r="I35" s="44"/>
      <c r="J35" s="44"/>
      <c r="K35" s="45"/>
      <c r="L35" s="45">
        <f t="shared" ref="L35:N35" si="32">L430+L455+L478+L513+L534+L556+L640+L666+L696+L748+L765+L781+L797+L816</f>
        <v>0</v>
      </c>
      <c r="M35" s="45">
        <f t="shared" si="32"/>
        <v>0</v>
      </c>
      <c r="N35" s="45">
        <f t="shared" si="32"/>
        <v>0</v>
      </c>
      <c r="O35" s="45">
        <f t="shared" si="23"/>
        <v>0</v>
      </c>
      <c r="P35" s="45">
        <f t="shared" si="30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ref="L36:N36" ca="1" si="33">L431+L456+L479+L514+L535+L557+L641+L667+L697+L749+L766+L782+L798+L817</f>
        <v>0</v>
      </c>
      <c r="M36" s="52">
        <f t="shared" si="33"/>
        <v>0</v>
      </c>
      <c r="N36" s="52">
        <f t="shared" si="33"/>
        <v>0</v>
      </c>
      <c r="O36" s="52">
        <f t="shared" ca="1" si="23"/>
        <v>0</v>
      </c>
      <c r="P36" s="52">
        <f t="shared" si="30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53" t="s">
        <v>24</v>
      </c>
      <c r="B37" s="54"/>
      <c r="C37" s="54"/>
      <c r="D37" s="54"/>
      <c r="E37" s="54"/>
      <c r="F37" s="54"/>
      <c r="G37" s="55"/>
      <c r="H37" s="56"/>
      <c r="I37" s="57"/>
      <c r="J37" s="57"/>
      <c r="K37" s="58"/>
      <c r="L37" s="59">
        <f ca="1">L41+L53+L66+L88+L119+L132+L149+L165+L181+L261+L277+L298+L315+L328+L345+L389+L402</f>
        <v>79387498</v>
      </c>
      <c r="M37" s="59">
        <f ca="1">M41+M53+M66+M88+M119+M132+M149+M165+M181+M261+M277+M298+M315+M468+M345+M389+M402</f>
        <v>47541688</v>
      </c>
      <c r="N37" s="59">
        <f ca="1">N41+N53+N66+N88+N119+N132+N149+N165+N181+N261+N277+N298+N315+N328+N345+N389+N402</f>
        <v>15027048.12999998</v>
      </c>
      <c r="O37" s="59">
        <f t="shared" ca="1" si="23"/>
        <v>18.928733753518699</v>
      </c>
      <c r="P37" s="59">
        <f t="shared" ca="1" si="30"/>
        <v>31.608150156553087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04" t="s">
        <v>27</v>
      </c>
      <c r="C40" s="805"/>
      <c r="D40" s="805"/>
      <c r="E40" s="805"/>
      <c r="F40" s="805"/>
      <c r="G40" s="806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0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34">L42+L43</f>
        <v>9204143</v>
      </c>
      <c r="M41" s="85">
        <f t="shared" ca="1" si="34"/>
        <v>4638793</v>
      </c>
      <c r="N41" s="85">
        <f t="shared" ca="1" si="34"/>
        <v>2098731.25</v>
      </c>
      <c r="O41" s="85">
        <f t="shared" ref="O41:O45" ca="1" si="35">IF(L41&gt;0,N41*100/L41,0)</f>
        <v>22.802027847676857</v>
      </c>
      <c r="P41" s="85">
        <f t="shared" ref="P41:P49" ca="1" si="36">IF(M41&gt;0,N41*100/M41,0)</f>
        <v>45.243045982004368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2" si="37">L45+L48</f>
        <v>0</v>
      </c>
      <c r="M42" s="92">
        <f t="shared" si="37"/>
        <v>0</v>
      </c>
      <c r="N42" s="92">
        <f t="shared" si="37"/>
        <v>0</v>
      </c>
      <c r="O42" s="92">
        <f t="shared" si="35"/>
        <v>0</v>
      </c>
      <c r="P42" s="92">
        <f t="shared" si="36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ref="L43:N43" ca="1" si="38">L46+L49</f>
        <v>9204143</v>
      </c>
      <c r="M43" s="92">
        <f t="shared" ca="1" si="38"/>
        <v>4638793</v>
      </c>
      <c r="N43" s="92">
        <f t="shared" ca="1" si="38"/>
        <v>2098731.25</v>
      </c>
      <c r="O43" s="92">
        <f t="shared" ca="1" si="35"/>
        <v>22.802027847676857</v>
      </c>
      <c r="P43" s="92">
        <f t="shared" ca="1" si="36"/>
        <v>45.243045982004368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36" t="s">
        <v>12</v>
      </c>
      <c r="I44" s="37"/>
      <c r="J44" s="37"/>
      <c r="K44" s="38"/>
      <c r="L44" s="38">
        <f t="shared" ref="L44:N44" ca="1" si="39">L45+L46</f>
        <v>9204143</v>
      </c>
      <c r="M44" s="38">
        <f t="shared" ca="1" si="39"/>
        <v>4638793</v>
      </c>
      <c r="N44" s="38">
        <f t="shared" ca="1" si="39"/>
        <v>2098731.25</v>
      </c>
      <c r="O44" s="38">
        <f t="shared" ca="1" si="35"/>
        <v>22.802027847676857</v>
      </c>
      <c r="P44" s="38">
        <f t="shared" ca="1" si="36"/>
        <v>45.243045982004368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41" t="s">
        <v>18</v>
      </c>
      <c r="F45" s="40"/>
      <c r="G45" s="42"/>
      <c r="H45" s="43" t="s">
        <v>12</v>
      </c>
      <c r="I45" s="44"/>
      <c r="J45" s="44"/>
      <c r="K45" s="45"/>
      <c r="L45" s="93">
        <v>0</v>
      </c>
      <c r="M45" s="93">
        <v>0</v>
      </c>
      <c r="N45" s="93">
        <v>0</v>
      </c>
      <c r="O45" s="45">
        <f t="shared" si="35"/>
        <v>0</v>
      </c>
      <c r="P45" s="45">
        <f t="shared" si="36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41" t="s">
        <v>19</v>
      </c>
      <c r="F46" s="40"/>
      <c r="G46" s="42"/>
      <c r="H46" s="43" t="s">
        <v>12</v>
      </c>
      <c r="I46" s="44"/>
      <c r="J46" s="44"/>
      <c r="K46" s="45"/>
      <c r="L46" s="45">
        <f ca="1">IFERROR(__xludf.DUMMYFUNCTION("IMPORTRANGE(""https://docs.google.com/spreadsheets/d/1KxicF4apzSqm0-jIpmueT4kyZtE-Cwn5zskl7GD4loQ/edit?usp=share_link"",""กำแพงเพชร!L46"")+IMPORTRANGE(""https://docs.google.com/spreadsheets/d/1ZNYWeiFoFA1K1U4xKWqRX29MBvEyRHXORjo734Gnq_c/edit?usp=share_lin"&amp;"k"",""เชียงราย!L46"")
+IMPORTRANGE(""https://docs.google.com/spreadsheets/d/1Jgv0Y7YlHDtsiDawwp-uvifEJ8HVaSn0k2aGHG8-hwM/edit?usp=share_link"",""เชียงใหม่!L46"")+IMPORTRANGE(""https://docs.google.com/spreadsheets/d/1JWG2rZePOz9pe-f-ObA-yDr0VoOX2kSb0qIix2m"&amp;"TUo8/edit?usp=share_link"",""ตาก!L46"")+IMPORTRANGE(""https://docs.google.com/spreadsheets/d/10nSRjK08hx8Y6HgSOQKNw81lyY46Zc7U_Cj72hBMp9U/edit?usp=share_link"",""นครสวรรค์!L46"")+IMPORTRANGE(""https://docs.google.com/spreadsheets/d/1gFVb7qd7amutrIxAAoM7lc"&amp;"y35hllxznovot8lyOfvDo/edit?usp=share_link"",""น่าน!L46"")+IMPORTRANGE(""https://docs.google.com/spreadsheets/d/1K0Aa9s-6EuHE5M0FG1F9aHLXRCOV917xvycTdLdct0w/edit?usp=share_link"",""พะเยา!L46"")+IMPORTRANGE(""https://docs.google.com/spreadsheets/d/1Y9LPKx95"&amp;"PyL5OKy09d-KbKJSuuEZCFdkhYjwC0XQjBA/edit?usp=share_link"",""พิจิตร!L46"")+IMPORTRANGE(""https://docs.google.com/spreadsheets/d/16OMuOwy2eVqZcYWOouQtTpa8X1L23h4660uVHc0C8os/edit?usp=share_link"",""พิษณุโลก!L46"")+IMPORTRANGE(""https://docs.google.com/sprea"&amp;"dsheets/d/1GfgTldLG6k77HXaMQzaafODklYuucJZQNs_GAPEfZyY/edit?usp=share_link"",""เพชรบูรณ์!L46"")+IMPORTRANGE(""https://docs.google.com/spreadsheets/d/1gvTMYAnm7v1yG1BKWFtr0DnaTsq59oW9dwWvFgq6hs0/edit?usp=share_link"",""แพร่!L46"")+IMPORTRANGE(""https://doc"&amp;"s.google.com/spreadsheets/d/1Wbcosgy-Xa1xXUArJSOenub6EfZHUSzc_bpJFWwQUf0/edit?usp=share_link"",""แม่ฮ่องสอน!L46"")+IMPORTRANGE(""https://docs.google.com/spreadsheets/d/1p7ERhsr0qZeSn-KSOdeHS9r0heI-lHtkcn2OH7hP0jQ/edit?usp=share_link"",""ลำปาง!L46"")+IMPOR"&amp;"TRANGE(""https://docs.google.com/spreadsheets/d/1-uUXvimVhiU2U0bMN-xi2te0tS4X7DI2GLPnMjzl8cA/edit?usp=share_link"",""ลำพูน!L46"")+IMPORTRANGE(""https://docs.google.com/spreadsheets/d/17HrOaa5pBUI1onckFfumXB8xlg35qb2uBAFfF1D-Myo/edit?usp=share_link"",""สุโ"&amp;"ขทัย!L46"")+IMPORTRANGE(""https://docs.google.com/spreadsheets/d/1ubs5cl16eYL9gHbdHTJtmtYb9MGzHBs7CAphn8kNCgM/edit?usp=share_link"",""อุตรดิตถ์!L46"")+IMPORTRANGE(""https://docs.google.com/spreadsheets/d/1kII0BjS6CtVrBvI8IrytgPdxDrlyQDyigzMsohRtDMs/edit?u"&amp;"sp=share_link"",""อุทัยธานี!L46"")
"),9204143)</f>
        <v>9204143</v>
      </c>
      <c r="M46" s="45">
        <f ca="1">IFERROR(__xludf.DUMMYFUNCTION("IMPORTRANGE(""https://docs.google.com/spreadsheets/d/1KxicF4apzSqm0-jIpmueT4kyZtE-Cwn5zskl7GD4loQ/edit?usp=share_link"",""กำแพงเพชร!M46"")+IMPORTRANGE(""https://docs.google.com/spreadsheets/d/1ZNYWeiFoFA1K1U4xKWqRX29MBvEyRHXORjo734Gnq_c/edit?usp=share_lin"&amp;"k"",""เชียงราย!M46"")
+IMPORTRANGE(""https://docs.google.com/spreadsheets/d/1Jgv0Y7YlHDtsiDawwp-uvifEJ8HVaSn0k2aGHG8-hwM/edit?usp=share_link"",""เชียงใหม่!M46"")+IMPORTRANGE(""https://docs.google.com/spreadsheets/d/1JWG2rZePOz9pe-f-ObA-yDr0VoOX2kSb0qIix2m"&amp;"TUo8/edit?usp=share_link"",""ตาก!M46"")+IMPORTRANGE(""https://docs.google.com/spreadsheets/d/10nSRjK08hx8Y6HgSOQKNw81lyY46Zc7U_Cj72hBMp9U/edit?usp=share_link"",""นครสวรรค์!M46"")+IMPORTRANGE(""https://docs.google.com/spreadsheets/d/1gFVb7qd7amutrIxAAoM7lc"&amp;"y35hllxznovot8lyOfvDo/edit?usp=share_link"",""น่าน!M46"")+IMPORTRANGE(""https://docs.google.com/spreadsheets/d/1K0Aa9s-6EuHE5M0FG1F9aHLXRCOV917xvycTdLdct0w/edit?usp=share_link"",""พะเยา!M46"")+IMPORTRANGE(""https://docs.google.com/spreadsheets/d/1Y9LPKx95"&amp;"PyL5OKy09d-KbKJSuuEZCFdkhYjwC0XQjBA/edit?usp=share_link"",""พิจิตร!M46"")+IMPORTRANGE(""https://docs.google.com/spreadsheets/d/16OMuOwy2eVqZcYWOouQtTpa8X1L23h4660uVHc0C8os/edit?usp=share_link"",""พิษณุโลก!M46"")+IMPORTRANGE(""https://docs.google.com/sprea"&amp;"dsheets/d/1GfgTldLG6k77HXaMQzaafODklYuucJZQNs_GAPEfZyY/edit?usp=share_link"",""เพชรบูรณ์!M46"")+IMPORTRANGE(""https://docs.google.com/spreadsheets/d/1gvTMYAnm7v1yG1BKWFtr0DnaTsq59oW9dwWvFgq6hs0/edit?usp=share_link"",""แพร่!M46"")+IMPORTRANGE(""https://doc"&amp;"s.google.com/spreadsheets/d/1Wbcosgy-Xa1xXUArJSOenub6EfZHUSzc_bpJFWwQUf0/edit?usp=share_link"",""แม่ฮ่องสอน!M46"")+IMPORTRANGE(""https://docs.google.com/spreadsheets/d/1p7ERhsr0qZeSn-KSOdeHS9r0heI-lHtkcn2OH7hP0jQ/edit?usp=share_link"",""ลำปาง!M46"")+IMPOR"&amp;"TRANGE(""https://docs.google.com/spreadsheets/d/1-uUXvimVhiU2U0bMN-xi2te0tS4X7DI2GLPnMjzl8cA/edit?usp=share_link"",""ลำพูน!M46"")+IMPORTRANGE(""https://docs.google.com/spreadsheets/d/17HrOaa5pBUI1onckFfumXB8xlg35qb2uBAFfF1D-Myo/edit?usp=share_link"",""สุโ"&amp;"ขทัย!M46"")+IMPORTRANGE(""https://docs.google.com/spreadsheets/d/1ubs5cl16eYL9gHbdHTJtmtYb9MGzHBs7CAphn8kNCgM/edit?usp=share_link"",""อุตรดิตถ์!M46"")+IMPORTRANGE(""https://docs.google.com/spreadsheets/d/1kII0BjS6CtVrBvI8IrytgPdxDrlyQDyigzMsohRtDMs/edit?u"&amp;"sp=share_link"",""อุทัยธานี!M46"")
"),4638793)</f>
        <v>4638793</v>
      </c>
      <c r="N46" s="45">
        <f ca="1">IFERROR(__xludf.DUMMYFUNCTION("IMPORTRANGE(""https://docs.google.com/spreadsheets/d/1KxicF4apzSqm0-jIpmueT4kyZtE-Cwn5zskl7GD4loQ/edit?usp=share_link"",""กำแพงเพชร!N46"")+IMPORTRANGE(""https://docs.google.com/spreadsheets/d/1ZNYWeiFoFA1K1U4xKWqRX29MBvEyRHXORjo734Gnq_c/edit?usp=share_lin"&amp;"k"",""เชียงราย!N46"")
+IMPORTRANGE(""https://docs.google.com/spreadsheets/d/1Jgv0Y7YlHDtsiDawwp-uvifEJ8HVaSn0k2aGHG8-hwM/edit?usp=share_link"",""เชียงใหม่!N46"")+IMPORTRANGE(""https://docs.google.com/spreadsheets/d/1JWG2rZePOz9pe-f-ObA-yDr0VoOX2kSb0qIix2m"&amp;"TUo8/edit?usp=share_link"",""ตาก!N46"")+IMPORTRANGE(""https://docs.google.com/spreadsheets/d/10nSRjK08hx8Y6HgSOQKNw81lyY46Zc7U_Cj72hBMp9U/edit?usp=share_link"",""นครสวรรค์!N46"")+IMPORTRANGE(""https://docs.google.com/spreadsheets/d/1gFVb7qd7amutrIxAAoM7lc"&amp;"y35hllxznovot8lyOfvDo/edit?usp=share_link"",""น่าน!N46"")+IMPORTRANGE(""https://docs.google.com/spreadsheets/d/1K0Aa9s-6EuHE5M0FG1F9aHLXRCOV917xvycTdLdct0w/edit?usp=share_link"",""พะเยา!N46"")+IMPORTRANGE(""https://docs.google.com/spreadsheets/d/1Y9LPKx95"&amp;"PyL5OKy09d-KbKJSuuEZCFdkhYjwC0XQjBA/edit?usp=share_link"",""พิจิตร!N46"")+IMPORTRANGE(""https://docs.google.com/spreadsheets/d/16OMuOwy2eVqZcYWOouQtTpa8X1L23h4660uVHc0C8os/edit?usp=share_link"",""พิษณุโลก!N46"")+IMPORTRANGE(""https://docs.google.com/sprea"&amp;"dsheets/d/1GfgTldLG6k77HXaMQzaafODklYuucJZQNs_GAPEfZyY/edit?usp=share_link"",""เพชรบูรณ์!N46"")+IMPORTRANGE(""https://docs.google.com/spreadsheets/d/1gvTMYAnm7v1yG1BKWFtr0DnaTsq59oW9dwWvFgq6hs0/edit?usp=share_link"",""แพร่!N46"")+IMPORTRANGE(""https://doc"&amp;"s.google.com/spreadsheets/d/1Wbcosgy-Xa1xXUArJSOenub6EfZHUSzc_bpJFWwQUf0/edit?usp=share_link"",""แม่ฮ่องสอน!N46"")+IMPORTRANGE(""https://docs.google.com/spreadsheets/d/1p7ERhsr0qZeSn-KSOdeHS9r0heI-lHtkcn2OH7hP0jQ/edit?usp=share_link"",""ลำปาง!N46"")+IMPOR"&amp;"TRANGE(""https://docs.google.com/spreadsheets/d/1-uUXvimVhiU2U0bMN-xi2te0tS4X7DI2GLPnMjzl8cA/edit?usp=share_link"",""ลำพูน!N46"")+IMPORTRANGE(""https://docs.google.com/spreadsheets/d/17HrOaa5pBUI1onckFfumXB8xlg35qb2uBAFfF1D-Myo/edit?usp=share_link"",""สุโ"&amp;"ขทัย!N46"")+IMPORTRANGE(""https://docs.google.com/spreadsheets/d/1ubs5cl16eYL9gHbdHTJtmtYb9MGzHBs7CAphn8kNCgM/edit?usp=share_link"",""อุตรดิตถ์!N46"")+IMPORTRANGE(""https://docs.google.com/spreadsheets/d/1kII0BjS6CtVrBvI8IrytgPdxDrlyQDyigzMsohRtDMs/edit?u"&amp;"sp=share_link"",""อุทัยธานี!N46"")
"),2098731.25)</f>
        <v>2098731.25</v>
      </c>
      <c r="O46" s="45">
        <f ca="1">IF(M46&gt;0,N46*100/M46,0)</f>
        <v>45.243045982004368</v>
      </c>
      <c r="P46" s="45">
        <f t="shared" ca="1" si="36"/>
        <v>45.243045982004368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36" t="s">
        <v>12</v>
      </c>
      <c r="I47" s="37"/>
      <c r="J47" s="37"/>
      <c r="K47" s="38"/>
      <c r="L47" s="38">
        <f t="shared" ref="L47:N47" ca="1" si="40">L48+L49</f>
        <v>0</v>
      </c>
      <c r="M47" s="38">
        <f t="shared" ca="1" si="40"/>
        <v>0</v>
      </c>
      <c r="N47" s="38">
        <f t="shared" ca="1" si="40"/>
        <v>0</v>
      </c>
      <c r="O47" s="38">
        <f t="shared" ref="O47:O49" ca="1" si="41">IF(L47&gt;0,N47*100/L47,0)</f>
        <v>0</v>
      </c>
      <c r="P47" s="38">
        <f t="shared" ca="1" si="36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41" t="s">
        <v>18</v>
      </c>
      <c r="F48" s="40"/>
      <c r="G48" s="42"/>
      <c r="H48" s="43" t="s">
        <v>12</v>
      </c>
      <c r="I48" s="44"/>
      <c r="J48" s="44"/>
      <c r="K48" s="45"/>
      <c r="L48" s="93">
        <v>0</v>
      </c>
      <c r="M48" s="93">
        <v>0</v>
      </c>
      <c r="N48" s="93">
        <v>0</v>
      </c>
      <c r="O48" s="45">
        <f t="shared" si="41"/>
        <v>0</v>
      </c>
      <c r="P48" s="45">
        <f t="shared" si="36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KxicF4apzSqm0-jIpmueT4kyZtE-Cwn5zskl7GD4loQ/edit?usp=share_link"",""กำแพงเพชร!L49"")+IMPORTRANGE(""https://docs.google.com/spreadsheets/d/1ZNYWeiFoFA1K1U4xKWqRX29MBvEyRHXORjo734Gnq_c/edit?usp=share_lin"&amp;"k"",""เชียงราย!L49"")
+IMPORTRANGE(""https://docs.google.com/spreadsheets/d/1Jgv0Y7YlHDtsiDawwp-uvifEJ8HVaSn0k2aGHG8-hwM/edit?usp=share_link"",""เชียงใหม่!L49"")+IMPORTRANGE(""https://docs.google.com/spreadsheets/d/1JWG2rZePOz9pe-f-ObA-yDr0VoOX2kSb0qIix2m"&amp;"TUo8/edit?usp=share_link"",""ตาก!L49"")+IMPORTRANGE(""https://docs.google.com/spreadsheets/d/10nSRjK08hx8Y6HgSOQKNw81lyY46Zc7U_Cj72hBMp9U/edit?usp=share_link"",""นครสวรรค์!L49"")+IMPORTRANGE(""https://docs.google.com/spreadsheets/d/1gFVb7qd7amutrIxAAoM7lc"&amp;"y35hllxznovot8lyOfvDo/edit?usp=share_link"",""น่าน!L49"")+IMPORTRANGE(""https://docs.google.com/spreadsheets/d/1K0Aa9s-6EuHE5M0FG1F9aHLXRCOV917xvycTdLdct0w/edit?usp=share_link"",""พะเยา!L49"")+IMPORTRANGE(""https://docs.google.com/spreadsheets/d/1Y9LPKx95"&amp;"PyL5OKy09d-KbKJSuuEZCFdkhYjwC0XQjBA/edit?usp=share_link"",""พิจิตร!L49"")+IMPORTRANGE(""https://docs.google.com/spreadsheets/d/16OMuOwy2eVqZcYWOouQtTpa8X1L23h4660uVHc0C8os/edit?usp=share_link"",""พิษณุโลก!L49"")+IMPORTRANGE(""https://docs.google.com/sprea"&amp;"dsheets/d/1GfgTldLG6k77HXaMQzaafODklYuucJZQNs_GAPEfZyY/edit?usp=share_link"",""เพชรบูรณ์!L49"")+IMPORTRANGE(""https://docs.google.com/spreadsheets/d/1gvTMYAnm7v1yG1BKWFtr0DnaTsq59oW9dwWvFgq6hs0/edit?usp=share_link"",""แพร่!L49"")+IMPORTRANGE(""https://doc"&amp;"s.google.com/spreadsheets/d/1Wbcosgy-Xa1xXUArJSOenub6EfZHUSzc_bpJFWwQUf0/edit?usp=share_link"",""แม่ฮ่องสอน!L49"")+IMPORTRANGE(""https://docs.google.com/spreadsheets/d/1p7ERhsr0qZeSn-KSOdeHS9r0heI-lHtkcn2OH7hP0jQ/edit?usp=share_link"",""ลำปาง!L49"")+IMPOR"&amp;"TRANGE(""https://docs.google.com/spreadsheets/d/1-uUXvimVhiU2U0bMN-xi2te0tS4X7DI2GLPnMjzl8cA/edit?usp=share_link"",""ลำพูน!L49"")+IMPORTRANGE(""https://docs.google.com/spreadsheets/d/17HrOaa5pBUI1onckFfumXB8xlg35qb2uBAFfF1D-Myo/edit?usp=share_link"",""สุโ"&amp;"ขทัย!L49"")+IMPORTRANGE(""https://docs.google.com/spreadsheets/d/1ubs5cl16eYL9gHbdHTJtmtYb9MGzHBs7CAphn8kNCgM/edit?usp=share_link"",""อุตรดิตถ์!L49"")+IMPORTRANGE(""https://docs.google.com/spreadsheets/d/1kII0BjS6CtVrBvI8IrytgPdxDrlyQDyigzMsohRtDMs/edit?u"&amp;"sp=share_link"",""อุทัยธานี!L49"")
"),0)</f>
        <v>0</v>
      </c>
      <c r="M49" s="52">
        <f ca="1">IFERROR(__xludf.DUMMYFUNCTION("IMPORTRANGE(""https://docs.google.com/spreadsheets/d/1KxicF4apzSqm0-jIpmueT4kyZtE-Cwn5zskl7GD4loQ/edit?usp=share_link"",""กำแพงเพชร!M49"")+IMPORTRANGE(""https://docs.google.com/spreadsheets/d/1ZNYWeiFoFA1K1U4xKWqRX29MBvEyRHXORjo734Gnq_c/edit?usp=share_lin"&amp;"k"",""เชียงราย!M49"")
+IMPORTRANGE(""https://docs.google.com/spreadsheets/d/1Jgv0Y7YlHDtsiDawwp-uvifEJ8HVaSn0k2aGHG8-hwM/edit?usp=share_link"",""เชียงใหม่!M49"")+IMPORTRANGE(""https://docs.google.com/spreadsheets/d/1JWG2rZePOz9pe-f-ObA-yDr0VoOX2kSb0qIix2m"&amp;"TUo8/edit?usp=share_link"",""ตาก!M49"")+IMPORTRANGE(""https://docs.google.com/spreadsheets/d/10nSRjK08hx8Y6HgSOQKNw81lyY46Zc7U_Cj72hBMp9U/edit?usp=share_link"",""นครสวรรค์!M49"")+IMPORTRANGE(""https://docs.google.com/spreadsheets/d/1gFVb7qd7amutrIxAAoM7lc"&amp;"y35hllxznovot8lyOfvDo/edit?usp=share_link"",""น่าน!M49"")+IMPORTRANGE(""https://docs.google.com/spreadsheets/d/1K0Aa9s-6EuHE5M0FG1F9aHLXRCOV917xvycTdLdct0w/edit?usp=share_link"",""พะเยา!M49"")+IMPORTRANGE(""https://docs.google.com/spreadsheets/d/1Y9LPKx95"&amp;"PyL5OKy09d-KbKJSuuEZCFdkhYjwC0XQjBA/edit?usp=share_link"",""พิจิตร!M49"")+IMPORTRANGE(""https://docs.google.com/spreadsheets/d/16OMuOwy2eVqZcYWOouQtTpa8X1L23h4660uVHc0C8os/edit?usp=share_link"",""พิษณุโลก!M49"")+IMPORTRANGE(""https://docs.google.com/sprea"&amp;"dsheets/d/1GfgTldLG6k77HXaMQzaafODklYuucJZQNs_GAPEfZyY/edit?usp=share_link"",""เพชรบูรณ์!M49"")+IMPORTRANGE(""https://docs.google.com/spreadsheets/d/1gvTMYAnm7v1yG1BKWFtr0DnaTsq59oW9dwWvFgq6hs0/edit?usp=share_link"",""แพร่!M49"")+IMPORTRANGE(""https://doc"&amp;"s.google.com/spreadsheets/d/1Wbcosgy-Xa1xXUArJSOenub6EfZHUSzc_bpJFWwQUf0/edit?usp=share_link"",""แม่ฮ่องสอน!M49"")+IMPORTRANGE(""https://docs.google.com/spreadsheets/d/1p7ERhsr0qZeSn-KSOdeHS9r0heI-lHtkcn2OH7hP0jQ/edit?usp=share_link"",""ลำปาง!M49"")+IMPOR"&amp;"TRANGE(""https://docs.google.com/spreadsheets/d/1-uUXvimVhiU2U0bMN-xi2te0tS4X7DI2GLPnMjzl8cA/edit?usp=share_link"",""ลำพูน!M49"")+IMPORTRANGE(""https://docs.google.com/spreadsheets/d/17HrOaa5pBUI1onckFfumXB8xlg35qb2uBAFfF1D-Myo/edit?usp=share_link"",""สุโ"&amp;"ขทัย!M49"")+IMPORTRANGE(""https://docs.google.com/spreadsheets/d/1ubs5cl16eYL9gHbdHTJtmtYb9MGzHBs7CAphn8kNCgM/edit?usp=share_link"",""อุตรดิตถ์!M49"")+IMPORTRANGE(""https://docs.google.com/spreadsheets/d/1kII0BjS6CtVrBvI8IrytgPdxDrlyQDyigzMsohRtDMs/edit?u"&amp;"sp=share_link"",""อุทัยธานี!M49"")
"),0)</f>
        <v>0</v>
      </c>
      <c r="N49" s="52">
        <f ca="1">IFERROR(__xludf.DUMMYFUNCTION("IMPORTRANGE(""https://docs.google.com/spreadsheets/d/1KxicF4apzSqm0-jIpmueT4kyZtE-Cwn5zskl7GD4loQ/edit?usp=share_link"",""กำแพงเพชร!N49"")+IMPORTRANGE(""https://docs.google.com/spreadsheets/d/1ZNYWeiFoFA1K1U4xKWqRX29MBvEyRHXORjo734Gnq_c/edit?usp=share_lin"&amp;"k"",""เชียงราย!N49"")
+IMPORTRANGE(""https://docs.google.com/spreadsheets/d/1Jgv0Y7YlHDtsiDawwp-uvifEJ8HVaSn0k2aGHG8-hwM/edit?usp=share_link"",""เชียงใหม่!N49"")+IMPORTRANGE(""https://docs.google.com/spreadsheets/d/1JWG2rZePOz9pe-f-ObA-yDr0VoOX2kSb0qIix2m"&amp;"TUo8/edit?usp=share_link"",""ตาก!N49"")+IMPORTRANGE(""https://docs.google.com/spreadsheets/d/10nSRjK08hx8Y6HgSOQKNw81lyY46Zc7U_Cj72hBMp9U/edit?usp=share_link"",""นครสวรรค์!N49"")+IMPORTRANGE(""https://docs.google.com/spreadsheets/d/1gFVb7qd7amutrIxAAoM7lc"&amp;"y35hllxznovot8lyOfvDo/edit?usp=share_link"",""น่าน!N49"")+IMPORTRANGE(""https://docs.google.com/spreadsheets/d/1K0Aa9s-6EuHE5M0FG1F9aHLXRCOV917xvycTdLdct0w/edit?usp=share_link"",""พะเยา!N49"")+IMPORTRANGE(""https://docs.google.com/spreadsheets/d/1Y9LPKx95"&amp;"PyL5OKy09d-KbKJSuuEZCFdkhYjwC0XQjBA/edit?usp=share_link"",""พิจิตร!N49"")+IMPORTRANGE(""https://docs.google.com/spreadsheets/d/16OMuOwy2eVqZcYWOouQtTpa8X1L23h4660uVHc0C8os/edit?usp=share_link"",""พิษณุโลก!N49"")+IMPORTRANGE(""https://docs.google.com/sprea"&amp;"dsheets/d/1GfgTldLG6k77HXaMQzaafODklYuucJZQNs_GAPEfZyY/edit?usp=share_link"",""เพชรบูรณ์!N49"")+IMPORTRANGE(""https://docs.google.com/spreadsheets/d/1gvTMYAnm7v1yG1BKWFtr0DnaTsq59oW9dwWvFgq6hs0/edit?usp=share_link"",""แพร่!N49"")+IMPORTRANGE(""https://doc"&amp;"s.google.com/spreadsheets/d/1Wbcosgy-Xa1xXUArJSOenub6EfZHUSzc_bpJFWwQUf0/edit?usp=share_link"",""แม่ฮ่องสอน!N49"")+IMPORTRANGE(""https://docs.google.com/spreadsheets/d/1p7ERhsr0qZeSn-KSOdeHS9r0heI-lHtkcn2OH7hP0jQ/edit?usp=share_link"",""ลำปาง!N49"")+IMPOR"&amp;"TRANGE(""https://docs.google.com/spreadsheets/d/1-uUXvimVhiU2U0bMN-xi2te0tS4X7DI2GLPnMjzl8cA/edit?usp=share_link"",""ลำพูน!N49"")+IMPORTRANGE(""https://docs.google.com/spreadsheets/d/17HrOaa5pBUI1onckFfumXB8xlg35qb2uBAFfF1D-Myo/edit?usp=share_link"",""สุโ"&amp;"ขทัย!N49"")+IMPORTRANGE(""https://docs.google.com/spreadsheets/d/1ubs5cl16eYL9gHbdHTJtmtYb9MGzHBs7CAphn8kNCgM/edit?usp=share_link"",""อุตรดิตถ์!N49"")+IMPORTRANGE(""https://docs.google.com/spreadsheets/d/1kII0BjS6CtVrBvI8IrytgPdxDrlyQDyigzMsohRtDMs/edit?u"&amp;"sp=share_link"",""อุทัยธานี!N49"")
"),0)</f>
        <v>0</v>
      </c>
      <c r="O49" s="52">
        <f t="shared" ca="1" si="41"/>
        <v>0</v>
      </c>
      <c r="P49" s="52">
        <f t="shared" ca="1" si="36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07" t="s">
        <v>28</v>
      </c>
      <c r="B50" s="797"/>
      <c r="C50" s="797"/>
      <c r="D50" s="797"/>
      <c r="E50" s="797"/>
      <c r="F50" s="797"/>
      <c r="G50" s="795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08" t="s">
        <v>29</v>
      </c>
      <c r="C51" s="805"/>
      <c r="D51" s="805"/>
      <c r="E51" s="805"/>
      <c r="F51" s="805"/>
      <c r="G51" s="806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111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42">L54+L55</f>
        <v>26653800</v>
      </c>
      <c r="M53" s="116">
        <f t="shared" ca="1" si="42"/>
        <v>20327070</v>
      </c>
      <c r="N53" s="116">
        <f t="shared" ca="1" si="42"/>
        <v>5459130.3499999903</v>
      </c>
      <c r="O53" s="116">
        <f t="shared" ref="O53:O61" ca="1" si="43">IF(L53&gt;0,N53*100/L53,0)</f>
        <v>20.481621194726419</v>
      </c>
      <c r="P53" s="116">
        <f t="shared" ref="P53:P61" ca="1" si="44">IF(M53&gt;0,N53*100/M53,0)</f>
        <v>26.856454717772856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4" si="45">L57+L60</f>
        <v>0</v>
      </c>
      <c r="M54" s="123">
        <f t="shared" si="45"/>
        <v>0</v>
      </c>
      <c r="N54" s="123">
        <f t="shared" si="45"/>
        <v>0</v>
      </c>
      <c r="O54" s="123">
        <f t="shared" si="43"/>
        <v>0</v>
      </c>
      <c r="P54" s="123">
        <f t="shared" si="44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ref="L55:N55" ca="1" si="46">L58+L61</f>
        <v>26653800</v>
      </c>
      <c r="M55" s="123">
        <f t="shared" ca="1" si="46"/>
        <v>20327070</v>
      </c>
      <c r="N55" s="123">
        <f t="shared" ca="1" si="46"/>
        <v>5459130.3499999903</v>
      </c>
      <c r="O55" s="123">
        <f t="shared" ca="1" si="43"/>
        <v>20.481621194726419</v>
      </c>
      <c r="P55" s="123">
        <f t="shared" ca="1" si="44"/>
        <v>26.856454717772856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36" t="s">
        <v>12</v>
      </c>
      <c r="I56" s="37"/>
      <c r="J56" s="37"/>
      <c r="K56" s="38"/>
      <c r="L56" s="38">
        <f t="shared" ref="L56:N56" ca="1" si="47">L57+L58</f>
        <v>12823100</v>
      </c>
      <c r="M56" s="38">
        <f t="shared" ca="1" si="47"/>
        <v>6498170</v>
      </c>
      <c r="N56" s="38">
        <f t="shared" ca="1" si="47"/>
        <v>3898564.3499999898</v>
      </c>
      <c r="O56" s="38">
        <f t="shared" ca="1" si="43"/>
        <v>30.402666671865539</v>
      </c>
      <c r="P56" s="38">
        <f t="shared" ca="1" si="44"/>
        <v>59.994803921719345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41" t="s">
        <v>18</v>
      </c>
      <c r="F57" s="40"/>
      <c r="G57" s="42"/>
      <c r="H57" s="43" t="s">
        <v>12</v>
      </c>
      <c r="I57" s="44"/>
      <c r="J57" s="44"/>
      <c r="K57" s="45"/>
      <c r="L57" s="93">
        <v>0</v>
      </c>
      <c r="M57" s="93">
        <v>0</v>
      </c>
      <c r="N57" s="93">
        <v>0</v>
      </c>
      <c r="O57" s="45">
        <f t="shared" si="43"/>
        <v>0</v>
      </c>
      <c r="P57" s="45">
        <f t="shared" si="44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41" t="s">
        <v>19</v>
      </c>
      <c r="F58" s="40"/>
      <c r="G58" s="42"/>
      <c r="H58" s="43" t="s">
        <v>12</v>
      </c>
      <c r="I58" s="44"/>
      <c r="J58" s="44"/>
      <c r="K58" s="45"/>
      <c r="L58" s="45">
        <f ca="1">IFERROR(__xludf.DUMMYFUNCTION("IMPORTRANGE(""https://docs.google.com/spreadsheets/d/1KxicF4apzSqm0-jIpmueT4kyZtE-Cwn5zskl7GD4loQ/edit?usp=share_link"",""กำแพงเพชร!L58"")+IMPORTRANGE(""https://docs.google.com/spreadsheets/d/1ZNYWeiFoFA1K1U4xKWqRX29MBvEyRHXORjo734Gnq_c/edit?usp=share_lin"&amp;"k"",""เชียงราย!L58"")
+IMPORTRANGE(""https://docs.google.com/spreadsheets/d/1Jgv0Y7YlHDtsiDawwp-uvifEJ8HVaSn0k2aGHG8-hwM/edit?usp=share_link"",""เชียงใหม่!L58"")+IMPORTRANGE(""https://docs.google.com/spreadsheets/d/1JWG2rZePOz9pe-f-ObA-yDr0VoOX2kSb0qIix2m"&amp;"TUo8/edit?usp=share_link"",""ตาก!L58"")+IMPORTRANGE(""https://docs.google.com/spreadsheets/d/10nSRjK08hx8Y6HgSOQKNw81lyY46Zc7U_Cj72hBMp9U/edit?usp=share_link"",""นครสวรรค์!L58"")+IMPORTRANGE(""https://docs.google.com/spreadsheets/d/1gFVb7qd7amutrIxAAoM7lc"&amp;"y35hllxznovot8lyOfvDo/edit?usp=share_link"",""น่าน!L58"")+IMPORTRANGE(""https://docs.google.com/spreadsheets/d/1K0Aa9s-6EuHE5M0FG1F9aHLXRCOV917xvycTdLdct0w/edit?usp=share_link"",""พะเยา!L58"")+IMPORTRANGE(""https://docs.google.com/spreadsheets/d/1Y9LPKx95"&amp;"PyL5OKy09d-KbKJSuuEZCFdkhYjwC0XQjBA/edit?usp=share_link"",""พิจิตร!L58"")+IMPORTRANGE(""https://docs.google.com/spreadsheets/d/16OMuOwy2eVqZcYWOouQtTpa8X1L23h4660uVHc0C8os/edit?usp=share_link"",""พิษณุโลก!L58"")+IMPORTRANGE(""https://docs.google.com/sprea"&amp;"dsheets/d/1GfgTldLG6k77HXaMQzaafODklYuucJZQNs_GAPEfZyY/edit?usp=share_link"",""เพชรบูรณ์!L58"")+IMPORTRANGE(""https://docs.google.com/spreadsheets/d/1gvTMYAnm7v1yG1BKWFtr0DnaTsq59oW9dwWvFgq6hs0/edit?usp=share_link"",""แพร่!L58"")+IMPORTRANGE(""https://doc"&amp;"s.google.com/spreadsheets/d/1Wbcosgy-Xa1xXUArJSOenub6EfZHUSzc_bpJFWwQUf0/edit?usp=share_link"",""แม่ฮ่องสอน!L58"")+IMPORTRANGE(""https://docs.google.com/spreadsheets/d/1p7ERhsr0qZeSn-KSOdeHS9r0heI-lHtkcn2OH7hP0jQ/edit?usp=share_link"",""ลำปาง!L58"")+IMPOR"&amp;"TRANGE(""https://docs.google.com/spreadsheets/d/1-uUXvimVhiU2U0bMN-xi2te0tS4X7DI2GLPnMjzl8cA/edit?usp=share_link"",""ลำพูน!L58"")+IMPORTRANGE(""https://docs.google.com/spreadsheets/d/17HrOaa5pBUI1onckFfumXB8xlg35qb2uBAFfF1D-Myo/edit?usp=share_link"",""สุโ"&amp;"ขทัย!L58"")+IMPORTRANGE(""https://docs.google.com/spreadsheets/d/1ubs5cl16eYL9gHbdHTJtmtYb9MGzHBs7CAphn8kNCgM/edit?usp=share_link"",""อุตรดิตถ์!L58"")+IMPORTRANGE(""https://docs.google.com/spreadsheets/d/1kII0BjS6CtVrBvI8IrytgPdxDrlyQDyigzMsohRtDMs/edit?u"&amp;"sp=share_link"",""อุทัยธานี!L58"")
"),12823100)</f>
        <v>12823100</v>
      </c>
      <c r="M58" s="45">
        <f ca="1">IFERROR(__xludf.DUMMYFUNCTION("IMPORTRANGE(""https://docs.google.com/spreadsheets/d/1KxicF4apzSqm0-jIpmueT4kyZtE-Cwn5zskl7GD4loQ/edit?usp=share_link"",""กำแพงเพชร!M58"")+IMPORTRANGE(""https://docs.google.com/spreadsheets/d/1ZNYWeiFoFA1K1U4xKWqRX29MBvEyRHXORjo734Gnq_c/edit?usp=share_lin"&amp;"k"",""เชียงราย!M58"")
+IMPORTRANGE(""https://docs.google.com/spreadsheets/d/1Jgv0Y7YlHDtsiDawwp-uvifEJ8HVaSn0k2aGHG8-hwM/edit?usp=share_link"",""เชียงใหม่!M58"")+IMPORTRANGE(""https://docs.google.com/spreadsheets/d/1JWG2rZePOz9pe-f-ObA-yDr0VoOX2kSb0qIix2m"&amp;"TUo8/edit?usp=share_link"",""ตาก!M58"")+IMPORTRANGE(""https://docs.google.com/spreadsheets/d/10nSRjK08hx8Y6HgSOQKNw81lyY46Zc7U_Cj72hBMp9U/edit?usp=share_link"",""นครสวรรค์!M58"")+IMPORTRANGE(""https://docs.google.com/spreadsheets/d/1gFVb7qd7amutrIxAAoM7lc"&amp;"y35hllxznovot8lyOfvDo/edit?usp=share_link"",""น่าน!M58"")+IMPORTRANGE(""https://docs.google.com/spreadsheets/d/1K0Aa9s-6EuHE5M0FG1F9aHLXRCOV917xvycTdLdct0w/edit?usp=share_link"",""พะเยา!M58"")+IMPORTRANGE(""https://docs.google.com/spreadsheets/d/1Y9LPKx95"&amp;"PyL5OKy09d-KbKJSuuEZCFdkhYjwC0XQjBA/edit?usp=share_link"",""พิจิตร!M58"")+IMPORTRANGE(""https://docs.google.com/spreadsheets/d/16OMuOwy2eVqZcYWOouQtTpa8X1L23h4660uVHc0C8os/edit?usp=share_link"",""พิษณุโลก!M58"")+IMPORTRANGE(""https://docs.google.com/sprea"&amp;"dsheets/d/1GfgTldLG6k77HXaMQzaafODklYuucJZQNs_GAPEfZyY/edit?usp=share_link"",""เพชรบูรณ์!M58"")+IMPORTRANGE(""https://docs.google.com/spreadsheets/d/1gvTMYAnm7v1yG1BKWFtr0DnaTsq59oW9dwWvFgq6hs0/edit?usp=share_link"",""แพร่!M58"")+IMPORTRANGE(""https://doc"&amp;"s.google.com/spreadsheets/d/1Wbcosgy-Xa1xXUArJSOenub6EfZHUSzc_bpJFWwQUf0/edit?usp=share_link"",""แม่ฮ่องสอน!M58"")+IMPORTRANGE(""https://docs.google.com/spreadsheets/d/1p7ERhsr0qZeSn-KSOdeHS9r0heI-lHtkcn2OH7hP0jQ/edit?usp=share_link"",""ลำปาง!M58"")+IMPOR"&amp;"TRANGE(""https://docs.google.com/spreadsheets/d/1-uUXvimVhiU2U0bMN-xi2te0tS4X7DI2GLPnMjzl8cA/edit?usp=share_link"",""ลำพูน!M58"")+IMPORTRANGE(""https://docs.google.com/spreadsheets/d/17HrOaa5pBUI1onckFfumXB8xlg35qb2uBAFfF1D-Myo/edit?usp=share_link"",""สุโ"&amp;"ขทัย!M58"")+IMPORTRANGE(""https://docs.google.com/spreadsheets/d/1ubs5cl16eYL9gHbdHTJtmtYb9MGzHBs7CAphn8kNCgM/edit?usp=share_link"",""อุตรดิตถ์!M58"")+IMPORTRANGE(""https://docs.google.com/spreadsheets/d/1kII0BjS6CtVrBvI8IrytgPdxDrlyQDyigzMsohRtDMs/edit?u"&amp;"sp=share_link"",""อุทัยธานี!M58"")
"),6498170)</f>
        <v>6498170</v>
      </c>
      <c r="N58" s="45">
        <f ca="1">IFERROR(__xludf.DUMMYFUNCTION("IMPORTRANGE(""https://docs.google.com/spreadsheets/d/1KxicF4apzSqm0-jIpmueT4kyZtE-Cwn5zskl7GD4loQ/edit?usp=share_link"",""กำแพงเพชร!N58"")+IMPORTRANGE(""https://docs.google.com/spreadsheets/d/1ZNYWeiFoFA1K1U4xKWqRX29MBvEyRHXORjo734Gnq_c/edit?usp=share_lin"&amp;"k"",""เชียงราย!N58"")
+IMPORTRANGE(""https://docs.google.com/spreadsheets/d/1Jgv0Y7YlHDtsiDawwp-uvifEJ8HVaSn0k2aGHG8-hwM/edit?usp=share_link"",""เชียงใหม่!N58"")+IMPORTRANGE(""https://docs.google.com/spreadsheets/d/1JWG2rZePOz9pe-f-ObA-yDr0VoOX2kSb0qIix2m"&amp;"TUo8/edit?usp=share_link"",""ตาก!N58"")+IMPORTRANGE(""https://docs.google.com/spreadsheets/d/10nSRjK08hx8Y6HgSOQKNw81lyY46Zc7U_Cj72hBMp9U/edit?usp=share_link"",""นครสวรรค์!N58"")+IMPORTRANGE(""https://docs.google.com/spreadsheets/d/1gFVb7qd7amutrIxAAoM7lc"&amp;"y35hllxznovot8lyOfvDo/edit?usp=share_link"",""น่าน!N58"")+IMPORTRANGE(""https://docs.google.com/spreadsheets/d/1K0Aa9s-6EuHE5M0FG1F9aHLXRCOV917xvycTdLdct0w/edit?usp=share_link"",""พะเยา!N58"")+IMPORTRANGE(""https://docs.google.com/spreadsheets/d/1Y9LPKx95"&amp;"PyL5OKy09d-KbKJSuuEZCFdkhYjwC0XQjBA/edit?usp=share_link"",""พิจิตร!N58"")+IMPORTRANGE(""https://docs.google.com/spreadsheets/d/16OMuOwy2eVqZcYWOouQtTpa8X1L23h4660uVHc0C8os/edit?usp=share_link"",""พิษณุโลก!N58"")+IMPORTRANGE(""https://docs.google.com/sprea"&amp;"dsheets/d/1GfgTldLG6k77HXaMQzaafODklYuucJZQNs_GAPEfZyY/edit?usp=share_link"",""เพชรบูรณ์!N58"")+IMPORTRANGE(""https://docs.google.com/spreadsheets/d/1gvTMYAnm7v1yG1BKWFtr0DnaTsq59oW9dwWvFgq6hs0/edit?usp=share_link"",""แพร่!N58"")+IMPORTRANGE(""https://doc"&amp;"s.google.com/spreadsheets/d/1Wbcosgy-Xa1xXUArJSOenub6EfZHUSzc_bpJFWwQUf0/edit?usp=share_link"",""แม่ฮ่องสอน!N58"")+IMPORTRANGE(""https://docs.google.com/spreadsheets/d/1p7ERhsr0qZeSn-KSOdeHS9r0heI-lHtkcn2OH7hP0jQ/edit?usp=share_link"",""ลำปาง!N58"")+IMPOR"&amp;"TRANGE(""https://docs.google.com/spreadsheets/d/1-uUXvimVhiU2U0bMN-xi2te0tS4X7DI2GLPnMjzl8cA/edit?usp=share_link"",""ลำพูน!N58"")+IMPORTRANGE(""https://docs.google.com/spreadsheets/d/17HrOaa5pBUI1onckFfumXB8xlg35qb2uBAFfF1D-Myo/edit?usp=share_link"",""สุโ"&amp;"ขทัย!N58"")+IMPORTRANGE(""https://docs.google.com/spreadsheets/d/1ubs5cl16eYL9gHbdHTJtmtYb9MGzHBs7CAphn8kNCgM/edit?usp=share_link"",""อุตรดิตถ์!N58"")+IMPORTRANGE(""https://docs.google.com/spreadsheets/d/1kII0BjS6CtVrBvI8IrytgPdxDrlyQDyigzMsohRtDMs/edit?u"&amp;"sp=share_link"",""อุทัยธานี!N58"")
"),3898564.34999999)</f>
        <v>3898564.3499999898</v>
      </c>
      <c r="O58" s="45">
        <f t="shared" ca="1" si="43"/>
        <v>30.402666671865539</v>
      </c>
      <c r="P58" s="45">
        <f t="shared" ca="1" si="44"/>
        <v>59.994803921719345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36" t="s">
        <v>12</v>
      </c>
      <c r="I59" s="37"/>
      <c r="J59" s="37"/>
      <c r="K59" s="38"/>
      <c r="L59" s="38">
        <f t="shared" ref="L59:N59" ca="1" si="48">L60+L61</f>
        <v>13830700</v>
      </c>
      <c r="M59" s="38">
        <f t="shared" ca="1" si="48"/>
        <v>13828900</v>
      </c>
      <c r="N59" s="38">
        <f t="shared" ca="1" si="48"/>
        <v>1560566</v>
      </c>
      <c r="O59" s="38">
        <f t="shared" ca="1" si="43"/>
        <v>11.283347914422263</v>
      </c>
      <c r="P59" s="38">
        <f t="shared" ca="1" si="44"/>
        <v>11.284816579771348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41" t="s">
        <v>18</v>
      </c>
      <c r="F60" s="40"/>
      <c r="G60" s="42"/>
      <c r="H60" s="43" t="s">
        <v>12</v>
      </c>
      <c r="I60" s="44"/>
      <c r="J60" s="44"/>
      <c r="K60" s="45"/>
      <c r="L60" s="93">
        <v>0</v>
      </c>
      <c r="M60" s="93">
        <v>0</v>
      </c>
      <c r="N60" s="93">
        <v>0</v>
      </c>
      <c r="O60" s="45">
        <f t="shared" si="43"/>
        <v>0</v>
      </c>
      <c r="P60" s="45">
        <f t="shared" si="44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KxicF4apzSqm0-jIpmueT4kyZtE-Cwn5zskl7GD4loQ/edit?usp=share_link"",""กำแพงเพชร!L61"")+IMPORTRANGE(""https://docs.google.com/spreadsheets/d/1ZNYWeiFoFA1K1U4xKWqRX29MBvEyRHXORjo734Gnq_c/edit?usp=share_lin"&amp;"k"",""เชียงราย!L61"")
+IMPORTRANGE(""https://docs.google.com/spreadsheets/d/1Jgv0Y7YlHDtsiDawwp-uvifEJ8HVaSn0k2aGHG8-hwM/edit?usp=share_link"",""เชียงใหม่!L61"")+IMPORTRANGE(""https://docs.google.com/spreadsheets/d/1JWG2rZePOz9pe-f-ObA-yDr0VoOX2kSb0qIix2m"&amp;"TUo8/edit?usp=share_link"",""ตาก!L61"")+IMPORTRANGE(""https://docs.google.com/spreadsheets/d/10nSRjK08hx8Y6HgSOQKNw81lyY46Zc7U_Cj72hBMp9U/edit?usp=share_link"",""นครสวรรค์!L61"")+IMPORTRANGE(""https://docs.google.com/spreadsheets/d/1gFVb7qd7amutrIxAAoM7lc"&amp;"y35hllxznovot8lyOfvDo/edit?usp=share_link"",""น่าน!L61"")+IMPORTRANGE(""https://docs.google.com/spreadsheets/d/1K0Aa9s-6EuHE5M0FG1F9aHLXRCOV917xvycTdLdct0w/edit?usp=share_link"",""พะเยา!L61"")+IMPORTRANGE(""https://docs.google.com/spreadsheets/d/1Y9LPKx95"&amp;"PyL5OKy09d-KbKJSuuEZCFdkhYjwC0XQjBA/edit?usp=share_link"",""พิจิตร!L61"")+IMPORTRANGE(""https://docs.google.com/spreadsheets/d/16OMuOwy2eVqZcYWOouQtTpa8X1L23h4660uVHc0C8os/edit?usp=share_link"",""พิษณุโลก!L61"")+IMPORTRANGE(""https://docs.google.com/sprea"&amp;"dsheets/d/1GfgTldLG6k77HXaMQzaafODklYuucJZQNs_GAPEfZyY/edit?usp=share_link"",""เพชรบูรณ์!L61"")+IMPORTRANGE(""https://docs.google.com/spreadsheets/d/1gvTMYAnm7v1yG1BKWFtr0DnaTsq59oW9dwWvFgq6hs0/edit?usp=share_link"",""แพร่!L61"")+IMPORTRANGE(""https://doc"&amp;"s.google.com/spreadsheets/d/1Wbcosgy-Xa1xXUArJSOenub6EfZHUSzc_bpJFWwQUf0/edit?usp=share_link"",""แม่ฮ่องสอน!L61"")+IMPORTRANGE(""https://docs.google.com/spreadsheets/d/1p7ERhsr0qZeSn-KSOdeHS9r0heI-lHtkcn2OH7hP0jQ/edit?usp=share_link"",""ลำปาง!L61"")+IMPOR"&amp;"TRANGE(""https://docs.google.com/spreadsheets/d/1-uUXvimVhiU2U0bMN-xi2te0tS4X7DI2GLPnMjzl8cA/edit?usp=share_link"",""ลำพูน!L61"")+IMPORTRANGE(""https://docs.google.com/spreadsheets/d/17HrOaa5pBUI1onckFfumXB8xlg35qb2uBAFfF1D-Myo/edit?usp=share_link"",""สุโ"&amp;"ขทัย!L61"")+IMPORTRANGE(""https://docs.google.com/spreadsheets/d/1ubs5cl16eYL9gHbdHTJtmtYb9MGzHBs7CAphn8kNCgM/edit?usp=share_link"",""อุตรดิตถ์!L61"")+IMPORTRANGE(""https://docs.google.com/spreadsheets/d/1kII0BjS6CtVrBvI8IrytgPdxDrlyQDyigzMsohRtDMs/edit?u"&amp;"sp=share_link"",""อุทัยธานี!L61"")
"),13830700)</f>
        <v>13830700</v>
      </c>
      <c r="M61" s="52">
        <f ca="1">IFERROR(__xludf.DUMMYFUNCTION("IMPORTRANGE(""https://docs.google.com/spreadsheets/d/1KxicF4apzSqm0-jIpmueT4kyZtE-Cwn5zskl7GD4loQ/edit?usp=share_link"",""กำแพงเพชร!M61"")+IMPORTRANGE(""https://docs.google.com/spreadsheets/d/1ZNYWeiFoFA1K1U4xKWqRX29MBvEyRHXORjo734Gnq_c/edit?usp=share_lin"&amp;"k"",""เชียงราย!M61"")
+IMPORTRANGE(""https://docs.google.com/spreadsheets/d/1Jgv0Y7YlHDtsiDawwp-uvifEJ8HVaSn0k2aGHG8-hwM/edit?usp=share_link"",""เชียงใหม่!M61"")+IMPORTRANGE(""https://docs.google.com/spreadsheets/d/1JWG2rZePOz9pe-f-ObA-yDr0VoOX2kSb0qIix2m"&amp;"TUo8/edit?usp=share_link"",""ตาก!M61"")+IMPORTRANGE(""https://docs.google.com/spreadsheets/d/10nSRjK08hx8Y6HgSOQKNw81lyY46Zc7U_Cj72hBMp9U/edit?usp=share_link"",""นครสวรรค์!M61"")+IMPORTRANGE(""https://docs.google.com/spreadsheets/d/1gFVb7qd7amutrIxAAoM7lc"&amp;"y35hllxznovot8lyOfvDo/edit?usp=share_link"",""น่าน!M61"")+IMPORTRANGE(""https://docs.google.com/spreadsheets/d/1K0Aa9s-6EuHE5M0FG1F9aHLXRCOV917xvycTdLdct0w/edit?usp=share_link"",""พะเยา!M61"")+IMPORTRANGE(""https://docs.google.com/spreadsheets/d/1Y9LPKx95"&amp;"PyL5OKy09d-KbKJSuuEZCFdkhYjwC0XQjBA/edit?usp=share_link"",""พิจิตร!M61"")+IMPORTRANGE(""https://docs.google.com/spreadsheets/d/16OMuOwy2eVqZcYWOouQtTpa8X1L23h4660uVHc0C8os/edit?usp=share_link"",""พิษณุโลก!M61"")+IMPORTRANGE(""https://docs.google.com/sprea"&amp;"dsheets/d/1GfgTldLG6k77HXaMQzaafODklYuucJZQNs_GAPEfZyY/edit?usp=share_link"",""เพชรบูรณ์!M61"")+IMPORTRANGE(""https://docs.google.com/spreadsheets/d/1gvTMYAnm7v1yG1BKWFtr0DnaTsq59oW9dwWvFgq6hs0/edit?usp=share_link"",""แพร่!M61"")+IMPORTRANGE(""https://doc"&amp;"s.google.com/spreadsheets/d/1Wbcosgy-Xa1xXUArJSOenub6EfZHUSzc_bpJFWwQUf0/edit?usp=share_link"",""แม่ฮ่องสอน!M61"")+IMPORTRANGE(""https://docs.google.com/spreadsheets/d/1p7ERhsr0qZeSn-KSOdeHS9r0heI-lHtkcn2OH7hP0jQ/edit?usp=share_link"",""ลำปาง!M61"")+IMPOR"&amp;"TRANGE(""https://docs.google.com/spreadsheets/d/1-uUXvimVhiU2U0bMN-xi2te0tS4X7DI2GLPnMjzl8cA/edit?usp=share_link"",""ลำพูน!M61"")+IMPORTRANGE(""https://docs.google.com/spreadsheets/d/17HrOaa5pBUI1onckFfumXB8xlg35qb2uBAFfF1D-Myo/edit?usp=share_link"",""สุโ"&amp;"ขทัย!M61"")+IMPORTRANGE(""https://docs.google.com/spreadsheets/d/1ubs5cl16eYL9gHbdHTJtmtYb9MGzHBs7CAphn8kNCgM/edit?usp=share_link"",""อุตรดิตถ์!M61"")+IMPORTRANGE(""https://docs.google.com/spreadsheets/d/1kII0BjS6CtVrBvI8IrytgPdxDrlyQDyigzMsohRtDMs/edit?u"&amp;"sp=share_link"",""อุทัยธานี!M61"")
"),13828900)</f>
        <v>13828900</v>
      </c>
      <c r="N61" s="52">
        <f ca="1">IFERROR(__xludf.DUMMYFUNCTION("IMPORTRANGE(""https://docs.google.com/spreadsheets/d/1KxicF4apzSqm0-jIpmueT4kyZtE-Cwn5zskl7GD4loQ/edit?usp=share_link"",""กำแพงเพชร!N61"")+IMPORTRANGE(""https://docs.google.com/spreadsheets/d/1ZNYWeiFoFA1K1U4xKWqRX29MBvEyRHXORjo734Gnq_c/edit?usp=share_lin"&amp;"k"",""เชียงราย!N61"")
+IMPORTRANGE(""https://docs.google.com/spreadsheets/d/1Jgv0Y7YlHDtsiDawwp-uvifEJ8HVaSn0k2aGHG8-hwM/edit?usp=share_link"",""เชียงใหม่!N61"")+IMPORTRANGE(""https://docs.google.com/spreadsheets/d/1JWG2rZePOz9pe-f-ObA-yDr0VoOX2kSb0qIix2m"&amp;"TUo8/edit?usp=share_link"",""ตาก!N61"")+IMPORTRANGE(""https://docs.google.com/spreadsheets/d/10nSRjK08hx8Y6HgSOQKNw81lyY46Zc7U_Cj72hBMp9U/edit?usp=share_link"",""นครสวรรค์!N61"")+IMPORTRANGE(""https://docs.google.com/spreadsheets/d/1gFVb7qd7amutrIxAAoM7lc"&amp;"y35hllxznovot8lyOfvDo/edit?usp=share_link"",""น่าน!N61"")+IMPORTRANGE(""https://docs.google.com/spreadsheets/d/1K0Aa9s-6EuHE5M0FG1F9aHLXRCOV917xvycTdLdct0w/edit?usp=share_link"",""พะเยา!N61"")+IMPORTRANGE(""https://docs.google.com/spreadsheets/d/1Y9LPKx95"&amp;"PyL5OKy09d-KbKJSuuEZCFdkhYjwC0XQjBA/edit?usp=share_link"",""พิจิตร!N61"")+IMPORTRANGE(""https://docs.google.com/spreadsheets/d/16OMuOwy2eVqZcYWOouQtTpa8X1L23h4660uVHc0C8os/edit?usp=share_link"",""พิษณุโลก!N61"")+IMPORTRANGE(""https://docs.google.com/sprea"&amp;"dsheets/d/1GfgTldLG6k77HXaMQzaafODklYuucJZQNs_GAPEfZyY/edit?usp=share_link"",""เพชรบูรณ์!N61"")+IMPORTRANGE(""https://docs.google.com/spreadsheets/d/1gvTMYAnm7v1yG1BKWFtr0DnaTsq59oW9dwWvFgq6hs0/edit?usp=share_link"",""แพร่!N61"")+IMPORTRANGE(""https://doc"&amp;"s.google.com/spreadsheets/d/1Wbcosgy-Xa1xXUArJSOenub6EfZHUSzc_bpJFWwQUf0/edit?usp=share_link"",""แม่ฮ่องสอน!N61"")+IMPORTRANGE(""https://docs.google.com/spreadsheets/d/1p7ERhsr0qZeSn-KSOdeHS9r0heI-lHtkcn2OH7hP0jQ/edit?usp=share_link"",""ลำปาง!N61"")+IMPOR"&amp;"TRANGE(""https://docs.google.com/spreadsheets/d/1-uUXvimVhiU2U0bMN-xi2te0tS4X7DI2GLPnMjzl8cA/edit?usp=share_link"",""ลำพูน!N61"")+IMPORTRANGE(""https://docs.google.com/spreadsheets/d/17HrOaa5pBUI1onckFfumXB8xlg35qb2uBAFfF1D-Myo/edit?usp=share_link"",""สุโ"&amp;"ขทัย!N61"")+IMPORTRANGE(""https://docs.google.com/spreadsheets/d/1ubs5cl16eYL9gHbdHTJtmtYb9MGzHBs7CAphn8kNCgM/edit?usp=share_link"",""อุตรดิตถ์!N61"")+IMPORTRANGE(""https://docs.google.com/spreadsheets/d/1kII0BjS6CtVrBvI8IrytgPdxDrlyQDyigzMsohRtDMs/edit?u"&amp;"sp=share_link"",""อุทัยธานี!N61"")
"),1560566)</f>
        <v>1560566</v>
      </c>
      <c r="O61" s="52">
        <f t="shared" ca="1" si="43"/>
        <v>11.283347914422263</v>
      </c>
      <c r="P61" s="52">
        <f t="shared" ca="1" si="44"/>
        <v>11.284816579771348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>
      <c r="A64" s="138"/>
      <c r="B64" s="139" t="s">
        <v>33</v>
      </c>
      <c r="C64" s="140"/>
      <c r="D64" s="141"/>
      <c r="E64" s="140"/>
      <c r="F64" s="140"/>
      <c r="G64" s="142"/>
      <c r="H64" s="143" t="s">
        <v>34</v>
      </c>
      <c r="I64" s="144">
        <f t="shared" ref="I64:J64" ca="1" si="49">I76</f>
        <v>11</v>
      </c>
      <c r="J64" s="144">
        <f t="shared" ca="1" si="49"/>
        <v>3</v>
      </c>
      <c r="K64" s="145">
        <f t="shared" ref="K64:K65" ca="1" si="50">IF(I64&gt;0,J64*100/I64,0)</f>
        <v>27.272727272727273</v>
      </c>
      <c r="L64" s="146"/>
      <c r="M64" s="146"/>
      <c r="N64" s="146"/>
      <c r="O64" s="146"/>
      <c r="P64" s="146"/>
    </row>
    <row r="65" spans="1:26" ht="19.5">
      <c r="A65" s="138"/>
      <c r="B65" s="140"/>
      <c r="C65" s="140"/>
      <c r="D65" s="141"/>
      <c r="E65" s="140"/>
      <c r="F65" s="140"/>
      <c r="G65" s="142"/>
      <c r="H65" s="143" t="s">
        <v>35</v>
      </c>
      <c r="I65" s="144">
        <f t="shared" ref="I65:J65" ca="1" si="51">I77</f>
        <v>457</v>
      </c>
      <c r="J65" s="144">
        <f t="shared" ca="1" si="51"/>
        <v>112</v>
      </c>
      <c r="K65" s="145">
        <f t="shared" ca="1" si="50"/>
        <v>24.507658643326039</v>
      </c>
      <c r="L65" s="146"/>
      <c r="M65" s="146"/>
      <c r="N65" s="146"/>
      <c r="O65" s="146"/>
      <c r="P65" s="146"/>
    </row>
    <row r="66" spans="1:26" ht="19.5">
      <c r="A66" s="147"/>
      <c r="B66" s="148"/>
      <c r="C66" s="149" t="s">
        <v>16</v>
      </c>
      <c r="D66" s="150" t="s">
        <v>17</v>
      </c>
      <c r="E66" s="148"/>
      <c r="F66" s="148"/>
      <c r="G66" s="151"/>
      <c r="H66" s="152" t="s">
        <v>12</v>
      </c>
      <c r="I66" s="153"/>
      <c r="J66" s="153"/>
      <c r="K66" s="154"/>
      <c r="L66" s="155">
        <f t="shared" ref="L66:N66" ca="1" si="52">L67+L68</f>
        <v>7464600</v>
      </c>
      <c r="M66" s="155">
        <f t="shared" ca="1" si="52"/>
        <v>3649700</v>
      </c>
      <c r="N66" s="155">
        <f t="shared" ca="1" si="52"/>
        <v>984111.47</v>
      </c>
      <c r="O66" s="155">
        <f t="shared" ref="O66:O74" ca="1" si="53">IF(L66&gt;0,N66*100/L66,0)</f>
        <v>13.183713393885808</v>
      </c>
      <c r="P66" s="155">
        <f t="shared" ref="P66:P74" ca="1" si="54">IF(M66&gt;0,N66*100/M66,0)</f>
        <v>26.964174315697182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41" t="s">
        <v>18</v>
      </c>
      <c r="F67" s="40"/>
      <c r="G67" s="157"/>
      <c r="H67" s="158" t="s">
        <v>12</v>
      </c>
      <c r="I67" s="44"/>
      <c r="J67" s="44"/>
      <c r="K67" s="45"/>
      <c r="L67" s="45">
        <f t="shared" ref="L67:N67" si="55">L70+L73</f>
        <v>0</v>
      </c>
      <c r="M67" s="45">
        <f t="shared" si="55"/>
        <v>0</v>
      </c>
      <c r="N67" s="45">
        <f t="shared" si="55"/>
        <v>0</v>
      </c>
      <c r="O67" s="45">
        <f t="shared" si="53"/>
        <v>0</v>
      </c>
      <c r="P67" s="45">
        <f t="shared" si="54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41" t="s">
        <v>19</v>
      </c>
      <c r="F68" s="40"/>
      <c r="G68" s="157"/>
      <c r="H68" s="158" t="s">
        <v>12</v>
      </c>
      <c r="I68" s="44"/>
      <c r="J68" s="44"/>
      <c r="K68" s="45"/>
      <c r="L68" s="45">
        <f t="shared" ref="L68:N68" ca="1" si="56">L71+L74</f>
        <v>7464600</v>
      </c>
      <c r="M68" s="45">
        <f t="shared" ca="1" si="56"/>
        <v>3649700</v>
      </c>
      <c r="N68" s="45">
        <f t="shared" ca="1" si="56"/>
        <v>984111.47</v>
      </c>
      <c r="O68" s="45">
        <f t="shared" ca="1" si="53"/>
        <v>13.183713393885808</v>
      </c>
      <c r="P68" s="45">
        <f t="shared" ca="1" si="54"/>
        <v>26.964174315697182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>
      <c r="A69" s="159"/>
      <c r="B69" s="33"/>
      <c r="C69" s="160"/>
      <c r="D69" s="34" t="s">
        <v>20</v>
      </c>
      <c r="E69" s="33"/>
      <c r="F69" s="33"/>
      <c r="G69" s="35"/>
      <c r="H69" s="161" t="s">
        <v>12</v>
      </c>
      <c r="I69" s="162"/>
      <c r="J69" s="162"/>
      <c r="K69" s="163"/>
      <c r="L69" s="38">
        <f t="shared" ref="L69:N69" ca="1" si="57">L70+L71</f>
        <v>7464600</v>
      </c>
      <c r="M69" s="38">
        <f t="shared" ca="1" si="57"/>
        <v>3649700</v>
      </c>
      <c r="N69" s="38">
        <f t="shared" ca="1" si="57"/>
        <v>984111.47</v>
      </c>
      <c r="O69" s="38">
        <f t="shared" ca="1" si="53"/>
        <v>13.183713393885808</v>
      </c>
      <c r="P69" s="38">
        <f t="shared" ca="1" si="54"/>
        <v>26.964174315697182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41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45">
        <f t="shared" si="53"/>
        <v>0</v>
      </c>
      <c r="P70" s="45">
        <f t="shared" si="54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41" t="s">
        <v>37</v>
      </c>
      <c r="F71" s="40"/>
      <c r="G71" s="157"/>
      <c r="H71" s="165" t="s">
        <v>12</v>
      </c>
      <c r="I71" s="166"/>
      <c r="J71" s="166"/>
      <c r="K71" s="167"/>
      <c r="L71" s="45">
        <f ca="1">IFERROR(__xludf.DUMMYFUNCTION("IMPORTRANGE(""https://docs.google.com/spreadsheets/d/1KxicF4apzSqm0-jIpmueT4kyZtE-Cwn5zskl7GD4loQ/edit?usp=share_link"",""กำแพงเพชร!l71"")+IMPORTRANGE(""https://docs.google.com/spreadsheets/d/1ZNYWeiFoFA1K1U4xKWqRX29MBvEyRHXORjo734Gnq_c/edit?usp=share_lin"&amp;"k"",""เชียงราย!l71"")
+IMPORTRANGE(""https://docs.google.com/spreadsheets/d/1Jgv0Y7YlHDtsiDawwp-uvifEJ8HVaSn0k2aGHG8-hwM/edit?usp=share_link"",""เชียงใหม่!l71"")+IMPORTRANGE(""https://docs.google.com/spreadsheets/d/1JWG2rZePOz9pe-f-ObA-yDr0VoOX2kSb0qIix2m"&amp;"TUo8/edit?usp=share_link"",""ตาก!l71"")+IMPORTRANGE(""https://docs.google.com/spreadsheets/d/10nSRjK08hx8Y6HgSOQKNw81lyY46Zc7U_Cj72hBMp9U/edit?usp=share_link"",""นครสวรรค์!l71"")+IMPORTRANGE(""https://docs.google.com/spreadsheets/d/1gFVb7qd7amutrIxAAoM7lc"&amp;"y35hllxznovot8lyOfvDo/edit?usp=share_link"",""น่าน!l71"")+IMPORTRANGE(""https://docs.google.com/spreadsheets/d/1K0Aa9s-6EuHE5M0FG1F9aHLXRCOV917xvycTdLdct0w/edit?usp=share_link"",""พะเยา!l71"")+IMPORTRANGE(""https://docs.google.com/spreadsheets/d/1Y9LPKx95"&amp;"PyL5OKy09d-KbKJSuuEZCFdkhYjwC0XQjBA/edit?usp=share_link"",""พิจิตร!l71"")+IMPORTRANGE(""https://docs.google.com/spreadsheets/d/16OMuOwy2eVqZcYWOouQtTpa8X1L23h4660uVHc0C8os/edit?usp=share_link"",""พิษณุโลก!l71"")+IMPORTRANGE(""https://docs.google.com/sprea"&amp;"dsheets/d/1GfgTldLG6k77HXaMQzaafODklYuucJZQNs_GAPEfZyY/edit?usp=share_link"",""เพชรบูรณ์!l71"")+IMPORTRANGE(""https://docs.google.com/spreadsheets/d/1gvTMYAnm7v1yG1BKWFtr0DnaTsq59oW9dwWvFgq6hs0/edit?usp=share_link"",""แพร่!l71"")+IMPORTRANGE(""https://doc"&amp;"s.google.com/spreadsheets/d/1Wbcosgy-Xa1xXUArJSOenub6EfZHUSzc_bpJFWwQUf0/edit?usp=share_link"",""แม่ฮ่องสอน!l71"")+IMPORTRANGE(""https://docs.google.com/spreadsheets/d/1p7ERhsr0qZeSn-KSOdeHS9r0heI-lHtkcn2OH7hP0jQ/edit?usp=share_link"",""ลำปาง!l71"")+IMPOR"&amp;"TRANGE(""https://docs.google.com/spreadsheets/d/1-uUXvimVhiU2U0bMN-xi2te0tS4X7DI2GLPnMjzl8cA/edit?usp=share_link"",""ลำพูน!l71"")+IMPORTRANGE(""https://docs.google.com/spreadsheets/d/17HrOaa5pBUI1onckFfumXB8xlg35qb2uBAFfF1D-Myo/edit?usp=share_link"",""สุโ"&amp;"ขทัย!l71"")+IMPORTRANGE(""https://docs.google.com/spreadsheets/d/1ubs5cl16eYL9gHbdHTJtmtYb9MGzHBs7CAphn8kNCgM/edit?usp=share_link"",""อุตรดิตถ์!l71"")+IMPORTRANGE(""https://docs.google.com/spreadsheets/d/1kII0BjS6CtVrBvI8IrytgPdxDrlyQDyigzMsohRtDMs/edit?u"&amp;"sp=share_link"",""อุทัยธานี!l71"")
"),7464600)</f>
        <v>7464600</v>
      </c>
      <c r="M71" s="45">
        <f ca="1">IFERROR(__xludf.DUMMYFUNCTION("IMPORTRANGE(""https://docs.google.com/spreadsheets/d/1KxicF4apzSqm0-jIpmueT4kyZtE-Cwn5zskl7GD4loQ/edit?usp=share_link"",""กำแพงเพชร!M71"")+IMPORTRANGE(""https://docs.google.com/spreadsheets/d/1ZNYWeiFoFA1K1U4xKWqRX29MBvEyRHXORjo734Gnq_c/edit?usp=share_lin"&amp;"k"",""เชียงราย!M71"")
+IMPORTRANGE(""https://docs.google.com/spreadsheets/d/1Jgv0Y7YlHDtsiDawwp-uvifEJ8HVaSn0k2aGHG8-hwM/edit?usp=share_link"",""เชียงใหม่!M71"")+IMPORTRANGE(""https://docs.google.com/spreadsheets/d/1JWG2rZePOz9pe-f-ObA-yDr0VoOX2kSb0qIix2m"&amp;"TUo8/edit?usp=share_link"",""ตาก!M71"")+IMPORTRANGE(""https://docs.google.com/spreadsheets/d/10nSRjK08hx8Y6HgSOQKNw81lyY46Zc7U_Cj72hBMp9U/edit?usp=share_link"",""นครสวรรค์!M71"")+IMPORTRANGE(""https://docs.google.com/spreadsheets/d/1gFVb7qd7amutrIxAAoM7lc"&amp;"y35hllxznovot8lyOfvDo/edit?usp=share_link"",""น่าน!M71"")+IMPORTRANGE(""https://docs.google.com/spreadsheets/d/1K0Aa9s-6EuHE5M0FG1F9aHLXRCOV917xvycTdLdct0w/edit?usp=share_link"",""พะเยา!M71"")+IMPORTRANGE(""https://docs.google.com/spreadsheets/d/1Y9LPKx95"&amp;"PyL5OKy09d-KbKJSuuEZCFdkhYjwC0XQjBA/edit?usp=share_link"",""พิจิตร!M71"")+IMPORTRANGE(""https://docs.google.com/spreadsheets/d/16OMuOwy2eVqZcYWOouQtTpa8X1L23h4660uVHc0C8os/edit?usp=share_link"",""พิษณุโลก!M71"")+IMPORTRANGE(""https://docs.google.com/sprea"&amp;"dsheets/d/1GfgTldLG6k77HXaMQzaafODklYuucJZQNs_GAPEfZyY/edit?usp=share_link"",""เพชรบูรณ์!M71"")+IMPORTRANGE(""https://docs.google.com/spreadsheets/d/1gvTMYAnm7v1yG1BKWFtr0DnaTsq59oW9dwWvFgq6hs0/edit?usp=share_link"",""แพร่!M71"")+IMPORTRANGE(""https://doc"&amp;"s.google.com/spreadsheets/d/1Wbcosgy-Xa1xXUArJSOenub6EfZHUSzc_bpJFWwQUf0/edit?usp=share_link"",""แม่ฮ่องสอน!M71"")+IMPORTRANGE(""https://docs.google.com/spreadsheets/d/1p7ERhsr0qZeSn-KSOdeHS9r0heI-lHtkcn2OH7hP0jQ/edit?usp=share_link"",""ลำปาง!M71"")+IMPOR"&amp;"TRANGE(""https://docs.google.com/spreadsheets/d/1-uUXvimVhiU2U0bMN-xi2te0tS4X7DI2GLPnMjzl8cA/edit?usp=share_link"",""ลำพูน!M71"")+IMPORTRANGE(""https://docs.google.com/spreadsheets/d/17HrOaa5pBUI1onckFfumXB8xlg35qb2uBAFfF1D-Myo/edit?usp=share_link"",""สุโ"&amp;"ขทัย!M71"")+IMPORTRANGE(""https://docs.google.com/spreadsheets/d/1ubs5cl16eYL9gHbdHTJtmtYb9MGzHBs7CAphn8kNCgM/edit?usp=share_link"",""อุตรดิตถ์!M71"")+IMPORTRANGE(""https://docs.google.com/spreadsheets/d/1kII0BjS6CtVrBvI8IrytgPdxDrlyQDyigzMsohRtDMs/edit?u"&amp;"sp=share_link"",""อุทัยธานี!M71"")
"),3649700)</f>
        <v>3649700</v>
      </c>
      <c r="N71" s="45">
        <f ca="1">IFERROR(__xludf.DUMMYFUNCTION("IMPORTRANGE(""https://docs.google.com/spreadsheets/d/1KxicF4apzSqm0-jIpmueT4kyZtE-Cwn5zskl7GD4loQ/edit?usp=share_link"",""กำแพงเพชร!N71"")+IMPORTRANGE(""https://docs.google.com/spreadsheets/d/1ZNYWeiFoFA1K1U4xKWqRX29MBvEyRHXORjo734Gnq_c/edit?usp=share_lin"&amp;"k"",""เชียงราย!N71"")
+IMPORTRANGE(""https://docs.google.com/spreadsheets/d/1Jgv0Y7YlHDtsiDawwp-uvifEJ8HVaSn0k2aGHG8-hwM/edit?usp=share_link"",""เชียงใหม่!N71"")+IMPORTRANGE(""https://docs.google.com/spreadsheets/d/1JWG2rZePOz9pe-f-ObA-yDr0VoOX2kSb0qIix2m"&amp;"TUo8/edit?usp=share_link"",""ตาก!N71"")+IMPORTRANGE(""https://docs.google.com/spreadsheets/d/10nSRjK08hx8Y6HgSOQKNw81lyY46Zc7U_Cj72hBMp9U/edit?usp=share_link"",""นครสวรรค์!N71"")+IMPORTRANGE(""https://docs.google.com/spreadsheets/d/1gFVb7qd7amutrIxAAoM7lc"&amp;"y35hllxznovot8lyOfvDo/edit?usp=share_link"",""น่าน!N71"")+IMPORTRANGE(""https://docs.google.com/spreadsheets/d/1K0Aa9s-6EuHE5M0FG1F9aHLXRCOV917xvycTdLdct0w/edit?usp=share_link"",""พะเยา!N71"")+IMPORTRANGE(""https://docs.google.com/spreadsheets/d/1Y9LPKx95"&amp;"PyL5OKy09d-KbKJSuuEZCFdkhYjwC0XQjBA/edit?usp=share_link"",""พิจิตร!N71"")+IMPORTRANGE(""https://docs.google.com/spreadsheets/d/16OMuOwy2eVqZcYWOouQtTpa8X1L23h4660uVHc0C8os/edit?usp=share_link"",""พิษณุโลก!N71"")+IMPORTRANGE(""https://docs.google.com/sprea"&amp;"dsheets/d/1GfgTldLG6k77HXaMQzaafODklYuucJZQNs_GAPEfZyY/edit?usp=share_link"",""เพชรบูรณ์!N71"")+IMPORTRANGE(""https://docs.google.com/spreadsheets/d/1gvTMYAnm7v1yG1BKWFtr0DnaTsq59oW9dwWvFgq6hs0/edit?usp=share_link"",""แพร่!N71"")+IMPORTRANGE(""https://doc"&amp;"s.google.com/spreadsheets/d/1Wbcosgy-Xa1xXUArJSOenub6EfZHUSzc_bpJFWwQUf0/edit?usp=share_link"",""แม่ฮ่องสอน!N71"")+IMPORTRANGE(""https://docs.google.com/spreadsheets/d/1p7ERhsr0qZeSn-KSOdeHS9r0heI-lHtkcn2OH7hP0jQ/edit?usp=share_link"",""ลำปาง!N71"")+IMPOR"&amp;"TRANGE(""https://docs.google.com/spreadsheets/d/1-uUXvimVhiU2U0bMN-xi2te0tS4X7DI2GLPnMjzl8cA/edit?usp=share_link"",""ลำพูน!N71"")+IMPORTRANGE(""https://docs.google.com/spreadsheets/d/17HrOaa5pBUI1onckFfumXB8xlg35qb2uBAFfF1D-Myo/edit?usp=share_link"",""สุโ"&amp;"ขทัย!N71"")+IMPORTRANGE(""https://docs.google.com/spreadsheets/d/1ubs5cl16eYL9gHbdHTJtmtYb9MGzHBs7CAphn8kNCgM/edit?usp=share_link"",""อุตรดิตถ์!N71"")+IMPORTRANGE(""https://docs.google.com/spreadsheets/d/1kII0BjS6CtVrBvI8IrytgPdxDrlyQDyigzMsohRtDMs/edit?u"&amp;"sp=share_link"",""อุทัยธานี!N71"")
"),984111.47)</f>
        <v>984111.47</v>
      </c>
      <c r="O71" s="45">
        <f t="shared" ca="1" si="53"/>
        <v>13.183713393885808</v>
      </c>
      <c r="P71" s="45">
        <f t="shared" ca="1" si="54"/>
        <v>26.964174315697182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>
      <c r="A72" s="159"/>
      <c r="B72" s="33"/>
      <c r="C72" s="160"/>
      <c r="D72" s="34" t="s">
        <v>21</v>
      </c>
      <c r="E72" s="33"/>
      <c r="F72" s="33"/>
      <c r="G72" s="35"/>
      <c r="H72" s="168" t="s">
        <v>12</v>
      </c>
      <c r="I72" s="162"/>
      <c r="J72" s="162"/>
      <c r="K72" s="163"/>
      <c r="L72" s="38">
        <f t="shared" ref="L72:N72" ca="1" si="58">L73+L74</f>
        <v>0</v>
      </c>
      <c r="M72" s="38">
        <f t="shared" ca="1" si="58"/>
        <v>0</v>
      </c>
      <c r="N72" s="38">
        <f t="shared" ca="1" si="58"/>
        <v>0</v>
      </c>
      <c r="O72" s="38">
        <f t="shared" ca="1" si="53"/>
        <v>0</v>
      </c>
      <c r="P72" s="38">
        <f t="shared" ca="1" si="54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41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45"/>
      <c r="N73" s="45"/>
      <c r="O73" s="45">
        <f t="shared" si="53"/>
        <v>0</v>
      </c>
      <c r="P73" s="45">
        <f t="shared" si="54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41" t="s">
        <v>19</v>
      </c>
      <c r="F74" s="40"/>
      <c r="G74" s="157"/>
      <c r="H74" s="169" t="s">
        <v>12</v>
      </c>
      <c r="I74" s="166"/>
      <c r="J74" s="166"/>
      <c r="K74" s="167"/>
      <c r="L74" s="45">
        <f ca="1">IFERROR(__xludf.DUMMYFUNCTION("IMPORTRANGE(""https://docs.google.com/spreadsheets/d/1KxicF4apzSqm0-jIpmueT4kyZtE-Cwn5zskl7GD4loQ/edit?usp=share_link"",""กำแพงเพชร!L74"")+IMPORTRANGE(""https://docs.google.com/spreadsheets/d/1ZNYWeiFoFA1K1U4xKWqRX29MBvEyRHXORjo734Gnq_c/edit?usp=share_lin"&amp;"k"",""เชียงราย!L74"")
+IMPORTRANGE(""https://docs.google.com/spreadsheets/d/1Jgv0Y7YlHDtsiDawwp-uvifEJ8HVaSn0k2aGHG8-hwM/edit?usp=share_link"",""เชียงใหม่!L74"")+IMPORTRANGE(""https://docs.google.com/spreadsheets/d/1JWG2rZePOz9pe-f-ObA-yDr0VoOX2kSb0qIix2m"&amp;"TUo8/edit?usp=share_link"",""ตาก!L74"")+IMPORTRANGE(""https://docs.google.com/spreadsheets/d/10nSRjK08hx8Y6HgSOQKNw81lyY46Zc7U_Cj72hBMp9U/edit?usp=share_link"",""นครสวรรค์!L74"")+IMPORTRANGE(""https://docs.google.com/spreadsheets/d/1gFVb7qd7amutrIxAAoM7lc"&amp;"y35hllxznovot8lyOfvDo/edit?usp=share_link"",""น่าน!L74"")+IMPORTRANGE(""https://docs.google.com/spreadsheets/d/1K0Aa9s-6EuHE5M0FG1F9aHLXRCOV917xvycTdLdct0w/edit?usp=share_link"",""พะเยา!L74"")+IMPORTRANGE(""https://docs.google.com/spreadsheets/d/1Y9LPKx95"&amp;"PyL5OKy09d-KbKJSuuEZCFdkhYjwC0XQjBA/edit?usp=share_link"",""พิจิตร!L74"")+IMPORTRANGE(""https://docs.google.com/spreadsheets/d/16OMuOwy2eVqZcYWOouQtTpa8X1L23h4660uVHc0C8os/edit?usp=share_link"",""พิษณุโลก!L74"")+IMPORTRANGE(""https://docs.google.com/sprea"&amp;"dsheets/d/1GfgTldLG6k77HXaMQzaafODklYuucJZQNs_GAPEfZyY/edit?usp=share_link"",""เพชรบูรณ์!L74"")+IMPORTRANGE(""https://docs.google.com/spreadsheets/d/1gvTMYAnm7v1yG1BKWFtr0DnaTsq59oW9dwWvFgq6hs0/edit?usp=share_link"",""แพร่!L74"")+IMPORTRANGE(""https://doc"&amp;"s.google.com/spreadsheets/d/1Wbcosgy-Xa1xXUArJSOenub6EfZHUSzc_bpJFWwQUf0/edit?usp=share_link"",""แม่ฮ่องสอน!L74"")+IMPORTRANGE(""https://docs.google.com/spreadsheets/d/1p7ERhsr0qZeSn-KSOdeHS9r0heI-lHtkcn2OH7hP0jQ/edit?usp=share_link"",""ลำปาง!L74"")+IMPOR"&amp;"TRANGE(""https://docs.google.com/spreadsheets/d/1-uUXvimVhiU2U0bMN-xi2te0tS4X7DI2GLPnMjzl8cA/edit?usp=share_link"",""ลำพูน!L74"")+IMPORTRANGE(""https://docs.google.com/spreadsheets/d/17HrOaa5pBUI1onckFfumXB8xlg35qb2uBAFfF1D-Myo/edit?usp=share_link"",""สุโ"&amp;"ขทัย!L74"")+IMPORTRANGE(""https://docs.google.com/spreadsheets/d/1ubs5cl16eYL9gHbdHTJtmtYb9MGzHBs7CAphn8kNCgM/edit?usp=share_link"",""อุตรดิตถ์!L74"")+IMPORTRANGE(""https://docs.google.com/spreadsheets/d/1kII0BjS6CtVrBvI8IrytgPdxDrlyQDyigzMsohRtDMs/edit?u"&amp;"sp=share_link"",""อุทัยธานี!L74"")
"),0)</f>
        <v>0</v>
      </c>
      <c r="M74" s="45">
        <f ca="1">IFERROR(__xludf.DUMMYFUNCTION("IMPORTRANGE(""https://docs.google.com/spreadsheets/d/1KxicF4apzSqm0-jIpmueT4kyZtE-Cwn5zskl7GD4loQ/edit?usp=share_link"",""กำแพงเพชร!M74"")+IMPORTRANGE(""https://docs.google.com/spreadsheets/d/1ZNYWeiFoFA1K1U4xKWqRX29MBvEyRHXORjo734Gnq_c/edit?usp=share_lin"&amp;"k"",""เชียงราย!M74"")
+IMPORTRANGE(""https://docs.google.com/spreadsheets/d/1Jgv0Y7YlHDtsiDawwp-uvifEJ8HVaSn0k2aGHG8-hwM/edit?usp=share_link"",""เชียงใหม่!M74"")+IMPORTRANGE(""https://docs.google.com/spreadsheets/d/1JWG2rZePOz9pe-f-ObA-yDr0VoOX2kSb0qIix2m"&amp;"TUo8/edit?usp=share_link"",""ตาก!M74"")+IMPORTRANGE(""https://docs.google.com/spreadsheets/d/10nSRjK08hx8Y6HgSOQKNw81lyY46Zc7U_Cj72hBMp9U/edit?usp=share_link"",""นครสวรรค์!M74"")+IMPORTRANGE(""https://docs.google.com/spreadsheets/d/1gFVb7qd7amutrIxAAoM7lc"&amp;"y35hllxznovot8lyOfvDo/edit?usp=share_link"",""น่าน!M74"")+IMPORTRANGE(""https://docs.google.com/spreadsheets/d/1K0Aa9s-6EuHE5M0FG1F9aHLXRCOV917xvycTdLdct0w/edit?usp=share_link"",""พะเยา!M74"")+IMPORTRANGE(""https://docs.google.com/spreadsheets/d/1Y9LPKx95"&amp;"PyL5OKy09d-KbKJSuuEZCFdkhYjwC0XQjBA/edit?usp=share_link"",""พิจิตร!M74"")+IMPORTRANGE(""https://docs.google.com/spreadsheets/d/16OMuOwy2eVqZcYWOouQtTpa8X1L23h4660uVHc0C8os/edit?usp=share_link"",""พิษณุโลก!M74"")+IMPORTRANGE(""https://docs.google.com/sprea"&amp;"dsheets/d/1GfgTldLG6k77HXaMQzaafODklYuucJZQNs_GAPEfZyY/edit?usp=share_link"",""เพชรบูรณ์!M74"")+IMPORTRANGE(""https://docs.google.com/spreadsheets/d/1gvTMYAnm7v1yG1BKWFtr0DnaTsq59oW9dwWvFgq6hs0/edit?usp=share_link"",""แพร่!M74"")+IMPORTRANGE(""https://doc"&amp;"s.google.com/spreadsheets/d/1Wbcosgy-Xa1xXUArJSOenub6EfZHUSzc_bpJFWwQUf0/edit?usp=share_link"",""แม่ฮ่องสอน!M74"")+IMPORTRANGE(""https://docs.google.com/spreadsheets/d/1p7ERhsr0qZeSn-KSOdeHS9r0heI-lHtkcn2OH7hP0jQ/edit?usp=share_link"",""ลำปาง!M74"")+IMPOR"&amp;"TRANGE(""https://docs.google.com/spreadsheets/d/1-uUXvimVhiU2U0bMN-xi2te0tS4X7DI2GLPnMjzl8cA/edit?usp=share_link"",""ลำพูน!M74"")+IMPORTRANGE(""https://docs.google.com/spreadsheets/d/17HrOaa5pBUI1onckFfumXB8xlg35qb2uBAFfF1D-Myo/edit?usp=share_link"",""สุโ"&amp;"ขทัย!M74"")+IMPORTRANGE(""https://docs.google.com/spreadsheets/d/1ubs5cl16eYL9gHbdHTJtmtYb9MGzHBs7CAphn8kNCgM/edit?usp=share_link"",""อุตรดิตถ์!M74"")+IMPORTRANGE(""https://docs.google.com/spreadsheets/d/1kII0BjS6CtVrBvI8IrytgPdxDrlyQDyigzMsohRtDMs/edit?u"&amp;"sp=share_link"",""อุทัยธานี!M74"")
"),0)</f>
        <v>0</v>
      </c>
      <c r="N74" s="45">
        <f ca="1">IFERROR(__xludf.DUMMYFUNCTION("IMPORTRANGE(""https://docs.google.com/spreadsheets/d/1KxicF4apzSqm0-jIpmueT4kyZtE-Cwn5zskl7GD4loQ/edit?usp=share_link"",""กำแพงเพชร!N74"")+IMPORTRANGE(""https://docs.google.com/spreadsheets/d/1ZNYWeiFoFA1K1U4xKWqRX29MBvEyRHXORjo734Gnq_c/edit?usp=share_lin"&amp;"k"",""เชียงราย!N74"")
+IMPORTRANGE(""https://docs.google.com/spreadsheets/d/1Jgv0Y7YlHDtsiDawwp-uvifEJ8HVaSn0k2aGHG8-hwM/edit?usp=share_link"",""เชียงใหม่!N74"")+IMPORTRANGE(""https://docs.google.com/spreadsheets/d/1JWG2rZePOz9pe-f-ObA-yDr0VoOX2kSb0qIix2m"&amp;"TUo8/edit?usp=share_link"",""ตาก!N74"")+IMPORTRANGE(""https://docs.google.com/spreadsheets/d/10nSRjK08hx8Y6HgSOQKNw81lyY46Zc7U_Cj72hBMp9U/edit?usp=share_link"",""นครสวรรค์!N74"")+IMPORTRANGE(""https://docs.google.com/spreadsheets/d/1gFVb7qd7amutrIxAAoM7lc"&amp;"y35hllxznovot8lyOfvDo/edit?usp=share_link"",""น่าน!N74"")+IMPORTRANGE(""https://docs.google.com/spreadsheets/d/1K0Aa9s-6EuHE5M0FG1F9aHLXRCOV917xvycTdLdct0w/edit?usp=share_link"",""พะเยา!N74"")+IMPORTRANGE(""https://docs.google.com/spreadsheets/d/1Y9LPKx95"&amp;"PyL5OKy09d-KbKJSuuEZCFdkhYjwC0XQjBA/edit?usp=share_link"",""พิจิตร!N74"")+IMPORTRANGE(""https://docs.google.com/spreadsheets/d/16OMuOwy2eVqZcYWOouQtTpa8X1L23h4660uVHc0C8os/edit?usp=share_link"",""พิษณุโลก!N74"")+IMPORTRANGE(""https://docs.google.com/sprea"&amp;"dsheets/d/1GfgTldLG6k77HXaMQzaafODklYuucJZQNs_GAPEfZyY/edit?usp=share_link"",""เพชรบูรณ์!N74"")+IMPORTRANGE(""https://docs.google.com/spreadsheets/d/1gvTMYAnm7v1yG1BKWFtr0DnaTsq59oW9dwWvFgq6hs0/edit?usp=share_link"",""แพร่!N74"")+IMPORTRANGE(""https://doc"&amp;"s.google.com/spreadsheets/d/1Wbcosgy-Xa1xXUArJSOenub6EfZHUSzc_bpJFWwQUf0/edit?usp=share_link"",""แม่ฮ่องสอน!N74"")+IMPORTRANGE(""https://docs.google.com/spreadsheets/d/1p7ERhsr0qZeSn-KSOdeHS9r0heI-lHtkcn2OH7hP0jQ/edit?usp=share_link"",""ลำปาง!N74"")+IMPOR"&amp;"TRANGE(""https://docs.google.com/spreadsheets/d/1-uUXvimVhiU2U0bMN-xi2te0tS4X7DI2GLPnMjzl8cA/edit?usp=share_link"",""ลำพูน!N74"")+IMPORTRANGE(""https://docs.google.com/spreadsheets/d/17HrOaa5pBUI1onckFfumXB8xlg35qb2uBAFfF1D-Myo/edit?usp=share_link"",""สุโ"&amp;"ขทัย!N74"")+IMPORTRANGE(""https://docs.google.com/spreadsheets/d/1ubs5cl16eYL9gHbdHTJtmtYb9MGzHBs7CAphn8kNCgM/edit?usp=share_link"",""อุตรดิตถ์!N74"")+IMPORTRANGE(""https://docs.google.com/spreadsheets/d/1kII0BjS6CtVrBvI8IrytgPdxDrlyQDyigzMsohRtDMs/edit?u"&amp;"sp=share_link"",""อุทัยธานี!N74"")
"),0)</f>
        <v>0</v>
      </c>
      <c r="O74" s="45">
        <f t="shared" ca="1" si="53"/>
        <v>0</v>
      </c>
      <c r="P74" s="45">
        <f t="shared" ca="1" si="54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>
      <c r="A75" s="170"/>
      <c r="B75" s="171"/>
      <c r="C75" s="164" t="s">
        <v>16</v>
      </c>
      <c r="D75" s="172" t="s">
        <v>38</v>
      </c>
      <c r="E75" s="173"/>
      <c r="F75" s="173"/>
      <c r="G75" s="174"/>
      <c r="H75" s="175"/>
      <c r="I75" s="162"/>
      <c r="J75" s="162"/>
      <c r="K75" s="163"/>
      <c r="L75" s="163"/>
      <c r="M75" s="163"/>
      <c r="N75" s="163"/>
      <c r="O75" s="163"/>
      <c r="P75" s="163"/>
    </row>
    <row r="76" spans="1:26" ht="19.5">
      <c r="A76" s="170"/>
      <c r="B76" s="171"/>
      <c r="C76" s="171"/>
      <c r="D76" s="176" t="s">
        <v>39</v>
      </c>
      <c r="E76" s="177"/>
      <c r="F76" s="178"/>
      <c r="G76" s="179"/>
      <c r="H76" s="180" t="s">
        <v>34</v>
      </c>
      <c r="I76" s="37">
        <f t="shared" ref="I76:J76" ca="1" si="59">I78+I80+I82</f>
        <v>11</v>
      </c>
      <c r="J76" s="37">
        <f t="shared" ca="1" si="59"/>
        <v>3</v>
      </c>
      <c r="K76" s="163">
        <f t="shared" ref="K76:K84" ca="1" si="60">IF(I76&gt;0,J76*100/I76,0)</f>
        <v>27.272727272727273</v>
      </c>
      <c r="L76" s="163"/>
      <c r="M76" s="163"/>
      <c r="N76" s="163"/>
      <c r="O76" s="163"/>
      <c r="P76" s="163"/>
    </row>
    <row r="77" spans="1:26" ht="19.5">
      <c r="A77" s="170"/>
      <c r="B77" s="171"/>
      <c r="C77" s="171"/>
      <c r="D77" s="171"/>
      <c r="E77" s="178"/>
      <c r="F77" s="178"/>
      <c r="G77" s="179"/>
      <c r="H77" s="180" t="s">
        <v>35</v>
      </c>
      <c r="I77" s="37">
        <f t="shared" ref="I77:J77" ca="1" si="61">I79+I81+I83</f>
        <v>457</v>
      </c>
      <c r="J77" s="37">
        <f t="shared" ca="1" si="61"/>
        <v>112</v>
      </c>
      <c r="K77" s="163">
        <f t="shared" ca="1" si="60"/>
        <v>24.507658643326039</v>
      </c>
      <c r="L77" s="163"/>
      <c r="M77" s="163"/>
      <c r="N77" s="163"/>
      <c r="O77" s="163"/>
      <c r="P77" s="163"/>
    </row>
    <row r="78" spans="1:26" ht="18.75">
      <c r="A78" s="170"/>
      <c r="B78" s="171"/>
      <c r="C78" s="171"/>
      <c r="D78" s="171"/>
      <c r="E78" s="181" t="s">
        <v>40</v>
      </c>
      <c r="F78" s="177"/>
      <c r="G78" s="179"/>
      <c r="H78" s="182" t="s">
        <v>34</v>
      </c>
      <c r="I78" s="162">
        <f ca="1">IFERROR(__xludf.DUMMYFUNCTION("IMPORTRANGE(""https://docs.google.com/spreadsheets/d/1KxicF4apzSqm0-jIpmueT4kyZtE-Cwn5zskl7GD4loQ/edit?usp=share_link"",""กำแพงเพชร!I78"")+IMPORTRANGE(""https://docs.google.com/spreadsheets/d/1ZNYWeiFoFA1K1U4xKWqRX29MBvEyRHXORjo734Gnq_c/edit?usp=share_lin"&amp;"k"",""เชียงราย!I78"")
+IMPORTRANGE(""https://docs.google.com/spreadsheets/d/1Jgv0Y7YlHDtsiDawwp-uvifEJ8HVaSn0k2aGHG8-hwM/edit?usp=share_link"",""เชียงใหม่!I78"")+IMPORTRANGE(""https://docs.google.com/spreadsheets/d/1JWG2rZePOz9pe-f-ObA-yDr0VoOX2kSb0qIix2m"&amp;"TUo8/edit?usp=share_link"",""ตาก!I78"")+IMPORTRANGE(""https://docs.google.com/spreadsheets/d/10nSRjK08hx8Y6HgSOQKNw81lyY46Zc7U_Cj72hBMp9U/edit?usp=share_link"",""นครสวรรค์!I78"")+IMPORTRANGE(""https://docs.google.com/spreadsheets/d/1gFVb7qd7amutrIxAAoM7lc"&amp;"y35hllxznovot8lyOfvDo/edit?usp=share_link"",""น่าน!I78"")+IMPORTRANGE(""https://docs.google.com/spreadsheets/d/1K0Aa9s-6EuHE5M0FG1F9aHLXRCOV917xvycTdLdct0w/edit?usp=share_link"",""พะเยา!I78"")+IMPORTRANGE(""https://docs.google.com/spreadsheets/d/1Y9LPKx95"&amp;"PyL5OKy09d-KbKJSuuEZCFdkhYjwC0XQjBA/edit?usp=share_link"",""พิจิตร!I78"")+IMPORTRANGE(""https://docs.google.com/spreadsheets/d/16OMuOwy2eVqZcYWOouQtTpa8X1L23h4660uVHc0C8os/edit?usp=share_link"",""พิษณุโลก!I78"")+IMPORTRANGE(""https://docs.google.com/sprea"&amp;"dsheets/d/1GfgTldLG6k77HXaMQzaafODklYuucJZQNs_GAPEfZyY/edit?usp=share_link"",""เพชรบูรณ์!I78"")+IMPORTRANGE(""https://docs.google.com/spreadsheets/d/1gvTMYAnm7v1yG1BKWFtr0DnaTsq59oW9dwWvFgq6hs0/edit?usp=share_link"",""แพร่!I78"")+IMPORTRANGE(""https://doc"&amp;"s.google.com/spreadsheets/d/1Wbcosgy-Xa1xXUArJSOenub6EfZHUSzc_bpJFWwQUf0/edit?usp=share_link"",""แม่ฮ่องสอน!I78"")+IMPORTRANGE(""https://docs.google.com/spreadsheets/d/1p7ERhsr0qZeSn-KSOdeHS9r0heI-lHtkcn2OH7hP0jQ/edit?usp=share_link"",""ลำปาง!I78"")+IMPOR"&amp;"TRANGE(""https://docs.google.com/spreadsheets/d/1-uUXvimVhiU2U0bMN-xi2te0tS4X7DI2GLPnMjzl8cA/edit?usp=share_link"",""ลำพูน!I78"")+IMPORTRANGE(""https://docs.google.com/spreadsheets/d/17HrOaa5pBUI1onckFfumXB8xlg35qb2uBAFfF1D-Myo/edit?usp=share_link"",""สุโ"&amp;"ขทัย!I78"")+IMPORTRANGE(""https://docs.google.com/spreadsheets/d/1ubs5cl16eYL9gHbdHTJtmtYb9MGzHBs7CAphn8kNCgM/edit?usp=share_link"",""อุตรดิตถ์!I78"")+IMPORTRANGE(""https://docs.google.com/spreadsheets/d/1kII0BjS6CtVrBvI8IrytgPdxDrlyQDyigzMsohRtDMs/edit?u"&amp;"sp=share_link"",""อุทัยธานี!I78"")
"),4)</f>
        <v>4</v>
      </c>
      <c r="J78" s="183">
        <f ca="1">IFERROR(__xludf.DUMMYFUNCTION("IMPORTRANGE(""https://docs.google.com/spreadsheets/d/1KxicF4apzSqm0-jIpmueT4kyZtE-Cwn5zskl7GD4loQ/edit?usp=share_link"",""กำแพงเพชร!J78"")+IMPORTRANGE(""https://docs.google.com/spreadsheets/d/1ZNYWeiFoFA1K1U4xKWqRX29MBvEyRHXORjo734Gnq_c/edit?usp=share_lin"&amp;"k"",""เชียงราย!J78"")
+IMPORTRANGE(""https://docs.google.com/spreadsheets/d/1Jgv0Y7YlHDtsiDawwp-uvifEJ8HVaSn0k2aGHG8-hwM/edit?usp=share_link"",""เชียงใหม่!J78"")+IMPORTRANGE(""https://docs.google.com/spreadsheets/d/1JWG2rZePOz9pe-f-ObA-yDr0VoOX2kSb0qIix2m"&amp;"TUo8/edit?usp=share_link"",""ตาก!J78"")+IMPORTRANGE(""https://docs.google.com/spreadsheets/d/10nSRjK08hx8Y6HgSOQKNw81lyY46Zc7U_Cj72hBMp9U/edit?usp=share_link"",""นครสวรรค์!J78"")+IMPORTRANGE(""https://docs.google.com/spreadsheets/d/1gFVb7qd7amutrIxAAoM7lc"&amp;"y35hllxznovot8lyOfvDo/edit?usp=share_link"",""น่าน!J78"")+IMPORTRANGE(""https://docs.google.com/spreadsheets/d/1K0Aa9s-6EuHE5M0FG1F9aHLXRCOV917xvycTdLdct0w/edit?usp=share_link"",""พะเยา!J78"")+IMPORTRANGE(""https://docs.google.com/spreadsheets/d/1Y9LPKx95"&amp;"PyL5OKy09d-KbKJSuuEZCFdkhYjwC0XQjBA/edit?usp=share_link"",""พิจิตร!J78"")+IMPORTRANGE(""https://docs.google.com/spreadsheets/d/16OMuOwy2eVqZcYWOouQtTpa8X1L23h4660uVHc0C8os/edit?usp=share_link"",""พิษณุโลก!J78"")+IMPORTRANGE(""https://docs.google.com/sprea"&amp;"dsheets/d/1GfgTldLG6k77HXaMQzaafODklYuucJZQNs_GAPEfZyY/edit?usp=share_link"",""เพชรบูรณ์!J78"")+IMPORTRANGE(""https://docs.google.com/spreadsheets/d/1gvTMYAnm7v1yG1BKWFtr0DnaTsq59oW9dwWvFgq6hs0/edit?usp=share_link"",""แพร่!J78"")+IMPORTRANGE(""https://doc"&amp;"s.google.com/spreadsheets/d/1Wbcosgy-Xa1xXUArJSOenub6EfZHUSzc_bpJFWwQUf0/edit?usp=share_link"",""แม่ฮ่องสอน!J78"")+IMPORTRANGE(""https://docs.google.com/spreadsheets/d/1p7ERhsr0qZeSn-KSOdeHS9r0heI-lHtkcn2OH7hP0jQ/edit?usp=share_link"",""ลำปาง!J78"")+IMPOR"&amp;"TRANGE(""https://docs.google.com/spreadsheets/d/1-uUXvimVhiU2U0bMN-xi2te0tS4X7DI2GLPnMjzl8cA/edit?usp=share_link"",""ลำพูน!J78"")+IMPORTRANGE(""https://docs.google.com/spreadsheets/d/17HrOaa5pBUI1onckFfumXB8xlg35qb2uBAFfF1D-Myo/edit?usp=share_link"",""สุโ"&amp;"ขทัย!J78"")+IMPORTRANGE(""https://docs.google.com/spreadsheets/d/1ubs5cl16eYL9gHbdHTJtmtYb9MGzHBs7CAphn8kNCgM/edit?usp=share_link"",""อุตรดิตถ์!J78"")+IMPORTRANGE(""https://docs.google.com/spreadsheets/d/1kII0BjS6CtVrBvI8IrytgPdxDrlyQDyigzMsohRtDMs/edit?u"&amp;"sp=share_link"",""อุทัยธานี!J78"")
"),2)</f>
        <v>2</v>
      </c>
      <c r="K78" s="163">
        <f t="shared" ca="1" si="60"/>
        <v>50</v>
      </c>
      <c r="L78" s="163"/>
      <c r="M78" s="163"/>
      <c r="N78" s="163"/>
      <c r="O78" s="163"/>
      <c r="P78" s="163"/>
    </row>
    <row r="79" spans="1:26" ht="18.75">
      <c r="A79" s="170"/>
      <c r="B79" s="171"/>
      <c r="C79" s="171"/>
      <c r="D79" s="171"/>
      <c r="E79" s="178"/>
      <c r="F79" s="178"/>
      <c r="G79" s="179"/>
      <c r="H79" s="182" t="s">
        <v>35</v>
      </c>
      <c r="I79" s="162">
        <f ca="1">IFERROR(__xludf.DUMMYFUNCTION("IMPORTRANGE(""https://docs.google.com/spreadsheets/d/1KxicF4apzSqm0-jIpmueT4kyZtE-Cwn5zskl7GD4loQ/edit?usp=share_link"",""กำแพงเพชร!I79"")+IMPORTRANGE(""https://docs.google.com/spreadsheets/d/1ZNYWeiFoFA1K1U4xKWqRX29MBvEyRHXORjo734Gnq_c/edit?usp=share_lin"&amp;"k"",""เชียงราย!I79"")
+IMPORTRANGE(""https://docs.google.com/spreadsheets/d/1Jgv0Y7YlHDtsiDawwp-uvifEJ8HVaSn0k2aGHG8-hwM/edit?usp=share_link"",""เชียงใหม่!I79"")+IMPORTRANGE(""https://docs.google.com/spreadsheets/d/1JWG2rZePOz9pe-f-ObA-yDr0VoOX2kSb0qIix2m"&amp;"TUo8/edit?usp=share_link"",""ตาก!I79"")+IMPORTRANGE(""https://docs.google.com/spreadsheets/d/10nSRjK08hx8Y6HgSOQKNw81lyY46Zc7U_Cj72hBMp9U/edit?usp=share_link"",""นครสวรรค์!I79"")+IMPORTRANGE(""https://docs.google.com/spreadsheets/d/1gFVb7qd7amutrIxAAoM7lc"&amp;"y35hllxznovot8lyOfvDo/edit?usp=share_link"",""น่าน!I79"")+IMPORTRANGE(""https://docs.google.com/spreadsheets/d/1K0Aa9s-6EuHE5M0FG1F9aHLXRCOV917xvycTdLdct0w/edit?usp=share_link"",""พะเยา!I79"")+IMPORTRANGE(""https://docs.google.com/spreadsheets/d/1Y9LPKx95"&amp;"PyL5OKy09d-KbKJSuuEZCFdkhYjwC0XQjBA/edit?usp=share_link"",""พิจิตร!I79"")+IMPORTRANGE(""https://docs.google.com/spreadsheets/d/16OMuOwy2eVqZcYWOouQtTpa8X1L23h4660uVHc0C8os/edit?usp=share_link"",""พิษณุโลก!I79"")+IMPORTRANGE(""https://docs.google.com/sprea"&amp;"dsheets/d/1GfgTldLG6k77HXaMQzaafODklYuucJZQNs_GAPEfZyY/edit?usp=share_link"",""เพชรบูรณ์!I79"")+IMPORTRANGE(""https://docs.google.com/spreadsheets/d/1gvTMYAnm7v1yG1BKWFtr0DnaTsq59oW9dwWvFgq6hs0/edit?usp=share_link"",""แพร่!I79"")+IMPORTRANGE(""https://doc"&amp;"s.google.com/spreadsheets/d/1Wbcosgy-Xa1xXUArJSOenub6EfZHUSzc_bpJFWwQUf0/edit?usp=share_link"",""แม่ฮ่องสอน!I79"")+IMPORTRANGE(""https://docs.google.com/spreadsheets/d/1p7ERhsr0qZeSn-KSOdeHS9r0heI-lHtkcn2OH7hP0jQ/edit?usp=share_link"",""ลำปาง!I79"")+IMPOR"&amp;"TRANGE(""https://docs.google.com/spreadsheets/d/1-uUXvimVhiU2U0bMN-xi2te0tS4X7DI2GLPnMjzl8cA/edit?usp=share_link"",""ลำพูน!I79"")+IMPORTRANGE(""https://docs.google.com/spreadsheets/d/17HrOaa5pBUI1onckFfumXB8xlg35qb2uBAFfF1D-Myo/edit?usp=share_link"",""สุโ"&amp;"ขทัย!I79"")+IMPORTRANGE(""https://docs.google.com/spreadsheets/d/1ubs5cl16eYL9gHbdHTJtmtYb9MGzHBs7CAphn8kNCgM/edit?usp=share_link"",""อุตรดิตถ์!I79"")+IMPORTRANGE(""https://docs.google.com/spreadsheets/d/1kII0BjS6CtVrBvI8IrytgPdxDrlyQDyigzMsohRtDMs/edit?u"&amp;"sp=share_link"",""อุทัยธานี!I79"")
"),150)</f>
        <v>150</v>
      </c>
      <c r="J79" s="183">
        <f ca="1">IFERROR(__xludf.DUMMYFUNCTION("IMPORTRANGE(""https://docs.google.com/spreadsheets/d/1KxicF4apzSqm0-jIpmueT4kyZtE-Cwn5zskl7GD4loQ/edit?usp=share_link"",""กำแพงเพชร!J79"")+IMPORTRANGE(""https://docs.google.com/spreadsheets/d/1ZNYWeiFoFA1K1U4xKWqRX29MBvEyRHXORjo734Gnq_c/edit?usp=share_lin"&amp;"k"",""เชียงราย!J79"")
+IMPORTRANGE(""https://docs.google.com/spreadsheets/d/1Jgv0Y7YlHDtsiDawwp-uvifEJ8HVaSn0k2aGHG8-hwM/edit?usp=share_link"",""เชียงใหม่!J79"")+IMPORTRANGE(""https://docs.google.com/spreadsheets/d/1JWG2rZePOz9pe-f-ObA-yDr0VoOX2kSb0qIix2m"&amp;"TUo8/edit?usp=share_link"",""ตาก!J79"")+IMPORTRANGE(""https://docs.google.com/spreadsheets/d/10nSRjK08hx8Y6HgSOQKNw81lyY46Zc7U_Cj72hBMp9U/edit?usp=share_link"",""นครสวรรค์!J79"")+IMPORTRANGE(""https://docs.google.com/spreadsheets/d/1gFVb7qd7amutrIxAAoM7lc"&amp;"y35hllxznovot8lyOfvDo/edit?usp=share_link"",""น่าน!J79"")+IMPORTRANGE(""https://docs.google.com/spreadsheets/d/1K0Aa9s-6EuHE5M0FG1F9aHLXRCOV917xvycTdLdct0w/edit?usp=share_link"",""พะเยา!J79"")+IMPORTRANGE(""https://docs.google.com/spreadsheets/d/1Y9LPKx95"&amp;"PyL5OKy09d-KbKJSuuEZCFdkhYjwC0XQjBA/edit?usp=share_link"",""พิจิตร!J79"")+IMPORTRANGE(""https://docs.google.com/spreadsheets/d/16OMuOwy2eVqZcYWOouQtTpa8X1L23h4660uVHc0C8os/edit?usp=share_link"",""พิษณุโลก!J79"")+IMPORTRANGE(""https://docs.google.com/sprea"&amp;"dsheets/d/1GfgTldLG6k77HXaMQzaafODklYuucJZQNs_GAPEfZyY/edit?usp=share_link"",""เพชรบูรณ์!J79"")+IMPORTRANGE(""https://docs.google.com/spreadsheets/d/1gvTMYAnm7v1yG1BKWFtr0DnaTsq59oW9dwWvFgq6hs0/edit?usp=share_link"",""แพร่!J79"")+IMPORTRANGE(""https://doc"&amp;"s.google.com/spreadsheets/d/1Wbcosgy-Xa1xXUArJSOenub6EfZHUSzc_bpJFWwQUf0/edit?usp=share_link"",""แม่ฮ่องสอน!J79"")+IMPORTRANGE(""https://docs.google.com/spreadsheets/d/1p7ERhsr0qZeSn-KSOdeHS9r0heI-lHtkcn2OH7hP0jQ/edit?usp=share_link"",""ลำปาง!J79"")+IMPOR"&amp;"TRANGE(""https://docs.google.com/spreadsheets/d/1-uUXvimVhiU2U0bMN-xi2te0tS4X7DI2GLPnMjzl8cA/edit?usp=share_link"",""ลำพูน!J79"")+IMPORTRANGE(""https://docs.google.com/spreadsheets/d/17HrOaa5pBUI1onckFfumXB8xlg35qb2uBAFfF1D-Myo/edit?usp=share_link"",""สุโ"&amp;"ขทัย!J79"")+IMPORTRANGE(""https://docs.google.com/spreadsheets/d/1ubs5cl16eYL9gHbdHTJtmtYb9MGzHBs7CAphn8kNCgM/edit?usp=share_link"",""อุตรดิตถ์!J79"")+IMPORTRANGE(""https://docs.google.com/spreadsheets/d/1kII0BjS6CtVrBvI8IrytgPdxDrlyQDyigzMsohRtDMs/edit?u"&amp;"sp=share_link"",""อุทัยธานี!J79"")
"),80)</f>
        <v>80</v>
      </c>
      <c r="K79" s="163">
        <f t="shared" ca="1" si="60"/>
        <v>53.333333333333336</v>
      </c>
      <c r="L79" s="163"/>
      <c r="M79" s="163"/>
      <c r="N79" s="163"/>
      <c r="O79" s="163"/>
      <c r="P79" s="163"/>
    </row>
    <row r="80" spans="1:26" ht="18.75">
      <c r="A80" s="170"/>
      <c r="B80" s="171"/>
      <c r="C80" s="171"/>
      <c r="D80" s="171"/>
      <c r="E80" s="181" t="s">
        <v>41</v>
      </c>
      <c r="F80" s="177"/>
      <c r="G80" s="179"/>
      <c r="H80" s="182" t="s">
        <v>34</v>
      </c>
      <c r="I80" s="162">
        <f ca="1">IFERROR(__xludf.DUMMYFUNCTION("IMPORTRANGE(""https://docs.google.com/spreadsheets/d/1KxicF4apzSqm0-jIpmueT4kyZtE-Cwn5zskl7GD4loQ/edit?usp=share_link"",""กำแพงเพชร!I80"")+IMPORTRANGE(""https://docs.google.com/spreadsheets/d/1ZNYWeiFoFA1K1U4xKWqRX29MBvEyRHXORjo734Gnq_c/edit?usp=share_lin"&amp;"k"",""เชียงราย!I80"")
+IMPORTRANGE(""https://docs.google.com/spreadsheets/d/1Jgv0Y7YlHDtsiDawwp-uvifEJ8HVaSn0k2aGHG8-hwM/edit?usp=share_link"",""เชียงใหม่!I80"")+IMPORTRANGE(""https://docs.google.com/spreadsheets/d/1JWG2rZePOz9pe-f-ObA-yDr0VoOX2kSb0qIix2m"&amp;"TUo8/edit?usp=share_link"",""ตาก!I80"")+IMPORTRANGE(""https://docs.google.com/spreadsheets/d/10nSRjK08hx8Y6HgSOQKNw81lyY46Zc7U_Cj72hBMp9U/edit?usp=share_link"",""นครสวรรค์!I80"")+IMPORTRANGE(""https://docs.google.com/spreadsheets/d/1gFVb7qd7amutrIxAAoM7lc"&amp;"y35hllxznovot8lyOfvDo/edit?usp=share_link"",""น่าน!I80"")+IMPORTRANGE(""https://docs.google.com/spreadsheets/d/1K0Aa9s-6EuHE5M0FG1F9aHLXRCOV917xvycTdLdct0w/edit?usp=share_link"",""พะเยา!I80"")+IMPORTRANGE(""https://docs.google.com/spreadsheets/d/1Y9LPKx95"&amp;"PyL5OKy09d-KbKJSuuEZCFdkhYjwC0XQjBA/edit?usp=share_link"",""พิจิตร!I80"")+IMPORTRANGE(""https://docs.google.com/spreadsheets/d/16OMuOwy2eVqZcYWOouQtTpa8X1L23h4660uVHc0C8os/edit?usp=share_link"",""พิษณุโลก!I80"")+IMPORTRANGE(""https://docs.google.com/sprea"&amp;"dsheets/d/1GfgTldLG6k77HXaMQzaafODklYuucJZQNs_GAPEfZyY/edit?usp=share_link"",""เพชรบูรณ์!I80"")+IMPORTRANGE(""https://docs.google.com/spreadsheets/d/1gvTMYAnm7v1yG1BKWFtr0DnaTsq59oW9dwWvFgq6hs0/edit?usp=share_link"",""แพร่!I80"")+IMPORTRANGE(""https://doc"&amp;"s.google.com/spreadsheets/d/1Wbcosgy-Xa1xXUArJSOenub6EfZHUSzc_bpJFWwQUf0/edit?usp=share_link"",""แม่ฮ่องสอน!I80"")+IMPORTRANGE(""https://docs.google.com/spreadsheets/d/1p7ERhsr0qZeSn-KSOdeHS9r0heI-lHtkcn2OH7hP0jQ/edit?usp=share_link"",""ลำปาง!I80"")+IMPOR"&amp;"TRANGE(""https://docs.google.com/spreadsheets/d/1-uUXvimVhiU2U0bMN-xi2te0tS4X7DI2GLPnMjzl8cA/edit?usp=share_link"",""ลำพูน!I80"")+IMPORTRANGE(""https://docs.google.com/spreadsheets/d/17HrOaa5pBUI1onckFfumXB8xlg35qb2uBAFfF1D-Myo/edit?usp=share_link"",""สุโ"&amp;"ขทัย!I80"")+IMPORTRANGE(""https://docs.google.com/spreadsheets/d/1ubs5cl16eYL9gHbdHTJtmtYb9MGzHBs7CAphn8kNCgM/edit?usp=share_link"",""อุตรดิตถ์!I80"")+IMPORTRANGE(""https://docs.google.com/spreadsheets/d/1kII0BjS6CtVrBvI8IrytgPdxDrlyQDyigzMsohRtDMs/edit?u"&amp;"sp=share_link"",""อุทัยธานี!I80"")
"),4)</f>
        <v>4</v>
      </c>
      <c r="J80" s="183">
        <f ca="1">IFERROR(__xludf.DUMMYFUNCTION("IMPORTRANGE(""https://docs.google.com/spreadsheets/d/1KxicF4apzSqm0-jIpmueT4kyZtE-Cwn5zskl7GD4loQ/edit?usp=share_link"",""กำแพงเพชร!J80"")+IMPORTRANGE(""https://docs.google.com/spreadsheets/d/1ZNYWeiFoFA1K1U4xKWqRX29MBvEyRHXORjo734Gnq_c/edit?usp=share_lin"&amp;"k"",""เชียงราย!J80"")
+IMPORTRANGE(""https://docs.google.com/spreadsheets/d/1Jgv0Y7YlHDtsiDawwp-uvifEJ8HVaSn0k2aGHG8-hwM/edit?usp=share_link"",""เชียงใหม่!J80"")+IMPORTRANGE(""https://docs.google.com/spreadsheets/d/1JWG2rZePOz9pe-f-ObA-yDr0VoOX2kSb0qIix2m"&amp;"TUo8/edit?usp=share_link"",""ตาก!J80"")+IMPORTRANGE(""https://docs.google.com/spreadsheets/d/10nSRjK08hx8Y6HgSOQKNw81lyY46Zc7U_Cj72hBMp9U/edit?usp=share_link"",""นครสวรรค์!J80"")+IMPORTRANGE(""https://docs.google.com/spreadsheets/d/1gFVb7qd7amutrIxAAoM7lc"&amp;"y35hllxznovot8lyOfvDo/edit?usp=share_link"",""น่าน!J80"")+IMPORTRANGE(""https://docs.google.com/spreadsheets/d/1K0Aa9s-6EuHE5M0FG1F9aHLXRCOV917xvycTdLdct0w/edit?usp=share_link"",""พะเยา!J80"")+IMPORTRANGE(""https://docs.google.com/spreadsheets/d/1Y9LPKx95"&amp;"PyL5OKy09d-KbKJSuuEZCFdkhYjwC0XQjBA/edit?usp=share_link"",""พิจิตร!J80"")+IMPORTRANGE(""https://docs.google.com/spreadsheets/d/16OMuOwy2eVqZcYWOouQtTpa8X1L23h4660uVHc0C8os/edit?usp=share_link"",""พิษณุโลก!J80"")+IMPORTRANGE(""https://docs.google.com/sprea"&amp;"dsheets/d/1GfgTldLG6k77HXaMQzaafODklYuucJZQNs_GAPEfZyY/edit?usp=share_link"",""เพชรบูรณ์!J80"")+IMPORTRANGE(""https://docs.google.com/spreadsheets/d/1gvTMYAnm7v1yG1BKWFtr0DnaTsq59oW9dwWvFgq6hs0/edit?usp=share_link"",""แพร่!J80"")+IMPORTRANGE(""https://doc"&amp;"s.google.com/spreadsheets/d/1Wbcosgy-Xa1xXUArJSOenub6EfZHUSzc_bpJFWwQUf0/edit?usp=share_link"",""แม่ฮ่องสอน!J80"")+IMPORTRANGE(""https://docs.google.com/spreadsheets/d/1p7ERhsr0qZeSn-KSOdeHS9r0heI-lHtkcn2OH7hP0jQ/edit?usp=share_link"",""ลำปาง!J80"")+IMPOR"&amp;"TRANGE(""https://docs.google.com/spreadsheets/d/1-uUXvimVhiU2U0bMN-xi2te0tS4X7DI2GLPnMjzl8cA/edit?usp=share_link"",""ลำพูน!J80"")+IMPORTRANGE(""https://docs.google.com/spreadsheets/d/17HrOaa5pBUI1onckFfumXB8xlg35qb2uBAFfF1D-Myo/edit?usp=share_link"",""สุโ"&amp;"ขทัย!J80"")+IMPORTRANGE(""https://docs.google.com/spreadsheets/d/1ubs5cl16eYL9gHbdHTJtmtYb9MGzHBs7CAphn8kNCgM/edit?usp=share_link"",""อุตรดิตถ์!J80"")+IMPORTRANGE(""https://docs.google.com/spreadsheets/d/1kII0BjS6CtVrBvI8IrytgPdxDrlyQDyigzMsohRtDMs/edit?u"&amp;"sp=share_link"",""อุทัยธานี!J80"")
"),1)</f>
        <v>1</v>
      </c>
      <c r="K80" s="163">
        <f t="shared" ca="1" si="60"/>
        <v>25</v>
      </c>
      <c r="L80" s="163"/>
      <c r="M80" s="163"/>
      <c r="N80" s="163"/>
      <c r="O80" s="163"/>
      <c r="P80" s="163"/>
    </row>
    <row r="81" spans="1:26" ht="18.75">
      <c r="A81" s="170"/>
      <c r="B81" s="171"/>
      <c r="C81" s="171"/>
      <c r="D81" s="171"/>
      <c r="E81" s="178"/>
      <c r="F81" s="178"/>
      <c r="G81" s="179"/>
      <c r="H81" s="182" t="s">
        <v>35</v>
      </c>
      <c r="I81" s="162">
        <f ca="1">IFERROR(__xludf.DUMMYFUNCTION("IMPORTRANGE(""https://docs.google.com/spreadsheets/d/1KxicF4apzSqm0-jIpmueT4kyZtE-Cwn5zskl7GD4loQ/edit?usp=share_link"",""กำแพงเพชร!I81"")+IMPORTRANGE(""https://docs.google.com/spreadsheets/d/1ZNYWeiFoFA1K1U4xKWqRX29MBvEyRHXORjo734Gnq_c/edit?usp=share_lin"&amp;"k"",""เชียงราย!I81"")
+IMPORTRANGE(""https://docs.google.com/spreadsheets/d/1Jgv0Y7YlHDtsiDawwp-uvifEJ8HVaSn0k2aGHG8-hwM/edit?usp=share_link"",""เชียงใหม่!I81"")+IMPORTRANGE(""https://docs.google.com/spreadsheets/d/1JWG2rZePOz9pe-f-ObA-yDr0VoOX2kSb0qIix2m"&amp;"TUo8/edit?usp=share_link"",""ตาก!I81"")+IMPORTRANGE(""https://docs.google.com/spreadsheets/d/10nSRjK08hx8Y6HgSOQKNw81lyY46Zc7U_Cj72hBMp9U/edit?usp=share_link"",""นครสวรรค์!I81"")+IMPORTRANGE(""https://docs.google.com/spreadsheets/d/1gFVb7qd7amutrIxAAoM7lc"&amp;"y35hllxznovot8lyOfvDo/edit?usp=share_link"",""น่าน!I81"")+IMPORTRANGE(""https://docs.google.com/spreadsheets/d/1K0Aa9s-6EuHE5M0FG1F9aHLXRCOV917xvycTdLdct0w/edit?usp=share_link"",""พะเยา!I81"")+IMPORTRANGE(""https://docs.google.com/spreadsheets/d/1Y9LPKx95"&amp;"PyL5OKy09d-KbKJSuuEZCFdkhYjwC0XQjBA/edit?usp=share_link"",""พิจิตร!I81"")+IMPORTRANGE(""https://docs.google.com/spreadsheets/d/16OMuOwy2eVqZcYWOouQtTpa8X1L23h4660uVHc0C8os/edit?usp=share_link"",""พิษณุโลก!I81"")+IMPORTRANGE(""https://docs.google.com/sprea"&amp;"dsheets/d/1GfgTldLG6k77HXaMQzaafODklYuucJZQNs_GAPEfZyY/edit?usp=share_link"",""เพชรบูรณ์!I81"")+IMPORTRANGE(""https://docs.google.com/spreadsheets/d/1gvTMYAnm7v1yG1BKWFtr0DnaTsq59oW9dwWvFgq6hs0/edit?usp=share_link"",""แพร่!I81"")+IMPORTRANGE(""https://doc"&amp;"s.google.com/spreadsheets/d/1Wbcosgy-Xa1xXUArJSOenub6EfZHUSzc_bpJFWwQUf0/edit?usp=share_link"",""แม่ฮ่องสอน!I81"")+IMPORTRANGE(""https://docs.google.com/spreadsheets/d/1p7ERhsr0qZeSn-KSOdeHS9r0heI-lHtkcn2OH7hP0jQ/edit?usp=share_link"",""ลำปาง!I81"")+IMPOR"&amp;"TRANGE(""https://docs.google.com/spreadsheets/d/1-uUXvimVhiU2U0bMN-xi2te0tS4X7DI2GLPnMjzl8cA/edit?usp=share_link"",""ลำพูน!I81"")+IMPORTRANGE(""https://docs.google.com/spreadsheets/d/17HrOaa5pBUI1onckFfumXB8xlg35qb2uBAFfF1D-Myo/edit?usp=share_link"",""สุโ"&amp;"ขทัย!I81"")+IMPORTRANGE(""https://docs.google.com/spreadsheets/d/1ubs5cl16eYL9gHbdHTJtmtYb9MGzHBs7CAphn8kNCgM/edit?usp=share_link"",""อุตรดิตถ์!I81"")+IMPORTRANGE(""https://docs.google.com/spreadsheets/d/1kII0BjS6CtVrBvI8IrytgPdxDrlyQDyigzMsohRtDMs/edit?u"&amp;"sp=share_link"",""อุทัยธานี!I81"")
"),157)</f>
        <v>157</v>
      </c>
      <c r="J81" s="183">
        <f ca="1">IFERROR(__xludf.DUMMYFUNCTION("IMPORTRANGE(""https://docs.google.com/spreadsheets/d/1KxicF4apzSqm0-jIpmueT4kyZtE-Cwn5zskl7GD4loQ/edit?usp=share_link"",""กำแพงเพชร!J81"")+IMPORTRANGE(""https://docs.google.com/spreadsheets/d/1ZNYWeiFoFA1K1U4xKWqRX29MBvEyRHXORjo734Gnq_c/edit?usp=share_lin"&amp;"k"",""เชียงราย!J81"")
+IMPORTRANGE(""https://docs.google.com/spreadsheets/d/1Jgv0Y7YlHDtsiDawwp-uvifEJ8HVaSn0k2aGHG8-hwM/edit?usp=share_link"",""เชียงใหม่!J81"")+IMPORTRANGE(""https://docs.google.com/spreadsheets/d/1JWG2rZePOz9pe-f-ObA-yDr0VoOX2kSb0qIix2m"&amp;"TUo8/edit?usp=share_link"",""ตาก!J81"")+IMPORTRANGE(""https://docs.google.com/spreadsheets/d/10nSRjK08hx8Y6HgSOQKNw81lyY46Zc7U_Cj72hBMp9U/edit?usp=share_link"",""นครสวรรค์!J81"")+IMPORTRANGE(""https://docs.google.com/spreadsheets/d/1gFVb7qd7amutrIxAAoM7lc"&amp;"y35hllxznovot8lyOfvDo/edit?usp=share_link"",""น่าน!J81"")+IMPORTRANGE(""https://docs.google.com/spreadsheets/d/1K0Aa9s-6EuHE5M0FG1F9aHLXRCOV917xvycTdLdct0w/edit?usp=share_link"",""พะเยา!J81"")+IMPORTRANGE(""https://docs.google.com/spreadsheets/d/1Y9LPKx95"&amp;"PyL5OKy09d-KbKJSuuEZCFdkhYjwC0XQjBA/edit?usp=share_link"",""พิจิตร!J81"")+IMPORTRANGE(""https://docs.google.com/spreadsheets/d/16OMuOwy2eVqZcYWOouQtTpa8X1L23h4660uVHc0C8os/edit?usp=share_link"",""พิษณุโลก!J81"")+IMPORTRANGE(""https://docs.google.com/sprea"&amp;"dsheets/d/1GfgTldLG6k77HXaMQzaafODklYuucJZQNs_GAPEfZyY/edit?usp=share_link"",""เพชรบูรณ์!J81"")+IMPORTRANGE(""https://docs.google.com/spreadsheets/d/1gvTMYAnm7v1yG1BKWFtr0DnaTsq59oW9dwWvFgq6hs0/edit?usp=share_link"",""แพร่!J81"")+IMPORTRANGE(""https://doc"&amp;"s.google.com/spreadsheets/d/1Wbcosgy-Xa1xXUArJSOenub6EfZHUSzc_bpJFWwQUf0/edit?usp=share_link"",""แม่ฮ่องสอน!J81"")+IMPORTRANGE(""https://docs.google.com/spreadsheets/d/1p7ERhsr0qZeSn-KSOdeHS9r0heI-lHtkcn2OH7hP0jQ/edit?usp=share_link"",""ลำปาง!J81"")+IMPOR"&amp;"TRANGE(""https://docs.google.com/spreadsheets/d/1-uUXvimVhiU2U0bMN-xi2te0tS4X7DI2GLPnMjzl8cA/edit?usp=share_link"",""ลำพูน!J81"")+IMPORTRANGE(""https://docs.google.com/spreadsheets/d/17HrOaa5pBUI1onckFfumXB8xlg35qb2uBAFfF1D-Myo/edit?usp=share_link"",""สุโ"&amp;"ขทัย!J81"")+IMPORTRANGE(""https://docs.google.com/spreadsheets/d/1ubs5cl16eYL9gHbdHTJtmtYb9MGzHBs7CAphn8kNCgM/edit?usp=share_link"",""อุตรดิตถ์!J81"")+IMPORTRANGE(""https://docs.google.com/spreadsheets/d/1kII0BjS6CtVrBvI8IrytgPdxDrlyQDyigzMsohRtDMs/edit?u"&amp;"sp=share_link"",""อุทัยธานี!J81"")
"),32)</f>
        <v>32</v>
      </c>
      <c r="K81" s="163">
        <f t="shared" ca="1" si="60"/>
        <v>20.38216560509554</v>
      </c>
      <c r="L81" s="163"/>
      <c r="M81" s="163"/>
      <c r="N81" s="163"/>
      <c r="O81" s="163"/>
      <c r="P81" s="163"/>
    </row>
    <row r="82" spans="1:26" ht="18.75">
      <c r="A82" s="170"/>
      <c r="B82" s="171"/>
      <c r="C82" s="171"/>
      <c r="D82" s="171"/>
      <c r="E82" s="181" t="s">
        <v>42</v>
      </c>
      <c r="F82" s="177"/>
      <c r="G82" s="179"/>
      <c r="H82" s="182" t="s">
        <v>34</v>
      </c>
      <c r="I82" s="184">
        <f ca="1">IFERROR(__xludf.DUMMYFUNCTION("IMPORTRANGE(""https://docs.google.com/spreadsheets/d/1KxicF4apzSqm0-jIpmueT4kyZtE-Cwn5zskl7GD4loQ/edit?usp=share_link"",""กำแพงเพชร!I82"")+IMPORTRANGE(""https://docs.google.com/spreadsheets/d/1ZNYWeiFoFA1K1U4xKWqRX29MBvEyRHXORjo734Gnq_c/edit?usp=share_lin"&amp;"k"",""เชียงราย!I82"")
+IMPORTRANGE(""https://docs.google.com/spreadsheets/d/1Jgv0Y7YlHDtsiDawwp-uvifEJ8HVaSn0k2aGHG8-hwM/edit?usp=share_link"",""เชียงใหม่!I82"")+IMPORTRANGE(""https://docs.google.com/spreadsheets/d/1JWG2rZePOz9pe-f-ObA-yDr0VoOX2kSb0qIix2m"&amp;"TUo8/edit?usp=share_link"",""ตาก!I82"")+IMPORTRANGE(""https://docs.google.com/spreadsheets/d/10nSRjK08hx8Y6HgSOQKNw81lyY46Zc7U_Cj72hBMp9U/edit?usp=share_link"",""นครสวรรค์!I82"")+IMPORTRANGE(""https://docs.google.com/spreadsheets/d/1gFVb7qd7amutrIxAAoM7lc"&amp;"y35hllxznovot8lyOfvDo/edit?usp=share_link"",""น่าน!I82"")+IMPORTRANGE(""https://docs.google.com/spreadsheets/d/1K0Aa9s-6EuHE5M0FG1F9aHLXRCOV917xvycTdLdct0w/edit?usp=share_link"",""พะเยา!I82"")+IMPORTRANGE(""https://docs.google.com/spreadsheets/d/1Y9LPKx95"&amp;"PyL5OKy09d-KbKJSuuEZCFdkhYjwC0XQjBA/edit?usp=share_link"",""พิจิตร!I82"")+IMPORTRANGE(""https://docs.google.com/spreadsheets/d/16OMuOwy2eVqZcYWOouQtTpa8X1L23h4660uVHc0C8os/edit?usp=share_link"",""พิษณุโลก!I82"")+IMPORTRANGE(""https://docs.google.com/sprea"&amp;"dsheets/d/1GfgTldLG6k77HXaMQzaafODklYuucJZQNs_GAPEfZyY/edit?usp=share_link"",""เพชรบูรณ์!I82"")+IMPORTRANGE(""https://docs.google.com/spreadsheets/d/1gvTMYAnm7v1yG1BKWFtr0DnaTsq59oW9dwWvFgq6hs0/edit?usp=share_link"",""แพร่!I82"")+IMPORTRANGE(""https://doc"&amp;"s.google.com/spreadsheets/d/1Wbcosgy-Xa1xXUArJSOenub6EfZHUSzc_bpJFWwQUf0/edit?usp=share_link"",""แม่ฮ่องสอน!I82"")+IMPORTRANGE(""https://docs.google.com/spreadsheets/d/1p7ERhsr0qZeSn-KSOdeHS9r0heI-lHtkcn2OH7hP0jQ/edit?usp=share_link"",""ลำปาง!I82"")+IMPOR"&amp;"TRANGE(""https://docs.google.com/spreadsheets/d/1-uUXvimVhiU2U0bMN-xi2te0tS4X7DI2GLPnMjzl8cA/edit?usp=share_link"",""ลำพูน!I82"")+IMPORTRANGE(""https://docs.google.com/spreadsheets/d/17HrOaa5pBUI1onckFfumXB8xlg35qb2uBAFfF1D-Myo/edit?usp=share_link"",""สุโ"&amp;"ขทัย!I82"")+IMPORTRANGE(""https://docs.google.com/spreadsheets/d/1ubs5cl16eYL9gHbdHTJtmtYb9MGzHBs7CAphn8kNCgM/edit?usp=share_link"",""อุตรดิตถ์!I82"")+IMPORTRANGE(""https://docs.google.com/spreadsheets/d/1kII0BjS6CtVrBvI8IrytgPdxDrlyQDyigzMsohRtDMs/edit?u"&amp;"sp=share_link"",""อุทัยธานี!I82"")
"),3)</f>
        <v>3</v>
      </c>
      <c r="J82" s="183">
        <f ca="1">IFERROR(__xludf.DUMMYFUNCTION("IMPORTRANGE(""https://docs.google.com/spreadsheets/d/1KxicF4apzSqm0-jIpmueT4kyZtE-Cwn5zskl7GD4loQ/edit?usp=share_link"",""กำแพงเพชร!J82"")+IMPORTRANGE(""https://docs.google.com/spreadsheets/d/1ZNYWeiFoFA1K1U4xKWqRX29MBvEyRHXORjo734Gnq_c/edit?usp=share_lin"&amp;"k"",""เชียงราย!J82"")
+IMPORTRANGE(""https://docs.google.com/spreadsheets/d/1Jgv0Y7YlHDtsiDawwp-uvifEJ8HVaSn0k2aGHG8-hwM/edit?usp=share_link"",""เชียงใหม่!J82"")+IMPORTRANGE(""https://docs.google.com/spreadsheets/d/1JWG2rZePOz9pe-f-ObA-yDr0VoOX2kSb0qIix2m"&amp;"TUo8/edit?usp=share_link"",""ตาก!J82"")+IMPORTRANGE(""https://docs.google.com/spreadsheets/d/10nSRjK08hx8Y6HgSOQKNw81lyY46Zc7U_Cj72hBMp9U/edit?usp=share_link"",""นครสวรรค์!J82"")+IMPORTRANGE(""https://docs.google.com/spreadsheets/d/1gFVb7qd7amutrIxAAoM7lc"&amp;"y35hllxznovot8lyOfvDo/edit?usp=share_link"",""น่าน!J82"")+IMPORTRANGE(""https://docs.google.com/spreadsheets/d/1K0Aa9s-6EuHE5M0FG1F9aHLXRCOV917xvycTdLdct0w/edit?usp=share_link"",""พะเยา!J82"")+IMPORTRANGE(""https://docs.google.com/spreadsheets/d/1Y9LPKx95"&amp;"PyL5OKy09d-KbKJSuuEZCFdkhYjwC0XQjBA/edit?usp=share_link"",""พิจิตร!J82"")+IMPORTRANGE(""https://docs.google.com/spreadsheets/d/16OMuOwy2eVqZcYWOouQtTpa8X1L23h4660uVHc0C8os/edit?usp=share_link"",""พิษณุโลก!J82"")+IMPORTRANGE(""https://docs.google.com/sprea"&amp;"dsheets/d/1GfgTldLG6k77HXaMQzaafODklYuucJZQNs_GAPEfZyY/edit?usp=share_link"",""เพชรบูรณ์!J82"")+IMPORTRANGE(""https://docs.google.com/spreadsheets/d/1gvTMYAnm7v1yG1BKWFtr0DnaTsq59oW9dwWvFgq6hs0/edit?usp=share_link"",""แพร่!J82"")+IMPORTRANGE(""https://doc"&amp;"s.google.com/spreadsheets/d/1Wbcosgy-Xa1xXUArJSOenub6EfZHUSzc_bpJFWwQUf0/edit?usp=share_link"",""แม่ฮ่องสอน!J82"")+IMPORTRANGE(""https://docs.google.com/spreadsheets/d/1p7ERhsr0qZeSn-KSOdeHS9r0heI-lHtkcn2OH7hP0jQ/edit?usp=share_link"",""ลำปาง!J82"")+IMPOR"&amp;"TRANGE(""https://docs.google.com/spreadsheets/d/1-uUXvimVhiU2U0bMN-xi2te0tS4X7DI2GLPnMjzl8cA/edit?usp=share_link"",""ลำพูน!J82"")+IMPORTRANGE(""https://docs.google.com/spreadsheets/d/17HrOaa5pBUI1onckFfumXB8xlg35qb2uBAFfF1D-Myo/edit?usp=share_link"",""สุโ"&amp;"ขทัย!J82"")+IMPORTRANGE(""https://docs.google.com/spreadsheets/d/1ubs5cl16eYL9gHbdHTJtmtYb9MGzHBs7CAphn8kNCgM/edit?usp=share_link"",""อุตรดิตถ์!J82"")+IMPORTRANGE(""https://docs.google.com/spreadsheets/d/1kII0BjS6CtVrBvI8IrytgPdxDrlyQDyigzMsohRtDMs/edit?u"&amp;"sp=share_link"",""อุทัยธานี!J82"")
"),0)</f>
        <v>0</v>
      </c>
      <c r="K82" s="163">
        <f t="shared" ca="1" si="60"/>
        <v>0</v>
      </c>
      <c r="L82" s="163"/>
      <c r="M82" s="163"/>
      <c r="N82" s="163"/>
      <c r="O82" s="163"/>
      <c r="P82" s="163"/>
    </row>
    <row r="83" spans="1:26" ht="18.75">
      <c r="A83" s="170"/>
      <c r="B83" s="171"/>
      <c r="C83" s="171"/>
      <c r="D83" s="171"/>
      <c r="E83" s="178"/>
      <c r="F83" s="178"/>
      <c r="G83" s="179"/>
      <c r="H83" s="182" t="s">
        <v>35</v>
      </c>
      <c r="I83" s="162">
        <f ca="1">IFERROR(__xludf.DUMMYFUNCTION("IMPORTRANGE(""https://docs.google.com/spreadsheets/d/1KxicF4apzSqm0-jIpmueT4kyZtE-Cwn5zskl7GD4loQ/edit?usp=share_link"",""กำแพงเพชร!I83"")+IMPORTRANGE(""https://docs.google.com/spreadsheets/d/1ZNYWeiFoFA1K1U4xKWqRX29MBvEyRHXORjo734Gnq_c/edit?usp=share_lin"&amp;"k"",""เชียงราย!I83"")
+IMPORTRANGE(""https://docs.google.com/spreadsheets/d/1Jgv0Y7YlHDtsiDawwp-uvifEJ8HVaSn0k2aGHG8-hwM/edit?usp=share_link"",""เชียงใหม่!I83"")+IMPORTRANGE(""https://docs.google.com/spreadsheets/d/1JWG2rZePOz9pe-f-ObA-yDr0VoOX2kSb0qIix2m"&amp;"TUo8/edit?usp=share_link"",""ตาก!I83"")+IMPORTRANGE(""https://docs.google.com/spreadsheets/d/10nSRjK08hx8Y6HgSOQKNw81lyY46Zc7U_Cj72hBMp9U/edit?usp=share_link"",""นครสวรรค์!I83"")+IMPORTRANGE(""https://docs.google.com/spreadsheets/d/1gFVb7qd7amutrIxAAoM7lc"&amp;"y35hllxznovot8lyOfvDo/edit?usp=share_link"",""น่าน!I83"")+IMPORTRANGE(""https://docs.google.com/spreadsheets/d/1K0Aa9s-6EuHE5M0FG1F9aHLXRCOV917xvycTdLdct0w/edit?usp=share_link"",""พะเยา!I83"")+IMPORTRANGE(""https://docs.google.com/spreadsheets/d/1Y9LPKx95"&amp;"PyL5OKy09d-KbKJSuuEZCFdkhYjwC0XQjBA/edit?usp=share_link"",""พิจิตร!I83"")+IMPORTRANGE(""https://docs.google.com/spreadsheets/d/16OMuOwy2eVqZcYWOouQtTpa8X1L23h4660uVHc0C8os/edit?usp=share_link"",""พิษณุโลก!I83"")+IMPORTRANGE(""https://docs.google.com/sprea"&amp;"dsheets/d/1GfgTldLG6k77HXaMQzaafODklYuucJZQNs_GAPEfZyY/edit?usp=share_link"",""เพชรบูรณ์!I83"")+IMPORTRANGE(""https://docs.google.com/spreadsheets/d/1gvTMYAnm7v1yG1BKWFtr0DnaTsq59oW9dwWvFgq6hs0/edit?usp=share_link"",""แพร่!I83"")+IMPORTRANGE(""https://doc"&amp;"s.google.com/spreadsheets/d/1Wbcosgy-Xa1xXUArJSOenub6EfZHUSzc_bpJFWwQUf0/edit?usp=share_link"",""แม่ฮ่องสอน!I83"")+IMPORTRANGE(""https://docs.google.com/spreadsheets/d/1p7ERhsr0qZeSn-KSOdeHS9r0heI-lHtkcn2OH7hP0jQ/edit?usp=share_link"",""ลำปาง!I83"")+IMPOR"&amp;"TRANGE(""https://docs.google.com/spreadsheets/d/1-uUXvimVhiU2U0bMN-xi2te0tS4X7DI2GLPnMjzl8cA/edit?usp=share_link"",""ลำพูน!I83"")+IMPORTRANGE(""https://docs.google.com/spreadsheets/d/17HrOaa5pBUI1onckFfumXB8xlg35qb2uBAFfF1D-Myo/edit?usp=share_link"",""สุโ"&amp;"ขทัย!I83"")+IMPORTRANGE(""https://docs.google.com/spreadsheets/d/1ubs5cl16eYL9gHbdHTJtmtYb9MGzHBs7CAphn8kNCgM/edit?usp=share_link"",""อุตรดิตถ์!I83"")+IMPORTRANGE(""https://docs.google.com/spreadsheets/d/1kII0BjS6CtVrBvI8IrytgPdxDrlyQDyigzMsohRtDMs/edit?u"&amp;"sp=share_link"",""อุทัยธานี!I83"")
"),150)</f>
        <v>150</v>
      </c>
      <c r="J83" s="183">
        <f ca="1">IFERROR(__xludf.DUMMYFUNCTION("IMPORTRANGE(""https://docs.google.com/spreadsheets/d/1KxicF4apzSqm0-jIpmueT4kyZtE-Cwn5zskl7GD4loQ/edit?usp=share_link"",""กำแพงเพชร!J83"")+IMPORTRANGE(""https://docs.google.com/spreadsheets/d/1ZNYWeiFoFA1K1U4xKWqRX29MBvEyRHXORjo734Gnq_c/edit?usp=share_lin"&amp;"k"",""เชียงราย!J83"")
+IMPORTRANGE(""https://docs.google.com/spreadsheets/d/1Jgv0Y7YlHDtsiDawwp-uvifEJ8HVaSn0k2aGHG8-hwM/edit?usp=share_link"",""เชียงใหม่!J83"")+IMPORTRANGE(""https://docs.google.com/spreadsheets/d/1JWG2rZePOz9pe-f-ObA-yDr0VoOX2kSb0qIix2m"&amp;"TUo8/edit?usp=share_link"",""ตาก!J83"")+IMPORTRANGE(""https://docs.google.com/spreadsheets/d/10nSRjK08hx8Y6HgSOQKNw81lyY46Zc7U_Cj72hBMp9U/edit?usp=share_link"",""นครสวรรค์!J83"")+IMPORTRANGE(""https://docs.google.com/spreadsheets/d/1gFVb7qd7amutrIxAAoM7lc"&amp;"y35hllxznovot8lyOfvDo/edit?usp=share_link"",""น่าน!J83"")+IMPORTRANGE(""https://docs.google.com/spreadsheets/d/1K0Aa9s-6EuHE5M0FG1F9aHLXRCOV917xvycTdLdct0w/edit?usp=share_link"",""พะเยา!J83"")+IMPORTRANGE(""https://docs.google.com/spreadsheets/d/1Y9LPKx95"&amp;"PyL5OKy09d-KbKJSuuEZCFdkhYjwC0XQjBA/edit?usp=share_link"",""พิจิตร!J83"")+IMPORTRANGE(""https://docs.google.com/spreadsheets/d/16OMuOwy2eVqZcYWOouQtTpa8X1L23h4660uVHc0C8os/edit?usp=share_link"",""พิษณุโลก!J83"")+IMPORTRANGE(""https://docs.google.com/sprea"&amp;"dsheets/d/1GfgTldLG6k77HXaMQzaafODklYuucJZQNs_GAPEfZyY/edit?usp=share_link"",""เพชรบูรณ์!J83"")+IMPORTRANGE(""https://docs.google.com/spreadsheets/d/1gvTMYAnm7v1yG1BKWFtr0DnaTsq59oW9dwWvFgq6hs0/edit?usp=share_link"",""แพร่!J83"")+IMPORTRANGE(""https://doc"&amp;"s.google.com/spreadsheets/d/1Wbcosgy-Xa1xXUArJSOenub6EfZHUSzc_bpJFWwQUf0/edit?usp=share_link"",""แม่ฮ่องสอน!J83"")+IMPORTRANGE(""https://docs.google.com/spreadsheets/d/1p7ERhsr0qZeSn-KSOdeHS9r0heI-lHtkcn2OH7hP0jQ/edit?usp=share_link"",""ลำปาง!J83"")+IMPOR"&amp;"TRANGE(""https://docs.google.com/spreadsheets/d/1-uUXvimVhiU2U0bMN-xi2te0tS4X7DI2GLPnMjzl8cA/edit?usp=share_link"",""ลำพูน!J83"")+IMPORTRANGE(""https://docs.google.com/spreadsheets/d/17HrOaa5pBUI1onckFfumXB8xlg35qb2uBAFfF1D-Myo/edit?usp=share_link"",""สุโ"&amp;"ขทัย!J83"")+IMPORTRANGE(""https://docs.google.com/spreadsheets/d/1ubs5cl16eYL9gHbdHTJtmtYb9MGzHBs7CAphn8kNCgM/edit?usp=share_link"",""อุตรดิตถ์!J83"")+IMPORTRANGE(""https://docs.google.com/spreadsheets/d/1kII0BjS6CtVrBvI8IrytgPdxDrlyQDyigzMsohRtDMs/edit?u"&amp;"sp=share_link"",""อุทัยธานี!J83"")
"),0)</f>
        <v>0</v>
      </c>
      <c r="K83" s="163">
        <f t="shared" ca="1" si="60"/>
        <v>0</v>
      </c>
      <c r="L83" s="163"/>
      <c r="M83" s="163"/>
      <c r="N83" s="163"/>
      <c r="O83" s="163"/>
      <c r="P83" s="163"/>
    </row>
    <row r="84" spans="1:26" ht="18.75">
      <c r="A84" s="170"/>
      <c r="B84" s="171"/>
      <c r="C84" s="171"/>
      <c r="D84" s="176" t="s">
        <v>43</v>
      </c>
      <c r="E84" s="177"/>
      <c r="F84" s="178"/>
      <c r="G84" s="179"/>
      <c r="H84" s="185" t="s">
        <v>34</v>
      </c>
      <c r="I84" s="162">
        <f ca="1">IFERROR(__xludf.DUMMYFUNCTION("IMPORTRANGE(""https://docs.google.com/spreadsheets/d/1KxicF4apzSqm0-jIpmueT4kyZtE-Cwn5zskl7GD4loQ/edit?usp=share_link"",""กำแพงเพชร!I84"")+IMPORTRANGE(""https://docs.google.com/spreadsheets/d/1ZNYWeiFoFA1K1U4xKWqRX29MBvEyRHXORjo734Gnq_c/edit?usp=share_lin"&amp;"k"",""เชียงราย!I84"")
+IMPORTRANGE(""https://docs.google.com/spreadsheets/d/1Jgv0Y7YlHDtsiDawwp-uvifEJ8HVaSn0k2aGHG8-hwM/edit?usp=share_link"",""เชียงใหม่!I84"")+IMPORTRANGE(""https://docs.google.com/spreadsheets/d/1JWG2rZePOz9pe-f-ObA-yDr0VoOX2kSb0qIix2m"&amp;"TUo8/edit?usp=share_link"",""ตาก!I84"")+IMPORTRANGE(""https://docs.google.com/spreadsheets/d/10nSRjK08hx8Y6HgSOQKNw81lyY46Zc7U_Cj72hBMp9U/edit?usp=share_link"",""นครสวรรค์!I84"")+IMPORTRANGE(""https://docs.google.com/spreadsheets/d/1gFVb7qd7amutrIxAAoM7lc"&amp;"y35hllxznovot8lyOfvDo/edit?usp=share_link"",""น่าน!I84"")+IMPORTRANGE(""https://docs.google.com/spreadsheets/d/1K0Aa9s-6EuHE5M0FG1F9aHLXRCOV917xvycTdLdct0w/edit?usp=share_link"",""พะเยา!I84"")+IMPORTRANGE(""https://docs.google.com/spreadsheets/d/1Y9LPKx95"&amp;"PyL5OKy09d-KbKJSuuEZCFdkhYjwC0XQjBA/edit?usp=share_link"",""พิจิตร!I84"")+IMPORTRANGE(""https://docs.google.com/spreadsheets/d/16OMuOwy2eVqZcYWOouQtTpa8X1L23h4660uVHc0C8os/edit?usp=share_link"",""พิษณุโลก!I84"")+IMPORTRANGE(""https://docs.google.com/sprea"&amp;"dsheets/d/1GfgTldLG6k77HXaMQzaafODklYuucJZQNs_GAPEfZyY/edit?usp=share_link"",""เพชรบูรณ์!I84"")+IMPORTRANGE(""https://docs.google.com/spreadsheets/d/1gvTMYAnm7v1yG1BKWFtr0DnaTsq59oW9dwWvFgq6hs0/edit?usp=share_link"",""แพร่!I84"")+IMPORTRANGE(""https://doc"&amp;"s.google.com/spreadsheets/d/1Wbcosgy-Xa1xXUArJSOenub6EfZHUSzc_bpJFWwQUf0/edit?usp=share_link"",""แม่ฮ่องสอน!I84"")+IMPORTRANGE(""https://docs.google.com/spreadsheets/d/1p7ERhsr0qZeSn-KSOdeHS9r0heI-lHtkcn2OH7hP0jQ/edit?usp=share_link"",""ลำปาง!I84"")+IMPOR"&amp;"TRANGE(""https://docs.google.com/spreadsheets/d/1-uUXvimVhiU2U0bMN-xi2te0tS4X7DI2GLPnMjzl8cA/edit?usp=share_link"",""ลำพูน!I84"")+IMPORTRANGE(""https://docs.google.com/spreadsheets/d/17HrOaa5pBUI1onckFfumXB8xlg35qb2uBAFfF1D-Myo/edit?usp=share_link"",""สุโ"&amp;"ขทัย!I84"")+IMPORTRANGE(""https://docs.google.com/spreadsheets/d/1ubs5cl16eYL9gHbdHTJtmtYb9MGzHBs7CAphn8kNCgM/edit?usp=share_link"",""อุตรดิตถ์!I84"")+IMPORTRANGE(""https://docs.google.com/spreadsheets/d/1kII0BjS6CtVrBvI8IrytgPdxDrlyQDyigzMsohRtDMs/edit?u"&amp;"sp=share_link"",""อุทัยธานี!I84"")
"),11)</f>
        <v>11</v>
      </c>
      <c r="J84" s="183">
        <f ca="1">IFERROR(__xludf.DUMMYFUNCTION("IMPORTRANGE(""https://docs.google.com/spreadsheets/d/1KxicF4apzSqm0-jIpmueT4kyZtE-Cwn5zskl7GD4loQ/edit?usp=share_link"",""กำแพงเพชร!J84"")+IMPORTRANGE(""https://docs.google.com/spreadsheets/d/1ZNYWeiFoFA1K1U4xKWqRX29MBvEyRHXORjo734Gnq_c/edit?usp=share_lin"&amp;"k"",""เชียงราย!J84"")
+IMPORTRANGE(""https://docs.google.com/spreadsheets/d/1Jgv0Y7YlHDtsiDawwp-uvifEJ8HVaSn0k2aGHG8-hwM/edit?usp=share_link"",""เชียงใหม่!J84"")+IMPORTRANGE(""https://docs.google.com/spreadsheets/d/1JWG2rZePOz9pe-f-ObA-yDr0VoOX2kSb0qIix2m"&amp;"TUo8/edit?usp=share_link"",""ตาก!J84"")+IMPORTRANGE(""https://docs.google.com/spreadsheets/d/10nSRjK08hx8Y6HgSOQKNw81lyY46Zc7U_Cj72hBMp9U/edit?usp=share_link"",""นครสวรรค์!J84"")+IMPORTRANGE(""https://docs.google.com/spreadsheets/d/1gFVb7qd7amutrIxAAoM7lc"&amp;"y35hllxznovot8lyOfvDo/edit?usp=share_link"",""น่าน!J84"")+IMPORTRANGE(""https://docs.google.com/spreadsheets/d/1K0Aa9s-6EuHE5M0FG1F9aHLXRCOV917xvycTdLdct0w/edit?usp=share_link"",""พะเยา!J84"")+IMPORTRANGE(""https://docs.google.com/spreadsheets/d/1Y9LPKx95"&amp;"PyL5OKy09d-KbKJSuuEZCFdkhYjwC0XQjBA/edit?usp=share_link"",""พิจิตร!J84"")+IMPORTRANGE(""https://docs.google.com/spreadsheets/d/16OMuOwy2eVqZcYWOouQtTpa8X1L23h4660uVHc0C8os/edit?usp=share_link"",""พิษณุโลก!J84"")+IMPORTRANGE(""https://docs.google.com/sprea"&amp;"dsheets/d/1GfgTldLG6k77HXaMQzaafODklYuucJZQNs_GAPEfZyY/edit?usp=share_link"",""เพชรบูรณ์!J84"")+IMPORTRANGE(""https://docs.google.com/spreadsheets/d/1gvTMYAnm7v1yG1BKWFtr0DnaTsq59oW9dwWvFgq6hs0/edit?usp=share_link"",""แพร่!J84"")+IMPORTRANGE(""https://doc"&amp;"s.google.com/spreadsheets/d/1Wbcosgy-Xa1xXUArJSOenub6EfZHUSzc_bpJFWwQUf0/edit?usp=share_link"",""แม่ฮ่องสอน!J84"")+IMPORTRANGE(""https://docs.google.com/spreadsheets/d/1p7ERhsr0qZeSn-KSOdeHS9r0heI-lHtkcn2OH7hP0jQ/edit?usp=share_link"",""ลำปาง!J84"")+IMPOR"&amp;"TRANGE(""https://docs.google.com/spreadsheets/d/1-uUXvimVhiU2U0bMN-xi2te0tS4X7DI2GLPnMjzl8cA/edit?usp=share_link"",""ลำพูน!J84"")+IMPORTRANGE(""https://docs.google.com/spreadsheets/d/17HrOaa5pBUI1onckFfumXB8xlg35qb2uBAFfF1D-Myo/edit?usp=share_link"",""สุโ"&amp;"ขทัย!J84"")+IMPORTRANGE(""https://docs.google.com/spreadsheets/d/1ubs5cl16eYL9gHbdHTJtmtYb9MGzHBs7CAphn8kNCgM/edit?usp=share_link"",""อุตรดิตถ์!J84"")+IMPORTRANGE(""https://docs.google.com/spreadsheets/d/1kII0BjS6CtVrBvI8IrytgPdxDrlyQDyigzMsohRtDMs/edit?u"&amp;"sp=share_link"",""อุทัยธานี!J84"")
"),0)</f>
        <v>0</v>
      </c>
      <c r="K84" s="163">
        <f t="shared" ca="1" si="60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139" t="s">
        <v>45</v>
      </c>
      <c r="C86" s="140"/>
      <c r="D86" s="141"/>
      <c r="E86" s="140"/>
      <c r="F86" s="140"/>
      <c r="G86" s="142"/>
      <c r="H86" s="143" t="s">
        <v>46</v>
      </c>
      <c r="I86" s="144">
        <f t="shared" ref="I86:J86" ca="1" si="62">I98</f>
        <v>975</v>
      </c>
      <c r="J86" s="144">
        <f t="shared" ca="1" si="62"/>
        <v>2</v>
      </c>
      <c r="K86" s="145">
        <f t="shared" ref="K86:K87" ca="1" si="63">IF(I86&gt;0,J86*100/I86,0)</f>
        <v>0.20512820512820512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143" t="s">
        <v>35</v>
      </c>
      <c r="I87" s="144">
        <f t="shared" ref="I87:J87" ca="1" si="64">I99</f>
        <v>325</v>
      </c>
      <c r="J87" s="144">
        <f t="shared" ca="1" si="64"/>
        <v>2</v>
      </c>
      <c r="K87" s="145">
        <f t="shared" ca="1" si="63"/>
        <v>0.61538461538461542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150" t="s">
        <v>17</v>
      </c>
      <c r="E88" s="148"/>
      <c r="F88" s="148"/>
      <c r="G88" s="151"/>
      <c r="H88" s="152" t="s">
        <v>12</v>
      </c>
      <c r="I88" s="153"/>
      <c r="J88" s="153"/>
      <c r="K88" s="154"/>
      <c r="L88" s="155">
        <f t="shared" ref="L88:N88" ca="1" si="65">L89+L90</f>
        <v>2616900</v>
      </c>
      <c r="M88" s="155">
        <f t="shared" ca="1" si="65"/>
        <v>1181800</v>
      </c>
      <c r="N88" s="155">
        <f t="shared" ca="1" si="65"/>
        <v>271675.40000000002</v>
      </c>
      <c r="O88" s="155">
        <f t="shared" ref="O88:O96" ca="1" si="66">IF(L88&gt;0,N88*100/L88,0)</f>
        <v>10.381573617639193</v>
      </c>
      <c r="P88" s="155">
        <f t="shared" ref="P88:P96" ca="1" si="67">IF(M88&gt;0,N88*100/M88,0)</f>
        <v>22.9882721272635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41" t="s">
        <v>18</v>
      </c>
      <c r="F89" s="40"/>
      <c r="G89" s="157"/>
      <c r="H89" s="158" t="s">
        <v>12</v>
      </c>
      <c r="I89" s="44"/>
      <c r="J89" s="44"/>
      <c r="K89" s="45"/>
      <c r="L89" s="45">
        <f t="shared" ref="L89:N89" si="68">L92+L95</f>
        <v>0</v>
      </c>
      <c r="M89" s="45">
        <f t="shared" si="68"/>
        <v>0</v>
      </c>
      <c r="N89" s="45">
        <f t="shared" si="68"/>
        <v>0</v>
      </c>
      <c r="O89" s="45">
        <f t="shared" si="66"/>
        <v>0</v>
      </c>
      <c r="P89" s="45">
        <f t="shared" si="67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41" t="s">
        <v>19</v>
      </c>
      <c r="F90" s="40"/>
      <c r="G90" s="157"/>
      <c r="H90" s="158" t="s">
        <v>12</v>
      </c>
      <c r="I90" s="44"/>
      <c r="J90" s="44"/>
      <c r="K90" s="45"/>
      <c r="L90" s="45">
        <f t="shared" ref="L90:N90" ca="1" si="69">L93+L96</f>
        <v>2616900</v>
      </c>
      <c r="M90" s="45">
        <f t="shared" ca="1" si="69"/>
        <v>1181800</v>
      </c>
      <c r="N90" s="45">
        <f t="shared" ca="1" si="69"/>
        <v>271675.40000000002</v>
      </c>
      <c r="O90" s="45">
        <f t="shared" ca="1" si="66"/>
        <v>10.381573617639193</v>
      </c>
      <c r="P90" s="45">
        <f t="shared" ca="1" si="67"/>
        <v>22.9882721272635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160"/>
      <c r="D91" s="34" t="s">
        <v>20</v>
      </c>
      <c r="E91" s="33"/>
      <c r="F91" s="33"/>
      <c r="G91" s="35"/>
      <c r="H91" s="161" t="s">
        <v>12</v>
      </c>
      <c r="I91" s="162"/>
      <c r="J91" s="162"/>
      <c r="K91" s="163"/>
      <c r="L91" s="38">
        <f t="shared" ref="L91:N91" ca="1" si="70">L92+L93</f>
        <v>2616900</v>
      </c>
      <c r="M91" s="38">
        <f t="shared" ca="1" si="70"/>
        <v>1181800</v>
      </c>
      <c r="N91" s="38">
        <f t="shared" ca="1" si="70"/>
        <v>271675.40000000002</v>
      </c>
      <c r="O91" s="38">
        <f t="shared" ca="1" si="66"/>
        <v>10.381573617639193</v>
      </c>
      <c r="P91" s="38">
        <f t="shared" ca="1" si="67"/>
        <v>22.9882721272635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41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45">
        <f t="shared" si="66"/>
        <v>0</v>
      </c>
      <c r="P92" s="45">
        <f t="shared" si="67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41" t="s">
        <v>37</v>
      </c>
      <c r="F93" s="40"/>
      <c r="G93" s="157"/>
      <c r="H93" s="165" t="s">
        <v>12</v>
      </c>
      <c r="I93" s="166"/>
      <c r="J93" s="166"/>
      <c r="K93" s="167"/>
      <c r="L93" s="45">
        <f ca="1">IFERROR(__xludf.DUMMYFUNCTION("IMPORTRANGE(""https://docs.google.com/spreadsheets/d/1KxicF4apzSqm0-jIpmueT4kyZtE-Cwn5zskl7GD4loQ/edit?usp=share_link"",""กำแพงเพชร!l93"")+IMPORTRANGE(""https://docs.google.com/spreadsheets/d/1ZNYWeiFoFA1K1U4xKWqRX29MBvEyRHXORjo734Gnq_c/edit?usp=share_lin"&amp;"k"",""เชียงราย!l93"")
+IMPORTRANGE(""https://docs.google.com/spreadsheets/d/1Jgv0Y7YlHDtsiDawwp-uvifEJ8HVaSn0k2aGHG8-hwM/edit?usp=share_link"",""เชียงใหม่!l93"")+IMPORTRANGE(""https://docs.google.com/spreadsheets/d/1JWG2rZePOz9pe-f-ObA-yDr0VoOX2kSb0qIix2m"&amp;"TUo8/edit?usp=share_link"",""ตาก!l93"")+IMPORTRANGE(""https://docs.google.com/spreadsheets/d/10nSRjK08hx8Y6HgSOQKNw81lyY46Zc7U_Cj72hBMp9U/edit?usp=share_link"",""นครสวรรค์!l93"")+IMPORTRANGE(""https://docs.google.com/spreadsheets/d/1gFVb7qd7amutrIxAAoM7lc"&amp;"y35hllxznovot8lyOfvDo/edit?usp=share_link"",""น่าน!l93"")+IMPORTRANGE(""https://docs.google.com/spreadsheets/d/1K0Aa9s-6EuHE5M0FG1F9aHLXRCOV917xvycTdLdct0w/edit?usp=share_link"",""พะเยา!l93"")+IMPORTRANGE(""https://docs.google.com/spreadsheets/d/1Y9LPKx95"&amp;"PyL5OKy09d-KbKJSuuEZCFdkhYjwC0XQjBA/edit?usp=share_link"",""พิจิตร!l93"")+IMPORTRANGE(""https://docs.google.com/spreadsheets/d/16OMuOwy2eVqZcYWOouQtTpa8X1L23h4660uVHc0C8os/edit?usp=share_link"",""พิษณุโลก!l93"")+IMPORTRANGE(""https://docs.google.com/sprea"&amp;"dsheets/d/1GfgTldLG6k77HXaMQzaafODklYuucJZQNs_GAPEfZyY/edit?usp=share_link"",""เพชรบูรณ์!l93"")+IMPORTRANGE(""https://docs.google.com/spreadsheets/d/1gvTMYAnm7v1yG1BKWFtr0DnaTsq59oW9dwWvFgq6hs0/edit?usp=share_link"",""แพร่!l93"")+IMPORTRANGE(""https://doc"&amp;"s.google.com/spreadsheets/d/1Wbcosgy-Xa1xXUArJSOenub6EfZHUSzc_bpJFWwQUf0/edit?usp=share_link"",""แม่ฮ่องสอน!l93"")+IMPORTRANGE(""https://docs.google.com/spreadsheets/d/1p7ERhsr0qZeSn-KSOdeHS9r0heI-lHtkcn2OH7hP0jQ/edit?usp=share_link"",""ลำปาง!l93"")+IMPOR"&amp;"TRANGE(""https://docs.google.com/spreadsheets/d/1-uUXvimVhiU2U0bMN-xi2te0tS4X7DI2GLPnMjzl8cA/edit?usp=share_link"",""ลำพูน!l93"")+IMPORTRANGE(""https://docs.google.com/spreadsheets/d/17HrOaa5pBUI1onckFfumXB8xlg35qb2uBAFfF1D-Myo/edit?usp=share_link"",""สุโ"&amp;"ขทัย!l93"")+IMPORTRANGE(""https://docs.google.com/spreadsheets/d/1ubs5cl16eYL9gHbdHTJtmtYb9MGzHBs7CAphn8kNCgM/edit?usp=share_link"",""อุตรดิตถ์!l93"")+IMPORTRANGE(""https://docs.google.com/spreadsheets/d/1kII0BjS6CtVrBvI8IrytgPdxDrlyQDyigzMsohRtDMs/edit?u"&amp;"sp=share_link"",""อุทัยธานี!l93"")
"),2616900)</f>
        <v>2616900</v>
      </c>
      <c r="M93" s="45">
        <f ca="1">IFERROR(__xludf.DUMMYFUNCTION("IMPORTRANGE(""https://docs.google.com/spreadsheets/d/1KxicF4apzSqm0-jIpmueT4kyZtE-Cwn5zskl7GD4loQ/edit?usp=share_link"",""กำแพงเพชร!m93"")+IMPORTRANGE(""https://docs.google.com/spreadsheets/d/1ZNYWeiFoFA1K1U4xKWqRX29MBvEyRHXORjo734Gnq_c/edit?usp=share_lin"&amp;"k"",""เชียงราย!m93"")
+IMPORTRANGE(""https://docs.google.com/spreadsheets/d/1Jgv0Y7YlHDtsiDawwp-uvifEJ8HVaSn0k2aGHG8-hwM/edit?usp=share_link"",""เชียงใหม่!m93"")+IMPORTRANGE(""https://docs.google.com/spreadsheets/d/1JWG2rZePOz9pe-f-ObA-yDr0VoOX2kSb0qIix2m"&amp;"TUo8/edit?usp=share_link"",""ตาก!m93"")+IMPORTRANGE(""https://docs.google.com/spreadsheets/d/10nSRjK08hx8Y6HgSOQKNw81lyY46Zc7U_Cj72hBMp9U/edit?usp=share_link"",""นครสวรรค์!m93"")+IMPORTRANGE(""https://docs.google.com/spreadsheets/d/1gFVb7qd7amutrIxAAoM7lc"&amp;"y35hllxznovot8lyOfvDo/edit?usp=share_link"",""น่าน!m93"")+IMPORTRANGE(""https://docs.google.com/spreadsheets/d/1K0Aa9s-6EuHE5M0FG1F9aHLXRCOV917xvycTdLdct0w/edit?usp=share_link"",""พะเยา!m93"")+IMPORTRANGE(""https://docs.google.com/spreadsheets/d/1Y9LPKx95"&amp;"PyL5OKy09d-KbKJSuuEZCFdkhYjwC0XQjBA/edit?usp=share_link"",""พิจิตร!m93"")+IMPORTRANGE(""https://docs.google.com/spreadsheets/d/16OMuOwy2eVqZcYWOouQtTpa8X1L23h4660uVHc0C8os/edit?usp=share_link"",""พิษณุโลก!m93"")+IMPORTRANGE(""https://docs.google.com/sprea"&amp;"dsheets/d/1GfgTldLG6k77HXaMQzaafODklYuucJZQNs_GAPEfZyY/edit?usp=share_link"",""เพชรบูรณ์!m93"")+IMPORTRANGE(""https://docs.google.com/spreadsheets/d/1gvTMYAnm7v1yG1BKWFtr0DnaTsq59oW9dwWvFgq6hs0/edit?usp=share_link"",""แพร่!m93"")+IMPORTRANGE(""https://doc"&amp;"s.google.com/spreadsheets/d/1Wbcosgy-Xa1xXUArJSOenub6EfZHUSzc_bpJFWwQUf0/edit?usp=share_link"",""แม่ฮ่องสอน!m93"")+IMPORTRANGE(""https://docs.google.com/spreadsheets/d/1p7ERhsr0qZeSn-KSOdeHS9r0heI-lHtkcn2OH7hP0jQ/edit?usp=share_link"",""ลำปาง!m93"")+IMPOR"&amp;"TRANGE(""https://docs.google.com/spreadsheets/d/1-uUXvimVhiU2U0bMN-xi2te0tS4X7DI2GLPnMjzl8cA/edit?usp=share_link"",""ลำพูน!m93"")+IMPORTRANGE(""https://docs.google.com/spreadsheets/d/17HrOaa5pBUI1onckFfumXB8xlg35qb2uBAFfF1D-Myo/edit?usp=share_link"",""สุโ"&amp;"ขทัย!m93"")+IMPORTRANGE(""https://docs.google.com/spreadsheets/d/1ubs5cl16eYL9gHbdHTJtmtYb9MGzHBs7CAphn8kNCgM/edit?usp=share_link"",""อุตรดิตถ์!m93"")+IMPORTRANGE(""https://docs.google.com/spreadsheets/d/1kII0BjS6CtVrBvI8IrytgPdxDrlyQDyigzMsohRtDMs/edit?u"&amp;"sp=share_link"",""อุทัยธานี!m93"")
"),1181800)</f>
        <v>1181800</v>
      </c>
      <c r="N93" s="45">
        <f ca="1">IFERROR(__xludf.DUMMYFUNCTION("IMPORTRANGE(""https://docs.google.com/spreadsheets/d/1KxicF4apzSqm0-jIpmueT4kyZtE-Cwn5zskl7GD4loQ/edit?usp=share_link"",""กำแพงเพชร!n93"")+IMPORTRANGE(""https://docs.google.com/spreadsheets/d/1ZNYWeiFoFA1K1U4xKWqRX29MBvEyRHXORjo734Gnq_c/edit?usp=share_lin"&amp;"k"",""เชียงราย!n93"")
+IMPORTRANGE(""https://docs.google.com/spreadsheets/d/1Jgv0Y7YlHDtsiDawwp-uvifEJ8HVaSn0k2aGHG8-hwM/edit?usp=share_link"",""เชียงใหม่!n93"")+IMPORTRANGE(""https://docs.google.com/spreadsheets/d/1JWG2rZePOz9pe-f-ObA-yDr0VoOX2kSb0qIix2m"&amp;"TUo8/edit?usp=share_link"",""ตาก!n93"")+IMPORTRANGE(""https://docs.google.com/spreadsheets/d/10nSRjK08hx8Y6HgSOQKNw81lyY46Zc7U_Cj72hBMp9U/edit?usp=share_link"",""นครสวรรค์!n93"")+IMPORTRANGE(""https://docs.google.com/spreadsheets/d/1gFVb7qd7amutrIxAAoM7lc"&amp;"y35hllxznovot8lyOfvDo/edit?usp=share_link"",""น่าน!n93"")+IMPORTRANGE(""https://docs.google.com/spreadsheets/d/1K0Aa9s-6EuHE5M0FG1F9aHLXRCOV917xvycTdLdct0w/edit?usp=share_link"",""พะเยา!n93"")+IMPORTRANGE(""https://docs.google.com/spreadsheets/d/1Y9LPKx95"&amp;"PyL5OKy09d-KbKJSuuEZCFdkhYjwC0XQjBA/edit?usp=share_link"",""พิจิตร!n93"")+IMPORTRANGE(""https://docs.google.com/spreadsheets/d/16OMuOwy2eVqZcYWOouQtTpa8X1L23h4660uVHc0C8os/edit?usp=share_link"",""พิษณุโลก!n93"")+IMPORTRANGE(""https://docs.google.com/sprea"&amp;"dsheets/d/1GfgTldLG6k77HXaMQzaafODklYuucJZQNs_GAPEfZyY/edit?usp=share_link"",""เพชรบูรณ์!n93"")+IMPORTRANGE(""https://docs.google.com/spreadsheets/d/1gvTMYAnm7v1yG1BKWFtr0DnaTsq59oW9dwWvFgq6hs0/edit?usp=share_link"",""แพร่!n93"")+IMPORTRANGE(""https://doc"&amp;"s.google.com/spreadsheets/d/1Wbcosgy-Xa1xXUArJSOenub6EfZHUSzc_bpJFWwQUf0/edit?usp=share_link"",""แม่ฮ่องสอน!n93"")+IMPORTRANGE(""https://docs.google.com/spreadsheets/d/1p7ERhsr0qZeSn-KSOdeHS9r0heI-lHtkcn2OH7hP0jQ/edit?usp=share_link"",""ลำปาง!n93"")+IMPOR"&amp;"TRANGE(""https://docs.google.com/spreadsheets/d/1-uUXvimVhiU2U0bMN-xi2te0tS4X7DI2GLPnMjzl8cA/edit?usp=share_link"",""ลำพูน!n93"")+IMPORTRANGE(""https://docs.google.com/spreadsheets/d/17HrOaa5pBUI1onckFfumXB8xlg35qb2uBAFfF1D-Myo/edit?usp=share_link"",""สุโ"&amp;"ขทัย!n93"")+IMPORTRANGE(""https://docs.google.com/spreadsheets/d/1ubs5cl16eYL9gHbdHTJtmtYb9MGzHBs7CAphn8kNCgM/edit?usp=share_link"",""อุตรดิตถ์!n93"")+IMPORTRANGE(""https://docs.google.com/spreadsheets/d/1kII0BjS6CtVrBvI8IrytgPdxDrlyQDyigzMsohRtDMs/edit?u"&amp;"sp=share_link"",""อุทัยธานี!n93"")
"),271675.4)</f>
        <v>271675.40000000002</v>
      </c>
      <c r="O93" s="45">
        <f t="shared" ca="1" si="66"/>
        <v>10.381573617639193</v>
      </c>
      <c r="P93" s="45">
        <f t="shared" ca="1" si="67"/>
        <v>22.9882721272635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160"/>
      <c r="D94" s="34" t="s">
        <v>21</v>
      </c>
      <c r="E94" s="33"/>
      <c r="F94" s="33"/>
      <c r="G94" s="35"/>
      <c r="H94" s="168" t="s">
        <v>12</v>
      </c>
      <c r="I94" s="162"/>
      <c r="J94" s="162"/>
      <c r="K94" s="163"/>
      <c r="L94" s="38">
        <f t="shared" ref="L94:N94" ca="1" si="71">L95+L96</f>
        <v>0</v>
      </c>
      <c r="M94" s="38">
        <f t="shared" ca="1" si="71"/>
        <v>0</v>
      </c>
      <c r="N94" s="38">
        <f t="shared" ca="1" si="71"/>
        <v>0</v>
      </c>
      <c r="O94" s="38">
        <f t="shared" ca="1" si="66"/>
        <v>0</v>
      </c>
      <c r="P94" s="38">
        <f t="shared" ca="1" si="67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41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45">
        <f t="shared" si="66"/>
        <v>0</v>
      </c>
      <c r="P95" s="45">
        <f t="shared" si="67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41" t="s">
        <v>19</v>
      </c>
      <c r="F96" s="40"/>
      <c r="G96" s="157"/>
      <c r="H96" s="169" t="s">
        <v>12</v>
      </c>
      <c r="I96" s="166"/>
      <c r="J96" s="166"/>
      <c r="K96" s="167"/>
      <c r="L96" s="45">
        <f ca="1">IFERROR(__xludf.DUMMYFUNCTION("IMPORTRANGE(""https://docs.google.com/spreadsheets/d/1KxicF4apzSqm0-jIpmueT4kyZtE-Cwn5zskl7GD4loQ/edit?usp=share_link"",""กำแพงเพชร!l96"")+IMPORTRANGE(""https://docs.google.com/spreadsheets/d/1ZNYWeiFoFA1K1U4xKWqRX29MBvEyRHXORjo734Gnq_c/edit?usp=share_lin"&amp;"k"",""เชียงราย!l96"")
+IMPORTRANGE(""https://docs.google.com/spreadsheets/d/1Jgv0Y7YlHDtsiDawwp-uvifEJ8HVaSn0k2aGHG8-hwM/edit?usp=share_link"",""เชียงใหม่!l96"")+IMPORTRANGE(""https://docs.google.com/spreadsheets/d/1JWG2rZePOz9pe-f-ObA-yDr0VoOX2kSb0qIix2m"&amp;"TUo8/edit?usp=share_link"",""ตาก!l96"")+IMPORTRANGE(""https://docs.google.com/spreadsheets/d/10nSRjK08hx8Y6HgSOQKNw81lyY46Zc7U_Cj72hBMp9U/edit?usp=share_link"",""นครสวรรค์!l96"")+IMPORTRANGE(""https://docs.google.com/spreadsheets/d/1gFVb7qd7amutrIxAAoM7lc"&amp;"y35hllxznovot8lyOfvDo/edit?usp=share_link"",""น่าน!l96"")+IMPORTRANGE(""https://docs.google.com/spreadsheets/d/1K0Aa9s-6EuHE5M0FG1F9aHLXRCOV917xvycTdLdct0w/edit?usp=share_link"",""พะเยา!l96"")+IMPORTRANGE(""https://docs.google.com/spreadsheets/d/1Y9LPKx95"&amp;"PyL5OKy09d-KbKJSuuEZCFdkhYjwC0XQjBA/edit?usp=share_link"",""พิจิตร!l96"")+IMPORTRANGE(""https://docs.google.com/spreadsheets/d/16OMuOwy2eVqZcYWOouQtTpa8X1L23h4660uVHc0C8os/edit?usp=share_link"",""พิษณุโลก!l96"")+IMPORTRANGE(""https://docs.google.com/sprea"&amp;"dsheets/d/1GfgTldLG6k77HXaMQzaafODklYuucJZQNs_GAPEfZyY/edit?usp=share_link"",""เพชรบูรณ์!l96"")+IMPORTRANGE(""https://docs.google.com/spreadsheets/d/1gvTMYAnm7v1yG1BKWFtr0DnaTsq59oW9dwWvFgq6hs0/edit?usp=share_link"",""แพร่!l96"")+IMPORTRANGE(""https://doc"&amp;"s.google.com/spreadsheets/d/1Wbcosgy-Xa1xXUArJSOenub6EfZHUSzc_bpJFWwQUf0/edit?usp=share_link"",""แม่ฮ่องสอน!l96"")+IMPORTRANGE(""https://docs.google.com/spreadsheets/d/1p7ERhsr0qZeSn-KSOdeHS9r0heI-lHtkcn2OH7hP0jQ/edit?usp=share_link"",""ลำปาง!l96"")+IMPOR"&amp;"TRANGE(""https://docs.google.com/spreadsheets/d/1-uUXvimVhiU2U0bMN-xi2te0tS4X7DI2GLPnMjzl8cA/edit?usp=share_link"",""ลำพูน!l96"")+IMPORTRANGE(""https://docs.google.com/spreadsheets/d/17HrOaa5pBUI1onckFfumXB8xlg35qb2uBAFfF1D-Myo/edit?usp=share_link"",""สุโ"&amp;"ขทัย!l96"")+IMPORTRANGE(""https://docs.google.com/spreadsheets/d/1ubs5cl16eYL9gHbdHTJtmtYb9MGzHBs7CAphn8kNCgM/edit?usp=share_link"",""อุตรดิตถ์!l96"")+IMPORTRANGE(""https://docs.google.com/spreadsheets/d/1kII0BjS6CtVrBvI8IrytgPdxDrlyQDyigzMsohRtDMs/edit?u"&amp;"sp=share_link"",""อุทัยธานี!l96"")
"),0)</f>
        <v>0</v>
      </c>
      <c r="M96" s="45">
        <f ca="1">IFERROR(__xludf.DUMMYFUNCTION("IMPORTRANGE(""https://docs.google.com/spreadsheets/d/1KxicF4apzSqm0-jIpmueT4kyZtE-Cwn5zskl7GD4loQ/edit?usp=share_link"",""กำแพงเพชร!m96"")+IMPORTRANGE(""https://docs.google.com/spreadsheets/d/1ZNYWeiFoFA1K1U4xKWqRX29MBvEyRHXORjo734Gnq_c/edit?usp=share_lin"&amp;"k"",""เชียงราย!m96"")
+IMPORTRANGE(""https://docs.google.com/spreadsheets/d/1Jgv0Y7YlHDtsiDawwp-uvifEJ8HVaSn0k2aGHG8-hwM/edit?usp=share_link"",""เชียงใหม่!m96"")+IMPORTRANGE(""https://docs.google.com/spreadsheets/d/1JWG2rZePOz9pe-f-ObA-yDr0VoOX2kSb0qIix2m"&amp;"TUo8/edit?usp=share_link"",""ตาก!m96"")+IMPORTRANGE(""https://docs.google.com/spreadsheets/d/10nSRjK08hx8Y6HgSOQKNw81lyY46Zc7U_Cj72hBMp9U/edit?usp=share_link"",""นครสวรรค์!m96"")+IMPORTRANGE(""https://docs.google.com/spreadsheets/d/1gFVb7qd7amutrIxAAoM7lc"&amp;"y35hllxznovot8lyOfvDo/edit?usp=share_link"",""น่าน!m96"")+IMPORTRANGE(""https://docs.google.com/spreadsheets/d/1K0Aa9s-6EuHE5M0FG1F9aHLXRCOV917xvycTdLdct0w/edit?usp=share_link"",""พะเยา!m96"")+IMPORTRANGE(""https://docs.google.com/spreadsheets/d/1Y9LPKx95"&amp;"PyL5OKy09d-KbKJSuuEZCFdkhYjwC0XQjBA/edit?usp=share_link"",""พิจิตร!m96"")+IMPORTRANGE(""https://docs.google.com/spreadsheets/d/16OMuOwy2eVqZcYWOouQtTpa8X1L23h4660uVHc0C8os/edit?usp=share_link"",""พิษณุโลก!m96"")+IMPORTRANGE(""https://docs.google.com/sprea"&amp;"dsheets/d/1GfgTldLG6k77HXaMQzaafODklYuucJZQNs_GAPEfZyY/edit?usp=share_link"",""เพชรบูรณ์!m96"")+IMPORTRANGE(""https://docs.google.com/spreadsheets/d/1gvTMYAnm7v1yG1BKWFtr0DnaTsq59oW9dwWvFgq6hs0/edit?usp=share_link"",""แพร่!m96"")+IMPORTRANGE(""https://doc"&amp;"s.google.com/spreadsheets/d/1Wbcosgy-Xa1xXUArJSOenub6EfZHUSzc_bpJFWwQUf0/edit?usp=share_link"",""แม่ฮ่องสอน!m96"")+IMPORTRANGE(""https://docs.google.com/spreadsheets/d/1p7ERhsr0qZeSn-KSOdeHS9r0heI-lHtkcn2OH7hP0jQ/edit?usp=share_link"",""ลำปาง!m96"")+IMPOR"&amp;"TRANGE(""https://docs.google.com/spreadsheets/d/1-uUXvimVhiU2U0bMN-xi2te0tS4X7DI2GLPnMjzl8cA/edit?usp=share_link"",""ลำพูน!m96"")+IMPORTRANGE(""https://docs.google.com/spreadsheets/d/17HrOaa5pBUI1onckFfumXB8xlg35qb2uBAFfF1D-Myo/edit?usp=share_link"",""สุโ"&amp;"ขทัย!m96"")+IMPORTRANGE(""https://docs.google.com/spreadsheets/d/1ubs5cl16eYL9gHbdHTJtmtYb9MGzHBs7CAphn8kNCgM/edit?usp=share_link"",""อุตรดิตถ์!m96"")+IMPORTRANGE(""https://docs.google.com/spreadsheets/d/1kII0BjS6CtVrBvI8IrytgPdxDrlyQDyigzMsohRtDMs/edit?u"&amp;"sp=share_link"",""อุทัยธานี!m96"")
"),0)</f>
        <v>0</v>
      </c>
      <c r="N96" s="45">
        <f ca="1">IFERROR(__xludf.DUMMYFUNCTION("IMPORTRANGE(""https://docs.google.com/spreadsheets/d/1KxicF4apzSqm0-jIpmueT4kyZtE-Cwn5zskl7GD4loQ/edit?usp=share_link"",""กำแพงเพชร!n96"")+IMPORTRANGE(""https://docs.google.com/spreadsheets/d/1ZNYWeiFoFA1K1U4xKWqRX29MBvEyRHXORjo734Gnq_c/edit?usp=share_lin"&amp;"k"",""เชียงราย!n96"")
+IMPORTRANGE(""https://docs.google.com/spreadsheets/d/1Jgv0Y7YlHDtsiDawwp-uvifEJ8HVaSn0k2aGHG8-hwM/edit?usp=share_link"",""เชียงใหม่!n96"")+IMPORTRANGE(""https://docs.google.com/spreadsheets/d/1JWG2rZePOz9pe-f-ObA-yDr0VoOX2kSb0qIix2m"&amp;"TUo8/edit?usp=share_link"",""ตาก!n96"")+IMPORTRANGE(""https://docs.google.com/spreadsheets/d/10nSRjK08hx8Y6HgSOQKNw81lyY46Zc7U_Cj72hBMp9U/edit?usp=share_link"",""นครสวรรค์!n96"")+IMPORTRANGE(""https://docs.google.com/spreadsheets/d/1gFVb7qd7amutrIxAAoM7lc"&amp;"y35hllxznovot8lyOfvDo/edit?usp=share_link"",""น่าน!n96"")+IMPORTRANGE(""https://docs.google.com/spreadsheets/d/1K0Aa9s-6EuHE5M0FG1F9aHLXRCOV917xvycTdLdct0w/edit?usp=share_link"",""พะเยา!n96"")+IMPORTRANGE(""https://docs.google.com/spreadsheets/d/1Y9LPKx95"&amp;"PyL5OKy09d-KbKJSuuEZCFdkhYjwC0XQjBA/edit?usp=share_link"",""พิจิตร!n96"")+IMPORTRANGE(""https://docs.google.com/spreadsheets/d/16OMuOwy2eVqZcYWOouQtTpa8X1L23h4660uVHc0C8os/edit?usp=share_link"",""พิษณุโลก!n96"")+IMPORTRANGE(""https://docs.google.com/sprea"&amp;"dsheets/d/1GfgTldLG6k77HXaMQzaafODklYuucJZQNs_GAPEfZyY/edit?usp=share_link"",""เพชรบูรณ์!n96"")+IMPORTRANGE(""https://docs.google.com/spreadsheets/d/1gvTMYAnm7v1yG1BKWFtr0DnaTsq59oW9dwWvFgq6hs0/edit?usp=share_link"",""แพร่!n96"")+IMPORTRANGE(""https://doc"&amp;"s.google.com/spreadsheets/d/1Wbcosgy-Xa1xXUArJSOenub6EfZHUSzc_bpJFWwQUf0/edit?usp=share_link"",""แม่ฮ่องสอน!n96"")+IMPORTRANGE(""https://docs.google.com/spreadsheets/d/1p7ERhsr0qZeSn-KSOdeHS9r0heI-lHtkcn2OH7hP0jQ/edit?usp=share_link"",""ลำปาง!n96"")+IMPOR"&amp;"TRANGE(""https://docs.google.com/spreadsheets/d/1-uUXvimVhiU2U0bMN-xi2te0tS4X7DI2GLPnMjzl8cA/edit?usp=share_link"",""ลำพูน!n96"")+IMPORTRANGE(""https://docs.google.com/spreadsheets/d/17HrOaa5pBUI1onckFfumXB8xlg35qb2uBAFfF1D-Myo/edit?usp=share_link"",""สุโ"&amp;"ขทัย!n96"")+IMPORTRANGE(""https://docs.google.com/spreadsheets/d/1ubs5cl16eYL9gHbdHTJtmtYb9MGzHBs7CAphn8kNCgM/edit?usp=share_link"",""อุตรดิตถ์!n96"")+IMPORTRANGE(""https://docs.google.com/spreadsheets/d/1kII0BjS6CtVrBvI8IrytgPdxDrlyQDyigzMsohRtDMs/edit?u"&amp;"sp=share_link"",""อุทัยธานี!n96"")
"),0)</f>
        <v>0</v>
      </c>
      <c r="O96" s="45">
        <f t="shared" ca="1" si="66"/>
        <v>0</v>
      </c>
      <c r="P96" s="45">
        <f t="shared" ca="1" si="67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172" t="s">
        <v>38</v>
      </c>
      <c r="E97" s="173"/>
      <c r="F97" s="173"/>
      <c r="G97" s="174"/>
      <c r="H97" s="175"/>
      <c r="I97" s="162"/>
      <c r="J97" s="37"/>
      <c r="K97" s="38"/>
      <c r="L97" s="38"/>
      <c r="M97" s="38"/>
      <c r="N97" s="38"/>
      <c r="O97" s="163"/>
      <c r="P97" s="163"/>
    </row>
    <row r="98" spans="1:16" ht="18.75">
      <c r="A98" s="170"/>
      <c r="B98" s="171"/>
      <c r="C98" s="171"/>
      <c r="D98" s="181" t="s">
        <v>47</v>
      </c>
      <c r="E98" s="177"/>
      <c r="F98" s="178"/>
      <c r="G98" s="179"/>
      <c r="H98" s="36" t="s">
        <v>46</v>
      </c>
      <c r="I98" s="37">
        <f ca="1">IFERROR(__xludf.DUMMYFUNCTION("IMPORTRANGE(""https://docs.google.com/spreadsheets/d/1KxicF4apzSqm0-jIpmueT4kyZtE-Cwn5zskl7GD4loQ/edit?usp=share_link"",""กำแพงเพชร!i98"")+IMPORTRANGE(""https://docs.google.com/spreadsheets/d/1ZNYWeiFoFA1K1U4xKWqRX29MBvEyRHXORjo734Gnq_c/edit?usp=share_lin"&amp;"k"",""เชียงราย!i98"")
+IMPORTRANGE(""https://docs.google.com/spreadsheets/d/1Jgv0Y7YlHDtsiDawwp-uvifEJ8HVaSn0k2aGHG8-hwM/edit?usp=share_link"",""เชียงใหม่!i98"")+IMPORTRANGE(""https://docs.google.com/spreadsheets/d/1JWG2rZePOz9pe-f-ObA-yDr0VoOX2kSb0qIix2m"&amp;"TUo8/edit?usp=share_link"",""ตาก!i98"")+IMPORTRANGE(""https://docs.google.com/spreadsheets/d/10nSRjK08hx8Y6HgSOQKNw81lyY46Zc7U_Cj72hBMp9U/edit?usp=share_link"",""นครสวรรค์!i98"")+IMPORTRANGE(""https://docs.google.com/spreadsheets/d/1gFVb7qd7amutrIxAAoM7lc"&amp;"y35hllxznovot8lyOfvDo/edit?usp=share_link"",""น่าน!i98"")+IMPORTRANGE(""https://docs.google.com/spreadsheets/d/1K0Aa9s-6EuHE5M0FG1F9aHLXRCOV917xvycTdLdct0w/edit?usp=share_link"",""พะเยา!i98"")+IMPORTRANGE(""https://docs.google.com/spreadsheets/d/1Y9LPKx95"&amp;"PyL5OKy09d-KbKJSuuEZCFdkhYjwC0XQjBA/edit?usp=share_link"",""พิจิตร!i98"")+IMPORTRANGE(""https://docs.google.com/spreadsheets/d/16OMuOwy2eVqZcYWOouQtTpa8X1L23h4660uVHc0C8os/edit?usp=share_link"",""พิษณุโลก!i98"")+IMPORTRANGE(""https://docs.google.com/sprea"&amp;"dsheets/d/1GfgTldLG6k77HXaMQzaafODklYuucJZQNs_GAPEfZyY/edit?usp=share_link"",""เพชรบูรณ์!i98"")+IMPORTRANGE(""https://docs.google.com/spreadsheets/d/1gvTMYAnm7v1yG1BKWFtr0DnaTsq59oW9dwWvFgq6hs0/edit?usp=share_link"",""แพร่!i98"")+IMPORTRANGE(""https://doc"&amp;"s.google.com/spreadsheets/d/1Wbcosgy-Xa1xXUArJSOenub6EfZHUSzc_bpJFWwQUf0/edit?usp=share_link"",""แม่ฮ่องสอน!i98"")+IMPORTRANGE(""https://docs.google.com/spreadsheets/d/1p7ERhsr0qZeSn-KSOdeHS9r0heI-lHtkcn2OH7hP0jQ/edit?usp=share_link"",""ลำปาง!i98"")+IMPOR"&amp;"TRANGE(""https://docs.google.com/spreadsheets/d/1-uUXvimVhiU2U0bMN-xi2te0tS4X7DI2GLPnMjzl8cA/edit?usp=share_link"",""ลำพูน!i98"")+IMPORTRANGE(""https://docs.google.com/spreadsheets/d/17HrOaa5pBUI1onckFfumXB8xlg35qb2uBAFfF1D-Myo/edit?usp=share_link"",""สุโ"&amp;"ขทัย!i98"")+IMPORTRANGE(""https://docs.google.com/spreadsheets/d/1ubs5cl16eYL9gHbdHTJtmtYb9MGzHBs7CAphn8kNCgM/edit?usp=share_link"",""อุตรดิตถ์!i98"")+IMPORTRANGE(""https://docs.google.com/spreadsheets/d/1kII0BjS6CtVrBvI8IrytgPdxDrlyQDyigzMsohRtDMs/edit?u"&amp;"sp=share_link"",""อุทัยธานี!i98"")
"),975)</f>
        <v>975</v>
      </c>
      <c r="J98" s="37">
        <f ca="1">J102</f>
        <v>2</v>
      </c>
      <c r="K98" s="38">
        <f t="shared" ref="K98:K100" ca="1" si="72">IF(I98&gt;0,J98*100/I98,0)</f>
        <v>0.20512820512820512</v>
      </c>
      <c r="L98" s="38"/>
      <c r="M98" s="38"/>
      <c r="N98" s="38"/>
      <c r="O98" s="163"/>
      <c r="P98" s="163"/>
    </row>
    <row r="99" spans="1:16" ht="18.75">
      <c r="A99" s="170"/>
      <c r="B99" s="171"/>
      <c r="C99" s="171"/>
      <c r="D99" s="181" t="s">
        <v>48</v>
      </c>
      <c r="E99" s="177"/>
      <c r="F99" s="178"/>
      <c r="G99" s="179"/>
      <c r="H99" s="36" t="s">
        <v>35</v>
      </c>
      <c r="I99" s="37">
        <f ca="1">IFERROR(__xludf.DUMMYFUNCTION("IMPORTRANGE(""https://docs.google.com/spreadsheets/d/1KxicF4apzSqm0-jIpmueT4kyZtE-Cwn5zskl7GD4loQ/edit?usp=share_link"",""กำแพงเพชร!i99"")+IMPORTRANGE(""https://docs.google.com/spreadsheets/d/1ZNYWeiFoFA1K1U4xKWqRX29MBvEyRHXORjo734Gnq_c/edit?usp=share_lin"&amp;"k"",""เชียงราย!i99"")
+IMPORTRANGE(""https://docs.google.com/spreadsheets/d/1Jgv0Y7YlHDtsiDawwp-uvifEJ8HVaSn0k2aGHG8-hwM/edit?usp=share_link"",""เชียงใหม่!i99"")+IMPORTRANGE(""https://docs.google.com/spreadsheets/d/1JWG2rZePOz9pe-f-ObA-yDr0VoOX2kSb0qIix2m"&amp;"TUo8/edit?usp=share_link"",""ตาก!i99"")+IMPORTRANGE(""https://docs.google.com/spreadsheets/d/10nSRjK08hx8Y6HgSOQKNw81lyY46Zc7U_Cj72hBMp9U/edit?usp=share_link"",""นครสวรรค์!i99"")+IMPORTRANGE(""https://docs.google.com/spreadsheets/d/1gFVb7qd7amutrIxAAoM7lc"&amp;"y35hllxznovot8lyOfvDo/edit?usp=share_link"",""น่าน!i99"")+IMPORTRANGE(""https://docs.google.com/spreadsheets/d/1K0Aa9s-6EuHE5M0FG1F9aHLXRCOV917xvycTdLdct0w/edit?usp=share_link"",""พะเยา!i99"")+IMPORTRANGE(""https://docs.google.com/spreadsheets/d/1Y9LPKx95"&amp;"PyL5OKy09d-KbKJSuuEZCFdkhYjwC0XQjBA/edit?usp=share_link"",""พิจิตร!i99"")+IMPORTRANGE(""https://docs.google.com/spreadsheets/d/16OMuOwy2eVqZcYWOouQtTpa8X1L23h4660uVHc0C8os/edit?usp=share_link"",""พิษณุโลก!i99"")+IMPORTRANGE(""https://docs.google.com/sprea"&amp;"dsheets/d/1GfgTldLG6k77HXaMQzaafODklYuucJZQNs_GAPEfZyY/edit?usp=share_link"",""เพชรบูรณ์!i99"")+IMPORTRANGE(""https://docs.google.com/spreadsheets/d/1gvTMYAnm7v1yG1BKWFtr0DnaTsq59oW9dwWvFgq6hs0/edit?usp=share_link"",""แพร่!i99"")+IMPORTRANGE(""https://doc"&amp;"s.google.com/spreadsheets/d/1Wbcosgy-Xa1xXUArJSOenub6EfZHUSzc_bpJFWwQUf0/edit?usp=share_link"",""แม่ฮ่องสอน!i99"")+IMPORTRANGE(""https://docs.google.com/spreadsheets/d/1p7ERhsr0qZeSn-KSOdeHS9r0heI-lHtkcn2OH7hP0jQ/edit?usp=share_link"",""ลำปาง!i99"")+IMPOR"&amp;"TRANGE(""https://docs.google.com/spreadsheets/d/1-uUXvimVhiU2U0bMN-xi2te0tS4X7DI2GLPnMjzl8cA/edit?usp=share_link"",""ลำพูน!i99"")+IMPORTRANGE(""https://docs.google.com/spreadsheets/d/17HrOaa5pBUI1onckFfumXB8xlg35qb2uBAFfF1D-Myo/edit?usp=share_link"",""สุโ"&amp;"ขทัย!i99"")+IMPORTRANGE(""https://docs.google.com/spreadsheets/d/1ubs5cl16eYL9gHbdHTJtmtYb9MGzHBs7CAphn8kNCgM/edit?usp=share_link"",""อุตรดิตถ์!i99"")+IMPORTRANGE(""https://docs.google.com/spreadsheets/d/1kII0BjS6CtVrBvI8IrytgPdxDrlyQDyigzMsohRtDMs/edit?u"&amp;"sp=share_link"",""อุทัยธานี!i99"")
"),325)</f>
        <v>325</v>
      </c>
      <c r="J99" s="37">
        <f ca="1">J104</f>
        <v>2</v>
      </c>
      <c r="K99" s="38">
        <f t="shared" ca="1" si="72"/>
        <v>0.61538461538461542</v>
      </c>
      <c r="L99" s="38"/>
      <c r="M99" s="38"/>
      <c r="N99" s="38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36" t="s">
        <v>49</v>
      </c>
      <c r="I100" s="37">
        <f ca="1">IFERROR(__xludf.DUMMYFUNCTION("IMPORTRANGE(""https://docs.google.com/spreadsheets/d/1KxicF4apzSqm0-jIpmueT4kyZtE-Cwn5zskl7GD4loQ/edit?usp=share_link"",""กำแพงเพชร!i100"")+IMPORTRANGE(""https://docs.google.com/spreadsheets/d/1ZNYWeiFoFA1K1U4xKWqRX29MBvEyRHXORjo734Gnq_c/edit?usp=share_li"&amp;"nk"",""เชียงราย!i100"")
+IMPORTRANGE(""https://docs.google.com/spreadsheets/d/1Jgv0Y7YlHDtsiDawwp-uvifEJ8HVaSn0k2aGHG8-hwM/edit?usp=share_link"",""เชียงใหม่!i100"")+IMPORTRANGE(""https://docs.google.com/spreadsheets/d/1JWG2rZePOz9pe-f-ObA-yDr0VoOX2kSb0qIi"&amp;"x2mTUo8/edit?usp=share_link"",""ตาก!i100"")+IMPORTRANGE(""https://docs.google.com/spreadsheets/d/10nSRjK08hx8Y6HgSOQKNw81lyY46Zc7U_Cj72hBMp9U/edit?usp=share_link"",""นครสวรรค์!i100"")+IMPORTRANGE(""https://docs.google.com/spreadsheets/d/1gFVb7qd7amutrIxAA"&amp;"oM7lcy35hllxznovot8lyOfvDo/edit?usp=share_link"",""น่าน!i100"")+IMPORTRANGE(""https://docs.google.com/spreadsheets/d/1K0Aa9s-6EuHE5M0FG1F9aHLXRCOV917xvycTdLdct0w/edit?usp=share_link"",""พะเยา!i100"")+IMPORTRANGE(""https://docs.google.com/spreadsheets/d/1Y"&amp;"9LPKx95PyL5OKy09d-KbKJSuuEZCFdkhYjwC0XQjBA/edit?usp=share_link"",""พิจิตร!i100"")+IMPORTRANGE(""https://docs.google.com/spreadsheets/d/16OMuOwy2eVqZcYWOouQtTpa8X1L23h4660uVHc0C8os/edit?usp=share_link"",""พิษณุโลก!i100"")+IMPORTRANGE(""https://docs.google."&amp;"com/spreadsheets/d/1GfgTldLG6k77HXaMQzaafODklYuucJZQNs_GAPEfZyY/edit?usp=share_link"",""เพชรบูรณ์!i100"")+IMPORTRANGE(""https://docs.google.com/spreadsheets/d/1gvTMYAnm7v1yG1BKWFtr0DnaTsq59oW9dwWvFgq6hs0/edit?usp=share_link"",""แพร่!i100"")+IMPORTRANGE("""&amp;"https://docs.google.com/spreadsheets/d/1Wbcosgy-Xa1xXUArJSOenub6EfZHUSzc_bpJFWwQUf0/edit?usp=share_link"",""แม่ฮ่องสอน!i100"")+IMPORTRANGE(""https://docs.google.com/spreadsheets/d/1p7ERhsr0qZeSn-KSOdeHS9r0heI-lHtkcn2OH7hP0jQ/edit?usp=share_link"",""ลำปาง!"&amp;"i100"")+IMPORTRANGE(""https://docs.google.com/spreadsheets/d/1-uUXvimVhiU2U0bMN-xi2te0tS4X7DI2GLPnMjzl8cA/edit?usp=share_link"",""ลำพูน!i100"")+IMPORTRANGE(""https://docs.google.com/spreadsheets/d/17HrOaa5pBUI1onckFfumXB8xlg35qb2uBAFfF1D-Myo/edit?usp=shar"&amp;"e_link"",""สุโขทัย!i100"")+IMPORTRANGE(""https://docs.google.com/spreadsheets/d/1ubs5cl16eYL9gHbdHTJtmtYb9MGzHBs7CAphn8kNCgM/edit?usp=share_link"",""อุตรดิตถ์!i100"")+IMPORTRANGE(""https://docs.google.com/spreadsheets/d/1kII0BjS6CtVrBvI8IrytgPdxDrlyQDyigz"&amp;"MsohRtDMs/edit?usp=share_link"",""อุทัยธานี!i100"")
"),30)</f>
        <v>30</v>
      </c>
      <c r="J100" s="37">
        <f ca="1">J107+J110</f>
        <v>4</v>
      </c>
      <c r="K100" s="38">
        <f t="shared" ca="1" si="72"/>
        <v>13.333333333333334</v>
      </c>
      <c r="L100" s="38"/>
      <c r="M100" s="38"/>
      <c r="N100" s="38"/>
      <c r="O100" s="163"/>
      <c r="P100" s="163"/>
    </row>
    <row r="101" spans="1:16" ht="19.5">
      <c r="A101" s="170"/>
      <c r="B101" s="171"/>
      <c r="C101" s="171"/>
      <c r="D101" s="178"/>
      <c r="E101" s="186" t="s">
        <v>50</v>
      </c>
      <c r="F101" s="178"/>
      <c r="G101" s="179"/>
      <c r="H101" s="36"/>
      <c r="I101" s="37"/>
      <c r="J101" s="37"/>
      <c r="K101" s="38"/>
      <c r="L101" s="38"/>
      <c r="M101" s="38"/>
      <c r="N101" s="38"/>
      <c r="O101" s="163"/>
      <c r="P101" s="163"/>
    </row>
    <row r="102" spans="1:16" ht="18.75">
      <c r="A102" s="170"/>
      <c r="B102" s="171"/>
      <c r="C102" s="171"/>
      <c r="D102" s="178"/>
      <c r="E102" s="187" t="s">
        <v>47</v>
      </c>
      <c r="F102" s="178"/>
      <c r="G102" s="179"/>
      <c r="H102" s="36" t="s">
        <v>46</v>
      </c>
      <c r="I102" s="37">
        <f ca="1">IFERROR(__xludf.DUMMYFUNCTION("IMPORTRANGE(""https://docs.google.com/spreadsheets/d/1KxicF4apzSqm0-jIpmueT4kyZtE-Cwn5zskl7GD4loQ/edit?usp=share_link"",""กำแพงเพชร!i102"")+IMPORTRANGE(""https://docs.google.com/spreadsheets/d/1ZNYWeiFoFA1K1U4xKWqRX29MBvEyRHXORjo734Gnq_c/edit?usp=share_li"&amp;"nk"",""เชียงราย!i102"")
+IMPORTRANGE(""https://docs.google.com/spreadsheets/d/1Jgv0Y7YlHDtsiDawwp-uvifEJ8HVaSn0k2aGHG8-hwM/edit?usp=share_link"",""เชียงใหม่!i102"")+IMPORTRANGE(""https://docs.google.com/spreadsheets/d/1JWG2rZePOz9pe-f-ObA-yDr0VoOX2kSb0qIi"&amp;"x2mTUo8/edit?usp=share_link"",""ตาก!i102"")+IMPORTRANGE(""https://docs.google.com/spreadsheets/d/10nSRjK08hx8Y6HgSOQKNw81lyY46Zc7U_Cj72hBMp9U/edit?usp=share_link"",""นครสวรรค์!i102"")+IMPORTRANGE(""https://docs.google.com/spreadsheets/d/1gFVb7qd7amutrIxAA"&amp;"oM7lcy35hllxznovot8lyOfvDo/edit?usp=share_link"",""น่าน!i102"")+IMPORTRANGE(""https://docs.google.com/spreadsheets/d/1K0Aa9s-6EuHE5M0FG1F9aHLXRCOV917xvycTdLdct0w/edit?usp=share_link"",""พะเยา!i102"")+IMPORTRANGE(""https://docs.google.com/spreadsheets/d/1Y"&amp;"9LPKx95PyL5OKy09d-KbKJSuuEZCFdkhYjwC0XQjBA/edit?usp=share_link"",""พิจิตร!i102"")+IMPORTRANGE(""https://docs.google.com/spreadsheets/d/16OMuOwy2eVqZcYWOouQtTpa8X1L23h4660uVHc0C8os/edit?usp=share_link"",""พิษณุโลก!i102"")+IMPORTRANGE(""https://docs.google."&amp;"com/spreadsheets/d/1GfgTldLG6k77HXaMQzaafODklYuucJZQNs_GAPEfZyY/edit?usp=share_link"",""เพชรบูรณ์!i102"")+IMPORTRANGE(""https://docs.google.com/spreadsheets/d/1gvTMYAnm7v1yG1BKWFtr0DnaTsq59oW9dwWvFgq6hs0/edit?usp=share_link"",""แพร่!i102"")+IMPORTRANGE("""&amp;"https://docs.google.com/spreadsheets/d/1Wbcosgy-Xa1xXUArJSOenub6EfZHUSzc_bpJFWwQUf0/edit?usp=share_link"",""แม่ฮ่องสอน!i102"")+IMPORTRANGE(""https://docs.google.com/spreadsheets/d/1p7ERhsr0qZeSn-KSOdeHS9r0heI-lHtkcn2OH7hP0jQ/edit?usp=share_link"",""ลำปาง!"&amp;"i102"")+IMPORTRANGE(""https://docs.google.com/spreadsheets/d/1-uUXvimVhiU2U0bMN-xi2te0tS4X7DI2GLPnMjzl8cA/edit?usp=share_link"",""ลำพูน!i102"")+IMPORTRANGE(""https://docs.google.com/spreadsheets/d/17HrOaa5pBUI1onckFfumXB8xlg35qb2uBAFfF1D-Myo/edit?usp=shar"&amp;"e_link"",""สุโขทัย!i102"")+IMPORTRANGE(""https://docs.google.com/spreadsheets/d/1ubs5cl16eYL9gHbdHTJtmtYb9MGzHBs7CAphn8kNCgM/edit?usp=share_link"",""อุตรดิตถ์!i102"")+IMPORTRANGE(""https://docs.google.com/spreadsheets/d/1kII0BjS6CtVrBvI8IrytgPdxDrlyQDyigz"&amp;"MsohRtDMs/edit?usp=share_link"",""อุทัยธานี!i102"")
"),975)</f>
        <v>975</v>
      </c>
      <c r="J102" s="183">
        <f ca="1">IFERROR(__xludf.DUMMYFUNCTION("IMPORTRANGE(""https://docs.google.com/spreadsheets/d/1KxicF4apzSqm0-jIpmueT4kyZtE-Cwn5zskl7GD4loQ/edit?usp=share_link"",""กำแพงเพชร!J78"")+IMPORTRANGE(""https://docs.google.com/spreadsheets/d/1ZNYWeiFoFA1K1U4xKWqRX29MBvEyRHXORjo734Gnq_c/edit?usp=share_lin"&amp;"k"",""เชียงราย!J78"")
+IMPORTRANGE(""https://docs.google.com/spreadsheets/d/1Jgv0Y7YlHDtsiDawwp-uvifEJ8HVaSn0k2aGHG8-hwM/edit?usp=share_link"",""เชียงใหม่!J78"")+IMPORTRANGE(""https://docs.google.com/spreadsheets/d/1JWG2rZePOz9pe-f-ObA-yDr0VoOX2kSb0qIix2m"&amp;"TUo8/edit?usp=share_link"",""ตาก!J78"")+IMPORTRANGE(""https://docs.google.com/spreadsheets/d/10nSRjK08hx8Y6HgSOQKNw81lyY46Zc7U_Cj72hBMp9U/edit?usp=share_link"",""นครสวรรค์!J78"")+IMPORTRANGE(""https://docs.google.com/spreadsheets/d/1gFVb7qd7amutrIxAAoM7lc"&amp;"y35hllxznovot8lyOfvDo/edit?usp=share_link"",""น่าน!J78"")+IMPORTRANGE(""https://docs.google.com/spreadsheets/d/1K0Aa9s-6EuHE5M0FG1F9aHLXRCOV917xvycTdLdct0w/edit?usp=share_link"",""พะเยา!J78"")+IMPORTRANGE(""https://docs.google.com/spreadsheets/d/1Y9LPKx95"&amp;"PyL5OKy09d-KbKJSuuEZCFdkhYjwC0XQjBA/edit?usp=share_link"",""พิจิตร!J78"")+IMPORTRANGE(""https://docs.google.com/spreadsheets/d/16OMuOwy2eVqZcYWOouQtTpa8X1L23h4660uVHc0C8os/edit?usp=share_link"",""พิษณุโลก!J78"")+IMPORTRANGE(""https://docs.google.com/sprea"&amp;"dsheets/d/1GfgTldLG6k77HXaMQzaafODklYuucJZQNs_GAPEfZyY/edit?usp=share_link"",""เพชรบูรณ์!J78"")+IMPORTRANGE(""https://docs.google.com/spreadsheets/d/1gvTMYAnm7v1yG1BKWFtr0DnaTsq59oW9dwWvFgq6hs0/edit?usp=share_link"",""แพร่!J78"")+IMPORTRANGE(""https://doc"&amp;"s.google.com/spreadsheets/d/1Wbcosgy-Xa1xXUArJSOenub6EfZHUSzc_bpJFWwQUf0/edit?usp=share_link"",""แม่ฮ่องสอน!J78"")+IMPORTRANGE(""https://docs.google.com/spreadsheets/d/1p7ERhsr0qZeSn-KSOdeHS9r0heI-lHtkcn2OH7hP0jQ/edit?usp=share_link"",""ลำปาง!J78"")+IMPOR"&amp;"TRANGE(""https://docs.google.com/spreadsheets/d/1-uUXvimVhiU2U0bMN-xi2te0tS4X7DI2GLPnMjzl8cA/edit?usp=share_link"",""ลำพูน!J78"")+IMPORTRANGE(""https://docs.google.com/spreadsheets/d/17HrOaa5pBUI1onckFfumXB8xlg35qb2uBAFfF1D-Myo/edit?usp=share_link"",""สุโ"&amp;"ขทัย!J78"")+IMPORTRANGE(""https://docs.google.com/spreadsheets/d/1ubs5cl16eYL9gHbdHTJtmtYb9MGzHBs7CAphn8kNCgM/edit?usp=share_link"",""อุตรดิตถ์!J78"")+IMPORTRANGE(""https://docs.google.com/spreadsheets/d/1kII0BjS6CtVrBvI8IrytgPdxDrlyQDyigzMsohRtDMs/edit?u"&amp;"sp=share_link"",""อุทัยธานี!J78"")
"),2)</f>
        <v>2</v>
      </c>
      <c r="K102" s="38">
        <f t="shared" ref="K102:K104" ca="1" si="73">IF(I102&gt;0,J102*100/I102,0)</f>
        <v>0.20512820512820512</v>
      </c>
      <c r="L102" s="38"/>
      <c r="M102" s="38"/>
      <c r="N102" s="38"/>
      <c r="O102" s="163"/>
      <c r="P102" s="163"/>
    </row>
    <row r="103" spans="1:16" ht="19.5">
      <c r="A103" s="170"/>
      <c r="B103" s="171"/>
      <c r="C103" s="171"/>
      <c r="D103" s="178"/>
      <c r="E103" s="181" t="s">
        <v>51</v>
      </c>
      <c r="F103" s="178"/>
      <c r="G103" s="179"/>
      <c r="H103" s="36" t="s">
        <v>35</v>
      </c>
      <c r="I103" s="37">
        <f ca="1">IFERROR(__xludf.DUMMYFUNCTION("IMPORTRANGE(""https://docs.google.com/spreadsheets/d/1KxicF4apzSqm0-jIpmueT4kyZtE-Cwn5zskl7GD4loQ/edit?usp=share_link"",""กำแพงเพชร!i103"")+IMPORTRANGE(""https://docs.google.com/spreadsheets/d/1ZNYWeiFoFA1K1U4xKWqRX29MBvEyRHXORjo734Gnq_c/edit?usp=share_li"&amp;"nk"",""เชียงราย!i103"")
+IMPORTRANGE(""https://docs.google.com/spreadsheets/d/1Jgv0Y7YlHDtsiDawwp-uvifEJ8HVaSn0k2aGHG8-hwM/edit?usp=share_link"",""เชียงใหม่!i103"")+IMPORTRANGE(""https://docs.google.com/spreadsheets/d/1JWG2rZePOz9pe-f-ObA-yDr0VoOX2kSb0qIi"&amp;"x2mTUo8/edit?usp=share_link"",""ตาก!i103"")+IMPORTRANGE(""https://docs.google.com/spreadsheets/d/10nSRjK08hx8Y6HgSOQKNw81lyY46Zc7U_Cj72hBMp9U/edit?usp=share_link"",""นครสวรรค์!i103"")+IMPORTRANGE(""https://docs.google.com/spreadsheets/d/1gFVb7qd7amutrIxAA"&amp;"oM7lcy35hllxznovot8lyOfvDo/edit?usp=share_link"",""น่าน!i103"")+IMPORTRANGE(""https://docs.google.com/spreadsheets/d/1K0Aa9s-6EuHE5M0FG1F9aHLXRCOV917xvycTdLdct0w/edit?usp=share_link"",""พะเยา!i103"")+IMPORTRANGE(""https://docs.google.com/spreadsheets/d/1Y"&amp;"9LPKx95PyL5OKy09d-KbKJSuuEZCFdkhYjwC0XQjBA/edit?usp=share_link"",""พิจิตร!i103"")+IMPORTRANGE(""https://docs.google.com/spreadsheets/d/16OMuOwy2eVqZcYWOouQtTpa8X1L23h4660uVHc0C8os/edit?usp=share_link"",""พิษณุโลก!i103"")+IMPORTRANGE(""https://docs.google."&amp;"com/spreadsheets/d/1GfgTldLG6k77HXaMQzaafODklYuucJZQNs_GAPEfZyY/edit?usp=share_link"",""เพชรบูรณ์!i103"")+IMPORTRANGE(""https://docs.google.com/spreadsheets/d/1gvTMYAnm7v1yG1BKWFtr0DnaTsq59oW9dwWvFgq6hs0/edit?usp=share_link"",""แพร่!i103"")+IMPORTRANGE("""&amp;"https://docs.google.com/spreadsheets/d/1Wbcosgy-Xa1xXUArJSOenub6EfZHUSzc_bpJFWwQUf0/edit?usp=share_link"",""แม่ฮ่องสอน!i103"")+IMPORTRANGE(""https://docs.google.com/spreadsheets/d/1p7ERhsr0qZeSn-KSOdeHS9r0heI-lHtkcn2OH7hP0jQ/edit?usp=share_link"",""ลำปาง!"&amp;"i103"")+IMPORTRANGE(""https://docs.google.com/spreadsheets/d/1-uUXvimVhiU2U0bMN-xi2te0tS4X7DI2GLPnMjzl8cA/edit?usp=share_link"",""ลำพูน!i103"")+IMPORTRANGE(""https://docs.google.com/spreadsheets/d/17HrOaa5pBUI1onckFfumXB8xlg35qb2uBAFfF1D-Myo/edit?usp=shar"&amp;"e_link"",""สุโขทัย!i103"")+IMPORTRANGE(""https://docs.google.com/spreadsheets/d/1ubs5cl16eYL9gHbdHTJtmtYb9MGzHBs7CAphn8kNCgM/edit?usp=share_link"",""อุตรดิตถ์!i103"")+IMPORTRANGE(""https://docs.google.com/spreadsheets/d/1kII0BjS6CtVrBvI8IrytgPdxDrlyQDyigz"&amp;"MsohRtDMs/edit?usp=share_link"",""อุทัยธานี!i103"")
"),325)</f>
        <v>325</v>
      </c>
      <c r="J103" s="183">
        <f ca="1">IFERROR(__xludf.DUMMYFUNCTION("IMPORTRANGE(""https://docs.google.com/spreadsheets/d/1KxicF4apzSqm0-jIpmueT4kyZtE-Cwn5zskl7GD4loQ/edit?usp=share_link"",""กำแพงเพชร!J78"")+IMPORTRANGE(""https://docs.google.com/spreadsheets/d/1ZNYWeiFoFA1K1U4xKWqRX29MBvEyRHXORjo734Gnq_c/edit?usp=share_lin"&amp;"k"",""เชียงราย!J78"")
+IMPORTRANGE(""https://docs.google.com/spreadsheets/d/1Jgv0Y7YlHDtsiDawwp-uvifEJ8HVaSn0k2aGHG8-hwM/edit?usp=share_link"",""เชียงใหม่!J78"")+IMPORTRANGE(""https://docs.google.com/spreadsheets/d/1JWG2rZePOz9pe-f-ObA-yDr0VoOX2kSb0qIix2m"&amp;"TUo8/edit?usp=share_link"",""ตาก!J78"")+IMPORTRANGE(""https://docs.google.com/spreadsheets/d/10nSRjK08hx8Y6HgSOQKNw81lyY46Zc7U_Cj72hBMp9U/edit?usp=share_link"",""นครสวรรค์!J78"")+IMPORTRANGE(""https://docs.google.com/spreadsheets/d/1gFVb7qd7amutrIxAAoM7lc"&amp;"y35hllxznovot8lyOfvDo/edit?usp=share_link"",""น่าน!J78"")+IMPORTRANGE(""https://docs.google.com/spreadsheets/d/1K0Aa9s-6EuHE5M0FG1F9aHLXRCOV917xvycTdLdct0w/edit?usp=share_link"",""พะเยา!J78"")+IMPORTRANGE(""https://docs.google.com/spreadsheets/d/1Y9LPKx95"&amp;"PyL5OKy09d-KbKJSuuEZCFdkhYjwC0XQjBA/edit?usp=share_link"",""พิจิตร!J78"")+IMPORTRANGE(""https://docs.google.com/spreadsheets/d/16OMuOwy2eVqZcYWOouQtTpa8X1L23h4660uVHc0C8os/edit?usp=share_link"",""พิษณุโลก!J78"")+IMPORTRANGE(""https://docs.google.com/sprea"&amp;"dsheets/d/1GfgTldLG6k77HXaMQzaafODklYuucJZQNs_GAPEfZyY/edit?usp=share_link"",""เพชรบูรณ์!J78"")+IMPORTRANGE(""https://docs.google.com/spreadsheets/d/1gvTMYAnm7v1yG1BKWFtr0DnaTsq59oW9dwWvFgq6hs0/edit?usp=share_link"",""แพร่!J78"")+IMPORTRANGE(""https://doc"&amp;"s.google.com/spreadsheets/d/1Wbcosgy-Xa1xXUArJSOenub6EfZHUSzc_bpJFWwQUf0/edit?usp=share_link"",""แม่ฮ่องสอน!J78"")+IMPORTRANGE(""https://docs.google.com/spreadsheets/d/1p7ERhsr0qZeSn-KSOdeHS9r0heI-lHtkcn2OH7hP0jQ/edit?usp=share_link"",""ลำปาง!J78"")+IMPOR"&amp;"TRANGE(""https://docs.google.com/spreadsheets/d/1-uUXvimVhiU2U0bMN-xi2te0tS4X7DI2GLPnMjzl8cA/edit?usp=share_link"",""ลำพูน!J78"")+IMPORTRANGE(""https://docs.google.com/spreadsheets/d/17HrOaa5pBUI1onckFfumXB8xlg35qb2uBAFfF1D-Myo/edit?usp=share_link"",""สุโ"&amp;"ขทัย!J78"")+IMPORTRANGE(""https://docs.google.com/spreadsheets/d/1ubs5cl16eYL9gHbdHTJtmtYb9MGzHBs7CAphn8kNCgM/edit?usp=share_link"",""อุตรดิตถ์!J78"")+IMPORTRANGE(""https://docs.google.com/spreadsheets/d/1kII0BjS6CtVrBvI8IrytgPdxDrlyQDyigzMsohRtDMs/edit?u"&amp;"sp=share_link"",""อุทัยธานี!J78"")
"),2)</f>
        <v>2</v>
      </c>
      <c r="K103" s="38">
        <f t="shared" ca="1" si="73"/>
        <v>0.61538461538461542</v>
      </c>
      <c r="L103" s="38"/>
      <c r="M103" s="38"/>
      <c r="N103" s="38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36" t="s">
        <v>35</v>
      </c>
      <c r="I104" s="37">
        <f ca="1">IFERROR(__xludf.DUMMYFUNCTION("IMPORTRANGE(""https://docs.google.com/spreadsheets/d/1KxicF4apzSqm0-jIpmueT4kyZtE-Cwn5zskl7GD4loQ/edit?usp=share_link"",""กำแพงเพชร!i104"")+IMPORTRANGE(""https://docs.google.com/spreadsheets/d/1ZNYWeiFoFA1K1U4xKWqRX29MBvEyRHXORjo734Gnq_c/edit?usp=share_li"&amp;"nk"",""เชียงราย!i104"")
+IMPORTRANGE(""https://docs.google.com/spreadsheets/d/1Jgv0Y7YlHDtsiDawwp-uvifEJ8HVaSn0k2aGHG8-hwM/edit?usp=share_link"",""เชียงใหม่!i104"")+IMPORTRANGE(""https://docs.google.com/spreadsheets/d/1JWG2rZePOz9pe-f-ObA-yDr0VoOX2kSb0qIi"&amp;"x2mTUo8/edit?usp=share_link"",""ตาก!i104"")+IMPORTRANGE(""https://docs.google.com/spreadsheets/d/10nSRjK08hx8Y6HgSOQKNw81lyY46Zc7U_Cj72hBMp9U/edit?usp=share_link"",""นครสวรรค์!i104"")+IMPORTRANGE(""https://docs.google.com/spreadsheets/d/1gFVb7qd7amutrIxAA"&amp;"oM7lcy35hllxznovot8lyOfvDo/edit?usp=share_link"",""น่าน!i104"")+IMPORTRANGE(""https://docs.google.com/spreadsheets/d/1K0Aa9s-6EuHE5M0FG1F9aHLXRCOV917xvycTdLdct0w/edit?usp=share_link"",""พะเยา!i104"")+IMPORTRANGE(""https://docs.google.com/spreadsheets/d/1Y"&amp;"9LPKx95PyL5OKy09d-KbKJSuuEZCFdkhYjwC0XQjBA/edit?usp=share_link"",""พิจิตร!i104"")+IMPORTRANGE(""https://docs.google.com/spreadsheets/d/16OMuOwy2eVqZcYWOouQtTpa8X1L23h4660uVHc0C8os/edit?usp=share_link"",""พิษณุโลก!i104"")+IMPORTRANGE(""https://docs.google."&amp;"com/spreadsheets/d/1GfgTldLG6k77HXaMQzaafODklYuucJZQNs_GAPEfZyY/edit?usp=share_link"",""เพชรบูรณ์!i104"")+IMPORTRANGE(""https://docs.google.com/spreadsheets/d/1gvTMYAnm7v1yG1BKWFtr0DnaTsq59oW9dwWvFgq6hs0/edit?usp=share_link"",""แพร่!i104"")+IMPORTRANGE("""&amp;"https://docs.google.com/spreadsheets/d/1Wbcosgy-Xa1xXUArJSOenub6EfZHUSzc_bpJFWwQUf0/edit?usp=share_link"",""แม่ฮ่องสอน!i104"")+IMPORTRANGE(""https://docs.google.com/spreadsheets/d/1p7ERhsr0qZeSn-KSOdeHS9r0heI-lHtkcn2OH7hP0jQ/edit?usp=share_link"",""ลำปาง!"&amp;"i104"")+IMPORTRANGE(""https://docs.google.com/spreadsheets/d/1-uUXvimVhiU2U0bMN-xi2te0tS4X7DI2GLPnMjzl8cA/edit?usp=share_link"",""ลำพูน!i104"")+IMPORTRANGE(""https://docs.google.com/spreadsheets/d/17HrOaa5pBUI1onckFfumXB8xlg35qb2uBAFfF1D-Myo/edit?usp=shar"&amp;"e_link"",""สุโขทัย!i104"")+IMPORTRANGE(""https://docs.google.com/spreadsheets/d/1ubs5cl16eYL9gHbdHTJtmtYb9MGzHBs7CAphn8kNCgM/edit?usp=share_link"",""อุตรดิตถ์!i104"")+IMPORTRANGE(""https://docs.google.com/spreadsheets/d/1kII0BjS6CtVrBvI8IrytgPdxDrlyQDyigz"&amp;"MsohRtDMs/edit?usp=share_link"",""อุทัยธานี!i104"")
"),325)</f>
        <v>325</v>
      </c>
      <c r="J104" s="183">
        <f ca="1">IFERROR(__xludf.DUMMYFUNCTION("IMPORTRANGE(""https://docs.google.com/spreadsheets/d/1KxicF4apzSqm0-jIpmueT4kyZtE-Cwn5zskl7GD4loQ/edit?usp=share_link"",""กำแพงเพชร!J78"")+IMPORTRANGE(""https://docs.google.com/spreadsheets/d/1ZNYWeiFoFA1K1U4xKWqRX29MBvEyRHXORjo734Gnq_c/edit?usp=share_lin"&amp;"k"",""เชียงราย!J78"")
+IMPORTRANGE(""https://docs.google.com/spreadsheets/d/1Jgv0Y7YlHDtsiDawwp-uvifEJ8HVaSn0k2aGHG8-hwM/edit?usp=share_link"",""เชียงใหม่!J78"")+IMPORTRANGE(""https://docs.google.com/spreadsheets/d/1JWG2rZePOz9pe-f-ObA-yDr0VoOX2kSb0qIix2m"&amp;"TUo8/edit?usp=share_link"",""ตาก!J78"")+IMPORTRANGE(""https://docs.google.com/spreadsheets/d/10nSRjK08hx8Y6HgSOQKNw81lyY46Zc7U_Cj72hBMp9U/edit?usp=share_link"",""นครสวรรค์!J78"")+IMPORTRANGE(""https://docs.google.com/spreadsheets/d/1gFVb7qd7amutrIxAAoM7lc"&amp;"y35hllxznovot8lyOfvDo/edit?usp=share_link"",""น่าน!J78"")+IMPORTRANGE(""https://docs.google.com/spreadsheets/d/1K0Aa9s-6EuHE5M0FG1F9aHLXRCOV917xvycTdLdct0w/edit?usp=share_link"",""พะเยา!J78"")+IMPORTRANGE(""https://docs.google.com/spreadsheets/d/1Y9LPKx95"&amp;"PyL5OKy09d-KbKJSuuEZCFdkhYjwC0XQjBA/edit?usp=share_link"",""พิจิตร!J78"")+IMPORTRANGE(""https://docs.google.com/spreadsheets/d/16OMuOwy2eVqZcYWOouQtTpa8X1L23h4660uVHc0C8os/edit?usp=share_link"",""พิษณุโลก!J78"")+IMPORTRANGE(""https://docs.google.com/sprea"&amp;"dsheets/d/1GfgTldLG6k77HXaMQzaafODklYuucJZQNs_GAPEfZyY/edit?usp=share_link"",""เพชรบูรณ์!J78"")+IMPORTRANGE(""https://docs.google.com/spreadsheets/d/1gvTMYAnm7v1yG1BKWFtr0DnaTsq59oW9dwWvFgq6hs0/edit?usp=share_link"",""แพร่!J78"")+IMPORTRANGE(""https://doc"&amp;"s.google.com/spreadsheets/d/1Wbcosgy-Xa1xXUArJSOenub6EfZHUSzc_bpJFWwQUf0/edit?usp=share_link"",""แม่ฮ่องสอน!J78"")+IMPORTRANGE(""https://docs.google.com/spreadsheets/d/1p7ERhsr0qZeSn-KSOdeHS9r0heI-lHtkcn2OH7hP0jQ/edit?usp=share_link"",""ลำปาง!J78"")+IMPOR"&amp;"TRANGE(""https://docs.google.com/spreadsheets/d/1-uUXvimVhiU2U0bMN-xi2te0tS4X7DI2GLPnMjzl8cA/edit?usp=share_link"",""ลำพูน!J78"")+IMPORTRANGE(""https://docs.google.com/spreadsheets/d/17HrOaa5pBUI1onckFfumXB8xlg35qb2uBAFfF1D-Myo/edit?usp=share_link"",""สุโ"&amp;"ขทัย!J78"")+IMPORTRANGE(""https://docs.google.com/spreadsheets/d/1ubs5cl16eYL9gHbdHTJtmtYb9MGzHBs7CAphn8kNCgM/edit?usp=share_link"",""อุตรดิตถ์!J78"")+IMPORTRANGE(""https://docs.google.com/spreadsheets/d/1kII0BjS6CtVrBvI8IrytgPdxDrlyQDyigzMsohRtDMs/edit?u"&amp;"sp=share_link"",""อุทัยธานี!J78"")
"),2)</f>
        <v>2</v>
      </c>
      <c r="K104" s="38">
        <f t="shared" ca="1" si="73"/>
        <v>0.61538461538461542</v>
      </c>
      <c r="L104" s="38"/>
      <c r="M104" s="38"/>
      <c r="N104" s="38"/>
      <c r="O104" s="163"/>
      <c r="P104" s="163"/>
    </row>
    <row r="105" spans="1:16" ht="19.5">
      <c r="A105" s="170"/>
      <c r="B105" s="171"/>
      <c r="C105" s="171"/>
      <c r="D105" s="178"/>
      <c r="E105" s="186" t="s">
        <v>53</v>
      </c>
      <c r="F105" s="178"/>
      <c r="G105" s="179"/>
      <c r="H105" s="189"/>
      <c r="I105" s="37"/>
      <c r="J105" s="37"/>
      <c r="K105" s="38"/>
      <c r="L105" s="38"/>
      <c r="M105" s="38"/>
      <c r="N105" s="38"/>
      <c r="O105" s="163"/>
      <c r="P105" s="163"/>
    </row>
    <row r="106" spans="1:16" ht="19.5">
      <c r="A106" s="170"/>
      <c r="B106" s="171"/>
      <c r="C106" s="171"/>
      <c r="D106" s="178"/>
      <c r="E106" s="181" t="s">
        <v>54</v>
      </c>
      <c r="F106" s="178"/>
      <c r="G106" s="179"/>
      <c r="H106" s="36" t="s">
        <v>49</v>
      </c>
      <c r="I106" s="37">
        <f ca="1">IFERROR(__xludf.DUMMYFUNCTION("IMPORTRANGE(""https://docs.google.com/spreadsheets/d/1KxicF4apzSqm0-jIpmueT4kyZtE-Cwn5zskl7GD4loQ/edit?usp=share_link"",""กำแพงเพชร!i106"")+IMPORTRANGE(""https://docs.google.com/spreadsheets/d/1ZNYWeiFoFA1K1U4xKWqRX29MBvEyRHXORjo734Gnq_c/edit?usp=share_li"&amp;"nk"",""เชียงราย!i106"")
+IMPORTRANGE(""https://docs.google.com/spreadsheets/d/1Jgv0Y7YlHDtsiDawwp-uvifEJ8HVaSn0k2aGHG8-hwM/edit?usp=share_link"",""เชียงใหม่!i106"")+IMPORTRANGE(""https://docs.google.com/spreadsheets/d/1JWG2rZePOz9pe-f-ObA-yDr0VoOX2kSb0qIi"&amp;"x2mTUo8/edit?usp=share_link"",""ตาก!i106"")+IMPORTRANGE(""https://docs.google.com/spreadsheets/d/10nSRjK08hx8Y6HgSOQKNw81lyY46Zc7U_Cj72hBMp9U/edit?usp=share_link"",""นครสวรรค์!i106"")+IMPORTRANGE(""https://docs.google.com/spreadsheets/d/1gFVb7qd7amutrIxAA"&amp;"oM7lcy35hllxznovot8lyOfvDo/edit?usp=share_link"",""น่าน!i106"")+IMPORTRANGE(""https://docs.google.com/spreadsheets/d/1K0Aa9s-6EuHE5M0FG1F9aHLXRCOV917xvycTdLdct0w/edit?usp=share_link"",""พะเยา!i106"")+IMPORTRANGE(""https://docs.google.com/spreadsheets/d/1Y"&amp;"9LPKx95PyL5OKy09d-KbKJSuuEZCFdkhYjwC0XQjBA/edit?usp=share_link"",""พิจิตร!i106"")+IMPORTRANGE(""https://docs.google.com/spreadsheets/d/16OMuOwy2eVqZcYWOouQtTpa8X1L23h4660uVHc0C8os/edit?usp=share_link"",""พิษณุโลก!i106"")+IMPORTRANGE(""https://docs.google."&amp;"com/spreadsheets/d/1GfgTldLG6k77HXaMQzaafODklYuucJZQNs_GAPEfZyY/edit?usp=share_link"",""เพชรบูรณ์!i106"")+IMPORTRANGE(""https://docs.google.com/spreadsheets/d/1gvTMYAnm7v1yG1BKWFtr0DnaTsq59oW9dwWvFgq6hs0/edit?usp=share_link"",""แพร่!i106"")+IMPORTRANGE("""&amp;"https://docs.google.com/spreadsheets/d/1Wbcosgy-Xa1xXUArJSOenub6EfZHUSzc_bpJFWwQUf0/edit?usp=share_link"",""แม่ฮ่องสอน!i106"")+IMPORTRANGE(""https://docs.google.com/spreadsheets/d/1p7ERhsr0qZeSn-KSOdeHS9r0heI-lHtkcn2OH7hP0jQ/edit?usp=share_link"",""ลำปาง!"&amp;"i106"")+IMPORTRANGE(""https://docs.google.com/spreadsheets/d/1-uUXvimVhiU2U0bMN-xi2te0tS4X7DI2GLPnMjzl8cA/edit?usp=share_link"",""ลำพูน!i106"")+IMPORTRANGE(""https://docs.google.com/spreadsheets/d/17HrOaa5pBUI1onckFfumXB8xlg35qb2uBAFfF1D-Myo/edit?usp=shar"&amp;"e_link"",""สุโขทัย!i106"")+IMPORTRANGE(""https://docs.google.com/spreadsheets/d/1ubs5cl16eYL9gHbdHTJtmtYb9MGzHBs7CAphn8kNCgM/edit?usp=share_link"",""อุตรดิตถ์!i106"")+IMPORTRANGE(""https://docs.google.com/spreadsheets/d/1kII0BjS6CtVrBvI8IrytgPdxDrlyQDyigz"&amp;"MsohRtDMs/edit?usp=share_link"",""อุทัยธานี!i106"")
"),14)</f>
        <v>14</v>
      </c>
      <c r="J106" s="183">
        <f ca="1">IFERROR(__xludf.DUMMYFUNCTION("IMPORTRANGE(""https://docs.google.com/spreadsheets/d/1KxicF4apzSqm0-jIpmueT4kyZtE-Cwn5zskl7GD4loQ/edit?usp=share_link"",""กำแพงเพชร!J78"")+IMPORTRANGE(""https://docs.google.com/spreadsheets/d/1ZNYWeiFoFA1K1U4xKWqRX29MBvEyRHXORjo734Gnq_c/edit?usp=share_lin"&amp;"k"",""เชียงราย!J78"")
+IMPORTRANGE(""https://docs.google.com/spreadsheets/d/1Jgv0Y7YlHDtsiDawwp-uvifEJ8HVaSn0k2aGHG8-hwM/edit?usp=share_link"",""เชียงใหม่!J78"")+IMPORTRANGE(""https://docs.google.com/spreadsheets/d/1JWG2rZePOz9pe-f-ObA-yDr0VoOX2kSb0qIix2m"&amp;"TUo8/edit?usp=share_link"",""ตาก!J78"")+IMPORTRANGE(""https://docs.google.com/spreadsheets/d/10nSRjK08hx8Y6HgSOQKNw81lyY46Zc7U_Cj72hBMp9U/edit?usp=share_link"",""นครสวรรค์!J78"")+IMPORTRANGE(""https://docs.google.com/spreadsheets/d/1gFVb7qd7amutrIxAAoM7lc"&amp;"y35hllxznovot8lyOfvDo/edit?usp=share_link"",""น่าน!J78"")+IMPORTRANGE(""https://docs.google.com/spreadsheets/d/1K0Aa9s-6EuHE5M0FG1F9aHLXRCOV917xvycTdLdct0w/edit?usp=share_link"",""พะเยา!J78"")+IMPORTRANGE(""https://docs.google.com/spreadsheets/d/1Y9LPKx95"&amp;"PyL5OKy09d-KbKJSuuEZCFdkhYjwC0XQjBA/edit?usp=share_link"",""พิจิตร!J78"")+IMPORTRANGE(""https://docs.google.com/spreadsheets/d/16OMuOwy2eVqZcYWOouQtTpa8X1L23h4660uVHc0C8os/edit?usp=share_link"",""พิษณุโลก!J78"")+IMPORTRANGE(""https://docs.google.com/sprea"&amp;"dsheets/d/1GfgTldLG6k77HXaMQzaafODklYuucJZQNs_GAPEfZyY/edit?usp=share_link"",""เพชรบูรณ์!J78"")+IMPORTRANGE(""https://docs.google.com/spreadsheets/d/1gvTMYAnm7v1yG1BKWFtr0DnaTsq59oW9dwWvFgq6hs0/edit?usp=share_link"",""แพร่!J78"")+IMPORTRANGE(""https://doc"&amp;"s.google.com/spreadsheets/d/1Wbcosgy-Xa1xXUArJSOenub6EfZHUSzc_bpJFWwQUf0/edit?usp=share_link"",""แม่ฮ่องสอน!J78"")+IMPORTRANGE(""https://docs.google.com/spreadsheets/d/1p7ERhsr0qZeSn-KSOdeHS9r0heI-lHtkcn2OH7hP0jQ/edit?usp=share_link"",""ลำปาง!J78"")+IMPOR"&amp;"TRANGE(""https://docs.google.com/spreadsheets/d/1-uUXvimVhiU2U0bMN-xi2te0tS4X7DI2GLPnMjzl8cA/edit?usp=share_link"",""ลำพูน!J78"")+IMPORTRANGE(""https://docs.google.com/spreadsheets/d/17HrOaa5pBUI1onckFfumXB8xlg35qb2uBAFfF1D-Myo/edit?usp=share_link"",""สุโ"&amp;"ขทัย!J78"")+IMPORTRANGE(""https://docs.google.com/spreadsheets/d/1ubs5cl16eYL9gHbdHTJtmtYb9MGzHBs7CAphn8kNCgM/edit?usp=share_link"",""อุตรดิตถ์!J78"")+IMPORTRANGE(""https://docs.google.com/spreadsheets/d/1kII0BjS6CtVrBvI8IrytgPdxDrlyQDyigzMsohRtDMs/edit?u"&amp;"sp=share_link"",""อุทัยธานี!J78"")
"),2)</f>
        <v>2</v>
      </c>
      <c r="K106" s="38">
        <f t="shared" ref="K106:K107" ca="1" si="74">IF(I106&gt;0,J106*100/I106,0)</f>
        <v>14.285714285714286</v>
      </c>
      <c r="L106" s="38"/>
      <c r="M106" s="38"/>
      <c r="N106" s="38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36" t="s">
        <v>49</v>
      </c>
      <c r="I107" s="37">
        <f ca="1">IFERROR(__xludf.DUMMYFUNCTION("IMPORTRANGE(""https://docs.google.com/spreadsheets/d/1KxicF4apzSqm0-jIpmueT4kyZtE-Cwn5zskl7GD4loQ/edit?usp=share_link"",""กำแพงเพชร!i107"")+IMPORTRANGE(""https://docs.google.com/spreadsheets/d/1ZNYWeiFoFA1K1U4xKWqRX29MBvEyRHXORjo734Gnq_c/edit?usp=share_li"&amp;"nk"",""เชียงราย!i107"")
+IMPORTRANGE(""https://docs.google.com/spreadsheets/d/1Jgv0Y7YlHDtsiDawwp-uvifEJ8HVaSn0k2aGHG8-hwM/edit?usp=share_link"",""เชียงใหม่!i107"")+IMPORTRANGE(""https://docs.google.com/spreadsheets/d/1JWG2rZePOz9pe-f-ObA-yDr0VoOX2kSb0qIi"&amp;"x2mTUo8/edit?usp=share_link"",""ตาก!i107"")+IMPORTRANGE(""https://docs.google.com/spreadsheets/d/10nSRjK08hx8Y6HgSOQKNw81lyY46Zc7U_Cj72hBMp9U/edit?usp=share_link"",""นครสวรรค์!i107"")+IMPORTRANGE(""https://docs.google.com/spreadsheets/d/1gFVb7qd7amutrIxAA"&amp;"oM7lcy35hllxznovot8lyOfvDo/edit?usp=share_link"",""น่าน!i107"")+IMPORTRANGE(""https://docs.google.com/spreadsheets/d/1K0Aa9s-6EuHE5M0FG1F9aHLXRCOV917xvycTdLdct0w/edit?usp=share_link"",""พะเยา!i107"")+IMPORTRANGE(""https://docs.google.com/spreadsheets/d/1Y"&amp;"9LPKx95PyL5OKy09d-KbKJSuuEZCFdkhYjwC0XQjBA/edit?usp=share_link"",""พิจิตร!i107"")+IMPORTRANGE(""https://docs.google.com/spreadsheets/d/16OMuOwy2eVqZcYWOouQtTpa8X1L23h4660uVHc0C8os/edit?usp=share_link"",""พิษณุโลก!i107"")+IMPORTRANGE(""https://docs.google."&amp;"com/spreadsheets/d/1GfgTldLG6k77HXaMQzaafODklYuucJZQNs_GAPEfZyY/edit?usp=share_link"",""เพชรบูรณ์!i107"")+IMPORTRANGE(""https://docs.google.com/spreadsheets/d/1gvTMYAnm7v1yG1BKWFtr0DnaTsq59oW9dwWvFgq6hs0/edit?usp=share_link"",""แพร่!i107"")+IMPORTRANGE("""&amp;"https://docs.google.com/spreadsheets/d/1Wbcosgy-Xa1xXUArJSOenub6EfZHUSzc_bpJFWwQUf0/edit?usp=share_link"",""แม่ฮ่องสอน!i107"")+IMPORTRANGE(""https://docs.google.com/spreadsheets/d/1p7ERhsr0qZeSn-KSOdeHS9r0heI-lHtkcn2OH7hP0jQ/edit?usp=share_link"",""ลำปาง!"&amp;"i107"")+IMPORTRANGE(""https://docs.google.com/spreadsheets/d/1-uUXvimVhiU2U0bMN-xi2te0tS4X7DI2GLPnMjzl8cA/edit?usp=share_link"",""ลำพูน!i107"")+IMPORTRANGE(""https://docs.google.com/spreadsheets/d/17HrOaa5pBUI1onckFfumXB8xlg35qb2uBAFfF1D-Myo/edit?usp=shar"&amp;"e_link"",""สุโขทัย!i107"")+IMPORTRANGE(""https://docs.google.com/spreadsheets/d/1ubs5cl16eYL9gHbdHTJtmtYb9MGzHBs7CAphn8kNCgM/edit?usp=share_link"",""อุตรดิตถ์!i107"")+IMPORTRANGE(""https://docs.google.com/spreadsheets/d/1kII0BjS6CtVrBvI8IrytgPdxDrlyQDyigz"&amp;"MsohRtDMs/edit?usp=share_link"",""อุทัยธานี!i107"")
"),14)</f>
        <v>14</v>
      </c>
      <c r="J107" s="183">
        <f ca="1">IFERROR(__xludf.DUMMYFUNCTION("IMPORTRANGE(""https://docs.google.com/spreadsheets/d/1KxicF4apzSqm0-jIpmueT4kyZtE-Cwn5zskl7GD4loQ/edit?usp=share_link"",""กำแพงเพชร!J78"")+IMPORTRANGE(""https://docs.google.com/spreadsheets/d/1ZNYWeiFoFA1K1U4xKWqRX29MBvEyRHXORjo734Gnq_c/edit?usp=share_lin"&amp;"k"",""เชียงราย!J78"")
+IMPORTRANGE(""https://docs.google.com/spreadsheets/d/1Jgv0Y7YlHDtsiDawwp-uvifEJ8HVaSn0k2aGHG8-hwM/edit?usp=share_link"",""เชียงใหม่!J78"")+IMPORTRANGE(""https://docs.google.com/spreadsheets/d/1JWG2rZePOz9pe-f-ObA-yDr0VoOX2kSb0qIix2m"&amp;"TUo8/edit?usp=share_link"",""ตาก!J78"")+IMPORTRANGE(""https://docs.google.com/spreadsheets/d/10nSRjK08hx8Y6HgSOQKNw81lyY46Zc7U_Cj72hBMp9U/edit?usp=share_link"",""นครสวรรค์!J78"")+IMPORTRANGE(""https://docs.google.com/spreadsheets/d/1gFVb7qd7amutrIxAAoM7lc"&amp;"y35hllxznovot8lyOfvDo/edit?usp=share_link"",""น่าน!J78"")+IMPORTRANGE(""https://docs.google.com/spreadsheets/d/1K0Aa9s-6EuHE5M0FG1F9aHLXRCOV917xvycTdLdct0w/edit?usp=share_link"",""พะเยา!J78"")+IMPORTRANGE(""https://docs.google.com/spreadsheets/d/1Y9LPKx95"&amp;"PyL5OKy09d-KbKJSuuEZCFdkhYjwC0XQjBA/edit?usp=share_link"",""พิจิตร!J78"")+IMPORTRANGE(""https://docs.google.com/spreadsheets/d/16OMuOwy2eVqZcYWOouQtTpa8X1L23h4660uVHc0C8os/edit?usp=share_link"",""พิษณุโลก!J78"")+IMPORTRANGE(""https://docs.google.com/sprea"&amp;"dsheets/d/1GfgTldLG6k77HXaMQzaafODklYuucJZQNs_GAPEfZyY/edit?usp=share_link"",""เพชรบูรณ์!J78"")+IMPORTRANGE(""https://docs.google.com/spreadsheets/d/1gvTMYAnm7v1yG1BKWFtr0DnaTsq59oW9dwWvFgq6hs0/edit?usp=share_link"",""แพร่!J78"")+IMPORTRANGE(""https://doc"&amp;"s.google.com/spreadsheets/d/1Wbcosgy-Xa1xXUArJSOenub6EfZHUSzc_bpJFWwQUf0/edit?usp=share_link"",""แม่ฮ่องสอน!J78"")+IMPORTRANGE(""https://docs.google.com/spreadsheets/d/1p7ERhsr0qZeSn-KSOdeHS9r0heI-lHtkcn2OH7hP0jQ/edit?usp=share_link"",""ลำปาง!J78"")+IMPOR"&amp;"TRANGE(""https://docs.google.com/spreadsheets/d/1-uUXvimVhiU2U0bMN-xi2te0tS4X7DI2GLPnMjzl8cA/edit?usp=share_link"",""ลำพูน!J78"")+IMPORTRANGE(""https://docs.google.com/spreadsheets/d/17HrOaa5pBUI1onckFfumXB8xlg35qb2uBAFfF1D-Myo/edit?usp=share_link"",""สุโ"&amp;"ขทัย!J78"")+IMPORTRANGE(""https://docs.google.com/spreadsheets/d/1ubs5cl16eYL9gHbdHTJtmtYb9MGzHBs7CAphn8kNCgM/edit?usp=share_link"",""อุตรดิตถ์!J78"")+IMPORTRANGE(""https://docs.google.com/spreadsheets/d/1kII0BjS6CtVrBvI8IrytgPdxDrlyQDyigzMsohRtDMs/edit?u"&amp;"sp=share_link"",""อุทัยธานี!J78"")
"),2)</f>
        <v>2</v>
      </c>
      <c r="K107" s="38">
        <f t="shared" ca="1" si="74"/>
        <v>14.285714285714286</v>
      </c>
      <c r="L107" s="38"/>
      <c r="M107" s="38"/>
      <c r="N107" s="38"/>
      <c r="O107" s="163"/>
      <c r="P107" s="163"/>
    </row>
    <row r="108" spans="1:16" ht="19.5">
      <c r="A108" s="170"/>
      <c r="B108" s="171"/>
      <c r="C108" s="171"/>
      <c r="D108" s="178"/>
      <c r="E108" s="186" t="s">
        <v>56</v>
      </c>
      <c r="F108" s="178"/>
      <c r="G108" s="179"/>
      <c r="H108" s="189"/>
      <c r="I108" s="37"/>
      <c r="J108" s="37"/>
      <c r="K108" s="38"/>
      <c r="L108" s="38"/>
      <c r="M108" s="38"/>
      <c r="N108" s="38"/>
      <c r="O108" s="163"/>
      <c r="P108" s="163"/>
    </row>
    <row r="109" spans="1:16" ht="19.5">
      <c r="A109" s="170"/>
      <c r="B109" s="171"/>
      <c r="C109" s="171"/>
      <c r="D109" s="178"/>
      <c r="E109" s="181" t="s">
        <v>57</v>
      </c>
      <c r="F109" s="178"/>
      <c r="G109" s="179"/>
      <c r="H109" s="36" t="s">
        <v>49</v>
      </c>
      <c r="I109" s="37">
        <f ca="1">IFERROR(__xludf.DUMMYFUNCTION("IMPORTRANGE(""https://docs.google.com/spreadsheets/d/1KxicF4apzSqm0-jIpmueT4kyZtE-Cwn5zskl7GD4loQ/edit?usp=share_link"",""กำแพงเพชร!i109"")+IMPORTRANGE(""https://docs.google.com/spreadsheets/d/1ZNYWeiFoFA1K1U4xKWqRX29MBvEyRHXORjo734Gnq_c/edit?usp=share_li"&amp;"nk"",""เชียงราย!i109"")
+IMPORTRANGE(""https://docs.google.com/spreadsheets/d/1Jgv0Y7YlHDtsiDawwp-uvifEJ8HVaSn0k2aGHG8-hwM/edit?usp=share_link"",""เชียงใหม่!i109"")+IMPORTRANGE(""https://docs.google.com/spreadsheets/d/1JWG2rZePOz9pe-f-ObA-yDr0VoOX2kSb0qIi"&amp;"x2mTUo8/edit?usp=share_link"",""ตาก!i109"")+IMPORTRANGE(""https://docs.google.com/spreadsheets/d/10nSRjK08hx8Y6HgSOQKNw81lyY46Zc7U_Cj72hBMp9U/edit?usp=share_link"",""นครสวรรค์!i109"")+IMPORTRANGE(""https://docs.google.com/spreadsheets/d/1gFVb7qd7amutrIxAA"&amp;"oM7lcy35hllxznovot8lyOfvDo/edit?usp=share_link"",""น่าน!i109"")+IMPORTRANGE(""https://docs.google.com/spreadsheets/d/1K0Aa9s-6EuHE5M0FG1F9aHLXRCOV917xvycTdLdct0w/edit?usp=share_link"",""พะเยา!i109"")+IMPORTRANGE(""https://docs.google.com/spreadsheets/d/1Y"&amp;"9LPKx95PyL5OKy09d-KbKJSuuEZCFdkhYjwC0XQjBA/edit?usp=share_link"",""พิจิตร!i109"")+IMPORTRANGE(""https://docs.google.com/spreadsheets/d/16OMuOwy2eVqZcYWOouQtTpa8X1L23h4660uVHc0C8os/edit?usp=share_link"",""พิษณุโลก!i109"")+IMPORTRANGE(""https://docs.google."&amp;"com/spreadsheets/d/1GfgTldLG6k77HXaMQzaafODklYuucJZQNs_GAPEfZyY/edit?usp=share_link"",""เพชรบูรณ์!i109"")+IMPORTRANGE(""https://docs.google.com/spreadsheets/d/1gvTMYAnm7v1yG1BKWFtr0DnaTsq59oW9dwWvFgq6hs0/edit?usp=share_link"",""แพร่!i109"")+IMPORTRANGE("""&amp;"https://docs.google.com/spreadsheets/d/1Wbcosgy-Xa1xXUArJSOenub6EfZHUSzc_bpJFWwQUf0/edit?usp=share_link"",""แม่ฮ่องสอน!i109"")+IMPORTRANGE(""https://docs.google.com/spreadsheets/d/1p7ERhsr0qZeSn-KSOdeHS9r0heI-lHtkcn2OH7hP0jQ/edit?usp=share_link"",""ลำปาง!"&amp;"i109"")+IMPORTRANGE(""https://docs.google.com/spreadsheets/d/1-uUXvimVhiU2U0bMN-xi2te0tS4X7DI2GLPnMjzl8cA/edit?usp=share_link"",""ลำพูน!i109"")+IMPORTRANGE(""https://docs.google.com/spreadsheets/d/17HrOaa5pBUI1onckFfumXB8xlg35qb2uBAFfF1D-Myo/edit?usp=shar"&amp;"e_link"",""สุโขทัย!i109"")+IMPORTRANGE(""https://docs.google.com/spreadsheets/d/1ubs5cl16eYL9gHbdHTJtmtYb9MGzHBs7CAphn8kNCgM/edit?usp=share_link"",""อุตรดิตถ์!i109"")+IMPORTRANGE(""https://docs.google.com/spreadsheets/d/1kII0BjS6CtVrBvI8IrytgPdxDrlyQDyigz"&amp;"MsohRtDMs/edit?usp=share_link"",""อุทัยธานี!i109"")
"),16)</f>
        <v>16</v>
      </c>
      <c r="J109" s="183">
        <f ca="1">IFERROR(__xludf.DUMMYFUNCTION("IMPORTRANGE(""https://docs.google.com/spreadsheets/d/1KxicF4apzSqm0-jIpmueT4kyZtE-Cwn5zskl7GD4loQ/edit?usp=share_link"",""กำแพงเพชร!J78"")+IMPORTRANGE(""https://docs.google.com/spreadsheets/d/1ZNYWeiFoFA1K1U4xKWqRX29MBvEyRHXORjo734Gnq_c/edit?usp=share_lin"&amp;"k"",""เชียงราย!J78"")
+IMPORTRANGE(""https://docs.google.com/spreadsheets/d/1Jgv0Y7YlHDtsiDawwp-uvifEJ8HVaSn0k2aGHG8-hwM/edit?usp=share_link"",""เชียงใหม่!J78"")+IMPORTRANGE(""https://docs.google.com/spreadsheets/d/1JWG2rZePOz9pe-f-ObA-yDr0VoOX2kSb0qIix2m"&amp;"TUo8/edit?usp=share_link"",""ตาก!J78"")+IMPORTRANGE(""https://docs.google.com/spreadsheets/d/10nSRjK08hx8Y6HgSOQKNw81lyY46Zc7U_Cj72hBMp9U/edit?usp=share_link"",""นครสวรรค์!J78"")+IMPORTRANGE(""https://docs.google.com/spreadsheets/d/1gFVb7qd7amutrIxAAoM7lc"&amp;"y35hllxznovot8lyOfvDo/edit?usp=share_link"",""น่าน!J78"")+IMPORTRANGE(""https://docs.google.com/spreadsheets/d/1K0Aa9s-6EuHE5M0FG1F9aHLXRCOV917xvycTdLdct0w/edit?usp=share_link"",""พะเยา!J78"")+IMPORTRANGE(""https://docs.google.com/spreadsheets/d/1Y9LPKx95"&amp;"PyL5OKy09d-KbKJSuuEZCFdkhYjwC0XQjBA/edit?usp=share_link"",""พิจิตร!J78"")+IMPORTRANGE(""https://docs.google.com/spreadsheets/d/16OMuOwy2eVqZcYWOouQtTpa8X1L23h4660uVHc0C8os/edit?usp=share_link"",""พิษณุโลก!J78"")+IMPORTRANGE(""https://docs.google.com/sprea"&amp;"dsheets/d/1GfgTldLG6k77HXaMQzaafODklYuucJZQNs_GAPEfZyY/edit?usp=share_link"",""เพชรบูรณ์!J78"")+IMPORTRANGE(""https://docs.google.com/spreadsheets/d/1gvTMYAnm7v1yG1BKWFtr0DnaTsq59oW9dwWvFgq6hs0/edit?usp=share_link"",""แพร่!J78"")+IMPORTRANGE(""https://doc"&amp;"s.google.com/spreadsheets/d/1Wbcosgy-Xa1xXUArJSOenub6EfZHUSzc_bpJFWwQUf0/edit?usp=share_link"",""แม่ฮ่องสอน!J78"")+IMPORTRANGE(""https://docs.google.com/spreadsheets/d/1p7ERhsr0qZeSn-KSOdeHS9r0heI-lHtkcn2OH7hP0jQ/edit?usp=share_link"",""ลำปาง!J78"")+IMPOR"&amp;"TRANGE(""https://docs.google.com/spreadsheets/d/1-uUXvimVhiU2U0bMN-xi2te0tS4X7DI2GLPnMjzl8cA/edit?usp=share_link"",""ลำพูน!J78"")+IMPORTRANGE(""https://docs.google.com/spreadsheets/d/17HrOaa5pBUI1onckFfumXB8xlg35qb2uBAFfF1D-Myo/edit?usp=share_link"",""สุโ"&amp;"ขทัย!J78"")+IMPORTRANGE(""https://docs.google.com/spreadsheets/d/1ubs5cl16eYL9gHbdHTJtmtYb9MGzHBs7CAphn8kNCgM/edit?usp=share_link"",""อุตรดิตถ์!J78"")+IMPORTRANGE(""https://docs.google.com/spreadsheets/d/1kII0BjS6CtVrBvI8IrytgPdxDrlyQDyigzMsohRtDMs/edit?u"&amp;"sp=share_link"",""อุทัยธานี!J78"")
"),2)</f>
        <v>2</v>
      </c>
      <c r="K109" s="38">
        <f t="shared" ref="K109:K116" ca="1" si="75">IF(I109&gt;0,J109*100/I109,0)</f>
        <v>12.5</v>
      </c>
      <c r="L109" s="38"/>
      <c r="M109" s="38"/>
      <c r="N109" s="38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36" t="s">
        <v>49</v>
      </c>
      <c r="I110" s="37">
        <f ca="1">IFERROR(__xludf.DUMMYFUNCTION("IMPORTRANGE(""https://docs.google.com/spreadsheets/d/1KxicF4apzSqm0-jIpmueT4kyZtE-Cwn5zskl7GD4loQ/edit?usp=share_link"",""กำแพงเพชร!i110"")+IMPORTRANGE(""https://docs.google.com/spreadsheets/d/1ZNYWeiFoFA1K1U4xKWqRX29MBvEyRHXORjo734Gnq_c/edit?usp=share_li"&amp;"nk"",""เชียงราย!i110"")
+IMPORTRANGE(""https://docs.google.com/spreadsheets/d/1Jgv0Y7YlHDtsiDawwp-uvifEJ8HVaSn0k2aGHG8-hwM/edit?usp=share_link"",""เชียงใหม่!i110"")+IMPORTRANGE(""https://docs.google.com/spreadsheets/d/1JWG2rZePOz9pe-f-ObA-yDr0VoOX2kSb0qIi"&amp;"x2mTUo8/edit?usp=share_link"",""ตาก!i110"")+IMPORTRANGE(""https://docs.google.com/spreadsheets/d/10nSRjK08hx8Y6HgSOQKNw81lyY46Zc7U_Cj72hBMp9U/edit?usp=share_link"",""นครสวรรค์!i110"")+IMPORTRANGE(""https://docs.google.com/spreadsheets/d/1gFVb7qd7amutrIxAA"&amp;"oM7lcy35hllxznovot8lyOfvDo/edit?usp=share_link"",""น่าน!i110"")+IMPORTRANGE(""https://docs.google.com/spreadsheets/d/1K0Aa9s-6EuHE5M0FG1F9aHLXRCOV917xvycTdLdct0w/edit?usp=share_link"",""พะเยา!i110"")+IMPORTRANGE(""https://docs.google.com/spreadsheets/d/1Y"&amp;"9LPKx95PyL5OKy09d-KbKJSuuEZCFdkhYjwC0XQjBA/edit?usp=share_link"",""พิจิตร!i110"")+IMPORTRANGE(""https://docs.google.com/spreadsheets/d/16OMuOwy2eVqZcYWOouQtTpa8X1L23h4660uVHc0C8os/edit?usp=share_link"",""พิษณุโลก!i110"")+IMPORTRANGE(""https://docs.google."&amp;"com/spreadsheets/d/1GfgTldLG6k77HXaMQzaafODklYuucJZQNs_GAPEfZyY/edit?usp=share_link"",""เพชรบูรณ์!i110"")+IMPORTRANGE(""https://docs.google.com/spreadsheets/d/1gvTMYAnm7v1yG1BKWFtr0DnaTsq59oW9dwWvFgq6hs0/edit?usp=share_link"",""แพร่!i110"")+IMPORTRANGE("""&amp;"https://docs.google.com/spreadsheets/d/1Wbcosgy-Xa1xXUArJSOenub6EfZHUSzc_bpJFWwQUf0/edit?usp=share_link"",""แม่ฮ่องสอน!i110"")+IMPORTRANGE(""https://docs.google.com/spreadsheets/d/1p7ERhsr0qZeSn-KSOdeHS9r0heI-lHtkcn2OH7hP0jQ/edit?usp=share_link"",""ลำปาง!"&amp;"i110"")+IMPORTRANGE(""https://docs.google.com/spreadsheets/d/1-uUXvimVhiU2U0bMN-xi2te0tS4X7DI2GLPnMjzl8cA/edit?usp=share_link"",""ลำพูน!i110"")+IMPORTRANGE(""https://docs.google.com/spreadsheets/d/17HrOaa5pBUI1onckFfumXB8xlg35qb2uBAFfF1D-Myo/edit?usp=shar"&amp;"e_link"",""สุโขทัย!i110"")+IMPORTRANGE(""https://docs.google.com/spreadsheets/d/1ubs5cl16eYL9gHbdHTJtmtYb9MGzHBs7CAphn8kNCgM/edit?usp=share_link"",""อุตรดิตถ์!i110"")+IMPORTRANGE(""https://docs.google.com/spreadsheets/d/1kII0BjS6CtVrBvI8IrytgPdxDrlyQDyigz"&amp;"MsohRtDMs/edit?usp=share_link"",""อุทัยธานี!i110"")
"),16)</f>
        <v>16</v>
      </c>
      <c r="J110" s="183">
        <f ca="1">IFERROR(__xludf.DUMMYFUNCTION("IMPORTRANGE(""https://docs.google.com/spreadsheets/d/1KxicF4apzSqm0-jIpmueT4kyZtE-Cwn5zskl7GD4loQ/edit?usp=share_link"",""กำแพงเพชร!J78"")+IMPORTRANGE(""https://docs.google.com/spreadsheets/d/1ZNYWeiFoFA1K1U4xKWqRX29MBvEyRHXORjo734Gnq_c/edit?usp=share_lin"&amp;"k"",""เชียงราย!J78"")
+IMPORTRANGE(""https://docs.google.com/spreadsheets/d/1Jgv0Y7YlHDtsiDawwp-uvifEJ8HVaSn0k2aGHG8-hwM/edit?usp=share_link"",""เชียงใหม่!J78"")+IMPORTRANGE(""https://docs.google.com/spreadsheets/d/1JWG2rZePOz9pe-f-ObA-yDr0VoOX2kSb0qIix2m"&amp;"TUo8/edit?usp=share_link"",""ตาก!J78"")+IMPORTRANGE(""https://docs.google.com/spreadsheets/d/10nSRjK08hx8Y6HgSOQKNw81lyY46Zc7U_Cj72hBMp9U/edit?usp=share_link"",""นครสวรรค์!J78"")+IMPORTRANGE(""https://docs.google.com/spreadsheets/d/1gFVb7qd7amutrIxAAoM7lc"&amp;"y35hllxznovot8lyOfvDo/edit?usp=share_link"",""น่าน!J78"")+IMPORTRANGE(""https://docs.google.com/spreadsheets/d/1K0Aa9s-6EuHE5M0FG1F9aHLXRCOV917xvycTdLdct0w/edit?usp=share_link"",""พะเยา!J78"")+IMPORTRANGE(""https://docs.google.com/spreadsheets/d/1Y9LPKx95"&amp;"PyL5OKy09d-KbKJSuuEZCFdkhYjwC0XQjBA/edit?usp=share_link"",""พิจิตร!J78"")+IMPORTRANGE(""https://docs.google.com/spreadsheets/d/16OMuOwy2eVqZcYWOouQtTpa8X1L23h4660uVHc0C8os/edit?usp=share_link"",""พิษณุโลก!J78"")+IMPORTRANGE(""https://docs.google.com/sprea"&amp;"dsheets/d/1GfgTldLG6k77HXaMQzaafODklYuucJZQNs_GAPEfZyY/edit?usp=share_link"",""เพชรบูรณ์!J78"")+IMPORTRANGE(""https://docs.google.com/spreadsheets/d/1gvTMYAnm7v1yG1BKWFtr0DnaTsq59oW9dwWvFgq6hs0/edit?usp=share_link"",""แพร่!J78"")+IMPORTRANGE(""https://doc"&amp;"s.google.com/spreadsheets/d/1Wbcosgy-Xa1xXUArJSOenub6EfZHUSzc_bpJFWwQUf0/edit?usp=share_link"",""แม่ฮ่องสอน!J78"")+IMPORTRANGE(""https://docs.google.com/spreadsheets/d/1p7ERhsr0qZeSn-KSOdeHS9r0heI-lHtkcn2OH7hP0jQ/edit?usp=share_link"",""ลำปาง!J78"")+IMPOR"&amp;"TRANGE(""https://docs.google.com/spreadsheets/d/1-uUXvimVhiU2U0bMN-xi2te0tS4X7DI2GLPnMjzl8cA/edit?usp=share_link"",""ลำพูน!J78"")+IMPORTRANGE(""https://docs.google.com/spreadsheets/d/17HrOaa5pBUI1onckFfumXB8xlg35qb2uBAFfF1D-Myo/edit?usp=share_link"",""สุโ"&amp;"ขทัย!J78"")+IMPORTRANGE(""https://docs.google.com/spreadsheets/d/1ubs5cl16eYL9gHbdHTJtmtYb9MGzHBs7CAphn8kNCgM/edit?usp=share_link"",""อุตรดิตถ์!J78"")+IMPORTRANGE(""https://docs.google.com/spreadsheets/d/1kII0BjS6CtVrBvI8IrytgPdxDrlyQDyigzMsohRtDMs/edit?u"&amp;"sp=share_link"",""อุทัยธานี!J78"")
"),2)</f>
        <v>2</v>
      </c>
      <c r="K110" s="38">
        <f t="shared" ca="1" si="75"/>
        <v>12.5</v>
      </c>
      <c r="L110" s="38"/>
      <c r="M110" s="38"/>
      <c r="N110" s="38"/>
      <c r="O110" s="163"/>
      <c r="P110" s="163"/>
    </row>
    <row r="111" spans="1:16" ht="19.5">
      <c r="A111" s="170"/>
      <c r="B111" s="171"/>
      <c r="C111" s="171"/>
      <c r="D111" s="186" t="s">
        <v>59</v>
      </c>
      <c r="E111" s="191"/>
      <c r="F111" s="178"/>
      <c r="G111" s="179"/>
      <c r="H111" s="192" t="s">
        <v>35</v>
      </c>
      <c r="I111" s="193">
        <f ca="1">IFERROR(__xludf.DUMMYFUNCTION("IMPORTRANGE(""https://docs.google.com/spreadsheets/d/1KxicF4apzSqm0-jIpmueT4kyZtE-Cwn5zskl7GD4loQ/edit?usp=share_link"",""กำแพงเพชร!i111"")+IMPORTRANGE(""https://docs.google.com/spreadsheets/d/1ZNYWeiFoFA1K1U4xKWqRX29MBvEyRHXORjo734Gnq_c/edit?usp=share_li"&amp;"nk"",""เชียงราย!i111"")
+IMPORTRANGE(""https://docs.google.com/spreadsheets/d/1Jgv0Y7YlHDtsiDawwp-uvifEJ8HVaSn0k2aGHG8-hwM/edit?usp=share_link"",""เชียงใหม่!i111"")+IMPORTRANGE(""https://docs.google.com/spreadsheets/d/1JWG2rZePOz9pe-f-ObA-yDr0VoOX2kSb0qIi"&amp;"x2mTUo8/edit?usp=share_link"",""ตาก!i111"")+IMPORTRANGE(""https://docs.google.com/spreadsheets/d/10nSRjK08hx8Y6HgSOQKNw81lyY46Zc7U_Cj72hBMp9U/edit?usp=share_link"",""นครสวรรค์!i111"")+IMPORTRANGE(""https://docs.google.com/spreadsheets/d/1gFVb7qd7amutrIxAA"&amp;"oM7lcy35hllxznovot8lyOfvDo/edit?usp=share_link"",""น่าน!i111"")+IMPORTRANGE(""https://docs.google.com/spreadsheets/d/1K0Aa9s-6EuHE5M0FG1F9aHLXRCOV917xvycTdLdct0w/edit?usp=share_link"",""พะเยา!i111"")+IMPORTRANGE(""https://docs.google.com/spreadsheets/d/1Y"&amp;"9LPKx95PyL5OKy09d-KbKJSuuEZCFdkhYjwC0XQjBA/edit?usp=share_link"",""พิจิตร!i111"")+IMPORTRANGE(""https://docs.google.com/spreadsheets/d/16OMuOwy2eVqZcYWOouQtTpa8X1L23h4660uVHc0C8os/edit?usp=share_link"",""พิษณุโลก!i111"")+IMPORTRANGE(""https://docs.google."&amp;"com/spreadsheets/d/1GfgTldLG6k77HXaMQzaafODklYuucJZQNs_GAPEfZyY/edit?usp=share_link"",""เพชรบูรณ์!i111"")+IMPORTRANGE(""https://docs.google.com/spreadsheets/d/1gvTMYAnm7v1yG1BKWFtr0DnaTsq59oW9dwWvFgq6hs0/edit?usp=share_link"",""แพร่!i111"")+IMPORTRANGE("""&amp;"https://docs.google.com/spreadsheets/d/1Wbcosgy-Xa1xXUArJSOenub6EfZHUSzc_bpJFWwQUf0/edit?usp=share_link"",""แม่ฮ่องสอน!i111"")+IMPORTRANGE(""https://docs.google.com/spreadsheets/d/1p7ERhsr0qZeSn-KSOdeHS9r0heI-lHtkcn2OH7hP0jQ/edit?usp=share_link"",""ลำปาง!"&amp;"i111"")+IMPORTRANGE(""https://docs.google.com/spreadsheets/d/1-uUXvimVhiU2U0bMN-xi2te0tS4X7DI2GLPnMjzl8cA/edit?usp=share_link"",""ลำพูน!i111"")+IMPORTRANGE(""https://docs.google.com/spreadsheets/d/17HrOaa5pBUI1onckFfumXB8xlg35qb2uBAFfF1D-Myo/edit?usp=shar"&amp;"e_link"",""สุโขทัย!i111"")+IMPORTRANGE(""https://docs.google.com/spreadsheets/d/1ubs5cl16eYL9gHbdHTJtmtYb9MGzHBs7CAphn8kNCgM/edit?usp=share_link"",""อุตรดิตถ์!i111"")+IMPORTRANGE(""https://docs.google.com/spreadsheets/d/1kII0BjS6CtVrBvI8IrytgPdxDrlyQDyigz"&amp;"MsohRtDMs/edit?usp=share_link"",""อุทัยธานี!i111"")
"),325)</f>
        <v>325</v>
      </c>
      <c r="J111" s="194">
        <f ca="1">J114</f>
        <v>2</v>
      </c>
      <c r="K111" s="195">
        <f t="shared" ca="1" si="75"/>
        <v>0.61538461538461542</v>
      </c>
      <c r="L111" s="38"/>
      <c r="M111" s="38"/>
      <c r="N111" s="38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76">I115+I116</f>
        <v>30</v>
      </c>
      <c r="J112" s="194">
        <f t="shared" ca="1" si="76"/>
        <v>0</v>
      </c>
      <c r="K112" s="195">
        <f t="shared" ca="1" si="75"/>
        <v>0</v>
      </c>
      <c r="L112" s="38"/>
      <c r="M112" s="38"/>
      <c r="N112" s="38"/>
      <c r="O112" s="163"/>
      <c r="P112" s="163"/>
    </row>
    <row r="113" spans="1:26" ht="19.5">
      <c r="A113" s="170"/>
      <c r="B113" s="171"/>
      <c r="C113" s="171"/>
      <c r="D113" s="171"/>
      <c r="E113" s="197" t="s">
        <v>60</v>
      </c>
      <c r="F113" s="178"/>
      <c r="G113" s="179"/>
      <c r="H113" s="198" t="s">
        <v>35</v>
      </c>
      <c r="I113" s="162">
        <f ca="1">IFERROR(__xludf.DUMMYFUNCTION("IMPORTRANGE(""https://docs.google.com/spreadsheets/d/1KxicF4apzSqm0-jIpmueT4kyZtE-Cwn5zskl7GD4loQ/edit?usp=share_link"",""กำแพงเพชร!i113"")+IMPORTRANGE(""https://docs.google.com/spreadsheets/d/1ZNYWeiFoFA1K1U4xKWqRX29MBvEyRHXORjo734Gnq_c/edit?usp=share_li"&amp;"nk"",""เชียงราย!i113"")
+IMPORTRANGE(""https://docs.google.com/spreadsheets/d/1Jgv0Y7YlHDtsiDawwp-uvifEJ8HVaSn0k2aGHG8-hwM/edit?usp=share_link"",""เชียงใหม่!i113"")+IMPORTRANGE(""https://docs.google.com/spreadsheets/d/1JWG2rZePOz9pe-f-ObA-yDr0VoOX2kSb0qIi"&amp;"x2mTUo8/edit?usp=share_link"",""ตาก!i113"")+IMPORTRANGE(""https://docs.google.com/spreadsheets/d/10nSRjK08hx8Y6HgSOQKNw81lyY46Zc7U_Cj72hBMp9U/edit?usp=share_link"",""นครสวรรค์!i113"")+IMPORTRANGE(""https://docs.google.com/spreadsheets/d/1gFVb7qd7amutrIxAA"&amp;"oM7lcy35hllxznovot8lyOfvDo/edit?usp=share_link"",""น่าน!i113"")+IMPORTRANGE(""https://docs.google.com/spreadsheets/d/1K0Aa9s-6EuHE5M0FG1F9aHLXRCOV917xvycTdLdct0w/edit?usp=share_link"",""พะเยา!i113"")+IMPORTRANGE(""https://docs.google.com/spreadsheets/d/1Y"&amp;"9LPKx95PyL5OKy09d-KbKJSuuEZCFdkhYjwC0XQjBA/edit?usp=share_link"",""พิจิตร!i113"")+IMPORTRANGE(""https://docs.google.com/spreadsheets/d/16OMuOwy2eVqZcYWOouQtTpa8X1L23h4660uVHc0C8os/edit?usp=share_link"",""พิษณุโลก!i113"")+IMPORTRANGE(""https://docs.google."&amp;"com/spreadsheets/d/1GfgTldLG6k77HXaMQzaafODklYuucJZQNs_GAPEfZyY/edit?usp=share_link"",""เพชรบูรณ์!i113"")+IMPORTRANGE(""https://docs.google.com/spreadsheets/d/1gvTMYAnm7v1yG1BKWFtr0DnaTsq59oW9dwWvFgq6hs0/edit?usp=share_link"",""แพร่!i113"")+IMPORTRANGE("""&amp;"https://docs.google.com/spreadsheets/d/1Wbcosgy-Xa1xXUArJSOenub6EfZHUSzc_bpJFWwQUf0/edit?usp=share_link"",""แม่ฮ่องสอน!i113"")+IMPORTRANGE(""https://docs.google.com/spreadsheets/d/1p7ERhsr0qZeSn-KSOdeHS9r0heI-lHtkcn2OH7hP0jQ/edit?usp=share_link"",""ลำปาง!"&amp;"i113"")+IMPORTRANGE(""https://docs.google.com/spreadsheets/d/1-uUXvimVhiU2U0bMN-xi2te0tS4X7DI2GLPnMjzl8cA/edit?usp=share_link"",""ลำพูน!i113"")+IMPORTRANGE(""https://docs.google.com/spreadsheets/d/17HrOaa5pBUI1onckFfumXB8xlg35qb2uBAFfF1D-Myo/edit?usp=shar"&amp;"e_link"",""สุโขทัย!i113"")+IMPORTRANGE(""https://docs.google.com/spreadsheets/d/1ubs5cl16eYL9gHbdHTJtmtYb9MGzHBs7CAphn8kNCgM/edit?usp=share_link"",""อุตรดิตถ์!i113"")+IMPORTRANGE(""https://docs.google.com/spreadsheets/d/1kII0BjS6CtVrBvI8IrytgPdxDrlyQDyigz"&amp;"MsohRtDMs/edit?usp=share_link"",""อุทัยธานี!i113"")
"),325)</f>
        <v>325</v>
      </c>
      <c r="J113" s="183">
        <f ca="1">IFERROR(__xludf.DUMMYFUNCTION("IMPORTRANGE(""https://docs.google.com/spreadsheets/d/1KxicF4apzSqm0-jIpmueT4kyZtE-Cwn5zskl7GD4loQ/edit?usp=share_link"",""กำแพงเพชร!J113"")+IMPORTRANGE(""https://docs.google.com/spreadsheets/d/1ZNYWeiFoFA1K1U4xKWqRX29MBvEyRHXORjo734Gnq_c/edit?usp=share_li"&amp;"nk"",""เชียงราย!J113"")
+IMPORTRANGE(""https://docs.google.com/spreadsheets/d/1Jgv0Y7YlHDtsiDawwp-uvifEJ8HVaSn0k2aGHG8-hwM/edit?usp=share_link"",""เชียงใหม่!J113"")+IMPORTRANGE(""https://docs.google.com/spreadsheets/d/1JWG2rZePOz9pe-f-ObA-yDr0VoOX2kSb0qIi"&amp;"x2mTUo8/edit?usp=share_link"",""ตาก!J113"")+IMPORTRANGE(""https://docs.google.com/spreadsheets/d/10nSRjK08hx8Y6HgSOQKNw81lyY46Zc7U_Cj72hBMp9U/edit?usp=share_link"",""นครสวรรค์!J113"")+IMPORTRANGE(""https://docs.google.com/spreadsheets/d/1gFVb7qd7amutrIxAA"&amp;"oM7lcy35hllxznovot8lyOfvDo/edit?usp=share_link"",""น่าน!J113"")+IMPORTRANGE(""https://docs.google.com/spreadsheets/d/1K0Aa9s-6EuHE5M0FG1F9aHLXRCOV917xvycTdLdct0w/edit?usp=share_link"",""พะเยา!J113"")+IMPORTRANGE(""https://docs.google.com/spreadsheets/d/1Y"&amp;"9LPKx95PyL5OKy09d-KbKJSuuEZCFdkhYjwC0XQjBA/edit?usp=share_link"",""พิจิตร!J113"")+IMPORTRANGE(""https://docs.google.com/spreadsheets/d/16OMuOwy2eVqZcYWOouQtTpa8X1L23h4660uVHc0C8os/edit?usp=share_link"",""พิษณุโลก!J113"")+IMPORTRANGE(""https://docs.google."&amp;"com/spreadsheets/d/1GfgTldLG6k77HXaMQzaafODklYuucJZQNs_GAPEfZyY/edit?usp=share_link"",""เพชรบูรณ์!J113"")+IMPORTRANGE(""https://docs.google.com/spreadsheets/d/1gvTMYAnm7v1yG1BKWFtr0DnaTsq59oW9dwWvFgq6hs0/edit?usp=share_link"",""แพร่!J113"")+IMPORTRANGE("""&amp;"https://docs.google.com/spreadsheets/d/1Wbcosgy-Xa1xXUArJSOenub6EfZHUSzc_bpJFWwQUf0/edit?usp=share_link"",""แม่ฮ่องสอน!J113"")+IMPORTRANGE(""https://docs.google.com/spreadsheets/d/1p7ERhsr0qZeSn-KSOdeHS9r0heI-lHtkcn2OH7hP0jQ/edit?usp=share_link"",""ลำปาง!"&amp;"J113"")+IMPORTRANGE(""https://docs.google.com/spreadsheets/d/1-uUXvimVhiU2U0bMN-xi2te0tS4X7DI2GLPnMjzl8cA/edit?usp=share_link"",""ลำพูน!J113"")+IMPORTRANGE(""https://docs.google.com/spreadsheets/d/17HrOaa5pBUI1onckFfumXB8xlg35qb2uBAFfF1D-Myo/edit?usp=shar"&amp;"e_link"",""สุโขทัย!J113"")+IMPORTRANGE(""https://docs.google.com/spreadsheets/d/1ubs5cl16eYL9gHbdHTJtmtYb9MGzHBs7CAphn8kNCgM/edit?usp=share_link"",""อุตรดิตถ์!J113"")+IMPORTRANGE(""https://docs.google.com/spreadsheets/d/1kII0BjS6CtVrBvI8IrytgPdxDrlyQDyigz"&amp;"MsohRtDMs/edit?usp=share_link"",""อุทัยธานี!J113"")
"),0)</f>
        <v>0</v>
      </c>
      <c r="K113" s="38">
        <f t="shared" ca="1" si="75"/>
        <v>0</v>
      </c>
      <c r="L113" s="38"/>
      <c r="M113" s="38"/>
      <c r="N113" s="38"/>
      <c r="O113" s="163"/>
      <c r="P113" s="163"/>
    </row>
    <row r="114" spans="1:26" ht="19.5">
      <c r="A114" s="170"/>
      <c r="B114" s="171"/>
      <c r="C114" s="171"/>
      <c r="D114" s="171"/>
      <c r="E114" s="181" t="s">
        <v>61</v>
      </c>
      <c r="F114" s="178"/>
      <c r="G114" s="179"/>
      <c r="H114" s="199" t="s">
        <v>35</v>
      </c>
      <c r="I114" s="162">
        <f ca="1">IFERROR(__xludf.DUMMYFUNCTION("IMPORTRANGE(""https://docs.google.com/spreadsheets/d/1KxicF4apzSqm0-jIpmueT4kyZtE-Cwn5zskl7GD4loQ/edit?usp=share_link"",""กำแพงเพชร!I78"")+IMPORTRANGE(""https://docs.google.com/spreadsheets/d/1ZNYWeiFoFA1K1U4xKWqRX29MBvEyRHXORjo734Gnq_c/edit?usp=share_lin"&amp;"k"",""เชียงราย!I78"")
+IMPORTRANGE(""https://docs.google.com/spreadsheets/d/1Jgv0Y7YlHDtsiDawwp-uvifEJ8HVaSn0k2aGHG8-hwM/edit?usp=share_link"",""เชียงใหม่!I78"")+IMPORTRANGE(""https://docs.google.com/spreadsheets/d/1JWG2rZePOz9pe-f-ObA-yDr0VoOX2kSb0qIix2m"&amp;"TUo8/edit?usp=share_link"",""ตาก!I78"")+IMPORTRANGE(""https://docs.google.com/spreadsheets/d/10nSRjK08hx8Y6HgSOQKNw81lyY46Zc7U_Cj72hBMp9U/edit?usp=share_link"",""นครสวรรค์!I78"")+IMPORTRANGE(""https://docs.google.com/spreadsheets/d/1gFVb7qd7amutrIxAAoM7lc"&amp;"y35hllxznovot8lyOfvDo/edit?usp=share_link"",""น่าน!I78"")+IMPORTRANGE(""https://docs.google.com/spreadsheets/d/1K0Aa9s-6EuHE5M0FG1F9aHLXRCOV917xvycTdLdct0w/edit?usp=share_link"",""พะเยา!I78"")+IMPORTRANGE(""https://docs.google.com/spreadsheets/d/1Y9LPKx95"&amp;"PyL5OKy09d-KbKJSuuEZCFdkhYjwC0XQjBA/edit?usp=share_link"",""พิจิตร!I78"")+IMPORTRANGE(""https://docs.google.com/spreadsheets/d/16OMuOwy2eVqZcYWOouQtTpa8X1L23h4660uVHc0C8os/edit?usp=share_link"",""พิษณุโลก!I78"")+IMPORTRANGE(""https://docs.google.com/sprea"&amp;"dsheets/d/1GfgTldLG6k77HXaMQzaafODklYuucJZQNs_GAPEfZyY/edit?usp=share_link"",""เพชรบูรณ์!I78"")+IMPORTRANGE(""https://docs.google.com/spreadsheets/d/1gvTMYAnm7v1yG1BKWFtr0DnaTsq59oW9dwWvFgq6hs0/edit?usp=share_link"",""แพร่!I78"")+IMPORTRANGE(""https://doc"&amp;"s.google.com/spreadsheets/d/1Wbcosgy-Xa1xXUArJSOenub6EfZHUSzc_bpJFWwQUf0/edit?usp=share_link"",""แม่ฮ่องสอน!I78"")+IMPORTRANGE(""https://docs.google.com/spreadsheets/d/1p7ERhsr0qZeSn-KSOdeHS9r0heI-lHtkcn2OH7hP0jQ/edit?usp=share_link"",""ลำปาง!I78"")+IMPOR"&amp;"TRANGE(""https://docs.google.com/spreadsheets/d/1-uUXvimVhiU2U0bMN-xi2te0tS4X7DI2GLPnMjzl8cA/edit?usp=share_link"",""ลำพูน!I78"")+IMPORTRANGE(""https://docs.google.com/spreadsheets/d/17HrOaa5pBUI1onckFfumXB8xlg35qb2uBAFfF1D-Myo/edit?usp=share_link"",""สุโ"&amp;"ขทัย!I78"")+IMPORTRANGE(""https://docs.google.com/spreadsheets/d/1ubs5cl16eYL9gHbdHTJtmtYb9MGzHBs7CAphn8kNCgM/edit?usp=share_link"",""อุตรดิตถ์!I78"")+IMPORTRANGE(""https://docs.google.com/spreadsheets/d/1kII0BjS6CtVrBvI8IrytgPdxDrlyQDyigzMsohRtDMs/edit?u"&amp;"sp=share_link"",""อุทัยธานี!I78"")
"),4)</f>
        <v>4</v>
      </c>
      <c r="J114" s="183">
        <f ca="1">IFERROR(__xludf.DUMMYFUNCTION("IMPORTRANGE(""https://docs.google.com/spreadsheets/d/1KxicF4apzSqm0-jIpmueT4kyZtE-Cwn5zskl7GD4loQ/edit?usp=share_link"",""กำแพงเพชร!J78"")+IMPORTRANGE(""https://docs.google.com/spreadsheets/d/1ZNYWeiFoFA1K1U4xKWqRX29MBvEyRHXORjo734Gnq_c/edit?usp=share_lin"&amp;"k"",""เชียงราย!J78"")
+IMPORTRANGE(""https://docs.google.com/spreadsheets/d/1Jgv0Y7YlHDtsiDawwp-uvifEJ8HVaSn0k2aGHG8-hwM/edit?usp=share_link"",""เชียงใหม่!J78"")+IMPORTRANGE(""https://docs.google.com/spreadsheets/d/1JWG2rZePOz9pe-f-ObA-yDr0VoOX2kSb0qIix2m"&amp;"TUo8/edit?usp=share_link"",""ตาก!J78"")+IMPORTRANGE(""https://docs.google.com/spreadsheets/d/10nSRjK08hx8Y6HgSOQKNw81lyY46Zc7U_Cj72hBMp9U/edit?usp=share_link"",""นครสวรรค์!J78"")+IMPORTRANGE(""https://docs.google.com/spreadsheets/d/1gFVb7qd7amutrIxAAoM7lc"&amp;"y35hllxznovot8lyOfvDo/edit?usp=share_link"",""น่าน!J78"")+IMPORTRANGE(""https://docs.google.com/spreadsheets/d/1K0Aa9s-6EuHE5M0FG1F9aHLXRCOV917xvycTdLdct0w/edit?usp=share_link"",""พะเยา!J78"")+IMPORTRANGE(""https://docs.google.com/spreadsheets/d/1Y9LPKx95"&amp;"PyL5OKy09d-KbKJSuuEZCFdkhYjwC0XQjBA/edit?usp=share_link"",""พิจิตร!J78"")+IMPORTRANGE(""https://docs.google.com/spreadsheets/d/16OMuOwy2eVqZcYWOouQtTpa8X1L23h4660uVHc0C8os/edit?usp=share_link"",""พิษณุโลก!J78"")+IMPORTRANGE(""https://docs.google.com/sprea"&amp;"dsheets/d/1GfgTldLG6k77HXaMQzaafODklYuucJZQNs_GAPEfZyY/edit?usp=share_link"",""เพชรบูรณ์!J78"")+IMPORTRANGE(""https://docs.google.com/spreadsheets/d/1gvTMYAnm7v1yG1BKWFtr0DnaTsq59oW9dwWvFgq6hs0/edit?usp=share_link"",""แพร่!J78"")+IMPORTRANGE(""https://doc"&amp;"s.google.com/spreadsheets/d/1Wbcosgy-Xa1xXUArJSOenub6EfZHUSzc_bpJFWwQUf0/edit?usp=share_link"",""แม่ฮ่องสอน!J78"")+IMPORTRANGE(""https://docs.google.com/spreadsheets/d/1p7ERhsr0qZeSn-KSOdeHS9r0heI-lHtkcn2OH7hP0jQ/edit?usp=share_link"",""ลำปาง!J78"")+IMPOR"&amp;"TRANGE(""https://docs.google.com/spreadsheets/d/1-uUXvimVhiU2U0bMN-xi2te0tS4X7DI2GLPnMjzl8cA/edit?usp=share_link"",""ลำพูน!J78"")+IMPORTRANGE(""https://docs.google.com/spreadsheets/d/17HrOaa5pBUI1onckFfumXB8xlg35qb2uBAFfF1D-Myo/edit?usp=share_link"",""สุโ"&amp;"ขทัย!J78"")+IMPORTRANGE(""https://docs.google.com/spreadsheets/d/1ubs5cl16eYL9gHbdHTJtmtYb9MGzHBs7CAphn8kNCgM/edit?usp=share_link"",""อุตรดิตถ์!J78"")+IMPORTRANGE(""https://docs.google.com/spreadsheets/d/1kII0BjS6CtVrBvI8IrytgPdxDrlyQDyigzMsohRtDMs/edit?u"&amp;"sp=share_link"",""อุทัยธานี!J78"")
"),2)</f>
        <v>2</v>
      </c>
      <c r="K114" s="38">
        <f t="shared" ca="1" si="75"/>
        <v>50</v>
      </c>
      <c r="L114" s="38"/>
      <c r="M114" s="38"/>
      <c r="N114" s="38"/>
      <c r="O114" s="163"/>
      <c r="P114" s="163"/>
    </row>
    <row r="115" spans="1:26" ht="18.75">
      <c r="A115" s="170"/>
      <c r="B115" s="171"/>
      <c r="C115" s="171"/>
      <c r="D115" s="171"/>
      <c r="E115" s="181" t="s">
        <v>62</v>
      </c>
      <c r="F115" s="178"/>
      <c r="G115" s="179"/>
      <c r="H115" s="199" t="s">
        <v>49</v>
      </c>
      <c r="I115" s="162">
        <f ca="1">IFERROR(__xludf.DUMMYFUNCTION("IMPORTRANGE(""https://docs.google.com/spreadsheets/d/1KxicF4apzSqm0-jIpmueT4kyZtE-Cwn5zskl7GD4loQ/edit?usp=share_link"",""กำแพงเพชร!I115"")+IMPORTRANGE(""https://docs.google.com/spreadsheets/d/1ZNYWeiFoFA1K1U4xKWqRX29MBvEyRHXORjo734Gnq_c/edit?usp=share_li"&amp;"nk"",""เชียงราย!I115"")
+IMPORTRANGE(""https://docs.google.com/spreadsheets/d/1Jgv0Y7YlHDtsiDawwp-uvifEJ8HVaSn0k2aGHG8-hwM/edit?usp=share_link"",""เชียงใหม่!I115"")+IMPORTRANGE(""https://docs.google.com/spreadsheets/d/1JWG2rZePOz9pe-f-ObA-yDr0VoOX2kSb0qIi"&amp;"x2mTUo8/edit?usp=share_link"",""ตาก!I115"")+IMPORTRANGE(""https://docs.google.com/spreadsheets/d/10nSRjK08hx8Y6HgSOQKNw81lyY46Zc7U_Cj72hBMp9U/edit?usp=share_link"",""นครสวรรค์!I115"")+IMPORTRANGE(""https://docs.google.com/spreadsheets/d/1gFVb7qd7amutrIxAA"&amp;"oM7lcy35hllxznovot8lyOfvDo/edit?usp=share_link"",""น่าน!I115"")+IMPORTRANGE(""https://docs.google.com/spreadsheets/d/1K0Aa9s-6EuHE5M0FG1F9aHLXRCOV917xvycTdLdct0w/edit?usp=share_link"",""พะเยา!I115"")+IMPORTRANGE(""https://docs.google.com/spreadsheets/d/1Y"&amp;"9LPKx95PyL5OKy09d-KbKJSuuEZCFdkhYjwC0XQjBA/edit?usp=share_link"",""พิจิตร!I115"")+IMPORTRANGE(""https://docs.google.com/spreadsheets/d/16OMuOwy2eVqZcYWOouQtTpa8X1L23h4660uVHc0C8os/edit?usp=share_link"",""พิษณุโลก!I115"")+IMPORTRANGE(""https://docs.google."&amp;"com/spreadsheets/d/1GfgTldLG6k77HXaMQzaafODklYuucJZQNs_GAPEfZyY/edit?usp=share_link"",""เพชรบูรณ์!I115"")+IMPORTRANGE(""https://docs.google.com/spreadsheets/d/1gvTMYAnm7v1yG1BKWFtr0DnaTsq59oW9dwWvFgq6hs0/edit?usp=share_link"",""แพร่!I115"")+IMPORTRANGE("""&amp;"https://docs.google.com/spreadsheets/d/1Wbcosgy-Xa1xXUArJSOenub6EfZHUSzc_bpJFWwQUf0/edit?usp=share_link"",""แม่ฮ่องสอน!I115"")+IMPORTRANGE(""https://docs.google.com/spreadsheets/d/1p7ERhsr0qZeSn-KSOdeHS9r0heI-lHtkcn2OH7hP0jQ/edit?usp=share_link"",""ลำปาง!"&amp;"I115"")+IMPORTRANGE(""https://docs.google.com/spreadsheets/d/1-uUXvimVhiU2U0bMN-xi2te0tS4X7DI2GLPnMjzl8cA/edit?usp=share_link"",""ลำพูน!I115"")+IMPORTRANGE(""https://docs.google.com/spreadsheets/d/17HrOaa5pBUI1onckFfumXB8xlg35qb2uBAFfF1D-Myo/edit?usp=shar"&amp;"e_link"",""สุโขทัย!I115"")+IMPORTRANGE(""https://docs.google.com/spreadsheets/d/1ubs5cl16eYL9gHbdHTJtmtYb9MGzHBs7CAphn8kNCgM/edit?usp=share_link"",""อุตรดิตถ์!I115"")+IMPORTRANGE(""https://docs.google.com/spreadsheets/d/1kII0BjS6CtVrBvI8IrytgPdxDrlyQDyigz"&amp;"MsohRtDMs/edit?usp=share_link"",""อุทัยธานี!I115"")
"),14)</f>
        <v>14</v>
      </c>
      <c r="J115" s="183">
        <f ca="1">IFERROR(__xludf.DUMMYFUNCTION("IMPORTRANGE(""https://docs.google.com/spreadsheets/d/1KxicF4apzSqm0-jIpmueT4kyZtE-Cwn5zskl7GD4loQ/edit?usp=share_link"",""กำแพงเพชร!J115"")+IMPORTRANGE(""https://docs.google.com/spreadsheets/d/1ZNYWeiFoFA1K1U4xKWqRX29MBvEyRHXORjo734Gnq_c/edit?usp=share_li"&amp;"nk"",""เชียงราย!J115"")
+IMPORTRANGE(""https://docs.google.com/spreadsheets/d/1Jgv0Y7YlHDtsiDawwp-uvifEJ8HVaSn0k2aGHG8-hwM/edit?usp=share_link"",""เชียงใหม่!J115"")+IMPORTRANGE(""https://docs.google.com/spreadsheets/d/1JWG2rZePOz9pe-f-ObA-yDr0VoOX2kSb0qIi"&amp;"x2mTUo8/edit?usp=share_link"",""ตาก!J115"")+IMPORTRANGE(""https://docs.google.com/spreadsheets/d/10nSRjK08hx8Y6HgSOQKNw81lyY46Zc7U_Cj72hBMp9U/edit?usp=share_link"",""นครสวรรค์!J115"")+IMPORTRANGE(""https://docs.google.com/spreadsheets/d/1gFVb7qd7amutrIxAA"&amp;"oM7lcy35hllxznovot8lyOfvDo/edit?usp=share_link"",""น่าน!J115"")+IMPORTRANGE(""https://docs.google.com/spreadsheets/d/1K0Aa9s-6EuHE5M0FG1F9aHLXRCOV917xvycTdLdct0w/edit?usp=share_link"",""พะเยา!J115"")+IMPORTRANGE(""https://docs.google.com/spreadsheets/d/1Y"&amp;"9LPKx95PyL5OKy09d-KbKJSuuEZCFdkhYjwC0XQjBA/edit?usp=share_link"",""พิจิตร!J115"")+IMPORTRANGE(""https://docs.google.com/spreadsheets/d/16OMuOwy2eVqZcYWOouQtTpa8X1L23h4660uVHc0C8os/edit?usp=share_link"",""พิษณุโลก!J115"")+IMPORTRANGE(""https://docs.google."&amp;"com/spreadsheets/d/1GfgTldLG6k77HXaMQzaafODklYuucJZQNs_GAPEfZyY/edit?usp=share_link"",""เพชรบูรณ์!J115"")+IMPORTRANGE(""https://docs.google.com/spreadsheets/d/1gvTMYAnm7v1yG1BKWFtr0DnaTsq59oW9dwWvFgq6hs0/edit?usp=share_link"",""แพร่!J115"")+IMPORTRANGE("""&amp;"https://docs.google.com/spreadsheets/d/1Wbcosgy-Xa1xXUArJSOenub6EfZHUSzc_bpJFWwQUf0/edit?usp=share_link"",""แม่ฮ่องสอน!J115"")+IMPORTRANGE(""https://docs.google.com/spreadsheets/d/1p7ERhsr0qZeSn-KSOdeHS9r0heI-lHtkcn2OH7hP0jQ/edit?usp=share_link"",""ลำปาง!"&amp;"J115"")+IMPORTRANGE(""https://docs.google.com/spreadsheets/d/1-uUXvimVhiU2U0bMN-xi2te0tS4X7DI2GLPnMjzl8cA/edit?usp=share_link"",""ลำพูน!J115"")+IMPORTRANGE(""https://docs.google.com/spreadsheets/d/17HrOaa5pBUI1onckFfumXB8xlg35qb2uBAFfF1D-Myo/edit?usp=shar"&amp;"e_link"",""สุโขทัย!J115"")+IMPORTRANGE(""https://docs.google.com/spreadsheets/d/1ubs5cl16eYL9gHbdHTJtmtYb9MGzHBs7CAphn8kNCgM/edit?usp=share_link"",""อุตรดิตถ์!J115"")+IMPORTRANGE(""https://docs.google.com/spreadsheets/d/1kII0BjS6CtVrBvI8IrytgPdxDrlyQDyigz"&amp;"MsohRtDMs/edit?usp=share_link"",""อุทัยธานี!J115"")
"),0)</f>
        <v>0</v>
      </c>
      <c r="K115" s="38">
        <f t="shared" ca="1" si="75"/>
        <v>0</v>
      </c>
      <c r="L115" s="38"/>
      <c r="M115" s="38"/>
      <c r="N115" s="38"/>
      <c r="O115" s="163"/>
      <c r="P115" s="163"/>
    </row>
    <row r="116" spans="1:26" ht="18.75">
      <c r="A116" s="170"/>
      <c r="B116" s="171"/>
      <c r="C116" s="171"/>
      <c r="D116" s="171"/>
      <c r="E116" s="181" t="s">
        <v>63</v>
      </c>
      <c r="F116" s="178"/>
      <c r="G116" s="179"/>
      <c r="H116" s="199" t="s">
        <v>49</v>
      </c>
      <c r="I116" s="162">
        <f ca="1">IFERROR(__xludf.DUMMYFUNCTION("IMPORTRANGE(""https://docs.google.com/spreadsheets/d/1KxicF4apzSqm0-jIpmueT4kyZtE-Cwn5zskl7GD4loQ/edit?usp=share_link"",""กำแพงเพชร!I116"")+IMPORTRANGE(""https://docs.google.com/spreadsheets/d/1ZNYWeiFoFA1K1U4xKWqRX29MBvEyRHXORjo734Gnq_c/edit?usp=share_li"&amp;"nk"",""เชียงราย!I116"")
+IMPORTRANGE(""https://docs.google.com/spreadsheets/d/1Jgv0Y7YlHDtsiDawwp-uvifEJ8HVaSn0k2aGHG8-hwM/edit?usp=share_link"",""เชียงใหม่!I116"")+IMPORTRANGE(""https://docs.google.com/spreadsheets/d/1JWG2rZePOz9pe-f-ObA-yDr0VoOX2kSb0qIi"&amp;"x2mTUo8/edit?usp=share_link"",""ตาก!I116"")+IMPORTRANGE(""https://docs.google.com/spreadsheets/d/10nSRjK08hx8Y6HgSOQKNw81lyY46Zc7U_Cj72hBMp9U/edit?usp=share_link"",""นครสวรรค์!I116"")+IMPORTRANGE(""https://docs.google.com/spreadsheets/d/1gFVb7qd7amutrIxAA"&amp;"oM7lcy35hllxznovot8lyOfvDo/edit?usp=share_link"",""น่าน!I116"")+IMPORTRANGE(""https://docs.google.com/spreadsheets/d/1K0Aa9s-6EuHE5M0FG1F9aHLXRCOV917xvycTdLdct0w/edit?usp=share_link"",""พะเยา!I116"")+IMPORTRANGE(""https://docs.google.com/spreadsheets/d/1Y"&amp;"9LPKx95PyL5OKy09d-KbKJSuuEZCFdkhYjwC0XQjBA/edit?usp=share_link"",""พิจิตร!I116"")+IMPORTRANGE(""https://docs.google.com/spreadsheets/d/16OMuOwy2eVqZcYWOouQtTpa8X1L23h4660uVHc0C8os/edit?usp=share_link"",""พิษณุโลก!I116"")+IMPORTRANGE(""https://docs.google."&amp;"com/spreadsheets/d/1GfgTldLG6k77HXaMQzaafODklYuucJZQNs_GAPEfZyY/edit?usp=share_link"",""เพชรบูรณ์!I116"")+IMPORTRANGE(""https://docs.google.com/spreadsheets/d/1gvTMYAnm7v1yG1BKWFtr0DnaTsq59oW9dwWvFgq6hs0/edit?usp=share_link"",""แพร่!I116"")+IMPORTRANGE("""&amp;"https://docs.google.com/spreadsheets/d/1Wbcosgy-Xa1xXUArJSOenub6EfZHUSzc_bpJFWwQUf0/edit?usp=share_link"",""แม่ฮ่องสอน!I116"")+IMPORTRANGE(""https://docs.google.com/spreadsheets/d/1p7ERhsr0qZeSn-KSOdeHS9r0heI-lHtkcn2OH7hP0jQ/edit?usp=share_link"",""ลำปาง!"&amp;"I116"")+IMPORTRANGE(""https://docs.google.com/spreadsheets/d/1-uUXvimVhiU2U0bMN-xi2te0tS4X7DI2GLPnMjzl8cA/edit?usp=share_link"",""ลำพูน!I116"")+IMPORTRANGE(""https://docs.google.com/spreadsheets/d/17HrOaa5pBUI1onckFfumXB8xlg35qb2uBAFfF1D-Myo/edit?usp=shar"&amp;"e_link"",""สุโขทัย!I116"")+IMPORTRANGE(""https://docs.google.com/spreadsheets/d/1ubs5cl16eYL9gHbdHTJtmtYb9MGzHBs7CAphn8kNCgM/edit?usp=share_link"",""อุตรดิตถ์!I116"")+IMPORTRANGE(""https://docs.google.com/spreadsheets/d/1kII0BjS6CtVrBvI8IrytgPdxDrlyQDyigz"&amp;"MsohRtDMs/edit?usp=share_link"",""อุทัยธานี!I116"")
"),16)</f>
        <v>16</v>
      </c>
      <c r="J116" s="183">
        <f ca="1">IFERROR(__xludf.DUMMYFUNCTION("IMPORTRANGE(""https://docs.google.com/spreadsheets/d/1KxicF4apzSqm0-jIpmueT4kyZtE-Cwn5zskl7GD4loQ/edit?usp=share_link"",""กำแพงเพชร!J116"")+IMPORTRANGE(""https://docs.google.com/spreadsheets/d/1ZNYWeiFoFA1K1U4xKWqRX29MBvEyRHXORjo734Gnq_c/edit?usp=share_li"&amp;"nk"",""เชียงราย!J116"")
+IMPORTRANGE(""https://docs.google.com/spreadsheets/d/1Jgv0Y7YlHDtsiDawwp-uvifEJ8HVaSn0k2aGHG8-hwM/edit?usp=share_link"",""เชียงใหม่!J116"")+IMPORTRANGE(""https://docs.google.com/spreadsheets/d/1JWG2rZePOz9pe-f-ObA-yDr0VoOX2kSb0qIi"&amp;"x2mTUo8/edit?usp=share_link"",""ตาก!J116"")+IMPORTRANGE(""https://docs.google.com/spreadsheets/d/10nSRjK08hx8Y6HgSOQKNw81lyY46Zc7U_Cj72hBMp9U/edit?usp=share_link"",""นครสวรรค์!J116"")+IMPORTRANGE(""https://docs.google.com/spreadsheets/d/1gFVb7qd7amutrIxAA"&amp;"oM7lcy35hllxznovot8lyOfvDo/edit?usp=share_link"",""น่าน!J116"")+IMPORTRANGE(""https://docs.google.com/spreadsheets/d/1K0Aa9s-6EuHE5M0FG1F9aHLXRCOV917xvycTdLdct0w/edit?usp=share_link"",""พะเยา!J116"")+IMPORTRANGE(""https://docs.google.com/spreadsheets/d/1Y"&amp;"9LPKx95PyL5OKy09d-KbKJSuuEZCFdkhYjwC0XQjBA/edit?usp=share_link"",""พิจิตร!J116"")+IMPORTRANGE(""https://docs.google.com/spreadsheets/d/16OMuOwy2eVqZcYWOouQtTpa8X1L23h4660uVHc0C8os/edit?usp=share_link"",""พิษณุโลก!J116"")+IMPORTRANGE(""https://docs.google."&amp;"com/spreadsheets/d/1GfgTldLG6k77HXaMQzaafODklYuucJZQNs_GAPEfZyY/edit?usp=share_link"",""เพชรบูรณ์!J116"")+IMPORTRANGE(""https://docs.google.com/spreadsheets/d/1gvTMYAnm7v1yG1BKWFtr0DnaTsq59oW9dwWvFgq6hs0/edit?usp=share_link"",""แพร่!J116"")+IMPORTRANGE("""&amp;"https://docs.google.com/spreadsheets/d/1Wbcosgy-Xa1xXUArJSOenub6EfZHUSzc_bpJFWwQUf0/edit?usp=share_link"",""แม่ฮ่องสอน!J116"")+IMPORTRANGE(""https://docs.google.com/spreadsheets/d/1p7ERhsr0qZeSn-KSOdeHS9r0heI-lHtkcn2OH7hP0jQ/edit?usp=share_link"",""ลำปาง!"&amp;"J116"")+IMPORTRANGE(""https://docs.google.com/spreadsheets/d/1-uUXvimVhiU2U0bMN-xi2te0tS4X7DI2GLPnMjzl8cA/edit?usp=share_link"",""ลำพูน!J116"")+IMPORTRANGE(""https://docs.google.com/spreadsheets/d/17HrOaa5pBUI1onckFfumXB8xlg35qb2uBAFfF1D-Myo/edit?usp=shar"&amp;"e_link"",""สุโขทัย!J116"")+IMPORTRANGE(""https://docs.google.com/spreadsheets/d/1ubs5cl16eYL9gHbdHTJtmtYb9MGzHBs7CAphn8kNCgM/edit?usp=share_link"",""อุตรดิตถ์!J116"")+IMPORTRANGE(""https://docs.google.com/spreadsheets/d/1kII0BjS6CtVrBvI8IrytgPdxDrlyQDyigz"&amp;"MsohRtDMs/edit?usp=share_link"",""อุทัยธานี!J116"")
"),0)</f>
        <v>0</v>
      </c>
      <c r="K116" s="38">
        <f t="shared" ca="1" si="75"/>
        <v>0</v>
      </c>
      <c r="L116" s="38"/>
      <c r="M116" s="38"/>
      <c r="N116" s="38"/>
      <c r="O116" s="163"/>
      <c r="P116" s="163"/>
    </row>
    <row r="117" spans="1:26" ht="19.5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>
      <c r="A118" s="138"/>
      <c r="B118" s="139" t="s">
        <v>65</v>
      </c>
      <c r="C118" s="204"/>
      <c r="D118" s="141"/>
      <c r="E118" s="140"/>
      <c r="F118" s="140"/>
      <c r="G118" s="142"/>
      <c r="H118" s="143"/>
      <c r="I118" s="205"/>
      <c r="J118" s="205"/>
      <c r="K118" s="146"/>
      <c r="L118" s="146"/>
      <c r="M118" s="146"/>
      <c r="N118" s="146"/>
      <c r="O118" s="146"/>
      <c r="P118" s="146"/>
    </row>
    <row r="119" spans="1:26" ht="19.5">
      <c r="A119" s="147"/>
      <c r="B119" s="148"/>
      <c r="C119" s="149" t="s">
        <v>16</v>
      </c>
      <c r="D119" s="150" t="s">
        <v>17</v>
      </c>
      <c r="E119" s="148"/>
      <c r="F119" s="148"/>
      <c r="G119" s="151"/>
      <c r="H119" s="152" t="s">
        <v>12</v>
      </c>
      <c r="I119" s="153"/>
      <c r="J119" s="153"/>
      <c r="K119" s="154"/>
      <c r="L119" s="155">
        <f t="shared" ref="L119:N119" ca="1" si="77">L120+L121</f>
        <v>2312300</v>
      </c>
      <c r="M119" s="155">
        <f t="shared" ca="1" si="77"/>
        <v>2312300</v>
      </c>
      <c r="N119" s="155">
        <f t="shared" ca="1" si="77"/>
        <v>245250</v>
      </c>
      <c r="O119" s="155">
        <f t="shared" ref="O119:O127" ca="1" si="78">IF(L119&gt;0,N119*100/L119,0)</f>
        <v>10.606322708991048</v>
      </c>
      <c r="P119" s="155">
        <f t="shared" ref="P119:P127" ca="1" si="79">IF(M119&gt;0,N119*100/M119,0)</f>
        <v>10.606322708991048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41" t="s">
        <v>18</v>
      </c>
      <c r="F120" s="40"/>
      <c r="G120" s="157"/>
      <c r="H120" s="158" t="s">
        <v>12</v>
      </c>
      <c r="I120" s="44"/>
      <c r="J120" s="44"/>
      <c r="K120" s="45"/>
      <c r="L120" s="45">
        <f t="shared" ref="L120:N120" si="80">L123+L126</f>
        <v>0</v>
      </c>
      <c r="M120" s="45">
        <f t="shared" si="80"/>
        <v>0</v>
      </c>
      <c r="N120" s="45">
        <f t="shared" si="80"/>
        <v>0</v>
      </c>
      <c r="O120" s="45">
        <f t="shared" si="78"/>
        <v>0</v>
      </c>
      <c r="P120" s="45">
        <f t="shared" si="79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41" t="s">
        <v>19</v>
      </c>
      <c r="F121" s="40"/>
      <c r="G121" s="157"/>
      <c r="H121" s="158" t="s">
        <v>12</v>
      </c>
      <c r="I121" s="44"/>
      <c r="J121" s="44"/>
      <c r="K121" s="45"/>
      <c r="L121" s="45">
        <f t="shared" ref="L121:N121" ca="1" si="81">L124+L127</f>
        <v>2312300</v>
      </c>
      <c r="M121" s="45">
        <f t="shared" ca="1" si="81"/>
        <v>2312300</v>
      </c>
      <c r="N121" s="45">
        <f t="shared" ca="1" si="81"/>
        <v>245250</v>
      </c>
      <c r="O121" s="45">
        <f t="shared" ca="1" si="78"/>
        <v>10.606322708991048</v>
      </c>
      <c r="P121" s="45">
        <f t="shared" ca="1" si="79"/>
        <v>10.606322708991048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>
      <c r="A122" s="159"/>
      <c r="B122" s="33"/>
      <c r="C122" s="160"/>
      <c r="D122" s="34" t="s">
        <v>20</v>
      </c>
      <c r="E122" s="33"/>
      <c r="F122" s="33"/>
      <c r="G122" s="35"/>
      <c r="H122" s="161" t="s">
        <v>12</v>
      </c>
      <c r="I122" s="162"/>
      <c r="J122" s="162"/>
      <c r="K122" s="163"/>
      <c r="L122" s="38">
        <f t="shared" ref="L122:N122" ca="1" si="82">L123+L124</f>
        <v>0</v>
      </c>
      <c r="M122" s="38">
        <f t="shared" ca="1" si="82"/>
        <v>0</v>
      </c>
      <c r="N122" s="38">
        <f t="shared" ca="1" si="82"/>
        <v>0</v>
      </c>
      <c r="O122" s="38">
        <f t="shared" ca="1" si="78"/>
        <v>0</v>
      </c>
      <c r="P122" s="38">
        <f t="shared" ca="1" si="79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06"/>
      <c r="D123" s="40"/>
      <c r="E123" s="41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45">
        <f t="shared" si="78"/>
        <v>0</v>
      </c>
      <c r="P123" s="45">
        <f t="shared" si="79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06"/>
      <c r="D124" s="40"/>
      <c r="E124" s="41" t="s">
        <v>37</v>
      </c>
      <c r="F124" s="40"/>
      <c r="G124" s="157"/>
      <c r="H124" s="165" t="s">
        <v>12</v>
      </c>
      <c r="I124" s="166"/>
      <c r="J124" s="166"/>
      <c r="K124" s="167"/>
      <c r="L124" s="45">
        <f ca="1">IFERROR(__xludf.DUMMYFUNCTION("IMPORTRANGE(""https://docs.google.com/spreadsheets/d/1KxicF4apzSqm0-jIpmueT4kyZtE-Cwn5zskl7GD4loQ/edit?usp=share_link"",""กำแพงเพชร!l124"")+IMPORTRANGE(""https://docs.google.com/spreadsheets/d/1ZNYWeiFoFA1K1U4xKWqRX29MBvEyRHXORjo734Gnq_c/edit?usp=share_li"&amp;"nk"",""เชียงราย!l124"")
+IMPORTRANGE(""https://docs.google.com/spreadsheets/d/1Jgv0Y7YlHDtsiDawwp-uvifEJ8HVaSn0k2aGHG8-hwM/edit?usp=share_link"",""เชียงใหม่!l124"")+IMPORTRANGE(""https://docs.google.com/spreadsheets/d/1JWG2rZePOz9pe-f-ObA-yDr0VoOX2kSb0qIi"&amp;"x2mTUo8/edit?usp=share_link"",""ตาก!l124"")+IMPORTRANGE(""https://docs.google.com/spreadsheets/d/10nSRjK08hx8Y6HgSOQKNw81lyY46Zc7U_Cj72hBMp9U/edit?usp=share_link"",""นครสวรรค์!l124"")+IMPORTRANGE(""https://docs.google.com/spreadsheets/d/1gFVb7qd7amutrIxAA"&amp;"oM7lcy35hllxznovot8lyOfvDo/edit?usp=share_link"",""น่าน!l124"")+IMPORTRANGE(""https://docs.google.com/spreadsheets/d/1K0Aa9s-6EuHE5M0FG1F9aHLXRCOV917xvycTdLdct0w/edit?usp=share_link"",""พะเยา!l124"")+IMPORTRANGE(""https://docs.google.com/spreadsheets/d/1Y"&amp;"9LPKx95PyL5OKy09d-KbKJSuuEZCFdkhYjwC0XQjBA/edit?usp=share_link"",""พิจิตร!l124"")+IMPORTRANGE(""https://docs.google.com/spreadsheets/d/16OMuOwy2eVqZcYWOouQtTpa8X1L23h4660uVHc0C8os/edit?usp=share_link"",""พิษณุโลก!l124"")+IMPORTRANGE(""https://docs.google."&amp;"com/spreadsheets/d/1GfgTldLG6k77HXaMQzaafODklYuucJZQNs_GAPEfZyY/edit?usp=share_link"",""เพชรบูรณ์!l124"")+IMPORTRANGE(""https://docs.google.com/spreadsheets/d/1gvTMYAnm7v1yG1BKWFtr0DnaTsq59oW9dwWvFgq6hs0/edit?usp=share_link"",""แพร่!l124"")+IMPORTRANGE("""&amp;"https://docs.google.com/spreadsheets/d/1Wbcosgy-Xa1xXUArJSOenub6EfZHUSzc_bpJFWwQUf0/edit?usp=share_link"",""แม่ฮ่องสอน!l124"")+IMPORTRANGE(""https://docs.google.com/spreadsheets/d/1p7ERhsr0qZeSn-KSOdeHS9r0heI-lHtkcn2OH7hP0jQ/edit?usp=share_link"",""ลำปาง!"&amp;"l124"")+IMPORTRANGE(""https://docs.google.com/spreadsheets/d/1-uUXvimVhiU2U0bMN-xi2te0tS4X7DI2GLPnMjzl8cA/edit?usp=share_link"",""ลำพูน!l124"")+IMPORTRANGE(""https://docs.google.com/spreadsheets/d/17HrOaa5pBUI1onckFfumXB8xlg35qb2uBAFfF1D-Myo/edit?usp=shar"&amp;"e_link"",""สุโขทัย!l124"")+IMPORTRANGE(""https://docs.google.com/spreadsheets/d/1ubs5cl16eYL9gHbdHTJtmtYb9MGzHBs7CAphn8kNCgM/edit?usp=share_link"",""อุตรดิตถ์!l124"")+IMPORTRANGE(""https://docs.google.com/spreadsheets/d/1kII0BjS6CtVrBvI8IrytgPdxDrlyQDyigz"&amp;"MsohRtDMs/edit?usp=share_link"",""อุทัยธานี!l124"")
"),0)</f>
        <v>0</v>
      </c>
      <c r="M124" s="45">
        <f ca="1">IFERROR(__xludf.DUMMYFUNCTION("IMPORTRANGE(""https://docs.google.com/spreadsheets/d/1KxicF4apzSqm0-jIpmueT4kyZtE-Cwn5zskl7GD4loQ/edit?usp=share_link"",""กำแพงเพชร!m124"")+IMPORTRANGE(""https://docs.google.com/spreadsheets/d/1ZNYWeiFoFA1K1U4xKWqRX29MBvEyRHXORjo734Gnq_c/edit?usp=share_li"&amp;"nk"",""เชียงราย!m124"")
+IMPORTRANGE(""https://docs.google.com/spreadsheets/d/1Jgv0Y7YlHDtsiDawwp-uvifEJ8HVaSn0k2aGHG8-hwM/edit?usp=share_link"",""เชียงใหม่!m124"")+IMPORTRANGE(""https://docs.google.com/spreadsheets/d/1JWG2rZePOz9pe-f-ObA-yDr0VoOX2kSb0qIi"&amp;"x2mTUo8/edit?usp=share_link"",""ตาก!m124"")+IMPORTRANGE(""https://docs.google.com/spreadsheets/d/10nSRjK08hx8Y6HgSOQKNw81lyY46Zc7U_Cj72hBMp9U/edit?usp=share_link"",""นครสวรรค์!m124"")+IMPORTRANGE(""https://docs.google.com/spreadsheets/d/1gFVb7qd7amutrIxAA"&amp;"oM7lcy35hllxznovot8lyOfvDo/edit?usp=share_link"",""น่าน!m124"")+IMPORTRANGE(""https://docs.google.com/spreadsheets/d/1K0Aa9s-6EuHE5M0FG1F9aHLXRCOV917xvycTdLdct0w/edit?usp=share_link"",""พะเยา!m124"")+IMPORTRANGE(""https://docs.google.com/spreadsheets/d/1Y"&amp;"9LPKx95PyL5OKy09d-KbKJSuuEZCFdkhYjwC0XQjBA/edit?usp=share_link"",""พิจิตร!m124"")+IMPORTRANGE(""https://docs.google.com/spreadsheets/d/16OMuOwy2eVqZcYWOouQtTpa8X1L23h4660uVHc0C8os/edit?usp=share_link"",""พิษณุโลก!m124"")+IMPORTRANGE(""https://docs.google."&amp;"com/spreadsheets/d/1GfgTldLG6k77HXaMQzaafODklYuucJZQNs_GAPEfZyY/edit?usp=share_link"",""เพชรบูรณ์!m124"")+IMPORTRANGE(""https://docs.google.com/spreadsheets/d/1gvTMYAnm7v1yG1BKWFtr0DnaTsq59oW9dwWvFgq6hs0/edit?usp=share_link"",""แพร่!m124"")+IMPORTRANGE("""&amp;"https://docs.google.com/spreadsheets/d/1Wbcosgy-Xa1xXUArJSOenub6EfZHUSzc_bpJFWwQUf0/edit?usp=share_link"",""แม่ฮ่องสอน!m124"")+IMPORTRANGE(""https://docs.google.com/spreadsheets/d/1p7ERhsr0qZeSn-KSOdeHS9r0heI-lHtkcn2OH7hP0jQ/edit?usp=share_link"",""ลำปาง!"&amp;"m124"")+IMPORTRANGE(""https://docs.google.com/spreadsheets/d/1-uUXvimVhiU2U0bMN-xi2te0tS4X7DI2GLPnMjzl8cA/edit?usp=share_link"",""ลำพูน!m124"")+IMPORTRANGE(""https://docs.google.com/spreadsheets/d/17HrOaa5pBUI1onckFfumXB8xlg35qb2uBAFfF1D-Myo/edit?usp=shar"&amp;"e_link"",""สุโขทัย!m124"")+IMPORTRANGE(""https://docs.google.com/spreadsheets/d/1ubs5cl16eYL9gHbdHTJtmtYb9MGzHBs7CAphn8kNCgM/edit?usp=share_link"",""อุตรดิตถ์!m124"")+IMPORTRANGE(""https://docs.google.com/spreadsheets/d/1kII0BjS6CtVrBvI8IrytgPdxDrlyQDyigz"&amp;"MsohRtDMs/edit?usp=share_link"",""อุทัยธานี!m124"")
"),0)</f>
        <v>0</v>
      </c>
      <c r="N124" s="45">
        <f ca="1">IFERROR(__xludf.DUMMYFUNCTION("IMPORTRANGE(""https://docs.google.com/spreadsheets/d/1KxicF4apzSqm0-jIpmueT4kyZtE-Cwn5zskl7GD4loQ/edit?usp=share_link"",""กำแพงเพชร!n124"")+IMPORTRANGE(""https://docs.google.com/spreadsheets/d/1ZNYWeiFoFA1K1U4xKWqRX29MBvEyRHXORjo734Gnq_c/edit?usp=share_li"&amp;"nk"",""เชียงราย!n124"")
+IMPORTRANGE(""https://docs.google.com/spreadsheets/d/1Jgv0Y7YlHDtsiDawwp-uvifEJ8HVaSn0k2aGHG8-hwM/edit?usp=share_link"",""เชียงใหม่!n124"")+IMPORTRANGE(""https://docs.google.com/spreadsheets/d/1JWG2rZePOz9pe-f-ObA-yDr0VoOX2kSb0qIi"&amp;"x2mTUo8/edit?usp=share_link"",""ตาก!n124"")+IMPORTRANGE(""https://docs.google.com/spreadsheets/d/10nSRjK08hx8Y6HgSOQKNw81lyY46Zc7U_Cj72hBMp9U/edit?usp=share_link"",""นครสวรรค์!n124"")+IMPORTRANGE(""https://docs.google.com/spreadsheets/d/1gFVb7qd7amutrIxAA"&amp;"oM7lcy35hllxznovot8lyOfvDo/edit?usp=share_link"",""น่าน!n124"")+IMPORTRANGE(""https://docs.google.com/spreadsheets/d/1K0Aa9s-6EuHE5M0FG1F9aHLXRCOV917xvycTdLdct0w/edit?usp=share_link"",""พะเยา!n124"")+IMPORTRANGE(""https://docs.google.com/spreadsheets/d/1Y"&amp;"9LPKx95PyL5OKy09d-KbKJSuuEZCFdkhYjwC0XQjBA/edit?usp=share_link"",""พิจิตร!n124"")+IMPORTRANGE(""https://docs.google.com/spreadsheets/d/16OMuOwy2eVqZcYWOouQtTpa8X1L23h4660uVHc0C8os/edit?usp=share_link"",""พิษณุโลก!n124"")+IMPORTRANGE(""https://docs.google."&amp;"com/spreadsheets/d/1GfgTldLG6k77HXaMQzaafODklYuucJZQNs_GAPEfZyY/edit?usp=share_link"",""เพชรบูรณ์!n124"")+IMPORTRANGE(""https://docs.google.com/spreadsheets/d/1gvTMYAnm7v1yG1BKWFtr0DnaTsq59oW9dwWvFgq6hs0/edit?usp=share_link"",""แพร่!n124"")+IMPORTRANGE("""&amp;"https://docs.google.com/spreadsheets/d/1Wbcosgy-Xa1xXUArJSOenub6EfZHUSzc_bpJFWwQUf0/edit?usp=share_link"",""แม่ฮ่องสอน!n124"")+IMPORTRANGE(""https://docs.google.com/spreadsheets/d/1p7ERhsr0qZeSn-KSOdeHS9r0heI-lHtkcn2OH7hP0jQ/edit?usp=share_link"",""ลำปาง!"&amp;"n124"")+IMPORTRANGE(""https://docs.google.com/spreadsheets/d/1-uUXvimVhiU2U0bMN-xi2te0tS4X7DI2GLPnMjzl8cA/edit?usp=share_link"",""ลำพูน!n124"")+IMPORTRANGE(""https://docs.google.com/spreadsheets/d/17HrOaa5pBUI1onckFfumXB8xlg35qb2uBAFfF1D-Myo/edit?usp=shar"&amp;"e_link"",""สุโขทัย!n124"")+IMPORTRANGE(""https://docs.google.com/spreadsheets/d/1ubs5cl16eYL9gHbdHTJtmtYb9MGzHBs7CAphn8kNCgM/edit?usp=share_link"",""อุตรดิตถ์!n124"")+IMPORTRANGE(""https://docs.google.com/spreadsheets/d/1kII0BjS6CtVrBvI8IrytgPdxDrlyQDyigz"&amp;"MsohRtDMs/edit?usp=share_link"",""อุทัยธานี!n124"")
"),0)</f>
        <v>0</v>
      </c>
      <c r="O124" s="45">
        <f t="shared" ca="1" si="78"/>
        <v>0</v>
      </c>
      <c r="P124" s="45">
        <f t="shared" ca="1" si="79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>
      <c r="A125" s="159"/>
      <c r="B125" s="33"/>
      <c r="C125" s="160"/>
      <c r="D125" s="34" t="s">
        <v>21</v>
      </c>
      <c r="E125" s="33"/>
      <c r="F125" s="33"/>
      <c r="G125" s="35"/>
      <c r="H125" s="168" t="s">
        <v>12</v>
      </c>
      <c r="I125" s="162"/>
      <c r="J125" s="162"/>
      <c r="K125" s="163"/>
      <c r="L125" s="38">
        <f t="shared" ref="L125:N125" ca="1" si="83">L126+L127</f>
        <v>2312300</v>
      </c>
      <c r="M125" s="38">
        <f t="shared" ca="1" si="83"/>
        <v>2312300</v>
      </c>
      <c r="N125" s="38">
        <f t="shared" ca="1" si="83"/>
        <v>245250</v>
      </c>
      <c r="O125" s="38">
        <f t="shared" ca="1" si="78"/>
        <v>10.606322708991048</v>
      </c>
      <c r="P125" s="38">
        <f t="shared" ca="1" si="79"/>
        <v>10.606322708991048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41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45">
        <f t="shared" si="78"/>
        <v>0</v>
      </c>
      <c r="P126" s="45">
        <f t="shared" si="79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41" t="s">
        <v>19</v>
      </c>
      <c r="F127" s="40"/>
      <c r="G127" s="157"/>
      <c r="H127" s="169" t="s">
        <v>12</v>
      </c>
      <c r="I127" s="166"/>
      <c r="J127" s="166"/>
      <c r="K127" s="167"/>
      <c r="L127" s="45">
        <f ca="1">IFERROR(__xludf.DUMMYFUNCTION("IMPORTRANGE(""https://docs.google.com/spreadsheets/d/1KxicF4apzSqm0-jIpmueT4kyZtE-Cwn5zskl7GD4loQ/edit?usp=share_link"",""กำแพงเพชร!l127"")+IMPORTRANGE(""https://docs.google.com/spreadsheets/d/1ZNYWeiFoFA1K1U4xKWqRX29MBvEyRHXORjo734Gnq_c/edit?usp=share_li"&amp;"nk"",""เชียงราย!l127"")
+IMPORTRANGE(""https://docs.google.com/spreadsheets/d/1Jgv0Y7YlHDtsiDawwp-uvifEJ8HVaSn0k2aGHG8-hwM/edit?usp=share_link"",""เชียงใหม่!l127"")+IMPORTRANGE(""https://docs.google.com/spreadsheets/d/1JWG2rZePOz9pe-f-ObA-yDr0VoOX2kSb0qIi"&amp;"x2mTUo8/edit?usp=share_link"",""ตาก!l127"")+IMPORTRANGE(""https://docs.google.com/spreadsheets/d/10nSRjK08hx8Y6HgSOQKNw81lyY46Zc7U_Cj72hBMp9U/edit?usp=share_link"",""นครสวรรค์!l127"")+IMPORTRANGE(""https://docs.google.com/spreadsheets/d/1gFVb7qd7amutrIxAA"&amp;"oM7lcy35hllxznovot8lyOfvDo/edit?usp=share_link"",""น่าน!l127"")+IMPORTRANGE(""https://docs.google.com/spreadsheets/d/1K0Aa9s-6EuHE5M0FG1F9aHLXRCOV917xvycTdLdct0w/edit?usp=share_link"",""พะเยา!l127"")+IMPORTRANGE(""https://docs.google.com/spreadsheets/d/1Y"&amp;"9LPKx95PyL5OKy09d-KbKJSuuEZCFdkhYjwC0XQjBA/edit?usp=share_link"",""พิจิตร!l127"")+IMPORTRANGE(""https://docs.google.com/spreadsheets/d/16OMuOwy2eVqZcYWOouQtTpa8X1L23h4660uVHc0C8os/edit?usp=share_link"",""พิษณุโลก!l127"")+IMPORTRANGE(""https://docs.google."&amp;"com/spreadsheets/d/1GfgTldLG6k77HXaMQzaafODklYuucJZQNs_GAPEfZyY/edit?usp=share_link"",""เพชรบูรณ์!l127"")+IMPORTRANGE(""https://docs.google.com/spreadsheets/d/1gvTMYAnm7v1yG1BKWFtr0DnaTsq59oW9dwWvFgq6hs0/edit?usp=share_link"",""แพร่!l127"")+IMPORTRANGE("""&amp;"https://docs.google.com/spreadsheets/d/1Wbcosgy-Xa1xXUArJSOenub6EfZHUSzc_bpJFWwQUf0/edit?usp=share_link"",""แม่ฮ่องสอน!l127"")+IMPORTRANGE(""https://docs.google.com/spreadsheets/d/1p7ERhsr0qZeSn-KSOdeHS9r0heI-lHtkcn2OH7hP0jQ/edit?usp=share_link"",""ลำปาง!"&amp;"l127"")+IMPORTRANGE(""https://docs.google.com/spreadsheets/d/1-uUXvimVhiU2U0bMN-xi2te0tS4X7DI2GLPnMjzl8cA/edit?usp=share_link"",""ลำพูน!l127"")+IMPORTRANGE(""https://docs.google.com/spreadsheets/d/17HrOaa5pBUI1onckFfumXB8xlg35qb2uBAFfF1D-Myo/edit?usp=shar"&amp;"e_link"",""สุโขทัย!l127"")+IMPORTRANGE(""https://docs.google.com/spreadsheets/d/1ubs5cl16eYL9gHbdHTJtmtYb9MGzHBs7CAphn8kNCgM/edit?usp=share_link"",""อุตรดิตถ์!l127"")+IMPORTRANGE(""https://docs.google.com/spreadsheets/d/1kII0BjS6CtVrBvI8IrytgPdxDrlyQDyigz"&amp;"MsohRtDMs/edit?usp=share_link"",""อุทัยธานี!l127"")
"),2312300)</f>
        <v>2312300</v>
      </c>
      <c r="M127" s="45">
        <f ca="1">IFERROR(__xludf.DUMMYFUNCTION("IMPORTRANGE(""https://docs.google.com/spreadsheets/d/1KxicF4apzSqm0-jIpmueT4kyZtE-Cwn5zskl7GD4loQ/edit?usp=share_link"",""กำแพงเพชร!m127"")+IMPORTRANGE(""https://docs.google.com/spreadsheets/d/1ZNYWeiFoFA1K1U4xKWqRX29MBvEyRHXORjo734Gnq_c/edit?usp=share_li"&amp;"nk"",""เชียงราย!m127"")
+IMPORTRANGE(""https://docs.google.com/spreadsheets/d/1Jgv0Y7YlHDtsiDawwp-uvifEJ8HVaSn0k2aGHG8-hwM/edit?usp=share_link"",""เชียงใหม่!m127"")+IMPORTRANGE(""https://docs.google.com/spreadsheets/d/1JWG2rZePOz9pe-f-ObA-yDr0VoOX2kSb0qIi"&amp;"x2mTUo8/edit?usp=share_link"",""ตาก!m127"")+IMPORTRANGE(""https://docs.google.com/spreadsheets/d/10nSRjK08hx8Y6HgSOQKNw81lyY46Zc7U_Cj72hBMp9U/edit?usp=share_link"",""นครสวรรค์!m127"")+IMPORTRANGE(""https://docs.google.com/spreadsheets/d/1gFVb7qd7amutrIxAA"&amp;"oM7lcy35hllxznovot8lyOfvDo/edit?usp=share_link"",""น่าน!m127"")+IMPORTRANGE(""https://docs.google.com/spreadsheets/d/1K0Aa9s-6EuHE5M0FG1F9aHLXRCOV917xvycTdLdct0w/edit?usp=share_link"",""พะเยา!m127"")+IMPORTRANGE(""https://docs.google.com/spreadsheets/d/1Y"&amp;"9LPKx95PyL5OKy09d-KbKJSuuEZCFdkhYjwC0XQjBA/edit?usp=share_link"",""พิจิตร!m127"")+IMPORTRANGE(""https://docs.google.com/spreadsheets/d/16OMuOwy2eVqZcYWOouQtTpa8X1L23h4660uVHc0C8os/edit?usp=share_link"",""พิษณุโลก!m127"")+IMPORTRANGE(""https://docs.google."&amp;"com/spreadsheets/d/1GfgTldLG6k77HXaMQzaafODklYuucJZQNs_GAPEfZyY/edit?usp=share_link"",""เพชรบูรณ์!m127"")+IMPORTRANGE(""https://docs.google.com/spreadsheets/d/1gvTMYAnm7v1yG1BKWFtr0DnaTsq59oW9dwWvFgq6hs0/edit?usp=share_link"",""แพร่!m127"")+IMPORTRANGE("""&amp;"https://docs.google.com/spreadsheets/d/1Wbcosgy-Xa1xXUArJSOenub6EfZHUSzc_bpJFWwQUf0/edit?usp=share_link"",""แม่ฮ่องสอน!m127"")+IMPORTRANGE(""https://docs.google.com/spreadsheets/d/1p7ERhsr0qZeSn-KSOdeHS9r0heI-lHtkcn2OH7hP0jQ/edit?usp=share_link"",""ลำปาง!"&amp;"m127"")+IMPORTRANGE(""https://docs.google.com/spreadsheets/d/1-uUXvimVhiU2U0bMN-xi2te0tS4X7DI2GLPnMjzl8cA/edit?usp=share_link"",""ลำพูน!m127"")+IMPORTRANGE(""https://docs.google.com/spreadsheets/d/17HrOaa5pBUI1onckFfumXB8xlg35qb2uBAFfF1D-Myo/edit?usp=shar"&amp;"e_link"",""สุโขทัย!m127"")+IMPORTRANGE(""https://docs.google.com/spreadsheets/d/1ubs5cl16eYL9gHbdHTJtmtYb9MGzHBs7CAphn8kNCgM/edit?usp=share_link"",""อุตรดิตถ์!m127"")+IMPORTRANGE(""https://docs.google.com/spreadsheets/d/1kII0BjS6CtVrBvI8IrytgPdxDrlyQDyigz"&amp;"MsohRtDMs/edit?usp=share_link"",""อุทัยธานี!m127"")
"),2312300)</f>
        <v>2312300</v>
      </c>
      <c r="N127" s="45">
        <f ca="1">IFERROR(__xludf.DUMMYFUNCTION("IMPORTRANGE(""https://docs.google.com/spreadsheets/d/1KxicF4apzSqm0-jIpmueT4kyZtE-Cwn5zskl7GD4loQ/edit?usp=share_link"",""กำแพงเพชร!n127"")+IMPORTRANGE(""https://docs.google.com/spreadsheets/d/1ZNYWeiFoFA1K1U4xKWqRX29MBvEyRHXORjo734Gnq_c/edit?usp=share_li"&amp;"nk"",""เชียงราย!n127"")
+IMPORTRANGE(""https://docs.google.com/spreadsheets/d/1Jgv0Y7YlHDtsiDawwp-uvifEJ8HVaSn0k2aGHG8-hwM/edit?usp=share_link"",""เชียงใหม่!n127"")+IMPORTRANGE(""https://docs.google.com/spreadsheets/d/1JWG2rZePOz9pe-f-ObA-yDr0VoOX2kSb0qIi"&amp;"x2mTUo8/edit?usp=share_link"",""ตาก!n127"")+IMPORTRANGE(""https://docs.google.com/spreadsheets/d/10nSRjK08hx8Y6HgSOQKNw81lyY46Zc7U_Cj72hBMp9U/edit?usp=share_link"",""นครสวรรค์!n127"")+IMPORTRANGE(""https://docs.google.com/spreadsheets/d/1gFVb7qd7amutrIxAA"&amp;"oM7lcy35hllxznovot8lyOfvDo/edit?usp=share_link"",""น่าน!n127"")+IMPORTRANGE(""https://docs.google.com/spreadsheets/d/1K0Aa9s-6EuHE5M0FG1F9aHLXRCOV917xvycTdLdct0w/edit?usp=share_link"",""พะเยา!n127"")+IMPORTRANGE(""https://docs.google.com/spreadsheets/d/1Y"&amp;"9LPKx95PyL5OKy09d-KbKJSuuEZCFdkhYjwC0XQjBA/edit?usp=share_link"",""พิจิตร!n127"")+IMPORTRANGE(""https://docs.google.com/spreadsheets/d/16OMuOwy2eVqZcYWOouQtTpa8X1L23h4660uVHc0C8os/edit?usp=share_link"",""พิษณุโลก!n127"")+IMPORTRANGE(""https://docs.google."&amp;"com/spreadsheets/d/1GfgTldLG6k77HXaMQzaafODklYuucJZQNs_GAPEfZyY/edit?usp=share_link"",""เพชรบูรณ์!n127"")+IMPORTRANGE(""https://docs.google.com/spreadsheets/d/1gvTMYAnm7v1yG1BKWFtr0DnaTsq59oW9dwWvFgq6hs0/edit?usp=share_link"",""แพร่!n127"")+IMPORTRANGE("""&amp;"https://docs.google.com/spreadsheets/d/1Wbcosgy-Xa1xXUArJSOenub6EfZHUSzc_bpJFWwQUf0/edit?usp=share_link"",""แม่ฮ่องสอน!n127"")+IMPORTRANGE(""https://docs.google.com/spreadsheets/d/1p7ERhsr0qZeSn-KSOdeHS9r0heI-lHtkcn2OH7hP0jQ/edit?usp=share_link"",""ลำปาง!"&amp;"n127"")+IMPORTRANGE(""https://docs.google.com/spreadsheets/d/1-uUXvimVhiU2U0bMN-xi2te0tS4X7DI2GLPnMjzl8cA/edit?usp=share_link"",""ลำพูน!n127"")+IMPORTRANGE(""https://docs.google.com/spreadsheets/d/17HrOaa5pBUI1onckFfumXB8xlg35qb2uBAFfF1D-Myo/edit?usp=shar"&amp;"e_link"",""สุโขทัย!n127"")+IMPORTRANGE(""https://docs.google.com/spreadsheets/d/1ubs5cl16eYL9gHbdHTJtmtYb9MGzHBs7CAphn8kNCgM/edit?usp=share_link"",""อุตรดิตถ์!n127"")+IMPORTRANGE(""https://docs.google.com/spreadsheets/d/1kII0BjS6CtVrBvI8IrytgPdxDrlyQDyigz"&amp;"MsohRtDMs/edit?usp=share_link"",""อุทัยธานี!n127"")
"),245250)</f>
        <v>245250</v>
      </c>
      <c r="O127" s="45">
        <f t="shared" ca="1" si="78"/>
        <v>10.606322708991048</v>
      </c>
      <c r="P127" s="45">
        <f t="shared" ca="1" si="79"/>
        <v>10.606322708991048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>
      <c r="A128" s="131" t="s">
        <v>66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>
      <c r="A129" s="138"/>
      <c r="B129" s="139" t="s">
        <v>67</v>
      </c>
      <c r="C129" s="204"/>
      <c r="D129" s="141"/>
      <c r="E129" s="140"/>
      <c r="F129" s="140"/>
      <c r="G129" s="140"/>
      <c r="H129" s="207"/>
      <c r="I129" s="205"/>
      <c r="J129" s="205"/>
      <c r="K129" s="146"/>
      <c r="L129" s="146"/>
      <c r="M129" s="146"/>
      <c r="N129" s="146"/>
      <c r="O129" s="146"/>
      <c r="P129" s="146"/>
    </row>
    <row r="130" spans="1:26" ht="19.5">
      <c r="A130" s="138"/>
      <c r="B130" s="208"/>
      <c r="C130" s="209" t="s">
        <v>68</v>
      </c>
      <c r="D130" s="141"/>
      <c r="E130" s="140"/>
      <c r="F130" s="140"/>
      <c r="G130" s="142"/>
      <c r="H130" s="143" t="s">
        <v>69</v>
      </c>
      <c r="I130" s="144">
        <f t="shared" ref="I130:J130" ca="1" si="84">I146</f>
        <v>12</v>
      </c>
      <c r="J130" s="144">
        <f t="shared" ca="1" si="84"/>
        <v>3</v>
      </c>
      <c r="K130" s="145">
        <f t="shared" ref="K130:K131" ca="1" si="85">IF(I130&gt;0,J130*100/I130,0)</f>
        <v>25</v>
      </c>
      <c r="L130" s="146"/>
      <c r="M130" s="146"/>
      <c r="N130" s="146"/>
      <c r="O130" s="146"/>
      <c r="P130" s="146"/>
    </row>
    <row r="131" spans="1:26" ht="19.5">
      <c r="A131" s="138"/>
      <c r="B131" s="208"/>
      <c r="C131" s="209" t="s">
        <v>70</v>
      </c>
      <c r="D131" s="141"/>
      <c r="E131" s="140"/>
      <c r="F131" s="140"/>
      <c r="G131" s="142"/>
      <c r="H131" s="143" t="s">
        <v>35</v>
      </c>
      <c r="I131" s="144">
        <f t="shared" ref="I131:J131" ca="1" si="86">I143</f>
        <v>120</v>
      </c>
      <c r="J131" s="144">
        <f t="shared" ca="1" si="86"/>
        <v>0</v>
      </c>
      <c r="K131" s="145">
        <f t="shared" ca="1" si="85"/>
        <v>0</v>
      </c>
      <c r="L131" s="146"/>
      <c r="M131" s="146"/>
      <c r="N131" s="146"/>
      <c r="O131" s="146"/>
      <c r="P131" s="146"/>
    </row>
    <row r="132" spans="1:26" ht="19.5">
      <c r="A132" s="147"/>
      <c r="B132" s="148"/>
      <c r="C132" s="149" t="s">
        <v>16</v>
      </c>
      <c r="D132" s="150" t="s">
        <v>17</v>
      </c>
      <c r="E132" s="148"/>
      <c r="F132" s="148"/>
      <c r="G132" s="151"/>
      <c r="H132" s="152" t="s">
        <v>12</v>
      </c>
      <c r="I132" s="153"/>
      <c r="J132" s="153"/>
      <c r="K132" s="154"/>
      <c r="L132" s="155">
        <f t="shared" ref="L132:N132" ca="1" si="87">L133+L134</f>
        <v>2170260</v>
      </c>
      <c r="M132" s="155">
        <f t="shared" ca="1" si="87"/>
        <v>1776900</v>
      </c>
      <c r="N132" s="155">
        <f t="shared" ca="1" si="87"/>
        <v>889029</v>
      </c>
      <c r="O132" s="155">
        <f t="shared" ref="O132:O140" ca="1" si="88">IF(L132&gt;0,N132*100/L132,0)</f>
        <v>40.96417019158995</v>
      </c>
      <c r="P132" s="155">
        <f t="shared" ref="P132:P140" ca="1" si="89">IF(M132&gt;0,N132*100/M132,0)</f>
        <v>50.032584838764137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41" t="s">
        <v>18</v>
      </c>
      <c r="F133" s="40"/>
      <c r="G133" s="157"/>
      <c r="H133" s="158" t="s">
        <v>12</v>
      </c>
      <c r="I133" s="44"/>
      <c r="J133" s="44"/>
      <c r="K133" s="45"/>
      <c r="L133" s="45">
        <f t="shared" ref="L133:N133" si="90">L136+L139</f>
        <v>0</v>
      </c>
      <c r="M133" s="45">
        <f t="shared" si="90"/>
        <v>0</v>
      </c>
      <c r="N133" s="45">
        <f t="shared" si="90"/>
        <v>0</v>
      </c>
      <c r="O133" s="45">
        <f t="shared" si="88"/>
        <v>0</v>
      </c>
      <c r="P133" s="45">
        <f t="shared" si="89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41" t="s">
        <v>19</v>
      </c>
      <c r="F134" s="40"/>
      <c r="G134" s="157"/>
      <c r="H134" s="158" t="s">
        <v>12</v>
      </c>
      <c r="I134" s="44"/>
      <c r="J134" s="44"/>
      <c r="K134" s="45"/>
      <c r="L134" s="45">
        <f t="shared" ref="L134:N134" ca="1" si="91">L137+L140</f>
        <v>2170260</v>
      </c>
      <c r="M134" s="45">
        <f t="shared" ca="1" si="91"/>
        <v>1776900</v>
      </c>
      <c r="N134" s="45">
        <f t="shared" ca="1" si="91"/>
        <v>889029</v>
      </c>
      <c r="O134" s="45">
        <f t="shared" ca="1" si="88"/>
        <v>40.96417019158995</v>
      </c>
      <c r="P134" s="45">
        <f t="shared" ca="1" si="89"/>
        <v>50.032584838764137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>
      <c r="A135" s="159"/>
      <c r="B135" s="33"/>
      <c r="C135" s="160"/>
      <c r="D135" s="34" t="s">
        <v>20</v>
      </c>
      <c r="E135" s="33"/>
      <c r="F135" s="33"/>
      <c r="G135" s="35"/>
      <c r="H135" s="161" t="s">
        <v>12</v>
      </c>
      <c r="I135" s="162"/>
      <c r="J135" s="162"/>
      <c r="K135" s="163"/>
      <c r="L135" s="38">
        <f t="shared" ref="L135:N135" ca="1" si="92">L136+L137</f>
        <v>934260</v>
      </c>
      <c r="M135" s="38">
        <f t="shared" ca="1" si="92"/>
        <v>542400</v>
      </c>
      <c r="N135" s="38">
        <f t="shared" ca="1" si="92"/>
        <v>66529</v>
      </c>
      <c r="O135" s="38">
        <f t="shared" ca="1" si="88"/>
        <v>7.1210369704364949</v>
      </c>
      <c r="P135" s="38">
        <f t="shared" ca="1" si="89"/>
        <v>12.265671091445428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41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45">
        <f t="shared" si="88"/>
        <v>0</v>
      </c>
      <c r="P136" s="45">
        <f t="shared" si="89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41" t="s">
        <v>37</v>
      </c>
      <c r="F137" s="40"/>
      <c r="G137" s="157"/>
      <c r="H137" s="165" t="s">
        <v>12</v>
      </c>
      <c r="I137" s="166"/>
      <c r="J137" s="166"/>
      <c r="K137" s="167"/>
      <c r="L137" s="45">
        <f ca="1">IFERROR(__xludf.DUMMYFUNCTION("IMPORTRANGE(""https://docs.google.com/spreadsheets/d/1KxicF4apzSqm0-jIpmueT4kyZtE-Cwn5zskl7GD4loQ/edit?usp=share_link"",""กำแพงเพชร!l137"")+IMPORTRANGE(""https://docs.google.com/spreadsheets/d/1ZNYWeiFoFA1K1U4xKWqRX29MBvEyRHXORjo734Gnq_c/edit?usp=share_li"&amp;"nk"",""เชียงราย!l137"")
+IMPORTRANGE(""https://docs.google.com/spreadsheets/d/1Jgv0Y7YlHDtsiDawwp-uvifEJ8HVaSn0k2aGHG8-hwM/edit?usp=share_link"",""เชียงใหม่!l137"")+IMPORTRANGE(""https://docs.google.com/spreadsheets/d/1JWG2rZePOz9pe-f-ObA-yDr0VoOX2kSb0qIi"&amp;"x2mTUo8/edit?usp=share_link"",""ตาก!l137"")+IMPORTRANGE(""https://docs.google.com/spreadsheets/d/10nSRjK08hx8Y6HgSOQKNw81lyY46Zc7U_Cj72hBMp9U/edit?usp=share_link"",""นครสวรรค์!l137"")+IMPORTRANGE(""https://docs.google.com/spreadsheets/d/1gFVb7qd7amutrIxAA"&amp;"oM7lcy35hllxznovot8lyOfvDo/edit?usp=share_link"",""น่าน!l137"")+IMPORTRANGE(""https://docs.google.com/spreadsheets/d/1K0Aa9s-6EuHE5M0FG1F9aHLXRCOV917xvycTdLdct0w/edit?usp=share_link"",""พะเยา!l137"")+IMPORTRANGE(""https://docs.google.com/spreadsheets/d/1Y"&amp;"9LPKx95PyL5OKy09d-KbKJSuuEZCFdkhYjwC0XQjBA/edit?usp=share_link"",""พิจิตร!l137"")+IMPORTRANGE(""https://docs.google.com/spreadsheets/d/16OMuOwy2eVqZcYWOouQtTpa8X1L23h4660uVHc0C8os/edit?usp=share_link"",""พิษณุโลก!l137"")+IMPORTRANGE(""https://docs.google."&amp;"com/spreadsheets/d/1GfgTldLG6k77HXaMQzaafODklYuucJZQNs_GAPEfZyY/edit?usp=share_link"",""เพชรบูรณ์!l137"")+IMPORTRANGE(""https://docs.google.com/spreadsheets/d/1gvTMYAnm7v1yG1BKWFtr0DnaTsq59oW9dwWvFgq6hs0/edit?usp=share_link"",""แพร่!l137"")+IMPORTRANGE("""&amp;"https://docs.google.com/spreadsheets/d/1Wbcosgy-Xa1xXUArJSOenub6EfZHUSzc_bpJFWwQUf0/edit?usp=share_link"",""แม่ฮ่องสอน!l137"")+IMPORTRANGE(""https://docs.google.com/spreadsheets/d/1p7ERhsr0qZeSn-KSOdeHS9r0heI-lHtkcn2OH7hP0jQ/edit?usp=share_link"",""ลำปาง!"&amp;"l137"")+IMPORTRANGE(""https://docs.google.com/spreadsheets/d/1-uUXvimVhiU2U0bMN-xi2te0tS4X7DI2GLPnMjzl8cA/edit?usp=share_link"",""ลำพูน!l137"")+IMPORTRANGE(""https://docs.google.com/spreadsheets/d/17HrOaa5pBUI1onckFfumXB8xlg35qb2uBAFfF1D-Myo/edit?usp=shar"&amp;"e_link"",""สุโขทัย!l137"")+IMPORTRANGE(""https://docs.google.com/spreadsheets/d/1ubs5cl16eYL9gHbdHTJtmtYb9MGzHBs7CAphn8kNCgM/edit?usp=share_link"",""อุตรดิตถ์!l137"")+IMPORTRANGE(""https://docs.google.com/spreadsheets/d/1kII0BjS6CtVrBvI8IrytgPdxDrlyQDyigz"&amp;"MsohRtDMs/edit?usp=share_link"",""อุทัยธานี!l137"")
"),934260)</f>
        <v>934260</v>
      </c>
      <c r="M137" s="45">
        <f ca="1">IFERROR(__xludf.DUMMYFUNCTION("IMPORTRANGE(""https://docs.google.com/spreadsheets/d/1KxicF4apzSqm0-jIpmueT4kyZtE-Cwn5zskl7GD4loQ/edit?usp=share_link"",""กำแพงเพชร!m137"")+IMPORTRANGE(""https://docs.google.com/spreadsheets/d/1ZNYWeiFoFA1K1U4xKWqRX29MBvEyRHXORjo734Gnq_c/edit?usp=share_li"&amp;"nk"",""เชียงราย!m137"")
+IMPORTRANGE(""https://docs.google.com/spreadsheets/d/1Jgv0Y7YlHDtsiDawwp-uvifEJ8HVaSn0k2aGHG8-hwM/edit?usp=share_link"",""เชียงใหม่!m137"")+IMPORTRANGE(""https://docs.google.com/spreadsheets/d/1JWG2rZePOz9pe-f-ObA-yDr0VoOX2kSb0qIi"&amp;"x2mTUo8/edit?usp=share_link"",""ตาก!m137"")+IMPORTRANGE(""https://docs.google.com/spreadsheets/d/10nSRjK08hx8Y6HgSOQKNw81lyY46Zc7U_Cj72hBMp9U/edit?usp=share_link"",""นครสวรรค์!m137"")+IMPORTRANGE(""https://docs.google.com/spreadsheets/d/1gFVb7qd7amutrIxAA"&amp;"oM7lcy35hllxznovot8lyOfvDo/edit?usp=share_link"",""น่าน!m137"")+IMPORTRANGE(""https://docs.google.com/spreadsheets/d/1K0Aa9s-6EuHE5M0FG1F9aHLXRCOV917xvycTdLdct0w/edit?usp=share_link"",""พะเยา!m137"")+IMPORTRANGE(""https://docs.google.com/spreadsheets/d/1Y"&amp;"9LPKx95PyL5OKy09d-KbKJSuuEZCFdkhYjwC0XQjBA/edit?usp=share_link"",""พิจิตร!m137"")+IMPORTRANGE(""https://docs.google.com/spreadsheets/d/16OMuOwy2eVqZcYWOouQtTpa8X1L23h4660uVHc0C8os/edit?usp=share_link"",""พิษณุโลก!m137"")+IMPORTRANGE(""https://docs.google."&amp;"com/spreadsheets/d/1GfgTldLG6k77HXaMQzaafODklYuucJZQNs_GAPEfZyY/edit?usp=share_link"",""เพชรบูรณ์!m137"")+IMPORTRANGE(""https://docs.google.com/spreadsheets/d/1gvTMYAnm7v1yG1BKWFtr0DnaTsq59oW9dwWvFgq6hs0/edit?usp=share_link"",""แพร่!m137"")+IMPORTRANGE("""&amp;"https://docs.google.com/spreadsheets/d/1Wbcosgy-Xa1xXUArJSOenub6EfZHUSzc_bpJFWwQUf0/edit?usp=share_link"",""แม่ฮ่องสอน!m137"")+IMPORTRANGE(""https://docs.google.com/spreadsheets/d/1p7ERhsr0qZeSn-KSOdeHS9r0heI-lHtkcn2OH7hP0jQ/edit?usp=share_link"",""ลำปาง!"&amp;"m137"")+IMPORTRANGE(""https://docs.google.com/spreadsheets/d/1-uUXvimVhiU2U0bMN-xi2te0tS4X7DI2GLPnMjzl8cA/edit?usp=share_link"",""ลำพูน!m137"")+IMPORTRANGE(""https://docs.google.com/spreadsheets/d/17HrOaa5pBUI1onckFfumXB8xlg35qb2uBAFfF1D-Myo/edit?usp=shar"&amp;"e_link"",""สุโขทัย!m137"")+IMPORTRANGE(""https://docs.google.com/spreadsheets/d/1ubs5cl16eYL9gHbdHTJtmtYb9MGzHBs7CAphn8kNCgM/edit?usp=share_link"",""อุตรดิตถ์!m137"")+IMPORTRANGE(""https://docs.google.com/spreadsheets/d/1kII0BjS6CtVrBvI8IrytgPdxDrlyQDyigz"&amp;"MsohRtDMs/edit?usp=share_link"",""อุทัยธานี!m137"")
"),542400)</f>
        <v>542400</v>
      </c>
      <c r="N137" s="45">
        <f ca="1">IFERROR(__xludf.DUMMYFUNCTION("IMPORTRANGE(""https://docs.google.com/spreadsheets/d/1KxicF4apzSqm0-jIpmueT4kyZtE-Cwn5zskl7GD4loQ/edit?usp=share_link"",""กำแพงเพชร!n137"")+IMPORTRANGE(""https://docs.google.com/spreadsheets/d/1ZNYWeiFoFA1K1U4xKWqRX29MBvEyRHXORjo734Gnq_c/edit?usp=share_li"&amp;"nk"",""เชียงราย!n137"")
+IMPORTRANGE(""https://docs.google.com/spreadsheets/d/1Jgv0Y7YlHDtsiDawwp-uvifEJ8HVaSn0k2aGHG8-hwM/edit?usp=share_link"",""เชียงใหม่!n137"")+IMPORTRANGE(""https://docs.google.com/spreadsheets/d/1JWG2rZePOz9pe-f-ObA-yDr0VoOX2kSb0qIi"&amp;"x2mTUo8/edit?usp=share_link"",""ตาก!n137"")+IMPORTRANGE(""https://docs.google.com/spreadsheets/d/10nSRjK08hx8Y6HgSOQKNw81lyY46Zc7U_Cj72hBMp9U/edit?usp=share_link"",""นครสวรรค์!n137"")+IMPORTRANGE(""https://docs.google.com/spreadsheets/d/1gFVb7qd7amutrIxAA"&amp;"oM7lcy35hllxznovot8lyOfvDo/edit?usp=share_link"",""น่าน!n137"")+IMPORTRANGE(""https://docs.google.com/spreadsheets/d/1K0Aa9s-6EuHE5M0FG1F9aHLXRCOV917xvycTdLdct0w/edit?usp=share_link"",""พะเยา!n137"")+IMPORTRANGE(""https://docs.google.com/spreadsheets/d/1Y"&amp;"9LPKx95PyL5OKy09d-KbKJSuuEZCFdkhYjwC0XQjBA/edit?usp=share_link"",""พิจิตร!n137"")+IMPORTRANGE(""https://docs.google.com/spreadsheets/d/16OMuOwy2eVqZcYWOouQtTpa8X1L23h4660uVHc0C8os/edit?usp=share_link"",""พิษณุโลก!n137"")+IMPORTRANGE(""https://docs.google."&amp;"com/spreadsheets/d/1GfgTldLG6k77HXaMQzaafODklYuucJZQNs_GAPEfZyY/edit?usp=share_link"",""เพชรบูรณ์!n137"")+IMPORTRANGE(""https://docs.google.com/spreadsheets/d/1gvTMYAnm7v1yG1BKWFtr0DnaTsq59oW9dwWvFgq6hs0/edit?usp=share_link"",""แพร่!n137"")+IMPORTRANGE("""&amp;"https://docs.google.com/spreadsheets/d/1Wbcosgy-Xa1xXUArJSOenub6EfZHUSzc_bpJFWwQUf0/edit?usp=share_link"",""แม่ฮ่องสอน!n137"")+IMPORTRANGE(""https://docs.google.com/spreadsheets/d/1p7ERhsr0qZeSn-KSOdeHS9r0heI-lHtkcn2OH7hP0jQ/edit?usp=share_link"",""ลำปาง!"&amp;"n137"")+IMPORTRANGE(""https://docs.google.com/spreadsheets/d/1-uUXvimVhiU2U0bMN-xi2te0tS4X7DI2GLPnMjzl8cA/edit?usp=share_link"",""ลำพูน!n137"")+IMPORTRANGE(""https://docs.google.com/spreadsheets/d/17HrOaa5pBUI1onckFfumXB8xlg35qb2uBAFfF1D-Myo/edit?usp=shar"&amp;"e_link"",""สุโขทัย!n137"")+IMPORTRANGE(""https://docs.google.com/spreadsheets/d/1ubs5cl16eYL9gHbdHTJtmtYb9MGzHBs7CAphn8kNCgM/edit?usp=share_link"",""อุตรดิตถ์!n137"")+IMPORTRANGE(""https://docs.google.com/spreadsheets/d/1kII0BjS6CtVrBvI8IrytgPdxDrlyQDyigz"&amp;"MsohRtDMs/edit?usp=share_link"",""อุทัยธานี!n137"")
"),66529)</f>
        <v>66529</v>
      </c>
      <c r="O137" s="45">
        <f t="shared" ca="1" si="88"/>
        <v>7.1210369704364949</v>
      </c>
      <c r="P137" s="45">
        <f t="shared" ca="1" si="89"/>
        <v>12.265671091445428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>
      <c r="A138" s="159"/>
      <c r="B138" s="33"/>
      <c r="C138" s="160"/>
      <c r="D138" s="34" t="s">
        <v>21</v>
      </c>
      <c r="E138" s="33"/>
      <c r="F138" s="33"/>
      <c r="G138" s="35"/>
      <c r="H138" s="168" t="s">
        <v>12</v>
      </c>
      <c r="I138" s="162"/>
      <c r="J138" s="162"/>
      <c r="K138" s="163"/>
      <c r="L138" s="38">
        <f t="shared" ref="L138:N138" ca="1" si="93">L139+L140</f>
        <v>1236000</v>
      </c>
      <c r="M138" s="38">
        <f t="shared" ca="1" si="93"/>
        <v>1234500</v>
      </c>
      <c r="N138" s="38">
        <f t="shared" ca="1" si="93"/>
        <v>822500</v>
      </c>
      <c r="O138" s="38">
        <f t="shared" ca="1" si="88"/>
        <v>66.545307443365701</v>
      </c>
      <c r="P138" s="38">
        <f t="shared" ca="1" si="89"/>
        <v>66.626164439044146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41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45">
        <f t="shared" si="88"/>
        <v>0</v>
      </c>
      <c r="P139" s="45">
        <f t="shared" si="89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41" t="s">
        <v>19</v>
      </c>
      <c r="F140" s="40"/>
      <c r="G140" s="157"/>
      <c r="H140" s="169" t="s">
        <v>12</v>
      </c>
      <c r="I140" s="166"/>
      <c r="J140" s="166"/>
      <c r="K140" s="167"/>
      <c r="L140" s="45">
        <f ca="1">IFERROR(__xludf.DUMMYFUNCTION("IMPORTRANGE(""https://docs.google.com/spreadsheets/d/1KxicF4apzSqm0-jIpmueT4kyZtE-Cwn5zskl7GD4loQ/edit?usp=share_link"",""กำแพงเพชร!l140"")+IMPORTRANGE(""https://docs.google.com/spreadsheets/d/1ZNYWeiFoFA1K1U4xKWqRX29MBvEyRHXORjo734Gnq_c/edit?usp=share_li"&amp;"nk"",""เชียงราย!l140"")
+IMPORTRANGE(""https://docs.google.com/spreadsheets/d/1Jgv0Y7YlHDtsiDawwp-uvifEJ8HVaSn0k2aGHG8-hwM/edit?usp=share_link"",""เชียงใหม่!l140"")+IMPORTRANGE(""https://docs.google.com/spreadsheets/d/1JWG2rZePOz9pe-f-ObA-yDr0VoOX2kSb0qIi"&amp;"x2mTUo8/edit?usp=share_link"",""ตาก!l140"")+IMPORTRANGE(""https://docs.google.com/spreadsheets/d/10nSRjK08hx8Y6HgSOQKNw81lyY46Zc7U_Cj72hBMp9U/edit?usp=share_link"",""นครสวรรค์!l140"")+IMPORTRANGE(""https://docs.google.com/spreadsheets/d/1gFVb7qd7amutrIxAA"&amp;"oM7lcy35hllxznovot8lyOfvDo/edit?usp=share_link"",""น่าน!l140"")+IMPORTRANGE(""https://docs.google.com/spreadsheets/d/1K0Aa9s-6EuHE5M0FG1F9aHLXRCOV917xvycTdLdct0w/edit?usp=share_link"",""พะเยา!l140"")+IMPORTRANGE(""https://docs.google.com/spreadsheets/d/1Y"&amp;"9LPKx95PyL5OKy09d-KbKJSuuEZCFdkhYjwC0XQjBA/edit?usp=share_link"",""พิจิตร!l140"")+IMPORTRANGE(""https://docs.google.com/spreadsheets/d/16OMuOwy2eVqZcYWOouQtTpa8X1L23h4660uVHc0C8os/edit?usp=share_link"",""พิษณุโลก!l140"")+IMPORTRANGE(""https://docs.google."&amp;"com/spreadsheets/d/1GfgTldLG6k77HXaMQzaafODklYuucJZQNs_GAPEfZyY/edit?usp=share_link"",""เพชรบูรณ์!l140"")+IMPORTRANGE(""https://docs.google.com/spreadsheets/d/1gvTMYAnm7v1yG1BKWFtr0DnaTsq59oW9dwWvFgq6hs0/edit?usp=share_link"",""แพร่!l140"")+IMPORTRANGE("""&amp;"https://docs.google.com/spreadsheets/d/1Wbcosgy-Xa1xXUArJSOenub6EfZHUSzc_bpJFWwQUf0/edit?usp=share_link"",""แม่ฮ่องสอน!l140"")+IMPORTRANGE(""https://docs.google.com/spreadsheets/d/1p7ERhsr0qZeSn-KSOdeHS9r0heI-lHtkcn2OH7hP0jQ/edit?usp=share_link"",""ลำปาง!"&amp;"l140"")+IMPORTRANGE(""https://docs.google.com/spreadsheets/d/1-uUXvimVhiU2U0bMN-xi2te0tS4X7DI2GLPnMjzl8cA/edit?usp=share_link"",""ลำพูน!l140"")+IMPORTRANGE(""https://docs.google.com/spreadsheets/d/17HrOaa5pBUI1onckFfumXB8xlg35qb2uBAFfF1D-Myo/edit?usp=shar"&amp;"e_link"",""สุโขทัย!l140"")+IMPORTRANGE(""https://docs.google.com/spreadsheets/d/1ubs5cl16eYL9gHbdHTJtmtYb9MGzHBs7CAphn8kNCgM/edit?usp=share_link"",""อุตรดิตถ์!l140"")+IMPORTRANGE(""https://docs.google.com/spreadsheets/d/1kII0BjS6CtVrBvI8IrytgPdxDrlyQDyigz"&amp;"MsohRtDMs/edit?usp=share_link"",""อุทัยธานี!l140"")
"),1236000)</f>
        <v>1236000</v>
      </c>
      <c r="M140" s="45">
        <f ca="1">IFERROR(__xludf.DUMMYFUNCTION("IMPORTRANGE(""https://docs.google.com/spreadsheets/d/1KxicF4apzSqm0-jIpmueT4kyZtE-Cwn5zskl7GD4loQ/edit?usp=share_link"",""กำแพงเพชร!m140"")+IMPORTRANGE(""https://docs.google.com/spreadsheets/d/1ZNYWeiFoFA1K1U4xKWqRX29MBvEyRHXORjo734Gnq_c/edit?usp=share_li"&amp;"nk"",""เชียงราย!m140"")
+IMPORTRANGE(""https://docs.google.com/spreadsheets/d/1Jgv0Y7YlHDtsiDawwp-uvifEJ8HVaSn0k2aGHG8-hwM/edit?usp=share_link"",""เชียงใหม่!m140"")+IMPORTRANGE(""https://docs.google.com/spreadsheets/d/1JWG2rZePOz9pe-f-ObA-yDr0VoOX2kSb0qIi"&amp;"x2mTUo8/edit?usp=share_link"",""ตาก!m140"")+IMPORTRANGE(""https://docs.google.com/spreadsheets/d/10nSRjK08hx8Y6HgSOQKNw81lyY46Zc7U_Cj72hBMp9U/edit?usp=share_link"",""นครสวรรค์!m140"")+IMPORTRANGE(""https://docs.google.com/spreadsheets/d/1gFVb7qd7amutrIxAA"&amp;"oM7lcy35hllxznovot8lyOfvDo/edit?usp=share_link"",""น่าน!m140"")+IMPORTRANGE(""https://docs.google.com/spreadsheets/d/1K0Aa9s-6EuHE5M0FG1F9aHLXRCOV917xvycTdLdct0w/edit?usp=share_link"",""พะเยา!m140"")+IMPORTRANGE(""https://docs.google.com/spreadsheets/d/1Y"&amp;"9LPKx95PyL5OKy09d-KbKJSuuEZCFdkhYjwC0XQjBA/edit?usp=share_link"",""พิจิตร!m140"")+IMPORTRANGE(""https://docs.google.com/spreadsheets/d/16OMuOwy2eVqZcYWOouQtTpa8X1L23h4660uVHc0C8os/edit?usp=share_link"",""พิษณุโลก!m140"")+IMPORTRANGE(""https://docs.google."&amp;"com/spreadsheets/d/1GfgTldLG6k77HXaMQzaafODklYuucJZQNs_GAPEfZyY/edit?usp=share_link"",""เพชรบูรณ์!m140"")+IMPORTRANGE(""https://docs.google.com/spreadsheets/d/1gvTMYAnm7v1yG1BKWFtr0DnaTsq59oW9dwWvFgq6hs0/edit?usp=share_link"",""แพร่!m140"")+IMPORTRANGE("""&amp;"https://docs.google.com/spreadsheets/d/1Wbcosgy-Xa1xXUArJSOenub6EfZHUSzc_bpJFWwQUf0/edit?usp=share_link"",""แม่ฮ่องสอน!m140"")+IMPORTRANGE(""https://docs.google.com/spreadsheets/d/1p7ERhsr0qZeSn-KSOdeHS9r0heI-lHtkcn2OH7hP0jQ/edit?usp=share_link"",""ลำปาง!"&amp;"m140"")+IMPORTRANGE(""https://docs.google.com/spreadsheets/d/1-uUXvimVhiU2U0bMN-xi2te0tS4X7DI2GLPnMjzl8cA/edit?usp=share_link"",""ลำพูน!m140"")+IMPORTRANGE(""https://docs.google.com/spreadsheets/d/17HrOaa5pBUI1onckFfumXB8xlg35qb2uBAFfF1D-Myo/edit?usp=shar"&amp;"e_link"",""สุโขทัย!m140"")+IMPORTRANGE(""https://docs.google.com/spreadsheets/d/1ubs5cl16eYL9gHbdHTJtmtYb9MGzHBs7CAphn8kNCgM/edit?usp=share_link"",""อุตรดิตถ์!m140"")+IMPORTRANGE(""https://docs.google.com/spreadsheets/d/1kII0BjS6CtVrBvI8IrytgPdxDrlyQDyigz"&amp;"MsohRtDMs/edit?usp=share_link"",""อุทัยธานี!m140"")
"),1234500)</f>
        <v>1234500</v>
      </c>
      <c r="N140" s="45">
        <f ca="1">IFERROR(__xludf.DUMMYFUNCTION("IMPORTRANGE(""https://docs.google.com/spreadsheets/d/1KxicF4apzSqm0-jIpmueT4kyZtE-Cwn5zskl7GD4loQ/edit?usp=share_link"",""กำแพงเพชร!n140"")+IMPORTRANGE(""https://docs.google.com/spreadsheets/d/1ZNYWeiFoFA1K1U4xKWqRX29MBvEyRHXORjo734Gnq_c/edit?usp=share_li"&amp;"nk"",""เชียงราย!n140"")
+IMPORTRANGE(""https://docs.google.com/spreadsheets/d/1Jgv0Y7YlHDtsiDawwp-uvifEJ8HVaSn0k2aGHG8-hwM/edit?usp=share_link"",""เชียงใหม่!n140"")+IMPORTRANGE(""https://docs.google.com/spreadsheets/d/1JWG2rZePOz9pe-f-ObA-yDr0VoOX2kSb0qIi"&amp;"x2mTUo8/edit?usp=share_link"",""ตาก!n140"")+IMPORTRANGE(""https://docs.google.com/spreadsheets/d/10nSRjK08hx8Y6HgSOQKNw81lyY46Zc7U_Cj72hBMp9U/edit?usp=share_link"",""นครสวรรค์!n140"")+IMPORTRANGE(""https://docs.google.com/spreadsheets/d/1gFVb7qd7amutrIxAA"&amp;"oM7lcy35hllxznovot8lyOfvDo/edit?usp=share_link"",""น่าน!n140"")+IMPORTRANGE(""https://docs.google.com/spreadsheets/d/1K0Aa9s-6EuHE5M0FG1F9aHLXRCOV917xvycTdLdct0w/edit?usp=share_link"",""พะเยา!n140"")+IMPORTRANGE(""https://docs.google.com/spreadsheets/d/1Y"&amp;"9LPKx95PyL5OKy09d-KbKJSuuEZCFdkhYjwC0XQjBA/edit?usp=share_link"",""พิจิตร!n140"")+IMPORTRANGE(""https://docs.google.com/spreadsheets/d/16OMuOwy2eVqZcYWOouQtTpa8X1L23h4660uVHc0C8os/edit?usp=share_link"",""พิษณุโลก!n140"")+IMPORTRANGE(""https://docs.google."&amp;"com/spreadsheets/d/1GfgTldLG6k77HXaMQzaafODklYuucJZQNs_GAPEfZyY/edit?usp=share_link"",""เพชรบูรณ์!n140"")+IMPORTRANGE(""https://docs.google.com/spreadsheets/d/1gvTMYAnm7v1yG1BKWFtr0DnaTsq59oW9dwWvFgq6hs0/edit?usp=share_link"",""แพร่!n140"")+IMPORTRANGE("""&amp;"https://docs.google.com/spreadsheets/d/1Wbcosgy-Xa1xXUArJSOenub6EfZHUSzc_bpJFWwQUf0/edit?usp=share_link"",""แม่ฮ่องสอน!n140"")+IMPORTRANGE(""https://docs.google.com/spreadsheets/d/1p7ERhsr0qZeSn-KSOdeHS9r0heI-lHtkcn2OH7hP0jQ/edit?usp=share_link"",""ลำปาง!"&amp;"n140"")+IMPORTRANGE(""https://docs.google.com/spreadsheets/d/1-uUXvimVhiU2U0bMN-xi2te0tS4X7DI2GLPnMjzl8cA/edit?usp=share_link"",""ลำพูน!n140"")+IMPORTRANGE(""https://docs.google.com/spreadsheets/d/17HrOaa5pBUI1onckFfumXB8xlg35qb2uBAFfF1D-Myo/edit?usp=shar"&amp;"e_link"",""สุโขทัย!n140"")+IMPORTRANGE(""https://docs.google.com/spreadsheets/d/1ubs5cl16eYL9gHbdHTJtmtYb9MGzHBs7CAphn8kNCgM/edit?usp=share_link"",""อุตรดิตถ์!n140"")+IMPORTRANGE(""https://docs.google.com/spreadsheets/d/1kII0BjS6CtVrBvI8IrytgPdxDrlyQDyigz"&amp;"MsohRtDMs/edit?usp=share_link"",""อุทัยธานี!n140"")
"),822500)</f>
        <v>822500</v>
      </c>
      <c r="O140" s="45">
        <f t="shared" ca="1" si="88"/>
        <v>66.545307443365701</v>
      </c>
      <c r="P140" s="45">
        <f t="shared" ca="1" si="89"/>
        <v>66.626164439044146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>
      <c r="A141" s="170"/>
      <c r="B141" s="171"/>
      <c r="C141" s="149" t="s">
        <v>16</v>
      </c>
      <c r="D141" s="172" t="s">
        <v>38</v>
      </c>
      <c r="E141" s="173"/>
      <c r="F141" s="173"/>
      <c r="G141" s="174"/>
      <c r="H141" s="168"/>
      <c r="I141" s="37"/>
      <c r="J141" s="37"/>
      <c r="K141" s="38"/>
      <c r="L141" s="38"/>
      <c r="M141" s="38"/>
      <c r="N141" s="38"/>
      <c r="O141" s="38"/>
      <c r="P141" s="38"/>
    </row>
    <row r="142" spans="1:26" ht="19.5">
      <c r="A142" s="159"/>
      <c r="B142" s="33"/>
      <c r="C142" s="210"/>
      <c r="D142" s="211" t="s">
        <v>71</v>
      </c>
      <c r="E142" s="212"/>
      <c r="F142" s="33"/>
      <c r="G142" s="213"/>
      <c r="H142" s="168"/>
      <c r="I142" s="37"/>
      <c r="J142" s="214">
        <f ca="1">IFERROR(__xludf.DUMMYFUNCTION("IMPORTRANGE(""https://docs.google.com/spreadsheets/d/1KxicF4apzSqm0-jIpmueT4kyZtE-Cwn5zskl7GD4loQ/edit?usp=share_link"",""กำแพงเพชร!J142"")+IMPORTRANGE(""https://docs.google.com/spreadsheets/d/1ZNYWeiFoFA1K1U4xKWqRX29MBvEyRHXORjo734Gnq_c/edit?usp=share_li"&amp;"nk"",""เชียงราย!J142"")
+IMPORTRANGE(""https://docs.google.com/spreadsheets/d/1Jgv0Y7YlHDtsiDawwp-uvifEJ8HVaSn0k2aGHG8-hwM/edit?usp=share_link"",""เชียงใหม่!J142"")+IMPORTRANGE(""https://docs.google.com/spreadsheets/d/1JWG2rZePOz9pe-f-ObA-yDr0VoOX2kSb0qIi"&amp;"x2mTUo8/edit?usp=share_link"",""ตาก!J142"")+IMPORTRANGE(""https://docs.google.com/spreadsheets/d/10nSRjK08hx8Y6HgSOQKNw81lyY46Zc7U_Cj72hBMp9U/edit?usp=share_link"",""นครสวรรค์!J142"")+IMPORTRANGE(""https://docs.google.com/spreadsheets/d/1gFVb7qd7amutrIxAA"&amp;"oM7lcy35hllxznovot8lyOfvDo/edit?usp=share_link"",""น่าน!J142"")+IMPORTRANGE(""https://docs.google.com/spreadsheets/d/1K0Aa9s-6EuHE5M0FG1F9aHLXRCOV917xvycTdLdct0w/edit?usp=share_link"",""พะเยา!J142"")+IMPORTRANGE(""https://docs.google.com/spreadsheets/d/1Y"&amp;"9LPKx95PyL5OKy09d-KbKJSuuEZCFdkhYjwC0XQjBA/edit?usp=share_link"",""พิจิตร!J142"")+IMPORTRANGE(""https://docs.google.com/spreadsheets/d/16OMuOwy2eVqZcYWOouQtTpa8X1L23h4660uVHc0C8os/edit?usp=share_link"",""พิษณุโลก!J142"")+IMPORTRANGE(""https://docs.google."&amp;"com/spreadsheets/d/1GfgTldLG6k77HXaMQzaafODklYuucJZQNs_GAPEfZyY/edit?usp=share_link"",""เพชรบูรณ์!J142"")+IMPORTRANGE(""https://docs.google.com/spreadsheets/d/1gvTMYAnm7v1yG1BKWFtr0DnaTsq59oW9dwWvFgq6hs0/edit?usp=share_link"",""แพร่!J142"")+IMPORTRANGE("""&amp;"https://docs.google.com/spreadsheets/d/1Wbcosgy-Xa1xXUArJSOenub6EfZHUSzc_bpJFWwQUf0/edit?usp=share_link"",""แม่ฮ่องสอน!J142"")+IMPORTRANGE(""https://docs.google.com/spreadsheets/d/1p7ERhsr0qZeSn-KSOdeHS9r0heI-lHtkcn2OH7hP0jQ/edit?usp=share_link"",""ลำปาง!"&amp;"J142"")+IMPORTRANGE(""https://docs.google.com/spreadsheets/d/1-uUXvimVhiU2U0bMN-xi2te0tS4X7DI2GLPnMjzl8cA/edit?usp=share_link"",""ลำพูน!J142"")+IMPORTRANGE(""https://docs.google.com/spreadsheets/d/17HrOaa5pBUI1onckFfumXB8xlg35qb2uBAFfF1D-Myo/edit?usp=shar"&amp;"e_link"",""สุโขทัย!J142"")+IMPORTRANGE(""https://docs.google.com/spreadsheets/d/1ubs5cl16eYL9gHbdHTJtmtYb9MGzHBs7CAphn8kNCgM/edit?usp=share_link"",""อุตรดิตถ์!J142"")+IMPORTRANGE(""https://docs.google.com/spreadsheets/d/1kII0BjS6CtVrBvI8IrytgPdxDrlyQDyigz"&amp;"MsohRtDMs/edit?usp=share_link"",""อุทัยธานี!J142"")
"),0)</f>
        <v>0</v>
      </c>
      <c r="K142" s="38"/>
      <c r="L142" s="38"/>
      <c r="M142" s="38"/>
      <c r="N142" s="38"/>
      <c r="O142" s="38"/>
      <c r="P142" s="38"/>
    </row>
    <row r="143" spans="1:26" ht="19.5">
      <c r="A143" s="159"/>
      <c r="B143" s="33"/>
      <c r="C143" s="210"/>
      <c r="D143" s="215" t="s">
        <v>72</v>
      </c>
      <c r="E143" s="212"/>
      <c r="F143" s="33"/>
      <c r="G143" s="213"/>
      <c r="H143" s="168" t="s">
        <v>35</v>
      </c>
      <c r="I143" s="37">
        <f ca="1">I145</f>
        <v>120</v>
      </c>
      <c r="J143" s="37">
        <f ca="1">IF(AND(J144&gt;=I144,J145&gt;=I145),J145,0)</f>
        <v>0</v>
      </c>
      <c r="K143" s="38">
        <f t="shared" ref="K143:K146" ca="1" si="94">IF(I143&gt;0,J143*100/I143,0)</f>
        <v>0</v>
      </c>
      <c r="L143" s="38"/>
      <c r="M143" s="38"/>
      <c r="N143" s="38"/>
      <c r="O143" s="38"/>
      <c r="P143" s="38"/>
    </row>
    <row r="144" spans="1:26" ht="19.5">
      <c r="A144" s="159"/>
      <c r="B144" s="33"/>
      <c r="C144" s="210"/>
      <c r="D144" s="178"/>
      <c r="E144" s="211" t="s">
        <v>73</v>
      </c>
      <c r="F144" s="33"/>
      <c r="G144" s="213"/>
      <c r="H144" s="168" t="s">
        <v>35</v>
      </c>
      <c r="I144" s="37">
        <f ca="1">IFERROR(__xludf.DUMMYFUNCTION("IMPORTRANGE(""https://docs.google.com/spreadsheets/d/1KxicF4apzSqm0-jIpmueT4kyZtE-Cwn5zskl7GD4loQ/edit?usp=share_link"",""กำแพงเพชร!I78"")+IMPORTRANGE(""https://docs.google.com/spreadsheets/d/1ZNYWeiFoFA1K1U4xKWqRX29MBvEyRHXORjo734Gnq_c/edit?usp=share_lin"&amp;"k"",""เชียงราย!I78"")
+IMPORTRANGE(""https://docs.google.com/spreadsheets/d/1Jgv0Y7YlHDtsiDawwp-uvifEJ8HVaSn0k2aGHG8-hwM/edit?usp=share_link"",""เชียงใหม่!I78"")+IMPORTRANGE(""https://docs.google.com/spreadsheets/d/1JWG2rZePOz9pe-f-ObA-yDr0VoOX2kSb0qIix2m"&amp;"TUo8/edit?usp=share_link"",""ตาก!I78"")+IMPORTRANGE(""https://docs.google.com/spreadsheets/d/10nSRjK08hx8Y6HgSOQKNw81lyY46Zc7U_Cj72hBMp9U/edit?usp=share_link"",""นครสวรรค์!I78"")+IMPORTRANGE(""https://docs.google.com/spreadsheets/d/1gFVb7qd7amutrIxAAoM7lc"&amp;"y35hllxznovot8lyOfvDo/edit?usp=share_link"",""น่าน!I78"")+IMPORTRANGE(""https://docs.google.com/spreadsheets/d/1K0Aa9s-6EuHE5M0FG1F9aHLXRCOV917xvycTdLdct0w/edit?usp=share_link"",""พะเยา!I78"")+IMPORTRANGE(""https://docs.google.com/spreadsheets/d/1Y9LPKx95"&amp;"PyL5OKy09d-KbKJSuuEZCFdkhYjwC0XQjBA/edit?usp=share_link"",""พิจิตร!I78"")+IMPORTRANGE(""https://docs.google.com/spreadsheets/d/16OMuOwy2eVqZcYWOouQtTpa8X1L23h4660uVHc0C8os/edit?usp=share_link"",""พิษณุโลก!I78"")+IMPORTRANGE(""https://docs.google.com/sprea"&amp;"dsheets/d/1GfgTldLG6k77HXaMQzaafODklYuucJZQNs_GAPEfZyY/edit?usp=share_link"",""เพชรบูรณ์!I78"")+IMPORTRANGE(""https://docs.google.com/spreadsheets/d/1gvTMYAnm7v1yG1BKWFtr0DnaTsq59oW9dwWvFgq6hs0/edit?usp=share_link"",""แพร่!I78"")+IMPORTRANGE(""https://doc"&amp;"s.google.com/spreadsheets/d/1Wbcosgy-Xa1xXUArJSOenub6EfZHUSzc_bpJFWwQUf0/edit?usp=share_link"",""แม่ฮ่องสอน!I78"")+IMPORTRANGE(""https://docs.google.com/spreadsheets/d/1p7ERhsr0qZeSn-KSOdeHS9r0heI-lHtkcn2OH7hP0jQ/edit?usp=share_link"",""ลำปาง!I78"")+IMPOR"&amp;"TRANGE(""https://docs.google.com/spreadsheets/d/1-uUXvimVhiU2U0bMN-xi2te0tS4X7DI2GLPnMjzl8cA/edit?usp=share_link"",""ลำพูน!I78"")+IMPORTRANGE(""https://docs.google.com/spreadsheets/d/17HrOaa5pBUI1onckFfumXB8xlg35qb2uBAFfF1D-Myo/edit?usp=share_link"",""สุโ"&amp;"ขทัย!I78"")+IMPORTRANGE(""https://docs.google.com/spreadsheets/d/1ubs5cl16eYL9gHbdHTJtmtYb9MGzHBs7CAphn8kNCgM/edit?usp=share_link"",""อุตรดิตถ์!I78"")+IMPORTRANGE(""https://docs.google.com/spreadsheets/d/1kII0BjS6CtVrBvI8IrytgPdxDrlyQDyigzMsohRtDMs/edit?u"&amp;"sp=share_link"",""อุทัยธานี!I78"")
"),4)</f>
        <v>4</v>
      </c>
      <c r="J144" s="183">
        <f ca="1">IFERROR(__xludf.DUMMYFUNCTION("IMPORTRANGE(""https://docs.google.com/spreadsheets/d/1KxicF4apzSqm0-jIpmueT4kyZtE-Cwn5zskl7GD4loQ/edit?usp=share_link"",""กำแพงเพชร!J78"")+IMPORTRANGE(""https://docs.google.com/spreadsheets/d/1ZNYWeiFoFA1K1U4xKWqRX29MBvEyRHXORjo734Gnq_c/edit?usp=share_lin"&amp;"k"",""เชียงราย!J78"")
+IMPORTRANGE(""https://docs.google.com/spreadsheets/d/1Jgv0Y7YlHDtsiDawwp-uvifEJ8HVaSn0k2aGHG8-hwM/edit?usp=share_link"",""เชียงใหม่!J78"")+IMPORTRANGE(""https://docs.google.com/spreadsheets/d/1JWG2rZePOz9pe-f-ObA-yDr0VoOX2kSb0qIix2m"&amp;"TUo8/edit?usp=share_link"",""ตาก!J78"")+IMPORTRANGE(""https://docs.google.com/spreadsheets/d/10nSRjK08hx8Y6HgSOQKNw81lyY46Zc7U_Cj72hBMp9U/edit?usp=share_link"",""นครสวรรค์!J78"")+IMPORTRANGE(""https://docs.google.com/spreadsheets/d/1gFVb7qd7amutrIxAAoM7lc"&amp;"y35hllxznovot8lyOfvDo/edit?usp=share_link"",""น่าน!J78"")+IMPORTRANGE(""https://docs.google.com/spreadsheets/d/1K0Aa9s-6EuHE5M0FG1F9aHLXRCOV917xvycTdLdct0w/edit?usp=share_link"",""พะเยา!J78"")+IMPORTRANGE(""https://docs.google.com/spreadsheets/d/1Y9LPKx95"&amp;"PyL5OKy09d-KbKJSuuEZCFdkhYjwC0XQjBA/edit?usp=share_link"",""พิจิตร!J78"")+IMPORTRANGE(""https://docs.google.com/spreadsheets/d/16OMuOwy2eVqZcYWOouQtTpa8X1L23h4660uVHc0C8os/edit?usp=share_link"",""พิษณุโลก!J78"")+IMPORTRANGE(""https://docs.google.com/sprea"&amp;"dsheets/d/1GfgTldLG6k77HXaMQzaafODklYuucJZQNs_GAPEfZyY/edit?usp=share_link"",""เพชรบูรณ์!J78"")+IMPORTRANGE(""https://docs.google.com/spreadsheets/d/1gvTMYAnm7v1yG1BKWFtr0DnaTsq59oW9dwWvFgq6hs0/edit?usp=share_link"",""แพร่!J78"")+IMPORTRANGE(""https://doc"&amp;"s.google.com/spreadsheets/d/1Wbcosgy-Xa1xXUArJSOenub6EfZHUSzc_bpJFWwQUf0/edit?usp=share_link"",""แม่ฮ่องสอน!J78"")+IMPORTRANGE(""https://docs.google.com/spreadsheets/d/1p7ERhsr0qZeSn-KSOdeHS9r0heI-lHtkcn2OH7hP0jQ/edit?usp=share_link"",""ลำปาง!J78"")+IMPOR"&amp;"TRANGE(""https://docs.google.com/spreadsheets/d/1-uUXvimVhiU2U0bMN-xi2te0tS4X7DI2GLPnMjzl8cA/edit?usp=share_link"",""ลำพูน!J78"")+IMPORTRANGE(""https://docs.google.com/spreadsheets/d/17HrOaa5pBUI1onckFfumXB8xlg35qb2uBAFfF1D-Myo/edit?usp=share_link"",""สุโ"&amp;"ขทัย!J78"")+IMPORTRANGE(""https://docs.google.com/spreadsheets/d/1ubs5cl16eYL9gHbdHTJtmtYb9MGzHBs7CAphn8kNCgM/edit?usp=share_link"",""อุตรดิตถ์!J78"")+IMPORTRANGE(""https://docs.google.com/spreadsheets/d/1kII0BjS6CtVrBvI8IrytgPdxDrlyQDyigzMsohRtDMs/edit?u"&amp;"sp=share_link"",""อุทัยธานี!J78"")
"),2)</f>
        <v>2</v>
      </c>
      <c r="K144" s="38">
        <f t="shared" ca="1" si="94"/>
        <v>50</v>
      </c>
      <c r="L144" s="38"/>
      <c r="M144" s="38"/>
      <c r="N144" s="38"/>
      <c r="O144" s="38"/>
      <c r="P144" s="38"/>
    </row>
    <row r="145" spans="1:26" ht="19.5">
      <c r="A145" s="159"/>
      <c r="B145" s="33"/>
      <c r="C145" s="210"/>
      <c r="D145" s="178"/>
      <c r="E145" s="211" t="s">
        <v>74</v>
      </c>
      <c r="F145" s="33"/>
      <c r="G145" s="213"/>
      <c r="H145" s="168" t="s">
        <v>35</v>
      </c>
      <c r="I145" s="37">
        <f ca="1">IFERROR(__xludf.DUMMYFUNCTION("IMPORTRANGE(""https://docs.google.com/spreadsheets/d/1KxicF4apzSqm0-jIpmueT4kyZtE-Cwn5zskl7GD4loQ/edit?usp=share_link"",""กำแพงเพชร!I145"")+IMPORTRANGE(""https://docs.google.com/spreadsheets/d/1ZNYWeiFoFA1K1U4xKWqRX29MBvEyRHXORjo734Gnq_c/edit?usp=share_li"&amp;"nk"",""เชียงราย!I145"")
+IMPORTRANGE(""https://docs.google.com/spreadsheets/d/1Jgv0Y7YlHDtsiDawwp-uvifEJ8HVaSn0k2aGHG8-hwM/edit?usp=share_link"",""เชียงใหม่!I145"")+IMPORTRANGE(""https://docs.google.com/spreadsheets/d/1JWG2rZePOz9pe-f-ObA-yDr0VoOX2kSb0qIi"&amp;"x2mTUo8/edit?usp=share_link"",""ตาก!I145"")+IMPORTRANGE(""https://docs.google.com/spreadsheets/d/10nSRjK08hx8Y6HgSOQKNw81lyY46Zc7U_Cj72hBMp9U/edit?usp=share_link"",""นครสวรรค์!I145"")+IMPORTRANGE(""https://docs.google.com/spreadsheets/d/1gFVb7qd7amutrIxAA"&amp;"oM7lcy35hllxznovot8lyOfvDo/edit?usp=share_link"",""น่าน!I145"")+IMPORTRANGE(""https://docs.google.com/spreadsheets/d/1K0Aa9s-6EuHE5M0FG1F9aHLXRCOV917xvycTdLdct0w/edit?usp=share_link"",""พะเยา!I145"")+IMPORTRANGE(""https://docs.google.com/spreadsheets/d/1Y"&amp;"9LPKx95PyL5OKy09d-KbKJSuuEZCFdkhYjwC0XQjBA/edit?usp=share_link"",""พิจิตร!I145"")+IMPORTRANGE(""https://docs.google.com/spreadsheets/d/16OMuOwy2eVqZcYWOouQtTpa8X1L23h4660uVHc0C8os/edit?usp=share_link"",""พิษณุโลก!I145"")+IMPORTRANGE(""https://docs.google."&amp;"com/spreadsheets/d/1GfgTldLG6k77HXaMQzaafODklYuucJZQNs_GAPEfZyY/edit?usp=share_link"",""เพชรบูรณ์!I145"")+IMPORTRANGE(""https://docs.google.com/spreadsheets/d/1gvTMYAnm7v1yG1BKWFtr0DnaTsq59oW9dwWvFgq6hs0/edit?usp=share_link"",""แพร่!I145"")+IMPORTRANGE("""&amp;"https://docs.google.com/spreadsheets/d/1Wbcosgy-Xa1xXUArJSOenub6EfZHUSzc_bpJFWwQUf0/edit?usp=share_link"",""แม่ฮ่องสอน!I145"")+IMPORTRANGE(""https://docs.google.com/spreadsheets/d/1p7ERhsr0qZeSn-KSOdeHS9r0heI-lHtkcn2OH7hP0jQ/edit?usp=share_link"",""ลำปาง!"&amp;"I145"")+IMPORTRANGE(""https://docs.google.com/spreadsheets/d/1-uUXvimVhiU2U0bMN-xi2te0tS4X7DI2GLPnMjzl8cA/edit?usp=share_link"",""ลำพูน!I145"")+IMPORTRANGE(""https://docs.google.com/spreadsheets/d/17HrOaa5pBUI1onckFfumXB8xlg35qb2uBAFfF1D-Myo/edit?usp=shar"&amp;"e_link"",""สุโขทัย!I145"")+IMPORTRANGE(""https://docs.google.com/spreadsheets/d/1ubs5cl16eYL9gHbdHTJtmtYb9MGzHBs7CAphn8kNCgM/edit?usp=share_link"",""อุตรดิตถ์!I145"")+IMPORTRANGE(""https://docs.google.com/spreadsheets/d/1kII0BjS6CtVrBvI8IrytgPdxDrlyQDyigz"&amp;"MsohRtDMs/edit?usp=share_link"",""อุทัยธานี!I145"")
"),120)</f>
        <v>120</v>
      </c>
      <c r="J145" s="183">
        <f ca="1">IFERROR(__xludf.DUMMYFUNCTION("IMPORTRANGE(""https://docs.google.com/spreadsheets/d/1KxicF4apzSqm0-jIpmueT4kyZtE-Cwn5zskl7GD4loQ/edit?usp=share_link"",""กำแพงเพชร!J145"")+IMPORTRANGE(""https://docs.google.com/spreadsheets/d/1ZNYWeiFoFA1K1U4xKWqRX29MBvEyRHXORjo734Gnq_c/edit?usp=share_li"&amp;"nk"",""เชียงราย!J145"")
+IMPORTRANGE(""https://docs.google.com/spreadsheets/d/1Jgv0Y7YlHDtsiDawwp-uvifEJ8HVaSn0k2aGHG8-hwM/edit?usp=share_link"",""เชียงใหม่!J145"")+IMPORTRANGE(""https://docs.google.com/spreadsheets/d/1JWG2rZePOz9pe-f-ObA-yDr0VoOX2kSb0qIi"&amp;"x2mTUo8/edit?usp=share_link"",""ตาก!J145"")+IMPORTRANGE(""https://docs.google.com/spreadsheets/d/10nSRjK08hx8Y6HgSOQKNw81lyY46Zc7U_Cj72hBMp9U/edit?usp=share_link"",""นครสวรรค์!J145"")+IMPORTRANGE(""https://docs.google.com/spreadsheets/d/1gFVb7qd7amutrIxAA"&amp;"oM7lcy35hllxznovot8lyOfvDo/edit?usp=share_link"",""น่าน!J145"")+IMPORTRANGE(""https://docs.google.com/spreadsheets/d/1K0Aa9s-6EuHE5M0FG1F9aHLXRCOV917xvycTdLdct0w/edit?usp=share_link"",""พะเยา!J145"")+IMPORTRANGE(""https://docs.google.com/spreadsheets/d/1Y"&amp;"9LPKx95PyL5OKy09d-KbKJSuuEZCFdkhYjwC0XQjBA/edit?usp=share_link"",""พิจิตร!J145"")+IMPORTRANGE(""https://docs.google.com/spreadsheets/d/16OMuOwy2eVqZcYWOouQtTpa8X1L23h4660uVHc0C8os/edit?usp=share_link"",""พิษณุโลก!J145"")+IMPORTRANGE(""https://docs.google."&amp;"com/spreadsheets/d/1GfgTldLG6k77HXaMQzaafODklYuucJZQNs_GAPEfZyY/edit?usp=share_link"",""เพชรบูรณ์!J145"")+IMPORTRANGE(""https://docs.google.com/spreadsheets/d/1gvTMYAnm7v1yG1BKWFtr0DnaTsq59oW9dwWvFgq6hs0/edit?usp=share_link"",""แพร่!J145"")+IMPORTRANGE("""&amp;"https://docs.google.com/spreadsheets/d/1Wbcosgy-Xa1xXUArJSOenub6EfZHUSzc_bpJFWwQUf0/edit?usp=share_link"",""แม่ฮ่องสอน!J145"")+IMPORTRANGE(""https://docs.google.com/spreadsheets/d/1p7ERhsr0qZeSn-KSOdeHS9r0heI-lHtkcn2OH7hP0jQ/edit?usp=share_link"",""ลำปาง!"&amp;"J145"")+IMPORTRANGE(""https://docs.google.com/spreadsheets/d/1-uUXvimVhiU2U0bMN-xi2te0tS4X7DI2GLPnMjzl8cA/edit?usp=share_link"",""ลำพูน!J145"")+IMPORTRANGE(""https://docs.google.com/spreadsheets/d/17HrOaa5pBUI1onckFfumXB8xlg35qb2uBAFfF1D-Myo/edit?usp=shar"&amp;"e_link"",""สุโขทัย!J145"")+IMPORTRANGE(""https://docs.google.com/spreadsheets/d/1ubs5cl16eYL9gHbdHTJtmtYb9MGzHBs7CAphn8kNCgM/edit?usp=share_link"",""อุตรดิตถ์!J145"")+IMPORTRANGE(""https://docs.google.com/spreadsheets/d/1kII0BjS6CtVrBvI8IrytgPdxDrlyQDyigz"&amp;"MsohRtDMs/edit?usp=share_link"",""อุทัยธานี!J145"")
"),0)</f>
        <v>0</v>
      </c>
      <c r="K145" s="38">
        <f t="shared" ca="1" si="94"/>
        <v>0</v>
      </c>
      <c r="L145" s="38"/>
      <c r="M145" s="38"/>
      <c r="N145" s="38"/>
      <c r="O145" s="38"/>
      <c r="P145" s="38"/>
    </row>
    <row r="146" spans="1:26" ht="19.5">
      <c r="A146" s="159"/>
      <c r="B146" s="33"/>
      <c r="C146" s="210"/>
      <c r="D146" s="211" t="s">
        <v>75</v>
      </c>
      <c r="E146" s="212"/>
      <c r="F146" s="33"/>
      <c r="G146" s="213"/>
      <c r="H146" s="168" t="s">
        <v>69</v>
      </c>
      <c r="I146" s="37">
        <f ca="1">IFERROR(__xludf.DUMMYFUNCTION("IMPORTRANGE(""https://docs.google.com/spreadsheets/d/1KxicF4apzSqm0-jIpmueT4kyZtE-Cwn5zskl7GD4loQ/edit?usp=share_link"",""กำแพงเพชร!I146"")+IMPORTRANGE(""https://docs.google.com/spreadsheets/d/1ZNYWeiFoFA1K1U4xKWqRX29MBvEyRHXORjo734Gnq_c/edit?usp=share_li"&amp;"nk"",""เชียงราย!I146"")
+IMPORTRANGE(""https://docs.google.com/spreadsheets/d/1Jgv0Y7YlHDtsiDawwp-uvifEJ8HVaSn0k2aGHG8-hwM/edit?usp=share_link"",""เชียงใหม่!I146"")+IMPORTRANGE(""https://docs.google.com/spreadsheets/d/1JWG2rZePOz9pe-f-ObA-yDr0VoOX2kSb0qIi"&amp;"x2mTUo8/edit?usp=share_link"",""ตาก!I146"")+IMPORTRANGE(""https://docs.google.com/spreadsheets/d/10nSRjK08hx8Y6HgSOQKNw81lyY46Zc7U_Cj72hBMp9U/edit?usp=share_link"",""นครสวรรค์!I146"")+IMPORTRANGE(""https://docs.google.com/spreadsheets/d/1gFVb7qd7amutrIxAA"&amp;"oM7lcy35hllxznovot8lyOfvDo/edit?usp=share_link"",""น่าน!I146"")+IMPORTRANGE(""https://docs.google.com/spreadsheets/d/1K0Aa9s-6EuHE5M0FG1F9aHLXRCOV917xvycTdLdct0w/edit?usp=share_link"",""พะเยา!I146"")+IMPORTRANGE(""https://docs.google.com/spreadsheets/d/1Y"&amp;"9LPKx95PyL5OKy09d-KbKJSuuEZCFdkhYjwC0XQjBA/edit?usp=share_link"",""พิจิตร!I146"")+IMPORTRANGE(""https://docs.google.com/spreadsheets/d/16OMuOwy2eVqZcYWOouQtTpa8X1L23h4660uVHc0C8os/edit?usp=share_link"",""พิษณุโลก!I146"")+IMPORTRANGE(""https://docs.google."&amp;"com/spreadsheets/d/1GfgTldLG6k77HXaMQzaafODklYuucJZQNs_GAPEfZyY/edit?usp=share_link"",""เพชรบูรณ์!I146"")+IMPORTRANGE(""https://docs.google.com/spreadsheets/d/1gvTMYAnm7v1yG1BKWFtr0DnaTsq59oW9dwWvFgq6hs0/edit?usp=share_link"",""แพร่!I146"")+IMPORTRANGE("""&amp;"https://docs.google.com/spreadsheets/d/1Wbcosgy-Xa1xXUArJSOenub6EfZHUSzc_bpJFWwQUf0/edit?usp=share_link"",""แม่ฮ่องสอน!I146"")+IMPORTRANGE(""https://docs.google.com/spreadsheets/d/1p7ERhsr0qZeSn-KSOdeHS9r0heI-lHtkcn2OH7hP0jQ/edit?usp=share_link"",""ลำปาง!"&amp;"I146"")+IMPORTRANGE(""https://docs.google.com/spreadsheets/d/1-uUXvimVhiU2U0bMN-xi2te0tS4X7DI2GLPnMjzl8cA/edit?usp=share_link"",""ลำพูน!I146"")+IMPORTRANGE(""https://docs.google.com/spreadsheets/d/17HrOaa5pBUI1onckFfumXB8xlg35qb2uBAFfF1D-Myo/edit?usp=shar"&amp;"e_link"",""สุโขทัย!I146"")+IMPORTRANGE(""https://docs.google.com/spreadsheets/d/1ubs5cl16eYL9gHbdHTJtmtYb9MGzHBs7CAphn8kNCgM/edit?usp=share_link"",""อุตรดิตถ์!I146"")+IMPORTRANGE(""https://docs.google.com/spreadsheets/d/1kII0BjS6CtVrBvI8IrytgPdxDrlyQDyigz"&amp;"MsohRtDMs/edit?usp=share_link"",""อุทัยธานี!I146"")
"),12)</f>
        <v>12</v>
      </c>
      <c r="J146" s="183">
        <f ca="1">IFERROR(__xludf.DUMMYFUNCTION("IMPORTRANGE(""https://docs.google.com/spreadsheets/d/1KxicF4apzSqm0-jIpmueT4kyZtE-Cwn5zskl7GD4loQ/edit?usp=share_link"",""กำแพงเพชร!J146"")+IMPORTRANGE(""https://docs.google.com/spreadsheets/d/1ZNYWeiFoFA1K1U4xKWqRX29MBvEyRHXORjo734Gnq_c/edit?usp=share_li"&amp;"nk"",""เชียงราย!J146"")
+IMPORTRANGE(""https://docs.google.com/spreadsheets/d/1Jgv0Y7YlHDtsiDawwp-uvifEJ8HVaSn0k2aGHG8-hwM/edit?usp=share_link"",""เชียงใหม่!J146"")+IMPORTRANGE(""https://docs.google.com/spreadsheets/d/1JWG2rZePOz9pe-f-ObA-yDr0VoOX2kSb0qIi"&amp;"x2mTUo8/edit?usp=share_link"",""ตาก!J146"")+IMPORTRANGE(""https://docs.google.com/spreadsheets/d/10nSRjK08hx8Y6HgSOQKNw81lyY46Zc7U_Cj72hBMp9U/edit?usp=share_link"",""นครสวรรค์!J146"")+IMPORTRANGE(""https://docs.google.com/spreadsheets/d/1gFVb7qd7amutrIxAA"&amp;"oM7lcy35hllxznovot8lyOfvDo/edit?usp=share_link"",""น่าน!J146"")+IMPORTRANGE(""https://docs.google.com/spreadsheets/d/1K0Aa9s-6EuHE5M0FG1F9aHLXRCOV917xvycTdLdct0w/edit?usp=share_link"",""พะเยา!J146"")+IMPORTRANGE(""https://docs.google.com/spreadsheets/d/1Y"&amp;"9LPKx95PyL5OKy09d-KbKJSuuEZCFdkhYjwC0XQjBA/edit?usp=share_link"",""พิจิตร!J146"")+IMPORTRANGE(""https://docs.google.com/spreadsheets/d/16OMuOwy2eVqZcYWOouQtTpa8X1L23h4660uVHc0C8os/edit?usp=share_link"",""พิษณุโลก!J146"")+IMPORTRANGE(""https://docs.google."&amp;"com/spreadsheets/d/1GfgTldLG6k77HXaMQzaafODklYuucJZQNs_GAPEfZyY/edit?usp=share_link"",""เพชรบูรณ์!J146"")+IMPORTRANGE(""https://docs.google.com/spreadsheets/d/1gvTMYAnm7v1yG1BKWFtr0DnaTsq59oW9dwWvFgq6hs0/edit?usp=share_link"",""แพร่!J146"")+IMPORTRANGE("""&amp;"https://docs.google.com/spreadsheets/d/1Wbcosgy-Xa1xXUArJSOenub6EfZHUSzc_bpJFWwQUf0/edit?usp=share_link"",""แม่ฮ่องสอน!J146"")+IMPORTRANGE(""https://docs.google.com/spreadsheets/d/1p7ERhsr0qZeSn-KSOdeHS9r0heI-lHtkcn2OH7hP0jQ/edit?usp=share_link"",""ลำปาง!"&amp;"J146"")+IMPORTRANGE(""https://docs.google.com/spreadsheets/d/1-uUXvimVhiU2U0bMN-xi2te0tS4X7DI2GLPnMjzl8cA/edit?usp=share_link"",""ลำพูน!J146"")+IMPORTRANGE(""https://docs.google.com/spreadsheets/d/17HrOaa5pBUI1onckFfumXB8xlg35qb2uBAFfF1D-Myo/edit?usp=shar"&amp;"e_link"",""สุโขทัย!J146"")+IMPORTRANGE(""https://docs.google.com/spreadsheets/d/1ubs5cl16eYL9gHbdHTJtmtYb9MGzHBs7CAphn8kNCgM/edit?usp=share_link"",""อุตรดิตถ์!J146"")+IMPORTRANGE(""https://docs.google.com/spreadsheets/d/1kII0BjS6CtVrBvI8IrytgPdxDrlyQDyigz"&amp;"MsohRtDMs/edit?usp=share_link"",""อุทัยธานี!J146"")
"),3)</f>
        <v>3</v>
      </c>
      <c r="K146" s="38">
        <f t="shared" ca="1" si="94"/>
        <v>25</v>
      </c>
      <c r="L146" s="38"/>
      <c r="M146" s="38"/>
      <c r="N146" s="38"/>
      <c r="O146" s="38"/>
      <c r="P146" s="38"/>
    </row>
    <row r="147" spans="1:26" ht="19.5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>
      <c r="A148" s="216"/>
      <c r="B148" s="139" t="s">
        <v>77</v>
      </c>
      <c r="C148" s="208"/>
      <c r="D148" s="208"/>
      <c r="E148" s="217"/>
      <c r="F148" s="218"/>
      <c r="G148" s="219"/>
      <c r="H148" s="220" t="s">
        <v>35</v>
      </c>
      <c r="I148" s="144">
        <f t="shared" ref="I148:J148" ca="1" si="95">I159</f>
        <v>180</v>
      </c>
      <c r="J148" s="144">
        <f t="shared" ca="1" si="95"/>
        <v>13</v>
      </c>
      <c r="K148" s="145">
        <f ca="1">IF(I148&gt;0,J148*100/I148,0)</f>
        <v>7.2222222222222223</v>
      </c>
      <c r="L148" s="145"/>
      <c r="M148" s="145"/>
      <c r="N148" s="145"/>
      <c r="O148" s="145"/>
      <c r="P148" s="145"/>
      <c r="Q148" s="221"/>
      <c r="R148" s="221"/>
      <c r="S148" s="221"/>
      <c r="T148" s="221"/>
      <c r="U148" s="221"/>
      <c r="V148" s="221"/>
      <c r="W148" s="221"/>
      <c r="X148" s="221"/>
      <c r="Y148" s="221"/>
      <c r="Z148" s="221"/>
    </row>
    <row r="149" spans="1:26" ht="19.5">
      <c r="A149" s="147"/>
      <c r="B149" s="148"/>
      <c r="C149" s="149" t="s">
        <v>16</v>
      </c>
      <c r="D149" s="150" t="s">
        <v>17</v>
      </c>
      <c r="E149" s="148"/>
      <c r="F149" s="148"/>
      <c r="G149" s="151"/>
      <c r="H149" s="152" t="s">
        <v>12</v>
      </c>
      <c r="I149" s="153"/>
      <c r="J149" s="153"/>
      <c r="K149" s="154"/>
      <c r="L149" s="155">
        <f t="shared" ref="L149:N149" ca="1" si="96">L150+L151</f>
        <v>90000</v>
      </c>
      <c r="M149" s="155">
        <f t="shared" ca="1" si="96"/>
        <v>246000</v>
      </c>
      <c r="N149" s="155">
        <f t="shared" ca="1" si="96"/>
        <v>22550</v>
      </c>
      <c r="O149" s="155">
        <f t="shared" ref="O149:O157" ca="1" si="97">IF(L149&gt;0,N149*100/L149,0)</f>
        <v>25.055555555555557</v>
      </c>
      <c r="P149" s="155">
        <f t="shared" ref="P149:P157" ca="1" si="98">IF(M149&gt;0,N149*100/M149,0)</f>
        <v>9.1666666666666661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41" t="s">
        <v>18</v>
      </c>
      <c r="F150" s="40"/>
      <c r="G150" s="157"/>
      <c r="H150" s="158" t="s">
        <v>12</v>
      </c>
      <c r="I150" s="44"/>
      <c r="J150" s="44"/>
      <c r="K150" s="45"/>
      <c r="L150" s="45">
        <f t="shared" ref="L150:N150" si="99">L153+L156</f>
        <v>0</v>
      </c>
      <c r="M150" s="45">
        <f t="shared" si="99"/>
        <v>0</v>
      </c>
      <c r="N150" s="45">
        <f t="shared" si="99"/>
        <v>0</v>
      </c>
      <c r="O150" s="45">
        <f t="shared" si="97"/>
        <v>0</v>
      </c>
      <c r="P150" s="45">
        <f t="shared" si="98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41" t="s">
        <v>19</v>
      </c>
      <c r="F151" s="40"/>
      <c r="G151" s="157"/>
      <c r="H151" s="158" t="s">
        <v>12</v>
      </c>
      <c r="I151" s="44"/>
      <c r="J151" s="44"/>
      <c r="K151" s="45"/>
      <c r="L151" s="45">
        <f t="shared" ref="L151:N151" ca="1" si="100">L154+L157</f>
        <v>90000</v>
      </c>
      <c r="M151" s="45">
        <f t="shared" ca="1" si="100"/>
        <v>246000</v>
      </c>
      <c r="N151" s="45">
        <f t="shared" ca="1" si="100"/>
        <v>22550</v>
      </c>
      <c r="O151" s="45">
        <f t="shared" ca="1" si="97"/>
        <v>25.055555555555557</v>
      </c>
      <c r="P151" s="45">
        <f t="shared" ca="1" si="98"/>
        <v>9.1666666666666661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>
      <c r="A152" s="159"/>
      <c r="B152" s="33"/>
      <c r="C152" s="160"/>
      <c r="D152" s="34" t="s">
        <v>20</v>
      </c>
      <c r="E152" s="33"/>
      <c r="F152" s="33"/>
      <c r="G152" s="35"/>
      <c r="H152" s="161" t="s">
        <v>12</v>
      </c>
      <c r="I152" s="162"/>
      <c r="J152" s="162"/>
      <c r="K152" s="163"/>
      <c r="L152" s="38">
        <f t="shared" ref="L152:N152" ca="1" si="101">L153+L154</f>
        <v>90000</v>
      </c>
      <c r="M152" s="38">
        <f t="shared" ca="1" si="101"/>
        <v>246000</v>
      </c>
      <c r="N152" s="38">
        <f t="shared" ca="1" si="101"/>
        <v>22550</v>
      </c>
      <c r="O152" s="38">
        <f t="shared" ca="1" si="97"/>
        <v>25.055555555555557</v>
      </c>
      <c r="P152" s="38">
        <f t="shared" ca="1" si="98"/>
        <v>9.1666666666666661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41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45">
        <f t="shared" si="97"/>
        <v>0</v>
      </c>
      <c r="P153" s="45">
        <f t="shared" si="98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41" t="s">
        <v>37</v>
      </c>
      <c r="F154" s="40"/>
      <c r="G154" s="157"/>
      <c r="H154" s="165" t="s">
        <v>12</v>
      </c>
      <c r="I154" s="166"/>
      <c r="J154" s="166"/>
      <c r="K154" s="167"/>
      <c r="L154" s="45">
        <f ca="1">IFERROR(__xludf.DUMMYFUNCTION("IMPORTRANGE(""https://docs.google.com/spreadsheets/d/1KxicF4apzSqm0-jIpmueT4kyZtE-Cwn5zskl7GD4loQ/edit?usp=share_link"",""กำแพงเพชร!l154"")+IMPORTRANGE(""https://docs.google.com/spreadsheets/d/1ZNYWeiFoFA1K1U4xKWqRX29MBvEyRHXORjo734Gnq_c/edit?usp=share_li"&amp;"nk"",""เชียงราย!l154"")
+IMPORTRANGE(""https://docs.google.com/spreadsheets/d/1Jgv0Y7YlHDtsiDawwp-uvifEJ8HVaSn0k2aGHG8-hwM/edit?usp=share_link"",""เชียงใหม่!l154"")+IMPORTRANGE(""https://docs.google.com/spreadsheets/d/1JWG2rZePOz9pe-f-ObA-yDr0VoOX2kSb0qIi"&amp;"x2mTUo8/edit?usp=share_link"",""ตาก!l154"")+IMPORTRANGE(""https://docs.google.com/spreadsheets/d/10nSRjK08hx8Y6HgSOQKNw81lyY46Zc7U_Cj72hBMp9U/edit?usp=share_link"",""นครสวรรค์!l154"")+IMPORTRANGE(""https://docs.google.com/spreadsheets/d/1gFVb7qd7amutrIxAA"&amp;"oM7lcy35hllxznovot8lyOfvDo/edit?usp=share_link"",""น่าน!l154"")+IMPORTRANGE(""https://docs.google.com/spreadsheets/d/1K0Aa9s-6EuHE5M0FG1F9aHLXRCOV917xvycTdLdct0w/edit?usp=share_link"",""พะเยา!l154"")+IMPORTRANGE(""https://docs.google.com/spreadsheets/d/1Y"&amp;"9LPKx95PyL5OKy09d-KbKJSuuEZCFdkhYjwC0XQjBA/edit?usp=share_link"",""พิจิตร!l154"")+IMPORTRANGE(""https://docs.google.com/spreadsheets/d/16OMuOwy2eVqZcYWOouQtTpa8X1L23h4660uVHc0C8os/edit?usp=share_link"",""พิษณุโลก!l154"")+IMPORTRANGE(""https://docs.google."&amp;"com/spreadsheets/d/1GfgTldLG6k77HXaMQzaafODklYuucJZQNs_GAPEfZyY/edit?usp=share_link"",""เพชรบูรณ์!l154"")+IMPORTRANGE(""https://docs.google.com/spreadsheets/d/1gvTMYAnm7v1yG1BKWFtr0DnaTsq59oW9dwWvFgq6hs0/edit?usp=share_link"",""แพร่!l154"")+IMPORTRANGE("""&amp;"https://docs.google.com/spreadsheets/d/1Wbcosgy-Xa1xXUArJSOenub6EfZHUSzc_bpJFWwQUf0/edit?usp=share_link"",""แม่ฮ่องสอน!l154"")+IMPORTRANGE(""https://docs.google.com/spreadsheets/d/1p7ERhsr0qZeSn-KSOdeHS9r0heI-lHtkcn2OH7hP0jQ/edit?usp=share_link"",""ลำปาง!"&amp;"l154"")+IMPORTRANGE(""https://docs.google.com/spreadsheets/d/1-uUXvimVhiU2U0bMN-xi2te0tS4X7DI2GLPnMjzl8cA/edit?usp=share_link"",""ลำพูน!l154"")+IMPORTRANGE(""https://docs.google.com/spreadsheets/d/17HrOaa5pBUI1onckFfumXB8xlg35qb2uBAFfF1D-Myo/edit?usp=shar"&amp;"e_link"",""สุโขทัย!l154"")+IMPORTRANGE(""https://docs.google.com/spreadsheets/d/1ubs5cl16eYL9gHbdHTJtmtYb9MGzHBs7CAphn8kNCgM/edit?usp=share_link"",""อุตรดิตถ์!l154"")+IMPORTRANGE(""https://docs.google.com/spreadsheets/d/1kII0BjS6CtVrBvI8IrytgPdxDrlyQDyigz"&amp;"MsohRtDMs/edit?usp=share_link"",""อุทัยธานี!l154"")
"),90000)</f>
        <v>90000</v>
      </c>
      <c r="M154" s="45">
        <f ca="1">IFERROR(__xludf.DUMMYFUNCTION("IMPORTRANGE(""https://docs.google.com/spreadsheets/d/1KxicF4apzSqm0-jIpmueT4kyZtE-Cwn5zskl7GD4loQ/edit?usp=share_link"",""กำแพงเพชร!m154"")+IMPORTRANGE(""https://docs.google.com/spreadsheets/d/1ZNYWeiFoFA1K1U4xKWqRX29MBvEyRHXORjo734Gnq_c/edit?usp=share_li"&amp;"nk"",""เชียงราย!m154"")
+IMPORTRANGE(""https://docs.google.com/spreadsheets/d/1Jgv0Y7YlHDtsiDawwp-uvifEJ8HVaSn0k2aGHG8-hwM/edit?usp=share_link"",""เชียงใหม่!m154"")+IMPORTRANGE(""https://docs.google.com/spreadsheets/d/1JWG2rZePOz9pe-f-ObA-yDr0VoOX2kSb0qIi"&amp;"x2mTUo8/edit?usp=share_link"",""ตาก!m154"")+IMPORTRANGE(""https://docs.google.com/spreadsheets/d/10nSRjK08hx8Y6HgSOQKNw81lyY46Zc7U_Cj72hBMp9U/edit?usp=share_link"",""นครสวรรค์!m154"")+IMPORTRANGE(""https://docs.google.com/spreadsheets/d/1gFVb7qd7amutrIxAA"&amp;"oM7lcy35hllxznovot8lyOfvDo/edit?usp=share_link"",""น่าน!m154"")+IMPORTRANGE(""https://docs.google.com/spreadsheets/d/1K0Aa9s-6EuHE5M0FG1F9aHLXRCOV917xvycTdLdct0w/edit?usp=share_link"",""พะเยา!m154"")+IMPORTRANGE(""https://docs.google.com/spreadsheets/d/1Y"&amp;"9LPKx95PyL5OKy09d-KbKJSuuEZCFdkhYjwC0XQjBA/edit?usp=share_link"",""พิจิตร!m154"")+IMPORTRANGE(""https://docs.google.com/spreadsheets/d/16OMuOwy2eVqZcYWOouQtTpa8X1L23h4660uVHc0C8os/edit?usp=share_link"",""พิษณุโลก!m154"")+IMPORTRANGE(""https://docs.google."&amp;"com/spreadsheets/d/1GfgTldLG6k77HXaMQzaafODklYuucJZQNs_GAPEfZyY/edit?usp=share_link"",""เพชรบูรณ์!m154"")+IMPORTRANGE(""https://docs.google.com/spreadsheets/d/1gvTMYAnm7v1yG1BKWFtr0DnaTsq59oW9dwWvFgq6hs0/edit?usp=share_link"",""แพร่!m154"")+IMPORTRANGE("""&amp;"https://docs.google.com/spreadsheets/d/1Wbcosgy-Xa1xXUArJSOenub6EfZHUSzc_bpJFWwQUf0/edit?usp=share_link"",""แม่ฮ่องสอน!m154"")+IMPORTRANGE(""https://docs.google.com/spreadsheets/d/1p7ERhsr0qZeSn-KSOdeHS9r0heI-lHtkcn2OH7hP0jQ/edit?usp=share_link"",""ลำปาง!"&amp;"m154"")+IMPORTRANGE(""https://docs.google.com/spreadsheets/d/1-uUXvimVhiU2U0bMN-xi2te0tS4X7DI2GLPnMjzl8cA/edit?usp=share_link"",""ลำพูน!m154"")+IMPORTRANGE(""https://docs.google.com/spreadsheets/d/17HrOaa5pBUI1onckFfumXB8xlg35qb2uBAFfF1D-Myo/edit?usp=shar"&amp;"e_link"",""สุโขทัย!m154"")+IMPORTRANGE(""https://docs.google.com/spreadsheets/d/1ubs5cl16eYL9gHbdHTJtmtYb9MGzHBs7CAphn8kNCgM/edit?usp=share_link"",""อุตรดิตถ์!m154"")+IMPORTRANGE(""https://docs.google.com/spreadsheets/d/1kII0BjS6CtVrBvI8IrytgPdxDrlyQDyigz"&amp;"MsohRtDMs/edit?usp=share_link"",""อุทัยธานี!m154"")
"),246000)</f>
        <v>246000</v>
      </c>
      <c r="N154" s="45">
        <f ca="1">IFERROR(__xludf.DUMMYFUNCTION("IMPORTRANGE(""https://docs.google.com/spreadsheets/d/1KxicF4apzSqm0-jIpmueT4kyZtE-Cwn5zskl7GD4loQ/edit?usp=share_link"",""กำแพงเพชร!n154"")+IMPORTRANGE(""https://docs.google.com/spreadsheets/d/1ZNYWeiFoFA1K1U4xKWqRX29MBvEyRHXORjo734Gnq_c/edit?usp=share_li"&amp;"nk"",""เชียงราย!n154"")
+IMPORTRANGE(""https://docs.google.com/spreadsheets/d/1Jgv0Y7YlHDtsiDawwp-uvifEJ8HVaSn0k2aGHG8-hwM/edit?usp=share_link"",""เชียงใหม่!n154"")+IMPORTRANGE(""https://docs.google.com/spreadsheets/d/1JWG2rZePOz9pe-f-ObA-yDr0VoOX2kSb0qIi"&amp;"x2mTUo8/edit?usp=share_link"",""ตาก!n154"")+IMPORTRANGE(""https://docs.google.com/spreadsheets/d/10nSRjK08hx8Y6HgSOQKNw81lyY46Zc7U_Cj72hBMp9U/edit?usp=share_link"",""นครสวรรค์!n154"")+IMPORTRANGE(""https://docs.google.com/spreadsheets/d/1gFVb7qd7amutrIxAA"&amp;"oM7lcy35hllxznovot8lyOfvDo/edit?usp=share_link"",""น่าน!n154"")+IMPORTRANGE(""https://docs.google.com/spreadsheets/d/1K0Aa9s-6EuHE5M0FG1F9aHLXRCOV917xvycTdLdct0w/edit?usp=share_link"",""พะเยา!n154"")+IMPORTRANGE(""https://docs.google.com/spreadsheets/d/1Y"&amp;"9LPKx95PyL5OKy09d-KbKJSuuEZCFdkhYjwC0XQjBA/edit?usp=share_link"",""พิจิตร!n154"")+IMPORTRANGE(""https://docs.google.com/spreadsheets/d/16OMuOwy2eVqZcYWOouQtTpa8X1L23h4660uVHc0C8os/edit?usp=share_link"",""พิษณุโลก!n154"")+IMPORTRANGE(""https://docs.google."&amp;"com/spreadsheets/d/1GfgTldLG6k77HXaMQzaafODklYuucJZQNs_GAPEfZyY/edit?usp=share_link"",""เพชรบูรณ์!n154"")+IMPORTRANGE(""https://docs.google.com/spreadsheets/d/1gvTMYAnm7v1yG1BKWFtr0DnaTsq59oW9dwWvFgq6hs0/edit?usp=share_link"",""แพร่!n154"")+IMPORTRANGE("""&amp;"https://docs.google.com/spreadsheets/d/1Wbcosgy-Xa1xXUArJSOenub6EfZHUSzc_bpJFWwQUf0/edit?usp=share_link"",""แม่ฮ่องสอน!n154"")+IMPORTRANGE(""https://docs.google.com/spreadsheets/d/1p7ERhsr0qZeSn-KSOdeHS9r0heI-lHtkcn2OH7hP0jQ/edit?usp=share_link"",""ลำปาง!"&amp;"n154"")+IMPORTRANGE(""https://docs.google.com/spreadsheets/d/1-uUXvimVhiU2U0bMN-xi2te0tS4X7DI2GLPnMjzl8cA/edit?usp=share_link"",""ลำพูน!n154"")+IMPORTRANGE(""https://docs.google.com/spreadsheets/d/17HrOaa5pBUI1onckFfumXB8xlg35qb2uBAFfF1D-Myo/edit?usp=shar"&amp;"e_link"",""สุโขทัย!n154"")+IMPORTRANGE(""https://docs.google.com/spreadsheets/d/1ubs5cl16eYL9gHbdHTJtmtYb9MGzHBs7CAphn8kNCgM/edit?usp=share_link"",""อุตรดิตถ์!n154"")+IMPORTRANGE(""https://docs.google.com/spreadsheets/d/1kII0BjS6CtVrBvI8IrytgPdxDrlyQDyigz"&amp;"MsohRtDMs/edit?usp=share_link"",""อุทัยธานี!n154"")
"),22550)</f>
        <v>22550</v>
      </c>
      <c r="O154" s="45">
        <f t="shared" ca="1" si="97"/>
        <v>25.055555555555557</v>
      </c>
      <c r="P154" s="45">
        <f t="shared" ca="1" si="98"/>
        <v>9.1666666666666661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>
      <c r="A155" s="159"/>
      <c r="B155" s="33"/>
      <c r="C155" s="160"/>
      <c r="D155" s="34" t="s">
        <v>21</v>
      </c>
      <c r="E155" s="33"/>
      <c r="F155" s="33"/>
      <c r="G155" s="35"/>
      <c r="H155" s="168" t="s">
        <v>12</v>
      </c>
      <c r="I155" s="162"/>
      <c r="J155" s="162"/>
      <c r="K155" s="163"/>
      <c r="L155" s="38">
        <f t="shared" ref="L155:N155" ca="1" si="102">L156+L157</f>
        <v>0</v>
      </c>
      <c r="M155" s="38">
        <f t="shared" ca="1" si="102"/>
        <v>0</v>
      </c>
      <c r="N155" s="38">
        <f t="shared" ca="1" si="102"/>
        <v>0</v>
      </c>
      <c r="O155" s="38">
        <f t="shared" ca="1" si="97"/>
        <v>0</v>
      </c>
      <c r="P155" s="38">
        <f t="shared" ca="1" si="98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41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45">
        <f t="shared" si="97"/>
        <v>0</v>
      </c>
      <c r="P156" s="45">
        <f t="shared" si="98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41" t="s">
        <v>19</v>
      </c>
      <c r="F157" s="40"/>
      <c r="G157" s="157"/>
      <c r="H157" s="169" t="s">
        <v>12</v>
      </c>
      <c r="I157" s="166"/>
      <c r="J157" s="166"/>
      <c r="K157" s="167"/>
      <c r="L157" s="45">
        <f ca="1">IFERROR(__xludf.DUMMYFUNCTION("IMPORTRANGE(""https://docs.google.com/spreadsheets/d/1KxicF4apzSqm0-jIpmueT4kyZtE-Cwn5zskl7GD4loQ/edit?usp=share_link"",""กำแพงเพชร!l157"")+IMPORTRANGE(""https://docs.google.com/spreadsheets/d/1ZNYWeiFoFA1K1U4xKWqRX29MBvEyRHXORjo734Gnq_c/edit?usp=share_li"&amp;"nk"",""เชียงราย!l157"")
+IMPORTRANGE(""https://docs.google.com/spreadsheets/d/1Jgv0Y7YlHDtsiDawwp-uvifEJ8HVaSn0k2aGHG8-hwM/edit?usp=share_link"",""เชียงใหม่!l157"")+IMPORTRANGE(""https://docs.google.com/spreadsheets/d/1JWG2rZePOz9pe-f-ObA-yDr0VoOX2kSb0qIi"&amp;"x2mTUo8/edit?usp=share_link"",""ตาก!l157"")+IMPORTRANGE(""https://docs.google.com/spreadsheets/d/10nSRjK08hx8Y6HgSOQKNw81lyY46Zc7U_Cj72hBMp9U/edit?usp=share_link"",""นครสวรรค์!l157"")+IMPORTRANGE(""https://docs.google.com/spreadsheets/d/1gFVb7qd7amutrIxAA"&amp;"oM7lcy35hllxznovot8lyOfvDo/edit?usp=share_link"",""น่าน!l157"")+IMPORTRANGE(""https://docs.google.com/spreadsheets/d/1K0Aa9s-6EuHE5M0FG1F9aHLXRCOV917xvycTdLdct0w/edit?usp=share_link"",""พะเยา!l157"")+IMPORTRANGE(""https://docs.google.com/spreadsheets/d/1Y"&amp;"9LPKx95PyL5OKy09d-KbKJSuuEZCFdkhYjwC0XQjBA/edit?usp=share_link"",""พิจิตร!l157"")+IMPORTRANGE(""https://docs.google.com/spreadsheets/d/16OMuOwy2eVqZcYWOouQtTpa8X1L23h4660uVHc0C8os/edit?usp=share_link"",""พิษณุโลก!l157"")+IMPORTRANGE(""https://docs.google."&amp;"com/spreadsheets/d/1GfgTldLG6k77HXaMQzaafODklYuucJZQNs_GAPEfZyY/edit?usp=share_link"",""เพชรบูรณ์!l157"")+IMPORTRANGE(""https://docs.google.com/spreadsheets/d/1gvTMYAnm7v1yG1BKWFtr0DnaTsq59oW9dwWvFgq6hs0/edit?usp=share_link"",""แพร่!l157"")+IMPORTRANGE("""&amp;"https://docs.google.com/spreadsheets/d/1Wbcosgy-Xa1xXUArJSOenub6EfZHUSzc_bpJFWwQUf0/edit?usp=share_link"",""แม่ฮ่องสอน!l157"")+IMPORTRANGE(""https://docs.google.com/spreadsheets/d/1p7ERhsr0qZeSn-KSOdeHS9r0heI-lHtkcn2OH7hP0jQ/edit?usp=share_link"",""ลำปาง!"&amp;"l157"")+IMPORTRANGE(""https://docs.google.com/spreadsheets/d/1-uUXvimVhiU2U0bMN-xi2te0tS4X7DI2GLPnMjzl8cA/edit?usp=share_link"",""ลำพูน!l157"")+IMPORTRANGE(""https://docs.google.com/spreadsheets/d/17HrOaa5pBUI1onckFfumXB8xlg35qb2uBAFfF1D-Myo/edit?usp=shar"&amp;"e_link"",""สุโขทัย!l157"")+IMPORTRANGE(""https://docs.google.com/spreadsheets/d/1ubs5cl16eYL9gHbdHTJtmtYb9MGzHBs7CAphn8kNCgM/edit?usp=share_link"",""อุตรดิตถ์!l157"")+IMPORTRANGE(""https://docs.google.com/spreadsheets/d/1kII0BjS6CtVrBvI8IrytgPdxDrlyQDyigz"&amp;"MsohRtDMs/edit?usp=share_link"",""อุทัยธานี!l157"")
"),0)</f>
        <v>0</v>
      </c>
      <c r="M157" s="45">
        <f ca="1">IFERROR(__xludf.DUMMYFUNCTION("IMPORTRANGE(""https://docs.google.com/spreadsheets/d/1KxicF4apzSqm0-jIpmueT4kyZtE-Cwn5zskl7GD4loQ/edit?usp=share_link"",""กำแพงเพชร!m157"")+IMPORTRANGE(""https://docs.google.com/spreadsheets/d/1ZNYWeiFoFA1K1U4xKWqRX29MBvEyRHXORjo734Gnq_c/edit?usp=share_li"&amp;"nk"",""เชียงราย!m157"")
+IMPORTRANGE(""https://docs.google.com/spreadsheets/d/1Jgv0Y7YlHDtsiDawwp-uvifEJ8HVaSn0k2aGHG8-hwM/edit?usp=share_link"",""เชียงใหม่!m157"")+IMPORTRANGE(""https://docs.google.com/spreadsheets/d/1JWG2rZePOz9pe-f-ObA-yDr0VoOX2kSb0qIi"&amp;"x2mTUo8/edit?usp=share_link"",""ตาก!m157"")+IMPORTRANGE(""https://docs.google.com/spreadsheets/d/10nSRjK08hx8Y6HgSOQKNw81lyY46Zc7U_Cj72hBMp9U/edit?usp=share_link"",""นครสวรรค์!m157"")+IMPORTRANGE(""https://docs.google.com/spreadsheets/d/1gFVb7qd7amutrIxAA"&amp;"oM7lcy35hllxznovot8lyOfvDo/edit?usp=share_link"",""น่าน!m157"")+IMPORTRANGE(""https://docs.google.com/spreadsheets/d/1K0Aa9s-6EuHE5M0FG1F9aHLXRCOV917xvycTdLdct0w/edit?usp=share_link"",""พะเยา!m157"")+IMPORTRANGE(""https://docs.google.com/spreadsheets/d/1Y"&amp;"9LPKx95PyL5OKy09d-KbKJSuuEZCFdkhYjwC0XQjBA/edit?usp=share_link"",""พิจิตร!m157"")+IMPORTRANGE(""https://docs.google.com/spreadsheets/d/16OMuOwy2eVqZcYWOouQtTpa8X1L23h4660uVHc0C8os/edit?usp=share_link"",""พิษณุโลก!m157"")+IMPORTRANGE(""https://docs.google."&amp;"com/spreadsheets/d/1GfgTldLG6k77HXaMQzaafODklYuucJZQNs_GAPEfZyY/edit?usp=share_link"",""เพชรบูรณ์!m157"")+IMPORTRANGE(""https://docs.google.com/spreadsheets/d/1gvTMYAnm7v1yG1BKWFtr0DnaTsq59oW9dwWvFgq6hs0/edit?usp=share_link"",""แพร่!m157"")+IMPORTRANGE("""&amp;"https://docs.google.com/spreadsheets/d/1Wbcosgy-Xa1xXUArJSOenub6EfZHUSzc_bpJFWwQUf0/edit?usp=share_link"",""แม่ฮ่องสอน!m157"")+IMPORTRANGE(""https://docs.google.com/spreadsheets/d/1p7ERhsr0qZeSn-KSOdeHS9r0heI-lHtkcn2OH7hP0jQ/edit?usp=share_link"",""ลำปาง!"&amp;"m157"")+IMPORTRANGE(""https://docs.google.com/spreadsheets/d/1-uUXvimVhiU2U0bMN-xi2te0tS4X7DI2GLPnMjzl8cA/edit?usp=share_link"",""ลำพูน!m157"")+IMPORTRANGE(""https://docs.google.com/spreadsheets/d/17HrOaa5pBUI1onckFfumXB8xlg35qb2uBAFfF1D-Myo/edit?usp=shar"&amp;"e_link"",""สุโขทัย!m157"")+IMPORTRANGE(""https://docs.google.com/spreadsheets/d/1ubs5cl16eYL9gHbdHTJtmtYb9MGzHBs7CAphn8kNCgM/edit?usp=share_link"",""อุตรดิตถ์!m157"")+IMPORTRANGE(""https://docs.google.com/spreadsheets/d/1kII0BjS6CtVrBvI8IrytgPdxDrlyQDyigz"&amp;"MsohRtDMs/edit?usp=share_link"",""อุทัยธานี!m157"")
"),0)</f>
        <v>0</v>
      </c>
      <c r="N157" s="45">
        <f ca="1">IFERROR(__xludf.DUMMYFUNCTION("IMPORTRANGE(""https://docs.google.com/spreadsheets/d/1KxicF4apzSqm0-jIpmueT4kyZtE-Cwn5zskl7GD4loQ/edit?usp=share_link"",""กำแพงเพชร!n157"")+IMPORTRANGE(""https://docs.google.com/spreadsheets/d/1ZNYWeiFoFA1K1U4xKWqRX29MBvEyRHXORjo734Gnq_c/edit?usp=share_li"&amp;"nk"",""เชียงราย!n157"")
+IMPORTRANGE(""https://docs.google.com/spreadsheets/d/1Jgv0Y7YlHDtsiDawwp-uvifEJ8HVaSn0k2aGHG8-hwM/edit?usp=share_link"",""เชียงใหม่!n157"")+IMPORTRANGE(""https://docs.google.com/spreadsheets/d/1JWG2rZePOz9pe-f-ObA-yDr0VoOX2kSb0qIi"&amp;"x2mTUo8/edit?usp=share_link"",""ตาก!n157"")+IMPORTRANGE(""https://docs.google.com/spreadsheets/d/10nSRjK08hx8Y6HgSOQKNw81lyY46Zc7U_Cj72hBMp9U/edit?usp=share_link"",""นครสวรรค์!n157"")+IMPORTRANGE(""https://docs.google.com/spreadsheets/d/1gFVb7qd7amutrIxAA"&amp;"oM7lcy35hllxznovot8lyOfvDo/edit?usp=share_link"",""น่าน!n157"")+IMPORTRANGE(""https://docs.google.com/spreadsheets/d/1K0Aa9s-6EuHE5M0FG1F9aHLXRCOV917xvycTdLdct0w/edit?usp=share_link"",""พะเยา!n157"")+IMPORTRANGE(""https://docs.google.com/spreadsheets/d/1Y"&amp;"9LPKx95PyL5OKy09d-KbKJSuuEZCFdkhYjwC0XQjBA/edit?usp=share_link"",""พิจิตร!n157"")+IMPORTRANGE(""https://docs.google.com/spreadsheets/d/16OMuOwy2eVqZcYWOouQtTpa8X1L23h4660uVHc0C8os/edit?usp=share_link"",""พิษณุโลก!n157"")+IMPORTRANGE(""https://docs.google."&amp;"com/spreadsheets/d/1GfgTldLG6k77HXaMQzaafODklYuucJZQNs_GAPEfZyY/edit?usp=share_link"",""เพชรบูรณ์!n157"")+IMPORTRANGE(""https://docs.google.com/spreadsheets/d/1gvTMYAnm7v1yG1BKWFtr0DnaTsq59oW9dwWvFgq6hs0/edit?usp=share_link"",""แพร่!n157"")+IMPORTRANGE("""&amp;"https://docs.google.com/spreadsheets/d/1Wbcosgy-Xa1xXUArJSOenub6EfZHUSzc_bpJFWwQUf0/edit?usp=share_link"",""แม่ฮ่องสอน!n157"")+IMPORTRANGE(""https://docs.google.com/spreadsheets/d/1p7ERhsr0qZeSn-KSOdeHS9r0heI-lHtkcn2OH7hP0jQ/edit?usp=share_link"",""ลำปาง!"&amp;"n157"")+IMPORTRANGE(""https://docs.google.com/spreadsheets/d/1-uUXvimVhiU2U0bMN-xi2te0tS4X7DI2GLPnMjzl8cA/edit?usp=share_link"",""ลำพูน!n157"")+IMPORTRANGE(""https://docs.google.com/spreadsheets/d/17HrOaa5pBUI1onckFfumXB8xlg35qb2uBAFfF1D-Myo/edit?usp=shar"&amp;"e_link"",""สุโขทัย!n157"")+IMPORTRANGE(""https://docs.google.com/spreadsheets/d/1ubs5cl16eYL9gHbdHTJtmtYb9MGzHBs7CAphn8kNCgM/edit?usp=share_link"",""อุตรดิตถ์!n157"")+IMPORTRANGE(""https://docs.google.com/spreadsheets/d/1kII0BjS6CtVrBvI8IrytgPdxDrlyQDyigz"&amp;"MsohRtDMs/edit?usp=share_link"",""อุทัยธานี!n157"")
"),0)</f>
        <v>0</v>
      </c>
      <c r="O157" s="45">
        <f t="shared" ca="1" si="97"/>
        <v>0</v>
      </c>
      <c r="P157" s="45">
        <f t="shared" ca="1" si="98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>
      <c r="A158" s="170"/>
      <c r="B158" s="171"/>
      <c r="C158" s="164" t="s">
        <v>16</v>
      </c>
      <c r="D158" s="172" t="s">
        <v>38</v>
      </c>
      <c r="E158" s="173"/>
      <c r="F158" s="173"/>
      <c r="G158" s="174"/>
      <c r="H158" s="168"/>
      <c r="I158" s="37"/>
      <c r="J158" s="37"/>
      <c r="K158" s="38"/>
      <c r="L158" s="38"/>
      <c r="M158" s="38"/>
      <c r="N158" s="38"/>
      <c r="O158" s="38"/>
      <c r="P158" s="38"/>
    </row>
    <row r="159" spans="1:26" ht="19.5">
      <c r="A159" s="159"/>
      <c r="B159" s="33"/>
      <c r="C159" s="210"/>
      <c r="D159" s="215" t="s">
        <v>78</v>
      </c>
      <c r="E159" s="212"/>
      <c r="F159" s="33"/>
      <c r="G159" s="213"/>
      <c r="H159" s="168" t="s">
        <v>35</v>
      </c>
      <c r="I159" s="37">
        <f ca="1">IFERROR(__xludf.DUMMYFUNCTION("IMPORTRANGE(""https://docs.google.com/spreadsheets/d/1KxicF4apzSqm0-jIpmueT4kyZtE-Cwn5zskl7GD4loQ/edit?usp=share_link"",""กำแพงเพชร!I159"")+IMPORTRANGE(""https://docs.google.com/spreadsheets/d/1ZNYWeiFoFA1K1U4xKWqRX29MBvEyRHXORjo734Gnq_c/edit?usp=share_li"&amp;"nk"",""เชียงราย!I159"")
+IMPORTRANGE(""https://docs.google.com/spreadsheets/d/1Jgv0Y7YlHDtsiDawwp-uvifEJ8HVaSn0k2aGHG8-hwM/edit?usp=share_link"",""เชียงใหม่!I159"")+IMPORTRANGE(""https://docs.google.com/spreadsheets/d/1JWG2rZePOz9pe-f-ObA-yDr0VoOX2kSb0qIi"&amp;"x2mTUo8/edit?usp=share_link"",""ตาก!I159"")+IMPORTRANGE(""https://docs.google.com/spreadsheets/d/10nSRjK08hx8Y6HgSOQKNw81lyY46Zc7U_Cj72hBMp9U/edit?usp=share_link"",""นครสวรรค์!I159"")+IMPORTRANGE(""https://docs.google.com/spreadsheets/d/1gFVb7qd7amutrIxAA"&amp;"oM7lcy35hllxznovot8lyOfvDo/edit?usp=share_link"",""น่าน!I159"")+IMPORTRANGE(""https://docs.google.com/spreadsheets/d/1K0Aa9s-6EuHE5M0FG1F9aHLXRCOV917xvycTdLdct0w/edit?usp=share_link"",""พะเยา!I159"")+IMPORTRANGE(""https://docs.google.com/spreadsheets/d/1Y"&amp;"9LPKx95PyL5OKy09d-KbKJSuuEZCFdkhYjwC0XQjBA/edit?usp=share_link"",""พิจิตร!I159"")+IMPORTRANGE(""https://docs.google.com/spreadsheets/d/16OMuOwy2eVqZcYWOouQtTpa8X1L23h4660uVHc0C8os/edit?usp=share_link"",""พิษณุโลก!I159"")+IMPORTRANGE(""https://docs.google."&amp;"com/spreadsheets/d/1GfgTldLG6k77HXaMQzaafODklYuucJZQNs_GAPEfZyY/edit?usp=share_link"",""เพชรบูรณ์!I159"")+IMPORTRANGE(""https://docs.google.com/spreadsheets/d/1gvTMYAnm7v1yG1BKWFtr0DnaTsq59oW9dwWvFgq6hs0/edit?usp=share_link"",""แพร่!I159"")+IMPORTRANGE("""&amp;"https://docs.google.com/spreadsheets/d/1Wbcosgy-Xa1xXUArJSOenub6EfZHUSzc_bpJFWwQUf0/edit?usp=share_link"",""แม่ฮ่องสอน!I159"")+IMPORTRANGE(""https://docs.google.com/spreadsheets/d/1p7ERhsr0qZeSn-KSOdeHS9r0heI-lHtkcn2OH7hP0jQ/edit?usp=share_link"",""ลำปาง!"&amp;"I159"")+IMPORTRANGE(""https://docs.google.com/spreadsheets/d/1-uUXvimVhiU2U0bMN-xi2te0tS4X7DI2GLPnMjzl8cA/edit?usp=share_link"",""ลำพูน!I159"")+IMPORTRANGE(""https://docs.google.com/spreadsheets/d/17HrOaa5pBUI1onckFfumXB8xlg35qb2uBAFfF1D-Myo/edit?usp=shar"&amp;"e_link"",""สุโขทัย!I159"")+IMPORTRANGE(""https://docs.google.com/spreadsheets/d/1ubs5cl16eYL9gHbdHTJtmtYb9MGzHBs7CAphn8kNCgM/edit?usp=share_link"",""อุตรดิตถ์!I159"")+IMPORTRANGE(""https://docs.google.com/spreadsheets/d/1kII0BjS6CtVrBvI8IrytgPdxDrlyQDyigz"&amp;"MsohRtDMs/edit?usp=share_link"",""อุทัยธานี!I159"")
"),180)</f>
        <v>180</v>
      </c>
      <c r="J159" s="183">
        <f ca="1">IFERROR(__xludf.DUMMYFUNCTION("IMPORTRANGE(""https://docs.google.com/spreadsheets/d/1KxicF4apzSqm0-jIpmueT4kyZtE-Cwn5zskl7GD4loQ/edit?usp=share_link"",""กำแพงเพชร!J159"")+IMPORTRANGE(""https://docs.google.com/spreadsheets/d/1ZNYWeiFoFA1K1U4xKWqRX29MBvEyRHXORjo734Gnq_c/edit?usp=share_li"&amp;"nk"",""เชียงราย!J159"")
+IMPORTRANGE(""https://docs.google.com/spreadsheets/d/1Jgv0Y7YlHDtsiDawwp-uvifEJ8HVaSn0k2aGHG8-hwM/edit?usp=share_link"",""เชียงใหม่!J159"")+IMPORTRANGE(""https://docs.google.com/spreadsheets/d/1JWG2rZePOz9pe-f-ObA-yDr0VoOX2kSb0qIi"&amp;"x2mTUo8/edit?usp=share_link"",""ตาก!J159"")+IMPORTRANGE(""https://docs.google.com/spreadsheets/d/10nSRjK08hx8Y6HgSOQKNw81lyY46Zc7U_Cj72hBMp9U/edit?usp=share_link"",""นครสวรรค์!J159"")+IMPORTRANGE(""https://docs.google.com/spreadsheets/d/1gFVb7qd7amutrIxAA"&amp;"oM7lcy35hllxznovot8lyOfvDo/edit?usp=share_link"",""น่าน!J159"")+IMPORTRANGE(""https://docs.google.com/spreadsheets/d/1K0Aa9s-6EuHE5M0FG1F9aHLXRCOV917xvycTdLdct0w/edit?usp=share_link"",""พะเยา!J159"")+IMPORTRANGE(""https://docs.google.com/spreadsheets/d/1Y"&amp;"9LPKx95PyL5OKy09d-KbKJSuuEZCFdkhYjwC0XQjBA/edit?usp=share_link"",""พิจิตร!J159"")+IMPORTRANGE(""https://docs.google.com/spreadsheets/d/16OMuOwy2eVqZcYWOouQtTpa8X1L23h4660uVHc0C8os/edit?usp=share_link"",""พิษณุโลก!J159"")+IMPORTRANGE(""https://docs.google."&amp;"com/spreadsheets/d/1GfgTldLG6k77HXaMQzaafODklYuucJZQNs_GAPEfZyY/edit?usp=share_link"",""เพชรบูรณ์!J159"")+IMPORTRANGE(""https://docs.google.com/spreadsheets/d/1gvTMYAnm7v1yG1BKWFtr0DnaTsq59oW9dwWvFgq6hs0/edit?usp=share_link"",""แพร่!J159"")+IMPORTRANGE("""&amp;"https://docs.google.com/spreadsheets/d/1Wbcosgy-Xa1xXUArJSOenub6EfZHUSzc_bpJFWwQUf0/edit?usp=share_link"",""แม่ฮ่องสอน!J159"")+IMPORTRANGE(""https://docs.google.com/spreadsheets/d/1p7ERhsr0qZeSn-KSOdeHS9r0heI-lHtkcn2OH7hP0jQ/edit?usp=share_link"",""ลำปาง!"&amp;"J159"")+IMPORTRANGE(""https://docs.google.com/spreadsheets/d/1-uUXvimVhiU2U0bMN-xi2te0tS4X7DI2GLPnMjzl8cA/edit?usp=share_link"",""ลำพูน!J159"")+IMPORTRANGE(""https://docs.google.com/spreadsheets/d/17HrOaa5pBUI1onckFfumXB8xlg35qb2uBAFfF1D-Myo/edit?usp=shar"&amp;"e_link"",""สุโขทัย!J159"")+IMPORTRANGE(""https://docs.google.com/spreadsheets/d/1ubs5cl16eYL9gHbdHTJtmtYb9MGzHBs7CAphn8kNCgM/edit?usp=share_link"",""อุตรดิตถ์!J159"")+IMPORTRANGE(""https://docs.google.com/spreadsheets/d/1kII0BjS6CtVrBvI8IrytgPdxDrlyQDyigz"&amp;"MsohRtDMs/edit?usp=share_link"",""อุทัยธานี!J159"")
"),13)</f>
        <v>13</v>
      </c>
      <c r="K159" s="38">
        <f ca="1">IF(I159&gt;0,J159*100/I159,0)</f>
        <v>7.2222222222222223</v>
      </c>
      <c r="L159" s="38"/>
      <c r="M159" s="38"/>
      <c r="N159" s="38"/>
      <c r="O159" s="38"/>
      <c r="P159" s="38"/>
    </row>
    <row r="160" spans="1:26" ht="19.5" hidden="1">
      <c r="A160" s="156"/>
      <c r="B160" s="40"/>
      <c r="C160" s="164"/>
      <c r="D160" s="222" t="s">
        <v>79</v>
      </c>
      <c r="E160" s="223"/>
      <c r="F160" s="40"/>
      <c r="G160" s="157"/>
      <c r="H160" s="169" t="s">
        <v>35</v>
      </c>
      <c r="I160" s="44"/>
      <c r="J160" s="44"/>
      <c r="K160" s="45"/>
      <c r="L160" s="45"/>
      <c r="M160" s="45"/>
      <c r="N160" s="45"/>
      <c r="O160" s="45"/>
      <c r="P160" s="45"/>
      <c r="Q160" s="224"/>
      <c r="R160" s="224"/>
      <c r="S160" s="224"/>
      <c r="T160" s="224"/>
      <c r="U160" s="224"/>
      <c r="V160" s="224"/>
      <c r="W160" s="224"/>
      <c r="X160" s="224"/>
      <c r="Y160" s="224"/>
      <c r="Z160" s="224"/>
    </row>
    <row r="161" spans="1:26" ht="19.5" hidden="1">
      <c r="A161" s="225"/>
      <c r="B161" s="226"/>
      <c r="C161" s="227"/>
      <c r="D161" s="228" t="s">
        <v>80</v>
      </c>
      <c r="E161" s="229"/>
      <c r="F161" s="226"/>
      <c r="G161" s="230"/>
      <c r="H161" s="231" t="s">
        <v>35</v>
      </c>
      <c r="I161" s="232"/>
      <c r="J161" s="232"/>
      <c r="K161" s="233"/>
      <c r="L161" s="233"/>
      <c r="M161" s="233"/>
      <c r="N161" s="233"/>
      <c r="O161" s="233"/>
      <c r="P161" s="233"/>
      <c r="Q161" s="224"/>
      <c r="R161" s="224"/>
      <c r="S161" s="224"/>
      <c r="T161" s="224"/>
      <c r="U161" s="224"/>
      <c r="V161" s="224"/>
      <c r="W161" s="224"/>
      <c r="X161" s="224"/>
      <c r="Y161" s="224"/>
      <c r="Z161" s="224"/>
    </row>
    <row r="162" spans="1:26" ht="19.5">
      <c r="A162" s="234" t="s">
        <v>81</v>
      </c>
      <c r="B162" s="235"/>
      <c r="C162" s="235"/>
      <c r="D162" s="235"/>
      <c r="E162" s="236"/>
      <c r="F162" s="236"/>
      <c r="G162" s="237"/>
      <c r="H162" s="238"/>
      <c r="I162" s="239"/>
      <c r="J162" s="239"/>
      <c r="K162" s="240"/>
      <c r="L162" s="240"/>
      <c r="M162" s="240"/>
      <c r="N162" s="240"/>
      <c r="O162" s="240"/>
      <c r="P162" s="240"/>
    </row>
    <row r="163" spans="1:26" ht="19.5">
      <c r="A163" s="241" t="s">
        <v>82</v>
      </c>
      <c r="B163" s="242"/>
      <c r="C163" s="242"/>
      <c r="D163" s="243"/>
      <c r="E163" s="243"/>
      <c r="F163" s="243"/>
      <c r="G163" s="244"/>
      <c r="H163" s="245"/>
      <c r="I163" s="246"/>
      <c r="J163" s="246"/>
      <c r="K163" s="247"/>
      <c r="L163" s="247"/>
      <c r="M163" s="247"/>
      <c r="N163" s="247"/>
      <c r="O163" s="247"/>
      <c r="P163" s="247"/>
    </row>
    <row r="164" spans="1:26" ht="19.5">
      <c r="A164" s="248"/>
      <c r="B164" s="249" t="s">
        <v>83</v>
      </c>
      <c r="C164" s="250"/>
      <c r="D164" s="173"/>
      <c r="E164" s="173"/>
      <c r="F164" s="173"/>
      <c r="G164" s="174"/>
      <c r="H164" s="251" t="s">
        <v>35</v>
      </c>
      <c r="I164" s="252">
        <f t="shared" ref="I164:J164" ca="1" si="103">I174+I177</f>
        <v>185</v>
      </c>
      <c r="J164" s="252">
        <f t="shared" ca="1" si="103"/>
        <v>78</v>
      </c>
      <c r="K164" s="253">
        <f ca="1">IF(I164&gt;0,J164*100/I164,0)</f>
        <v>42.162162162162161</v>
      </c>
      <c r="L164" s="254"/>
      <c r="M164" s="254"/>
      <c r="N164" s="254"/>
      <c r="O164" s="254"/>
      <c r="P164" s="254"/>
    </row>
    <row r="165" spans="1:26" ht="19.5">
      <c r="A165" s="147"/>
      <c r="B165" s="148"/>
      <c r="C165" s="149" t="s">
        <v>16</v>
      </c>
      <c r="D165" s="150" t="s">
        <v>17</v>
      </c>
      <c r="E165" s="148"/>
      <c r="F165" s="148"/>
      <c r="G165" s="151"/>
      <c r="H165" s="152" t="s">
        <v>12</v>
      </c>
      <c r="I165" s="153"/>
      <c r="J165" s="153"/>
      <c r="K165" s="154"/>
      <c r="L165" s="155">
        <f t="shared" ref="L165:N165" ca="1" si="104">L166+L167</f>
        <v>372925</v>
      </c>
      <c r="M165" s="155">
        <f t="shared" ca="1" si="104"/>
        <v>372925</v>
      </c>
      <c r="N165" s="155">
        <f t="shared" ca="1" si="104"/>
        <v>224395</v>
      </c>
      <c r="O165" s="155">
        <f t="shared" ref="O165:O173" ca="1" si="105">IF(L165&gt;0,N165*100/L165,0)</f>
        <v>60.17161627673125</v>
      </c>
      <c r="P165" s="155">
        <f t="shared" ref="P165:P173" ca="1" si="106">IF(M165&gt;0,N165*100/M165,0)</f>
        <v>60.17161627673125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41" t="s">
        <v>18</v>
      </c>
      <c r="F166" s="40"/>
      <c r="G166" s="157"/>
      <c r="H166" s="158" t="s">
        <v>12</v>
      </c>
      <c r="I166" s="44"/>
      <c r="J166" s="44"/>
      <c r="K166" s="45"/>
      <c r="L166" s="45">
        <f t="shared" ref="L166:N166" si="107">L169+L172</f>
        <v>0</v>
      </c>
      <c r="M166" s="45">
        <f t="shared" si="107"/>
        <v>0</v>
      </c>
      <c r="N166" s="45">
        <f t="shared" si="107"/>
        <v>0</v>
      </c>
      <c r="O166" s="45">
        <f t="shared" si="105"/>
        <v>0</v>
      </c>
      <c r="P166" s="45">
        <f t="shared" si="10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41" t="s">
        <v>19</v>
      </c>
      <c r="F167" s="40"/>
      <c r="G167" s="157"/>
      <c r="H167" s="158" t="s">
        <v>12</v>
      </c>
      <c r="I167" s="44"/>
      <c r="J167" s="44"/>
      <c r="K167" s="45"/>
      <c r="L167" s="45">
        <f t="shared" ref="L167:N167" ca="1" si="108">L170+L173</f>
        <v>372925</v>
      </c>
      <c r="M167" s="45">
        <f t="shared" ca="1" si="108"/>
        <v>372925</v>
      </c>
      <c r="N167" s="45">
        <f t="shared" ca="1" si="108"/>
        <v>224395</v>
      </c>
      <c r="O167" s="45">
        <f t="shared" ca="1" si="105"/>
        <v>60.17161627673125</v>
      </c>
      <c r="P167" s="45">
        <f t="shared" ca="1" si="106"/>
        <v>60.17161627673125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160"/>
      <c r="D168" s="34" t="s">
        <v>20</v>
      </c>
      <c r="E168" s="33"/>
      <c r="F168" s="33"/>
      <c r="G168" s="35"/>
      <c r="H168" s="161" t="s">
        <v>12</v>
      </c>
      <c r="I168" s="162"/>
      <c r="J168" s="162"/>
      <c r="K168" s="163"/>
      <c r="L168" s="38">
        <f t="shared" ref="L168:N168" ca="1" si="109">L169+L170</f>
        <v>372925</v>
      </c>
      <c r="M168" s="38">
        <f t="shared" ca="1" si="109"/>
        <v>372925</v>
      </c>
      <c r="N168" s="38">
        <f t="shared" ca="1" si="109"/>
        <v>224395</v>
      </c>
      <c r="O168" s="38">
        <f t="shared" ca="1" si="105"/>
        <v>60.17161627673125</v>
      </c>
      <c r="P168" s="38">
        <f t="shared" ca="1" si="106"/>
        <v>60.17161627673125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41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45">
        <f t="shared" si="105"/>
        <v>0</v>
      </c>
      <c r="P169" s="45">
        <f t="shared" si="10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41" t="s">
        <v>37</v>
      </c>
      <c r="F170" s="40"/>
      <c r="G170" s="157"/>
      <c r="H170" s="165" t="s">
        <v>12</v>
      </c>
      <c r="I170" s="166"/>
      <c r="J170" s="166"/>
      <c r="K170" s="167"/>
      <c r="L170" s="45">
        <f ca="1">IFERROR(__xludf.DUMMYFUNCTION("IMPORTRANGE(""https://docs.google.com/spreadsheets/d/1KxicF4apzSqm0-jIpmueT4kyZtE-Cwn5zskl7GD4loQ/edit?usp=share_link"",""กำแพงเพชร!l170"")+IMPORTRANGE(""https://docs.google.com/spreadsheets/d/1ZNYWeiFoFA1K1U4xKWqRX29MBvEyRHXORjo734Gnq_c/edit?usp=share_li"&amp;"nk"",""เชียงราย!l170"")
+IMPORTRANGE(""https://docs.google.com/spreadsheets/d/1Jgv0Y7YlHDtsiDawwp-uvifEJ8HVaSn0k2aGHG8-hwM/edit?usp=share_link"",""เชียงใหม่!l170"")+IMPORTRANGE(""https://docs.google.com/spreadsheets/d/1JWG2rZePOz9pe-f-ObA-yDr0VoOX2kSb0qIi"&amp;"x2mTUo8/edit?usp=share_link"",""ตาก!l170"")+IMPORTRANGE(""https://docs.google.com/spreadsheets/d/10nSRjK08hx8Y6HgSOQKNw81lyY46Zc7U_Cj72hBMp9U/edit?usp=share_link"",""นครสวรรค์!l170"")+IMPORTRANGE(""https://docs.google.com/spreadsheets/d/1gFVb7qd7amutrIxAA"&amp;"oM7lcy35hllxznovot8lyOfvDo/edit?usp=share_link"",""น่าน!l170"")+IMPORTRANGE(""https://docs.google.com/spreadsheets/d/1K0Aa9s-6EuHE5M0FG1F9aHLXRCOV917xvycTdLdct0w/edit?usp=share_link"",""พะเยา!l170"")+IMPORTRANGE(""https://docs.google.com/spreadsheets/d/1Y"&amp;"9LPKx95PyL5OKy09d-KbKJSuuEZCFdkhYjwC0XQjBA/edit?usp=share_link"",""พิจิตร!l170"")+IMPORTRANGE(""https://docs.google.com/spreadsheets/d/16OMuOwy2eVqZcYWOouQtTpa8X1L23h4660uVHc0C8os/edit?usp=share_link"",""พิษณุโลก!l170"")+IMPORTRANGE(""https://docs.google."&amp;"com/spreadsheets/d/1GfgTldLG6k77HXaMQzaafODklYuucJZQNs_GAPEfZyY/edit?usp=share_link"",""เพชรบูรณ์!l170"")+IMPORTRANGE(""https://docs.google.com/spreadsheets/d/1gvTMYAnm7v1yG1BKWFtr0DnaTsq59oW9dwWvFgq6hs0/edit?usp=share_link"",""แพร่!l170"")+IMPORTRANGE("""&amp;"https://docs.google.com/spreadsheets/d/1Wbcosgy-Xa1xXUArJSOenub6EfZHUSzc_bpJFWwQUf0/edit?usp=share_link"",""แม่ฮ่องสอน!l170"")+IMPORTRANGE(""https://docs.google.com/spreadsheets/d/1p7ERhsr0qZeSn-KSOdeHS9r0heI-lHtkcn2OH7hP0jQ/edit?usp=share_link"",""ลำปาง!"&amp;"l170"")+IMPORTRANGE(""https://docs.google.com/spreadsheets/d/1-uUXvimVhiU2U0bMN-xi2te0tS4X7DI2GLPnMjzl8cA/edit?usp=share_link"",""ลำพูน!l170"")+IMPORTRANGE(""https://docs.google.com/spreadsheets/d/17HrOaa5pBUI1onckFfumXB8xlg35qb2uBAFfF1D-Myo/edit?usp=shar"&amp;"e_link"",""สุโขทัย!l170"")+IMPORTRANGE(""https://docs.google.com/spreadsheets/d/1ubs5cl16eYL9gHbdHTJtmtYb9MGzHBs7CAphn8kNCgM/edit?usp=share_link"",""อุตรดิตถ์!l170"")+IMPORTRANGE(""https://docs.google.com/spreadsheets/d/1kII0BjS6CtVrBvI8IrytgPdxDrlyQDyigz"&amp;"MsohRtDMs/edit?usp=share_link"",""อุทัยธานี!l170"")
"),372925)</f>
        <v>372925</v>
      </c>
      <c r="M170" s="45">
        <f ca="1">IFERROR(__xludf.DUMMYFUNCTION("IMPORTRANGE(""https://docs.google.com/spreadsheets/d/1KxicF4apzSqm0-jIpmueT4kyZtE-Cwn5zskl7GD4loQ/edit?usp=share_link"",""กำแพงเพชร!m170"")+IMPORTRANGE(""https://docs.google.com/spreadsheets/d/1ZNYWeiFoFA1K1U4xKWqRX29MBvEyRHXORjo734Gnq_c/edit?usp=share_li"&amp;"nk"",""เชียงราย!m170"")
+IMPORTRANGE(""https://docs.google.com/spreadsheets/d/1Jgv0Y7YlHDtsiDawwp-uvifEJ8HVaSn0k2aGHG8-hwM/edit?usp=share_link"",""เชียงใหม่!m170"")+IMPORTRANGE(""https://docs.google.com/spreadsheets/d/1JWG2rZePOz9pe-f-ObA-yDr0VoOX2kSb0qIi"&amp;"x2mTUo8/edit?usp=share_link"",""ตาก!m170"")+IMPORTRANGE(""https://docs.google.com/spreadsheets/d/10nSRjK08hx8Y6HgSOQKNw81lyY46Zc7U_Cj72hBMp9U/edit?usp=share_link"",""นครสวรรค์!m170"")+IMPORTRANGE(""https://docs.google.com/spreadsheets/d/1gFVb7qd7amutrIxAA"&amp;"oM7lcy35hllxznovot8lyOfvDo/edit?usp=share_link"",""น่าน!m170"")+IMPORTRANGE(""https://docs.google.com/spreadsheets/d/1K0Aa9s-6EuHE5M0FG1F9aHLXRCOV917xvycTdLdct0w/edit?usp=share_link"",""พะเยา!m170"")+IMPORTRANGE(""https://docs.google.com/spreadsheets/d/1Y"&amp;"9LPKx95PyL5OKy09d-KbKJSuuEZCFdkhYjwC0XQjBA/edit?usp=share_link"",""พิจิตร!m170"")+IMPORTRANGE(""https://docs.google.com/spreadsheets/d/16OMuOwy2eVqZcYWOouQtTpa8X1L23h4660uVHc0C8os/edit?usp=share_link"",""พิษณุโลก!m170"")+IMPORTRANGE(""https://docs.google."&amp;"com/spreadsheets/d/1GfgTldLG6k77HXaMQzaafODklYuucJZQNs_GAPEfZyY/edit?usp=share_link"",""เพชรบูรณ์!m170"")+IMPORTRANGE(""https://docs.google.com/spreadsheets/d/1gvTMYAnm7v1yG1BKWFtr0DnaTsq59oW9dwWvFgq6hs0/edit?usp=share_link"",""แพร่!m170"")+IMPORTRANGE("""&amp;"https://docs.google.com/spreadsheets/d/1Wbcosgy-Xa1xXUArJSOenub6EfZHUSzc_bpJFWwQUf0/edit?usp=share_link"",""แม่ฮ่องสอน!m170"")+IMPORTRANGE(""https://docs.google.com/spreadsheets/d/1p7ERhsr0qZeSn-KSOdeHS9r0heI-lHtkcn2OH7hP0jQ/edit?usp=share_link"",""ลำปาง!"&amp;"m170"")+IMPORTRANGE(""https://docs.google.com/spreadsheets/d/1-uUXvimVhiU2U0bMN-xi2te0tS4X7DI2GLPnMjzl8cA/edit?usp=share_link"",""ลำพูน!m170"")+IMPORTRANGE(""https://docs.google.com/spreadsheets/d/17HrOaa5pBUI1onckFfumXB8xlg35qb2uBAFfF1D-Myo/edit?usp=shar"&amp;"e_link"",""สุโขทัย!m170"")+IMPORTRANGE(""https://docs.google.com/spreadsheets/d/1ubs5cl16eYL9gHbdHTJtmtYb9MGzHBs7CAphn8kNCgM/edit?usp=share_link"",""อุตรดิตถ์!m170"")+IMPORTRANGE(""https://docs.google.com/spreadsheets/d/1kII0BjS6CtVrBvI8IrytgPdxDrlyQDyigz"&amp;"MsohRtDMs/edit?usp=share_link"",""อุทัยธานี!m170"")
"),372925)</f>
        <v>372925</v>
      </c>
      <c r="N170" s="45">
        <f ca="1">IFERROR(__xludf.DUMMYFUNCTION("IMPORTRANGE(""https://docs.google.com/spreadsheets/d/1KxicF4apzSqm0-jIpmueT4kyZtE-Cwn5zskl7GD4loQ/edit?usp=share_link"",""กำแพงเพชร!n170"")+IMPORTRANGE(""https://docs.google.com/spreadsheets/d/1ZNYWeiFoFA1K1U4xKWqRX29MBvEyRHXORjo734Gnq_c/edit?usp=share_li"&amp;"nk"",""เชียงราย!n170"")
+IMPORTRANGE(""https://docs.google.com/spreadsheets/d/1Jgv0Y7YlHDtsiDawwp-uvifEJ8HVaSn0k2aGHG8-hwM/edit?usp=share_link"",""เชียงใหม่!n170"")+IMPORTRANGE(""https://docs.google.com/spreadsheets/d/1JWG2rZePOz9pe-f-ObA-yDr0VoOX2kSb0qIi"&amp;"x2mTUo8/edit?usp=share_link"",""ตาก!n170"")+IMPORTRANGE(""https://docs.google.com/spreadsheets/d/10nSRjK08hx8Y6HgSOQKNw81lyY46Zc7U_Cj72hBMp9U/edit?usp=share_link"",""นครสวรรค์!n170"")+IMPORTRANGE(""https://docs.google.com/spreadsheets/d/1gFVb7qd7amutrIxAA"&amp;"oM7lcy35hllxznovot8lyOfvDo/edit?usp=share_link"",""น่าน!n170"")+IMPORTRANGE(""https://docs.google.com/spreadsheets/d/1K0Aa9s-6EuHE5M0FG1F9aHLXRCOV917xvycTdLdct0w/edit?usp=share_link"",""พะเยา!n170"")+IMPORTRANGE(""https://docs.google.com/spreadsheets/d/1Y"&amp;"9LPKx95PyL5OKy09d-KbKJSuuEZCFdkhYjwC0XQjBA/edit?usp=share_link"",""พิจิตร!n170"")+IMPORTRANGE(""https://docs.google.com/spreadsheets/d/16OMuOwy2eVqZcYWOouQtTpa8X1L23h4660uVHc0C8os/edit?usp=share_link"",""พิษณุโลก!n170"")+IMPORTRANGE(""https://docs.google."&amp;"com/spreadsheets/d/1GfgTldLG6k77HXaMQzaafODklYuucJZQNs_GAPEfZyY/edit?usp=share_link"",""เพชรบูรณ์!n170"")+IMPORTRANGE(""https://docs.google.com/spreadsheets/d/1gvTMYAnm7v1yG1BKWFtr0DnaTsq59oW9dwWvFgq6hs0/edit?usp=share_link"",""แพร่!n170"")+IMPORTRANGE("""&amp;"https://docs.google.com/spreadsheets/d/1Wbcosgy-Xa1xXUArJSOenub6EfZHUSzc_bpJFWwQUf0/edit?usp=share_link"",""แม่ฮ่องสอน!n170"")+IMPORTRANGE(""https://docs.google.com/spreadsheets/d/1p7ERhsr0qZeSn-KSOdeHS9r0heI-lHtkcn2OH7hP0jQ/edit?usp=share_link"",""ลำปาง!"&amp;"n170"")+IMPORTRANGE(""https://docs.google.com/spreadsheets/d/1-uUXvimVhiU2U0bMN-xi2te0tS4X7DI2GLPnMjzl8cA/edit?usp=share_link"",""ลำพูน!n170"")+IMPORTRANGE(""https://docs.google.com/spreadsheets/d/17HrOaa5pBUI1onckFfumXB8xlg35qb2uBAFfF1D-Myo/edit?usp=shar"&amp;"e_link"",""สุโขทัย!n170"")+IMPORTRANGE(""https://docs.google.com/spreadsheets/d/1ubs5cl16eYL9gHbdHTJtmtYb9MGzHBs7CAphn8kNCgM/edit?usp=share_link"",""อุตรดิตถ์!n170"")+IMPORTRANGE(""https://docs.google.com/spreadsheets/d/1kII0BjS6CtVrBvI8IrytgPdxDrlyQDyigz"&amp;"MsohRtDMs/edit?usp=share_link"",""อุทัยธานี!n170"")
"),224395)</f>
        <v>224395</v>
      </c>
      <c r="O170" s="45">
        <f t="shared" ca="1" si="105"/>
        <v>60.17161627673125</v>
      </c>
      <c r="P170" s="45">
        <f t="shared" ca="1" si="106"/>
        <v>60.17161627673125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160"/>
      <c r="D171" s="34" t="s">
        <v>21</v>
      </c>
      <c r="E171" s="33"/>
      <c r="F171" s="33"/>
      <c r="G171" s="35"/>
      <c r="H171" s="168" t="s">
        <v>12</v>
      </c>
      <c r="I171" s="162"/>
      <c r="J171" s="162"/>
      <c r="K171" s="163"/>
      <c r="L171" s="38">
        <f t="shared" ref="L171:N171" ca="1" si="110">L172+L173</f>
        <v>0</v>
      </c>
      <c r="M171" s="38">
        <f t="shared" ca="1" si="110"/>
        <v>0</v>
      </c>
      <c r="N171" s="38">
        <f t="shared" ca="1" si="110"/>
        <v>0</v>
      </c>
      <c r="O171" s="38">
        <f t="shared" ca="1" si="105"/>
        <v>0</v>
      </c>
      <c r="P171" s="38">
        <f t="shared" ca="1" si="10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41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45">
        <f t="shared" si="105"/>
        <v>0</v>
      </c>
      <c r="P172" s="45">
        <f t="shared" si="10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41" t="s">
        <v>19</v>
      </c>
      <c r="F173" s="40"/>
      <c r="G173" s="157"/>
      <c r="H173" s="169" t="s">
        <v>12</v>
      </c>
      <c r="I173" s="166"/>
      <c r="J173" s="166"/>
      <c r="K173" s="167"/>
      <c r="L173" s="45">
        <f ca="1">IFERROR(__xludf.DUMMYFUNCTION("IMPORTRANGE(""https://docs.google.com/spreadsheets/d/1KxicF4apzSqm0-jIpmueT4kyZtE-Cwn5zskl7GD4loQ/edit?usp=share_link"",""กำแพงเพชร!l173"")+IMPORTRANGE(""https://docs.google.com/spreadsheets/d/1ZNYWeiFoFA1K1U4xKWqRX29MBvEyRHXORjo734Gnq_c/edit?usp=share_li"&amp;"nk"",""เชียงราย!l173"")
+IMPORTRANGE(""https://docs.google.com/spreadsheets/d/1Jgv0Y7YlHDtsiDawwp-uvifEJ8HVaSn0k2aGHG8-hwM/edit?usp=share_link"",""เชียงใหม่!l173"")+IMPORTRANGE(""https://docs.google.com/spreadsheets/d/1JWG2rZePOz9pe-f-ObA-yDr0VoOX2kSb0qIi"&amp;"x2mTUo8/edit?usp=share_link"",""ตาก!l173"")+IMPORTRANGE(""https://docs.google.com/spreadsheets/d/10nSRjK08hx8Y6HgSOQKNw81lyY46Zc7U_Cj72hBMp9U/edit?usp=share_link"",""นครสวรรค์!l173"")+IMPORTRANGE(""https://docs.google.com/spreadsheets/d/1gFVb7qd7amutrIxAA"&amp;"oM7lcy35hllxznovot8lyOfvDo/edit?usp=share_link"",""น่าน!l173"")+IMPORTRANGE(""https://docs.google.com/spreadsheets/d/1K0Aa9s-6EuHE5M0FG1F9aHLXRCOV917xvycTdLdct0w/edit?usp=share_link"",""พะเยา!l173"")+IMPORTRANGE(""https://docs.google.com/spreadsheets/d/1Y"&amp;"9LPKx95PyL5OKy09d-KbKJSuuEZCFdkhYjwC0XQjBA/edit?usp=share_link"",""พิจิตร!l173"")+IMPORTRANGE(""https://docs.google.com/spreadsheets/d/16OMuOwy2eVqZcYWOouQtTpa8X1L23h4660uVHc0C8os/edit?usp=share_link"",""พิษณุโลก!l173"")+IMPORTRANGE(""https://docs.google."&amp;"com/spreadsheets/d/1GfgTldLG6k77HXaMQzaafODklYuucJZQNs_GAPEfZyY/edit?usp=share_link"",""เพชรบูรณ์!l173"")+IMPORTRANGE(""https://docs.google.com/spreadsheets/d/1gvTMYAnm7v1yG1BKWFtr0DnaTsq59oW9dwWvFgq6hs0/edit?usp=share_link"",""แพร่!l173"")+IMPORTRANGE("""&amp;"https://docs.google.com/spreadsheets/d/1Wbcosgy-Xa1xXUArJSOenub6EfZHUSzc_bpJFWwQUf0/edit?usp=share_link"",""แม่ฮ่องสอน!l173"")+IMPORTRANGE(""https://docs.google.com/spreadsheets/d/1p7ERhsr0qZeSn-KSOdeHS9r0heI-lHtkcn2OH7hP0jQ/edit?usp=share_link"",""ลำปาง!"&amp;"l173"")+IMPORTRANGE(""https://docs.google.com/spreadsheets/d/1-uUXvimVhiU2U0bMN-xi2te0tS4X7DI2GLPnMjzl8cA/edit?usp=share_link"",""ลำพูน!l173"")+IMPORTRANGE(""https://docs.google.com/spreadsheets/d/17HrOaa5pBUI1onckFfumXB8xlg35qb2uBAFfF1D-Myo/edit?usp=shar"&amp;"e_link"",""สุโขทัย!l173"")+IMPORTRANGE(""https://docs.google.com/spreadsheets/d/1ubs5cl16eYL9gHbdHTJtmtYb9MGzHBs7CAphn8kNCgM/edit?usp=share_link"",""อุตรดิตถ์!l173"")+IMPORTRANGE(""https://docs.google.com/spreadsheets/d/1kII0BjS6CtVrBvI8IrytgPdxDrlyQDyigz"&amp;"MsohRtDMs/edit?usp=share_link"",""อุทัยธานี!l173"")
"),0)</f>
        <v>0</v>
      </c>
      <c r="M173" s="45">
        <f ca="1">IFERROR(__xludf.DUMMYFUNCTION("IMPORTRANGE(""https://docs.google.com/spreadsheets/d/1KxicF4apzSqm0-jIpmueT4kyZtE-Cwn5zskl7GD4loQ/edit?usp=share_link"",""กำแพงเพชร!m173"")+IMPORTRANGE(""https://docs.google.com/spreadsheets/d/1ZNYWeiFoFA1K1U4xKWqRX29MBvEyRHXORjo734Gnq_c/edit?usp=share_li"&amp;"nk"",""เชียงราย!m173"")
+IMPORTRANGE(""https://docs.google.com/spreadsheets/d/1Jgv0Y7YlHDtsiDawwp-uvifEJ8HVaSn0k2aGHG8-hwM/edit?usp=share_link"",""เชียงใหม่!m173"")+IMPORTRANGE(""https://docs.google.com/spreadsheets/d/1JWG2rZePOz9pe-f-ObA-yDr0VoOX2kSb0qIi"&amp;"x2mTUo8/edit?usp=share_link"",""ตาก!m173"")+IMPORTRANGE(""https://docs.google.com/spreadsheets/d/10nSRjK08hx8Y6HgSOQKNw81lyY46Zc7U_Cj72hBMp9U/edit?usp=share_link"",""นครสวรรค์!m173"")+IMPORTRANGE(""https://docs.google.com/spreadsheets/d/1gFVb7qd7amutrIxAA"&amp;"oM7lcy35hllxznovot8lyOfvDo/edit?usp=share_link"",""น่าน!m173"")+IMPORTRANGE(""https://docs.google.com/spreadsheets/d/1K0Aa9s-6EuHE5M0FG1F9aHLXRCOV917xvycTdLdct0w/edit?usp=share_link"",""พะเยา!m173"")+IMPORTRANGE(""https://docs.google.com/spreadsheets/d/1Y"&amp;"9LPKx95PyL5OKy09d-KbKJSuuEZCFdkhYjwC0XQjBA/edit?usp=share_link"",""พิจิตร!m173"")+IMPORTRANGE(""https://docs.google.com/spreadsheets/d/16OMuOwy2eVqZcYWOouQtTpa8X1L23h4660uVHc0C8os/edit?usp=share_link"",""พิษณุโลก!m173"")+IMPORTRANGE(""https://docs.google."&amp;"com/spreadsheets/d/1GfgTldLG6k77HXaMQzaafODklYuucJZQNs_GAPEfZyY/edit?usp=share_link"",""เพชรบูรณ์!m173"")+IMPORTRANGE(""https://docs.google.com/spreadsheets/d/1gvTMYAnm7v1yG1BKWFtr0DnaTsq59oW9dwWvFgq6hs0/edit?usp=share_link"",""แพร่!m173"")+IMPORTRANGE("""&amp;"https://docs.google.com/spreadsheets/d/1Wbcosgy-Xa1xXUArJSOenub6EfZHUSzc_bpJFWwQUf0/edit?usp=share_link"",""แม่ฮ่องสอน!m173"")+IMPORTRANGE(""https://docs.google.com/spreadsheets/d/1p7ERhsr0qZeSn-KSOdeHS9r0heI-lHtkcn2OH7hP0jQ/edit?usp=share_link"",""ลำปาง!"&amp;"m173"")+IMPORTRANGE(""https://docs.google.com/spreadsheets/d/1-uUXvimVhiU2U0bMN-xi2te0tS4X7DI2GLPnMjzl8cA/edit?usp=share_link"",""ลำพูน!m173"")+IMPORTRANGE(""https://docs.google.com/spreadsheets/d/17HrOaa5pBUI1onckFfumXB8xlg35qb2uBAFfF1D-Myo/edit?usp=shar"&amp;"e_link"",""สุโขทัย!m173"")+IMPORTRANGE(""https://docs.google.com/spreadsheets/d/1ubs5cl16eYL9gHbdHTJtmtYb9MGzHBs7CAphn8kNCgM/edit?usp=share_link"",""อุตรดิตถ์!m173"")+IMPORTRANGE(""https://docs.google.com/spreadsheets/d/1kII0BjS6CtVrBvI8IrytgPdxDrlyQDyigz"&amp;"MsohRtDMs/edit?usp=share_link"",""อุทัยธานี!m173"")
"),0)</f>
        <v>0</v>
      </c>
      <c r="N173" s="45">
        <f ca="1">IFERROR(__xludf.DUMMYFUNCTION("IMPORTRANGE(""https://docs.google.com/spreadsheets/d/1KxicF4apzSqm0-jIpmueT4kyZtE-Cwn5zskl7GD4loQ/edit?usp=share_link"",""กำแพงเพชร!n173"")+IMPORTRANGE(""https://docs.google.com/spreadsheets/d/1ZNYWeiFoFA1K1U4xKWqRX29MBvEyRHXORjo734Gnq_c/edit?usp=share_li"&amp;"nk"",""เชียงราย!n173"")
+IMPORTRANGE(""https://docs.google.com/spreadsheets/d/1Jgv0Y7YlHDtsiDawwp-uvifEJ8HVaSn0k2aGHG8-hwM/edit?usp=share_link"",""เชียงใหม่!n173"")+IMPORTRANGE(""https://docs.google.com/spreadsheets/d/1JWG2rZePOz9pe-f-ObA-yDr0VoOX2kSb0qIi"&amp;"x2mTUo8/edit?usp=share_link"",""ตาก!n173"")+IMPORTRANGE(""https://docs.google.com/spreadsheets/d/10nSRjK08hx8Y6HgSOQKNw81lyY46Zc7U_Cj72hBMp9U/edit?usp=share_link"",""นครสวรรค์!n173"")+IMPORTRANGE(""https://docs.google.com/spreadsheets/d/1gFVb7qd7amutrIxAA"&amp;"oM7lcy35hllxznovot8lyOfvDo/edit?usp=share_link"",""น่าน!n173"")+IMPORTRANGE(""https://docs.google.com/spreadsheets/d/1K0Aa9s-6EuHE5M0FG1F9aHLXRCOV917xvycTdLdct0w/edit?usp=share_link"",""พะเยา!n173"")+IMPORTRANGE(""https://docs.google.com/spreadsheets/d/1Y"&amp;"9LPKx95PyL5OKy09d-KbKJSuuEZCFdkhYjwC0XQjBA/edit?usp=share_link"",""พิจิตร!n173"")+IMPORTRANGE(""https://docs.google.com/spreadsheets/d/16OMuOwy2eVqZcYWOouQtTpa8X1L23h4660uVHc0C8os/edit?usp=share_link"",""พิษณุโลก!n173"")+IMPORTRANGE(""https://docs.google."&amp;"com/spreadsheets/d/1GfgTldLG6k77HXaMQzaafODklYuucJZQNs_GAPEfZyY/edit?usp=share_link"",""เพชรบูรณ์!n173"")+IMPORTRANGE(""https://docs.google.com/spreadsheets/d/1gvTMYAnm7v1yG1BKWFtr0DnaTsq59oW9dwWvFgq6hs0/edit?usp=share_link"",""แพร่!n173"")+IMPORTRANGE("""&amp;"https://docs.google.com/spreadsheets/d/1Wbcosgy-Xa1xXUArJSOenub6EfZHUSzc_bpJFWwQUf0/edit?usp=share_link"",""แม่ฮ่องสอน!n173"")+IMPORTRANGE(""https://docs.google.com/spreadsheets/d/1p7ERhsr0qZeSn-KSOdeHS9r0heI-lHtkcn2OH7hP0jQ/edit?usp=share_link"",""ลำปาง!"&amp;"n173"")+IMPORTRANGE(""https://docs.google.com/spreadsheets/d/1-uUXvimVhiU2U0bMN-xi2te0tS4X7DI2GLPnMjzl8cA/edit?usp=share_link"",""ลำพูน!n173"")+IMPORTRANGE(""https://docs.google.com/spreadsheets/d/17HrOaa5pBUI1onckFfumXB8xlg35qb2uBAFfF1D-Myo/edit?usp=shar"&amp;"e_link"",""สุโขทัย!n173"")+IMPORTRANGE(""https://docs.google.com/spreadsheets/d/1ubs5cl16eYL9gHbdHTJtmtYb9MGzHBs7CAphn8kNCgM/edit?usp=share_link"",""อุตรดิตถ์!n173"")+IMPORTRANGE(""https://docs.google.com/spreadsheets/d/1kII0BjS6CtVrBvI8IrytgPdxDrlyQDyigz"&amp;"MsohRtDMs/edit?usp=share_link"",""อุทัยธานี!n173"")
"),0)</f>
        <v>0</v>
      </c>
      <c r="O173" s="45">
        <f t="shared" ca="1" si="105"/>
        <v>0</v>
      </c>
      <c r="P173" s="45">
        <f t="shared" ca="1" si="10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5"/>
      <c r="B174" s="256"/>
      <c r="C174" s="257" t="s">
        <v>84</v>
      </c>
      <c r="D174" s="256"/>
      <c r="E174" s="256"/>
      <c r="F174" s="256"/>
      <c r="G174" s="258"/>
      <c r="H174" s="259" t="s">
        <v>35</v>
      </c>
      <c r="I174" s="260">
        <f t="shared" ref="I174:J174" ca="1" si="111">I176</f>
        <v>185</v>
      </c>
      <c r="J174" s="260">
        <f t="shared" ca="1" si="111"/>
        <v>78</v>
      </c>
      <c r="K174" s="261">
        <f ca="1">IF(I174&gt;0,J174*100/I174,0)</f>
        <v>42.162162162162161</v>
      </c>
      <c r="L174" s="261"/>
      <c r="M174" s="261"/>
      <c r="N174" s="261"/>
      <c r="O174" s="261"/>
      <c r="P174" s="261"/>
    </row>
    <row r="175" spans="1:26" ht="19.5">
      <c r="A175" s="170"/>
      <c r="B175" s="171"/>
      <c r="C175" s="164" t="s">
        <v>16</v>
      </c>
      <c r="D175" s="172" t="s">
        <v>38</v>
      </c>
      <c r="E175" s="173"/>
      <c r="F175" s="173"/>
      <c r="G175" s="174"/>
      <c r="H175" s="175"/>
      <c r="I175" s="162"/>
      <c r="J175" s="162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262" t="s">
        <v>85</v>
      </c>
      <c r="E176" s="178"/>
      <c r="F176" s="178"/>
      <c r="G176" s="179"/>
      <c r="H176" s="36" t="s">
        <v>35</v>
      </c>
      <c r="I176" s="37">
        <f ca="1">IFERROR(__xludf.DUMMYFUNCTION("IMPORTRANGE(""https://docs.google.com/spreadsheets/d/1KxicF4apzSqm0-jIpmueT4kyZtE-Cwn5zskl7GD4loQ/edit?usp=share_link"",""กำแพงเพชร!I176"")+IMPORTRANGE(""https://docs.google.com/spreadsheets/d/1ZNYWeiFoFA1K1U4xKWqRX29MBvEyRHXORjo734Gnq_c/edit?usp=share_li"&amp;"nk"",""เชียงราย!I176"")
+IMPORTRANGE(""https://docs.google.com/spreadsheets/d/1Jgv0Y7YlHDtsiDawwp-uvifEJ8HVaSn0k2aGHG8-hwM/edit?usp=share_link"",""เชียงใหม่!I176"")+IMPORTRANGE(""https://docs.google.com/spreadsheets/d/1JWG2rZePOz9pe-f-ObA-yDr0VoOX2kSb0qIi"&amp;"x2mTUo8/edit?usp=share_link"",""ตาก!I176"")+IMPORTRANGE(""https://docs.google.com/spreadsheets/d/10nSRjK08hx8Y6HgSOQKNw81lyY46Zc7U_Cj72hBMp9U/edit?usp=share_link"",""นครสวรรค์!I176"")+IMPORTRANGE(""https://docs.google.com/spreadsheets/d/1gFVb7qd7amutrIxAA"&amp;"oM7lcy35hllxznovot8lyOfvDo/edit?usp=share_link"",""น่าน!I176"")+IMPORTRANGE(""https://docs.google.com/spreadsheets/d/1K0Aa9s-6EuHE5M0FG1F9aHLXRCOV917xvycTdLdct0w/edit?usp=share_link"",""พะเยา!I176"")+IMPORTRANGE(""https://docs.google.com/spreadsheets/d/1Y"&amp;"9LPKx95PyL5OKy09d-KbKJSuuEZCFdkhYjwC0XQjBA/edit?usp=share_link"",""พิจิตร!I176"")+IMPORTRANGE(""https://docs.google.com/spreadsheets/d/16OMuOwy2eVqZcYWOouQtTpa8X1L23h4660uVHc0C8os/edit?usp=share_link"",""พิษณุโลก!I176"")+IMPORTRANGE(""https://docs.google."&amp;"com/spreadsheets/d/1GfgTldLG6k77HXaMQzaafODklYuucJZQNs_GAPEfZyY/edit?usp=share_link"",""เพชรบูรณ์!I176"")+IMPORTRANGE(""https://docs.google.com/spreadsheets/d/1gvTMYAnm7v1yG1BKWFtr0DnaTsq59oW9dwWvFgq6hs0/edit?usp=share_link"",""แพร่!I176"")+IMPORTRANGE("""&amp;"https://docs.google.com/spreadsheets/d/1Wbcosgy-Xa1xXUArJSOenub6EfZHUSzc_bpJFWwQUf0/edit?usp=share_link"",""แม่ฮ่องสอน!I176"")+IMPORTRANGE(""https://docs.google.com/spreadsheets/d/1p7ERhsr0qZeSn-KSOdeHS9r0heI-lHtkcn2OH7hP0jQ/edit?usp=share_link"",""ลำปาง!"&amp;"I176"")+IMPORTRANGE(""https://docs.google.com/spreadsheets/d/1-uUXvimVhiU2U0bMN-xi2te0tS4X7DI2GLPnMjzl8cA/edit?usp=share_link"",""ลำพูน!I176"")+IMPORTRANGE(""https://docs.google.com/spreadsheets/d/17HrOaa5pBUI1onckFfumXB8xlg35qb2uBAFfF1D-Myo/edit?usp=shar"&amp;"e_link"",""สุโขทัย!I176"")+IMPORTRANGE(""https://docs.google.com/spreadsheets/d/1ubs5cl16eYL9gHbdHTJtmtYb9MGzHBs7CAphn8kNCgM/edit?usp=share_link"",""อุตรดิตถ์!I176"")+IMPORTRANGE(""https://docs.google.com/spreadsheets/d/1kII0BjS6CtVrBvI8IrytgPdxDrlyQDyigz"&amp;"MsohRtDMs/edit?usp=share_link"",""อุทัยธานี!I176"")
"),185)</f>
        <v>185</v>
      </c>
      <c r="J176" s="183">
        <f ca="1">IFERROR(__xludf.DUMMYFUNCTION("IMPORTRANGE(""https://docs.google.com/spreadsheets/d/1KxicF4apzSqm0-jIpmueT4kyZtE-Cwn5zskl7GD4loQ/edit?usp=share_link"",""กำแพงเพชร!J176"")+IMPORTRANGE(""https://docs.google.com/spreadsheets/d/1ZNYWeiFoFA1K1U4xKWqRX29MBvEyRHXORjo734Gnq_c/edit?usp=share_li"&amp;"nk"",""เชียงราย!J176"")
+IMPORTRANGE(""https://docs.google.com/spreadsheets/d/1Jgv0Y7YlHDtsiDawwp-uvifEJ8HVaSn0k2aGHG8-hwM/edit?usp=share_link"",""เชียงใหม่!J176"")+IMPORTRANGE(""https://docs.google.com/spreadsheets/d/1JWG2rZePOz9pe-f-ObA-yDr0VoOX2kSb0qIi"&amp;"x2mTUo8/edit?usp=share_link"",""ตาก!J176"")+IMPORTRANGE(""https://docs.google.com/spreadsheets/d/10nSRjK08hx8Y6HgSOQKNw81lyY46Zc7U_Cj72hBMp9U/edit?usp=share_link"",""นครสวรรค์!J176"")+IMPORTRANGE(""https://docs.google.com/spreadsheets/d/1gFVb7qd7amutrIxAA"&amp;"oM7lcy35hllxznovot8lyOfvDo/edit?usp=share_link"",""น่าน!J176"")+IMPORTRANGE(""https://docs.google.com/spreadsheets/d/1K0Aa9s-6EuHE5M0FG1F9aHLXRCOV917xvycTdLdct0w/edit?usp=share_link"",""พะเยา!J176"")+IMPORTRANGE(""https://docs.google.com/spreadsheets/d/1Y"&amp;"9LPKx95PyL5OKy09d-KbKJSuuEZCFdkhYjwC0XQjBA/edit?usp=share_link"",""พิจิตร!J176"")+IMPORTRANGE(""https://docs.google.com/spreadsheets/d/16OMuOwy2eVqZcYWOouQtTpa8X1L23h4660uVHc0C8os/edit?usp=share_link"",""พิษณุโลก!J176"")+IMPORTRANGE(""https://docs.google."&amp;"com/spreadsheets/d/1GfgTldLG6k77HXaMQzaafODklYuucJZQNs_GAPEfZyY/edit?usp=share_link"",""เพชรบูรณ์!J176"")+IMPORTRANGE(""https://docs.google.com/spreadsheets/d/1gvTMYAnm7v1yG1BKWFtr0DnaTsq59oW9dwWvFgq6hs0/edit?usp=share_link"",""แพร่!J176"")+IMPORTRANGE("""&amp;"https://docs.google.com/spreadsheets/d/1Wbcosgy-Xa1xXUArJSOenub6EfZHUSzc_bpJFWwQUf0/edit?usp=share_link"",""แม่ฮ่องสอน!J176"")+IMPORTRANGE(""https://docs.google.com/spreadsheets/d/1p7ERhsr0qZeSn-KSOdeHS9r0heI-lHtkcn2OH7hP0jQ/edit?usp=share_link"",""ลำปาง!"&amp;"J176"")+IMPORTRANGE(""https://docs.google.com/spreadsheets/d/1-uUXvimVhiU2U0bMN-xi2te0tS4X7DI2GLPnMjzl8cA/edit?usp=share_link"",""ลำพูน!J176"")+IMPORTRANGE(""https://docs.google.com/spreadsheets/d/17HrOaa5pBUI1onckFfumXB8xlg35qb2uBAFfF1D-Myo/edit?usp=shar"&amp;"e_link"",""สุโขทัย!J176"")+IMPORTRANGE(""https://docs.google.com/spreadsheets/d/1ubs5cl16eYL9gHbdHTJtmtYb9MGzHBs7CAphn8kNCgM/edit?usp=share_link"",""อุตรดิตถ์!J176"")+IMPORTRANGE(""https://docs.google.com/spreadsheets/d/1kII0BjS6CtVrBvI8IrytgPdxDrlyQDyigz"&amp;"MsohRtDMs/edit?usp=share_link"",""อุทัยธานี!J176"")
"),78)</f>
        <v>78</v>
      </c>
      <c r="K176" s="163">
        <f ca="1">IF(I176&gt;0,J176*100/I176,0)</f>
        <v>42.162162162162161</v>
      </c>
      <c r="L176" s="163"/>
      <c r="M176" s="163"/>
      <c r="N176" s="163"/>
      <c r="O176" s="163"/>
      <c r="P176" s="163"/>
    </row>
    <row r="177" spans="1:26" ht="19.5" hidden="1">
      <c r="A177" s="255"/>
      <c r="B177" s="263"/>
      <c r="C177" s="264" t="s">
        <v>86</v>
      </c>
      <c r="D177" s="263"/>
      <c r="E177" s="256"/>
      <c r="F177" s="256"/>
      <c r="G177" s="258"/>
      <c r="H177" s="265" t="s">
        <v>35</v>
      </c>
      <c r="I177" s="260"/>
      <c r="J177" s="260">
        <f>J179</f>
        <v>0</v>
      </c>
      <c r="K177" s="261"/>
      <c r="L177" s="261"/>
      <c r="M177" s="261"/>
      <c r="N177" s="261"/>
      <c r="O177" s="261"/>
      <c r="P177" s="261"/>
    </row>
    <row r="178" spans="1:26" ht="19.5" hidden="1">
      <c r="A178" s="170"/>
      <c r="B178" s="171"/>
      <c r="C178" s="164" t="s">
        <v>16</v>
      </c>
      <c r="D178" s="266" t="s">
        <v>38</v>
      </c>
      <c r="E178" s="173"/>
      <c r="F178" s="173"/>
      <c r="G178" s="174"/>
      <c r="H178" s="175"/>
      <c r="I178" s="162"/>
      <c r="J178" s="162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267" t="s">
        <v>87</v>
      </c>
      <c r="E179" s="178"/>
      <c r="F179" s="268"/>
      <c r="G179" s="179"/>
      <c r="H179" s="43" t="s">
        <v>35</v>
      </c>
      <c r="I179" s="37"/>
      <c r="J179" s="269"/>
      <c r="K179" s="163"/>
      <c r="L179" s="163"/>
      <c r="M179" s="163"/>
      <c r="N179" s="163"/>
      <c r="O179" s="163"/>
      <c r="P179" s="163"/>
    </row>
    <row r="180" spans="1:26" ht="19.5">
      <c r="A180" s="248"/>
      <c r="B180" s="249" t="s">
        <v>88</v>
      </c>
      <c r="C180" s="250"/>
      <c r="D180" s="173"/>
      <c r="E180" s="173"/>
      <c r="F180" s="173"/>
      <c r="G180" s="174"/>
      <c r="H180" s="251" t="s">
        <v>35</v>
      </c>
      <c r="I180" s="252">
        <f t="shared" ref="I180:J180" ca="1" si="112">I225+I226</f>
        <v>360</v>
      </c>
      <c r="J180" s="252">
        <f t="shared" ca="1" si="112"/>
        <v>0</v>
      </c>
      <c r="K180" s="253">
        <f ca="1">IF(I180&gt;0,J180*100/I180,0)</f>
        <v>0</v>
      </c>
      <c r="L180" s="254"/>
      <c r="M180" s="254"/>
      <c r="N180" s="254"/>
      <c r="O180" s="254"/>
      <c r="P180" s="254"/>
    </row>
    <row r="181" spans="1:26" ht="19.5">
      <c r="A181" s="147"/>
      <c r="B181" s="148"/>
      <c r="C181" s="149" t="s">
        <v>16</v>
      </c>
      <c r="D181" s="150" t="s">
        <v>17</v>
      </c>
      <c r="E181" s="148"/>
      <c r="F181" s="148"/>
      <c r="G181" s="151"/>
      <c r="H181" s="152" t="s">
        <v>12</v>
      </c>
      <c r="I181" s="153"/>
      <c r="J181" s="153"/>
      <c r="K181" s="154"/>
      <c r="L181" s="155">
        <f t="shared" ref="L181:N181" ca="1" si="113">L182+L183</f>
        <v>4729330</v>
      </c>
      <c r="M181" s="155">
        <f t="shared" ca="1" si="113"/>
        <v>2340980</v>
      </c>
      <c r="N181" s="155">
        <f t="shared" ca="1" si="113"/>
        <v>561889.31000000006</v>
      </c>
      <c r="O181" s="155">
        <f t="shared" ref="O181:O189" ca="1" si="114">IF(L181&gt;0,N181*100/L181,0)</f>
        <v>11.880949521390981</v>
      </c>
      <c r="P181" s="155">
        <f t="shared" ref="P181:P189" ca="1" si="115">IF(M181&gt;0,N181*100/M181,0)</f>
        <v>24.002311425129651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41" t="s">
        <v>18</v>
      </c>
      <c r="F182" s="40"/>
      <c r="G182" s="157"/>
      <c r="H182" s="158" t="s">
        <v>12</v>
      </c>
      <c r="I182" s="44"/>
      <c r="J182" s="44"/>
      <c r="K182" s="45"/>
      <c r="L182" s="45">
        <f t="shared" ref="L182:N182" si="116">L185+L188</f>
        <v>0</v>
      </c>
      <c r="M182" s="45">
        <f t="shared" si="116"/>
        <v>0</v>
      </c>
      <c r="N182" s="45">
        <f t="shared" si="116"/>
        <v>0</v>
      </c>
      <c r="O182" s="45">
        <f t="shared" si="114"/>
        <v>0</v>
      </c>
      <c r="P182" s="45">
        <f t="shared" si="115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41" t="s">
        <v>19</v>
      </c>
      <c r="F183" s="40"/>
      <c r="G183" s="157"/>
      <c r="H183" s="158" t="s">
        <v>12</v>
      </c>
      <c r="I183" s="44"/>
      <c r="J183" s="44"/>
      <c r="K183" s="45"/>
      <c r="L183" s="45">
        <f t="shared" ref="L183:N183" ca="1" si="117">L186+L189</f>
        <v>4729330</v>
      </c>
      <c r="M183" s="45">
        <f t="shared" ca="1" si="117"/>
        <v>2340980</v>
      </c>
      <c r="N183" s="45">
        <f t="shared" ca="1" si="117"/>
        <v>561889.31000000006</v>
      </c>
      <c r="O183" s="45">
        <f t="shared" ca="1" si="114"/>
        <v>11.880949521390981</v>
      </c>
      <c r="P183" s="45">
        <f t="shared" ca="1" si="115"/>
        <v>24.002311425129651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160"/>
      <c r="D184" s="34" t="s">
        <v>20</v>
      </c>
      <c r="E184" s="33"/>
      <c r="F184" s="33"/>
      <c r="G184" s="35"/>
      <c r="H184" s="161" t="s">
        <v>12</v>
      </c>
      <c r="I184" s="162"/>
      <c r="J184" s="162"/>
      <c r="K184" s="163"/>
      <c r="L184" s="38">
        <f t="shared" ref="L184:N184" ca="1" si="118">L185+L186</f>
        <v>4729330</v>
      </c>
      <c r="M184" s="38">
        <f t="shared" ca="1" si="118"/>
        <v>2340980</v>
      </c>
      <c r="N184" s="38">
        <f t="shared" ca="1" si="118"/>
        <v>561889.31000000006</v>
      </c>
      <c r="O184" s="38">
        <f t="shared" ca="1" si="114"/>
        <v>11.880949521390981</v>
      </c>
      <c r="P184" s="38">
        <f t="shared" ca="1" si="115"/>
        <v>24.002311425129651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41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45">
        <f t="shared" si="114"/>
        <v>0</v>
      </c>
      <c r="P185" s="45">
        <f t="shared" si="115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41" t="s">
        <v>37</v>
      </c>
      <c r="F186" s="40"/>
      <c r="G186" s="157"/>
      <c r="H186" s="165" t="s">
        <v>12</v>
      </c>
      <c r="I186" s="166"/>
      <c r="J186" s="166"/>
      <c r="K186" s="167"/>
      <c r="L186" s="45">
        <f ca="1">IFERROR(__xludf.DUMMYFUNCTION("IMPORTRANGE(""https://docs.google.com/spreadsheets/d/1KxicF4apzSqm0-jIpmueT4kyZtE-Cwn5zskl7GD4loQ/edit?usp=share_link"",""กำแพงเพชร!l186"")+IMPORTRANGE(""https://docs.google.com/spreadsheets/d/1ZNYWeiFoFA1K1U4xKWqRX29MBvEyRHXORjo734Gnq_c/edit?usp=share_li"&amp;"nk"",""เชียงราย!l186"")
+IMPORTRANGE(""https://docs.google.com/spreadsheets/d/1Jgv0Y7YlHDtsiDawwp-uvifEJ8HVaSn0k2aGHG8-hwM/edit?usp=share_link"",""เชียงใหม่!l186"")+IMPORTRANGE(""https://docs.google.com/spreadsheets/d/1JWG2rZePOz9pe-f-ObA-yDr0VoOX2kSb0qIi"&amp;"x2mTUo8/edit?usp=share_link"",""ตาก!l186"")+IMPORTRANGE(""https://docs.google.com/spreadsheets/d/10nSRjK08hx8Y6HgSOQKNw81lyY46Zc7U_Cj72hBMp9U/edit?usp=share_link"",""นครสวรรค์!l186"")+IMPORTRANGE(""https://docs.google.com/spreadsheets/d/1gFVb7qd7amutrIxAA"&amp;"oM7lcy35hllxznovot8lyOfvDo/edit?usp=share_link"",""น่าน!l186"")+IMPORTRANGE(""https://docs.google.com/spreadsheets/d/1K0Aa9s-6EuHE5M0FG1F9aHLXRCOV917xvycTdLdct0w/edit?usp=share_link"",""พะเยา!l186"")+IMPORTRANGE(""https://docs.google.com/spreadsheets/d/1Y"&amp;"9LPKx95PyL5OKy09d-KbKJSuuEZCFdkhYjwC0XQjBA/edit?usp=share_link"",""พิจิตร!l186"")+IMPORTRANGE(""https://docs.google.com/spreadsheets/d/16OMuOwy2eVqZcYWOouQtTpa8X1L23h4660uVHc0C8os/edit?usp=share_link"",""พิษณุโลก!l186"")+IMPORTRANGE(""https://docs.google."&amp;"com/spreadsheets/d/1GfgTldLG6k77HXaMQzaafODklYuucJZQNs_GAPEfZyY/edit?usp=share_link"",""เพชรบูรณ์!l186"")+IMPORTRANGE(""https://docs.google.com/spreadsheets/d/1gvTMYAnm7v1yG1BKWFtr0DnaTsq59oW9dwWvFgq6hs0/edit?usp=share_link"",""แพร่!l186"")+IMPORTRANGE("""&amp;"https://docs.google.com/spreadsheets/d/1Wbcosgy-Xa1xXUArJSOenub6EfZHUSzc_bpJFWwQUf0/edit?usp=share_link"",""แม่ฮ่องสอน!l186"")+IMPORTRANGE(""https://docs.google.com/spreadsheets/d/1p7ERhsr0qZeSn-KSOdeHS9r0heI-lHtkcn2OH7hP0jQ/edit?usp=share_link"",""ลำปาง!"&amp;"l186"")+IMPORTRANGE(""https://docs.google.com/spreadsheets/d/1-uUXvimVhiU2U0bMN-xi2te0tS4X7DI2GLPnMjzl8cA/edit?usp=share_link"",""ลำพูน!l186"")+IMPORTRANGE(""https://docs.google.com/spreadsheets/d/17HrOaa5pBUI1onckFfumXB8xlg35qb2uBAFfF1D-Myo/edit?usp=shar"&amp;"e_link"",""สุโขทัย!l186"")+IMPORTRANGE(""https://docs.google.com/spreadsheets/d/1ubs5cl16eYL9gHbdHTJtmtYb9MGzHBs7CAphn8kNCgM/edit?usp=share_link"",""อุตรดิตถ์!l186"")+IMPORTRANGE(""https://docs.google.com/spreadsheets/d/1kII0BjS6CtVrBvI8IrytgPdxDrlyQDyigz"&amp;"MsohRtDMs/edit?usp=share_link"",""อุทัยธานี!l186"")
"),4729330)</f>
        <v>4729330</v>
      </c>
      <c r="M186" s="45">
        <f ca="1">IFERROR(__xludf.DUMMYFUNCTION("IMPORTRANGE(""https://docs.google.com/spreadsheets/d/1KxicF4apzSqm0-jIpmueT4kyZtE-Cwn5zskl7GD4loQ/edit?usp=share_link"",""กำแพงเพชร!m186"")+IMPORTRANGE(""https://docs.google.com/spreadsheets/d/1ZNYWeiFoFA1K1U4xKWqRX29MBvEyRHXORjo734Gnq_c/edit?usp=share_li"&amp;"nk"",""เชียงราย!m186"")
+IMPORTRANGE(""https://docs.google.com/spreadsheets/d/1Jgv0Y7YlHDtsiDawwp-uvifEJ8HVaSn0k2aGHG8-hwM/edit?usp=share_link"",""เชียงใหม่!m186"")+IMPORTRANGE(""https://docs.google.com/spreadsheets/d/1JWG2rZePOz9pe-f-ObA-yDr0VoOX2kSb0qIi"&amp;"x2mTUo8/edit?usp=share_link"",""ตาก!m186"")+IMPORTRANGE(""https://docs.google.com/spreadsheets/d/10nSRjK08hx8Y6HgSOQKNw81lyY46Zc7U_Cj72hBMp9U/edit?usp=share_link"",""นครสวรรค์!m186"")+IMPORTRANGE(""https://docs.google.com/spreadsheets/d/1gFVb7qd7amutrIxAA"&amp;"oM7lcy35hllxznovot8lyOfvDo/edit?usp=share_link"",""น่าน!m186"")+IMPORTRANGE(""https://docs.google.com/spreadsheets/d/1K0Aa9s-6EuHE5M0FG1F9aHLXRCOV917xvycTdLdct0w/edit?usp=share_link"",""พะเยา!m186"")+IMPORTRANGE(""https://docs.google.com/spreadsheets/d/1Y"&amp;"9LPKx95PyL5OKy09d-KbKJSuuEZCFdkhYjwC0XQjBA/edit?usp=share_link"",""พิจิตร!m186"")+IMPORTRANGE(""https://docs.google.com/spreadsheets/d/16OMuOwy2eVqZcYWOouQtTpa8X1L23h4660uVHc0C8os/edit?usp=share_link"",""พิษณุโลก!m186"")+IMPORTRANGE(""https://docs.google."&amp;"com/spreadsheets/d/1GfgTldLG6k77HXaMQzaafODklYuucJZQNs_GAPEfZyY/edit?usp=share_link"",""เพชรบูรณ์!m186"")+IMPORTRANGE(""https://docs.google.com/spreadsheets/d/1gvTMYAnm7v1yG1BKWFtr0DnaTsq59oW9dwWvFgq6hs0/edit?usp=share_link"",""แพร่!m186"")+IMPORTRANGE("""&amp;"https://docs.google.com/spreadsheets/d/1Wbcosgy-Xa1xXUArJSOenub6EfZHUSzc_bpJFWwQUf0/edit?usp=share_link"",""แม่ฮ่องสอน!m186"")+IMPORTRANGE(""https://docs.google.com/spreadsheets/d/1p7ERhsr0qZeSn-KSOdeHS9r0heI-lHtkcn2OH7hP0jQ/edit?usp=share_link"",""ลำปาง!"&amp;"m186"")+IMPORTRANGE(""https://docs.google.com/spreadsheets/d/1-uUXvimVhiU2U0bMN-xi2te0tS4X7DI2GLPnMjzl8cA/edit?usp=share_link"",""ลำพูน!m186"")+IMPORTRANGE(""https://docs.google.com/spreadsheets/d/17HrOaa5pBUI1onckFfumXB8xlg35qb2uBAFfF1D-Myo/edit?usp=shar"&amp;"e_link"",""สุโขทัย!m186"")+IMPORTRANGE(""https://docs.google.com/spreadsheets/d/1ubs5cl16eYL9gHbdHTJtmtYb9MGzHBs7CAphn8kNCgM/edit?usp=share_link"",""อุตรดิตถ์!m186"")+IMPORTRANGE(""https://docs.google.com/spreadsheets/d/1kII0BjS6CtVrBvI8IrytgPdxDrlyQDyigz"&amp;"MsohRtDMs/edit?usp=share_link"",""อุทัยธานี!m186"")
"),2340980)</f>
        <v>2340980</v>
      </c>
      <c r="N186" s="45">
        <f ca="1">IFERROR(__xludf.DUMMYFUNCTION("IMPORTRANGE(""https://docs.google.com/spreadsheets/d/1KxicF4apzSqm0-jIpmueT4kyZtE-Cwn5zskl7GD4loQ/edit?usp=share_link"",""กำแพงเพชร!n186"")+IMPORTRANGE(""https://docs.google.com/spreadsheets/d/1ZNYWeiFoFA1K1U4xKWqRX29MBvEyRHXORjo734Gnq_c/edit?usp=share_li"&amp;"nk"",""เชียงราย!n186"")
+IMPORTRANGE(""https://docs.google.com/spreadsheets/d/1Jgv0Y7YlHDtsiDawwp-uvifEJ8HVaSn0k2aGHG8-hwM/edit?usp=share_link"",""เชียงใหม่!n186"")+IMPORTRANGE(""https://docs.google.com/spreadsheets/d/1JWG2rZePOz9pe-f-ObA-yDr0VoOX2kSb0qIi"&amp;"x2mTUo8/edit?usp=share_link"",""ตาก!n186"")+IMPORTRANGE(""https://docs.google.com/spreadsheets/d/10nSRjK08hx8Y6HgSOQKNw81lyY46Zc7U_Cj72hBMp9U/edit?usp=share_link"",""นครสวรรค์!n186"")+IMPORTRANGE(""https://docs.google.com/spreadsheets/d/1gFVb7qd7amutrIxAA"&amp;"oM7lcy35hllxznovot8lyOfvDo/edit?usp=share_link"",""น่าน!n186"")+IMPORTRANGE(""https://docs.google.com/spreadsheets/d/1K0Aa9s-6EuHE5M0FG1F9aHLXRCOV917xvycTdLdct0w/edit?usp=share_link"",""พะเยา!n186"")+IMPORTRANGE(""https://docs.google.com/spreadsheets/d/1Y"&amp;"9LPKx95PyL5OKy09d-KbKJSuuEZCFdkhYjwC0XQjBA/edit?usp=share_link"",""พิจิตร!n186"")+IMPORTRANGE(""https://docs.google.com/spreadsheets/d/16OMuOwy2eVqZcYWOouQtTpa8X1L23h4660uVHc0C8os/edit?usp=share_link"",""พิษณุโลก!n186"")+IMPORTRANGE(""https://docs.google."&amp;"com/spreadsheets/d/1GfgTldLG6k77HXaMQzaafODklYuucJZQNs_GAPEfZyY/edit?usp=share_link"",""เพชรบูรณ์!n186"")+IMPORTRANGE(""https://docs.google.com/spreadsheets/d/1gvTMYAnm7v1yG1BKWFtr0DnaTsq59oW9dwWvFgq6hs0/edit?usp=share_link"",""แพร่!n186"")+IMPORTRANGE("""&amp;"https://docs.google.com/spreadsheets/d/1Wbcosgy-Xa1xXUArJSOenub6EfZHUSzc_bpJFWwQUf0/edit?usp=share_link"",""แม่ฮ่องสอน!n186"")+IMPORTRANGE(""https://docs.google.com/spreadsheets/d/1p7ERhsr0qZeSn-KSOdeHS9r0heI-lHtkcn2OH7hP0jQ/edit?usp=share_link"",""ลำปาง!"&amp;"n186"")+IMPORTRANGE(""https://docs.google.com/spreadsheets/d/1-uUXvimVhiU2U0bMN-xi2te0tS4X7DI2GLPnMjzl8cA/edit?usp=share_link"",""ลำพูน!n186"")+IMPORTRANGE(""https://docs.google.com/spreadsheets/d/17HrOaa5pBUI1onckFfumXB8xlg35qb2uBAFfF1D-Myo/edit?usp=shar"&amp;"e_link"",""สุโขทัย!n186"")+IMPORTRANGE(""https://docs.google.com/spreadsheets/d/1ubs5cl16eYL9gHbdHTJtmtYb9MGzHBs7CAphn8kNCgM/edit?usp=share_link"",""อุตรดิตถ์!n186"")+IMPORTRANGE(""https://docs.google.com/spreadsheets/d/1kII0BjS6CtVrBvI8IrytgPdxDrlyQDyigz"&amp;"MsohRtDMs/edit?usp=share_link"",""อุทัยธานี!n186"")
"),561889.31)</f>
        <v>561889.31000000006</v>
      </c>
      <c r="O186" s="45">
        <f t="shared" ca="1" si="114"/>
        <v>11.880949521390981</v>
      </c>
      <c r="P186" s="45">
        <f t="shared" ca="1" si="115"/>
        <v>24.002311425129651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160"/>
      <c r="D187" s="34" t="s">
        <v>21</v>
      </c>
      <c r="E187" s="33"/>
      <c r="F187" s="33"/>
      <c r="G187" s="35"/>
      <c r="H187" s="168" t="s">
        <v>12</v>
      </c>
      <c r="I187" s="162"/>
      <c r="J187" s="162"/>
      <c r="K187" s="163"/>
      <c r="L187" s="38">
        <f t="shared" ref="L187:N187" ca="1" si="119">L188+L189</f>
        <v>0</v>
      </c>
      <c r="M187" s="38">
        <f t="shared" ca="1" si="119"/>
        <v>0</v>
      </c>
      <c r="N187" s="38">
        <f t="shared" ca="1" si="119"/>
        <v>0</v>
      </c>
      <c r="O187" s="38">
        <f t="shared" ca="1" si="114"/>
        <v>0</v>
      </c>
      <c r="P187" s="38">
        <f t="shared" ca="1" si="115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41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45">
        <f t="shared" si="114"/>
        <v>0</v>
      </c>
      <c r="P188" s="45">
        <f t="shared" si="115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41" t="s">
        <v>19</v>
      </c>
      <c r="F189" s="40"/>
      <c r="G189" s="157"/>
      <c r="H189" s="169" t="s">
        <v>12</v>
      </c>
      <c r="I189" s="166"/>
      <c r="J189" s="166"/>
      <c r="K189" s="167"/>
      <c r="L189" s="45">
        <f ca="1">IFERROR(__xludf.DUMMYFUNCTION("IMPORTRANGE(""https://docs.google.com/spreadsheets/d/1KxicF4apzSqm0-jIpmueT4kyZtE-Cwn5zskl7GD4loQ/edit?usp=share_link"",""กำแพงเพชร!l189"")+IMPORTRANGE(""https://docs.google.com/spreadsheets/d/1ZNYWeiFoFA1K1U4xKWqRX29MBvEyRHXORjo734Gnq_c/edit?usp=share_li"&amp;"nk"",""เชียงราย!l189"")
+IMPORTRANGE(""https://docs.google.com/spreadsheets/d/1Jgv0Y7YlHDtsiDawwp-uvifEJ8HVaSn0k2aGHG8-hwM/edit?usp=share_link"",""เชียงใหม่!l189"")+IMPORTRANGE(""https://docs.google.com/spreadsheets/d/1JWG2rZePOz9pe-f-ObA-yDr0VoOX2kSb0qIi"&amp;"x2mTUo8/edit?usp=share_link"",""ตาก!l189"")+IMPORTRANGE(""https://docs.google.com/spreadsheets/d/10nSRjK08hx8Y6HgSOQKNw81lyY46Zc7U_Cj72hBMp9U/edit?usp=share_link"",""นครสวรรค์!l189"")+IMPORTRANGE(""https://docs.google.com/spreadsheets/d/1gFVb7qd7amutrIxAA"&amp;"oM7lcy35hllxznovot8lyOfvDo/edit?usp=share_link"",""น่าน!l189"")+IMPORTRANGE(""https://docs.google.com/spreadsheets/d/1K0Aa9s-6EuHE5M0FG1F9aHLXRCOV917xvycTdLdct0w/edit?usp=share_link"",""พะเยา!l189"")+IMPORTRANGE(""https://docs.google.com/spreadsheets/d/1Y"&amp;"9LPKx95PyL5OKy09d-KbKJSuuEZCFdkhYjwC0XQjBA/edit?usp=share_link"",""พิจิตร!l189"")+IMPORTRANGE(""https://docs.google.com/spreadsheets/d/16OMuOwy2eVqZcYWOouQtTpa8X1L23h4660uVHc0C8os/edit?usp=share_link"",""พิษณุโลก!l189"")+IMPORTRANGE(""https://docs.google."&amp;"com/spreadsheets/d/1GfgTldLG6k77HXaMQzaafODklYuucJZQNs_GAPEfZyY/edit?usp=share_link"",""เพชรบูรณ์!l189"")+IMPORTRANGE(""https://docs.google.com/spreadsheets/d/1gvTMYAnm7v1yG1BKWFtr0DnaTsq59oW9dwWvFgq6hs0/edit?usp=share_link"",""แพร่!l189"")+IMPORTRANGE("""&amp;"https://docs.google.com/spreadsheets/d/1Wbcosgy-Xa1xXUArJSOenub6EfZHUSzc_bpJFWwQUf0/edit?usp=share_link"",""แม่ฮ่องสอน!l189"")+IMPORTRANGE(""https://docs.google.com/spreadsheets/d/1p7ERhsr0qZeSn-KSOdeHS9r0heI-lHtkcn2OH7hP0jQ/edit?usp=share_link"",""ลำปาง!"&amp;"l189"")+IMPORTRANGE(""https://docs.google.com/spreadsheets/d/1-uUXvimVhiU2U0bMN-xi2te0tS4X7DI2GLPnMjzl8cA/edit?usp=share_link"",""ลำพูน!l189"")+IMPORTRANGE(""https://docs.google.com/spreadsheets/d/17HrOaa5pBUI1onckFfumXB8xlg35qb2uBAFfF1D-Myo/edit?usp=shar"&amp;"e_link"",""สุโขทัย!l189"")+IMPORTRANGE(""https://docs.google.com/spreadsheets/d/1ubs5cl16eYL9gHbdHTJtmtYb9MGzHBs7CAphn8kNCgM/edit?usp=share_link"",""อุตรดิตถ์!l189"")+IMPORTRANGE(""https://docs.google.com/spreadsheets/d/1kII0BjS6CtVrBvI8IrytgPdxDrlyQDyigz"&amp;"MsohRtDMs/edit?usp=share_link"",""อุทัยธานี!l189"")
"),0)</f>
        <v>0</v>
      </c>
      <c r="M189" s="45">
        <f ca="1">IFERROR(__xludf.DUMMYFUNCTION("IMPORTRANGE(""https://docs.google.com/spreadsheets/d/1KxicF4apzSqm0-jIpmueT4kyZtE-Cwn5zskl7GD4loQ/edit?usp=share_link"",""กำแพงเพชร!m189"")+IMPORTRANGE(""https://docs.google.com/spreadsheets/d/1ZNYWeiFoFA1K1U4xKWqRX29MBvEyRHXORjo734Gnq_c/edit?usp=share_li"&amp;"nk"",""เชียงราย!m189"")
+IMPORTRANGE(""https://docs.google.com/spreadsheets/d/1Jgv0Y7YlHDtsiDawwp-uvifEJ8HVaSn0k2aGHG8-hwM/edit?usp=share_link"",""เชียงใหม่!m189"")+IMPORTRANGE(""https://docs.google.com/spreadsheets/d/1JWG2rZePOz9pe-f-ObA-yDr0VoOX2kSb0qIi"&amp;"x2mTUo8/edit?usp=share_link"",""ตาก!m189"")+IMPORTRANGE(""https://docs.google.com/spreadsheets/d/10nSRjK08hx8Y6HgSOQKNw81lyY46Zc7U_Cj72hBMp9U/edit?usp=share_link"",""นครสวรรค์!m189"")+IMPORTRANGE(""https://docs.google.com/spreadsheets/d/1gFVb7qd7amutrIxAA"&amp;"oM7lcy35hllxznovot8lyOfvDo/edit?usp=share_link"",""น่าน!m189"")+IMPORTRANGE(""https://docs.google.com/spreadsheets/d/1K0Aa9s-6EuHE5M0FG1F9aHLXRCOV917xvycTdLdct0w/edit?usp=share_link"",""พะเยา!m189"")+IMPORTRANGE(""https://docs.google.com/spreadsheets/d/1Y"&amp;"9LPKx95PyL5OKy09d-KbKJSuuEZCFdkhYjwC0XQjBA/edit?usp=share_link"",""พิจิตร!m189"")+IMPORTRANGE(""https://docs.google.com/spreadsheets/d/16OMuOwy2eVqZcYWOouQtTpa8X1L23h4660uVHc0C8os/edit?usp=share_link"",""พิษณุโลก!m189"")+IMPORTRANGE(""https://docs.google."&amp;"com/spreadsheets/d/1GfgTldLG6k77HXaMQzaafODklYuucJZQNs_GAPEfZyY/edit?usp=share_link"",""เพชรบูรณ์!m189"")+IMPORTRANGE(""https://docs.google.com/spreadsheets/d/1gvTMYAnm7v1yG1BKWFtr0DnaTsq59oW9dwWvFgq6hs0/edit?usp=share_link"",""แพร่!m189"")+IMPORTRANGE("""&amp;"https://docs.google.com/spreadsheets/d/1Wbcosgy-Xa1xXUArJSOenub6EfZHUSzc_bpJFWwQUf0/edit?usp=share_link"",""แม่ฮ่องสอน!m189"")+IMPORTRANGE(""https://docs.google.com/spreadsheets/d/1p7ERhsr0qZeSn-KSOdeHS9r0heI-lHtkcn2OH7hP0jQ/edit?usp=share_link"",""ลำปาง!"&amp;"m189"")+IMPORTRANGE(""https://docs.google.com/spreadsheets/d/1-uUXvimVhiU2U0bMN-xi2te0tS4X7DI2GLPnMjzl8cA/edit?usp=share_link"",""ลำพูน!m189"")+IMPORTRANGE(""https://docs.google.com/spreadsheets/d/17HrOaa5pBUI1onckFfumXB8xlg35qb2uBAFfF1D-Myo/edit?usp=shar"&amp;"e_link"",""สุโขทัย!m189"")+IMPORTRANGE(""https://docs.google.com/spreadsheets/d/1ubs5cl16eYL9gHbdHTJtmtYb9MGzHBs7CAphn8kNCgM/edit?usp=share_link"",""อุตรดิตถ์!m189"")+IMPORTRANGE(""https://docs.google.com/spreadsheets/d/1kII0BjS6CtVrBvI8IrytgPdxDrlyQDyigz"&amp;"MsohRtDMs/edit?usp=share_link"",""อุทัยธานี!m189"")
"),0)</f>
        <v>0</v>
      </c>
      <c r="N189" s="45">
        <f ca="1">IFERROR(__xludf.DUMMYFUNCTION("IMPORTRANGE(""https://docs.google.com/spreadsheets/d/1KxicF4apzSqm0-jIpmueT4kyZtE-Cwn5zskl7GD4loQ/edit?usp=share_link"",""กำแพงเพชร!n189"")+IMPORTRANGE(""https://docs.google.com/spreadsheets/d/1ZNYWeiFoFA1K1U4xKWqRX29MBvEyRHXORjo734Gnq_c/edit?usp=share_li"&amp;"nk"",""เชียงราย!n189"")
+IMPORTRANGE(""https://docs.google.com/spreadsheets/d/1Jgv0Y7YlHDtsiDawwp-uvifEJ8HVaSn0k2aGHG8-hwM/edit?usp=share_link"",""เชียงใหม่!n189"")+IMPORTRANGE(""https://docs.google.com/spreadsheets/d/1JWG2rZePOz9pe-f-ObA-yDr0VoOX2kSb0qIi"&amp;"x2mTUo8/edit?usp=share_link"",""ตาก!n189"")+IMPORTRANGE(""https://docs.google.com/spreadsheets/d/10nSRjK08hx8Y6HgSOQKNw81lyY46Zc7U_Cj72hBMp9U/edit?usp=share_link"",""นครสวรรค์!n189"")+IMPORTRANGE(""https://docs.google.com/spreadsheets/d/1gFVb7qd7amutrIxAA"&amp;"oM7lcy35hllxznovot8lyOfvDo/edit?usp=share_link"",""น่าน!n189"")+IMPORTRANGE(""https://docs.google.com/spreadsheets/d/1K0Aa9s-6EuHE5M0FG1F9aHLXRCOV917xvycTdLdct0w/edit?usp=share_link"",""พะเยา!n189"")+IMPORTRANGE(""https://docs.google.com/spreadsheets/d/1Y"&amp;"9LPKx95PyL5OKy09d-KbKJSuuEZCFdkhYjwC0XQjBA/edit?usp=share_link"",""พิจิตร!n189"")+IMPORTRANGE(""https://docs.google.com/spreadsheets/d/16OMuOwy2eVqZcYWOouQtTpa8X1L23h4660uVHc0C8os/edit?usp=share_link"",""พิษณุโลก!n189"")+IMPORTRANGE(""https://docs.google."&amp;"com/spreadsheets/d/1GfgTldLG6k77HXaMQzaafODklYuucJZQNs_GAPEfZyY/edit?usp=share_link"",""เพชรบูรณ์!n189"")+IMPORTRANGE(""https://docs.google.com/spreadsheets/d/1gvTMYAnm7v1yG1BKWFtr0DnaTsq59oW9dwWvFgq6hs0/edit?usp=share_link"",""แพร่!n189"")+IMPORTRANGE("""&amp;"https://docs.google.com/spreadsheets/d/1Wbcosgy-Xa1xXUArJSOenub6EfZHUSzc_bpJFWwQUf0/edit?usp=share_link"",""แม่ฮ่องสอน!n189"")+IMPORTRANGE(""https://docs.google.com/spreadsheets/d/1p7ERhsr0qZeSn-KSOdeHS9r0heI-lHtkcn2OH7hP0jQ/edit?usp=share_link"",""ลำปาง!"&amp;"n189"")+IMPORTRANGE(""https://docs.google.com/spreadsheets/d/1-uUXvimVhiU2U0bMN-xi2te0tS4X7DI2GLPnMjzl8cA/edit?usp=share_link"",""ลำพูน!n189"")+IMPORTRANGE(""https://docs.google.com/spreadsheets/d/17HrOaa5pBUI1onckFfumXB8xlg35qb2uBAFfF1D-Myo/edit?usp=shar"&amp;"e_link"",""สุโขทัย!n189"")+IMPORTRANGE(""https://docs.google.com/spreadsheets/d/1ubs5cl16eYL9gHbdHTJtmtYb9MGzHBs7CAphn8kNCgM/edit?usp=share_link"",""อุตรดิตถ์!n189"")+IMPORTRANGE(""https://docs.google.com/spreadsheets/d/1kII0BjS6CtVrBvI8IrytgPdxDrlyQDyigz"&amp;"MsohRtDMs/edit?usp=share_link"",""อุทัยธานี!n189"")
"),0)</f>
        <v>0</v>
      </c>
      <c r="O189" s="45">
        <f t="shared" ca="1" si="114"/>
        <v>0</v>
      </c>
      <c r="P189" s="45">
        <f t="shared" ca="1" si="115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5"/>
      <c r="B190" s="263"/>
      <c r="C190" s="270" t="s">
        <v>89</v>
      </c>
      <c r="D190" s="256"/>
      <c r="E190" s="256"/>
      <c r="F190" s="256"/>
      <c r="G190" s="258"/>
      <c r="H190" s="259" t="s">
        <v>90</v>
      </c>
      <c r="I190" s="271">
        <f t="shared" ref="I190:J190" ca="1" si="120">I193</f>
        <v>68</v>
      </c>
      <c r="J190" s="271">
        <f t="shared" ca="1" si="120"/>
        <v>0</v>
      </c>
      <c r="K190" s="272">
        <f ca="1">IF(I190&gt;0,J190*100/I190,0)</f>
        <v>0</v>
      </c>
      <c r="L190" s="261"/>
      <c r="M190" s="261"/>
      <c r="N190" s="261"/>
      <c r="O190" s="261"/>
      <c r="P190" s="261"/>
    </row>
    <row r="191" spans="1:26" ht="19.5">
      <c r="A191" s="147"/>
      <c r="B191" s="148"/>
      <c r="C191" s="149" t="s">
        <v>16</v>
      </c>
      <c r="D191" s="273" t="s">
        <v>17</v>
      </c>
      <c r="E191" s="148"/>
      <c r="F191" s="148"/>
      <c r="G191" s="151"/>
      <c r="H191" s="274" t="s">
        <v>12</v>
      </c>
      <c r="I191" s="153"/>
      <c r="J191" s="153"/>
      <c r="K191" s="154"/>
      <c r="L191" s="155">
        <f ca="1">IFERROR(__xludf.DUMMYFUNCTION("IMPORTRANGE(""https://docs.google.com/spreadsheets/d/1KxicF4apzSqm0-jIpmueT4kyZtE-Cwn5zskl7GD4loQ/edit?usp=share_link"",""กำแพงเพชร!l191"")+IMPORTRANGE(""https://docs.google.com/spreadsheets/d/1ZNYWeiFoFA1K1U4xKWqRX29MBvEyRHXORjo734Gnq_c/edit?usp=share_li"&amp;"nk"",""เชียงราย!l191"")
+IMPORTRANGE(""https://docs.google.com/spreadsheets/d/1Jgv0Y7YlHDtsiDawwp-uvifEJ8HVaSn0k2aGHG8-hwM/edit?usp=share_link"",""เชียงใหม่!l191"")+IMPORTRANGE(""https://docs.google.com/spreadsheets/d/1JWG2rZePOz9pe-f-ObA-yDr0VoOX2kSb0qIi"&amp;"x2mTUo8/edit?usp=share_link"",""ตาก!l191"")+IMPORTRANGE(""https://docs.google.com/spreadsheets/d/10nSRjK08hx8Y6HgSOQKNw81lyY46Zc7U_Cj72hBMp9U/edit?usp=share_link"",""นครสวรรค์!l191"")+IMPORTRANGE(""https://docs.google.com/spreadsheets/d/1gFVb7qd7amutrIxAA"&amp;"oM7lcy35hllxznovot8lyOfvDo/edit?usp=share_link"",""น่าน!l191"")+IMPORTRANGE(""https://docs.google.com/spreadsheets/d/1K0Aa9s-6EuHE5M0FG1F9aHLXRCOV917xvycTdLdct0w/edit?usp=share_link"",""พะเยา!l191"")+IMPORTRANGE(""https://docs.google.com/spreadsheets/d/1Y"&amp;"9LPKx95PyL5OKy09d-KbKJSuuEZCFdkhYjwC0XQjBA/edit?usp=share_link"",""พิจิตร!l191"")+IMPORTRANGE(""https://docs.google.com/spreadsheets/d/16OMuOwy2eVqZcYWOouQtTpa8X1L23h4660uVHc0C8os/edit?usp=share_link"",""พิษณุโลก!l191"")+IMPORTRANGE(""https://docs.google."&amp;"com/spreadsheets/d/1GfgTldLG6k77HXaMQzaafODklYuucJZQNs_GAPEfZyY/edit?usp=share_link"",""เพชรบูรณ์!l191"")+IMPORTRANGE(""https://docs.google.com/spreadsheets/d/1gvTMYAnm7v1yG1BKWFtr0DnaTsq59oW9dwWvFgq6hs0/edit?usp=share_link"",""แพร่!l191"")+IMPORTRANGE("""&amp;"https://docs.google.com/spreadsheets/d/1Wbcosgy-Xa1xXUArJSOenub6EfZHUSzc_bpJFWwQUf0/edit?usp=share_link"",""แม่ฮ่องสอน!l191"")+IMPORTRANGE(""https://docs.google.com/spreadsheets/d/1p7ERhsr0qZeSn-KSOdeHS9r0heI-lHtkcn2OH7hP0jQ/edit?usp=share_link"",""ลำปาง!"&amp;"l191"")+IMPORTRANGE(""https://docs.google.com/spreadsheets/d/1-uUXvimVhiU2U0bMN-xi2te0tS4X7DI2GLPnMjzl8cA/edit?usp=share_link"",""ลำพูน!l191"")+IMPORTRANGE(""https://docs.google.com/spreadsheets/d/17HrOaa5pBUI1onckFfumXB8xlg35qb2uBAFfF1D-Myo/edit?usp=shar"&amp;"e_link"",""สุโขทัย!l191"")+IMPORTRANGE(""https://docs.google.com/spreadsheets/d/1ubs5cl16eYL9gHbdHTJtmtYb9MGzHBs7CAphn8kNCgM/edit?usp=share_link"",""อุตรดิตถ์!l191"")+IMPORTRANGE(""https://docs.google.com/spreadsheets/d/1kII0BjS6CtVrBvI8IrytgPdxDrlyQDyigz"&amp;"MsohRtDMs/edit?usp=share_link"",""อุทัยธานี!l191"")
"),102000)</f>
        <v>102000</v>
      </c>
      <c r="M191" s="155"/>
      <c r="N191" s="275">
        <f ca="1">IFERROR(__xludf.DUMMYFUNCTION("IMPORTRANGE(""https://docs.google.com/spreadsheets/d/1KxicF4apzSqm0-jIpmueT4kyZtE-Cwn5zskl7GD4loQ/edit?usp=share_link"",""กำแพงเพชร!n191"")+IMPORTRANGE(""https://docs.google.com/spreadsheets/d/1ZNYWeiFoFA1K1U4xKWqRX29MBvEyRHXORjo734Gnq_c/edit?usp=share_li"&amp;"nk"",""เชียงราย!n191"")
+IMPORTRANGE(""https://docs.google.com/spreadsheets/d/1Jgv0Y7YlHDtsiDawwp-uvifEJ8HVaSn0k2aGHG8-hwM/edit?usp=share_link"",""เชียงใหม่!n191"")+IMPORTRANGE(""https://docs.google.com/spreadsheets/d/1JWG2rZePOz9pe-f-ObA-yDr0VoOX2kSb0qIi"&amp;"x2mTUo8/edit?usp=share_link"",""ตาก!n191"")+IMPORTRANGE(""https://docs.google.com/spreadsheets/d/10nSRjK08hx8Y6HgSOQKNw81lyY46Zc7U_Cj72hBMp9U/edit?usp=share_link"",""นครสวรรค์!n191"")+IMPORTRANGE(""https://docs.google.com/spreadsheets/d/1gFVb7qd7amutrIxAA"&amp;"oM7lcy35hllxznovot8lyOfvDo/edit?usp=share_link"",""น่าน!n191"")+IMPORTRANGE(""https://docs.google.com/spreadsheets/d/1K0Aa9s-6EuHE5M0FG1F9aHLXRCOV917xvycTdLdct0w/edit?usp=share_link"",""พะเยา!n191"")+IMPORTRANGE(""https://docs.google.com/spreadsheets/d/1Y"&amp;"9LPKx95PyL5OKy09d-KbKJSuuEZCFdkhYjwC0XQjBA/edit?usp=share_link"",""พิจิตร!n191"")+IMPORTRANGE(""https://docs.google.com/spreadsheets/d/16OMuOwy2eVqZcYWOouQtTpa8X1L23h4660uVHc0C8os/edit?usp=share_link"",""พิษณุโลก!n191"")+IMPORTRANGE(""https://docs.google."&amp;"com/spreadsheets/d/1GfgTldLG6k77HXaMQzaafODklYuucJZQNs_GAPEfZyY/edit?usp=share_link"",""เพชรบูรณ์!n191"")+IMPORTRANGE(""https://docs.google.com/spreadsheets/d/1gvTMYAnm7v1yG1BKWFtr0DnaTsq59oW9dwWvFgq6hs0/edit?usp=share_link"",""แพร่!n191"")+IMPORTRANGE("""&amp;"https://docs.google.com/spreadsheets/d/1Wbcosgy-Xa1xXUArJSOenub6EfZHUSzc_bpJFWwQUf0/edit?usp=share_link"",""แม่ฮ่องสอน!n191"")+IMPORTRANGE(""https://docs.google.com/spreadsheets/d/1p7ERhsr0qZeSn-KSOdeHS9r0heI-lHtkcn2OH7hP0jQ/edit?usp=share_link"",""ลำปาง!"&amp;"n191"")+IMPORTRANGE(""https://docs.google.com/spreadsheets/d/1-uUXvimVhiU2U0bMN-xi2te0tS4X7DI2GLPnMjzl8cA/edit?usp=share_link"",""ลำพูน!n191"")+IMPORTRANGE(""https://docs.google.com/spreadsheets/d/17HrOaa5pBUI1onckFfumXB8xlg35qb2uBAFfF1D-Myo/edit?usp=shar"&amp;"e_link"",""สุโขทัย!n191"")+IMPORTRANGE(""https://docs.google.com/spreadsheets/d/1ubs5cl16eYL9gHbdHTJtmtYb9MGzHBs7CAphn8kNCgM/edit?usp=share_link"",""อุตรดิตถ์!n191"")+IMPORTRANGE(""https://docs.google.com/spreadsheets/d/1kII0BjS6CtVrBvI8IrytgPdxDrlyQDyigz"&amp;"MsohRtDMs/edit?usp=share_link"",""อุทัยธานี!n191"")
"),0)</f>
        <v>0</v>
      </c>
      <c r="O191" s="155">
        <f ca="1">IF(L191&gt;0,N191*100/L191,0)</f>
        <v>0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0" t="s">
        <v>16</v>
      </c>
      <c r="D192" s="172" t="s">
        <v>38</v>
      </c>
      <c r="E192" s="173"/>
      <c r="F192" s="173"/>
      <c r="G192" s="174"/>
      <c r="H192" s="175"/>
      <c r="I192" s="37"/>
      <c r="J192" s="37"/>
      <c r="K192" s="38"/>
      <c r="L192" s="38"/>
      <c r="M192" s="38"/>
      <c r="N192" s="38"/>
      <c r="O192" s="38"/>
      <c r="P192" s="38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181" t="s">
        <v>91</v>
      </c>
      <c r="E193" s="178"/>
      <c r="F193" s="178"/>
      <c r="G193" s="179"/>
      <c r="H193" s="182" t="s">
        <v>90</v>
      </c>
      <c r="I193" s="37">
        <f ca="1">IFERROR(__xludf.DUMMYFUNCTION("IMPORTRANGE(""https://docs.google.com/spreadsheets/d/1KxicF4apzSqm0-jIpmueT4kyZtE-Cwn5zskl7GD4loQ/edit?usp=share_link"",""กำแพงเพชร!I193"")+IMPORTRANGE(""https://docs.google.com/spreadsheets/d/1ZNYWeiFoFA1K1U4xKWqRX29MBvEyRHXORjo734Gnq_c/edit?usp=share_li"&amp;"nk"",""เชียงราย!I193"")
+IMPORTRANGE(""https://docs.google.com/spreadsheets/d/1Jgv0Y7YlHDtsiDawwp-uvifEJ8HVaSn0k2aGHG8-hwM/edit?usp=share_link"",""เชียงใหม่!I193"")+IMPORTRANGE(""https://docs.google.com/spreadsheets/d/1JWG2rZePOz9pe-f-ObA-yDr0VoOX2kSb0qIi"&amp;"x2mTUo8/edit?usp=share_link"",""ตาก!I193"")+IMPORTRANGE(""https://docs.google.com/spreadsheets/d/10nSRjK08hx8Y6HgSOQKNw81lyY46Zc7U_Cj72hBMp9U/edit?usp=share_link"",""นครสวรรค์!I193"")+IMPORTRANGE(""https://docs.google.com/spreadsheets/d/1gFVb7qd7amutrIxAA"&amp;"oM7lcy35hllxznovot8lyOfvDo/edit?usp=share_link"",""น่าน!I193"")+IMPORTRANGE(""https://docs.google.com/spreadsheets/d/1K0Aa9s-6EuHE5M0FG1F9aHLXRCOV917xvycTdLdct0w/edit?usp=share_link"",""พะเยา!I193"")+IMPORTRANGE(""https://docs.google.com/spreadsheets/d/1Y"&amp;"9LPKx95PyL5OKy09d-KbKJSuuEZCFdkhYjwC0XQjBA/edit?usp=share_link"",""พิจิตร!I193"")+IMPORTRANGE(""https://docs.google.com/spreadsheets/d/16OMuOwy2eVqZcYWOouQtTpa8X1L23h4660uVHc0C8os/edit?usp=share_link"",""พิษณุโลก!I193"")+IMPORTRANGE(""https://docs.google."&amp;"com/spreadsheets/d/1GfgTldLG6k77HXaMQzaafODklYuucJZQNs_GAPEfZyY/edit?usp=share_link"",""เพชรบูรณ์!I193"")+IMPORTRANGE(""https://docs.google.com/spreadsheets/d/1gvTMYAnm7v1yG1BKWFtr0DnaTsq59oW9dwWvFgq6hs0/edit?usp=share_link"",""แพร่!I193"")+IMPORTRANGE("""&amp;"https://docs.google.com/spreadsheets/d/1Wbcosgy-Xa1xXUArJSOenub6EfZHUSzc_bpJFWwQUf0/edit?usp=share_link"",""แม่ฮ่องสอน!I193"")+IMPORTRANGE(""https://docs.google.com/spreadsheets/d/1p7ERhsr0qZeSn-KSOdeHS9r0heI-lHtkcn2OH7hP0jQ/edit?usp=share_link"",""ลำปาง!"&amp;"I193"")+IMPORTRANGE(""https://docs.google.com/spreadsheets/d/1-uUXvimVhiU2U0bMN-xi2te0tS4X7DI2GLPnMjzl8cA/edit?usp=share_link"",""ลำพูน!I193"")+IMPORTRANGE(""https://docs.google.com/spreadsheets/d/17HrOaa5pBUI1onckFfumXB8xlg35qb2uBAFfF1D-Myo/edit?usp=shar"&amp;"e_link"",""สุโขทัย!I193"")+IMPORTRANGE(""https://docs.google.com/spreadsheets/d/1ubs5cl16eYL9gHbdHTJtmtYb9MGzHBs7CAphn8kNCgM/edit?usp=share_link"",""อุตรดิตถ์!I193"")+IMPORTRANGE(""https://docs.google.com/spreadsheets/d/1kII0BjS6CtVrBvI8IrytgPdxDrlyQDyigz"&amp;"MsohRtDMs/edit?usp=share_link"",""อุทัยธานี!I193"")
"),68)</f>
        <v>68</v>
      </c>
      <c r="J193" s="183">
        <f ca="1">IFERROR(__xludf.DUMMYFUNCTION("IMPORTRANGE(""https://docs.google.com/spreadsheets/d/1KxicF4apzSqm0-jIpmueT4kyZtE-Cwn5zskl7GD4loQ/edit?usp=share_link"",""กำแพงเพชร!J193"")+IMPORTRANGE(""https://docs.google.com/spreadsheets/d/1ZNYWeiFoFA1K1U4xKWqRX29MBvEyRHXORjo734Gnq_c/edit?usp=share_li"&amp;"nk"",""เชียงราย!J193"")
+IMPORTRANGE(""https://docs.google.com/spreadsheets/d/1Jgv0Y7YlHDtsiDawwp-uvifEJ8HVaSn0k2aGHG8-hwM/edit?usp=share_link"",""เชียงใหม่!J193"")+IMPORTRANGE(""https://docs.google.com/spreadsheets/d/1JWG2rZePOz9pe-f-ObA-yDr0VoOX2kSb0qIi"&amp;"x2mTUo8/edit?usp=share_link"",""ตาก!J193"")+IMPORTRANGE(""https://docs.google.com/spreadsheets/d/10nSRjK08hx8Y6HgSOQKNw81lyY46Zc7U_Cj72hBMp9U/edit?usp=share_link"",""นครสวรรค์!J193"")+IMPORTRANGE(""https://docs.google.com/spreadsheets/d/1gFVb7qd7amutrIxAA"&amp;"oM7lcy35hllxznovot8lyOfvDo/edit?usp=share_link"",""น่าน!J193"")+IMPORTRANGE(""https://docs.google.com/spreadsheets/d/1K0Aa9s-6EuHE5M0FG1F9aHLXRCOV917xvycTdLdct0w/edit?usp=share_link"",""พะเยา!J193"")+IMPORTRANGE(""https://docs.google.com/spreadsheets/d/1Y"&amp;"9LPKx95PyL5OKy09d-KbKJSuuEZCFdkhYjwC0XQjBA/edit?usp=share_link"",""พิจิตร!J193"")+IMPORTRANGE(""https://docs.google.com/spreadsheets/d/16OMuOwy2eVqZcYWOouQtTpa8X1L23h4660uVHc0C8os/edit?usp=share_link"",""พิษณุโลก!J193"")+IMPORTRANGE(""https://docs.google."&amp;"com/spreadsheets/d/1GfgTldLG6k77HXaMQzaafODklYuucJZQNs_GAPEfZyY/edit?usp=share_link"",""เพชรบูรณ์!J193"")+IMPORTRANGE(""https://docs.google.com/spreadsheets/d/1gvTMYAnm7v1yG1BKWFtr0DnaTsq59oW9dwWvFgq6hs0/edit?usp=share_link"",""แพร่!J193"")+IMPORTRANGE("""&amp;"https://docs.google.com/spreadsheets/d/1Wbcosgy-Xa1xXUArJSOenub6EfZHUSzc_bpJFWwQUf0/edit?usp=share_link"",""แม่ฮ่องสอน!J193"")+IMPORTRANGE(""https://docs.google.com/spreadsheets/d/1p7ERhsr0qZeSn-KSOdeHS9r0heI-lHtkcn2OH7hP0jQ/edit?usp=share_link"",""ลำปาง!"&amp;"J193"")+IMPORTRANGE(""https://docs.google.com/spreadsheets/d/1-uUXvimVhiU2U0bMN-xi2te0tS4X7DI2GLPnMjzl8cA/edit?usp=share_link"",""ลำพูน!J193"")+IMPORTRANGE(""https://docs.google.com/spreadsheets/d/17HrOaa5pBUI1onckFfumXB8xlg35qb2uBAFfF1D-Myo/edit?usp=shar"&amp;"e_link"",""สุโขทัย!J193"")+IMPORTRANGE(""https://docs.google.com/spreadsheets/d/1ubs5cl16eYL9gHbdHTJtmtYb9MGzHBs7CAphn8kNCgM/edit?usp=share_link"",""อุตรดิตถ์!J193"")+IMPORTRANGE(""https://docs.google.com/spreadsheets/d/1kII0BjS6CtVrBvI8IrytgPdxDrlyQDyigz"&amp;"MsohRtDMs/edit?usp=share_link"",""อุทัยธานี!J193"")
"),0)</f>
        <v>0</v>
      </c>
      <c r="K193" s="38">
        <f ca="1">IF(I193&gt;0,J193*100/I193,0)</f>
        <v>0</v>
      </c>
      <c r="L193" s="38"/>
      <c r="M193" s="38"/>
      <c r="N193" s="38"/>
      <c r="O193" s="38"/>
      <c r="P193" s="38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181" t="s">
        <v>92</v>
      </c>
      <c r="E194" s="178"/>
      <c r="F194" s="178"/>
      <c r="G194" s="179"/>
      <c r="H194" s="276" t="s">
        <v>35</v>
      </c>
      <c r="I194" s="37"/>
      <c r="J194" s="37">
        <f ca="1">J195+J196</f>
        <v>0</v>
      </c>
      <c r="K194" s="38"/>
      <c r="L194" s="38"/>
      <c r="M194" s="38"/>
      <c r="N194" s="38"/>
      <c r="O194" s="38"/>
      <c r="P194" s="38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181" t="s">
        <v>93</v>
      </c>
      <c r="F195" s="178"/>
      <c r="G195" s="179"/>
      <c r="H195" s="276" t="s">
        <v>35</v>
      </c>
      <c r="I195" s="37"/>
      <c r="J195" s="183">
        <f ca="1">IFERROR(__xludf.DUMMYFUNCTION("IMPORTRANGE(""https://docs.google.com/spreadsheets/d/1KxicF4apzSqm0-jIpmueT4kyZtE-Cwn5zskl7GD4loQ/edit?usp=share_link"",""กำแพงเพชร!J195"")+IMPORTRANGE(""https://docs.google.com/spreadsheets/d/1ZNYWeiFoFA1K1U4xKWqRX29MBvEyRHXORjo734Gnq_c/edit?usp=share_li"&amp;"nk"",""เชียงราย!J195"")
+IMPORTRANGE(""https://docs.google.com/spreadsheets/d/1Jgv0Y7YlHDtsiDawwp-uvifEJ8HVaSn0k2aGHG8-hwM/edit?usp=share_link"",""เชียงใหม่!J195"")+IMPORTRANGE(""https://docs.google.com/spreadsheets/d/1JWG2rZePOz9pe-f-ObA-yDr0VoOX2kSb0qIi"&amp;"x2mTUo8/edit?usp=share_link"",""ตาก!J195"")+IMPORTRANGE(""https://docs.google.com/spreadsheets/d/10nSRjK08hx8Y6HgSOQKNw81lyY46Zc7U_Cj72hBMp9U/edit?usp=share_link"",""นครสวรรค์!J195"")+IMPORTRANGE(""https://docs.google.com/spreadsheets/d/1gFVb7qd7amutrIxAA"&amp;"oM7lcy35hllxznovot8lyOfvDo/edit?usp=share_link"",""น่าน!J195"")+IMPORTRANGE(""https://docs.google.com/spreadsheets/d/1K0Aa9s-6EuHE5M0FG1F9aHLXRCOV917xvycTdLdct0w/edit?usp=share_link"",""พะเยา!J195"")+IMPORTRANGE(""https://docs.google.com/spreadsheets/d/1Y"&amp;"9LPKx95PyL5OKy09d-KbKJSuuEZCFdkhYjwC0XQjBA/edit?usp=share_link"",""พิจิตร!J195"")+IMPORTRANGE(""https://docs.google.com/spreadsheets/d/16OMuOwy2eVqZcYWOouQtTpa8X1L23h4660uVHc0C8os/edit?usp=share_link"",""พิษณุโลก!J195"")+IMPORTRANGE(""https://docs.google."&amp;"com/spreadsheets/d/1GfgTldLG6k77HXaMQzaafODklYuucJZQNs_GAPEfZyY/edit?usp=share_link"",""เพชรบูรณ์!J195"")+IMPORTRANGE(""https://docs.google.com/spreadsheets/d/1gvTMYAnm7v1yG1BKWFtr0DnaTsq59oW9dwWvFgq6hs0/edit?usp=share_link"",""แพร่!J195"")+IMPORTRANGE("""&amp;"https://docs.google.com/spreadsheets/d/1Wbcosgy-Xa1xXUArJSOenub6EfZHUSzc_bpJFWwQUf0/edit?usp=share_link"",""แม่ฮ่องสอน!J195"")+IMPORTRANGE(""https://docs.google.com/spreadsheets/d/1p7ERhsr0qZeSn-KSOdeHS9r0heI-lHtkcn2OH7hP0jQ/edit?usp=share_link"",""ลำปาง!"&amp;"J195"")+IMPORTRANGE(""https://docs.google.com/spreadsheets/d/1-uUXvimVhiU2U0bMN-xi2te0tS4X7DI2GLPnMjzl8cA/edit?usp=share_link"",""ลำพูน!J195"")+IMPORTRANGE(""https://docs.google.com/spreadsheets/d/17HrOaa5pBUI1onckFfumXB8xlg35qb2uBAFfF1D-Myo/edit?usp=shar"&amp;"e_link"",""สุโขทัย!J195"")+IMPORTRANGE(""https://docs.google.com/spreadsheets/d/1ubs5cl16eYL9gHbdHTJtmtYb9MGzHBs7CAphn8kNCgM/edit?usp=share_link"",""อุตรดิตถ์!J195"")+IMPORTRANGE(""https://docs.google.com/spreadsheets/d/1kII0BjS6CtVrBvI8IrytgPdxDrlyQDyigz"&amp;"MsohRtDMs/edit?usp=share_link"",""อุทัยธานี!J195"")
"),0)</f>
        <v>0</v>
      </c>
      <c r="K195" s="38"/>
      <c r="L195" s="38"/>
      <c r="M195" s="38"/>
      <c r="N195" s="38"/>
      <c r="O195" s="38"/>
      <c r="P195" s="38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181" t="s">
        <v>94</v>
      </c>
      <c r="F196" s="178"/>
      <c r="G196" s="179"/>
      <c r="H196" s="276" t="s">
        <v>35</v>
      </c>
      <c r="I196" s="37"/>
      <c r="J196" s="183">
        <f ca="1">IFERROR(__xludf.DUMMYFUNCTION("IMPORTRANGE(""https://docs.google.com/spreadsheets/d/1KxicF4apzSqm0-jIpmueT4kyZtE-Cwn5zskl7GD4loQ/edit?usp=share_link"",""กำแพงเพชร!J196"")+IMPORTRANGE(""https://docs.google.com/spreadsheets/d/1ZNYWeiFoFA1K1U4xKWqRX29MBvEyRHXORjo734Gnq_c/edit?usp=share_li"&amp;"nk"",""เชียงราย!J196"")
+IMPORTRANGE(""https://docs.google.com/spreadsheets/d/1Jgv0Y7YlHDtsiDawwp-uvifEJ8HVaSn0k2aGHG8-hwM/edit?usp=share_link"",""เชียงใหม่!J196"")+IMPORTRANGE(""https://docs.google.com/spreadsheets/d/1JWG2rZePOz9pe-f-ObA-yDr0VoOX2kSb0qIi"&amp;"x2mTUo8/edit?usp=share_link"",""ตาก!J196"")+IMPORTRANGE(""https://docs.google.com/spreadsheets/d/10nSRjK08hx8Y6HgSOQKNw81lyY46Zc7U_Cj72hBMp9U/edit?usp=share_link"",""นครสวรรค์!J196"")+IMPORTRANGE(""https://docs.google.com/spreadsheets/d/1gFVb7qd7amutrIxAA"&amp;"oM7lcy35hllxznovot8lyOfvDo/edit?usp=share_link"",""น่าน!J196"")+IMPORTRANGE(""https://docs.google.com/spreadsheets/d/1K0Aa9s-6EuHE5M0FG1F9aHLXRCOV917xvycTdLdct0w/edit?usp=share_link"",""พะเยา!J196"")+IMPORTRANGE(""https://docs.google.com/spreadsheets/d/1Y"&amp;"9LPKx95PyL5OKy09d-KbKJSuuEZCFdkhYjwC0XQjBA/edit?usp=share_link"",""พิจิตร!J196"")+IMPORTRANGE(""https://docs.google.com/spreadsheets/d/16OMuOwy2eVqZcYWOouQtTpa8X1L23h4660uVHc0C8os/edit?usp=share_link"",""พิษณุโลก!J196"")+IMPORTRANGE(""https://docs.google."&amp;"com/spreadsheets/d/1GfgTldLG6k77HXaMQzaafODklYuucJZQNs_GAPEfZyY/edit?usp=share_link"",""เพชรบูรณ์!J196"")+IMPORTRANGE(""https://docs.google.com/spreadsheets/d/1gvTMYAnm7v1yG1BKWFtr0DnaTsq59oW9dwWvFgq6hs0/edit?usp=share_link"",""แพร่!J196"")+IMPORTRANGE("""&amp;"https://docs.google.com/spreadsheets/d/1Wbcosgy-Xa1xXUArJSOenub6EfZHUSzc_bpJFWwQUf0/edit?usp=share_link"",""แม่ฮ่องสอน!J196"")+IMPORTRANGE(""https://docs.google.com/spreadsheets/d/1p7ERhsr0qZeSn-KSOdeHS9r0heI-lHtkcn2OH7hP0jQ/edit?usp=share_link"",""ลำปาง!"&amp;"J196"")+IMPORTRANGE(""https://docs.google.com/spreadsheets/d/1-uUXvimVhiU2U0bMN-xi2te0tS4X7DI2GLPnMjzl8cA/edit?usp=share_link"",""ลำพูน!J196"")+IMPORTRANGE(""https://docs.google.com/spreadsheets/d/17HrOaa5pBUI1onckFfumXB8xlg35qb2uBAFfF1D-Myo/edit?usp=shar"&amp;"e_link"",""สุโขทัย!J196"")+IMPORTRANGE(""https://docs.google.com/spreadsheets/d/1ubs5cl16eYL9gHbdHTJtmtYb9MGzHBs7CAphn8kNCgM/edit?usp=share_link"",""อุตรดิตถ์!J196"")+IMPORTRANGE(""https://docs.google.com/spreadsheets/d/1kII0BjS6CtVrBvI8IrytgPdxDrlyQDyigz"&amp;"MsohRtDMs/edit?usp=share_link"",""อุทัยธานี!J196"")
"),0)</f>
        <v>0</v>
      </c>
      <c r="K196" s="38"/>
      <c r="L196" s="38"/>
      <c r="M196" s="38"/>
      <c r="N196" s="38"/>
      <c r="O196" s="38"/>
      <c r="P196" s="38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5"/>
      <c r="B197" s="263"/>
      <c r="C197" s="270" t="s">
        <v>95</v>
      </c>
      <c r="D197" s="256"/>
      <c r="E197" s="256"/>
      <c r="F197" s="256"/>
      <c r="G197" s="258"/>
      <c r="H197" s="277" t="s">
        <v>96</v>
      </c>
      <c r="I197" s="271">
        <f t="shared" ref="I197:J197" ca="1" si="121">I204</f>
        <v>50</v>
      </c>
      <c r="J197" s="271">
        <f t="shared" ca="1" si="121"/>
        <v>1</v>
      </c>
      <c r="K197" s="272">
        <f ca="1">IF(I197&gt;0,J197*100/I197,0)</f>
        <v>2</v>
      </c>
      <c r="L197" s="261"/>
      <c r="M197" s="261"/>
      <c r="N197" s="261"/>
      <c r="O197" s="261"/>
      <c r="P197" s="261"/>
    </row>
    <row r="198" spans="1:26" ht="19.5">
      <c r="A198" s="147"/>
      <c r="B198" s="148"/>
      <c r="C198" s="149" t="s">
        <v>16</v>
      </c>
      <c r="D198" s="273" t="s">
        <v>17</v>
      </c>
      <c r="E198" s="148"/>
      <c r="F198" s="148"/>
      <c r="G198" s="151"/>
      <c r="H198" s="274" t="s">
        <v>12</v>
      </c>
      <c r="I198" s="278"/>
      <c r="J198" s="278"/>
      <c r="K198" s="279"/>
      <c r="L198" s="155">
        <f ca="1">L199+L200+L201+L202</f>
        <v>665000</v>
      </c>
      <c r="M198" s="155"/>
      <c r="N198" s="155">
        <f ca="1">N199+N200+N201+N202</f>
        <v>0</v>
      </c>
      <c r="O198" s="155">
        <f ca="1">IF(L198&gt;0,N198*100/L198,0)</f>
        <v>0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0"/>
      <c r="C199" s="33"/>
      <c r="D199" s="281" t="s">
        <v>97</v>
      </c>
      <c r="E199" s="33"/>
      <c r="F199" s="33"/>
      <c r="G199" s="35"/>
      <c r="H199" s="161" t="s">
        <v>12</v>
      </c>
      <c r="I199" s="162"/>
      <c r="J199" s="162"/>
      <c r="K199" s="163"/>
      <c r="L199" s="38">
        <f ca="1">IFERROR(__xludf.DUMMYFUNCTION("IMPORTRANGE(""https://docs.google.com/spreadsheets/d/1KxicF4apzSqm0-jIpmueT4kyZtE-Cwn5zskl7GD4loQ/edit?usp=share_link"",""กำแพงเพชร!l199"")+IMPORTRANGE(""https://docs.google.com/spreadsheets/d/1ZNYWeiFoFA1K1U4xKWqRX29MBvEyRHXORjo734Gnq_c/edit?usp=share_li"&amp;"nk"",""เชียงราย!l199"")
+IMPORTRANGE(""https://docs.google.com/spreadsheets/d/1Jgv0Y7YlHDtsiDawwp-uvifEJ8HVaSn0k2aGHG8-hwM/edit?usp=share_link"",""เชียงใหม่!l199"")+IMPORTRANGE(""https://docs.google.com/spreadsheets/d/1JWG2rZePOz9pe-f-ObA-yDr0VoOX2kSb0qIi"&amp;"x2mTUo8/edit?usp=share_link"",""ตาก!l199"")+IMPORTRANGE(""https://docs.google.com/spreadsheets/d/10nSRjK08hx8Y6HgSOQKNw81lyY46Zc7U_Cj72hBMp9U/edit?usp=share_link"",""นครสวรรค์!l199"")+IMPORTRANGE(""https://docs.google.com/spreadsheets/d/1gFVb7qd7amutrIxAA"&amp;"oM7lcy35hllxznovot8lyOfvDo/edit?usp=share_link"",""น่าน!l199"")+IMPORTRANGE(""https://docs.google.com/spreadsheets/d/1K0Aa9s-6EuHE5M0FG1F9aHLXRCOV917xvycTdLdct0w/edit?usp=share_link"",""พะเยา!l199"")+IMPORTRANGE(""https://docs.google.com/spreadsheets/d/1Y"&amp;"9LPKx95PyL5OKy09d-KbKJSuuEZCFdkhYjwC0XQjBA/edit?usp=share_link"",""พิจิตร!l199"")+IMPORTRANGE(""https://docs.google.com/spreadsheets/d/16OMuOwy2eVqZcYWOouQtTpa8X1L23h4660uVHc0C8os/edit?usp=share_link"",""พิษณุโลก!l199"")+IMPORTRANGE(""https://docs.google."&amp;"com/spreadsheets/d/1GfgTldLG6k77HXaMQzaafODklYuucJZQNs_GAPEfZyY/edit?usp=share_link"",""เพชรบูรณ์!l199"")+IMPORTRANGE(""https://docs.google.com/spreadsheets/d/1gvTMYAnm7v1yG1BKWFtr0DnaTsq59oW9dwWvFgq6hs0/edit?usp=share_link"",""แพร่!l199"")+IMPORTRANGE("""&amp;"https://docs.google.com/spreadsheets/d/1Wbcosgy-Xa1xXUArJSOenub6EfZHUSzc_bpJFWwQUf0/edit?usp=share_link"",""แม่ฮ่องสอน!l199"")+IMPORTRANGE(""https://docs.google.com/spreadsheets/d/1p7ERhsr0qZeSn-KSOdeHS9r0heI-lHtkcn2OH7hP0jQ/edit?usp=share_link"",""ลำปาง!"&amp;"l199"")+IMPORTRANGE(""https://docs.google.com/spreadsheets/d/1-uUXvimVhiU2U0bMN-xi2te0tS4X7DI2GLPnMjzl8cA/edit?usp=share_link"",""ลำพูน!l199"")+IMPORTRANGE(""https://docs.google.com/spreadsheets/d/17HrOaa5pBUI1onckFfumXB8xlg35qb2uBAFfF1D-Myo/edit?usp=shar"&amp;"e_link"",""สุโขทัย!l199"")+IMPORTRANGE(""https://docs.google.com/spreadsheets/d/1ubs5cl16eYL9gHbdHTJtmtYb9MGzHBs7CAphn8kNCgM/edit?usp=share_link"",""อุตรดิตถ์!l199"")+IMPORTRANGE(""https://docs.google.com/spreadsheets/d/1kII0BjS6CtVrBvI8IrytgPdxDrlyQDyigz"&amp;"MsohRtDMs/edit?usp=share_link"",""อุทัยธานี!l199"")
"),50000)</f>
        <v>50000</v>
      </c>
      <c r="M199" s="38"/>
      <c r="N199" s="282">
        <f ca="1">IFERROR(__xludf.DUMMYFUNCTION("IMPORTRANGE(""https://docs.google.com/spreadsheets/d/1KxicF4apzSqm0-jIpmueT4kyZtE-Cwn5zskl7GD4loQ/edit?usp=share_link"",""กำแพงเพชร!n199"")+IMPORTRANGE(""https://docs.google.com/spreadsheets/d/1ZNYWeiFoFA1K1U4xKWqRX29MBvEyRHXORjo734Gnq_c/edit?usp=share_li"&amp;"nk"",""เชียงราย!n199"")
+IMPORTRANGE(""https://docs.google.com/spreadsheets/d/1Jgv0Y7YlHDtsiDawwp-uvifEJ8HVaSn0k2aGHG8-hwM/edit?usp=share_link"",""เชียงใหม่!n199"")+IMPORTRANGE(""https://docs.google.com/spreadsheets/d/1JWG2rZePOz9pe-f-ObA-yDr0VoOX2kSb0qIi"&amp;"x2mTUo8/edit?usp=share_link"",""ตาก!n199"")+IMPORTRANGE(""https://docs.google.com/spreadsheets/d/10nSRjK08hx8Y6HgSOQKNw81lyY46Zc7U_Cj72hBMp9U/edit?usp=share_link"",""นครสวรรค์!n199"")+IMPORTRANGE(""https://docs.google.com/spreadsheets/d/1gFVb7qd7amutrIxAA"&amp;"oM7lcy35hllxznovot8lyOfvDo/edit?usp=share_link"",""น่าน!n199"")+IMPORTRANGE(""https://docs.google.com/spreadsheets/d/1K0Aa9s-6EuHE5M0FG1F9aHLXRCOV917xvycTdLdct0w/edit?usp=share_link"",""พะเยา!n199"")+IMPORTRANGE(""https://docs.google.com/spreadsheets/d/1Y"&amp;"9LPKx95PyL5OKy09d-KbKJSuuEZCFdkhYjwC0XQjBA/edit?usp=share_link"",""พิจิตร!n199"")+IMPORTRANGE(""https://docs.google.com/spreadsheets/d/16OMuOwy2eVqZcYWOouQtTpa8X1L23h4660uVHc0C8os/edit?usp=share_link"",""พิษณุโลก!n199"")+IMPORTRANGE(""https://docs.google."&amp;"com/spreadsheets/d/1GfgTldLG6k77HXaMQzaafODklYuucJZQNs_GAPEfZyY/edit?usp=share_link"",""เพชรบูรณ์!n199"")+IMPORTRANGE(""https://docs.google.com/spreadsheets/d/1gvTMYAnm7v1yG1BKWFtr0DnaTsq59oW9dwWvFgq6hs0/edit?usp=share_link"",""แพร่!n199"")+IMPORTRANGE("""&amp;"https://docs.google.com/spreadsheets/d/1Wbcosgy-Xa1xXUArJSOenub6EfZHUSzc_bpJFWwQUf0/edit?usp=share_link"",""แม่ฮ่องสอน!n199"")+IMPORTRANGE(""https://docs.google.com/spreadsheets/d/1p7ERhsr0qZeSn-KSOdeHS9r0heI-lHtkcn2OH7hP0jQ/edit?usp=share_link"",""ลำปาง!"&amp;"n199"")+IMPORTRANGE(""https://docs.google.com/spreadsheets/d/1-uUXvimVhiU2U0bMN-xi2te0tS4X7DI2GLPnMjzl8cA/edit?usp=share_link"",""ลำพูน!n199"")+IMPORTRANGE(""https://docs.google.com/spreadsheets/d/17HrOaa5pBUI1onckFfumXB8xlg35qb2uBAFfF1D-Myo/edit?usp=shar"&amp;"e_link"",""สุโขทัย!n199"")+IMPORTRANGE(""https://docs.google.com/spreadsheets/d/1ubs5cl16eYL9gHbdHTJtmtYb9MGzHBs7CAphn8kNCgM/edit?usp=share_link"",""อุตรดิตถ์!n199"")+IMPORTRANGE(""https://docs.google.com/spreadsheets/d/1kII0BjS6CtVrBvI8IrytgPdxDrlyQDyigz"&amp;"MsohRtDMs/edit?usp=share_link"",""อุทัยธานี!n199"")
"),0)</f>
        <v>0</v>
      </c>
      <c r="O199" s="38"/>
      <c r="P199" s="38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3"/>
      <c r="B200" s="280"/>
      <c r="C200" s="210"/>
      <c r="D200" s="215" t="s">
        <v>98</v>
      </c>
      <c r="E200" s="33"/>
      <c r="F200" s="33"/>
      <c r="G200" s="35"/>
      <c r="H200" s="284" t="s">
        <v>12</v>
      </c>
      <c r="I200" s="37"/>
      <c r="J200" s="37"/>
      <c r="K200" s="38"/>
      <c r="L200" s="38">
        <f ca="1">IFERROR(__xludf.DUMMYFUNCTION("IMPORTRANGE(""https://docs.google.com/spreadsheets/d/1KxicF4apzSqm0-jIpmueT4kyZtE-Cwn5zskl7GD4loQ/edit?usp=share_link"",""กำแพงเพชร!l200"")+IMPORTRANGE(""https://docs.google.com/spreadsheets/d/1ZNYWeiFoFA1K1U4xKWqRX29MBvEyRHXORjo734Gnq_c/edit?usp=share_li"&amp;"nk"",""เชียงราย!l200"")
+IMPORTRANGE(""https://docs.google.com/spreadsheets/d/1Jgv0Y7YlHDtsiDawwp-uvifEJ8HVaSn0k2aGHG8-hwM/edit?usp=share_link"",""เชียงใหม่!l200"")+IMPORTRANGE(""https://docs.google.com/spreadsheets/d/1JWG2rZePOz9pe-f-ObA-yDr0VoOX2kSb0qIi"&amp;"x2mTUo8/edit?usp=share_link"",""ตาก!l200"")+IMPORTRANGE(""https://docs.google.com/spreadsheets/d/10nSRjK08hx8Y6HgSOQKNw81lyY46Zc7U_Cj72hBMp9U/edit?usp=share_link"",""นครสวรรค์!l200"")+IMPORTRANGE(""https://docs.google.com/spreadsheets/d/1gFVb7qd7amutrIxAA"&amp;"oM7lcy35hllxznovot8lyOfvDo/edit?usp=share_link"",""น่าน!l200"")+IMPORTRANGE(""https://docs.google.com/spreadsheets/d/1K0Aa9s-6EuHE5M0FG1F9aHLXRCOV917xvycTdLdct0w/edit?usp=share_link"",""พะเยา!l200"")+IMPORTRANGE(""https://docs.google.com/spreadsheets/d/1Y"&amp;"9LPKx95PyL5OKy09d-KbKJSuuEZCFdkhYjwC0XQjBA/edit?usp=share_link"",""พิจิตร!l200"")+IMPORTRANGE(""https://docs.google.com/spreadsheets/d/16OMuOwy2eVqZcYWOouQtTpa8X1L23h4660uVHc0C8os/edit?usp=share_link"",""พิษณุโลก!l200"")+IMPORTRANGE(""https://docs.google."&amp;"com/spreadsheets/d/1GfgTldLG6k77HXaMQzaafODklYuucJZQNs_GAPEfZyY/edit?usp=share_link"",""เพชรบูรณ์!l200"")+IMPORTRANGE(""https://docs.google.com/spreadsheets/d/1gvTMYAnm7v1yG1BKWFtr0DnaTsq59oW9dwWvFgq6hs0/edit?usp=share_link"",""แพร่!l200"")+IMPORTRANGE("""&amp;"https://docs.google.com/spreadsheets/d/1Wbcosgy-Xa1xXUArJSOenub6EfZHUSzc_bpJFWwQUf0/edit?usp=share_link"",""แม่ฮ่องสอน!l200"")+IMPORTRANGE(""https://docs.google.com/spreadsheets/d/1p7ERhsr0qZeSn-KSOdeHS9r0heI-lHtkcn2OH7hP0jQ/edit?usp=share_link"",""ลำปาง!"&amp;"l200"")+IMPORTRANGE(""https://docs.google.com/spreadsheets/d/1-uUXvimVhiU2U0bMN-xi2te0tS4X7DI2GLPnMjzl8cA/edit?usp=share_link"",""ลำพูน!l200"")+IMPORTRANGE(""https://docs.google.com/spreadsheets/d/17HrOaa5pBUI1onckFfumXB8xlg35qb2uBAFfF1D-Myo/edit?usp=shar"&amp;"e_link"",""สุโขทัย!l200"")+IMPORTRANGE(""https://docs.google.com/spreadsheets/d/1ubs5cl16eYL9gHbdHTJtmtYb9MGzHBs7CAphn8kNCgM/edit?usp=share_link"",""อุตรดิตถ์!l200"")+IMPORTRANGE(""https://docs.google.com/spreadsheets/d/1kII0BjS6CtVrBvI8IrytgPdxDrlyQDyigz"&amp;"MsohRtDMs/edit?usp=share_link"",""อุทัยธานี!l200"")
"),400000)</f>
        <v>400000</v>
      </c>
      <c r="M200" s="38"/>
      <c r="N200" s="282">
        <f ca="1">IFERROR(__xludf.DUMMYFUNCTION("IMPORTRANGE(""https://docs.google.com/spreadsheets/d/1KxicF4apzSqm0-jIpmueT4kyZtE-Cwn5zskl7GD4loQ/edit?usp=share_link"",""กำแพงเพชร!n200"")+IMPORTRANGE(""https://docs.google.com/spreadsheets/d/1ZNYWeiFoFA1K1U4xKWqRX29MBvEyRHXORjo734Gnq_c/edit?usp=share_li"&amp;"nk"",""เชียงราย!n200"")
+IMPORTRANGE(""https://docs.google.com/spreadsheets/d/1Jgv0Y7YlHDtsiDawwp-uvifEJ8HVaSn0k2aGHG8-hwM/edit?usp=share_link"",""เชียงใหม่!n200"")+IMPORTRANGE(""https://docs.google.com/spreadsheets/d/1JWG2rZePOz9pe-f-ObA-yDr0VoOX2kSb0qIi"&amp;"x2mTUo8/edit?usp=share_link"",""ตาก!n200"")+IMPORTRANGE(""https://docs.google.com/spreadsheets/d/10nSRjK08hx8Y6HgSOQKNw81lyY46Zc7U_Cj72hBMp9U/edit?usp=share_link"",""นครสวรรค์!n200"")+IMPORTRANGE(""https://docs.google.com/spreadsheets/d/1gFVb7qd7amutrIxAA"&amp;"oM7lcy35hllxznovot8lyOfvDo/edit?usp=share_link"",""น่าน!n200"")+IMPORTRANGE(""https://docs.google.com/spreadsheets/d/1K0Aa9s-6EuHE5M0FG1F9aHLXRCOV917xvycTdLdct0w/edit?usp=share_link"",""พะเยา!n200"")+IMPORTRANGE(""https://docs.google.com/spreadsheets/d/1Y"&amp;"9LPKx95PyL5OKy09d-KbKJSuuEZCFdkhYjwC0XQjBA/edit?usp=share_link"",""พิจิตร!n200"")+IMPORTRANGE(""https://docs.google.com/spreadsheets/d/16OMuOwy2eVqZcYWOouQtTpa8X1L23h4660uVHc0C8os/edit?usp=share_link"",""พิษณุโลก!n200"")+IMPORTRANGE(""https://docs.google."&amp;"com/spreadsheets/d/1GfgTldLG6k77HXaMQzaafODklYuucJZQNs_GAPEfZyY/edit?usp=share_link"",""เพชรบูรณ์!n200"")+IMPORTRANGE(""https://docs.google.com/spreadsheets/d/1gvTMYAnm7v1yG1BKWFtr0DnaTsq59oW9dwWvFgq6hs0/edit?usp=share_link"",""แพร่!n200"")+IMPORTRANGE("""&amp;"https://docs.google.com/spreadsheets/d/1Wbcosgy-Xa1xXUArJSOenub6EfZHUSzc_bpJFWwQUf0/edit?usp=share_link"",""แม่ฮ่องสอน!n200"")+IMPORTRANGE(""https://docs.google.com/spreadsheets/d/1p7ERhsr0qZeSn-KSOdeHS9r0heI-lHtkcn2OH7hP0jQ/edit?usp=share_link"",""ลำปาง!"&amp;"n200"")+IMPORTRANGE(""https://docs.google.com/spreadsheets/d/1-uUXvimVhiU2U0bMN-xi2te0tS4X7DI2GLPnMjzl8cA/edit?usp=share_link"",""ลำพูน!n200"")+IMPORTRANGE(""https://docs.google.com/spreadsheets/d/17HrOaa5pBUI1onckFfumXB8xlg35qb2uBAFfF1D-Myo/edit?usp=shar"&amp;"e_link"",""สุโขทัย!n200"")+IMPORTRANGE(""https://docs.google.com/spreadsheets/d/1ubs5cl16eYL9gHbdHTJtmtYb9MGzHBs7CAphn8kNCgM/edit?usp=share_link"",""อุตรดิตถ์!n200"")+IMPORTRANGE(""https://docs.google.com/spreadsheets/d/1kII0BjS6CtVrBvI8IrytgPdxDrlyQDyigz"&amp;"MsohRtDMs/edit?usp=share_link"",""อุทัยธานี!n200"")
"),0)</f>
        <v>0</v>
      </c>
      <c r="O200" s="38"/>
      <c r="P200" s="38"/>
      <c r="Q200" s="285"/>
      <c r="R200" s="285"/>
      <c r="S200" s="285"/>
      <c r="T200" s="285"/>
      <c r="U200" s="285"/>
      <c r="V200" s="285"/>
      <c r="W200" s="285"/>
      <c r="X200" s="285"/>
      <c r="Y200" s="285"/>
      <c r="Z200" s="285"/>
    </row>
    <row r="201" spans="1:26" ht="19.5">
      <c r="A201" s="283"/>
      <c r="B201" s="280"/>
      <c r="C201" s="210"/>
      <c r="D201" s="215" t="s">
        <v>99</v>
      </c>
      <c r="E201" s="33"/>
      <c r="F201" s="33"/>
      <c r="G201" s="35"/>
      <c r="H201" s="284" t="s">
        <v>12</v>
      </c>
      <c r="I201" s="37"/>
      <c r="J201" s="37"/>
      <c r="K201" s="38"/>
      <c r="L201" s="38">
        <f ca="1">IFERROR(__xludf.DUMMYFUNCTION("IMPORTRANGE(""https://docs.google.com/spreadsheets/d/1KxicF4apzSqm0-jIpmueT4kyZtE-Cwn5zskl7GD4loQ/edit?usp=share_link"",""กำแพงเพชร!l201"")+IMPORTRANGE(""https://docs.google.com/spreadsheets/d/1ZNYWeiFoFA1K1U4xKWqRX29MBvEyRHXORjo734Gnq_c/edit?usp=share_li"&amp;"nk"",""เชียงราย!l201"")
+IMPORTRANGE(""https://docs.google.com/spreadsheets/d/1Jgv0Y7YlHDtsiDawwp-uvifEJ8HVaSn0k2aGHG8-hwM/edit?usp=share_link"",""เชียงใหม่!l201"")+IMPORTRANGE(""https://docs.google.com/spreadsheets/d/1JWG2rZePOz9pe-f-ObA-yDr0VoOX2kSb0qIi"&amp;"x2mTUo8/edit?usp=share_link"",""ตาก!l201"")+IMPORTRANGE(""https://docs.google.com/spreadsheets/d/10nSRjK08hx8Y6HgSOQKNw81lyY46Zc7U_Cj72hBMp9U/edit?usp=share_link"",""นครสวรรค์!l201"")+IMPORTRANGE(""https://docs.google.com/spreadsheets/d/1gFVb7qd7amutrIxAA"&amp;"oM7lcy35hllxznovot8lyOfvDo/edit?usp=share_link"",""น่าน!l201"")+IMPORTRANGE(""https://docs.google.com/spreadsheets/d/1K0Aa9s-6EuHE5M0FG1F9aHLXRCOV917xvycTdLdct0w/edit?usp=share_link"",""พะเยา!l201"")+IMPORTRANGE(""https://docs.google.com/spreadsheets/d/1Y"&amp;"9LPKx95PyL5OKy09d-KbKJSuuEZCFdkhYjwC0XQjBA/edit?usp=share_link"",""พิจิตร!l201"")+IMPORTRANGE(""https://docs.google.com/spreadsheets/d/16OMuOwy2eVqZcYWOouQtTpa8X1L23h4660uVHc0C8os/edit?usp=share_link"",""พิษณุโลก!l201"")+IMPORTRANGE(""https://docs.google."&amp;"com/spreadsheets/d/1GfgTldLG6k77HXaMQzaafODklYuucJZQNs_GAPEfZyY/edit?usp=share_link"",""เพชรบูรณ์!l201"")+IMPORTRANGE(""https://docs.google.com/spreadsheets/d/1gvTMYAnm7v1yG1BKWFtr0DnaTsq59oW9dwWvFgq6hs0/edit?usp=share_link"",""แพร่!l201"")+IMPORTRANGE("""&amp;"https://docs.google.com/spreadsheets/d/1Wbcosgy-Xa1xXUArJSOenub6EfZHUSzc_bpJFWwQUf0/edit?usp=share_link"",""แม่ฮ่องสอน!l201"")+IMPORTRANGE(""https://docs.google.com/spreadsheets/d/1p7ERhsr0qZeSn-KSOdeHS9r0heI-lHtkcn2OH7hP0jQ/edit?usp=share_link"",""ลำปาง!"&amp;"l201"")+IMPORTRANGE(""https://docs.google.com/spreadsheets/d/1-uUXvimVhiU2U0bMN-xi2te0tS4X7DI2GLPnMjzl8cA/edit?usp=share_link"",""ลำพูน!l201"")+IMPORTRANGE(""https://docs.google.com/spreadsheets/d/17HrOaa5pBUI1onckFfumXB8xlg35qb2uBAFfF1D-Myo/edit?usp=shar"&amp;"e_link"",""สุโขทัย!l201"")+IMPORTRANGE(""https://docs.google.com/spreadsheets/d/1ubs5cl16eYL9gHbdHTJtmtYb9MGzHBs7CAphn8kNCgM/edit?usp=share_link"",""อุตรดิตถ์!l201"")+IMPORTRANGE(""https://docs.google.com/spreadsheets/d/1kII0BjS6CtVrBvI8IrytgPdxDrlyQDyigz"&amp;"MsohRtDMs/edit?usp=share_link"",""อุทัยธานี!l201"")
"),200000)</f>
        <v>200000</v>
      </c>
      <c r="M201" s="38"/>
      <c r="N201" s="282">
        <f ca="1">IFERROR(__xludf.DUMMYFUNCTION("IMPORTRANGE(""https://docs.google.com/spreadsheets/d/1KxicF4apzSqm0-jIpmueT4kyZtE-Cwn5zskl7GD4loQ/edit?usp=share_link"",""กำแพงเพชร!N201"")+IMPORTRANGE(""https://docs.google.com/spreadsheets/d/1ZNYWeiFoFA1K1U4xKWqRX29MBvEyRHXORjo734Gnq_c/edit?usp=share_li"&amp;"nk"",""เชียงราย!N201"")
+IMPORTRANGE(""https://docs.google.com/spreadsheets/d/1Jgv0Y7YlHDtsiDawwp-uvifEJ8HVaSn0k2aGHG8-hwM/edit?usp=share_link"",""เชียงใหม่!N201"")+IMPORTRANGE(""https://docs.google.com/spreadsheets/d/1JWG2rZePOz9pe-f-ObA-yDr0VoOX2kSb0qIi"&amp;"x2mTUo8/edit?usp=share_link"",""ตาก!N201"")+IMPORTRANGE(""https://docs.google.com/spreadsheets/d/10nSRjK08hx8Y6HgSOQKNw81lyY46Zc7U_Cj72hBMp9U/edit?usp=share_link"",""นครสวรรค์!N201"")+IMPORTRANGE(""https://docs.google.com/spreadsheets/d/1gFVb7qd7amutrIxAA"&amp;"oM7lcy35hllxznovot8lyOfvDo/edit?usp=share_link"",""น่าน!N201"")+IMPORTRANGE(""https://docs.google.com/spreadsheets/d/1K0Aa9s-6EuHE5M0FG1F9aHLXRCOV917xvycTdLdct0w/edit?usp=share_link"",""พะเยา!N201"")+IMPORTRANGE(""https://docs.google.com/spreadsheets/d/1Y"&amp;"9LPKx95PyL5OKy09d-KbKJSuuEZCFdkhYjwC0XQjBA/edit?usp=share_link"",""พิจิตร!N201"")+IMPORTRANGE(""https://docs.google.com/spreadsheets/d/16OMuOwy2eVqZcYWOouQtTpa8X1L23h4660uVHc0C8os/edit?usp=share_link"",""พิษณุโลก!N201"")+IMPORTRANGE(""https://docs.google."&amp;"com/spreadsheets/d/1GfgTldLG6k77HXaMQzaafODklYuucJZQNs_GAPEfZyY/edit?usp=share_link"",""เพชรบูรณ์!N201"")+IMPORTRANGE(""https://docs.google.com/spreadsheets/d/1gvTMYAnm7v1yG1BKWFtr0DnaTsq59oW9dwWvFgq6hs0/edit?usp=share_link"",""แพร่!N201"")+IMPORTRANGE("""&amp;"https://docs.google.com/spreadsheets/d/1Wbcosgy-Xa1xXUArJSOenub6EfZHUSzc_bpJFWwQUf0/edit?usp=share_link"",""แม่ฮ่องสอน!N201"")+IMPORTRANGE(""https://docs.google.com/spreadsheets/d/1p7ERhsr0qZeSn-KSOdeHS9r0heI-lHtkcn2OH7hP0jQ/edit?usp=share_link"",""ลำปาง!"&amp;"N201"")+IMPORTRANGE(""https://docs.google.com/spreadsheets/d/1-uUXvimVhiU2U0bMN-xi2te0tS4X7DI2GLPnMjzl8cA/edit?usp=share_link"",""ลำพูน!N201"")+IMPORTRANGE(""https://docs.google.com/spreadsheets/d/17HrOaa5pBUI1onckFfumXB8xlg35qb2uBAFfF1D-Myo/edit?usp=shar"&amp;"e_link"",""สุโขทัย!N201"")+IMPORTRANGE(""https://docs.google.com/spreadsheets/d/1ubs5cl16eYL9gHbdHTJtmtYb9MGzHBs7CAphn8kNCgM/edit?usp=share_link"",""อุตรดิตถ์!N201"")+IMPORTRANGE(""https://docs.google.com/spreadsheets/d/1kII0BjS6CtVrBvI8IrytgPdxDrlyQDyigz"&amp;"MsohRtDMs/edit?usp=share_link"",""อุทัยธานี!N201"")
"),0)</f>
        <v>0</v>
      </c>
      <c r="O201" s="38"/>
      <c r="P201" s="38"/>
      <c r="Q201" s="285"/>
      <c r="R201" s="285"/>
      <c r="S201" s="285"/>
      <c r="T201" s="285"/>
      <c r="U201" s="285"/>
      <c r="V201" s="285"/>
      <c r="W201" s="285"/>
      <c r="X201" s="285"/>
      <c r="Y201" s="285"/>
      <c r="Z201" s="285"/>
    </row>
    <row r="202" spans="1:26" ht="19.5">
      <c r="A202" s="283"/>
      <c r="B202" s="280"/>
      <c r="C202" s="210"/>
      <c r="D202" s="215" t="s">
        <v>100</v>
      </c>
      <c r="E202" s="33"/>
      <c r="F202" s="33"/>
      <c r="G202" s="35"/>
      <c r="H202" s="284" t="s">
        <v>12</v>
      </c>
      <c r="I202" s="37"/>
      <c r="J202" s="37"/>
      <c r="K202" s="38"/>
      <c r="L202" s="38">
        <f ca="1">IFERROR(__xludf.DUMMYFUNCTION("IMPORTRANGE(""https://docs.google.com/spreadsheets/d/1KxicF4apzSqm0-jIpmueT4kyZtE-Cwn5zskl7GD4loQ/edit?usp=share_link"",""กำแพงเพชร!l202"")+IMPORTRANGE(""https://docs.google.com/spreadsheets/d/1ZNYWeiFoFA1K1U4xKWqRX29MBvEyRHXORjo734Gnq_c/edit?usp=share_li"&amp;"nk"",""เชียงราย!l202"")
+IMPORTRANGE(""https://docs.google.com/spreadsheets/d/1Jgv0Y7YlHDtsiDawwp-uvifEJ8HVaSn0k2aGHG8-hwM/edit?usp=share_link"",""เชียงใหม่!l202"")+IMPORTRANGE(""https://docs.google.com/spreadsheets/d/1JWG2rZePOz9pe-f-ObA-yDr0VoOX2kSb0qIi"&amp;"x2mTUo8/edit?usp=share_link"",""ตาก!l202"")+IMPORTRANGE(""https://docs.google.com/spreadsheets/d/10nSRjK08hx8Y6HgSOQKNw81lyY46Zc7U_Cj72hBMp9U/edit?usp=share_link"",""นครสวรรค์!l202"")+IMPORTRANGE(""https://docs.google.com/spreadsheets/d/1gFVb7qd7amutrIxAA"&amp;"oM7lcy35hllxznovot8lyOfvDo/edit?usp=share_link"",""น่าน!l202"")+IMPORTRANGE(""https://docs.google.com/spreadsheets/d/1K0Aa9s-6EuHE5M0FG1F9aHLXRCOV917xvycTdLdct0w/edit?usp=share_link"",""พะเยา!l202"")+IMPORTRANGE(""https://docs.google.com/spreadsheets/d/1Y"&amp;"9LPKx95PyL5OKy09d-KbKJSuuEZCFdkhYjwC0XQjBA/edit?usp=share_link"",""พิจิตร!l202"")+IMPORTRANGE(""https://docs.google.com/spreadsheets/d/16OMuOwy2eVqZcYWOouQtTpa8X1L23h4660uVHc0C8os/edit?usp=share_link"",""พิษณุโลก!l202"")+IMPORTRANGE(""https://docs.google."&amp;"com/spreadsheets/d/1GfgTldLG6k77HXaMQzaafODklYuucJZQNs_GAPEfZyY/edit?usp=share_link"",""เพชรบูรณ์!l202"")+IMPORTRANGE(""https://docs.google.com/spreadsheets/d/1gvTMYAnm7v1yG1BKWFtr0DnaTsq59oW9dwWvFgq6hs0/edit?usp=share_link"",""แพร่!l202"")+IMPORTRANGE("""&amp;"https://docs.google.com/spreadsheets/d/1Wbcosgy-Xa1xXUArJSOenub6EfZHUSzc_bpJFWwQUf0/edit?usp=share_link"",""แม่ฮ่องสอน!l202"")+IMPORTRANGE(""https://docs.google.com/spreadsheets/d/1p7ERhsr0qZeSn-KSOdeHS9r0heI-lHtkcn2OH7hP0jQ/edit?usp=share_link"",""ลำปาง!"&amp;"l202"")+IMPORTRANGE(""https://docs.google.com/spreadsheets/d/1-uUXvimVhiU2U0bMN-xi2te0tS4X7DI2GLPnMjzl8cA/edit?usp=share_link"",""ลำพูน!l202"")+IMPORTRANGE(""https://docs.google.com/spreadsheets/d/17HrOaa5pBUI1onckFfumXB8xlg35qb2uBAFfF1D-Myo/edit?usp=shar"&amp;"e_link"",""สุโขทัย!l202"")+IMPORTRANGE(""https://docs.google.com/spreadsheets/d/1ubs5cl16eYL9gHbdHTJtmtYb9MGzHBs7CAphn8kNCgM/edit?usp=share_link"",""อุตรดิตถ์!l202"")+IMPORTRANGE(""https://docs.google.com/spreadsheets/d/1kII0BjS6CtVrBvI8IrytgPdxDrlyQDyigz"&amp;"MsohRtDMs/edit?usp=share_link"",""อุทัยธานี!l202"")
"),15000)</f>
        <v>15000</v>
      </c>
      <c r="M202" s="38"/>
      <c r="N202" s="282">
        <f ca="1">IFERROR(__xludf.DUMMYFUNCTION("IMPORTRANGE(""https://docs.google.com/spreadsheets/d/1KxicF4apzSqm0-jIpmueT4kyZtE-Cwn5zskl7GD4loQ/edit?usp=share_link"",""กำแพงเพชร!n202"")+IMPORTRANGE(""https://docs.google.com/spreadsheets/d/1ZNYWeiFoFA1K1U4xKWqRX29MBvEyRHXORjo734Gnq_c/edit?usp=share_li"&amp;"nk"",""เชียงราย!n202"")
+IMPORTRANGE(""https://docs.google.com/spreadsheets/d/1Jgv0Y7YlHDtsiDawwp-uvifEJ8HVaSn0k2aGHG8-hwM/edit?usp=share_link"",""เชียงใหม่!n202"")+IMPORTRANGE(""https://docs.google.com/spreadsheets/d/1JWG2rZePOz9pe-f-ObA-yDr0VoOX2kSb0qIi"&amp;"x2mTUo8/edit?usp=share_link"",""ตาก!n202"")+IMPORTRANGE(""https://docs.google.com/spreadsheets/d/10nSRjK08hx8Y6HgSOQKNw81lyY46Zc7U_Cj72hBMp9U/edit?usp=share_link"",""นครสวรรค์!n202"")+IMPORTRANGE(""https://docs.google.com/spreadsheets/d/1gFVb7qd7amutrIxAA"&amp;"oM7lcy35hllxznovot8lyOfvDo/edit?usp=share_link"",""น่าน!n202"")+IMPORTRANGE(""https://docs.google.com/spreadsheets/d/1K0Aa9s-6EuHE5M0FG1F9aHLXRCOV917xvycTdLdct0w/edit?usp=share_link"",""พะเยา!n202"")+IMPORTRANGE(""https://docs.google.com/spreadsheets/d/1Y"&amp;"9LPKx95PyL5OKy09d-KbKJSuuEZCFdkhYjwC0XQjBA/edit?usp=share_link"",""พิจิตร!n202"")+IMPORTRANGE(""https://docs.google.com/spreadsheets/d/16OMuOwy2eVqZcYWOouQtTpa8X1L23h4660uVHc0C8os/edit?usp=share_link"",""พิษณุโลก!n202"")+IMPORTRANGE(""https://docs.google."&amp;"com/spreadsheets/d/1GfgTldLG6k77HXaMQzaafODklYuucJZQNs_GAPEfZyY/edit?usp=share_link"",""เพชรบูรณ์!n202"")+IMPORTRANGE(""https://docs.google.com/spreadsheets/d/1gvTMYAnm7v1yG1BKWFtr0DnaTsq59oW9dwWvFgq6hs0/edit?usp=share_link"",""แพร่!n202"")+IMPORTRANGE("""&amp;"https://docs.google.com/spreadsheets/d/1Wbcosgy-Xa1xXUArJSOenub6EfZHUSzc_bpJFWwQUf0/edit?usp=share_link"",""แม่ฮ่องสอน!n202"")+IMPORTRANGE(""https://docs.google.com/spreadsheets/d/1p7ERhsr0qZeSn-KSOdeHS9r0heI-lHtkcn2OH7hP0jQ/edit?usp=share_link"",""ลำปาง!"&amp;"n202"")+IMPORTRANGE(""https://docs.google.com/spreadsheets/d/1-uUXvimVhiU2U0bMN-xi2te0tS4X7DI2GLPnMjzl8cA/edit?usp=share_link"",""ลำพูน!n202"")+IMPORTRANGE(""https://docs.google.com/spreadsheets/d/17HrOaa5pBUI1onckFfumXB8xlg35qb2uBAFfF1D-Myo/edit?usp=shar"&amp;"e_link"",""สุโขทัย!n202"")+IMPORTRANGE(""https://docs.google.com/spreadsheets/d/1ubs5cl16eYL9gHbdHTJtmtYb9MGzHBs7CAphn8kNCgM/edit?usp=share_link"",""อุตรดิตถ์!n202"")+IMPORTRANGE(""https://docs.google.com/spreadsheets/d/1kII0BjS6CtVrBvI8IrytgPdxDrlyQDyigz"&amp;"MsohRtDMs/edit?usp=share_link"",""อุทัยธานี!n202"")
"),0)</f>
        <v>0</v>
      </c>
      <c r="O202" s="38"/>
      <c r="P202" s="38"/>
      <c r="Q202" s="285"/>
      <c r="R202" s="285"/>
      <c r="S202" s="285"/>
      <c r="T202" s="285"/>
      <c r="U202" s="285"/>
      <c r="V202" s="285"/>
      <c r="W202" s="285"/>
      <c r="X202" s="285"/>
      <c r="Y202" s="285"/>
      <c r="Z202" s="285"/>
    </row>
    <row r="203" spans="1:26" ht="19.5">
      <c r="A203" s="170"/>
      <c r="B203" s="171"/>
      <c r="C203" s="210" t="s">
        <v>16</v>
      </c>
      <c r="D203" s="172" t="s">
        <v>38</v>
      </c>
      <c r="E203" s="173"/>
      <c r="F203" s="173"/>
      <c r="G203" s="174"/>
      <c r="H203" s="175"/>
      <c r="I203" s="162"/>
      <c r="J203" s="162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175" t="s">
        <v>96</v>
      </c>
      <c r="I204" s="269">
        <f ca="1">IFERROR(__xludf.DUMMYFUNCTION("IMPORTRANGE(""https://docs.google.com/spreadsheets/d/1KxicF4apzSqm0-jIpmueT4kyZtE-Cwn5zskl7GD4loQ/edit?usp=share_link"",""กำแพงเพชร!I204"")+IMPORTRANGE(""https://docs.google.com/spreadsheets/d/1ZNYWeiFoFA1K1U4xKWqRX29MBvEyRHXORjo734Gnq_c/edit?usp=share_li"&amp;"nk"",""เชียงราย!I204"")
+IMPORTRANGE(""https://docs.google.com/spreadsheets/d/1Jgv0Y7YlHDtsiDawwp-uvifEJ8HVaSn0k2aGHG8-hwM/edit?usp=share_link"",""เชียงใหม่!I204"")+IMPORTRANGE(""https://docs.google.com/spreadsheets/d/1JWG2rZePOz9pe-f-ObA-yDr0VoOX2kSb0qIi"&amp;"x2mTUo8/edit?usp=share_link"",""ตาก!I204"")+IMPORTRANGE(""https://docs.google.com/spreadsheets/d/10nSRjK08hx8Y6HgSOQKNw81lyY46Zc7U_Cj72hBMp9U/edit?usp=share_link"",""นครสวรรค์!I204"")+IMPORTRANGE(""https://docs.google.com/spreadsheets/d/1gFVb7qd7amutrIxAA"&amp;"oM7lcy35hllxznovot8lyOfvDo/edit?usp=share_link"",""น่าน!I204"")+IMPORTRANGE(""https://docs.google.com/spreadsheets/d/1K0Aa9s-6EuHE5M0FG1F9aHLXRCOV917xvycTdLdct0w/edit?usp=share_link"",""พะเยา!I204"")+IMPORTRANGE(""https://docs.google.com/spreadsheets/d/1Y"&amp;"9LPKx95PyL5OKy09d-KbKJSuuEZCFdkhYjwC0XQjBA/edit?usp=share_link"",""พิจิตร!I204"")+IMPORTRANGE(""https://docs.google.com/spreadsheets/d/16OMuOwy2eVqZcYWOouQtTpa8X1L23h4660uVHc0C8os/edit?usp=share_link"",""พิษณุโลก!I204"")+IMPORTRANGE(""https://docs.google."&amp;"com/spreadsheets/d/1GfgTldLG6k77HXaMQzaafODklYuucJZQNs_GAPEfZyY/edit?usp=share_link"",""เพชรบูรณ์!I204"")+IMPORTRANGE(""https://docs.google.com/spreadsheets/d/1gvTMYAnm7v1yG1BKWFtr0DnaTsq59oW9dwWvFgq6hs0/edit?usp=share_link"",""แพร่!I204"")+IMPORTRANGE("""&amp;"https://docs.google.com/spreadsheets/d/1Wbcosgy-Xa1xXUArJSOenub6EfZHUSzc_bpJFWwQUf0/edit?usp=share_link"",""แม่ฮ่องสอน!I204"")+IMPORTRANGE(""https://docs.google.com/spreadsheets/d/1p7ERhsr0qZeSn-KSOdeHS9r0heI-lHtkcn2OH7hP0jQ/edit?usp=share_link"",""ลำปาง!"&amp;"I204"")+IMPORTRANGE(""https://docs.google.com/spreadsheets/d/1-uUXvimVhiU2U0bMN-xi2te0tS4X7DI2GLPnMjzl8cA/edit?usp=share_link"",""ลำพูน!I204"")+IMPORTRANGE(""https://docs.google.com/spreadsheets/d/17HrOaa5pBUI1onckFfumXB8xlg35qb2uBAFfF1D-Myo/edit?usp=shar"&amp;"e_link"",""สุโขทัย!I204"")+IMPORTRANGE(""https://docs.google.com/spreadsheets/d/1ubs5cl16eYL9gHbdHTJtmtYb9MGzHBs7CAphn8kNCgM/edit?usp=share_link"",""อุตรดิตถ์!I204"")+IMPORTRANGE(""https://docs.google.com/spreadsheets/d/1kII0BjS6CtVrBvI8IrytgPdxDrlyQDyigz"&amp;"MsohRtDMs/edit?usp=share_link"",""อุทัยธานี!I204"")
"),50)</f>
        <v>50</v>
      </c>
      <c r="J204" s="183">
        <f ca="1">IFERROR(__xludf.DUMMYFUNCTION("IMPORTRANGE(""https://docs.google.com/spreadsheets/d/1KxicF4apzSqm0-jIpmueT4kyZtE-Cwn5zskl7GD4loQ/edit?usp=share_link"",""กำแพงเพชร!J204"")+IMPORTRANGE(""https://docs.google.com/spreadsheets/d/1ZNYWeiFoFA1K1U4xKWqRX29MBvEyRHXORjo734Gnq_c/edit?usp=share_li"&amp;"nk"",""เชียงราย!J204"")
+IMPORTRANGE(""https://docs.google.com/spreadsheets/d/1Jgv0Y7YlHDtsiDawwp-uvifEJ8HVaSn0k2aGHG8-hwM/edit?usp=share_link"",""เชียงใหม่!J204"")+IMPORTRANGE(""https://docs.google.com/spreadsheets/d/1JWG2rZePOz9pe-f-ObA-yDr0VoOX2kSb0qIi"&amp;"x2mTUo8/edit?usp=share_link"",""ตาก!J204"")+IMPORTRANGE(""https://docs.google.com/spreadsheets/d/10nSRjK08hx8Y6HgSOQKNw81lyY46Zc7U_Cj72hBMp9U/edit?usp=share_link"",""นครสวรรค์!J204"")+IMPORTRANGE(""https://docs.google.com/spreadsheets/d/1gFVb7qd7amutrIxAA"&amp;"oM7lcy35hllxznovot8lyOfvDo/edit?usp=share_link"",""น่าน!J204"")+IMPORTRANGE(""https://docs.google.com/spreadsheets/d/1K0Aa9s-6EuHE5M0FG1F9aHLXRCOV917xvycTdLdct0w/edit?usp=share_link"",""พะเยา!J204"")+IMPORTRANGE(""https://docs.google.com/spreadsheets/d/1Y"&amp;"9LPKx95PyL5OKy09d-KbKJSuuEZCFdkhYjwC0XQjBA/edit?usp=share_link"",""พิจิตร!J204"")+IMPORTRANGE(""https://docs.google.com/spreadsheets/d/16OMuOwy2eVqZcYWOouQtTpa8X1L23h4660uVHc0C8os/edit?usp=share_link"",""พิษณุโลก!J204"")+IMPORTRANGE(""https://docs.google."&amp;"com/spreadsheets/d/1GfgTldLG6k77HXaMQzaafODklYuucJZQNs_GAPEfZyY/edit?usp=share_link"",""เพชรบูรณ์!J204"")+IMPORTRANGE(""https://docs.google.com/spreadsheets/d/1gvTMYAnm7v1yG1BKWFtr0DnaTsq59oW9dwWvFgq6hs0/edit?usp=share_link"",""แพร่!J204"")+IMPORTRANGE("""&amp;"https://docs.google.com/spreadsheets/d/1Wbcosgy-Xa1xXUArJSOenub6EfZHUSzc_bpJFWwQUf0/edit?usp=share_link"",""แม่ฮ่องสอน!J204"")+IMPORTRANGE(""https://docs.google.com/spreadsheets/d/1p7ERhsr0qZeSn-KSOdeHS9r0heI-lHtkcn2OH7hP0jQ/edit?usp=share_link"",""ลำปาง!"&amp;"J204"")+IMPORTRANGE(""https://docs.google.com/spreadsheets/d/1-uUXvimVhiU2U0bMN-xi2te0tS4X7DI2GLPnMjzl8cA/edit?usp=share_link"",""ลำพูน!J204"")+IMPORTRANGE(""https://docs.google.com/spreadsheets/d/17HrOaa5pBUI1onckFfumXB8xlg35qb2uBAFfF1D-Myo/edit?usp=shar"&amp;"e_link"",""สุโขทัย!J204"")+IMPORTRANGE(""https://docs.google.com/spreadsheets/d/1ubs5cl16eYL9gHbdHTJtmtYb9MGzHBs7CAphn8kNCgM/edit?usp=share_link"",""อุตรดิตถ์!J204"")+IMPORTRANGE(""https://docs.google.com/spreadsheets/d/1kII0BjS6CtVrBvI8IrytgPdxDrlyQDyigz"&amp;"MsohRtDMs/edit?usp=share_link"",""อุทัยธานี!J204"")
"),1)</f>
        <v>1</v>
      </c>
      <c r="K204" s="163">
        <f ca="1">IF(I204&gt;0,J204*100/I204,0)</f>
        <v>2</v>
      </c>
      <c r="L204" s="38"/>
      <c r="M204" s="38"/>
      <c r="N204" s="38"/>
      <c r="O204" s="38"/>
      <c r="P204" s="38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181" t="s">
        <v>59</v>
      </c>
      <c r="E205" s="178"/>
      <c r="F205" s="178"/>
      <c r="G205" s="179"/>
      <c r="H205" s="175"/>
      <c r="I205" s="37"/>
      <c r="J205" s="37"/>
      <c r="K205" s="163"/>
      <c r="L205" s="38"/>
      <c r="M205" s="38"/>
      <c r="N205" s="38"/>
      <c r="O205" s="38"/>
      <c r="P205" s="38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197" t="s">
        <v>102</v>
      </c>
      <c r="F206" s="286"/>
      <c r="G206" s="287"/>
      <c r="H206" s="288" t="s">
        <v>96</v>
      </c>
      <c r="I206" s="269">
        <f ca="1">IFERROR(__xludf.DUMMYFUNCTION("IMPORTRANGE(""https://docs.google.com/spreadsheets/d/1KxicF4apzSqm0-jIpmueT4kyZtE-Cwn5zskl7GD4loQ/edit?usp=share_link"",""กำแพงเพชร!I206"")+IMPORTRANGE(""https://docs.google.com/spreadsheets/d/1ZNYWeiFoFA1K1U4xKWqRX29MBvEyRHXORjo734Gnq_c/edit?usp=share_li"&amp;"nk"",""เชียงราย!I206"")
+IMPORTRANGE(""https://docs.google.com/spreadsheets/d/1Jgv0Y7YlHDtsiDawwp-uvifEJ8HVaSn0k2aGHG8-hwM/edit?usp=share_link"",""เชียงใหม่!I206"")+IMPORTRANGE(""https://docs.google.com/spreadsheets/d/1JWG2rZePOz9pe-f-ObA-yDr0VoOX2kSb0qIi"&amp;"x2mTUo8/edit?usp=share_link"",""ตาก!I206"")+IMPORTRANGE(""https://docs.google.com/spreadsheets/d/10nSRjK08hx8Y6HgSOQKNw81lyY46Zc7U_Cj72hBMp9U/edit?usp=share_link"",""นครสวรรค์!I206"")+IMPORTRANGE(""https://docs.google.com/spreadsheets/d/1gFVb7qd7amutrIxAA"&amp;"oM7lcy35hllxznovot8lyOfvDo/edit?usp=share_link"",""น่าน!I206"")+IMPORTRANGE(""https://docs.google.com/spreadsheets/d/1K0Aa9s-6EuHE5M0FG1F9aHLXRCOV917xvycTdLdct0w/edit?usp=share_link"",""พะเยา!I206"")+IMPORTRANGE(""https://docs.google.com/spreadsheets/d/1Y"&amp;"9LPKx95PyL5OKy09d-KbKJSuuEZCFdkhYjwC0XQjBA/edit?usp=share_link"",""พิจิตร!I206"")+IMPORTRANGE(""https://docs.google.com/spreadsheets/d/16OMuOwy2eVqZcYWOouQtTpa8X1L23h4660uVHc0C8os/edit?usp=share_link"",""พิษณุโลก!I206"")+IMPORTRANGE(""https://docs.google."&amp;"com/spreadsheets/d/1GfgTldLG6k77HXaMQzaafODklYuucJZQNs_GAPEfZyY/edit?usp=share_link"",""เพชรบูรณ์!I206"")+IMPORTRANGE(""https://docs.google.com/spreadsheets/d/1gvTMYAnm7v1yG1BKWFtr0DnaTsq59oW9dwWvFgq6hs0/edit?usp=share_link"",""แพร่!I206"")+IMPORTRANGE("""&amp;"https://docs.google.com/spreadsheets/d/1Wbcosgy-Xa1xXUArJSOenub6EfZHUSzc_bpJFWwQUf0/edit?usp=share_link"",""แม่ฮ่องสอน!I206"")+IMPORTRANGE(""https://docs.google.com/spreadsheets/d/1p7ERhsr0qZeSn-KSOdeHS9r0heI-lHtkcn2OH7hP0jQ/edit?usp=share_link"",""ลำปาง!"&amp;"I206"")+IMPORTRANGE(""https://docs.google.com/spreadsheets/d/1-uUXvimVhiU2U0bMN-xi2te0tS4X7DI2GLPnMjzl8cA/edit?usp=share_link"",""ลำพูน!I206"")+IMPORTRANGE(""https://docs.google.com/spreadsheets/d/17HrOaa5pBUI1onckFfumXB8xlg35qb2uBAFfF1D-Myo/edit?usp=shar"&amp;"e_link"",""สุโขทัย!I206"")+IMPORTRANGE(""https://docs.google.com/spreadsheets/d/1ubs5cl16eYL9gHbdHTJtmtYb9MGzHBs7CAphn8kNCgM/edit?usp=share_link"",""อุตรดิตถ์!I206"")+IMPORTRANGE(""https://docs.google.com/spreadsheets/d/1kII0BjS6CtVrBvI8IrytgPdxDrlyQDyigz"&amp;"MsohRtDMs/edit?usp=share_link"",""อุทัยธานี!I206"")
"),50)</f>
        <v>50</v>
      </c>
      <c r="J206" s="183">
        <f ca="1">IFERROR(__xludf.DUMMYFUNCTION("IMPORTRANGE(""https://docs.google.com/spreadsheets/d/1KxicF4apzSqm0-jIpmueT4kyZtE-Cwn5zskl7GD4loQ/edit?usp=share_link"",""กำแพงเพชร!J206"")+IMPORTRANGE(""https://docs.google.com/spreadsheets/d/1ZNYWeiFoFA1K1U4xKWqRX29MBvEyRHXORjo734Gnq_c/edit?usp=share_li"&amp;"nk"",""เชียงราย!J206"")
+IMPORTRANGE(""https://docs.google.com/spreadsheets/d/1Jgv0Y7YlHDtsiDawwp-uvifEJ8HVaSn0k2aGHG8-hwM/edit?usp=share_link"",""เชียงใหม่!J206"")+IMPORTRANGE(""https://docs.google.com/spreadsheets/d/1JWG2rZePOz9pe-f-ObA-yDr0VoOX2kSb0qIi"&amp;"x2mTUo8/edit?usp=share_link"",""ตาก!J206"")+IMPORTRANGE(""https://docs.google.com/spreadsheets/d/10nSRjK08hx8Y6HgSOQKNw81lyY46Zc7U_Cj72hBMp9U/edit?usp=share_link"",""นครสวรรค์!J206"")+IMPORTRANGE(""https://docs.google.com/spreadsheets/d/1gFVb7qd7amutrIxAA"&amp;"oM7lcy35hllxznovot8lyOfvDo/edit?usp=share_link"",""น่าน!J206"")+IMPORTRANGE(""https://docs.google.com/spreadsheets/d/1K0Aa9s-6EuHE5M0FG1F9aHLXRCOV917xvycTdLdct0w/edit?usp=share_link"",""พะเยา!J206"")+IMPORTRANGE(""https://docs.google.com/spreadsheets/d/1Y"&amp;"9LPKx95PyL5OKy09d-KbKJSuuEZCFdkhYjwC0XQjBA/edit?usp=share_link"",""พิจิตร!J206"")+IMPORTRANGE(""https://docs.google.com/spreadsheets/d/16OMuOwy2eVqZcYWOouQtTpa8X1L23h4660uVHc0C8os/edit?usp=share_link"",""พิษณุโลก!J206"")+IMPORTRANGE(""https://docs.google."&amp;"com/spreadsheets/d/1GfgTldLG6k77HXaMQzaafODklYuucJZQNs_GAPEfZyY/edit?usp=share_link"",""เพชรบูรณ์!J206"")+IMPORTRANGE(""https://docs.google.com/spreadsheets/d/1gvTMYAnm7v1yG1BKWFtr0DnaTsq59oW9dwWvFgq6hs0/edit?usp=share_link"",""แพร่!J206"")+IMPORTRANGE("""&amp;"https://docs.google.com/spreadsheets/d/1Wbcosgy-Xa1xXUArJSOenub6EfZHUSzc_bpJFWwQUf0/edit?usp=share_link"",""แม่ฮ่องสอน!J206"")+IMPORTRANGE(""https://docs.google.com/spreadsheets/d/1p7ERhsr0qZeSn-KSOdeHS9r0heI-lHtkcn2OH7hP0jQ/edit?usp=share_link"",""ลำปาง!"&amp;"J206"")+IMPORTRANGE(""https://docs.google.com/spreadsheets/d/1-uUXvimVhiU2U0bMN-xi2te0tS4X7DI2GLPnMjzl8cA/edit?usp=share_link"",""ลำพูน!J206"")+IMPORTRANGE(""https://docs.google.com/spreadsheets/d/17HrOaa5pBUI1onckFfumXB8xlg35qb2uBAFfF1D-Myo/edit?usp=shar"&amp;"e_link"",""สุโขทัย!J206"")+IMPORTRANGE(""https://docs.google.com/spreadsheets/d/1ubs5cl16eYL9gHbdHTJtmtYb9MGzHBs7CAphn8kNCgM/edit?usp=share_link"",""อุตรดิตถ์!J206"")+IMPORTRANGE(""https://docs.google.com/spreadsheets/d/1kII0BjS6CtVrBvI8IrytgPdxDrlyQDyigz"&amp;"MsohRtDMs/edit?usp=share_link"",""อุทัยธานี!J206"")
"),0)</f>
        <v>0</v>
      </c>
      <c r="K206" s="163">
        <f t="shared" ref="K206:K208" ca="1" si="122">IF(I206&gt;0,J206*100/I206,0)</f>
        <v>0</v>
      </c>
      <c r="L206" s="38"/>
      <c r="M206" s="38"/>
      <c r="N206" s="38"/>
      <c r="O206" s="38"/>
      <c r="P206" s="38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177"/>
      <c r="E207" s="181" t="s">
        <v>103</v>
      </c>
      <c r="F207" s="178"/>
      <c r="G207" s="178"/>
      <c r="H207" s="289" t="s">
        <v>104</v>
      </c>
      <c r="I207" s="37">
        <f ca="1">IFERROR(__xludf.DUMMYFUNCTION("IMPORTRANGE(""https://docs.google.com/spreadsheets/d/1KxicF4apzSqm0-jIpmueT4kyZtE-Cwn5zskl7GD4loQ/edit?usp=share_link"",""กำแพงเพชร!I207"")+IMPORTRANGE(""https://docs.google.com/spreadsheets/d/1ZNYWeiFoFA1K1U4xKWqRX29MBvEyRHXORjo734Gnq_c/edit?usp=share_li"&amp;"nk"",""เชียงราย!I207"")
+IMPORTRANGE(""https://docs.google.com/spreadsheets/d/1Jgv0Y7YlHDtsiDawwp-uvifEJ8HVaSn0k2aGHG8-hwM/edit?usp=share_link"",""เชียงใหม่!I207"")+IMPORTRANGE(""https://docs.google.com/spreadsheets/d/1JWG2rZePOz9pe-f-ObA-yDr0VoOX2kSb0qIi"&amp;"x2mTUo8/edit?usp=share_link"",""ตาก!I207"")+IMPORTRANGE(""https://docs.google.com/spreadsheets/d/10nSRjK08hx8Y6HgSOQKNw81lyY46Zc7U_Cj72hBMp9U/edit?usp=share_link"",""นครสวรรค์!I207"")+IMPORTRANGE(""https://docs.google.com/spreadsheets/d/1gFVb7qd7amutrIxAA"&amp;"oM7lcy35hllxznovot8lyOfvDo/edit?usp=share_link"",""น่าน!I207"")+IMPORTRANGE(""https://docs.google.com/spreadsheets/d/1K0Aa9s-6EuHE5M0FG1F9aHLXRCOV917xvycTdLdct0w/edit?usp=share_link"",""พะเยา!I207"")+IMPORTRANGE(""https://docs.google.com/spreadsheets/d/1Y"&amp;"9LPKx95PyL5OKy09d-KbKJSuuEZCFdkhYjwC0XQjBA/edit?usp=share_link"",""พิจิตร!I207"")+IMPORTRANGE(""https://docs.google.com/spreadsheets/d/16OMuOwy2eVqZcYWOouQtTpa8X1L23h4660uVHc0C8os/edit?usp=share_link"",""พิษณุโลก!I207"")+IMPORTRANGE(""https://docs.google."&amp;"com/spreadsheets/d/1GfgTldLG6k77HXaMQzaafODklYuucJZQNs_GAPEfZyY/edit?usp=share_link"",""เพชรบูรณ์!I207"")+IMPORTRANGE(""https://docs.google.com/spreadsheets/d/1gvTMYAnm7v1yG1BKWFtr0DnaTsq59oW9dwWvFgq6hs0/edit?usp=share_link"",""แพร่!I207"")+IMPORTRANGE("""&amp;"https://docs.google.com/spreadsheets/d/1Wbcosgy-Xa1xXUArJSOenub6EfZHUSzc_bpJFWwQUf0/edit?usp=share_link"",""แม่ฮ่องสอน!I207"")+IMPORTRANGE(""https://docs.google.com/spreadsheets/d/1p7ERhsr0qZeSn-KSOdeHS9r0heI-lHtkcn2OH7hP0jQ/edit?usp=share_link"",""ลำปาง!"&amp;"I207"")+IMPORTRANGE(""https://docs.google.com/spreadsheets/d/1-uUXvimVhiU2U0bMN-xi2te0tS4X7DI2GLPnMjzl8cA/edit?usp=share_link"",""ลำพูน!I207"")+IMPORTRANGE(""https://docs.google.com/spreadsheets/d/17HrOaa5pBUI1onckFfumXB8xlg35qb2uBAFfF1D-Myo/edit?usp=shar"&amp;"e_link"",""สุโขทัย!I207"")+IMPORTRANGE(""https://docs.google.com/spreadsheets/d/1ubs5cl16eYL9gHbdHTJtmtYb9MGzHBs7CAphn8kNCgM/edit?usp=share_link"",""อุตรดิตถ์!I207"")+IMPORTRANGE(""https://docs.google.com/spreadsheets/d/1kII0BjS6CtVrBvI8IrytgPdxDrlyQDyigz"&amp;"MsohRtDMs/edit?usp=share_link"",""อุทัยธานี!I207"")
"),3)</f>
        <v>3</v>
      </c>
      <c r="J207" s="183">
        <f ca="1">IFERROR(__xludf.DUMMYFUNCTION("IMPORTRANGE(""https://docs.google.com/spreadsheets/d/1KxicF4apzSqm0-jIpmueT4kyZtE-Cwn5zskl7GD4loQ/edit?usp=share_link"",""กำแพงเพชร!J207"")+IMPORTRANGE(""https://docs.google.com/spreadsheets/d/1ZNYWeiFoFA1K1U4xKWqRX29MBvEyRHXORjo734Gnq_c/edit?usp=share_li"&amp;"nk"",""เชียงราย!J207"")
+IMPORTRANGE(""https://docs.google.com/spreadsheets/d/1Jgv0Y7YlHDtsiDawwp-uvifEJ8HVaSn0k2aGHG8-hwM/edit?usp=share_link"",""เชียงใหม่!J207"")+IMPORTRANGE(""https://docs.google.com/spreadsheets/d/1JWG2rZePOz9pe-f-ObA-yDr0VoOX2kSb0qIi"&amp;"x2mTUo8/edit?usp=share_link"",""ตาก!J207"")+IMPORTRANGE(""https://docs.google.com/spreadsheets/d/10nSRjK08hx8Y6HgSOQKNw81lyY46Zc7U_Cj72hBMp9U/edit?usp=share_link"",""นครสวรรค์!J207"")+IMPORTRANGE(""https://docs.google.com/spreadsheets/d/1gFVb7qd7amutrIxAA"&amp;"oM7lcy35hllxznovot8lyOfvDo/edit?usp=share_link"",""น่าน!J207"")+IMPORTRANGE(""https://docs.google.com/spreadsheets/d/1K0Aa9s-6EuHE5M0FG1F9aHLXRCOV917xvycTdLdct0w/edit?usp=share_link"",""พะเยา!J207"")+IMPORTRANGE(""https://docs.google.com/spreadsheets/d/1Y"&amp;"9LPKx95PyL5OKy09d-KbKJSuuEZCFdkhYjwC0XQjBA/edit?usp=share_link"",""พิจิตร!J207"")+IMPORTRANGE(""https://docs.google.com/spreadsheets/d/16OMuOwy2eVqZcYWOouQtTpa8X1L23h4660uVHc0C8os/edit?usp=share_link"",""พิษณุโลก!J207"")+IMPORTRANGE(""https://docs.google."&amp;"com/spreadsheets/d/1GfgTldLG6k77HXaMQzaafODklYuucJZQNs_GAPEfZyY/edit?usp=share_link"",""เพชรบูรณ์!J207"")+IMPORTRANGE(""https://docs.google.com/spreadsheets/d/1gvTMYAnm7v1yG1BKWFtr0DnaTsq59oW9dwWvFgq6hs0/edit?usp=share_link"",""แพร่!J207"")+IMPORTRANGE("""&amp;"https://docs.google.com/spreadsheets/d/1Wbcosgy-Xa1xXUArJSOenub6EfZHUSzc_bpJFWwQUf0/edit?usp=share_link"",""แม่ฮ่องสอน!J207"")+IMPORTRANGE(""https://docs.google.com/spreadsheets/d/1p7ERhsr0qZeSn-KSOdeHS9r0heI-lHtkcn2OH7hP0jQ/edit?usp=share_link"",""ลำปาง!"&amp;"J207"")+IMPORTRANGE(""https://docs.google.com/spreadsheets/d/1-uUXvimVhiU2U0bMN-xi2te0tS4X7DI2GLPnMjzl8cA/edit?usp=share_link"",""ลำพูน!J207"")+IMPORTRANGE(""https://docs.google.com/spreadsheets/d/17HrOaa5pBUI1onckFfumXB8xlg35qb2uBAFfF1D-Myo/edit?usp=shar"&amp;"e_link"",""สุโขทัย!J207"")+IMPORTRANGE(""https://docs.google.com/spreadsheets/d/1ubs5cl16eYL9gHbdHTJtmtYb9MGzHBs7CAphn8kNCgM/edit?usp=share_link"",""อุตรดิตถ์!J207"")+IMPORTRANGE(""https://docs.google.com/spreadsheets/d/1kII0BjS6CtVrBvI8IrytgPdxDrlyQDyigz"&amp;"MsohRtDMs/edit?usp=share_link"",""อุทัยธานี!J207"")
"),0)</f>
        <v>0</v>
      </c>
      <c r="K207" s="163">
        <f t="shared" ca="1" si="122"/>
        <v>0</v>
      </c>
      <c r="L207" s="38"/>
      <c r="M207" s="38"/>
      <c r="N207" s="38"/>
      <c r="O207" s="38"/>
      <c r="P207" s="38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>
      <c r="A208" s="255"/>
      <c r="B208" s="263"/>
      <c r="C208" s="270" t="s">
        <v>105</v>
      </c>
      <c r="D208" s="256"/>
      <c r="E208" s="256"/>
      <c r="F208" s="290"/>
      <c r="G208" s="258"/>
      <c r="H208" s="277" t="s">
        <v>96</v>
      </c>
      <c r="I208" s="271">
        <f t="shared" ref="I208:J208" ca="1" si="123">I215</f>
        <v>4</v>
      </c>
      <c r="J208" s="271">
        <f t="shared" ca="1" si="123"/>
        <v>0</v>
      </c>
      <c r="K208" s="272">
        <f t="shared" ca="1" si="122"/>
        <v>0</v>
      </c>
      <c r="L208" s="261"/>
      <c r="M208" s="261"/>
      <c r="N208" s="261"/>
      <c r="O208" s="261"/>
      <c r="P208" s="261"/>
    </row>
    <row r="209" spans="1:26" ht="19.5">
      <c r="A209" s="147"/>
      <c r="B209" s="148"/>
      <c r="C209" s="149" t="s">
        <v>16</v>
      </c>
      <c r="D209" s="273" t="s">
        <v>17</v>
      </c>
      <c r="E209" s="148"/>
      <c r="F209" s="148"/>
      <c r="G209" s="151"/>
      <c r="H209" s="274" t="s">
        <v>12</v>
      </c>
      <c r="I209" s="278"/>
      <c r="J209" s="278"/>
      <c r="K209" s="279"/>
      <c r="L209" s="155">
        <f ca="1">L210+L211+L212</f>
        <v>56000</v>
      </c>
      <c r="M209" s="155"/>
      <c r="N209" s="155">
        <f ca="1"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>
      <c r="A210" s="159"/>
      <c r="B210" s="280"/>
      <c r="C210" s="33"/>
      <c r="D210" s="211" t="s">
        <v>97</v>
      </c>
      <c r="E210" s="33"/>
      <c r="F210" s="33"/>
      <c r="G210" s="35"/>
      <c r="H210" s="161" t="s">
        <v>12</v>
      </c>
      <c r="I210" s="162"/>
      <c r="J210" s="162"/>
      <c r="K210" s="163"/>
      <c r="L210" s="38">
        <f ca="1">IFERROR(__xludf.DUMMYFUNCTION("IMPORTRANGE(""https://docs.google.com/spreadsheets/d/1KxicF4apzSqm0-jIpmueT4kyZtE-Cwn5zskl7GD4loQ/edit?usp=share_link"",""กำแพงเพชร!l210"")+IMPORTRANGE(""https://docs.google.com/spreadsheets/d/1ZNYWeiFoFA1K1U4xKWqRX29MBvEyRHXORjo734Gnq_c/edit?usp=share_li"&amp;"nk"",""เชียงราย!l210"")
+IMPORTRANGE(""https://docs.google.com/spreadsheets/d/1Jgv0Y7YlHDtsiDawwp-uvifEJ8HVaSn0k2aGHG8-hwM/edit?usp=share_link"",""เชียงใหม่!l210"")+IMPORTRANGE(""https://docs.google.com/spreadsheets/d/1JWG2rZePOz9pe-f-ObA-yDr0VoOX2kSb0qIi"&amp;"x2mTUo8/edit?usp=share_link"",""ตาก!l210"")+IMPORTRANGE(""https://docs.google.com/spreadsheets/d/10nSRjK08hx8Y6HgSOQKNw81lyY46Zc7U_Cj72hBMp9U/edit?usp=share_link"",""นครสวรรค์!l210"")+IMPORTRANGE(""https://docs.google.com/spreadsheets/d/1gFVb7qd7amutrIxAA"&amp;"oM7lcy35hllxznovot8lyOfvDo/edit?usp=share_link"",""น่าน!l210"")+IMPORTRANGE(""https://docs.google.com/spreadsheets/d/1K0Aa9s-6EuHE5M0FG1F9aHLXRCOV917xvycTdLdct0w/edit?usp=share_link"",""พะเยา!l210"")+IMPORTRANGE(""https://docs.google.com/spreadsheets/d/1Y"&amp;"9LPKx95PyL5OKy09d-KbKJSuuEZCFdkhYjwC0XQjBA/edit?usp=share_link"",""พิจิตร!l210"")+IMPORTRANGE(""https://docs.google.com/spreadsheets/d/16OMuOwy2eVqZcYWOouQtTpa8X1L23h4660uVHc0C8os/edit?usp=share_link"",""พิษณุโลก!l210"")+IMPORTRANGE(""https://docs.google."&amp;"com/spreadsheets/d/1GfgTldLG6k77HXaMQzaafODklYuucJZQNs_GAPEfZyY/edit?usp=share_link"",""เพชรบูรณ์!l210"")+IMPORTRANGE(""https://docs.google.com/spreadsheets/d/1gvTMYAnm7v1yG1BKWFtr0DnaTsq59oW9dwWvFgq6hs0/edit?usp=share_link"",""แพร่!l210"")+IMPORTRANGE("""&amp;"https://docs.google.com/spreadsheets/d/1Wbcosgy-Xa1xXUArJSOenub6EfZHUSzc_bpJFWwQUf0/edit?usp=share_link"",""แม่ฮ่องสอน!l210"")+IMPORTRANGE(""https://docs.google.com/spreadsheets/d/1p7ERhsr0qZeSn-KSOdeHS9r0heI-lHtkcn2OH7hP0jQ/edit?usp=share_link"",""ลำปาง!"&amp;"l210"")+IMPORTRANGE(""https://docs.google.com/spreadsheets/d/1-uUXvimVhiU2U0bMN-xi2te0tS4X7DI2GLPnMjzl8cA/edit?usp=share_link"",""ลำพูน!l210"")+IMPORTRANGE(""https://docs.google.com/spreadsheets/d/17HrOaa5pBUI1onckFfumXB8xlg35qb2uBAFfF1D-Myo/edit?usp=shar"&amp;"e_link"",""สุโขทัย!l210"")+IMPORTRANGE(""https://docs.google.com/spreadsheets/d/1ubs5cl16eYL9gHbdHTJtmtYb9MGzHBs7CAphn8kNCgM/edit?usp=share_link"",""อุตรดิตถ์!l210"")+IMPORTRANGE(""https://docs.google.com/spreadsheets/d/1kII0BjS6CtVrBvI8IrytgPdxDrlyQDyigz"&amp;"MsohRtDMs/edit?usp=share_link"",""อุทัยธานี!l210"")
"),4000)</f>
        <v>4000</v>
      </c>
      <c r="M210" s="38"/>
      <c r="N210" s="282">
        <f ca="1">IFERROR(__xludf.DUMMYFUNCTION("IMPORTRANGE(""https://docs.google.com/spreadsheets/d/1KxicF4apzSqm0-jIpmueT4kyZtE-Cwn5zskl7GD4loQ/edit?usp=share_link"",""กำแพงเพชร!n210"")+IMPORTRANGE(""https://docs.google.com/spreadsheets/d/1ZNYWeiFoFA1K1U4xKWqRX29MBvEyRHXORjo734Gnq_c/edit?usp=share_li"&amp;"nk"",""เชียงราย!n210"")
+IMPORTRANGE(""https://docs.google.com/spreadsheets/d/1Jgv0Y7YlHDtsiDawwp-uvifEJ8HVaSn0k2aGHG8-hwM/edit?usp=share_link"",""เชียงใหม่!n210"")+IMPORTRANGE(""https://docs.google.com/spreadsheets/d/1JWG2rZePOz9pe-f-ObA-yDr0VoOX2kSb0qIi"&amp;"x2mTUo8/edit?usp=share_link"",""ตาก!n210"")+IMPORTRANGE(""https://docs.google.com/spreadsheets/d/10nSRjK08hx8Y6HgSOQKNw81lyY46Zc7U_Cj72hBMp9U/edit?usp=share_link"",""นครสวรรค์!n210"")+IMPORTRANGE(""https://docs.google.com/spreadsheets/d/1gFVb7qd7amutrIxAA"&amp;"oM7lcy35hllxznovot8lyOfvDo/edit?usp=share_link"",""น่าน!n210"")+IMPORTRANGE(""https://docs.google.com/spreadsheets/d/1K0Aa9s-6EuHE5M0FG1F9aHLXRCOV917xvycTdLdct0w/edit?usp=share_link"",""พะเยา!n210"")+IMPORTRANGE(""https://docs.google.com/spreadsheets/d/1Y"&amp;"9LPKx95PyL5OKy09d-KbKJSuuEZCFdkhYjwC0XQjBA/edit?usp=share_link"",""พิจิตร!n210"")+IMPORTRANGE(""https://docs.google.com/spreadsheets/d/16OMuOwy2eVqZcYWOouQtTpa8X1L23h4660uVHc0C8os/edit?usp=share_link"",""พิษณุโลก!n210"")+IMPORTRANGE(""https://docs.google."&amp;"com/spreadsheets/d/1GfgTldLG6k77HXaMQzaafODklYuucJZQNs_GAPEfZyY/edit?usp=share_link"",""เพชรบูรณ์!n210"")+IMPORTRANGE(""https://docs.google.com/spreadsheets/d/1gvTMYAnm7v1yG1BKWFtr0DnaTsq59oW9dwWvFgq6hs0/edit?usp=share_link"",""แพร่!n210"")+IMPORTRANGE("""&amp;"https://docs.google.com/spreadsheets/d/1Wbcosgy-Xa1xXUArJSOenub6EfZHUSzc_bpJFWwQUf0/edit?usp=share_link"",""แม่ฮ่องสอน!n210"")+IMPORTRANGE(""https://docs.google.com/spreadsheets/d/1p7ERhsr0qZeSn-KSOdeHS9r0heI-lHtkcn2OH7hP0jQ/edit?usp=share_link"",""ลำปาง!"&amp;"n210"")+IMPORTRANGE(""https://docs.google.com/spreadsheets/d/1-uUXvimVhiU2U0bMN-xi2te0tS4X7DI2GLPnMjzl8cA/edit?usp=share_link"",""ลำพูน!n210"")+IMPORTRANGE(""https://docs.google.com/spreadsheets/d/17HrOaa5pBUI1onckFfumXB8xlg35qb2uBAFfF1D-Myo/edit?usp=shar"&amp;"e_link"",""สุโขทัย!n210"")+IMPORTRANGE(""https://docs.google.com/spreadsheets/d/1ubs5cl16eYL9gHbdHTJtmtYb9MGzHBs7CAphn8kNCgM/edit?usp=share_link"",""อุตรดิตถ์!n210"")+IMPORTRANGE(""https://docs.google.com/spreadsheets/d/1kII0BjS6CtVrBvI8IrytgPdxDrlyQDyigz"&amp;"MsohRtDMs/edit?usp=share_link"",""อุทัยธานี!n210"")
"),0)</f>
        <v>0</v>
      </c>
      <c r="O210" s="38"/>
      <c r="P210" s="38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>
      <c r="A211" s="283"/>
      <c r="B211" s="280"/>
      <c r="C211" s="291"/>
      <c r="D211" s="215" t="s">
        <v>99</v>
      </c>
      <c r="E211" s="33"/>
      <c r="F211" s="33"/>
      <c r="G211" s="35"/>
      <c r="H211" s="161" t="s">
        <v>12</v>
      </c>
      <c r="I211" s="37"/>
      <c r="J211" s="37"/>
      <c r="K211" s="38"/>
      <c r="L211" s="38">
        <f ca="1">IFERROR(__xludf.DUMMYFUNCTION("IMPORTRANGE(""https://docs.google.com/spreadsheets/d/1KxicF4apzSqm0-jIpmueT4kyZtE-Cwn5zskl7GD4loQ/edit?usp=share_link"",""กำแพงเพชร!l211"")+IMPORTRANGE(""https://docs.google.com/spreadsheets/d/1ZNYWeiFoFA1K1U4xKWqRX29MBvEyRHXORjo734Gnq_c/edit?usp=share_li"&amp;"nk"",""เชียงราย!l211"")
+IMPORTRANGE(""https://docs.google.com/spreadsheets/d/1Jgv0Y7YlHDtsiDawwp-uvifEJ8HVaSn0k2aGHG8-hwM/edit?usp=share_link"",""เชียงใหม่!l211"")+IMPORTRANGE(""https://docs.google.com/spreadsheets/d/1JWG2rZePOz9pe-f-ObA-yDr0VoOX2kSb0qIi"&amp;"x2mTUo8/edit?usp=share_link"",""ตาก!l211"")+IMPORTRANGE(""https://docs.google.com/spreadsheets/d/10nSRjK08hx8Y6HgSOQKNw81lyY46Zc7U_Cj72hBMp9U/edit?usp=share_link"",""นครสวรรค์!l211"")+IMPORTRANGE(""https://docs.google.com/spreadsheets/d/1gFVb7qd7amutrIxAA"&amp;"oM7lcy35hllxznovot8lyOfvDo/edit?usp=share_link"",""น่าน!l211"")+IMPORTRANGE(""https://docs.google.com/spreadsheets/d/1K0Aa9s-6EuHE5M0FG1F9aHLXRCOV917xvycTdLdct0w/edit?usp=share_link"",""พะเยา!l211"")+IMPORTRANGE(""https://docs.google.com/spreadsheets/d/1Y"&amp;"9LPKx95PyL5OKy09d-KbKJSuuEZCFdkhYjwC0XQjBA/edit?usp=share_link"",""พิจิตร!l211"")+IMPORTRANGE(""https://docs.google.com/spreadsheets/d/16OMuOwy2eVqZcYWOouQtTpa8X1L23h4660uVHc0C8os/edit?usp=share_link"",""พิษณุโลก!l211"")+IMPORTRANGE(""https://docs.google."&amp;"com/spreadsheets/d/1GfgTldLG6k77HXaMQzaafODklYuucJZQNs_GAPEfZyY/edit?usp=share_link"",""เพชรบูรณ์!l211"")+IMPORTRANGE(""https://docs.google.com/spreadsheets/d/1gvTMYAnm7v1yG1BKWFtr0DnaTsq59oW9dwWvFgq6hs0/edit?usp=share_link"",""แพร่!l211"")+IMPORTRANGE("""&amp;"https://docs.google.com/spreadsheets/d/1Wbcosgy-Xa1xXUArJSOenub6EfZHUSzc_bpJFWwQUf0/edit?usp=share_link"",""แม่ฮ่องสอน!l211"")+IMPORTRANGE(""https://docs.google.com/spreadsheets/d/1p7ERhsr0qZeSn-KSOdeHS9r0heI-lHtkcn2OH7hP0jQ/edit?usp=share_link"",""ลำปาง!"&amp;"l211"")+IMPORTRANGE(""https://docs.google.com/spreadsheets/d/1-uUXvimVhiU2U0bMN-xi2te0tS4X7DI2GLPnMjzl8cA/edit?usp=share_link"",""ลำพูน!l211"")+IMPORTRANGE(""https://docs.google.com/spreadsheets/d/17HrOaa5pBUI1onckFfumXB8xlg35qb2uBAFfF1D-Myo/edit?usp=shar"&amp;"e_link"",""สุโขทัย!l211"")+IMPORTRANGE(""https://docs.google.com/spreadsheets/d/1ubs5cl16eYL9gHbdHTJtmtYb9MGzHBs7CAphn8kNCgM/edit?usp=share_link"",""อุตรดิตถ์!l211"")+IMPORTRANGE(""https://docs.google.com/spreadsheets/d/1kII0BjS6CtVrBvI8IrytgPdxDrlyQDyigz"&amp;"MsohRtDMs/edit?usp=share_link"",""อุทัยธานี!l211"")
"),20000)</f>
        <v>20000</v>
      </c>
      <c r="M211" s="38"/>
      <c r="N211" s="282">
        <f ca="1">IFERROR(__xludf.DUMMYFUNCTION("IMPORTRANGE(""https://docs.google.com/spreadsheets/d/1KxicF4apzSqm0-jIpmueT4kyZtE-Cwn5zskl7GD4loQ/edit?usp=share_link"",""กำแพงเพชร!n211"")+IMPORTRANGE(""https://docs.google.com/spreadsheets/d/1ZNYWeiFoFA1K1U4xKWqRX29MBvEyRHXORjo734Gnq_c/edit?usp=share_li"&amp;"nk"",""เชียงราย!n211"")
+IMPORTRANGE(""https://docs.google.com/spreadsheets/d/1Jgv0Y7YlHDtsiDawwp-uvifEJ8HVaSn0k2aGHG8-hwM/edit?usp=share_link"",""เชียงใหม่!n211"")+IMPORTRANGE(""https://docs.google.com/spreadsheets/d/1JWG2rZePOz9pe-f-ObA-yDr0VoOX2kSb0qIi"&amp;"x2mTUo8/edit?usp=share_link"",""ตาก!n211"")+IMPORTRANGE(""https://docs.google.com/spreadsheets/d/10nSRjK08hx8Y6HgSOQKNw81lyY46Zc7U_Cj72hBMp9U/edit?usp=share_link"",""นครสวรรค์!n211"")+IMPORTRANGE(""https://docs.google.com/spreadsheets/d/1gFVb7qd7amutrIxAA"&amp;"oM7lcy35hllxznovot8lyOfvDo/edit?usp=share_link"",""น่าน!n211"")+IMPORTRANGE(""https://docs.google.com/spreadsheets/d/1K0Aa9s-6EuHE5M0FG1F9aHLXRCOV917xvycTdLdct0w/edit?usp=share_link"",""พะเยา!n211"")+IMPORTRANGE(""https://docs.google.com/spreadsheets/d/1Y"&amp;"9LPKx95PyL5OKy09d-KbKJSuuEZCFdkhYjwC0XQjBA/edit?usp=share_link"",""พิจิตร!n211"")+IMPORTRANGE(""https://docs.google.com/spreadsheets/d/16OMuOwy2eVqZcYWOouQtTpa8X1L23h4660uVHc0C8os/edit?usp=share_link"",""พิษณุโลก!n211"")+IMPORTRANGE(""https://docs.google."&amp;"com/spreadsheets/d/1GfgTldLG6k77HXaMQzaafODklYuucJZQNs_GAPEfZyY/edit?usp=share_link"",""เพชรบูรณ์!n211"")+IMPORTRANGE(""https://docs.google.com/spreadsheets/d/1gvTMYAnm7v1yG1BKWFtr0DnaTsq59oW9dwWvFgq6hs0/edit?usp=share_link"",""แพร่!n211"")+IMPORTRANGE("""&amp;"https://docs.google.com/spreadsheets/d/1Wbcosgy-Xa1xXUArJSOenub6EfZHUSzc_bpJFWwQUf0/edit?usp=share_link"",""แม่ฮ่องสอน!n211"")+IMPORTRANGE(""https://docs.google.com/spreadsheets/d/1p7ERhsr0qZeSn-KSOdeHS9r0heI-lHtkcn2OH7hP0jQ/edit?usp=share_link"",""ลำปาง!"&amp;"n211"")+IMPORTRANGE(""https://docs.google.com/spreadsheets/d/1-uUXvimVhiU2U0bMN-xi2te0tS4X7DI2GLPnMjzl8cA/edit?usp=share_link"",""ลำพูน!n211"")+IMPORTRANGE(""https://docs.google.com/spreadsheets/d/17HrOaa5pBUI1onckFfumXB8xlg35qb2uBAFfF1D-Myo/edit?usp=shar"&amp;"e_link"",""สุโขทัย!n211"")+IMPORTRANGE(""https://docs.google.com/spreadsheets/d/1ubs5cl16eYL9gHbdHTJtmtYb9MGzHBs7CAphn8kNCgM/edit?usp=share_link"",""อุตรดิตถ์!n211"")+IMPORTRANGE(""https://docs.google.com/spreadsheets/d/1kII0BjS6CtVrBvI8IrytgPdxDrlyQDyigz"&amp;"MsohRtDMs/edit?usp=share_link"",""อุทัยธานี!n211"")
"),0)</f>
        <v>0</v>
      </c>
      <c r="O211" s="38"/>
      <c r="P211" s="38"/>
      <c r="Q211" s="285"/>
      <c r="R211" s="285"/>
      <c r="S211" s="285"/>
      <c r="T211" s="285"/>
      <c r="U211" s="285"/>
      <c r="V211" s="285"/>
      <c r="W211" s="285"/>
      <c r="X211" s="285"/>
      <c r="Y211" s="285"/>
      <c r="Z211" s="285"/>
    </row>
    <row r="212" spans="1:26" ht="19.5">
      <c r="A212" s="283"/>
      <c r="B212" s="280"/>
      <c r="C212" s="291"/>
      <c r="D212" s="215" t="s">
        <v>98</v>
      </c>
      <c r="E212" s="33"/>
      <c r="F212" s="33"/>
      <c r="G212" s="35"/>
      <c r="H212" s="161" t="s">
        <v>12</v>
      </c>
      <c r="I212" s="37"/>
      <c r="J212" s="37"/>
      <c r="K212" s="38"/>
      <c r="L212" s="38">
        <f ca="1">IFERROR(__xludf.DUMMYFUNCTION("IMPORTRANGE(""https://docs.google.com/spreadsheets/d/1KxicF4apzSqm0-jIpmueT4kyZtE-Cwn5zskl7GD4loQ/edit?usp=share_link"",""กำแพงเพชร!l212"")+IMPORTRANGE(""https://docs.google.com/spreadsheets/d/1ZNYWeiFoFA1K1U4xKWqRX29MBvEyRHXORjo734Gnq_c/edit?usp=share_li"&amp;"nk"",""เชียงราย!l212"")
+IMPORTRANGE(""https://docs.google.com/spreadsheets/d/1Jgv0Y7YlHDtsiDawwp-uvifEJ8HVaSn0k2aGHG8-hwM/edit?usp=share_link"",""เชียงใหม่!l212"")+IMPORTRANGE(""https://docs.google.com/spreadsheets/d/1JWG2rZePOz9pe-f-ObA-yDr0VoOX2kSb0qIi"&amp;"x2mTUo8/edit?usp=share_link"",""ตาก!l212"")+IMPORTRANGE(""https://docs.google.com/spreadsheets/d/10nSRjK08hx8Y6HgSOQKNw81lyY46Zc7U_Cj72hBMp9U/edit?usp=share_link"",""นครสวรรค์!l212"")+IMPORTRANGE(""https://docs.google.com/spreadsheets/d/1gFVb7qd7amutrIxAA"&amp;"oM7lcy35hllxznovot8lyOfvDo/edit?usp=share_link"",""น่าน!l212"")+IMPORTRANGE(""https://docs.google.com/spreadsheets/d/1K0Aa9s-6EuHE5M0FG1F9aHLXRCOV917xvycTdLdct0w/edit?usp=share_link"",""พะเยา!l212"")+IMPORTRANGE(""https://docs.google.com/spreadsheets/d/1Y"&amp;"9LPKx95PyL5OKy09d-KbKJSuuEZCFdkhYjwC0XQjBA/edit?usp=share_link"",""พิจิตร!l212"")+IMPORTRANGE(""https://docs.google.com/spreadsheets/d/16OMuOwy2eVqZcYWOouQtTpa8X1L23h4660uVHc0C8os/edit?usp=share_link"",""พิษณุโลก!l212"")+IMPORTRANGE(""https://docs.google."&amp;"com/spreadsheets/d/1GfgTldLG6k77HXaMQzaafODklYuucJZQNs_GAPEfZyY/edit?usp=share_link"",""เพชรบูรณ์!l212"")+IMPORTRANGE(""https://docs.google.com/spreadsheets/d/1gvTMYAnm7v1yG1BKWFtr0DnaTsq59oW9dwWvFgq6hs0/edit?usp=share_link"",""แพร่!l212"")+IMPORTRANGE("""&amp;"https://docs.google.com/spreadsheets/d/1Wbcosgy-Xa1xXUArJSOenub6EfZHUSzc_bpJFWwQUf0/edit?usp=share_link"",""แม่ฮ่องสอน!l212"")+IMPORTRANGE(""https://docs.google.com/spreadsheets/d/1p7ERhsr0qZeSn-KSOdeHS9r0heI-lHtkcn2OH7hP0jQ/edit?usp=share_link"",""ลำปาง!"&amp;"l212"")+IMPORTRANGE(""https://docs.google.com/spreadsheets/d/1-uUXvimVhiU2U0bMN-xi2te0tS4X7DI2GLPnMjzl8cA/edit?usp=share_link"",""ลำพูน!l212"")+IMPORTRANGE(""https://docs.google.com/spreadsheets/d/17HrOaa5pBUI1onckFfumXB8xlg35qb2uBAFfF1D-Myo/edit?usp=shar"&amp;"e_link"",""สุโขทัย!l212"")+IMPORTRANGE(""https://docs.google.com/spreadsheets/d/1ubs5cl16eYL9gHbdHTJtmtYb9MGzHBs7CAphn8kNCgM/edit?usp=share_link"",""อุตรดิตถ์!l212"")+IMPORTRANGE(""https://docs.google.com/spreadsheets/d/1kII0BjS6CtVrBvI8IrytgPdxDrlyQDyigz"&amp;"MsohRtDMs/edit?usp=share_link"",""อุทัยธานี!l212"")
"),32000)</f>
        <v>32000</v>
      </c>
      <c r="M212" s="38"/>
      <c r="N212" s="282">
        <f ca="1">IFERROR(__xludf.DUMMYFUNCTION("IMPORTRANGE(""https://docs.google.com/spreadsheets/d/1KxicF4apzSqm0-jIpmueT4kyZtE-Cwn5zskl7GD4loQ/edit?usp=share_link"",""กำแพงเพชร!n212"")+IMPORTRANGE(""https://docs.google.com/spreadsheets/d/1ZNYWeiFoFA1K1U4xKWqRX29MBvEyRHXORjo734Gnq_c/edit?usp=share_li"&amp;"nk"",""เชียงราย!n212"")
+IMPORTRANGE(""https://docs.google.com/spreadsheets/d/1Jgv0Y7YlHDtsiDawwp-uvifEJ8HVaSn0k2aGHG8-hwM/edit?usp=share_link"",""เชียงใหม่!n212"")+IMPORTRANGE(""https://docs.google.com/spreadsheets/d/1JWG2rZePOz9pe-f-ObA-yDr0VoOX2kSb0qIi"&amp;"x2mTUo8/edit?usp=share_link"",""ตาก!n212"")+IMPORTRANGE(""https://docs.google.com/spreadsheets/d/10nSRjK08hx8Y6HgSOQKNw81lyY46Zc7U_Cj72hBMp9U/edit?usp=share_link"",""นครสวรรค์!n212"")+IMPORTRANGE(""https://docs.google.com/spreadsheets/d/1gFVb7qd7amutrIxAA"&amp;"oM7lcy35hllxznovot8lyOfvDo/edit?usp=share_link"",""น่าน!n212"")+IMPORTRANGE(""https://docs.google.com/spreadsheets/d/1K0Aa9s-6EuHE5M0FG1F9aHLXRCOV917xvycTdLdct0w/edit?usp=share_link"",""พะเยา!n212"")+IMPORTRANGE(""https://docs.google.com/spreadsheets/d/1Y"&amp;"9LPKx95PyL5OKy09d-KbKJSuuEZCFdkhYjwC0XQjBA/edit?usp=share_link"",""พิจิตร!n212"")+IMPORTRANGE(""https://docs.google.com/spreadsheets/d/16OMuOwy2eVqZcYWOouQtTpa8X1L23h4660uVHc0C8os/edit?usp=share_link"",""พิษณุโลก!n212"")+IMPORTRANGE(""https://docs.google."&amp;"com/spreadsheets/d/1GfgTldLG6k77HXaMQzaafODklYuucJZQNs_GAPEfZyY/edit?usp=share_link"",""เพชรบูรณ์!n212"")+IMPORTRANGE(""https://docs.google.com/spreadsheets/d/1gvTMYAnm7v1yG1BKWFtr0DnaTsq59oW9dwWvFgq6hs0/edit?usp=share_link"",""แพร่!n212"")+IMPORTRANGE("""&amp;"https://docs.google.com/spreadsheets/d/1Wbcosgy-Xa1xXUArJSOenub6EfZHUSzc_bpJFWwQUf0/edit?usp=share_link"",""แม่ฮ่องสอน!n212"")+IMPORTRANGE(""https://docs.google.com/spreadsheets/d/1p7ERhsr0qZeSn-KSOdeHS9r0heI-lHtkcn2OH7hP0jQ/edit?usp=share_link"",""ลำปาง!"&amp;"n212"")+IMPORTRANGE(""https://docs.google.com/spreadsheets/d/1-uUXvimVhiU2U0bMN-xi2te0tS4X7DI2GLPnMjzl8cA/edit?usp=share_link"",""ลำพูน!n212"")+IMPORTRANGE(""https://docs.google.com/spreadsheets/d/17HrOaa5pBUI1onckFfumXB8xlg35qb2uBAFfF1D-Myo/edit?usp=shar"&amp;"e_link"",""สุโขทัย!n212"")+IMPORTRANGE(""https://docs.google.com/spreadsheets/d/1ubs5cl16eYL9gHbdHTJtmtYb9MGzHBs7CAphn8kNCgM/edit?usp=share_link"",""อุตรดิตถ์!n212"")+IMPORTRANGE(""https://docs.google.com/spreadsheets/d/1kII0BjS6CtVrBvI8IrytgPdxDrlyQDyigz"&amp;"MsohRtDMs/edit?usp=share_link"",""อุทัยธานี!n212"")
"),0)</f>
        <v>0</v>
      </c>
      <c r="O212" s="38"/>
      <c r="P212" s="38"/>
      <c r="Q212" s="285"/>
      <c r="R212" s="285"/>
      <c r="S212" s="285"/>
      <c r="T212" s="285"/>
      <c r="U212" s="285"/>
      <c r="V212" s="285"/>
      <c r="W212" s="285"/>
      <c r="X212" s="285"/>
      <c r="Y212" s="285"/>
      <c r="Z212" s="285"/>
    </row>
    <row r="213" spans="1:26" ht="19.5">
      <c r="A213" s="170"/>
      <c r="B213" s="171"/>
      <c r="C213" s="291" t="s">
        <v>16</v>
      </c>
      <c r="D213" s="172" t="s">
        <v>38</v>
      </c>
      <c r="E213" s="173"/>
      <c r="F213" s="173"/>
      <c r="G213" s="174"/>
      <c r="H213" s="175"/>
      <c r="I213" s="162"/>
      <c r="J213" s="37"/>
      <c r="K213" s="38"/>
      <c r="L213" s="38"/>
      <c r="M213" s="38"/>
      <c r="N213" s="38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>
      <c r="A214" s="170"/>
      <c r="B214" s="171"/>
      <c r="C214" s="171"/>
      <c r="D214" s="176" t="s">
        <v>106</v>
      </c>
      <c r="E214" s="178"/>
      <c r="F214" s="178"/>
      <c r="G214" s="179"/>
      <c r="H214" s="175" t="s">
        <v>96</v>
      </c>
      <c r="I214" s="37">
        <f ca="1">IFERROR(__xludf.DUMMYFUNCTION("IMPORTRANGE(""https://docs.google.com/spreadsheets/d/1KxicF4apzSqm0-jIpmueT4kyZtE-Cwn5zskl7GD4loQ/edit?usp=share_link"",""กำแพงเพชร!I214"")+IMPORTRANGE(""https://docs.google.com/spreadsheets/d/1ZNYWeiFoFA1K1U4xKWqRX29MBvEyRHXORjo734Gnq_c/edit?usp=share_li"&amp;"nk"",""เชียงราย!I214"")
+IMPORTRANGE(""https://docs.google.com/spreadsheets/d/1Jgv0Y7YlHDtsiDawwp-uvifEJ8HVaSn0k2aGHG8-hwM/edit?usp=share_link"",""เชียงใหม่!I214"")+IMPORTRANGE(""https://docs.google.com/spreadsheets/d/1JWG2rZePOz9pe-f-ObA-yDr0VoOX2kSb0qIi"&amp;"x2mTUo8/edit?usp=share_link"",""ตาก!I214"")+IMPORTRANGE(""https://docs.google.com/spreadsheets/d/10nSRjK08hx8Y6HgSOQKNw81lyY46Zc7U_Cj72hBMp9U/edit?usp=share_link"",""นครสวรรค์!I214"")+IMPORTRANGE(""https://docs.google.com/spreadsheets/d/1gFVb7qd7amutrIxAA"&amp;"oM7lcy35hllxznovot8lyOfvDo/edit?usp=share_link"",""น่าน!I214"")+IMPORTRANGE(""https://docs.google.com/spreadsheets/d/1K0Aa9s-6EuHE5M0FG1F9aHLXRCOV917xvycTdLdct0w/edit?usp=share_link"",""พะเยา!I214"")+IMPORTRANGE(""https://docs.google.com/spreadsheets/d/1Y"&amp;"9LPKx95PyL5OKy09d-KbKJSuuEZCFdkhYjwC0XQjBA/edit?usp=share_link"",""พิจิตร!I214"")+IMPORTRANGE(""https://docs.google.com/spreadsheets/d/16OMuOwy2eVqZcYWOouQtTpa8X1L23h4660uVHc0C8os/edit?usp=share_link"",""พิษณุโลก!I214"")+IMPORTRANGE(""https://docs.google."&amp;"com/spreadsheets/d/1GfgTldLG6k77HXaMQzaafODklYuucJZQNs_GAPEfZyY/edit?usp=share_link"",""เพชรบูรณ์!I214"")+IMPORTRANGE(""https://docs.google.com/spreadsheets/d/1gvTMYAnm7v1yG1BKWFtr0DnaTsq59oW9dwWvFgq6hs0/edit?usp=share_link"",""แพร่!I214"")+IMPORTRANGE("""&amp;"https://docs.google.com/spreadsheets/d/1Wbcosgy-Xa1xXUArJSOenub6EfZHUSzc_bpJFWwQUf0/edit?usp=share_link"",""แม่ฮ่องสอน!I214"")+IMPORTRANGE(""https://docs.google.com/spreadsheets/d/1p7ERhsr0qZeSn-KSOdeHS9r0heI-lHtkcn2OH7hP0jQ/edit?usp=share_link"",""ลำปาง!"&amp;"I214"")+IMPORTRANGE(""https://docs.google.com/spreadsheets/d/1-uUXvimVhiU2U0bMN-xi2te0tS4X7DI2GLPnMjzl8cA/edit?usp=share_link"",""ลำพูน!I214"")+IMPORTRANGE(""https://docs.google.com/spreadsheets/d/17HrOaa5pBUI1onckFfumXB8xlg35qb2uBAFfF1D-Myo/edit?usp=shar"&amp;"e_link"",""สุโขทัย!I214"")+IMPORTRANGE(""https://docs.google.com/spreadsheets/d/1ubs5cl16eYL9gHbdHTJtmtYb9MGzHBs7CAphn8kNCgM/edit?usp=share_link"",""อุตรดิตถ์!I214"")+IMPORTRANGE(""https://docs.google.com/spreadsheets/d/1kII0BjS6CtVrBvI8IrytgPdxDrlyQDyigz"&amp;"MsohRtDMs/edit?usp=share_link"",""อุทัยธานี!I214"")
"),4)</f>
        <v>4</v>
      </c>
      <c r="J214" s="183">
        <f ca="1">IFERROR(__xludf.DUMMYFUNCTION("IMPORTRANGE(""https://docs.google.com/spreadsheets/d/1KxicF4apzSqm0-jIpmueT4kyZtE-Cwn5zskl7GD4loQ/edit?usp=share_link"",""กำแพงเพชร!J214"")+IMPORTRANGE(""https://docs.google.com/spreadsheets/d/1ZNYWeiFoFA1K1U4xKWqRX29MBvEyRHXORjo734Gnq_c/edit?usp=share_li"&amp;"nk"",""เชียงราย!J214"")
+IMPORTRANGE(""https://docs.google.com/spreadsheets/d/1Jgv0Y7YlHDtsiDawwp-uvifEJ8HVaSn0k2aGHG8-hwM/edit?usp=share_link"",""เชียงใหม่!J214"")+IMPORTRANGE(""https://docs.google.com/spreadsheets/d/1JWG2rZePOz9pe-f-ObA-yDr0VoOX2kSb0qIi"&amp;"x2mTUo8/edit?usp=share_link"",""ตาก!J214"")+IMPORTRANGE(""https://docs.google.com/spreadsheets/d/10nSRjK08hx8Y6HgSOQKNw81lyY46Zc7U_Cj72hBMp9U/edit?usp=share_link"",""นครสวรรค์!J214"")+IMPORTRANGE(""https://docs.google.com/spreadsheets/d/1gFVb7qd7amutrIxAA"&amp;"oM7lcy35hllxznovot8lyOfvDo/edit?usp=share_link"",""น่าน!J214"")+IMPORTRANGE(""https://docs.google.com/spreadsheets/d/1K0Aa9s-6EuHE5M0FG1F9aHLXRCOV917xvycTdLdct0w/edit?usp=share_link"",""พะเยา!J214"")+IMPORTRANGE(""https://docs.google.com/spreadsheets/d/1Y"&amp;"9LPKx95PyL5OKy09d-KbKJSuuEZCFdkhYjwC0XQjBA/edit?usp=share_link"",""พิจิตร!J214"")+IMPORTRANGE(""https://docs.google.com/spreadsheets/d/16OMuOwy2eVqZcYWOouQtTpa8X1L23h4660uVHc0C8os/edit?usp=share_link"",""พิษณุโลก!J214"")+IMPORTRANGE(""https://docs.google."&amp;"com/spreadsheets/d/1GfgTldLG6k77HXaMQzaafODklYuucJZQNs_GAPEfZyY/edit?usp=share_link"",""เพชรบูรณ์!J214"")+IMPORTRANGE(""https://docs.google.com/spreadsheets/d/1gvTMYAnm7v1yG1BKWFtr0DnaTsq59oW9dwWvFgq6hs0/edit?usp=share_link"",""แพร่!J214"")+IMPORTRANGE("""&amp;"https://docs.google.com/spreadsheets/d/1Wbcosgy-Xa1xXUArJSOenub6EfZHUSzc_bpJFWwQUf0/edit?usp=share_link"",""แม่ฮ่องสอน!J214"")+IMPORTRANGE(""https://docs.google.com/spreadsheets/d/1p7ERhsr0qZeSn-KSOdeHS9r0heI-lHtkcn2OH7hP0jQ/edit?usp=share_link"",""ลำปาง!"&amp;"J214"")+IMPORTRANGE(""https://docs.google.com/spreadsheets/d/1-uUXvimVhiU2U0bMN-xi2te0tS4X7DI2GLPnMjzl8cA/edit?usp=share_link"",""ลำพูน!J214"")+IMPORTRANGE(""https://docs.google.com/spreadsheets/d/17HrOaa5pBUI1onckFfumXB8xlg35qb2uBAFfF1D-Myo/edit?usp=shar"&amp;"e_link"",""สุโขทัย!J214"")+IMPORTRANGE(""https://docs.google.com/spreadsheets/d/1ubs5cl16eYL9gHbdHTJtmtYb9MGzHBs7CAphn8kNCgM/edit?usp=share_link"",""อุตรดิตถ์!J214"")+IMPORTRANGE(""https://docs.google.com/spreadsheets/d/1kII0BjS6CtVrBvI8IrytgPdxDrlyQDyigz"&amp;"MsohRtDMs/edit?usp=share_link"",""อุทัยธานี!J214"")
"),0)</f>
        <v>0</v>
      </c>
      <c r="K214" s="38">
        <f t="shared" ref="K214:K216" ca="1" si="124">IF(I214&gt;0,J214*100/I214,0)</f>
        <v>0</v>
      </c>
      <c r="L214" s="38"/>
      <c r="M214" s="38"/>
      <c r="N214" s="38"/>
      <c r="O214" s="38"/>
      <c r="P214" s="38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>
      <c r="A215" s="170"/>
      <c r="B215" s="171"/>
      <c r="C215" s="171"/>
      <c r="D215" s="176" t="s">
        <v>107</v>
      </c>
      <c r="E215" s="178"/>
      <c r="F215" s="178"/>
      <c r="G215" s="179"/>
      <c r="H215" s="175" t="s">
        <v>96</v>
      </c>
      <c r="I215" s="37">
        <f ca="1">IFERROR(__xludf.DUMMYFUNCTION("IMPORTRANGE(""https://docs.google.com/spreadsheets/d/1KxicF4apzSqm0-jIpmueT4kyZtE-Cwn5zskl7GD4loQ/edit?usp=share_link"",""กำแพงเพชร!I215"")+IMPORTRANGE(""https://docs.google.com/spreadsheets/d/1ZNYWeiFoFA1K1U4xKWqRX29MBvEyRHXORjo734Gnq_c/edit?usp=share_li"&amp;"nk"",""เชียงราย!I215"")
+IMPORTRANGE(""https://docs.google.com/spreadsheets/d/1Jgv0Y7YlHDtsiDawwp-uvifEJ8HVaSn0k2aGHG8-hwM/edit?usp=share_link"",""เชียงใหม่!I215"")+IMPORTRANGE(""https://docs.google.com/spreadsheets/d/1JWG2rZePOz9pe-f-ObA-yDr0VoOX2kSb0qIi"&amp;"x2mTUo8/edit?usp=share_link"",""ตาก!I215"")+IMPORTRANGE(""https://docs.google.com/spreadsheets/d/10nSRjK08hx8Y6HgSOQKNw81lyY46Zc7U_Cj72hBMp9U/edit?usp=share_link"",""นครสวรรค์!I215"")+IMPORTRANGE(""https://docs.google.com/spreadsheets/d/1gFVb7qd7amutrIxAA"&amp;"oM7lcy35hllxznovot8lyOfvDo/edit?usp=share_link"",""น่าน!I215"")+IMPORTRANGE(""https://docs.google.com/spreadsheets/d/1K0Aa9s-6EuHE5M0FG1F9aHLXRCOV917xvycTdLdct0w/edit?usp=share_link"",""พะเยา!I215"")+IMPORTRANGE(""https://docs.google.com/spreadsheets/d/1Y"&amp;"9LPKx95PyL5OKy09d-KbKJSuuEZCFdkhYjwC0XQjBA/edit?usp=share_link"",""พิจิตร!I215"")+IMPORTRANGE(""https://docs.google.com/spreadsheets/d/16OMuOwy2eVqZcYWOouQtTpa8X1L23h4660uVHc0C8os/edit?usp=share_link"",""พิษณุโลก!I215"")+IMPORTRANGE(""https://docs.google."&amp;"com/spreadsheets/d/1GfgTldLG6k77HXaMQzaafODklYuucJZQNs_GAPEfZyY/edit?usp=share_link"",""เพชรบูรณ์!I215"")+IMPORTRANGE(""https://docs.google.com/spreadsheets/d/1gvTMYAnm7v1yG1BKWFtr0DnaTsq59oW9dwWvFgq6hs0/edit?usp=share_link"",""แพร่!I215"")+IMPORTRANGE("""&amp;"https://docs.google.com/spreadsheets/d/1Wbcosgy-Xa1xXUArJSOenub6EfZHUSzc_bpJFWwQUf0/edit?usp=share_link"",""แม่ฮ่องสอน!I215"")+IMPORTRANGE(""https://docs.google.com/spreadsheets/d/1p7ERhsr0qZeSn-KSOdeHS9r0heI-lHtkcn2OH7hP0jQ/edit?usp=share_link"",""ลำปาง!"&amp;"I215"")+IMPORTRANGE(""https://docs.google.com/spreadsheets/d/1-uUXvimVhiU2U0bMN-xi2te0tS4X7DI2GLPnMjzl8cA/edit?usp=share_link"",""ลำพูน!I215"")+IMPORTRANGE(""https://docs.google.com/spreadsheets/d/17HrOaa5pBUI1onckFfumXB8xlg35qb2uBAFfF1D-Myo/edit?usp=shar"&amp;"e_link"",""สุโขทัย!I215"")+IMPORTRANGE(""https://docs.google.com/spreadsheets/d/1ubs5cl16eYL9gHbdHTJtmtYb9MGzHBs7CAphn8kNCgM/edit?usp=share_link"",""อุตรดิตถ์!I215"")+IMPORTRANGE(""https://docs.google.com/spreadsheets/d/1kII0BjS6CtVrBvI8IrytgPdxDrlyQDyigz"&amp;"MsohRtDMs/edit?usp=share_link"",""อุทัยธานี!I215"")
"),4)</f>
        <v>4</v>
      </c>
      <c r="J215" s="183">
        <f ca="1">IFERROR(__xludf.DUMMYFUNCTION("IMPORTRANGE(""https://docs.google.com/spreadsheets/d/1KxicF4apzSqm0-jIpmueT4kyZtE-Cwn5zskl7GD4loQ/edit?usp=share_link"",""กำแพงเพชร!J215"")+IMPORTRANGE(""https://docs.google.com/spreadsheets/d/1ZNYWeiFoFA1K1U4xKWqRX29MBvEyRHXORjo734Gnq_c/edit?usp=share_li"&amp;"nk"",""เชียงราย!J215"")
+IMPORTRANGE(""https://docs.google.com/spreadsheets/d/1Jgv0Y7YlHDtsiDawwp-uvifEJ8HVaSn0k2aGHG8-hwM/edit?usp=share_link"",""เชียงใหม่!J215"")+IMPORTRANGE(""https://docs.google.com/spreadsheets/d/1JWG2rZePOz9pe-f-ObA-yDr0VoOX2kSb0qIi"&amp;"x2mTUo8/edit?usp=share_link"",""ตาก!J215"")+IMPORTRANGE(""https://docs.google.com/spreadsheets/d/10nSRjK08hx8Y6HgSOQKNw81lyY46Zc7U_Cj72hBMp9U/edit?usp=share_link"",""นครสวรรค์!J215"")+IMPORTRANGE(""https://docs.google.com/spreadsheets/d/1gFVb7qd7amutrIxAA"&amp;"oM7lcy35hllxznovot8lyOfvDo/edit?usp=share_link"",""น่าน!J215"")+IMPORTRANGE(""https://docs.google.com/spreadsheets/d/1K0Aa9s-6EuHE5M0FG1F9aHLXRCOV917xvycTdLdct0w/edit?usp=share_link"",""พะเยา!J215"")+IMPORTRANGE(""https://docs.google.com/spreadsheets/d/1Y"&amp;"9LPKx95PyL5OKy09d-KbKJSuuEZCFdkhYjwC0XQjBA/edit?usp=share_link"",""พิจิตร!J215"")+IMPORTRANGE(""https://docs.google.com/spreadsheets/d/16OMuOwy2eVqZcYWOouQtTpa8X1L23h4660uVHc0C8os/edit?usp=share_link"",""พิษณุโลก!J215"")+IMPORTRANGE(""https://docs.google."&amp;"com/spreadsheets/d/1GfgTldLG6k77HXaMQzaafODklYuucJZQNs_GAPEfZyY/edit?usp=share_link"",""เพชรบูรณ์!J215"")+IMPORTRANGE(""https://docs.google.com/spreadsheets/d/1gvTMYAnm7v1yG1BKWFtr0DnaTsq59oW9dwWvFgq6hs0/edit?usp=share_link"",""แพร่!J215"")+IMPORTRANGE("""&amp;"https://docs.google.com/spreadsheets/d/1Wbcosgy-Xa1xXUArJSOenub6EfZHUSzc_bpJFWwQUf0/edit?usp=share_link"",""แม่ฮ่องสอน!J215"")+IMPORTRANGE(""https://docs.google.com/spreadsheets/d/1p7ERhsr0qZeSn-KSOdeHS9r0heI-lHtkcn2OH7hP0jQ/edit?usp=share_link"",""ลำปาง!"&amp;"J215"")+IMPORTRANGE(""https://docs.google.com/spreadsheets/d/1-uUXvimVhiU2U0bMN-xi2te0tS4X7DI2GLPnMjzl8cA/edit?usp=share_link"",""ลำพูน!J215"")+IMPORTRANGE(""https://docs.google.com/spreadsheets/d/17HrOaa5pBUI1onckFfumXB8xlg35qb2uBAFfF1D-Myo/edit?usp=shar"&amp;"e_link"",""สุโขทัย!J215"")+IMPORTRANGE(""https://docs.google.com/spreadsheets/d/1ubs5cl16eYL9gHbdHTJtmtYb9MGzHBs7CAphn8kNCgM/edit?usp=share_link"",""อุตรดิตถ์!J215"")+IMPORTRANGE(""https://docs.google.com/spreadsheets/d/1kII0BjS6CtVrBvI8IrytgPdxDrlyQDyigz"&amp;"MsohRtDMs/edit?usp=share_link"",""อุทัยธานี!J215"")
"),0)</f>
        <v>0</v>
      </c>
      <c r="K215" s="38">
        <f t="shared" ca="1" si="124"/>
        <v>0</v>
      </c>
      <c r="L215" s="38"/>
      <c r="M215" s="38"/>
      <c r="N215" s="38"/>
      <c r="O215" s="38"/>
      <c r="P215" s="38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5"/>
      <c r="B216" s="263"/>
      <c r="C216" s="270" t="s">
        <v>108</v>
      </c>
      <c r="D216" s="256"/>
      <c r="E216" s="256"/>
      <c r="F216" s="290"/>
      <c r="G216" s="258"/>
      <c r="H216" s="259" t="s">
        <v>109</v>
      </c>
      <c r="I216" s="271">
        <f t="shared" ref="I216:J216" ca="1" si="125">I224</f>
        <v>1001000</v>
      </c>
      <c r="J216" s="271">
        <f t="shared" ca="1" si="125"/>
        <v>0</v>
      </c>
      <c r="K216" s="272">
        <f t="shared" ca="1" si="124"/>
        <v>0</v>
      </c>
      <c r="L216" s="261"/>
      <c r="M216" s="261"/>
      <c r="N216" s="261"/>
      <c r="O216" s="261"/>
      <c r="P216" s="261"/>
    </row>
    <row r="217" spans="1:26" ht="19.5">
      <c r="A217" s="147"/>
      <c r="B217" s="148"/>
      <c r="C217" s="149" t="s">
        <v>16</v>
      </c>
      <c r="D217" s="273" t="s">
        <v>17</v>
      </c>
      <c r="E217" s="148"/>
      <c r="F217" s="148"/>
      <c r="G217" s="151"/>
      <c r="H217" s="274" t="s">
        <v>12</v>
      </c>
      <c r="I217" s="278"/>
      <c r="J217" s="278"/>
      <c r="K217" s="279"/>
      <c r="L217" s="155">
        <f ca="1">L218+L219+L220</f>
        <v>389300</v>
      </c>
      <c r="M217" s="155"/>
      <c r="N217" s="155">
        <f ca="1">N218+N219+N220</f>
        <v>0</v>
      </c>
      <c r="O217" s="155">
        <f ca="1">IF(L217&gt;0,N217*100/L217,0)</f>
        <v>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0"/>
      <c r="C218" s="33"/>
      <c r="D218" s="211" t="s">
        <v>97</v>
      </c>
      <c r="E218" s="33"/>
      <c r="F218" s="33"/>
      <c r="G218" s="35"/>
      <c r="H218" s="161" t="s">
        <v>12</v>
      </c>
      <c r="I218" s="162"/>
      <c r="J218" s="162"/>
      <c r="K218" s="163"/>
      <c r="L218" s="38">
        <f ca="1">IFERROR(__xludf.DUMMYFUNCTION("IMPORTRANGE(""https://docs.google.com/spreadsheets/d/1KxicF4apzSqm0-jIpmueT4kyZtE-Cwn5zskl7GD4loQ/edit?usp=share_link"",""กำแพงเพชร!l218"")+IMPORTRANGE(""https://docs.google.com/spreadsheets/d/1ZNYWeiFoFA1K1U4xKWqRX29MBvEyRHXORjo734Gnq_c/edit?usp=share_li"&amp;"nk"",""เชียงราย!l218"")
+IMPORTRANGE(""https://docs.google.com/spreadsheets/d/1Jgv0Y7YlHDtsiDawwp-uvifEJ8HVaSn0k2aGHG8-hwM/edit?usp=share_link"",""เชียงใหม่!l218"")+IMPORTRANGE(""https://docs.google.com/spreadsheets/d/1JWG2rZePOz9pe-f-ObA-yDr0VoOX2kSb0qIi"&amp;"x2mTUo8/edit?usp=share_link"",""ตาก!l218"")+IMPORTRANGE(""https://docs.google.com/spreadsheets/d/10nSRjK08hx8Y6HgSOQKNw81lyY46Zc7U_Cj72hBMp9U/edit?usp=share_link"",""นครสวรรค์!l218"")+IMPORTRANGE(""https://docs.google.com/spreadsheets/d/1gFVb7qd7amutrIxAA"&amp;"oM7lcy35hllxznovot8lyOfvDo/edit?usp=share_link"",""น่าน!l218"")+IMPORTRANGE(""https://docs.google.com/spreadsheets/d/1K0Aa9s-6EuHE5M0FG1F9aHLXRCOV917xvycTdLdct0w/edit?usp=share_link"",""พะเยา!l218"")+IMPORTRANGE(""https://docs.google.com/spreadsheets/d/1Y"&amp;"9LPKx95PyL5OKy09d-KbKJSuuEZCFdkhYjwC0XQjBA/edit?usp=share_link"",""พิจิตร!l218"")+IMPORTRANGE(""https://docs.google.com/spreadsheets/d/16OMuOwy2eVqZcYWOouQtTpa8X1L23h4660uVHc0C8os/edit?usp=share_link"",""พิษณุโลก!l218"")+IMPORTRANGE(""https://docs.google."&amp;"com/spreadsheets/d/1GfgTldLG6k77HXaMQzaafODklYuucJZQNs_GAPEfZyY/edit?usp=share_link"",""เพชรบูรณ์!l218"")+IMPORTRANGE(""https://docs.google.com/spreadsheets/d/1gvTMYAnm7v1yG1BKWFtr0DnaTsq59oW9dwWvFgq6hs0/edit?usp=share_link"",""แพร่!l218"")+IMPORTRANGE("""&amp;"https://docs.google.com/spreadsheets/d/1Wbcosgy-Xa1xXUArJSOenub6EfZHUSzc_bpJFWwQUf0/edit?usp=share_link"",""แม่ฮ่องสอน!l218"")+IMPORTRANGE(""https://docs.google.com/spreadsheets/d/1p7ERhsr0qZeSn-KSOdeHS9r0heI-lHtkcn2OH7hP0jQ/edit?usp=share_link"",""ลำปาง!"&amp;"l218"")+IMPORTRANGE(""https://docs.google.com/spreadsheets/d/1-uUXvimVhiU2U0bMN-xi2te0tS4X7DI2GLPnMjzl8cA/edit?usp=share_link"",""ลำพูน!l218"")+IMPORTRANGE(""https://docs.google.com/spreadsheets/d/17HrOaa5pBUI1onckFfumXB8xlg35qb2uBAFfF1D-Myo/edit?usp=shar"&amp;"e_link"",""สุโขทัย!l218"")+IMPORTRANGE(""https://docs.google.com/spreadsheets/d/1ubs5cl16eYL9gHbdHTJtmtYb9MGzHBs7CAphn8kNCgM/edit?usp=share_link"",""อุตรดิตถ์!l218"")+IMPORTRANGE(""https://docs.google.com/spreadsheets/d/1kII0BjS6CtVrBvI8IrytgPdxDrlyQDyigz"&amp;"MsohRtDMs/edit?usp=share_link"",""อุทัยธานี!l218"")
"),87000)</f>
        <v>87000</v>
      </c>
      <c r="M218" s="38"/>
      <c r="N218" s="282">
        <f ca="1">IFERROR(__xludf.DUMMYFUNCTION("IMPORTRANGE(""https://docs.google.com/spreadsheets/d/1KxicF4apzSqm0-jIpmueT4kyZtE-Cwn5zskl7GD4loQ/edit?usp=share_link"",""กำแพงเพชร!n218"")+IMPORTRANGE(""https://docs.google.com/spreadsheets/d/1ZNYWeiFoFA1K1U4xKWqRX29MBvEyRHXORjo734Gnq_c/edit?usp=share_li"&amp;"nk"",""เชียงราย!n218"")
+IMPORTRANGE(""https://docs.google.com/spreadsheets/d/1Jgv0Y7YlHDtsiDawwp-uvifEJ8HVaSn0k2aGHG8-hwM/edit?usp=share_link"",""เชียงใหม่!n218"")+IMPORTRANGE(""https://docs.google.com/spreadsheets/d/1JWG2rZePOz9pe-f-ObA-yDr0VoOX2kSb0qIi"&amp;"x2mTUo8/edit?usp=share_link"",""ตาก!n218"")+IMPORTRANGE(""https://docs.google.com/spreadsheets/d/10nSRjK08hx8Y6HgSOQKNw81lyY46Zc7U_Cj72hBMp9U/edit?usp=share_link"",""นครสวรรค์!n218"")+IMPORTRANGE(""https://docs.google.com/spreadsheets/d/1gFVb7qd7amutrIxAA"&amp;"oM7lcy35hllxznovot8lyOfvDo/edit?usp=share_link"",""น่าน!n218"")+IMPORTRANGE(""https://docs.google.com/spreadsheets/d/1K0Aa9s-6EuHE5M0FG1F9aHLXRCOV917xvycTdLdct0w/edit?usp=share_link"",""พะเยา!n218"")+IMPORTRANGE(""https://docs.google.com/spreadsheets/d/1Y"&amp;"9LPKx95PyL5OKy09d-KbKJSuuEZCFdkhYjwC0XQjBA/edit?usp=share_link"",""พิจิตร!n218"")+IMPORTRANGE(""https://docs.google.com/spreadsheets/d/16OMuOwy2eVqZcYWOouQtTpa8X1L23h4660uVHc0C8os/edit?usp=share_link"",""พิษณุโลก!n218"")+IMPORTRANGE(""https://docs.google."&amp;"com/spreadsheets/d/1GfgTldLG6k77HXaMQzaafODklYuucJZQNs_GAPEfZyY/edit?usp=share_link"",""เพชรบูรณ์!n218"")+IMPORTRANGE(""https://docs.google.com/spreadsheets/d/1gvTMYAnm7v1yG1BKWFtr0DnaTsq59oW9dwWvFgq6hs0/edit?usp=share_link"",""แพร่!n218"")+IMPORTRANGE("""&amp;"https://docs.google.com/spreadsheets/d/1Wbcosgy-Xa1xXUArJSOenub6EfZHUSzc_bpJFWwQUf0/edit?usp=share_link"",""แม่ฮ่องสอน!n218"")+IMPORTRANGE(""https://docs.google.com/spreadsheets/d/1p7ERhsr0qZeSn-KSOdeHS9r0heI-lHtkcn2OH7hP0jQ/edit?usp=share_link"",""ลำปาง!"&amp;"n218"")+IMPORTRANGE(""https://docs.google.com/spreadsheets/d/1-uUXvimVhiU2U0bMN-xi2te0tS4X7DI2GLPnMjzl8cA/edit?usp=share_link"",""ลำพูน!n218"")+IMPORTRANGE(""https://docs.google.com/spreadsheets/d/17HrOaa5pBUI1onckFfumXB8xlg35qb2uBAFfF1D-Myo/edit?usp=shar"&amp;"e_link"",""สุโขทัย!n218"")+IMPORTRANGE(""https://docs.google.com/spreadsheets/d/1ubs5cl16eYL9gHbdHTJtmtYb9MGzHBs7CAphn8kNCgM/edit?usp=share_link"",""อุตรดิตถ์!n218"")+IMPORTRANGE(""https://docs.google.com/spreadsheets/d/1kII0BjS6CtVrBvI8IrytgPdxDrlyQDyigz"&amp;"MsohRtDMs/edit?usp=share_link"",""อุทัยธานี!n218"")
"),0)</f>
        <v>0</v>
      </c>
      <c r="O218" s="38"/>
      <c r="P218" s="38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3"/>
      <c r="B219" s="280"/>
      <c r="C219" s="291"/>
      <c r="D219" s="215" t="s">
        <v>110</v>
      </c>
      <c r="E219" s="33"/>
      <c r="F219" s="33"/>
      <c r="G219" s="35"/>
      <c r="H219" s="161" t="s">
        <v>12</v>
      </c>
      <c r="I219" s="37"/>
      <c r="J219" s="37"/>
      <c r="K219" s="38"/>
      <c r="L219" s="38">
        <f ca="1">IFERROR(__xludf.DUMMYFUNCTION("IMPORTRANGE(""https://docs.google.com/spreadsheets/d/1KxicF4apzSqm0-jIpmueT4kyZtE-Cwn5zskl7GD4loQ/edit?usp=share_link"",""กำแพงเพชร!l219"")+IMPORTRANGE(""https://docs.google.com/spreadsheets/d/1ZNYWeiFoFA1K1U4xKWqRX29MBvEyRHXORjo734Gnq_c/edit?usp=share_li"&amp;"nk"",""เชียงราย!l219"")
+IMPORTRANGE(""https://docs.google.com/spreadsheets/d/1Jgv0Y7YlHDtsiDawwp-uvifEJ8HVaSn0k2aGHG8-hwM/edit?usp=share_link"",""เชียงใหม่!l219"")+IMPORTRANGE(""https://docs.google.com/spreadsheets/d/1JWG2rZePOz9pe-f-ObA-yDr0VoOX2kSb0qIi"&amp;"x2mTUo8/edit?usp=share_link"",""ตาก!l219"")+IMPORTRANGE(""https://docs.google.com/spreadsheets/d/10nSRjK08hx8Y6HgSOQKNw81lyY46Zc7U_Cj72hBMp9U/edit?usp=share_link"",""นครสวรรค์!l219"")+IMPORTRANGE(""https://docs.google.com/spreadsheets/d/1gFVb7qd7amutrIxAA"&amp;"oM7lcy35hllxznovot8lyOfvDo/edit?usp=share_link"",""น่าน!l219"")+IMPORTRANGE(""https://docs.google.com/spreadsheets/d/1K0Aa9s-6EuHE5M0FG1F9aHLXRCOV917xvycTdLdct0w/edit?usp=share_link"",""พะเยา!l219"")+IMPORTRANGE(""https://docs.google.com/spreadsheets/d/1Y"&amp;"9LPKx95PyL5OKy09d-KbKJSuuEZCFdkhYjwC0XQjBA/edit?usp=share_link"",""พิจิตร!l219"")+IMPORTRANGE(""https://docs.google.com/spreadsheets/d/16OMuOwy2eVqZcYWOouQtTpa8X1L23h4660uVHc0C8os/edit?usp=share_link"",""พิษณุโลก!l219"")+IMPORTRANGE(""https://docs.google."&amp;"com/spreadsheets/d/1GfgTldLG6k77HXaMQzaafODklYuucJZQNs_GAPEfZyY/edit?usp=share_link"",""เพชรบูรณ์!l219"")+IMPORTRANGE(""https://docs.google.com/spreadsheets/d/1gvTMYAnm7v1yG1BKWFtr0DnaTsq59oW9dwWvFgq6hs0/edit?usp=share_link"",""แพร่!l219"")+IMPORTRANGE("""&amp;"https://docs.google.com/spreadsheets/d/1Wbcosgy-Xa1xXUArJSOenub6EfZHUSzc_bpJFWwQUf0/edit?usp=share_link"",""แม่ฮ่องสอน!l219"")+IMPORTRANGE(""https://docs.google.com/spreadsheets/d/1p7ERhsr0qZeSn-KSOdeHS9r0heI-lHtkcn2OH7hP0jQ/edit?usp=share_link"",""ลำปาง!"&amp;"l219"")+IMPORTRANGE(""https://docs.google.com/spreadsheets/d/1-uUXvimVhiU2U0bMN-xi2te0tS4X7DI2GLPnMjzl8cA/edit?usp=share_link"",""ลำพูน!l219"")+IMPORTRANGE(""https://docs.google.com/spreadsheets/d/17HrOaa5pBUI1onckFfumXB8xlg35qb2uBAFfF1D-Myo/edit?usp=shar"&amp;"e_link"",""สุโขทัย!l219"")+IMPORTRANGE(""https://docs.google.com/spreadsheets/d/1ubs5cl16eYL9gHbdHTJtmtYb9MGzHBs7CAphn8kNCgM/edit?usp=share_link"",""อุตรดิตถ์!l219"")+IMPORTRANGE(""https://docs.google.com/spreadsheets/d/1kII0BjS6CtVrBvI8IrytgPdxDrlyQDyigz"&amp;"MsohRtDMs/edit?usp=share_link"",""อุทัยธานี!l219"")
"),262300)</f>
        <v>262300</v>
      </c>
      <c r="M219" s="38"/>
      <c r="N219" s="282">
        <f ca="1">IFERROR(__xludf.DUMMYFUNCTION("IMPORTRANGE(""https://docs.google.com/spreadsheets/d/1KxicF4apzSqm0-jIpmueT4kyZtE-Cwn5zskl7GD4loQ/edit?usp=share_link"",""กำแพงเพชร!n219"")+IMPORTRANGE(""https://docs.google.com/spreadsheets/d/1ZNYWeiFoFA1K1U4xKWqRX29MBvEyRHXORjo734Gnq_c/edit?usp=share_li"&amp;"nk"",""เชียงราย!n219"")
+IMPORTRANGE(""https://docs.google.com/spreadsheets/d/1Jgv0Y7YlHDtsiDawwp-uvifEJ8HVaSn0k2aGHG8-hwM/edit?usp=share_link"",""เชียงใหม่!n219"")+IMPORTRANGE(""https://docs.google.com/spreadsheets/d/1JWG2rZePOz9pe-f-ObA-yDr0VoOX2kSb0qIi"&amp;"x2mTUo8/edit?usp=share_link"",""ตาก!n219"")+IMPORTRANGE(""https://docs.google.com/spreadsheets/d/10nSRjK08hx8Y6HgSOQKNw81lyY46Zc7U_Cj72hBMp9U/edit?usp=share_link"",""นครสวรรค์!n219"")+IMPORTRANGE(""https://docs.google.com/spreadsheets/d/1gFVb7qd7amutrIxAA"&amp;"oM7lcy35hllxznovot8lyOfvDo/edit?usp=share_link"",""น่าน!n219"")+IMPORTRANGE(""https://docs.google.com/spreadsheets/d/1K0Aa9s-6EuHE5M0FG1F9aHLXRCOV917xvycTdLdct0w/edit?usp=share_link"",""พะเยา!n219"")+IMPORTRANGE(""https://docs.google.com/spreadsheets/d/1Y"&amp;"9LPKx95PyL5OKy09d-KbKJSuuEZCFdkhYjwC0XQjBA/edit?usp=share_link"",""พิจิตร!n219"")+IMPORTRANGE(""https://docs.google.com/spreadsheets/d/16OMuOwy2eVqZcYWOouQtTpa8X1L23h4660uVHc0C8os/edit?usp=share_link"",""พิษณุโลก!n219"")+IMPORTRANGE(""https://docs.google."&amp;"com/spreadsheets/d/1GfgTldLG6k77HXaMQzaafODklYuucJZQNs_GAPEfZyY/edit?usp=share_link"",""เพชรบูรณ์!n219"")+IMPORTRANGE(""https://docs.google.com/spreadsheets/d/1gvTMYAnm7v1yG1BKWFtr0DnaTsq59oW9dwWvFgq6hs0/edit?usp=share_link"",""แพร่!n219"")+IMPORTRANGE("""&amp;"https://docs.google.com/spreadsheets/d/1Wbcosgy-Xa1xXUArJSOenub6EfZHUSzc_bpJFWwQUf0/edit?usp=share_link"",""แม่ฮ่องสอน!n219"")+IMPORTRANGE(""https://docs.google.com/spreadsheets/d/1p7ERhsr0qZeSn-KSOdeHS9r0heI-lHtkcn2OH7hP0jQ/edit?usp=share_link"",""ลำปาง!"&amp;"n219"")+IMPORTRANGE(""https://docs.google.com/spreadsheets/d/1-uUXvimVhiU2U0bMN-xi2te0tS4X7DI2GLPnMjzl8cA/edit?usp=share_link"",""ลำพูน!n219"")+IMPORTRANGE(""https://docs.google.com/spreadsheets/d/17HrOaa5pBUI1onckFfumXB8xlg35qb2uBAFfF1D-Myo/edit?usp=shar"&amp;"e_link"",""สุโขทัย!n219"")+IMPORTRANGE(""https://docs.google.com/spreadsheets/d/1ubs5cl16eYL9gHbdHTJtmtYb9MGzHBs7CAphn8kNCgM/edit?usp=share_link"",""อุตรดิตถ์!n219"")+IMPORTRANGE(""https://docs.google.com/spreadsheets/d/1kII0BjS6CtVrBvI8IrytgPdxDrlyQDyigz"&amp;"MsohRtDMs/edit?usp=share_link"",""อุทัยธานี!n219"")
"),0)</f>
        <v>0</v>
      </c>
      <c r="O219" s="38"/>
      <c r="P219" s="38"/>
      <c r="Q219" s="285"/>
      <c r="R219" s="285"/>
      <c r="S219" s="285"/>
      <c r="T219" s="285"/>
      <c r="U219" s="285"/>
      <c r="V219" s="285"/>
      <c r="W219" s="285"/>
      <c r="X219" s="285"/>
      <c r="Y219" s="285"/>
      <c r="Z219" s="285"/>
    </row>
    <row r="220" spans="1:26" ht="19.5">
      <c r="A220" s="283"/>
      <c r="B220" s="280"/>
      <c r="C220" s="291"/>
      <c r="D220" s="215" t="s">
        <v>98</v>
      </c>
      <c r="E220" s="33"/>
      <c r="F220" s="33"/>
      <c r="G220" s="35"/>
      <c r="H220" s="161" t="s">
        <v>12</v>
      </c>
      <c r="I220" s="37"/>
      <c r="J220" s="37"/>
      <c r="K220" s="38"/>
      <c r="L220" s="38">
        <f ca="1">IFERROR(__xludf.DUMMYFUNCTION("IMPORTRANGE(""https://docs.google.com/spreadsheets/d/1KxicF4apzSqm0-jIpmueT4kyZtE-Cwn5zskl7GD4loQ/edit?usp=share_link"",""กำแพงเพชร!l220"")+IMPORTRANGE(""https://docs.google.com/spreadsheets/d/1ZNYWeiFoFA1K1U4xKWqRX29MBvEyRHXORjo734Gnq_c/edit?usp=share_li"&amp;"nk"",""เชียงราย!l220"")
+IMPORTRANGE(""https://docs.google.com/spreadsheets/d/1Jgv0Y7YlHDtsiDawwp-uvifEJ8HVaSn0k2aGHG8-hwM/edit?usp=share_link"",""เชียงใหม่!l220"")+IMPORTRANGE(""https://docs.google.com/spreadsheets/d/1JWG2rZePOz9pe-f-ObA-yDr0VoOX2kSb0qIi"&amp;"x2mTUo8/edit?usp=share_link"",""ตาก!l220"")+IMPORTRANGE(""https://docs.google.com/spreadsheets/d/10nSRjK08hx8Y6HgSOQKNw81lyY46Zc7U_Cj72hBMp9U/edit?usp=share_link"",""นครสวรรค์!l220"")+IMPORTRANGE(""https://docs.google.com/spreadsheets/d/1gFVb7qd7amutrIxAA"&amp;"oM7lcy35hllxznovot8lyOfvDo/edit?usp=share_link"",""น่าน!l220"")+IMPORTRANGE(""https://docs.google.com/spreadsheets/d/1K0Aa9s-6EuHE5M0FG1F9aHLXRCOV917xvycTdLdct0w/edit?usp=share_link"",""พะเยา!l220"")+IMPORTRANGE(""https://docs.google.com/spreadsheets/d/1Y"&amp;"9LPKx95PyL5OKy09d-KbKJSuuEZCFdkhYjwC0XQjBA/edit?usp=share_link"",""พิจิตร!l220"")+IMPORTRANGE(""https://docs.google.com/spreadsheets/d/16OMuOwy2eVqZcYWOouQtTpa8X1L23h4660uVHc0C8os/edit?usp=share_link"",""พิษณุโลก!l220"")+IMPORTRANGE(""https://docs.google."&amp;"com/spreadsheets/d/1GfgTldLG6k77HXaMQzaafODklYuucJZQNs_GAPEfZyY/edit?usp=share_link"",""เพชรบูรณ์!l220"")+IMPORTRANGE(""https://docs.google.com/spreadsheets/d/1gvTMYAnm7v1yG1BKWFtr0DnaTsq59oW9dwWvFgq6hs0/edit?usp=share_link"",""แพร่!l220"")+IMPORTRANGE("""&amp;"https://docs.google.com/spreadsheets/d/1Wbcosgy-Xa1xXUArJSOenub6EfZHUSzc_bpJFWwQUf0/edit?usp=share_link"",""แม่ฮ่องสอน!l220"")+IMPORTRANGE(""https://docs.google.com/spreadsheets/d/1p7ERhsr0qZeSn-KSOdeHS9r0heI-lHtkcn2OH7hP0jQ/edit?usp=share_link"",""ลำปาง!"&amp;"l220"")+IMPORTRANGE(""https://docs.google.com/spreadsheets/d/1-uUXvimVhiU2U0bMN-xi2te0tS4X7DI2GLPnMjzl8cA/edit?usp=share_link"",""ลำพูน!l220"")+IMPORTRANGE(""https://docs.google.com/spreadsheets/d/17HrOaa5pBUI1onckFfumXB8xlg35qb2uBAFfF1D-Myo/edit?usp=shar"&amp;"e_link"",""สุโขทัย!l220"")+IMPORTRANGE(""https://docs.google.com/spreadsheets/d/1ubs5cl16eYL9gHbdHTJtmtYb9MGzHBs7CAphn8kNCgM/edit?usp=share_link"",""อุตรดิตถ์!l220"")+IMPORTRANGE(""https://docs.google.com/spreadsheets/d/1kII0BjS6CtVrBvI8IrytgPdxDrlyQDyigz"&amp;"MsohRtDMs/edit?usp=share_link"",""อุทัยธานี!l220"")
"),40000)</f>
        <v>40000</v>
      </c>
      <c r="M220" s="38"/>
      <c r="N220" s="282">
        <f ca="1">IFERROR(__xludf.DUMMYFUNCTION("IMPORTRANGE(""https://docs.google.com/spreadsheets/d/1KxicF4apzSqm0-jIpmueT4kyZtE-Cwn5zskl7GD4loQ/edit?usp=share_link"",""กำแพงเพชร!n220"")+IMPORTRANGE(""https://docs.google.com/spreadsheets/d/1ZNYWeiFoFA1K1U4xKWqRX29MBvEyRHXORjo734Gnq_c/edit?usp=share_li"&amp;"nk"",""เชียงราย!n220"")
+IMPORTRANGE(""https://docs.google.com/spreadsheets/d/1Jgv0Y7YlHDtsiDawwp-uvifEJ8HVaSn0k2aGHG8-hwM/edit?usp=share_link"",""เชียงใหม่!n220"")+IMPORTRANGE(""https://docs.google.com/spreadsheets/d/1JWG2rZePOz9pe-f-ObA-yDr0VoOX2kSb0qIi"&amp;"x2mTUo8/edit?usp=share_link"",""ตาก!n220"")+IMPORTRANGE(""https://docs.google.com/spreadsheets/d/10nSRjK08hx8Y6HgSOQKNw81lyY46Zc7U_Cj72hBMp9U/edit?usp=share_link"",""นครสวรรค์!n220"")+IMPORTRANGE(""https://docs.google.com/spreadsheets/d/1gFVb7qd7amutrIxAA"&amp;"oM7lcy35hllxznovot8lyOfvDo/edit?usp=share_link"",""น่าน!n220"")+IMPORTRANGE(""https://docs.google.com/spreadsheets/d/1K0Aa9s-6EuHE5M0FG1F9aHLXRCOV917xvycTdLdct0w/edit?usp=share_link"",""พะเยา!n220"")+IMPORTRANGE(""https://docs.google.com/spreadsheets/d/1Y"&amp;"9LPKx95PyL5OKy09d-KbKJSuuEZCFdkhYjwC0XQjBA/edit?usp=share_link"",""พิจิตร!n220"")+IMPORTRANGE(""https://docs.google.com/spreadsheets/d/16OMuOwy2eVqZcYWOouQtTpa8X1L23h4660uVHc0C8os/edit?usp=share_link"",""พิษณุโลก!n220"")+IMPORTRANGE(""https://docs.google."&amp;"com/spreadsheets/d/1GfgTldLG6k77HXaMQzaafODklYuucJZQNs_GAPEfZyY/edit?usp=share_link"",""เพชรบูรณ์!n220"")+IMPORTRANGE(""https://docs.google.com/spreadsheets/d/1gvTMYAnm7v1yG1BKWFtr0DnaTsq59oW9dwWvFgq6hs0/edit?usp=share_link"",""แพร่!n220"")+IMPORTRANGE("""&amp;"https://docs.google.com/spreadsheets/d/1Wbcosgy-Xa1xXUArJSOenub6EfZHUSzc_bpJFWwQUf0/edit?usp=share_link"",""แม่ฮ่องสอน!n220"")+IMPORTRANGE(""https://docs.google.com/spreadsheets/d/1p7ERhsr0qZeSn-KSOdeHS9r0heI-lHtkcn2OH7hP0jQ/edit?usp=share_link"",""ลำปาง!"&amp;"n220"")+IMPORTRANGE(""https://docs.google.com/spreadsheets/d/1-uUXvimVhiU2U0bMN-xi2te0tS4X7DI2GLPnMjzl8cA/edit?usp=share_link"",""ลำพูน!n220"")+IMPORTRANGE(""https://docs.google.com/spreadsheets/d/17HrOaa5pBUI1onckFfumXB8xlg35qb2uBAFfF1D-Myo/edit?usp=shar"&amp;"e_link"",""สุโขทัย!n220"")+IMPORTRANGE(""https://docs.google.com/spreadsheets/d/1ubs5cl16eYL9gHbdHTJtmtYb9MGzHBs7CAphn8kNCgM/edit?usp=share_link"",""อุตรดิตถ์!n220"")+IMPORTRANGE(""https://docs.google.com/spreadsheets/d/1kII0BjS6CtVrBvI8IrytgPdxDrlyQDyigz"&amp;"MsohRtDMs/edit?usp=share_link"",""อุทัยธานี!n220"")
"),0)</f>
        <v>0</v>
      </c>
      <c r="O220" s="38"/>
      <c r="P220" s="38"/>
      <c r="Q220" s="285"/>
      <c r="R220" s="285"/>
      <c r="S220" s="285"/>
      <c r="T220" s="285"/>
      <c r="U220" s="285"/>
      <c r="V220" s="285"/>
      <c r="W220" s="285"/>
      <c r="X220" s="285"/>
      <c r="Y220" s="285"/>
      <c r="Z220" s="285"/>
    </row>
    <row r="221" spans="1:26" ht="19.5">
      <c r="A221" s="170"/>
      <c r="B221" s="171"/>
      <c r="C221" s="291" t="s">
        <v>16</v>
      </c>
      <c r="D221" s="172" t="s">
        <v>38</v>
      </c>
      <c r="E221" s="173"/>
      <c r="F221" s="173"/>
      <c r="G221" s="174"/>
      <c r="H221" s="175"/>
      <c r="I221" s="162"/>
      <c r="J221" s="162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11" t="s">
        <v>111</v>
      </c>
      <c r="E222" s="178"/>
      <c r="F222" s="178"/>
      <c r="G222" s="179"/>
      <c r="H222" s="175"/>
      <c r="I222" s="37"/>
      <c r="J222" s="37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182" t="s">
        <v>109</v>
      </c>
      <c r="I223" s="37">
        <f ca="1">IFERROR(__xludf.DUMMYFUNCTION("IMPORTRANGE(""https://docs.google.com/spreadsheets/d/1KxicF4apzSqm0-jIpmueT4kyZtE-Cwn5zskl7GD4loQ/edit?usp=share_link"",""กำแพงเพชร!I223"")+IMPORTRANGE(""https://docs.google.com/spreadsheets/d/1ZNYWeiFoFA1K1U4xKWqRX29MBvEyRHXORjo734Gnq_c/edit?usp=share_li"&amp;"nk"",""เชียงราย!I223"")
+IMPORTRANGE(""https://docs.google.com/spreadsheets/d/1Jgv0Y7YlHDtsiDawwp-uvifEJ8HVaSn0k2aGHG8-hwM/edit?usp=share_link"",""เชียงใหม่!I223"")+IMPORTRANGE(""https://docs.google.com/spreadsheets/d/1JWG2rZePOz9pe-f-ObA-yDr0VoOX2kSb0qIi"&amp;"x2mTUo8/edit?usp=share_link"",""ตาก!I223"")+IMPORTRANGE(""https://docs.google.com/spreadsheets/d/10nSRjK08hx8Y6HgSOQKNw81lyY46Zc7U_Cj72hBMp9U/edit?usp=share_link"",""นครสวรรค์!I223"")+IMPORTRANGE(""https://docs.google.com/spreadsheets/d/1gFVb7qd7amutrIxAA"&amp;"oM7lcy35hllxznovot8lyOfvDo/edit?usp=share_link"",""น่าน!I223"")+IMPORTRANGE(""https://docs.google.com/spreadsheets/d/1K0Aa9s-6EuHE5M0FG1F9aHLXRCOV917xvycTdLdct0w/edit?usp=share_link"",""พะเยา!I223"")+IMPORTRANGE(""https://docs.google.com/spreadsheets/d/1Y"&amp;"9LPKx95PyL5OKy09d-KbKJSuuEZCFdkhYjwC0XQjBA/edit?usp=share_link"",""พิจิตร!I223"")+IMPORTRANGE(""https://docs.google.com/spreadsheets/d/16OMuOwy2eVqZcYWOouQtTpa8X1L23h4660uVHc0C8os/edit?usp=share_link"",""พิษณุโลก!I223"")+IMPORTRANGE(""https://docs.google."&amp;"com/spreadsheets/d/1GfgTldLG6k77HXaMQzaafODklYuucJZQNs_GAPEfZyY/edit?usp=share_link"",""เพชรบูรณ์!I223"")+IMPORTRANGE(""https://docs.google.com/spreadsheets/d/1gvTMYAnm7v1yG1BKWFtr0DnaTsq59oW9dwWvFgq6hs0/edit?usp=share_link"",""แพร่!I223"")+IMPORTRANGE("""&amp;"https://docs.google.com/spreadsheets/d/1Wbcosgy-Xa1xXUArJSOenub6EfZHUSzc_bpJFWwQUf0/edit?usp=share_link"",""แม่ฮ่องสอน!I223"")+IMPORTRANGE(""https://docs.google.com/spreadsheets/d/1p7ERhsr0qZeSn-KSOdeHS9r0heI-lHtkcn2OH7hP0jQ/edit?usp=share_link"",""ลำปาง!"&amp;"I223"")+IMPORTRANGE(""https://docs.google.com/spreadsheets/d/1-uUXvimVhiU2U0bMN-xi2te0tS4X7DI2GLPnMjzl8cA/edit?usp=share_link"",""ลำพูน!I223"")+IMPORTRANGE(""https://docs.google.com/spreadsheets/d/17HrOaa5pBUI1onckFfumXB8xlg35qb2uBAFfF1D-Myo/edit?usp=shar"&amp;"e_link"",""สุโขทัย!I223"")+IMPORTRANGE(""https://docs.google.com/spreadsheets/d/1ubs5cl16eYL9gHbdHTJtmtYb9MGzHBs7CAphn8kNCgM/edit?usp=share_link"",""อุตรดิตถ์!I223"")+IMPORTRANGE(""https://docs.google.com/spreadsheets/d/1kII0BjS6CtVrBvI8IrytgPdxDrlyQDyigz"&amp;"MsohRtDMs/edit?usp=share_link"",""อุทัยธานี!I223"")
"),1001000)</f>
        <v>1001000</v>
      </c>
      <c r="J223" s="183">
        <f ca="1">IFERROR(__xludf.DUMMYFUNCTION("IMPORTRANGE(""https://docs.google.com/spreadsheets/d/1KxicF4apzSqm0-jIpmueT4kyZtE-Cwn5zskl7GD4loQ/edit?usp=share_link"",""กำแพงเพชร!J223"")+IMPORTRANGE(""https://docs.google.com/spreadsheets/d/1ZNYWeiFoFA1K1U4xKWqRX29MBvEyRHXORjo734Gnq_c/edit?usp=share_li"&amp;"nk"",""เชียงราย!J223"")
+IMPORTRANGE(""https://docs.google.com/spreadsheets/d/1Jgv0Y7YlHDtsiDawwp-uvifEJ8HVaSn0k2aGHG8-hwM/edit?usp=share_link"",""เชียงใหม่!J223"")+IMPORTRANGE(""https://docs.google.com/spreadsheets/d/1JWG2rZePOz9pe-f-ObA-yDr0VoOX2kSb0qIi"&amp;"x2mTUo8/edit?usp=share_link"",""ตาก!J223"")+IMPORTRANGE(""https://docs.google.com/spreadsheets/d/10nSRjK08hx8Y6HgSOQKNw81lyY46Zc7U_Cj72hBMp9U/edit?usp=share_link"",""นครสวรรค์!J223"")+IMPORTRANGE(""https://docs.google.com/spreadsheets/d/1gFVb7qd7amutrIxAA"&amp;"oM7lcy35hllxznovot8lyOfvDo/edit?usp=share_link"",""น่าน!J223"")+IMPORTRANGE(""https://docs.google.com/spreadsheets/d/1K0Aa9s-6EuHE5M0FG1F9aHLXRCOV917xvycTdLdct0w/edit?usp=share_link"",""พะเยา!J223"")+IMPORTRANGE(""https://docs.google.com/spreadsheets/d/1Y"&amp;"9LPKx95PyL5OKy09d-KbKJSuuEZCFdkhYjwC0XQjBA/edit?usp=share_link"",""พิจิตร!J223"")+IMPORTRANGE(""https://docs.google.com/spreadsheets/d/16OMuOwy2eVqZcYWOouQtTpa8X1L23h4660uVHc0C8os/edit?usp=share_link"",""พิษณุโลก!J223"")+IMPORTRANGE(""https://docs.google."&amp;"com/spreadsheets/d/1GfgTldLG6k77HXaMQzaafODklYuucJZQNs_GAPEfZyY/edit?usp=share_link"",""เพชรบูรณ์!J223"")+IMPORTRANGE(""https://docs.google.com/spreadsheets/d/1gvTMYAnm7v1yG1BKWFtr0DnaTsq59oW9dwWvFgq6hs0/edit?usp=share_link"",""แพร่!J223"")+IMPORTRANGE("""&amp;"https://docs.google.com/spreadsheets/d/1Wbcosgy-Xa1xXUArJSOenub6EfZHUSzc_bpJFWwQUf0/edit?usp=share_link"",""แม่ฮ่องสอน!J223"")+IMPORTRANGE(""https://docs.google.com/spreadsheets/d/1p7ERhsr0qZeSn-KSOdeHS9r0heI-lHtkcn2OH7hP0jQ/edit?usp=share_link"",""ลำปาง!"&amp;"J223"")+IMPORTRANGE(""https://docs.google.com/spreadsheets/d/1-uUXvimVhiU2U0bMN-xi2te0tS4X7DI2GLPnMjzl8cA/edit?usp=share_link"",""ลำพูน!J223"")+IMPORTRANGE(""https://docs.google.com/spreadsheets/d/17HrOaa5pBUI1onckFfumXB8xlg35qb2uBAFfF1D-Myo/edit?usp=shar"&amp;"e_link"",""สุโขทัย!J223"")+IMPORTRANGE(""https://docs.google.com/spreadsheets/d/1ubs5cl16eYL9gHbdHTJtmtYb9MGzHBs7CAphn8kNCgM/edit?usp=share_link"",""อุตรดิตถ์!J223"")+IMPORTRANGE(""https://docs.google.com/spreadsheets/d/1kII0BjS6CtVrBvI8IrytgPdxDrlyQDyigz"&amp;"MsohRtDMs/edit?usp=share_link"",""อุทัยธานี!J223"")
"),100000)</f>
        <v>100000</v>
      </c>
      <c r="K223" s="163">
        <f t="shared" ref="K223:K226" ca="1" si="126">IF(I223&gt;0,J223*100/I223,0)</f>
        <v>9.9900099900099892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182" t="s">
        <v>109</v>
      </c>
      <c r="I224" s="37">
        <f ca="1">IFERROR(__xludf.DUMMYFUNCTION("IMPORTRANGE(""https://docs.google.com/spreadsheets/d/1KxicF4apzSqm0-jIpmueT4kyZtE-Cwn5zskl7GD4loQ/edit?usp=share_link"",""กำแพงเพชร!I224"")+IMPORTRANGE(""https://docs.google.com/spreadsheets/d/1ZNYWeiFoFA1K1U4xKWqRX29MBvEyRHXORjo734Gnq_c/edit?usp=share_li"&amp;"nk"",""เชียงราย!I224"")
+IMPORTRANGE(""https://docs.google.com/spreadsheets/d/1Jgv0Y7YlHDtsiDawwp-uvifEJ8HVaSn0k2aGHG8-hwM/edit?usp=share_link"",""เชียงใหม่!I224"")+IMPORTRANGE(""https://docs.google.com/spreadsheets/d/1JWG2rZePOz9pe-f-ObA-yDr0VoOX2kSb0qIi"&amp;"x2mTUo8/edit?usp=share_link"",""ตาก!I224"")+IMPORTRANGE(""https://docs.google.com/spreadsheets/d/10nSRjK08hx8Y6HgSOQKNw81lyY46Zc7U_Cj72hBMp9U/edit?usp=share_link"",""นครสวรรค์!I224"")+IMPORTRANGE(""https://docs.google.com/spreadsheets/d/1gFVb7qd7amutrIxAA"&amp;"oM7lcy35hllxznovot8lyOfvDo/edit?usp=share_link"",""น่าน!I224"")+IMPORTRANGE(""https://docs.google.com/spreadsheets/d/1K0Aa9s-6EuHE5M0FG1F9aHLXRCOV917xvycTdLdct0w/edit?usp=share_link"",""พะเยา!I224"")+IMPORTRANGE(""https://docs.google.com/spreadsheets/d/1Y"&amp;"9LPKx95PyL5OKy09d-KbKJSuuEZCFdkhYjwC0XQjBA/edit?usp=share_link"",""พิจิตร!I224"")+IMPORTRANGE(""https://docs.google.com/spreadsheets/d/16OMuOwy2eVqZcYWOouQtTpa8X1L23h4660uVHc0C8os/edit?usp=share_link"",""พิษณุโลก!I224"")+IMPORTRANGE(""https://docs.google."&amp;"com/spreadsheets/d/1GfgTldLG6k77HXaMQzaafODklYuucJZQNs_GAPEfZyY/edit?usp=share_link"",""เพชรบูรณ์!I224"")+IMPORTRANGE(""https://docs.google.com/spreadsheets/d/1gvTMYAnm7v1yG1BKWFtr0DnaTsq59oW9dwWvFgq6hs0/edit?usp=share_link"",""แพร่!I224"")+IMPORTRANGE("""&amp;"https://docs.google.com/spreadsheets/d/1Wbcosgy-Xa1xXUArJSOenub6EfZHUSzc_bpJFWwQUf0/edit?usp=share_link"",""แม่ฮ่องสอน!I224"")+IMPORTRANGE(""https://docs.google.com/spreadsheets/d/1p7ERhsr0qZeSn-KSOdeHS9r0heI-lHtkcn2OH7hP0jQ/edit?usp=share_link"",""ลำปาง!"&amp;"I224"")+IMPORTRANGE(""https://docs.google.com/spreadsheets/d/1-uUXvimVhiU2U0bMN-xi2te0tS4X7DI2GLPnMjzl8cA/edit?usp=share_link"",""ลำพูน!I224"")+IMPORTRANGE(""https://docs.google.com/spreadsheets/d/17HrOaa5pBUI1onckFfumXB8xlg35qb2uBAFfF1D-Myo/edit?usp=shar"&amp;"e_link"",""สุโขทัย!I224"")+IMPORTRANGE(""https://docs.google.com/spreadsheets/d/1ubs5cl16eYL9gHbdHTJtmtYb9MGzHBs7CAphn8kNCgM/edit?usp=share_link"",""อุตรดิตถ์!I224"")+IMPORTRANGE(""https://docs.google.com/spreadsheets/d/1kII0BjS6CtVrBvI8IrytgPdxDrlyQDyigz"&amp;"MsohRtDMs/edit?usp=share_link"",""อุทัยธานี!I224"")
"),1001000)</f>
        <v>1001000</v>
      </c>
      <c r="J224" s="183">
        <f ca="1">IFERROR(__xludf.DUMMYFUNCTION("IMPORTRANGE(""https://docs.google.com/spreadsheets/d/1fb2B9NLcpJgjIieIJvenUTNPn0TimZDUi0OtYeiSQ_s/edit?usp=share_link"",""กาฬสินธุ์!J224"")+IMPORTRANGE(""https://docs.google.com/spreadsheets/d/1SaMnqrwRGmFYNR0MhpWmHuL5niYUd5E7vDq8X7whAlI/edit?usp=share_li"&amp;"nk"",""ขอนแก่น!J224"")
+IMPORTRANGE(""https://docs.google.com/spreadsheets/d/1xQzEtGHhTTgxHh6YUkKY1P4dRyjVhS74dGswLfAASA4/edit?usp=share_link"",""ชัยภูมิ!J224"")+IMPORTRANGE(""https://docs.google.com/spreadsheets/d/1EXMBoBxU3OFbjT2TRpneM33qFjqDzrKmn9ydcfl"&amp;"fI0o/edit?usp=share_link"",""นครพนม!J224"")+IMPORTRANGE(""https://docs.google.com/spreadsheets/d/1bDQrolntRWtHumK8W-x-HXKntwxB9S3sF5aDeRS66Ko/edit?usp=share_link"",""นครราชสีมา!J224"")+IMPORTRANGE(""https://docs.google.com/spreadsheets/d/1_MzZ-2gVPiCW-d2V"&amp;"cafoCmFJQTSrZ6SQyFcMqRRQQ2w/edit?usp=share_link"",""บึงกาฬ!J224"")
+IMPORTRANGE(""https://docs.google.com/spreadsheets/d/1B3lPpzOuaNwVItLwLEZYl_qEblfcx7dRnbRkAw0l-pE/edit?usp=share_link"",""บุรีรัมย์!J224"")+IMPORTRANGE(""https://docs.google.com/spreadshe"&amp;"ets/d/19GOkiOqnzYbevLYWrMk4qFOXe3rX14BkSA8X-mq-a40/edit?usp=share_link"",""มหาสารคาม!J224"")+IMPORTRANGE(""https://docs.google.com/spreadsheets/d/1uMKqWwuNQ-TCKboGA3Bb1qXb5uj2-faACNUINCz8PN4/edit?usp=share_link"",""มุกดาหาร!J224"")+IMPORTRANGE(""https://d"&amp;"ocs.google.com/spreadsheets/d/1oKaccgDdQABndOzGr688Dbfxb_V3YcF67VqEPBtdzsc/edit?usp=share_link"",""ยโสธร!J224"")+IMPORTRANGE(""https://docs.google.com/spreadsheets/d/1BRgc8xKpxZ0PX-gauieMVkV_IOxKSotf0yW8MabGprQ/edit?usp=share_link"",""ร้อยเอ็ด!J224"")+IMP"&amp;"ORTRANGE(""https://docs.google.com/spreadsheets/d/1IdolZc-dfdgMwAm_KZxYJl1sUOcIgnbGQzbWOlddedo/edit?usp=share_link"",""เลย!J224"")+IMPORTRANGE(""https://docs.google.com/spreadsheets/d/1tZ0nmtGuIRCaGAMXHlQU8EpR9LOAJvyKfc4f7EFmE34/edit?usp=share_link"",""ศร"&amp;"ีสะเกษ!J224"")+IMPORTRANGE(""https://docs.google.com/spreadsheets/d/1QC8psz9w0f9IVE9Xuc2FT_btkaOzZbbUSgYObpBuetM/edit?usp=share_link"",""สกลนคร!J224"")+IMPORTRANGE(""https://docs.google.com/spreadsheets/d/1wPdvRbu02d33MYVlbsCnyTiZpefEBs9NNktAnT1HZvw/edit?"&amp;"usp=share_link"",""สุรินทร์!J224"")+IMPORTRANGE(""https://docs.google.com/spreadsheets/d/1GVExpf-Exi_2gmuqTYH28fseTB9MoKPXWcXCbSt_YrM/edit?usp=share_link"",""หนองคาย!J224"")+IMPORTRANGE(""https://docs.google.com/spreadsheets/d/16UeMz0UgOB5BZcoxP75eYGcLFtG"&amp;"YRn9GoesD4OX9m5U/edit?usp=share_link"",""หนองบัวลำภู!J224"")+IMPORTRANGE(""https://docs.google.com/spreadsheets/d/1uUP8Zo1-qaJLuIkRU0qlwLSE3DHkbdrrj2JGJiWBQZE/edit?usp=share_link"",""อำนาจเจริญ!J224"")+IMPORTRANGE(""https://docs.google.com/spreadsheets/d/"&amp;"1hb_taSOHanzRjqfzWPiFo8yiT83VV1L7vvUCLhOiHKc/edit?usp=share_link"",""อุดรธานี!J224"")+IMPORTRANGE(""https://docs.google.com/spreadsheets/d/17IOkEwkUd63EGNfyNDnM5de9YlZ7rwzTiW6-dokVjKI/edit?usp=share_link"",""อุบลราชธานี!J224"")
"),0)</f>
        <v>0</v>
      </c>
      <c r="K224" s="163">
        <f t="shared" ca="1" si="126"/>
        <v>0</v>
      </c>
      <c r="L224" s="38"/>
      <c r="M224" s="38"/>
      <c r="N224" s="38"/>
      <c r="O224" s="38"/>
      <c r="P224" s="38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11" t="s">
        <v>114</v>
      </c>
      <c r="E225" s="178"/>
      <c r="F225" s="178"/>
      <c r="G225" s="179"/>
      <c r="H225" s="182" t="s">
        <v>35</v>
      </c>
      <c r="I225" s="37">
        <f ca="1">IFERROR(__xludf.DUMMYFUNCTION("IMPORTRANGE(""https://docs.google.com/spreadsheets/d/1KxicF4apzSqm0-jIpmueT4kyZtE-Cwn5zskl7GD4loQ/edit?usp=share_link"",""กำแพงเพชร!I225"")+IMPORTRANGE(""https://docs.google.com/spreadsheets/d/1ZNYWeiFoFA1K1U4xKWqRX29MBvEyRHXORjo734Gnq_c/edit?usp=share_li"&amp;"nk"",""เชียงราย!I225"")
+IMPORTRANGE(""https://docs.google.com/spreadsheets/d/1Jgv0Y7YlHDtsiDawwp-uvifEJ8HVaSn0k2aGHG8-hwM/edit?usp=share_link"",""เชียงใหม่!I225"")+IMPORTRANGE(""https://docs.google.com/spreadsheets/d/1JWG2rZePOz9pe-f-ObA-yDr0VoOX2kSb0qIi"&amp;"x2mTUo8/edit?usp=share_link"",""ตาก!I225"")+IMPORTRANGE(""https://docs.google.com/spreadsheets/d/10nSRjK08hx8Y6HgSOQKNw81lyY46Zc7U_Cj72hBMp9U/edit?usp=share_link"",""นครสวรรค์!I225"")+IMPORTRANGE(""https://docs.google.com/spreadsheets/d/1gFVb7qd7amutrIxAA"&amp;"oM7lcy35hllxznovot8lyOfvDo/edit?usp=share_link"",""น่าน!I225"")+IMPORTRANGE(""https://docs.google.com/spreadsheets/d/1K0Aa9s-6EuHE5M0FG1F9aHLXRCOV917xvycTdLdct0w/edit?usp=share_link"",""พะเยา!I225"")+IMPORTRANGE(""https://docs.google.com/spreadsheets/d/1Y"&amp;"9LPKx95PyL5OKy09d-KbKJSuuEZCFdkhYjwC0XQjBA/edit?usp=share_link"",""พิจิตร!I225"")+IMPORTRANGE(""https://docs.google.com/spreadsheets/d/16OMuOwy2eVqZcYWOouQtTpa8X1L23h4660uVHc0C8os/edit?usp=share_link"",""พิษณุโลก!I225"")+IMPORTRANGE(""https://docs.google."&amp;"com/spreadsheets/d/1GfgTldLG6k77HXaMQzaafODklYuucJZQNs_GAPEfZyY/edit?usp=share_link"",""เพชรบูรณ์!I225"")+IMPORTRANGE(""https://docs.google.com/spreadsheets/d/1gvTMYAnm7v1yG1BKWFtr0DnaTsq59oW9dwWvFgq6hs0/edit?usp=share_link"",""แพร่!I225"")+IMPORTRANGE("""&amp;"https://docs.google.com/spreadsheets/d/1Wbcosgy-Xa1xXUArJSOenub6EfZHUSzc_bpJFWwQUf0/edit?usp=share_link"",""แม่ฮ่องสอน!I225"")+IMPORTRANGE(""https://docs.google.com/spreadsheets/d/1p7ERhsr0qZeSn-KSOdeHS9r0heI-lHtkcn2OH7hP0jQ/edit?usp=share_link"",""ลำปาง!"&amp;"I225"")+IMPORTRANGE(""https://docs.google.com/spreadsheets/d/1-uUXvimVhiU2U0bMN-xi2te0tS4X7DI2GLPnMjzl8cA/edit?usp=share_link"",""ลำพูน!I225"")+IMPORTRANGE(""https://docs.google.com/spreadsheets/d/17HrOaa5pBUI1onckFfumXB8xlg35qb2uBAFfF1D-Myo/edit?usp=shar"&amp;"e_link"",""สุโขทัย!I225"")+IMPORTRANGE(""https://docs.google.com/spreadsheets/d/1ubs5cl16eYL9gHbdHTJtmtYb9MGzHBs7CAphn8kNCgM/edit?usp=share_link"",""อุตรดิตถ์!I225"")+IMPORTRANGE(""https://docs.google.com/spreadsheets/d/1kII0BjS6CtVrBvI8IrytgPdxDrlyQDyigz"&amp;"MsohRtDMs/edit?usp=share_link"",""อุทัยธานี!I225"")
"),40)</f>
        <v>40</v>
      </c>
      <c r="J225" s="183">
        <f ca="1">IFERROR(__xludf.DUMMYFUNCTION("IMPORTRANGE(""https://docs.google.com/spreadsheets/d/1KxicF4apzSqm0-jIpmueT4kyZtE-Cwn5zskl7GD4loQ/edit?usp=share_link"",""กำแพงเพชร!J225"")+IMPORTRANGE(""https://docs.google.com/spreadsheets/d/1ZNYWeiFoFA1K1U4xKWqRX29MBvEyRHXORjo734Gnq_c/edit?usp=share_li"&amp;"nk"",""เชียงราย!J225"")
+IMPORTRANGE(""https://docs.google.com/spreadsheets/d/1Jgv0Y7YlHDtsiDawwp-uvifEJ8HVaSn0k2aGHG8-hwM/edit?usp=share_link"",""เชียงใหม่!J225"")+IMPORTRANGE(""https://docs.google.com/spreadsheets/d/1JWG2rZePOz9pe-f-ObA-yDr0VoOX2kSb0qIi"&amp;"x2mTUo8/edit?usp=share_link"",""ตาก!J225"")+IMPORTRANGE(""https://docs.google.com/spreadsheets/d/10nSRjK08hx8Y6HgSOQKNw81lyY46Zc7U_Cj72hBMp9U/edit?usp=share_link"",""นครสวรรค์!J225"")+IMPORTRANGE(""https://docs.google.com/spreadsheets/d/1gFVb7qd7amutrIxAA"&amp;"oM7lcy35hllxznovot8lyOfvDo/edit?usp=share_link"",""น่าน!J225"")+IMPORTRANGE(""https://docs.google.com/spreadsheets/d/1K0Aa9s-6EuHE5M0FG1F9aHLXRCOV917xvycTdLdct0w/edit?usp=share_link"",""พะเยา!J225"")+IMPORTRANGE(""https://docs.google.com/spreadsheets/d/1Y"&amp;"9LPKx95PyL5OKy09d-KbKJSuuEZCFdkhYjwC0XQjBA/edit?usp=share_link"",""พิจิตร!J225"")+IMPORTRANGE(""https://docs.google.com/spreadsheets/d/16OMuOwy2eVqZcYWOouQtTpa8X1L23h4660uVHc0C8os/edit?usp=share_link"",""พิษณุโลก!J225"")+IMPORTRANGE(""https://docs.google."&amp;"com/spreadsheets/d/1GfgTldLG6k77HXaMQzaafODklYuucJZQNs_GAPEfZyY/edit?usp=share_link"",""เพชรบูรณ์!J225"")+IMPORTRANGE(""https://docs.google.com/spreadsheets/d/1gvTMYAnm7v1yG1BKWFtr0DnaTsq59oW9dwWvFgq6hs0/edit?usp=share_link"",""แพร่!J225"")+IMPORTRANGE("""&amp;"https://docs.google.com/spreadsheets/d/1Wbcosgy-Xa1xXUArJSOenub6EfZHUSzc_bpJFWwQUf0/edit?usp=share_link"",""แม่ฮ่องสอน!J225"")+IMPORTRANGE(""https://docs.google.com/spreadsheets/d/1p7ERhsr0qZeSn-KSOdeHS9r0heI-lHtkcn2OH7hP0jQ/edit?usp=share_link"",""ลำปาง!"&amp;"J225"")+IMPORTRANGE(""https://docs.google.com/spreadsheets/d/1-uUXvimVhiU2U0bMN-xi2te0tS4X7DI2GLPnMjzl8cA/edit?usp=share_link"",""ลำพูน!J225"")+IMPORTRANGE(""https://docs.google.com/spreadsheets/d/17HrOaa5pBUI1onckFfumXB8xlg35qb2uBAFfF1D-Myo/edit?usp=shar"&amp;"e_link"",""สุโขทัย!J225"")+IMPORTRANGE(""https://docs.google.com/spreadsheets/d/1ubs5cl16eYL9gHbdHTJtmtYb9MGzHBs7CAphn8kNCgM/edit?usp=share_link"",""อุตรดิตถ์!J225"")+IMPORTRANGE(""https://docs.google.com/spreadsheets/d/1kII0BjS6CtVrBvI8IrytgPdxDrlyQDyigz"&amp;"MsohRtDMs/edit?usp=share_link"",""อุทัยธานี!J225"")
"),0)</f>
        <v>0</v>
      </c>
      <c r="K225" s="163">
        <f t="shared" ca="1" si="126"/>
        <v>0</v>
      </c>
      <c r="L225" s="38"/>
      <c r="M225" s="38"/>
      <c r="N225" s="38"/>
      <c r="O225" s="38"/>
      <c r="P225" s="38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>
      <c r="A226" s="292"/>
      <c r="B226" s="293"/>
      <c r="C226" s="294" t="s">
        <v>115</v>
      </c>
      <c r="D226" s="295"/>
      <c r="E226" s="295"/>
      <c r="F226" s="295"/>
      <c r="G226" s="296"/>
      <c r="H226" s="297" t="s">
        <v>35</v>
      </c>
      <c r="I226" s="298">
        <f t="shared" ref="I226:J226" ca="1" si="127">I237+I248</f>
        <v>320</v>
      </c>
      <c r="J226" s="298">
        <f t="shared" ca="1" si="127"/>
        <v>0</v>
      </c>
      <c r="K226" s="299">
        <f t="shared" ca="1" si="126"/>
        <v>0</v>
      </c>
      <c r="L226" s="300"/>
      <c r="M226" s="300"/>
      <c r="N226" s="300"/>
      <c r="O226" s="300"/>
      <c r="P226" s="300"/>
      <c r="Q226" s="301"/>
      <c r="R226" s="301"/>
      <c r="S226" s="301"/>
      <c r="T226" s="301"/>
      <c r="U226" s="301"/>
      <c r="V226" s="301"/>
      <c r="W226" s="301"/>
      <c r="X226" s="301"/>
      <c r="Y226" s="301"/>
      <c r="Z226" s="301"/>
    </row>
    <row r="227" spans="1:26" ht="19.5">
      <c r="A227" s="302"/>
      <c r="B227" s="303"/>
      <c r="C227" s="304" t="s">
        <v>16</v>
      </c>
      <c r="D227" s="305" t="s">
        <v>17</v>
      </c>
      <c r="E227" s="303"/>
      <c r="F227" s="303"/>
      <c r="G227" s="306"/>
      <c r="H227" s="307" t="s">
        <v>12</v>
      </c>
      <c r="I227" s="308"/>
      <c r="J227" s="308"/>
      <c r="K227" s="309"/>
      <c r="L227" s="310">
        <f t="shared" ref="L227:L231" ca="1" si="128">L238+L249</f>
        <v>1907530</v>
      </c>
      <c r="M227" s="310"/>
      <c r="N227" s="310">
        <f t="shared" ref="N227:N231" ca="1" si="129">N238+N249</f>
        <v>984111.47</v>
      </c>
      <c r="O227" s="311"/>
      <c r="P227" s="311"/>
      <c r="Q227" s="312"/>
      <c r="R227" s="312"/>
      <c r="S227" s="312"/>
      <c r="T227" s="312"/>
      <c r="U227" s="312"/>
      <c r="V227" s="312"/>
      <c r="W227" s="312"/>
      <c r="X227" s="312"/>
      <c r="Y227" s="312"/>
      <c r="Z227" s="312"/>
    </row>
    <row r="228" spans="1:26" ht="18.75">
      <c r="A228" s="313"/>
      <c r="B228" s="314"/>
      <c r="C228" s="315"/>
      <c r="D228" s="316" t="s">
        <v>97</v>
      </c>
      <c r="E228" s="315"/>
      <c r="F228" s="315"/>
      <c r="G228" s="317"/>
      <c r="H228" s="318" t="s">
        <v>12</v>
      </c>
      <c r="I228" s="319"/>
      <c r="J228" s="319"/>
      <c r="K228" s="320"/>
      <c r="L228" s="321">
        <f t="shared" ca="1" si="128"/>
        <v>1098900</v>
      </c>
      <c r="M228" s="321"/>
      <c r="N228" s="321">
        <f t="shared" ca="1" si="129"/>
        <v>0</v>
      </c>
      <c r="O228" s="321"/>
      <c r="P228" s="321"/>
      <c r="Q228" s="312"/>
      <c r="R228" s="312"/>
      <c r="S228" s="312"/>
      <c r="T228" s="312"/>
      <c r="U228" s="312"/>
      <c r="V228" s="312"/>
      <c r="W228" s="312"/>
      <c r="X228" s="312"/>
      <c r="Y228" s="312"/>
      <c r="Z228" s="312"/>
    </row>
    <row r="229" spans="1:26" ht="19.5">
      <c r="A229" s="322"/>
      <c r="B229" s="314"/>
      <c r="C229" s="323"/>
      <c r="D229" s="324" t="s">
        <v>98</v>
      </c>
      <c r="E229" s="315"/>
      <c r="F229" s="315"/>
      <c r="G229" s="317"/>
      <c r="H229" s="318" t="s">
        <v>12</v>
      </c>
      <c r="I229" s="325"/>
      <c r="J229" s="325"/>
      <c r="K229" s="321"/>
      <c r="L229" s="321">
        <f t="shared" ca="1" si="128"/>
        <v>553630</v>
      </c>
      <c r="M229" s="321"/>
      <c r="N229" s="321">
        <f t="shared" ca="1" si="129"/>
        <v>0</v>
      </c>
      <c r="O229" s="321"/>
      <c r="P229" s="321"/>
      <c r="Q229" s="326"/>
      <c r="R229" s="326"/>
      <c r="S229" s="326"/>
      <c r="T229" s="326"/>
      <c r="U229" s="326"/>
      <c r="V229" s="326"/>
      <c r="W229" s="326"/>
      <c r="X229" s="326"/>
      <c r="Y229" s="326"/>
      <c r="Z229" s="326"/>
    </row>
    <row r="230" spans="1:26" ht="19.5">
      <c r="A230" s="322"/>
      <c r="B230" s="314"/>
      <c r="C230" s="323"/>
      <c r="D230" s="324" t="s">
        <v>116</v>
      </c>
      <c r="E230" s="315"/>
      <c r="F230" s="315"/>
      <c r="G230" s="317"/>
      <c r="H230" s="318" t="s">
        <v>12</v>
      </c>
      <c r="I230" s="325"/>
      <c r="J230" s="325"/>
      <c r="K230" s="321"/>
      <c r="L230" s="321">
        <f t="shared" ca="1" si="128"/>
        <v>85000</v>
      </c>
      <c r="M230" s="321"/>
      <c r="N230" s="321">
        <f t="shared" ca="1" si="129"/>
        <v>984111.47</v>
      </c>
      <c r="O230" s="321"/>
      <c r="P230" s="321"/>
      <c r="Q230" s="326"/>
      <c r="R230" s="326"/>
      <c r="S230" s="326"/>
      <c r="T230" s="326"/>
      <c r="U230" s="326"/>
      <c r="V230" s="326"/>
      <c r="W230" s="326"/>
      <c r="X230" s="326"/>
      <c r="Y230" s="326"/>
      <c r="Z230" s="326"/>
    </row>
    <row r="231" spans="1:26" ht="19.5">
      <c r="A231" s="322"/>
      <c r="B231" s="314"/>
      <c r="C231" s="323"/>
      <c r="D231" s="324" t="s">
        <v>100</v>
      </c>
      <c r="E231" s="315"/>
      <c r="F231" s="315"/>
      <c r="G231" s="317"/>
      <c r="H231" s="318" t="s">
        <v>12</v>
      </c>
      <c r="I231" s="325"/>
      <c r="J231" s="325"/>
      <c r="K231" s="321"/>
      <c r="L231" s="321">
        <f t="shared" ca="1" si="128"/>
        <v>170000</v>
      </c>
      <c r="M231" s="321"/>
      <c r="N231" s="321">
        <f t="shared" ca="1" si="129"/>
        <v>0</v>
      </c>
      <c r="O231" s="321"/>
      <c r="P231" s="321"/>
      <c r="Q231" s="326"/>
      <c r="R231" s="326"/>
      <c r="S231" s="326"/>
      <c r="T231" s="326"/>
      <c r="U231" s="326"/>
      <c r="V231" s="326"/>
      <c r="W231" s="326"/>
      <c r="X231" s="326"/>
      <c r="Y231" s="326"/>
      <c r="Z231" s="326"/>
    </row>
    <row r="232" spans="1:26" ht="19.5">
      <c r="A232" s="327"/>
      <c r="B232" s="328"/>
      <c r="C232" s="323" t="s">
        <v>16</v>
      </c>
      <c r="D232" s="329" t="s">
        <v>38</v>
      </c>
      <c r="E232" s="330"/>
      <c r="F232" s="330"/>
      <c r="G232" s="331"/>
      <c r="H232" s="332"/>
      <c r="I232" s="319"/>
      <c r="J232" s="325"/>
      <c r="K232" s="321"/>
      <c r="L232" s="321"/>
      <c r="M232" s="321"/>
      <c r="N232" s="321"/>
      <c r="O232" s="320"/>
      <c r="P232" s="320"/>
      <c r="Q232" s="312"/>
      <c r="R232" s="312"/>
      <c r="S232" s="312"/>
      <c r="T232" s="312"/>
      <c r="U232" s="312"/>
      <c r="V232" s="312"/>
      <c r="W232" s="312"/>
      <c r="X232" s="312"/>
      <c r="Y232" s="312"/>
      <c r="Z232" s="312"/>
    </row>
    <row r="233" spans="1:26" ht="18.75">
      <c r="A233" s="327"/>
      <c r="B233" s="328"/>
      <c r="C233" s="328"/>
      <c r="D233" s="333" t="s">
        <v>117</v>
      </c>
      <c r="E233" s="334"/>
      <c r="F233" s="334"/>
      <c r="G233" s="335"/>
      <c r="H233" s="336" t="s">
        <v>35</v>
      </c>
      <c r="I233" s="325">
        <f t="shared" ref="I233:J233" ca="1" si="130">I244+I255</f>
        <v>320</v>
      </c>
      <c r="J233" s="325">
        <f t="shared" ca="1" si="130"/>
        <v>0</v>
      </c>
      <c r="K233" s="321">
        <f ca="1">IF(I233&gt;0,J233*100/I233,0)</f>
        <v>0</v>
      </c>
      <c r="L233" s="321"/>
      <c r="M233" s="321"/>
      <c r="N233" s="321"/>
      <c r="O233" s="321"/>
      <c r="P233" s="321"/>
      <c r="Q233" s="312"/>
      <c r="R233" s="312"/>
      <c r="S233" s="312"/>
      <c r="T233" s="312"/>
      <c r="U233" s="312"/>
      <c r="V233" s="312"/>
      <c r="W233" s="312"/>
      <c r="X233" s="312"/>
      <c r="Y233" s="312"/>
      <c r="Z233" s="312"/>
    </row>
    <row r="234" spans="1:26" ht="18.75">
      <c r="A234" s="327"/>
      <c r="B234" s="328"/>
      <c r="C234" s="328"/>
      <c r="D234" s="337" t="s">
        <v>43</v>
      </c>
      <c r="E234" s="334"/>
      <c r="F234" s="334"/>
      <c r="G234" s="335"/>
      <c r="H234" s="336"/>
      <c r="I234" s="325"/>
      <c r="J234" s="325"/>
      <c r="K234" s="321"/>
      <c r="L234" s="321"/>
      <c r="M234" s="321"/>
      <c r="N234" s="321"/>
      <c r="O234" s="320"/>
      <c r="P234" s="320"/>
      <c r="Q234" s="312"/>
      <c r="R234" s="312"/>
      <c r="S234" s="312"/>
      <c r="T234" s="312"/>
      <c r="U234" s="312"/>
      <c r="V234" s="312"/>
      <c r="W234" s="312"/>
      <c r="X234" s="312"/>
      <c r="Y234" s="312"/>
      <c r="Z234" s="312"/>
    </row>
    <row r="235" spans="1:26" ht="18.75">
      <c r="A235" s="327"/>
      <c r="B235" s="328"/>
      <c r="C235" s="328"/>
      <c r="D235" s="328"/>
      <c r="E235" s="338" t="s">
        <v>118</v>
      </c>
      <c r="F235" s="334"/>
      <c r="G235" s="335"/>
      <c r="H235" s="336" t="s">
        <v>35</v>
      </c>
      <c r="I235" s="325">
        <f t="shared" ref="I235:J235" ca="1" si="131">I246+I257</f>
        <v>120</v>
      </c>
      <c r="J235" s="325">
        <f t="shared" ca="1" si="131"/>
        <v>0</v>
      </c>
      <c r="K235" s="321">
        <f t="shared" ref="K235:K237" ca="1" si="132">IF(I235&gt;0,J235*100/I235,0)</f>
        <v>0</v>
      </c>
      <c r="L235" s="321"/>
      <c r="M235" s="321"/>
      <c r="N235" s="321"/>
      <c r="O235" s="321"/>
      <c r="P235" s="321"/>
      <c r="Q235" s="312"/>
      <c r="R235" s="312"/>
      <c r="S235" s="312"/>
      <c r="T235" s="312"/>
      <c r="U235" s="312"/>
      <c r="V235" s="312"/>
      <c r="W235" s="312"/>
      <c r="X235" s="312"/>
      <c r="Y235" s="312"/>
      <c r="Z235" s="312"/>
    </row>
    <row r="236" spans="1:26" ht="18.75">
      <c r="A236" s="327"/>
      <c r="B236" s="328"/>
      <c r="C236" s="328"/>
      <c r="D236" s="328"/>
      <c r="E236" s="338" t="s">
        <v>119</v>
      </c>
      <c r="F236" s="334"/>
      <c r="G236" s="335"/>
      <c r="H236" s="336" t="s">
        <v>69</v>
      </c>
      <c r="I236" s="325">
        <f t="shared" ref="I236:J236" ca="1" si="133">I247+I258</f>
        <v>9</v>
      </c>
      <c r="J236" s="325">
        <f t="shared" ca="1" si="133"/>
        <v>0</v>
      </c>
      <c r="K236" s="321">
        <f t="shared" ca="1" si="132"/>
        <v>0</v>
      </c>
      <c r="L236" s="321"/>
      <c r="M236" s="321"/>
      <c r="N236" s="321"/>
      <c r="O236" s="321"/>
      <c r="P236" s="321"/>
      <c r="Q236" s="312"/>
      <c r="R236" s="312"/>
      <c r="S236" s="312"/>
      <c r="T236" s="312"/>
      <c r="U236" s="312"/>
      <c r="V236" s="312"/>
      <c r="W236" s="312"/>
      <c r="X236" s="312"/>
      <c r="Y236" s="312"/>
      <c r="Z236" s="312"/>
    </row>
    <row r="237" spans="1:26" ht="19.5" hidden="1">
      <c r="A237" s="255"/>
      <c r="B237" s="263"/>
      <c r="C237" s="339" t="s">
        <v>120</v>
      </c>
      <c r="D237" s="256"/>
      <c r="E237" s="256"/>
      <c r="F237" s="256"/>
      <c r="G237" s="258"/>
      <c r="H237" s="259" t="s">
        <v>35</v>
      </c>
      <c r="I237" s="271">
        <f t="shared" ref="I237:J237" ca="1" si="134">I244</f>
        <v>280</v>
      </c>
      <c r="J237" s="271">
        <f t="shared" ca="1" si="134"/>
        <v>0</v>
      </c>
      <c r="K237" s="272">
        <f t="shared" ca="1" si="132"/>
        <v>0</v>
      </c>
      <c r="L237" s="261"/>
      <c r="M237" s="261"/>
      <c r="N237" s="261"/>
      <c r="O237" s="261"/>
      <c r="P237" s="261"/>
    </row>
    <row r="238" spans="1:26" ht="19.5" hidden="1">
      <c r="A238" s="147"/>
      <c r="B238" s="148"/>
      <c r="C238" s="149" t="s">
        <v>16</v>
      </c>
      <c r="D238" s="150" t="s">
        <v>17</v>
      </c>
      <c r="E238" s="148"/>
      <c r="F238" s="148"/>
      <c r="G238" s="151"/>
      <c r="H238" s="274" t="s">
        <v>12</v>
      </c>
      <c r="I238" s="278"/>
      <c r="J238" s="278"/>
      <c r="K238" s="279"/>
      <c r="L238" s="155">
        <f ca="1">L239+L240+L241+L242</f>
        <v>1629930</v>
      </c>
      <c r="M238" s="155"/>
      <c r="N238" s="155">
        <f ca="1"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3"/>
      <c r="B239" s="314"/>
      <c r="C239" s="315"/>
      <c r="D239" s="316" t="s">
        <v>97</v>
      </c>
      <c r="E239" s="315"/>
      <c r="F239" s="315"/>
      <c r="G239" s="317"/>
      <c r="H239" s="318" t="s">
        <v>12</v>
      </c>
      <c r="I239" s="319"/>
      <c r="J239" s="319"/>
      <c r="K239" s="320"/>
      <c r="L239" s="321">
        <f ca="1">IFERROR(__xludf.DUMMYFUNCTION("IMPORTRANGE(""https://docs.google.com/spreadsheets/d/1KxicF4apzSqm0-jIpmueT4kyZtE-Cwn5zskl7GD4loQ/edit?usp=share_link"",""กำแพงเพชร!l239"")+IMPORTRANGE(""https://docs.google.com/spreadsheets/d/1ZNYWeiFoFA1K1U4xKWqRX29MBvEyRHXORjo734Gnq_c/edit?usp=share_li"&amp;"nk"",""เชียงราย!l239"")
+IMPORTRANGE(""https://docs.google.com/spreadsheets/d/1Jgv0Y7YlHDtsiDawwp-uvifEJ8HVaSn0k2aGHG8-hwM/edit?usp=share_link"",""เชียงใหม่!l239"")+IMPORTRANGE(""https://docs.google.com/spreadsheets/d/1JWG2rZePOz9pe-f-ObA-yDr0VoOX2kSb0qIi"&amp;"x2mTUo8/edit?usp=share_link"",""ตาก!l239"")+IMPORTRANGE(""https://docs.google.com/spreadsheets/d/10nSRjK08hx8Y6HgSOQKNw81lyY46Zc7U_Cj72hBMp9U/edit?usp=share_link"",""นครสวรรค์!l239"")+IMPORTRANGE(""https://docs.google.com/spreadsheets/d/1gFVb7qd7amutrIxAA"&amp;"oM7lcy35hllxznovot8lyOfvDo/edit?usp=share_link"",""น่าน!l239"")+IMPORTRANGE(""https://docs.google.com/spreadsheets/d/1K0Aa9s-6EuHE5M0FG1F9aHLXRCOV917xvycTdLdct0w/edit?usp=share_link"",""พะเยา!l239"")+IMPORTRANGE(""https://docs.google.com/spreadsheets/d/1Y"&amp;"9LPKx95PyL5OKy09d-KbKJSuuEZCFdkhYjwC0XQjBA/edit?usp=share_link"",""พิจิตร!l239"")+IMPORTRANGE(""https://docs.google.com/spreadsheets/d/16OMuOwy2eVqZcYWOouQtTpa8X1L23h4660uVHc0C8os/edit?usp=share_link"",""พิษณุโลก!l239"")+IMPORTRANGE(""https://docs.google."&amp;"com/spreadsheets/d/1GfgTldLG6k77HXaMQzaafODklYuucJZQNs_GAPEfZyY/edit?usp=share_link"",""เพชรบูรณ์!l239"")+IMPORTRANGE(""https://docs.google.com/spreadsheets/d/1gvTMYAnm7v1yG1BKWFtr0DnaTsq59oW9dwWvFgq6hs0/edit?usp=share_link"",""แพร่!l239"")+IMPORTRANGE("""&amp;"https://docs.google.com/spreadsheets/d/1Wbcosgy-Xa1xXUArJSOenub6EfZHUSzc_bpJFWwQUf0/edit?usp=share_link"",""แม่ฮ่องสอน!l239"")+IMPORTRANGE(""https://docs.google.com/spreadsheets/d/1p7ERhsr0qZeSn-KSOdeHS9r0heI-lHtkcn2OH7hP0jQ/edit?usp=share_link"",""ลำปาง!"&amp;"l239"")+IMPORTRANGE(""https://docs.google.com/spreadsheets/d/1-uUXvimVhiU2U0bMN-xi2te0tS4X7DI2GLPnMjzl8cA/edit?usp=share_link"",""ลำพูน!l239"")+IMPORTRANGE(""https://docs.google.com/spreadsheets/d/17HrOaa5pBUI1onckFfumXB8xlg35qb2uBAFfF1D-Myo/edit?usp=shar"&amp;"e_link"",""สุโขทัย!l239"")+IMPORTRANGE(""https://docs.google.com/spreadsheets/d/1ubs5cl16eYL9gHbdHTJtmtYb9MGzHBs7CAphn8kNCgM/edit?usp=share_link"",""อุตรดิตถ์!l239"")+IMPORTRANGE(""https://docs.google.com/spreadsheets/d/1kII0BjS6CtVrBvI8IrytgPdxDrlyQDyigz"&amp;"MsohRtDMs/edit?usp=share_link"",""อุทัยธานี!l239"")
"),933900)</f>
        <v>933900</v>
      </c>
      <c r="M239" s="321"/>
      <c r="N239" s="340">
        <f ca="1">IFERROR(__xludf.DUMMYFUNCTION("IMPORTRANGE(""https://docs.google.com/spreadsheets/d/1KxicF4apzSqm0-jIpmueT4kyZtE-Cwn5zskl7GD4loQ/edit?usp=share_link"",""กำแพงเพชร!n239"")+IMPORTRANGE(""https://docs.google.com/spreadsheets/d/1ZNYWeiFoFA1K1U4xKWqRX29MBvEyRHXORjo734Gnq_c/edit?usp=share_li"&amp;"nk"",""เชียงราย!n239"")
+IMPORTRANGE(""https://docs.google.com/spreadsheets/d/1Jgv0Y7YlHDtsiDawwp-uvifEJ8HVaSn0k2aGHG8-hwM/edit?usp=share_link"",""เชียงใหม่!n239"")+IMPORTRANGE(""https://docs.google.com/spreadsheets/d/1JWG2rZePOz9pe-f-ObA-yDr0VoOX2kSb0qIi"&amp;"x2mTUo8/edit?usp=share_link"",""ตาก!n239"")+IMPORTRANGE(""https://docs.google.com/spreadsheets/d/10nSRjK08hx8Y6HgSOQKNw81lyY46Zc7U_Cj72hBMp9U/edit?usp=share_link"",""นครสวรรค์!n239"")+IMPORTRANGE(""https://docs.google.com/spreadsheets/d/1gFVb7qd7amutrIxAA"&amp;"oM7lcy35hllxznovot8lyOfvDo/edit?usp=share_link"",""น่าน!n239"")+IMPORTRANGE(""https://docs.google.com/spreadsheets/d/1K0Aa9s-6EuHE5M0FG1F9aHLXRCOV917xvycTdLdct0w/edit?usp=share_link"",""พะเยา!n239"")+IMPORTRANGE(""https://docs.google.com/spreadsheets/d/1Y"&amp;"9LPKx95PyL5OKy09d-KbKJSuuEZCFdkhYjwC0XQjBA/edit?usp=share_link"",""พิจิตร!n239"")+IMPORTRANGE(""https://docs.google.com/spreadsheets/d/16OMuOwy2eVqZcYWOouQtTpa8X1L23h4660uVHc0C8os/edit?usp=share_link"",""พิษณุโลก!n239"")+IMPORTRANGE(""https://docs.google."&amp;"com/spreadsheets/d/1GfgTldLG6k77HXaMQzaafODklYuucJZQNs_GAPEfZyY/edit?usp=share_link"",""เพชรบูรณ์!n239"")+IMPORTRANGE(""https://docs.google.com/spreadsheets/d/1gvTMYAnm7v1yG1BKWFtr0DnaTsq59oW9dwWvFgq6hs0/edit?usp=share_link"",""แพร่!n239"")+IMPORTRANGE("""&amp;"https://docs.google.com/spreadsheets/d/1Wbcosgy-Xa1xXUArJSOenub6EfZHUSzc_bpJFWwQUf0/edit?usp=share_link"",""แม่ฮ่องสอน!n239"")+IMPORTRANGE(""https://docs.google.com/spreadsheets/d/1p7ERhsr0qZeSn-KSOdeHS9r0heI-lHtkcn2OH7hP0jQ/edit?usp=share_link"",""ลำปาง!"&amp;"n239"")+IMPORTRANGE(""https://docs.google.com/spreadsheets/d/1-uUXvimVhiU2U0bMN-xi2te0tS4X7DI2GLPnMjzl8cA/edit?usp=share_link"",""ลำพูน!n239"")+IMPORTRANGE(""https://docs.google.com/spreadsheets/d/17HrOaa5pBUI1onckFfumXB8xlg35qb2uBAFfF1D-Myo/edit?usp=shar"&amp;"e_link"",""สุโขทัย!n239"")+IMPORTRANGE(""https://docs.google.com/spreadsheets/d/1ubs5cl16eYL9gHbdHTJtmtYb9MGzHBs7CAphn8kNCgM/edit?usp=share_link"",""อุตรดิตถ์!n239"")+IMPORTRANGE(""https://docs.google.com/spreadsheets/d/1kII0BjS6CtVrBvI8IrytgPdxDrlyQDyigz"&amp;"MsohRtDMs/edit?usp=share_link"",""อุทัยธานี!n239"")
"),0)</f>
        <v>0</v>
      </c>
      <c r="O239" s="321"/>
      <c r="P239" s="321"/>
      <c r="Q239" s="312"/>
      <c r="R239" s="312"/>
      <c r="S239" s="312"/>
      <c r="T239" s="312"/>
      <c r="U239" s="312"/>
      <c r="V239" s="312"/>
      <c r="W239" s="312"/>
      <c r="X239" s="312"/>
      <c r="Y239" s="312"/>
      <c r="Z239" s="312"/>
    </row>
    <row r="240" spans="1:26" ht="19.5" hidden="1">
      <c r="A240" s="322"/>
      <c r="B240" s="314"/>
      <c r="C240" s="323"/>
      <c r="D240" s="324" t="s">
        <v>98</v>
      </c>
      <c r="E240" s="315"/>
      <c r="F240" s="315"/>
      <c r="G240" s="317"/>
      <c r="H240" s="318" t="s">
        <v>12</v>
      </c>
      <c r="I240" s="325"/>
      <c r="J240" s="325"/>
      <c r="K240" s="321"/>
      <c r="L240" s="321">
        <f ca="1">IFERROR(__xludf.DUMMYFUNCTION("IMPORTRANGE(""https://docs.google.com/spreadsheets/d/1KxicF4apzSqm0-jIpmueT4kyZtE-Cwn5zskl7GD4loQ/edit?usp=share_link"",""กำแพงเพชร!l240"")+IMPORTRANGE(""https://docs.google.com/spreadsheets/d/1ZNYWeiFoFA1K1U4xKWqRX29MBvEyRHXORjo734Gnq_c/edit?usp=share_li"&amp;"nk"",""เชียงราย!l240"")
+IMPORTRANGE(""https://docs.google.com/spreadsheets/d/1Jgv0Y7YlHDtsiDawwp-uvifEJ8HVaSn0k2aGHG8-hwM/edit?usp=share_link"",""เชียงใหม่!l240"")+IMPORTRANGE(""https://docs.google.com/spreadsheets/d/1JWG2rZePOz9pe-f-ObA-yDr0VoOX2kSb0qIi"&amp;"x2mTUo8/edit?usp=share_link"",""ตาก!l240"")+IMPORTRANGE(""https://docs.google.com/spreadsheets/d/10nSRjK08hx8Y6HgSOQKNw81lyY46Zc7U_Cj72hBMp9U/edit?usp=share_link"",""นครสวรรค์!l240"")+IMPORTRANGE(""https://docs.google.com/spreadsheets/d/1gFVb7qd7amutrIxAA"&amp;"oM7lcy35hllxznovot8lyOfvDo/edit?usp=share_link"",""น่าน!l240"")+IMPORTRANGE(""https://docs.google.com/spreadsheets/d/1K0Aa9s-6EuHE5M0FG1F9aHLXRCOV917xvycTdLdct0w/edit?usp=share_link"",""พะเยา!l240"")+IMPORTRANGE(""https://docs.google.com/spreadsheets/d/1Y"&amp;"9LPKx95PyL5OKy09d-KbKJSuuEZCFdkhYjwC0XQjBA/edit?usp=share_link"",""พิจิตร!l240"")+IMPORTRANGE(""https://docs.google.com/spreadsheets/d/16OMuOwy2eVqZcYWOouQtTpa8X1L23h4660uVHc0C8os/edit?usp=share_link"",""พิษณุโลก!l240"")+IMPORTRANGE(""https://docs.google."&amp;"com/spreadsheets/d/1GfgTldLG6k77HXaMQzaafODklYuucJZQNs_GAPEfZyY/edit?usp=share_link"",""เพชรบูรณ์!l240"")+IMPORTRANGE(""https://docs.google.com/spreadsheets/d/1gvTMYAnm7v1yG1BKWFtr0DnaTsq59oW9dwWvFgq6hs0/edit?usp=share_link"",""แพร่!l240"")+IMPORTRANGE("""&amp;"https://docs.google.com/spreadsheets/d/1Wbcosgy-Xa1xXUArJSOenub6EfZHUSzc_bpJFWwQUf0/edit?usp=share_link"",""แม่ฮ่องสอน!l240"")+IMPORTRANGE(""https://docs.google.com/spreadsheets/d/1p7ERhsr0qZeSn-KSOdeHS9r0heI-lHtkcn2OH7hP0jQ/edit?usp=share_link"",""ลำปาง!"&amp;"l240"")+IMPORTRANGE(""https://docs.google.com/spreadsheets/d/1-uUXvimVhiU2U0bMN-xi2te0tS4X7DI2GLPnMjzl8cA/edit?usp=share_link"",""ลำพูน!l240"")+IMPORTRANGE(""https://docs.google.com/spreadsheets/d/17HrOaa5pBUI1onckFfumXB8xlg35qb2uBAFfF1D-Myo/edit?usp=shar"&amp;"e_link"",""สุโขทัย!l240"")+IMPORTRANGE(""https://docs.google.com/spreadsheets/d/1ubs5cl16eYL9gHbdHTJtmtYb9MGzHBs7CAphn8kNCgM/edit?usp=share_link"",""อุตรดิตถ์!l240"")+IMPORTRANGE(""https://docs.google.com/spreadsheets/d/1kII0BjS6CtVrBvI8IrytgPdxDrlyQDyigz"&amp;"MsohRtDMs/edit?usp=share_link"",""อุทัยธานี!l240"")
"),496030)</f>
        <v>496030</v>
      </c>
      <c r="M240" s="321"/>
      <c r="N240" s="340">
        <f ca="1">IFERROR(__xludf.DUMMYFUNCTION("IMPORTRANGE(""https://docs.google.com/spreadsheets/d/1KxicF4apzSqm0-jIpmueT4kyZtE-Cwn5zskl7GD4loQ/edit?usp=share_link"",""กำแพงเพชร!n240"")+IMPORTRANGE(""https://docs.google.com/spreadsheets/d/1ZNYWeiFoFA1K1U4xKWqRX29MBvEyRHXORjo734Gnq_c/edit?usp=share_li"&amp;"nk"",""เชียงราย!n240"")
+IMPORTRANGE(""https://docs.google.com/spreadsheets/d/1Jgv0Y7YlHDtsiDawwp-uvifEJ8HVaSn0k2aGHG8-hwM/edit?usp=share_link"",""เชียงใหม่!n240"")+IMPORTRANGE(""https://docs.google.com/spreadsheets/d/1JWG2rZePOz9pe-f-ObA-yDr0VoOX2kSb0qIi"&amp;"x2mTUo8/edit?usp=share_link"",""ตาก!n240"")+IMPORTRANGE(""https://docs.google.com/spreadsheets/d/10nSRjK08hx8Y6HgSOQKNw81lyY46Zc7U_Cj72hBMp9U/edit?usp=share_link"",""นครสวรรค์!n240"")+IMPORTRANGE(""https://docs.google.com/spreadsheets/d/1gFVb7qd7amutrIxAA"&amp;"oM7lcy35hllxznovot8lyOfvDo/edit?usp=share_link"",""น่าน!n240"")+IMPORTRANGE(""https://docs.google.com/spreadsheets/d/1K0Aa9s-6EuHE5M0FG1F9aHLXRCOV917xvycTdLdct0w/edit?usp=share_link"",""พะเยา!n240"")+IMPORTRANGE(""https://docs.google.com/spreadsheets/d/1Y"&amp;"9LPKx95PyL5OKy09d-KbKJSuuEZCFdkhYjwC0XQjBA/edit?usp=share_link"",""พิจิตร!n240"")+IMPORTRANGE(""https://docs.google.com/spreadsheets/d/16OMuOwy2eVqZcYWOouQtTpa8X1L23h4660uVHc0C8os/edit?usp=share_link"",""พิษณุโลก!n240"")+IMPORTRANGE(""https://docs.google."&amp;"com/spreadsheets/d/1GfgTldLG6k77HXaMQzaafODklYuucJZQNs_GAPEfZyY/edit?usp=share_link"",""เพชรบูรณ์!n240"")+IMPORTRANGE(""https://docs.google.com/spreadsheets/d/1gvTMYAnm7v1yG1BKWFtr0DnaTsq59oW9dwWvFgq6hs0/edit?usp=share_link"",""แพร่!n240"")+IMPORTRANGE("""&amp;"https://docs.google.com/spreadsheets/d/1Wbcosgy-Xa1xXUArJSOenub6EfZHUSzc_bpJFWwQUf0/edit?usp=share_link"",""แม่ฮ่องสอน!n240"")+IMPORTRANGE(""https://docs.google.com/spreadsheets/d/1p7ERhsr0qZeSn-KSOdeHS9r0heI-lHtkcn2OH7hP0jQ/edit?usp=share_link"",""ลำปาง!"&amp;"n240"")+IMPORTRANGE(""https://docs.google.com/spreadsheets/d/1-uUXvimVhiU2U0bMN-xi2te0tS4X7DI2GLPnMjzl8cA/edit?usp=share_link"",""ลำพูน!n240"")+IMPORTRANGE(""https://docs.google.com/spreadsheets/d/17HrOaa5pBUI1onckFfumXB8xlg35qb2uBAFfF1D-Myo/edit?usp=shar"&amp;"e_link"",""สุโขทัย!n240"")+IMPORTRANGE(""https://docs.google.com/spreadsheets/d/1ubs5cl16eYL9gHbdHTJtmtYb9MGzHBs7CAphn8kNCgM/edit?usp=share_link"",""อุตรดิตถ์!n240"")+IMPORTRANGE(""https://docs.google.com/spreadsheets/d/1kII0BjS6CtVrBvI8IrytgPdxDrlyQDyigz"&amp;"MsohRtDMs/edit?usp=share_link"",""อุทัยธานี!n240"")
"),0)</f>
        <v>0</v>
      </c>
      <c r="O240" s="321"/>
      <c r="P240" s="321"/>
      <c r="Q240" s="326"/>
      <c r="R240" s="326"/>
      <c r="S240" s="326"/>
      <c r="T240" s="326"/>
      <c r="U240" s="326"/>
      <c r="V240" s="326"/>
      <c r="W240" s="326"/>
      <c r="X240" s="326"/>
      <c r="Y240" s="326"/>
      <c r="Z240" s="326"/>
    </row>
    <row r="241" spans="1:26" ht="19.5" hidden="1">
      <c r="A241" s="322"/>
      <c r="B241" s="314"/>
      <c r="C241" s="323"/>
      <c r="D241" s="324" t="s">
        <v>116</v>
      </c>
      <c r="E241" s="315"/>
      <c r="F241" s="315"/>
      <c r="G241" s="317"/>
      <c r="H241" s="318" t="s">
        <v>12</v>
      </c>
      <c r="I241" s="325"/>
      <c r="J241" s="325"/>
      <c r="K241" s="321"/>
      <c r="L241" s="321">
        <f ca="1">IFERROR(__xludf.DUMMYFUNCTION("IMPORTRANGE(""https://docs.google.com/spreadsheets/d/1KxicF4apzSqm0-jIpmueT4kyZtE-Cwn5zskl7GD4loQ/edit?usp=share_link"",""กำแพงเพชร!l241"")+IMPORTRANGE(""https://docs.google.com/spreadsheets/d/1ZNYWeiFoFA1K1U4xKWqRX29MBvEyRHXORjo734Gnq_c/edit?usp=share_li"&amp;"nk"",""เชียงราย!l241"")
+IMPORTRANGE(""https://docs.google.com/spreadsheets/d/1Jgv0Y7YlHDtsiDawwp-uvifEJ8HVaSn0k2aGHG8-hwM/edit?usp=share_link"",""เชียงใหม่!l241"")+IMPORTRANGE(""https://docs.google.com/spreadsheets/d/1JWG2rZePOz9pe-f-ObA-yDr0VoOX2kSb0qIi"&amp;"x2mTUo8/edit?usp=share_link"",""ตาก!l241"")+IMPORTRANGE(""https://docs.google.com/spreadsheets/d/10nSRjK08hx8Y6HgSOQKNw81lyY46Zc7U_Cj72hBMp9U/edit?usp=share_link"",""นครสวรรค์!l241"")+IMPORTRANGE(""https://docs.google.com/spreadsheets/d/1gFVb7qd7amutrIxAA"&amp;"oM7lcy35hllxznovot8lyOfvDo/edit?usp=share_link"",""น่าน!l241"")+IMPORTRANGE(""https://docs.google.com/spreadsheets/d/1K0Aa9s-6EuHE5M0FG1F9aHLXRCOV917xvycTdLdct0w/edit?usp=share_link"",""พะเยา!l241"")+IMPORTRANGE(""https://docs.google.com/spreadsheets/d/1Y"&amp;"9LPKx95PyL5OKy09d-KbKJSuuEZCFdkhYjwC0XQjBA/edit?usp=share_link"",""พิจิตร!l241"")+IMPORTRANGE(""https://docs.google.com/spreadsheets/d/16OMuOwy2eVqZcYWOouQtTpa8X1L23h4660uVHc0C8os/edit?usp=share_link"",""พิษณุโลก!l241"")+IMPORTRANGE(""https://docs.google."&amp;"com/spreadsheets/d/1GfgTldLG6k77HXaMQzaafODklYuucJZQNs_GAPEfZyY/edit?usp=share_link"",""เพชรบูรณ์!l241"")+IMPORTRANGE(""https://docs.google.com/spreadsheets/d/1gvTMYAnm7v1yG1BKWFtr0DnaTsq59oW9dwWvFgq6hs0/edit?usp=share_link"",""แพร่!l241"")+IMPORTRANGE("""&amp;"https://docs.google.com/spreadsheets/d/1Wbcosgy-Xa1xXUArJSOenub6EfZHUSzc_bpJFWwQUf0/edit?usp=share_link"",""แม่ฮ่องสอน!l241"")+IMPORTRANGE(""https://docs.google.com/spreadsheets/d/1p7ERhsr0qZeSn-KSOdeHS9r0heI-lHtkcn2OH7hP0jQ/edit?usp=share_link"",""ลำปาง!"&amp;"l241"")+IMPORTRANGE(""https://docs.google.com/spreadsheets/d/1-uUXvimVhiU2U0bMN-xi2te0tS4X7DI2GLPnMjzl8cA/edit?usp=share_link"",""ลำพูน!l241"")+IMPORTRANGE(""https://docs.google.com/spreadsheets/d/17HrOaa5pBUI1onckFfumXB8xlg35qb2uBAFfF1D-Myo/edit?usp=shar"&amp;"e_link"",""สุโขทัย!l241"")+IMPORTRANGE(""https://docs.google.com/spreadsheets/d/1ubs5cl16eYL9gHbdHTJtmtYb9MGzHBs7CAphn8kNCgM/edit?usp=share_link"",""อุตรดิตถ์!l241"")+IMPORTRANGE(""https://docs.google.com/spreadsheets/d/1kII0BjS6CtVrBvI8IrytgPdxDrlyQDyigz"&amp;"MsohRtDMs/edit?usp=share_link"",""อุทัยธานี!l241"")
"),40000)</f>
        <v>40000</v>
      </c>
      <c r="M241" s="321"/>
      <c r="N241" s="340">
        <f ca="1">IFERROR(__xludf.DUMMYFUNCTION("IMPORTRANGE(""https://docs.google.com/spreadsheets/d/1KxicF4apzSqm0-jIpmueT4kyZtE-Cwn5zskl7GD4loQ/edit?usp=share_link"",""กำแพงเพชร!n241"")+IMPORTRANGE(""https://docs.google.com/spreadsheets/d/1ZNYWeiFoFA1K1U4xKWqRX29MBvEyRHXORjo734Gnq_c/edit?usp=share_li"&amp;"nk"",""เชียงราย!n241"")
+IMPORTRANGE(""https://docs.google.com/spreadsheets/d/1Jgv0Y7YlHDtsiDawwp-uvifEJ8HVaSn0k2aGHG8-hwM/edit?usp=share_link"",""เชียงใหม่!n241"")+IMPORTRANGE(""https://docs.google.com/spreadsheets/d/1JWG2rZePOz9pe-f-ObA-yDr0VoOX2kSb0qIi"&amp;"x2mTUo8/edit?usp=share_link"",""ตาก!n241"")+IMPORTRANGE(""https://docs.google.com/spreadsheets/d/10nSRjK08hx8Y6HgSOQKNw81lyY46Zc7U_Cj72hBMp9U/edit?usp=share_link"",""นครสวรรค์!n241"")+IMPORTRANGE(""https://docs.google.com/spreadsheets/d/1gFVb7qd7amutrIxAA"&amp;"oM7lcy35hllxznovot8lyOfvDo/edit?usp=share_link"",""น่าน!n241"")+IMPORTRANGE(""https://docs.google.com/spreadsheets/d/1K0Aa9s-6EuHE5M0FG1F9aHLXRCOV917xvycTdLdct0w/edit?usp=share_link"",""พะเยา!n241"")+IMPORTRANGE(""https://docs.google.com/spreadsheets/d/1Y"&amp;"9LPKx95PyL5OKy09d-KbKJSuuEZCFdkhYjwC0XQjBA/edit?usp=share_link"",""พิจิตร!n241"")+IMPORTRANGE(""https://docs.google.com/spreadsheets/d/16OMuOwy2eVqZcYWOouQtTpa8X1L23h4660uVHc0C8os/edit?usp=share_link"",""พิษณุโลก!n241"")+IMPORTRANGE(""https://docs.google."&amp;"com/spreadsheets/d/1GfgTldLG6k77HXaMQzaafODklYuucJZQNs_GAPEfZyY/edit?usp=share_link"",""เพชรบูรณ์!n241"")+IMPORTRANGE(""https://docs.google.com/spreadsheets/d/1gvTMYAnm7v1yG1BKWFtr0DnaTsq59oW9dwWvFgq6hs0/edit?usp=share_link"",""แพร่!n241"")+IMPORTRANGE("""&amp;"https://docs.google.com/spreadsheets/d/1Wbcosgy-Xa1xXUArJSOenub6EfZHUSzc_bpJFWwQUf0/edit?usp=share_link"",""แม่ฮ่องสอน!n241"")+IMPORTRANGE(""https://docs.google.com/spreadsheets/d/1p7ERhsr0qZeSn-KSOdeHS9r0heI-lHtkcn2OH7hP0jQ/edit?usp=share_link"",""ลำปาง!"&amp;"n241"")+IMPORTRANGE(""https://docs.google.com/spreadsheets/d/1-uUXvimVhiU2U0bMN-xi2te0tS4X7DI2GLPnMjzl8cA/edit?usp=share_link"",""ลำพูน!n241"")+IMPORTRANGE(""https://docs.google.com/spreadsheets/d/17HrOaa5pBUI1onckFfumXB8xlg35qb2uBAFfF1D-Myo/edit?usp=shar"&amp;"e_link"",""สุโขทัย!n241"")+IMPORTRANGE(""https://docs.google.com/spreadsheets/d/1ubs5cl16eYL9gHbdHTJtmtYb9MGzHBs7CAphn8kNCgM/edit?usp=share_link"",""อุตรดิตถ์!n241"")+IMPORTRANGE(""https://docs.google.com/spreadsheets/d/1kII0BjS6CtVrBvI8IrytgPdxDrlyQDyigz"&amp;"MsohRtDMs/edit?usp=share_link"",""อุทัยธานี!n241"")
"),0)</f>
        <v>0</v>
      </c>
      <c r="O241" s="321"/>
      <c r="P241" s="321"/>
      <c r="Q241" s="326"/>
      <c r="R241" s="326"/>
      <c r="S241" s="326"/>
      <c r="T241" s="326"/>
      <c r="U241" s="326"/>
      <c r="V241" s="326"/>
      <c r="W241" s="326"/>
      <c r="X241" s="326"/>
      <c r="Y241" s="326"/>
      <c r="Z241" s="326"/>
    </row>
    <row r="242" spans="1:26" ht="19.5" hidden="1">
      <c r="A242" s="322"/>
      <c r="B242" s="314"/>
      <c r="C242" s="323"/>
      <c r="D242" s="324" t="s">
        <v>100</v>
      </c>
      <c r="E242" s="315"/>
      <c r="F242" s="315"/>
      <c r="G242" s="317"/>
      <c r="H242" s="318" t="s">
        <v>12</v>
      </c>
      <c r="I242" s="325"/>
      <c r="J242" s="325"/>
      <c r="K242" s="321"/>
      <c r="L242" s="321">
        <f ca="1">IFERROR(__xludf.DUMMYFUNCTION("IMPORTRANGE(""https://docs.google.com/spreadsheets/d/1KxicF4apzSqm0-jIpmueT4kyZtE-Cwn5zskl7GD4loQ/edit?usp=share_link"",""กำแพงเพชร!l242"")+IMPORTRANGE(""https://docs.google.com/spreadsheets/d/1ZNYWeiFoFA1K1U4xKWqRX29MBvEyRHXORjo734Gnq_c/edit?usp=share_li"&amp;"nk"",""เชียงราย!l242"")
+IMPORTRANGE(""https://docs.google.com/spreadsheets/d/1Jgv0Y7YlHDtsiDawwp-uvifEJ8HVaSn0k2aGHG8-hwM/edit?usp=share_link"",""เชียงใหม่!l242"")+IMPORTRANGE(""https://docs.google.com/spreadsheets/d/1JWG2rZePOz9pe-f-ObA-yDr0VoOX2kSb0qIi"&amp;"x2mTUo8/edit?usp=share_link"",""ตาก!l242"")+IMPORTRANGE(""https://docs.google.com/spreadsheets/d/10nSRjK08hx8Y6HgSOQKNw81lyY46Zc7U_Cj72hBMp9U/edit?usp=share_link"",""นครสวรรค์!l242"")+IMPORTRANGE(""https://docs.google.com/spreadsheets/d/1gFVb7qd7amutrIxAA"&amp;"oM7lcy35hllxznovot8lyOfvDo/edit?usp=share_link"",""น่าน!l242"")+IMPORTRANGE(""https://docs.google.com/spreadsheets/d/1K0Aa9s-6EuHE5M0FG1F9aHLXRCOV917xvycTdLdct0w/edit?usp=share_link"",""พะเยา!l242"")+IMPORTRANGE(""https://docs.google.com/spreadsheets/d/1Y"&amp;"9LPKx95PyL5OKy09d-KbKJSuuEZCFdkhYjwC0XQjBA/edit?usp=share_link"",""พิจิตร!l242"")+IMPORTRANGE(""https://docs.google.com/spreadsheets/d/16OMuOwy2eVqZcYWOouQtTpa8X1L23h4660uVHc0C8os/edit?usp=share_link"",""พิษณุโลก!l242"")+IMPORTRANGE(""https://docs.google."&amp;"com/spreadsheets/d/1GfgTldLG6k77HXaMQzaafODklYuucJZQNs_GAPEfZyY/edit?usp=share_link"",""เพชรบูรณ์!l242"")+IMPORTRANGE(""https://docs.google.com/spreadsheets/d/1gvTMYAnm7v1yG1BKWFtr0DnaTsq59oW9dwWvFgq6hs0/edit?usp=share_link"",""แพร่!l242"")+IMPORTRANGE("""&amp;"https://docs.google.com/spreadsheets/d/1Wbcosgy-Xa1xXUArJSOenub6EfZHUSzc_bpJFWwQUf0/edit?usp=share_link"",""แม่ฮ่องสอน!l242"")+IMPORTRANGE(""https://docs.google.com/spreadsheets/d/1p7ERhsr0qZeSn-KSOdeHS9r0heI-lHtkcn2OH7hP0jQ/edit?usp=share_link"",""ลำปาง!"&amp;"l242"")+IMPORTRANGE(""https://docs.google.com/spreadsheets/d/1-uUXvimVhiU2U0bMN-xi2te0tS4X7DI2GLPnMjzl8cA/edit?usp=share_link"",""ลำพูน!l242"")+IMPORTRANGE(""https://docs.google.com/spreadsheets/d/17HrOaa5pBUI1onckFfumXB8xlg35qb2uBAFfF1D-Myo/edit?usp=shar"&amp;"e_link"",""สุโขทัย!l242"")+IMPORTRANGE(""https://docs.google.com/spreadsheets/d/1ubs5cl16eYL9gHbdHTJtmtYb9MGzHBs7CAphn8kNCgM/edit?usp=share_link"",""อุตรดิตถ์!l242"")+IMPORTRANGE(""https://docs.google.com/spreadsheets/d/1kII0BjS6CtVrBvI8IrytgPdxDrlyQDyigz"&amp;"MsohRtDMs/edit?usp=share_link"",""อุทัยธานี!l242"")
"),160000)</f>
        <v>160000</v>
      </c>
      <c r="M242" s="321"/>
      <c r="N242" s="340">
        <f ca="1">IFERROR(__xludf.DUMMYFUNCTION("IMPORTRANGE(""https://docs.google.com/spreadsheets/d/1KxicF4apzSqm0-jIpmueT4kyZtE-Cwn5zskl7GD4loQ/edit?usp=share_link"",""กำแพงเพชร!n242"")+IMPORTRANGE(""https://docs.google.com/spreadsheets/d/1ZNYWeiFoFA1K1U4xKWqRX29MBvEyRHXORjo734Gnq_c/edit?usp=share_li"&amp;"nk"",""เชียงราย!n242"")
+IMPORTRANGE(""https://docs.google.com/spreadsheets/d/1Jgv0Y7YlHDtsiDawwp-uvifEJ8HVaSn0k2aGHG8-hwM/edit?usp=share_link"",""เชียงใหม่!n242"")+IMPORTRANGE(""https://docs.google.com/spreadsheets/d/1JWG2rZePOz9pe-f-ObA-yDr0VoOX2kSb0qIi"&amp;"x2mTUo8/edit?usp=share_link"",""ตาก!n242"")+IMPORTRANGE(""https://docs.google.com/spreadsheets/d/10nSRjK08hx8Y6HgSOQKNw81lyY46Zc7U_Cj72hBMp9U/edit?usp=share_link"",""นครสวรรค์!n242"")+IMPORTRANGE(""https://docs.google.com/spreadsheets/d/1gFVb7qd7amutrIxAA"&amp;"oM7lcy35hllxznovot8lyOfvDo/edit?usp=share_link"",""น่าน!n242"")+IMPORTRANGE(""https://docs.google.com/spreadsheets/d/1K0Aa9s-6EuHE5M0FG1F9aHLXRCOV917xvycTdLdct0w/edit?usp=share_link"",""พะเยา!n242"")+IMPORTRANGE(""https://docs.google.com/spreadsheets/d/1Y"&amp;"9LPKx95PyL5OKy09d-KbKJSuuEZCFdkhYjwC0XQjBA/edit?usp=share_link"",""พิจิตร!n242"")+IMPORTRANGE(""https://docs.google.com/spreadsheets/d/16OMuOwy2eVqZcYWOouQtTpa8X1L23h4660uVHc0C8os/edit?usp=share_link"",""พิษณุโลก!n242"")+IMPORTRANGE(""https://docs.google."&amp;"com/spreadsheets/d/1GfgTldLG6k77HXaMQzaafODklYuucJZQNs_GAPEfZyY/edit?usp=share_link"",""เพชรบูรณ์!n242"")+IMPORTRANGE(""https://docs.google.com/spreadsheets/d/1gvTMYAnm7v1yG1BKWFtr0DnaTsq59oW9dwWvFgq6hs0/edit?usp=share_link"",""แพร่!n242"")+IMPORTRANGE("""&amp;"https://docs.google.com/spreadsheets/d/1Wbcosgy-Xa1xXUArJSOenub6EfZHUSzc_bpJFWwQUf0/edit?usp=share_link"",""แม่ฮ่องสอน!n242"")+IMPORTRANGE(""https://docs.google.com/spreadsheets/d/1p7ERhsr0qZeSn-KSOdeHS9r0heI-lHtkcn2OH7hP0jQ/edit?usp=share_link"",""ลำปาง!"&amp;"n242"")+IMPORTRANGE(""https://docs.google.com/spreadsheets/d/1-uUXvimVhiU2U0bMN-xi2te0tS4X7DI2GLPnMjzl8cA/edit?usp=share_link"",""ลำพูน!n242"")+IMPORTRANGE(""https://docs.google.com/spreadsheets/d/17HrOaa5pBUI1onckFfumXB8xlg35qb2uBAFfF1D-Myo/edit?usp=shar"&amp;"e_link"",""สุโขทัย!n242"")+IMPORTRANGE(""https://docs.google.com/spreadsheets/d/1ubs5cl16eYL9gHbdHTJtmtYb9MGzHBs7CAphn8kNCgM/edit?usp=share_link"",""อุตรดิตถ์!n242"")+IMPORTRANGE(""https://docs.google.com/spreadsheets/d/1kII0BjS6CtVrBvI8IrytgPdxDrlyQDyigz"&amp;"MsohRtDMs/edit?usp=share_link"",""อุทัยธานี!n242"")
"),0)</f>
        <v>0</v>
      </c>
      <c r="O242" s="321"/>
      <c r="P242" s="321"/>
      <c r="Q242" s="326"/>
      <c r="R242" s="326"/>
      <c r="S242" s="326"/>
      <c r="T242" s="326"/>
      <c r="U242" s="326"/>
      <c r="V242" s="326"/>
      <c r="W242" s="326"/>
      <c r="X242" s="326"/>
      <c r="Y242" s="326"/>
      <c r="Z242" s="326"/>
    </row>
    <row r="243" spans="1:26" ht="19.5" hidden="1">
      <c r="A243" s="170"/>
      <c r="B243" s="171"/>
      <c r="C243" s="291" t="s">
        <v>16</v>
      </c>
      <c r="D243" s="172" t="s">
        <v>38</v>
      </c>
      <c r="E243" s="173"/>
      <c r="F243" s="173"/>
      <c r="G243" s="174"/>
      <c r="H243" s="175"/>
      <c r="I243" s="162"/>
      <c r="J243" s="37"/>
      <c r="K243" s="38"/>
      <c r="L243" s="38"/>
      <c r="M243" s="38"/>
      <c r="N243" s="38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181" t="s">
        <v>117</v>
      </c>
      <c r="E244" s="178"/>
      <c r="F244" s="178"/>
      <c r="G244" s="179"/>
      <c r="H244" s="182" t="s">
        <v>35</v>
      </c>
      <c r="I244" s="37">
        <f ca="1">IFERROR(__xludf.DUMMYFUNCTION("IMPORTRANGE(""https://docs.google.com/spreadsheets/d/1KxicF4apzSqm0-jIpmueT4kyZtE-Cwn5zskl7GD4loQ/edit?usp=share_link"",""กำแพงเพชร!I244"")+IMPORTRANGE(""https://docs.google.com/spreadsheets/d/1ZNYWeiFoFA1K1U4xKWqRX29MBvEyRHXORjo734Gnq_c/edit?usp=share_li"&amp;"nk"",""เชียงราย!I244"")
+IMPORTRANGE(""https://docs.google.com/spreadsheets/d/1Jgv0Y7YlHDtsiDawwp-uvifEJ8HVaSn0k2aGHG8-hwM/edit?usp=share_link"",""เชียงใหม่!I244"")+IMPORTRANGE(""https://docs.google.com/spreadsheets/d/1JWG2rZePOz9pe-f-ObA-yDr0VoOX2kSb0qIi"&amp;"x2mTUo8/edit?usp=share_link"",""ตาก!I244"")+IMPORTRANGE(""https://docs.google.com/spreadsheets/d/10nSRjK08hx8Y6HgSOQKNw81lyY46Zc7U_Cj72hBMp9U/edit?usp=share_link"",""นครสวรรค์!I244"")+IMPORTRANGE(""https://docs.google.com/spreadsheets/d/1gFVb7qd7amutrIxAA"&amp;"oM7lcy35hllxznovot8lyOfvDo/edit?usp=share_link"",""น่าน!I244"")+IMPORTRANGE(""https://docs.google.com/spreadsheets/d/1K0Aa9s-6EuHE5M0FG1F9aHLXRCOV917xvycTdLdct0w/edit?usp=share_link"",""พะเยา!I244"")+IMPORTRANGE(""https://docs.google.com/spreadsheets/d/1Y"&amp;"9LPKx95PyL5OKy09d-KbKJSuuEZCFdkhYjwC0XQjBA/edit?usp=share_link"",""พิจิตร!I244"")+IMPORTRANGE(""https://docs.google.com/spreadsheets/d/16OMuOwy2eVqZcYWOouQtTpa8X1L23h4660uVHc0C8os/edit?usp=share_link"",""พิษณุโลก!I244"")+IMPORTRANGE(""https://docs.google."&amp;"com/spreadsheets/d/1GfgTldLG6k77HXaMQzaafODklYuucJZQNs_GAPEfZyY/edit?usp=share_link"",""เพชรบูรณ์!I244"")+IMPORTRANGE(""https://docs.google.com/spreadsheets/d/1gvTMYAnm7v1yG1BKWFtr0DnaTsq59oW9dwWvFgq6hs0/edit?usp=share_link"",""แพร่!I244"")+IMPORTRANGE("""&amp;"https://docs.google.com/spreadsheets/d/1Wbcosgy-Xa1xXUArJSOenub6EfZHUSzc_bpJFWwQUf0/edit?usp=share_link"",""แม่ฮ่องสอน!I244"")+IMPORTRANGE(""https://docs.google.com/spreadsheets/d/1p7ERhsr0qZeSn-KSOdeHS9r0heI-lHtkcn2OH7hP0jQ/edit?usp=share_link"",""ลำปาง!"&amp;"I244"")+IMPORTRANGE(""https://docs.google.com/spreadsheets/d/1-uUXvimVhiU2U0bMN-xi2te0tS4X7DI2GLPnMjzl8cA/edit?usp=share_link"",""ลำพูน!I244"")+IMPORTRANGE(""https://docs.google.com/spreadsheets/d/17HrOaa5pBUI1onckFfumXB8xlg35qb2uBAFfF1D-Myo/edit?usp=shar"&amp;"e_link"",""สุโขทัย!I244"")+IMPORTRANGE(""https://docs.google.com/spreadsheets/d/1ubs5cl16eYL9gHbdHTJtmtYb9MGzHBs7CAphn8kNCgM/edit?usp=share_link"",""อุตรดิตถ์!I244"")+IMPORTRANGE(""https://docs.google.com/spreadsheets/d/1kII0BjS6CtVrBvI8IrytgPdxDrlyQDyigz"&amp;"MsohRtDMs/edit?usp=share_link"",""อุทัยธานี!I244"")
"),280)</f>
        <v>280</v>
      </c>
      <c r="J244" s="183">
        <f ca="1">IFERROR(__xludf.DUMMYFUNCTION("IMPORTRANGE(""https://docs.google.com/spreadsheets/d/1KxicF4apzSqm0-jIpmueT4kyZtE-Cwn5zskl7GD4loQ/edit?usp=share_link"",""กำแพงเพชร!J244"")+IMPORTRANGE(""https://docs.google.com/spreadsheets/d/1ZNYWeiFoFA1K1U4xKWqRX29MBvEyRHXORjo734Gnq_c/edit?usp=share_li"&amp;"nk"",""เชียงราย!J244"")
+IMPORTRANGE(""https://docs.google.com/spreadsheets/d/1Jgv0Y7YlHDtsiDawwp-uvifEJ8HVaSn0k2aGHG8-hwM/edit?usp=share_link"",""เชียงใหม่!J244"")+IMPORTRANGE(""https://docs.google.com/spreadsheets/d/1JWG2rZePOz9pe-f-ObA-yDr0VoOX2kSb0qIi"&amp;"x2mTUo8/edit?usp=share_link"",""ตาก!J244"")+IMPORTRANGE(""https://docs.google.com/spreadsheets/d/10nSRjK08hx8Y6HgSOQKNw81lyY46Zc7U_Cj72hBMp9U/edit?usp=share_link"",""นครสวรรค์!J244"")+IMPORTRANGE(""https://docs.google.com/spreadsheets/d/1gFVb7qd7amutrIxAA"&amp;"oM7lcy35hllxznovot8lyOfvDo/edit?usp=share_link"",""น่าน!J244"")+IMPORTRANGE(""https://docs.google.com/spreadsheets/d/1K0Aa9s-6EuHE5M0FG1F9aHLXRCOV917xvycTdLdct0w/edit?usp=share_link"",""พะเยา!J244"")+IMPORTRANGE(""https://docs.google.com/spreadsheets/d/1Y"&amp;"9LPKx95PyL5OKy09d-KbKJSuuEZCFdkhYjwC0XQjBA/edit?usp=share_link"",""พิจิตร!J244"")+IMPORTRANGE(""https://docs.google.com/spreadsheets/d/16OMuOwy2eVqZcYWOouQtTpa8X1L23h4660uVHc0C8os/edit?usp=share_link"",""พิษณุโลก!J244"")+IMPORTRANGE(""https://docs.google."&amp;"com/spreadsheets/d/1GfgTldLG6k77HXaMQzaafODklYuucJZQNs_GAPEfZyY/edit?usp=share_link"",""เพชรบูรณ์!J244"")+IMPORTRANGE(""https://docs.google.com/spreadsheets/d/1gvTMYAnm7v1yG1BKWFtr0DnaTsq59oW9dwWvFgq6hs0/edit?usp=share_link"",""แพร่!J244"")+IMPORTRANGE("""&amp;"https://docs.google.com/spreadsheets/d/1Wbcosgy-Xa1xXUArJSOenub6EfZHUSzc_bpJFWwQUf0/edit?usp=share_link"",""แม่ฮ่องสอน!J244"")+IMPORTRANGE(""https://docs.google.com/spreadsheets/d/1p7ERhsr0qZeSn-KSOdeHS9r0heI-lHtkcn2OH7hP0jQ/edit?usp=share_link"",""ลำปาง!"&amp;"J244"")+IMPORTRANGE(""https://docs.google.com/spreadsheets/d/1-uUXvimVhiU2U0bMN-xi2te0tS4X7DI2GLPnMjzl8cA/edit?usp=share_link"",""ลำพูน!J244"")+IMPORTRANGE(""https://docs.google.com/spreadsheets/d/17HrOaa5pBUI1onckFfumXB8xlg35qb2uBAFfF1D-Myo/edit?usp=shar"&amp;"e_link"",""สุโขทัย!J244"")+IMPORTRANGE(""https://docs.google.com/spreadsheets/d/1ubs5cl16eYL9gHbdHTJtmtYb9MGzHBs7CAphn8kNCgM/edit?usp=share_link"",""อุตรดิตถ์!J244"")+IMPORTRANGE(""https://docs.google.com/spreadsheets/d/1kII0BjS6CtVrBvI8IrytgPdxDrlyQDyigz"&amp;"MsohRtDMs/edit?usp=share_link"",""อุทัยธานี!J244"")
"),0)</f>
        <v>0</v>
      </c>
      <c r="K244" s="38">
        <f ca="1">IF(I244&gt;0,J244*100/I244,0)</f>
        <v>0</v>
      </c>
      <c r="L244" s="38"/>
      <c r="M244" s="38"/>
      <c r="N244" s="38"/>
      <c r="O244" s="38"/>
      <c r="P244" s="38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341" t="s">
        <v>43</v>
      </c>
      <c r="E245" s="342"/>
      <c r="F245" s="178"/>
      <c r="G245" s="179"/>
      <c r="H245" s="182"/>
      <c r="I245" s="37"/>
      <c r="J245" s="37"/>
      <c r="K245" s="38"/>
      <c r="L245" s="38"/>
      <c r="M245" s="38"/>
      <c r="N245" s="38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343" t="s">
        <v>118</v>
      </c>
      <c r="F246" s="178"/>
      <c r="G246" s="179"/>
      <c r="H246" s="182" t="s">
        <v>35</v>
      </c>
      <c r="I246" s="37">
        <f ca="1">IFERROR(__xludf.DUMMYFUNCTION("IMPORTRANGE(""https://docs.google.com/spreadsheets/d/1KxicF4apzSqm0-jIpmueT4kyZtE-Cwn5zskl7GD4loQ/edit?usp=share_link"",""กำแพงเพชร!I246"")+IMPORTRANGE(""https://docs.google.com/spreadsheets/d/1ZNYWeiFoFA1K1U4xKWqRX29MBvEyRHXORjo734Gnq_c/edit?usp=share_li"&amp;"nk"",""เชียงราย!I246"")
+IMPORTRANGE(""https://docs.google.com/spreadsheets/d/1Jgv0Y7YlHDtsiDawwp-uvifEJ8HVaSn0k2aGHG8-hwM/edit?usp=share_link"",""เชียงใหม่!I246"")+IMPORTRANGE(""https://docs.google.com/spreadsheets/d/1JWG2rZePOz9pe-f-ObA-yDr0VoOX2kSb0qIi"&amp;"x2mTUo8/edit?usp=share_link"",""ตาก!I246"")+IMPORTRANGE(""https://docs.google.com/spreadsheets/d/10nSRjK08hx8Y6HgSOQKNw81lyY46Zc7U_Cj72hBMp9U/edit?usp=share_link"",""นครสวรรค์!I246"")+IMPORTRANGE(""https://docs.google.com/spreadsheets/d/1gFVb7qd7amutrIxAA"&amp;"oM7lcy35hllxznovot8lyOfvDo/edit?usp=share_link"",""น่าน!I246"")+IMPORTRANGE(""https://docs.google.com/spreadsheets/d/1K0Aa9s-6EuHE5M0FG1F9aHLXRCOV917xvycTdLdct0w/edit?usp=share_link"",""พะเยา!I246"")+IMPORTRANGE(""https://docs.google.com/spreadsheets/d/1Y"&amp;"9LPKx95PyL5OKy09d-KbKJSuuEZCFdkhYjwC0XQjBA/edit?usp=share_link"",""พิจิตร!I246"")+IMPORTRANGE(""https://docs.google.com/spreadsheets/d/16OMuOwy2eVqZcYWOouQtTpa8X1L23h4660uVHc0C8os/edit?usp=share_link"",""พิษณุโลก!I246"")+IMPORTRANGE(""https://docs.google."&amp;"com/spreadsheets/d/1GfgTldLG6k77HXaMQzaafODklYuucJZQNs_GAPEfZyY/edit?usp=share_link"",""เพชรบูรณ์!I246"")+IMPORTRANGE(""https://docs.google.com/spreadsheets/d/1gvTMYAnm7v1yG1BKWFtr0DnaTsq59oW9dwWvFgq6hs0/edit?usp=share_link"",""แพร่!I246"")+IMPORTRANGE("""&amp;"https://docs.google.com/spreadsheets/d/1Wbcosgy-Xa1xXUArJSOenub6EfZHUSzc_bpJFWwQUf0/edit?usp=share_link"",""แม่ฮ่องสอน!I246"")+IMPORTRANGE(""https://docs.google.com/spreadsheets/d/1p7ERhsr0qZeSn-KSOdeHS9r0heI-lHtkcn2OH7hP0jQ/edit?usp=share_link"",""ลำปาง!"&amp;"I246"")+IMPORTRANGE(""https://docs.google.com/spreadsheets/d/1-uUXvimVhiU2U0bMN-xi2te0tS4X7DI2GLPnMjzl8cA/edit?usp=share_link"",""ลำพูน!I246"")+IMPORTRANGE(""https://docs.google.com/spreadsheets/d/17HrOaa5pBUI1onckFfumXB8xlg35qb2uBAFfF1D-Myo/edit?usp=shar"&amp;"e_link"",""สุโขทัย!I246"")+IMPORTRANGE(""https://docs.google.com/spreadsheets/d/1ubs5cl16eYL9gHbdHTJtmtYb9MGzHBs7CAphn8kNCgM/edit?usp=share_link"",""อุตรดิตถ์!I246"")+IMPORTRANGE(""https://docs.google.com/spreadsheets/d/1kII0BjS6CtVrBvI8IrytgPdxDrlyQDyigz"&amp;"MsohRtDMs/edit?usp=share_link"",""อุทัยธานี!I246"")
"),80)</f>
        <v>80</v>
      </c>
      <c r="J246" s="183">
        <f ca="1">IFERROR(__xludf.DUMMYFUNCTION("IMPORTRANGE(""https://docs.google.com/spreadsheets/d/1KxicF4apzSqm0-jIpmueT4kyZtE-Cwn5zskl7GD4loQ/edit?usp=share_link"",""กำแพงเพชร!J246"")+IMPORTRANGE(""https://docs.google.com/spreadsheets/d/1ZNYWeiFoFA1K1U4xKWqRX29MBvEyRHXORjo734Gnq_c/edit?usp=share_li"&amp;"nk"",""เชียงราย!J246"")
+IMPORTRANGE(""https://docs.google.com/spreadsheets/d/1Jgv0Y7YlHDtsiDawwp-uvifEJ8HVaSn0k2aGHG8-hwM/edit?usp=share_link"",""เชียงใหม่!J246"")+IMPORTRANGE(""https://docs.google.com/spreadsheets/d/1JWG2rZePOz9pe-f-ObA-yDr0VoOX2kSb0qIi"&amp;"x2mTUo8/edit?usp=share_link"",""ตาก!J246"")+IMPORTRANGE(""https://docs.google.com/spreadsheets/d/10nSRjK08hx8Y6HgSOQKNw81lyY46Zc7U_Cj72hBMp9U/edit?usp=share_link"",""นครสวรรค์!J246"")+IMPORTRANGE(""https://docs.google.com/spreadsheets/d/1gFVb7qd7amutrIxAA"&amp;"oM7lcy35hllxznovot8lyOfvDo/edit?usp=share_link"",""น่าน!J246"")+IMPORTRANGE(""https://docs.google.com/spreadsheets/d/1K0Aa9s-6EuHE5M0FG1F9aHLXRCOV917xvycTdLdct0w/edit?usp=share_link"",""พะเยา!J246"")+IMPORTRANGE(""https://docs.google.com/spreadsheets/d/1Y"&amp;"9LPKx95PyL5OKy09d-KbKJSuuEZCFdkhYjwC0XQjBA/edit?usp=share_link"",""พิจิตร!J246"")+IMPORTRANGE(""https://docs.google.com/spreadsheets/d/16OMuOwy2eVqZcYWOouQtTpa8X1L23h4660uVHc0C8os/edit?usp=share_link"",""พิษณุโลก!J246"")+IMPORTRANGE(""https://docs.google."&amp;"com/spreadsheets/d/1GfgTldLG6k77HXaMQzaafODklYuucJZQNs_GAPEfZyY/edit?usp=share_link"",""เพชรบูรณ์!J246"")+IMPORTRANGE(""https://docs.google.com/spreadsheets/d/1gvTMYAnm7v1yG1BKWFtr0DnaTsq59oW9dwWvFgq6hs0/edit?usp=share_link"",""แพร่!J246"")+IMPORTRANGE("""&amp;"https://docs.google.com/spreadsheets/d/1Wbcosgy-Xa1xXUArJSOenub6EfZHUSzc_bpJFWwQUf0/edit?usp=share_link"",""แม่ฮ่องสอน!J246"")+IMPORTRANGE(""https://docs.google.com/spreadsheets/d/1p7ERhsr0qZeSn-KSOdeHS9r0heI-lHtkcn2OH7hP0jQ/edit?usp=share_link"",""ลำปาง!"&amp;"J246"")+IMPORTRANGE(""https://docs.google.com/spreadsheets/d/1-uUXvimVhiU2U0bMN-xi2te0tS4X7DI2GLPnMjzl8cA/edit?usp=share_link"",""ลำพูน!J246"")+IMPORTRANGE(""https://docs.google.com/spreadsheets/d/17HrOaa5pBUI1onckFfumXB8xlg35qb2uBAFfF1D-Myo/edit?usp=shar"&amp;"e_link"",""สุโขทัย!J246"")+IMPORTRANGE(""https://docs.google.com/spreadsheets/d/1ubs5cl16eYL9gHbdHTJtmtYb9MGzHBs7CAphn8kNCgM/edit?usp=share_link"",""อุตรดิตถ์!J246"")+IMPORTRANGE(""https://docs.google.com/spreadsheets/d/1kII0BjS6CtVrBvI8IrytgPdxDrlyQDyigz"&amp;"MsohRtDMs/edit?usp=share_link"",""อุทัยธานี!J246"")
"),0)</f>
        <v>0</v>
      </c>
      <c r="K246" s="38">
        <f t="shared" ref="K246:K248" ca="1" si="135">IF(I246&gt;0,J246*100/I246,0)</f>
        <v>0</v>
      </c>
      <c r="L246" s="38"/>
      <c r="M246" s="38"/>
      <c r="N246" s="38"/>
      <c r="O246" s="38"/>
      <c r="P246" s="38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176" t="s">
        <v>119</v>
      </c>
      <c r="F247" s="178"/>
      <c r="G247" s="179"/>
      <c r="H247" s="182" t="s">
        <v>69</v>
      </c>
      <c r="I247" s="37">
        <f ca="1">IFERROR(__xludf.DUMMYFUNCTION("IMPORTRANGE(""https://docs.google.com/spreadsheets/d/1KxicF4apzSqm0-jIpmueT4kyZtE-Cwn5zskl7GD4loQ/edit?usp=share_link"",""กำแพงเพชร!I247"")+IMPORTRANGE(""https://docs.google.com/spreadsheets/d/1ZNYWeiFoFA1K1U4xKWqRX29MBvEyRHXORjo734Gnq_c/edit?usp=share_li"&amp;"nk"",""เชียงราย!I247"")
+IMPORTRANGE(""https://docs.google.com/spreadsheets/d/1Jgv0Y7YlHDtsiDawwp-uvifEJ8HVaSn0k2aGHG8-hwM/edit?usp=share_link"",""เชียงใหม่!I247"")+IMPORTRANGE(""https://docs.google.com/spreadsheets/d/1JWG2rZePOz9pe-f-ObA-yDr0VoOX2kSb0qIi"&amp;"x2mTUo8/edit?usp=share_link"",""ตาก!I247"")+IMPORTRANGE(""https://docs.google.com/spreadsheets/d/10nSRjK08hx8Y6HgSOQKNw81lyY46Zc7U_Cj72hBMp9U/edit?usp=share_link"",""นครสวรรค์!I247"")+IMPORTRANGE(""https://docs.google.com/spreadsheets/d/1gFVb7qd7amutrIxAA"&amp;"oM7lcy35hllxznovot8lyOfvDo/edit?usp=share_link"",""น่าน!I247"")+IMPORTRANGE(""https://docs.google.com/spreadsheets/d/1K0Aa9s-6EuHE5M0FG1F9aHLXRCOV917xvycTdLdct0w/edit?usp=share_link"",""พะเยา!I247"")+IMPORTRANGE(""https://docs.google.com/spreadsheets/d/1Y"&amp;"9LPKx95PyL5OKy09d-KbKJSuuEZCFdkhYjwC0XQjBA/edit?usp=share_link"",""พิจิตร!I247"")+IMPORTRANGE(""https://docs.google.com/spreadsheets/d/16OMuOwy2eVqZcYWOouQtTpa8X1L23h4660uVHc0C8os/edit?usp=share_link"",""พิษณุโลก!I247"")+IMPORTRANGE(""https://docs.google."&amp;"com/spreadsheets/d/1GfgTldLG6k77HXaMQzaafODklYuucJZQNs_GAPEfZyY/edit?usp=share_link"",""เพชรบูรณ์!I247"")+IMPORTRANGE(""https://docs.google.com/spreadsheets/d/1gvTMYAnm7v1yG1BKWFtr0DnaTsq59oW9dwWvFgq6hs0/edit?usp=share_link"",""แพร่!I247"")+IMPORTRANGE("""&amp;"https://docs.google.com/spreadsheets/d/1Wbcosgy-Xa1xXUArJSOenub6EfZHUSzc_bpJFWwQUf0/edit?usp=share_link"",""แม่ฮ่องสอน!I247"")+IMPORTRANGE(""https://docs.google.com/spreadsheets/d/1p7ERhsr0qZeSn-KSOdeHS9r0heI-lHtkcn2OH7hP0jQ/edit?usp=share_link"",""ลำปาง!"&amp;"I247"")+IMPORTRANGE(""https://docs.google.com/spreadsheets/d/1-uUXvimVhiU2U0bMN-xi2te0tS4X7DI2GLPnMjzl8cA/edit?usp=share_link"",""ลำพูน!I247"")+IMPORTRANGE(""https://docs.google.com/spreadsheets/d/17HrOaa5pBUI1onckFfumXB8xlg35qb2uBAFfF1D-Myo/edit?usp=shar"&amp;"e_link"",""สุโขทัย!I247"")+IMPORTRANGE(""https://docs.google.com/spreadsheets/d/1ubs5cl16eYL9gHbdHTJtmtYb9MGzHBs7CAphn8kNCgM/edit?usp=share_link"",""อุตรดิตถ์!I247"")+IMPORTRANGE(""https://docs.google.com/spreadsheets/d/1kII0BjS6CtVrBvI8IrytgPdxDrlyQDyigz"&amp;"MsohRtDMs/edit?usp=share_link"",""อุทัยธานี!I247"")
"),8)</f>
        <v>8</v>
      </c>
      <c r="J247" s="183">
        <f ca="1">IFERROR(__xludf.DUMMYFUNCTION("IMPORTRANGE(""https://docs.google.com/spreadsheets/d/1KxicF4apzSqm0-jIpmueT4kyZtE-Cwn5zskl7GD4loQ/edit?usp=share_link"",""กำแพงเพชร!J247"")+IMPORTRANGE(""https://docs.google.com/spreadsheets/d/1ZNYWeiFoFA1K1U4xKWqRX29MBvEyRHXORjo734Gnq_c/edit?usp=share_li"&amp;"nk"",""เชียงราย!J247"")
+IMPORTRANGE(""https://docs.google.com/spreadsheets/d/1Jgv0Y7YlHDtsiDawwp-uvifEJ8HVaSn0k2aGHG8-hwM/edit?usp=share_link"",""เชียงใหม่!J247"")+IMPORTRANGE(""https://docs.google.com/spreadsheets/d/1JWG2rZePOz9pe-f-ObA-yDr0VoOX2kSb0qIi"&amp;"x2mTUo8/edit?usp=share_link"",""ตาก!J247"")+IMPORTRANGE(""https://docs.google.com/spreadsheets/d/10nSRjK08hx8Y6HgSOQKNw81lyY46Zc7U_Cj72hBMp9U/edit?usp=share_link"",""นครสวรรค์!J247"")+IMPORTRANGE(""https://docs.google.com/spreadsheets/d/1gFVb7qd7amutrIxAA"&amp;"oM7lcy35hllxznovot8lyOfvDo/edit?usp=share_link"",""น่าน!J247"")+IMPORTRANGE(""https://docs.google.com/spreadsheets/d/1K0Aa9s-6EuHE5M0FG1F9aHLXRCOV917xvycTdLdct0w/edit?usp=share_link"",""พะเยา!J247"")+IMPORTRANGE(""https://docs.google.com/spreadsheets/d/1Y"&amp;"9LPKx95PyL5OKy09d-KbKJSuuEZCFdkhYjwC0XQjBA/edit?usp=share_link"",""พิจิตร!J247"")+IMPORTRANGE(""https://docs.google.com/spreadsheets/d/16OMuOwy2eVqZcYWOouQtTpa8X1L23h4660uVHc0C8os/edit?usp=share_link"",""พิษณุโลก!J247"")+IMPORTRANGE(""https://docs.google."&amp;"com/spreadsheets/d/1GfgTldLG6k77HXaMQzaafODklYuucJZQNs_GAPEfZyY/edit?usp=share_link"",""เพชรบูรณ์!J247"")+IMPORTRANGE(""https://docs.google.com/spreadsheets/d/1gvTMYAnm7v1yG1BKWFtr0DnaTsq59oW9dwWvFgq6hs0/edit?usp=share_link"",""แพร่!J247"")+IMPORTRANGE("""&amp;"https://docs.google.com/spreadsheets/d/1Wbcosgy-Xa1xXUArJSOenub6EfZHUSzc_bpJFWwQUf0/edit?usp=share_link"",""แม่ฮ่องสอน!J247"")+IMPORTRANGE(""https://docs.google.com/spreadsheets/d/1p7ERhsr0qZeSn-KSOdeHS9r0heI-lHtkcn2OH7hP0jQ/edit?usp=share_link"",""ลำปาง!"&amp;"J247"")+IMPORTRANGE(""https://docs.google.com/spreadsheets/d/1-uUXvimVhiU2U0bMN-xi2te0tS4X7DI2GLPnMjzl8cA/edit?usp=share_link"",""ลำพูน!J247"")+IMPORTRANGE(""https://docs.google.com/spreadsheets/d/17HrOaa5pBUI1onckFfumXB8xlg35qb2uBAFfF1D-Myo/edit?usp=shar"&amp;"e_link"",""สุโขทัย!J247"")+IMPORTRANGE(""https://docs.google.com/spreadsheets/d/1ubs5cl16eYL9gHbdHTJtmtYb9MGzHBs7CAphn8kNCgM/edit?usp=share_link"",""อุตรดิตถ์!J247"")+IMPORTRANGE(""https://docs.google.com/spreadsheets/d/1kII0BjS6CtVrBvI8IrytgPdxDrlyQDyigz"&amp;"MsohRtDMs/edit?usp=share_link"",""อุทัยธานี!J247"")
"),0)</f>
        <v>0</v>
      </c>
      <c r="K247" s="38">
        <f t="shared" ca="1" si="135"/>
        <v>0</v>
      </c>
      <c r="L247" s="38"/>
      <c r="M247" s="38"/>
      <c r="N247" s="38"/>
      <c r="O247" s="38"/>
      <c r="P247" s="38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5"/>
      <c r="B248" s="263"/>
      <c r="C248" s="339" t="s">
        <v>121</v>
      </c>
      <c r="D248" s="256"/>
      <c r="E248" s="256"/>
      <c r="F248" s="256"/>
      <c r="G248" s="258"/>
      <c r="H248" s="259" t="s">
        <v>35</v>
      </c>
      <c r="I248" s="271">
        <f t="shared" ref="I248:J248" ca="1" si="136">I255</f>
        <v>40</v>
      </c>
      <c r="J248" s="271">
        <f t="shared" ca="1" si="136"/>
        <v>0</v>
      </c>
      <c r="K248" s="272">
        <f t="shared" ca="1" si="135"/>
        <v>0</v>
      </c>
      <c r="L248" s="261"/>
      <c r="M248" s="261"/>
      <c r="N248" s="261"/>
      <c r="O248" s="261"/>
      <c r="P248" s="261"/>
    </row>
    <row r="249" spans="1:26" ht="19.5" hidden="1">
      <c r="A249" s="147"/>
      <c r="B249" s="148"/>
      <c r="C249" s="149" t="s">
        <v>16</v>
      </c>
      <c r="D249" s="273" t="s">
        <v>17</v>
      </c>
      <c r="E249" s="148"/>
      <c r="F249" s="148"/>
      <c r="G249" s="151"/>
      <c r="H249" s="274" t="s">
        <v>12</v>
      </c>
      <c r="I249" s="278"/>
      <c r="J249" s="278"/>
      <c r="K249" s="279"/>
      <c r="L249" s="155">
        <f ca="1">L250+L251+L252+L253</f>
        <v>277600</v>
      </c>
      <c r="M249" s="155"/>
      <c r="N249" s="155">
        <f ca="1">N250+N251+N252+N253</f>
        <v>984111.47</v>
      </c>
      <c r="O249" s="155">
        <f ca="1">IF(L249&gt;0,N249*100/L249,0)</f>
        <v>354.50701368876082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3"/>
      <c r="B250" s="314"/>
      <c r="C250" s="315"/>
      <c r="D250" s="316" t="s">
        <v>97</v>
      </c>
      <c r="E250" s="315"/>
      <c r="F250" s="315"/>
      <c r="G250" s="317"/>
      <c r="H250" s="318" t="s">
        <v>12</v>
      </c>
      <c r="I250" s="319"/>
      <c r="J250" s="319"/>
      <c r="K250" s="320"/>
      <c r="L250" s="321">
        <f ca="1">IFERROR(__xludf.DUMMYFUNCTION("IMPORTRANGE(""https://docs.google.com/spreadsheets/d/1KxicF4apzSqm0-jIpmueT4kyZtE-Cwn5zskl7GD4loQ/edit?usp=share_link"",""กำแพงเพชร!l250"")+IMPORTRANGE(""https://docs.google.com/spreadsheets/d/1ZNYWeiFoFA1K1U4xKWqRX29MBvEyRHXORjo734Gnq_c/edit?usp=share_li"&amp;"nk"",""เชียงราย!l250"")
+IMPORTRANGE(""https://docs.google.com/spreadsheets/d/1Jgv0Y7YlHDtsiDawwp-uvifEJ8HVaSn0k2aGHG8-hwM/edit?usp=share_link"",""เชียงใหม่!l250"")+IMPORTRANGE(""https://docs.google.com/spreadsheets/d/1JWG2rZePOz9pe-f-ObA-yDr0VoOX2kSb0qIi"&amp;"x2mTUo8/edit?usp=share_link"",""ตาก!l250"")+IMPORTRANGE(""https://docs.google.com/spreadsheets/d/10nSRjK08hx8Y6HgSOQKNw81lyY46Zc7U_Cj72hBMp9U/edit?usp=share_link"",""นครสวรรค์!l250"")+IMPORTRANGE(""https://docs.google.com/spreadsheets/d/1gFVb7qd7amutrIxAA"&amp;"oM7lcy35hllxznovot8lyOfvDo/edit?usp=share_link"",""น่าน!l250"")+IMPORTRANGE(""https://docs.google.com/spreadsheets/d/1K0Aa9s-6EuHE5M0FG1F9aHLXRCOV917xvycTdLdct0w/edit?usp=share_link"",""พะเยา!l250"")+IMPORTRANGE(""https://docs.google.com/spreadsheets/d/1Y"&amp;"9LPKx95PyL5OKy09d-KbKJSuuEZCFdkhYjwC0XQjBA/edit?usp=share_link"",""พิจิตร!l250"")+IMPORTRANGE(""https://docs.google.com/spreadsheets/d/16OMuOwy2eVqZcYWOouQtTpa8X1L23h4660uVHc0C8os/edit?usp=share_link"",""พิษณุโลก!l250"")+IMPORTRANGE(""https://docs.google."&amp;"com/spreadsheets/d/1GfgTldLG6k77HXaMQzaafODklYuucJZQNs_GAPEfZyY/edit?usp=share_link"",""เพชรบูรณ์!l250"")+IMPORTRANGE(""https://docs.google.com/spreadsheets/d/1gvTMYAnm7v1yG1BKWFtr0DnaTsq59oW9dwWvFgq6hs0/edit?usp=share_link"",""แพร่!l250"")+IMPORTRANGE("""&amp;"https://docs.google.com/spreadsheets/d/1Wbcosgy-Xa1xXUArJSOenub6EfZHUSzc_bpJFWwQUf0/edit?usp=share_link"",""แม่ฮ่องสอน!l250"")+IMPORTRANGE(""https://docs.google.com/spreadsheets/d/1p7ERhsr0qZeSn-KSOdeHS9r0heI-lHtkcn2OH7hP0jQ/edit?usp=share_link"",""ลำปาง!"&amp;"l250"")+IMPORTRANGE(""https://docs.google.com/spreadsheets/d/1-uUXvimVhiU2U0bMN-xi2te0tS4X7DI2GLPnMjzl8cA/edit?usp=share_link"",""ลำพูน!l250"")+IMPORTRANGE(""https://docs.google.com/spreadsheets/d/17HrOaa5pBUI1onckFfumXB8xlg35qb2uBAFfF1D-Myo/edit?usp=shar"&amp;"e_link"",""สุโขทัย!l250"")+IMPORTRANGE(""https://docs.google.com/spreadsheets/d/1ubs5cl16eYL9gHbdHTJtmtYb9MGzHBs7CAphn8kNCgM/edit?usp=share_link"",""อุตรดิตถ์!l250"")+IMPORTRANGE(""https://docs.google.com/spreadsheets/d/1kII0BjS6CtVrBvI8IrytgPdxDrlyQDyigz"&amp;"MsohRtDMs/edit?usp=share_link"",""อุทัยธานี!l250"")
"),165000)</f>
        <v>165000</v>
      </c>
      <c r="M250" s="321"/>
      <c r="N250" s="340">
        <f ca="1">IFERROR(__xludf.DUMMYFUNCTION("IMPORTRANGE(""https://docs.google.com/spreadsheets/d/1KxicF4apzSqm0-jIpmueT4kyZtE-Cwn5zskl7GD4loQ/edit?usp=share_link"",""กำแพงเพชร!n250"")+IMPORTRANGE(""https://docs.google.com/spreadsheets/d/1ZNYWeiFoFA1K1U4xKWqRX29MBvEyRHXORjo734Gnq_c/edit?usp=share_li"&amp;"nk"",""เชียงราย!n250"")
+IMPORTRANGE(""https://docs.google.com/spreadsheets/d/1Jgv0Y7YlHDtsiDawwp-uvifEJ8HVaSn0k2aGHG8-hwM/edit?usp=share_link"",""เชียงใหม่!n250"")+IMPORTRANGE(""https://docs.google.com/spreadsheets/d/1JWG2rZePOz9pe-f-ObA-yDr0VoOX2kSb0qIi"&amp;"x2mTUo8/edit?usp=share_link"",""ตาก!n250"")+IMPORTRANGE(""https://docs.google.com/spreadsheets/d/10nSRjK08hx8Y6HgSOQKNw81lyY46Zc7U_Cj72hBMp9U/edit?usp=share_link"",""นครสวรรค์!n250"")+IMPORTRANGE(""https://docs.google.com/spreadsheets/d/1gFVb7qd7amutrIxAA"&amp;"oM7lcy35hllxznovot8lyOfvDo/edit?usp=share_link"",""น่าน!n250"")+IMPORTRANGE(""https://docs.google.com/spreadsheets/d/1K0Aa9s-6EuHE5M0FG1F9aHLXRCOV917xvycTdLdct0w/edit?usp=share_link"",""พะเยา!n250"")+IMPORTRANGE(""https://docs.google.com/spreadsheets/d/1Y"&amp;"9LPKx95PyL5OKy09d-KbKJSuuEZCFdkhYjwC0XQjBA/edit?usp=share_link"",""พิจิตร!n250"")+IMPORTRANGE(""https://docs.google.com/spreadsheets/d/16OMuOwy2eVqZcYWOouQtTpa8X1L23h4660uVHc0C8os/edit?usp=share_link"",""พิษณุโลก!n250"")+IMPORTRANGE(""https://docs.google."&amp;"com/spreadsheets/d/1GfgTldLG6k77HXaMQzaafODklYuucJZQNs_GAPEfZyY/edit?usp=share_link"",""เพชรบูรณ์!n250"")+IMPORTRANGE(""https://docs.google.com/spreadsheets/d/1gvTMYAnm7v1yG1BKWFtr0DnaTsq59oW9dwWvFgq6hs0/edit?usp=share_link"",""แพร่!n250"")+IMPORTRANGE("""&amp;"https://docs.google.com/spreadsheets/d/1Wbcosgy-Xa1xXUArJSOenub6EfZHUSzc_bpJFWwQUf0/edit?usp=share_link"",""แม่ฮ่องสอน!n250"")+IMPORTRANGE(""https://docs.google.com/spreadsheets/d/1p7ERhsr0qZeSn-KSOdeHS9r0heI-lHtkcn2OH7hP0jQ/edit?usp=share_link"",""ลำปาง!"&amp;"n250"")+IMPORTRANGE(""https://docs.google.com/spreadsheets/d/1-uUXvimVhiU2U0bMN-xi2te0tS4X7DI2GLPnMjzl8cA/edit?usp=share_link"",""ลำพูน!n250"")+IMPORTRANGE(""https://docs.google.com/spreadsheets/d/17HrOaa5pBUI1onckFfumXB8xlg35qb2uBAFfF1D-Myo/edit?usp=shar"&amp;"e_link"",""สุโขทัย!n250"")+IMPORTRANGE(""https://docs.google.com/spreadsheets/d/1ubs5cl16eYL9gHbdHTJtmtYb9MGzHBs7CAphn8kNCgM/edit?usp=share_link"",""อุตรดิตถ์!n250"")+IMPORTRANGE(""https://docs.google.com/spreadsheets/d/1kII0BjS6CtVrBvI8IrytgPdxDrlyQDyigz"&amp;"MsohRtDMs/edit?usp=share_link"",""อุทัยธานี!n250"")
"),0)</f>
        <v>0</v>
      </c>
      <c r="O250" s="321"/>
      <c r="P250" s="321"/>
      <c r="Q250" s="312"/>
      <c r="R250" s="312"/>
      <c r="S250" s="312"/>
      <c r="T250" s="312"/>
      <c r="U250" s="312"/>
      <c r="V250" s="312"/>
      <c r="W250" s="312"/>
      <c r="X250" s="312"/>
      <c r="Y250" s="312"/>
      <c r="Z250" s="312"/>
    </row>
    <row r="251" spans="1:26" ht="19.5" hidden="1">
      <c r="A251" s="322"/>
      <c r="B251" s="314"/>
      <c r="C251" s="323"/>
      <c r="D251" s="324" t="s">
        <v>98</v>
      </c>
      <c r="E251" s="315"/>
      <c r="F251" s="315"/>
      <c r="G251" s="317"/>
      <c r="H251" s="318" t="s">
        <v>12</v>
      </c>
      <c r="I251" s="325"/>
      <c r="J251" s="325"/>
      <c r="K251" s="321"/>
      <c r="L251" s="321">
        <f ca="1">IFERROR(__xludf.DUMMYFUNCTION("IMPORTRANGE(""https://docs.google.com/spreadsheets/d/1KxicF4apzSqm0-jIpmueT4kyZtE-Cwn5zskl7GD4loQ/edit?usp=share_link"",""กำแพงเพชร!l251"")+IMPORTRANGE(""https://docs.google.com/spreadsheets/d/1ZNYWeiFoFA1K1U4xKWqRX29MBvEyRHXORjo734Gnq_c/edit?usp=share_li"&amp;"nk"",""เชียงราย!l251"")
+IMPORTRANGE(""https://docs.google.com/spreadsheets/d/1Jgv0Y7YlHDtsiDawwp-uvifEJ8HVaSn0k2aGHG8-hwM/edit?usp=share_link"",""เชียงใหม่!l251"")+IMPORTRANGE(""https://docs.google.com/spreadsheets/d/1JWG2rZePOz9pe-f-ObA-yDr0VoOX2kSb0qIi"&amp;"x2mTUo8/edit?usp=share_link"",""ตาก!l251"")+IMPORTRANGE(""https://docs.google.com/spreadsheets/d/10nSRjK08hx8Y6HgSOQKNw81lyY46Zc7U_Cj72hBMp9U/edit?usp=share_link"",""นครสวรรค์!l251"")+IMPORTRANGE(""https://docs.google.com/spreadsheets/d/1gFVb7qd7amutrIxAA"&amp;"oM7lcy35hllxznovot8lyOfvDo/edit?usp=share_link"",""น่าน!l251"")+IMPORTRANGE(""https://docs.google.com/spreadsheets/d/1K0Aa9s-6EuHE5M0FG1F9aHLXRCOV917xvycTdLdct0w/edit?usp=share_link"",""พะเยา!l251"")+IMPORTRANGE(""https://docs.google.com/spreadsheets/d/1Y"&amp;"9LPKx95PyL5OKy09d-KbKJSuuEZCFdkhYjwC0XQjBA/edit?usp=share_link"",""พิจิตร!l251"")+IMPORTRANGE(""https://docs.google.com/spreadsheets/d/16OMuOwy2eVqZcYWOouQtTpa8X1L23h4660uVHc0C8os/edit?usp=share_link"",""พิษณุโลก!l251"")+IMPORTRANGE(""https://docs.google."&amp;"com/spreadsheets/d/1GfgTldLG6k77HXaMQzaafODklYuucJZQNs_GAPEfZyY/edit?usp=share_link"",""เพชรบูรณ์!l251"")+IMPORTRANGE(""https://docs.google.com/spreadsheets/d/1gvTMYAnm7v1yG1BKWFtr0DnaTsq59oW9dwWvFgq6hs0/edit?usp=share_link"",""แพร่!l251"")+IMPORTRANGE("""&amp;"https://docs.google.com/spreadsheets/d/1Wbcosgy-Xa1xXUArJSOenub6EfZHUSzc_bpJFWwQUf0/edit?usp=share_link"",""แม่ฮ่องสอน!l251"")+IMPORTRANGE(""https://docs.google.com/spreadsheets/d/1p7ERhsr0qZeSn-KSOdeHS9r0heI-lHtkcn2OH7hP0jQ/edit?usp=share_link"",""ลำปาง!"&amp;"l251"")+IMPORTRANGE(""https://docs.google.com/spreadsheets/d/1-uUXvimVhiU2U0bMN-xi2te0tS4X7DI2GLPnMjzl8cA/edit?usp=share_link"",""ลำพูน!l251"")+IMPORTRANGE(""https://docs.google.com/spreadsheets/d/17HrOaa5pBUI1onckFfumXB8xlg35qb2uBAFfF1D-Myo/edit?usp=shar"&amp;"e_link"",""สุโขทัย!l251"")+IMPORTRANGE(""https://docs.google.com/spreadsheets/d/1ubs5cl16eYL9gHbdHTJtmtYb9MGzHBs7CAphn8kNCgM/edit?usp=share_link"",""อุตรดิตถ์!l251"")+IMPORTRANGE(""https://docs.google.com/spreadsheets/d/1kII0BjS6CtVrBvI8IrytgPdxDrlyQDyigz"&amp;"MsohRtDMs/edit?usp=share_link"",""อุทัยธานี!l251"")
"),57600)</f>
        <v>57600</v>
      </c>
      <c r="M251" s="321"/>
      <c r="N251" s="340">
        <f ca="1">IFERROR(__xludf.DUMMYFUNCTION("IMPORTRANGE(""https://docs.google.com/spreadsheets/d/1KxicF4apzSqm0-jIpmueT4kyZtE-Cwn5zskl7GD4loQ/edit?usp=share_link"",""กำแพงเพชร!n251"")+IMPORTRANGE(""https://docs.google.com/spreadsheets/d/1ZNYWeiFoFA1K1U4xKWqRX29MBvEyRHXORjo734Gnq_c/edit?usp=share_li"&amp;"nk"",""เชียงราย!n251"")
+IMPORTRANGE(""https://docs.google.com/spreadsheets/d/1Jgv0Y7YlHDtsiDawwp-uvifEJ8HVaSn0k2aGHG8-hwM/edit?usp=share_link"",""เชียงใหม่!n251"")+IMPORTRANGE(""https://docs.google.com/spreadsheets/d/1JWG2rZePOz9pe-f-ObA-yDr0VoOX2kSb0qIi"&amp;"x2mTUo8/edit?usp=share_link"",""ตาก!n251"")+IMPORTRANGE(""https://docs.google.com/spreadsheets/d/10nSRjK08hx8Y6HgSOQKNw81lyY46Zc7U_Cj72hBMp9U/edit?usp=share_link"",""นครสวรรค์!n251"")+IMPORTRANGE(""https://docs.google.com/spreadsheets/d/1gFVb7qd7amutrIxAA"&amp;"oM7lcy35hllxznovot8lyOfvDo/edit?usp=share_link"",""น่าน!n251"")+IMPORTRANGE(""https://docs.google.com/spreadsheets/d/1K0Aa9s-6EuHE5M0FG1F9aHLXRCOV917xvycTdLdct0w/edit?usp=share_link"",""พะเยา!n251"")+IMPORTRANGE(""https://docs.google.com/spreadsheets/d/1Y"&amp;"9LPKx95PyL5OKy09d-KbKJSuuEZCFdkhYjwC0XQjBA/edit?usp=share_link"",""พิจิตร!n251"")+IMPORTRANGE(""https://docs.google.com/spreadsheets/d/16OMuOwy2eVqZcYWOouQtTpa8X1L23h4660uVHc0C8os/edit?usp=share_link"",""พิษณุโลก!n251"")+IMPORTRANGE(""https://docs.google."&amp;"com/spreadsheets/d/1GfgTldLG6k77HXaMQzaafODklYuucJZQNs_GAPEfZyY/edit?usp=share_link"",""เพชรบูรณ์!n251"")+IMPORTRANGE(""https://docs.google.com/spreadsheets/d/1gvTMYAnm7v1yG1BKWFtr0DnaTsq59oW9dwWvFgq6hs0/edit?usp=share_link"",""แพร่!n251"")+IMPORTRANGE("""&amp;"https://docs.google.com/spreadsheets/d/1Wbcosgy-Xa1xXUArJSOenub6EfZHUSzc_bpJFWwQUf0/edit?usp=share_link"",""แม่ฮ่องสอน!n251"")+IMPORTRANGE(""https://docs.google.com/spreadsheets/d/1p7ERhsr0qZeSn-KSOdeHS9r0heI-lHtkcn2OH7hP0jQ/edit?usp=share_link"",""ลำปาง!"&amp;"n251"")+IMPORTRANGE(""https://docs.google.com/spreadsheets/d/1-uUXvimVhiU2U0bMN-xi2te0tS4X7DI2GLPnMjzl8cA/edit?usp=share_link"",""ลำพูน!n251"")+IMPORTRANGE(""https://docs.google.com/spreadsheets/d/17HrOaa5pBUI1onckFfumXB8xlg35qb2uBAFfF1D-Myo/edit?usp=shar"&amp;"e_link"",""สุโขทัย!n251"")+IMPORTRANGE(""https://docs.google.com/spreadsheets/d/1ubs5cl16eYL9gHbdHTJtmtYb9MGzHBs7CAphn8kNCgM/edit?usp=share_link"",""อุตรดิตถ์!n251"")+IMPORTRANGE(""https://docs.google.com/spreadsheets/d/1kII0BjS6CtVrBvI8IrytgPdxDrlyQDyigz"&amp;"MsohRtDMs/edit?usp=share_link"",""อุทัยธานี!n251"")
"),0)</f>
        <v>0</v>
      </c>
      <c r="O251" s="321"/>
      <c r="P251" s="321"/>
      <c r="Q251" s="326"/>
      <c r="R251" s="326"/>
      <c r="S251" s="326"/>
      <c r="T251" s="326"/>
      <c r="U251" s="326"/>
      <c r="V251" s="326"/>
      <c r="W251" s="326"/>
      <c r="X251" s="326"/>
      <c r="Y251" s="326"/>
      <c r="Z251" s="326"/>
    </row>
    <row r="252" spans="1:26" ht="19.5" hidden="1">
      <c r="A252" s="322"/>
      <c r="B252" s="314"/>
      <c r="C252" s="323"/>
      <c r="D252" s="324" t="s">
        <v>116</v>
      </c>
      <c r="E252" s="315"/>
      <c r="F252" s="315"/>
      <c r="G252" s="317"/>
      <c r="H252" s="318" t="s">
        <v>12</v>
      </c>
      <c r="I252" s="325"/>
      <c r="J252" s="325"/>
      <c r="K252" s="321"/>
      <c r="L252" s="321">
        <f ca="1">IFERROR(__xludf.DUMMYFUNCTION("IMPORTRANGE(""https://docs.google.com/spreadsheets/d/1KxicF4apzSqm0-jIpmueT4kyZtE-Cwn5zskl7GD4loQ/edit?usp=share_link"",""กำแพงเพชร!l252"")+IMPORTRANGE(""https://docs.google.com/spreadsheets/d/1ZNYWeiFoFA1K1U4xKWqRX29MBvEyRHXORjo734Gnq_c/edit?usp=share_li"&amp;"nk"",""เชียงราย!l252"")
+IMPORTRANGE(""https://docs.google.com/spreadsheets/d/1Jgv0Y7YlHDtsiDawwp-uvifEJ8HVaSn0k2aGHG8-hwM/edit?usp=share_link"",""เชียงใหม่!l252"")+IMPORTRANGE(""https://docs.google.com/spreadsheets/d/1JWG2rZePOz9pe-f-ObA-yDr0VoOX2kSb0qIi"&amp;"x2mTUo8/edit?usp=share_link"",""ตาก!l252"")+IMPORTRANGE(""https://docs.google.com/spreadsheets/d/10nSRjK08hx8Y6HgSOQKNw81lyY46Zc7U_Cj72hBMp9U/edit?usp=share_link"",""นครสวรรค์!l252"")+IMPORTRANGE(""https://docs.google.com/spreadsheets/d/1gFVb7qd7amutrIxAA"&amp;"oM7lcy35hllxznovot8lyOfvDo/edit?usp=share_link"",""น่าน!l252"")+IMPORTRANGE(""https://docs.google.com/spreadsheets/d/1K0Aa9s-6EuHE5M0FG1F9aHLXRCOV917xvycTdLdct0w/edit?usp=share_link"",""พะเยา!l252"")+IMPORTRANGE(""https://docs.google.com/spreadsheets/d/1Y"&amp;"9LPKx95PyL5OKy09d-KbKJSuuEZCFdkhYjwC0XQjBA/edit?usp=share_link"",""พิจิตร!l252"")+IMPORTRANGE(""https://docs.google.com/spreadsheets/d/16OMuOwy2eVqZcYWOouQtTpa8X1L23h4660uVHc0C8os/edit?usp=share_link"",""พิษณุโลก!l252"")+IMPORTRANGE(""https://docs.google."&amp;"com/spreadsheets/d/1GfgTldLG6k77HXaMQzaafODklYuucJZQNs_GAPEfZyY/edit?usp=share_link"",""เพชรบูรณ์!l252"")+IMPORTRANGE(""https://docs.google.com/spreadsheets/d/1gvTMYAnm7v1yG1BKWFtr0DnaTsq59oW9dwWvFgq6hs0/edit?usp=share_link"",""แพร่!l252"")+IMPORTRANGE("""&amp;"https://docs.google.com/spreadsheets/d/1Wbcosgy-Xa1xXUArJSOenub6EfZHUSzc_bpJFWwQUf0/edit?usp=share_link"",""แม่ฮ่องสอน!l252"")+IMPORTRANGE(""https://docs.google.com/spreadsheets/d/1p7ERhsr0qZeSn-KSOdeHS9r0heI-lHtkcn2OH7hP0jQ/edit?usp=share_link"",""ลำปาง!"&amp;"l252"")+IMPORTRANGE(""https://docs.google.com/spreadsheets/d/1-uUXvimVhiU2U0bMN-xi2te0tS4X7DI2GLPnMjzl8cA/edit?usp=share_link"",""ลำพูน!l252"")+IMPORTRANGE(""https://docs.google.com/spreadsheets/d/17HrOaa5pBUI1onckFfumXB8xlg35qb2uBAFfF1D-Myo/edit?usp=shar"&amp;"e_link"",""สุโขทัย!l252"")+IMPORTRANGE(""https://docs.google.com/spreadsheets/d/1ubs5cl16eYL9gHbdHTJtmtYb9MGzHBs7CAphn8kNCgM/edit?usp=share_link"",""อุตรดิตถ์!l252"")+IMPORTRANGE(""https://docs.google.com/spreadsheets/d/1kII0BjS6CtVrBvI8IrytgPdxDrlyQDyigz"&amp;"MsohRtDMs/edit?usp=share_link"",""อุทัยธานี!l252"")
"),45000)</f>
        <v>45000</v>
      </c>
      <c r="M252" s="321"/>
      <c r="N252" s="340">
        <f ca="1">IFERROR(__xludf.DUMMYFUNCTION("IMPORTRANGE(""https://docs.google.com/spreadsheets/d/1KxicF4apzSqm0-jIpmueT4kyZtE-Cwn5zskl7GD4loQ/edit?usp=share_link"",""กำแพงเพชร!N71"")+IMPORTRANGE(""https://docs.google.com/spreadsheets/d/1ZNYWeiFoFA1K1U4xKWqRX29MBvEyRHXORjo734Gnq_c/edit?usp=share_lin"&amp;"k"",""เชียงราย!N71"")
+IMPORTRANGE(""https://docs.google.com/spreadsheets/d/1Jgv0Y7YlHDtsiDawwp-uvifEJ8HVaSn0k2aGHG8-hwM/edit?usp=share_link"",""เชียงใหม่!N71"")+IMPORTRANGE(""https://docs.google.com/spreadsheets/d/1JWG2rZePOz9pe-f-ObA-yDr0VoOX2kSb0qIix2m"&amp;"TUo8/edit?usp=share_link"",""ตาก!N71"")+IMPORTRANGE(""https://docs.google.com/spreadsheets/d/10nSRjK08hx8Y6HgSOQKNw81lyY46Zc7U_Cj72hBMp9U/edit?usp=share_link"",""นครสวรรค์!N71"")+IMPORTRANGE(""https://docs.google.com/spreadsheets/d/1gFVb7qd7amutrIxAAoM7lc"&amp;"y35hllxznovot8lyOfvDo/edit?usp=share_link"",""น่าน!N71"")+IMPORTRANGE(""https://docs.google.com/spreadsheets/d/1K0Aa9s-6EuHE5M0FG1F9aHLXRCOV917xvycTdLdct0w/edit?usp=share_link"",""พะเยา!N71"")+IMPORTRANGE(""https://docs.google.com/spreadsheets/d/1Y9LPKx95"&amp;"PyL5OKy09d-KbKJSuuEZCFdkhYjwC0XQjBA/edit?usp=share_link"",""พิจิตร!N71"")+IMPORTRANGE(""https://docs.google.com/spreadsheets/d/16OMuOwy2eVqZcYWOouQtTpa8X1L23h4660uVHc0C8os/edit?usp=share_link"",""พิษณุโลก!N71"")+IMPORTRANGE(""https://docs.google.com/sprea"&amp;"dsheets/d/1GfgTldLG6k77HXaMQzaafODklYuucJZQNs_GAPEfZyY/edit?usp=share_link"",""เพชรบูรณ์!N71"")+IMPORTRANGE(""https://docs.google.com/spreadsheets/d/1gvTMYAnm7v1yG1BKWFtr0DnaTsq59oW9dwWvFgq6hs0/edit?usp=share_link"",""แพร่!N71"")+IMPORTRANGE(""https://doc"&amp;"s.google.com/spreadsheets/d/1Wbcosgy-Xa1xXUArJSOenub6EfZHUSzc_bpJFWwQUf0/edit?usp=share_link"",""แม่ฮ่องสอน!N71"")+IMPORTRANGE(""https://docs.google.com/spreadsheets/d/1p7ERhsr0qZeSn-KSOdeHS9r0heI-lHtkcn2OH7hP0jQ/edit?usp=share_link"",""ลำปาง!N71"")+IMPOR"&amp;"TRANGE(""https://docs.google.com/spreadsheets/d/1-uUXvimVhiU2U0bMN-xi2te0tS4X7DI2GLPnMjzl8cA/edit?usp=share_link"",""ลำพูน!N71"")+IMPORTRANGE(""https://docs.google.com/spreadsheets/d/17HrOaa5pBUI1onckFfumXB8xlg35qb2uBAFfF1D-Myo/edit?usp=share_link"",""สุโ"&amp;"ขทัย!N71"")+IMPORTRANGE(""https://docs.google.com/spreadsheets/d/1ubs5cl16eYL9gHbdHTJtmtYb9MGzHBs7CAphn8kNCgM/edit?usp=share_link"",""อุตรดิตถ์!N71"")+IMPORTRANGE(""https://docs.google.com/spreadsheets/d/1kII0BjS6CtVrBvI8IrytgPdxDrlyQDyigzMsohRtDMs/edit?u"&amp;"sp=share_link"",""อุทัยธานี!N71"")
"),984111.47)</f>
        <v>984111.47</v>
      </c>
      <c r="O252" s="321"/>
      <c r="P252" s="321"/>
      <c r="Q252" s="326"/>
      <c r="R252" s="326"/>
      <c r="S252" s="326"/>
      <c r="T252" s="326"/>
      <c r="U252" s="326"/>
      <c r="V252" s="326"/>
      <c r="W252" s="326"/>
      <c r="X252" s="326"/>
      <c r="Y252" s="326"/>
      <c r="Z252" s="326"/>
    </row>
    <row r="253" spans="1:26" ht="19.5" hidden="1">
      <c r="A253" s="322"/>
      <c r="B253" s="314"/>
      <c r="C253" s="323"/>
      <c r="D253" s="324" t="s">
        <v>100</v>
      </c>
      <c r="E253" s="315"/>
      <c r="F253" s="315"/>
      <c r="G253" s="317"/>
      <c r="H253" s="318" t="s">
        <v>12</v>
      </c>
      <c r="I253" s="325"/>
      <c r="J253" s="325"/>
      <c r="K253" s="321"/>
      <c r="L253" s="321">
        <f ca="1">IFERROR(__xludf.DUMMYFUNCTION("IMPORTRANGE(""https://docs.google.com/spreadsheets/d/1KxicF4apzSqm0-jIpmueT4kyZtE-Cwn5zskl7GD4loQ/edit?usp=share_link"",""กำแพงเพชร!l253"")+IMPORTRANGE(""https://docs.google.com/spreadsheets/d/1ZNYWeiFoFA1K1U4xKWqRX29MBvEyRHXORjo734Gnq_c/edit?usp=share_li"&amp;"nk"",""เชียงราย!l253"")
+IMPORTRANGE(""https://docs.google.com/spreadsheets/d/1Jgv0Y7YlHDtsiDawwp-uvifEJ8HVaSn0k2aGHG8-hwM/edit?usp=share_link"",""เชียงใหม่!l253"")+IMPORTRANGE(""https://docs.google.com/spreadsheets/d/1JWG2rZePOz9pe-f-ObA-yDr0VoOX2kSb0qIi"&amp;"x2mTUo8/edit?usp=share_link"",""ตาก!l253"")+IMPORTRANGE(""https://docs.google.com/spreadsheets/d/10nSRjK08hx8Y6HgSOQKNw81lyY46Zc7U_Cj72hBMp9U/edit?usp=share_link"",""นครสวรรค์!l253"")+IMPORTRANGE(""https://docs.google.com/spreadsheets/d/1gFVb7qd7amutrIxAA"&amp;"oM7lcy35hllxznovot8lyOfvDo/edit?usp=share_link"",""น่าน!l253"")+IMPORTRANGE(""https://docs.google.com/spreadsheets/d/1K0Aa9s-6EuHE5M0FG1F9aHLXRCOV917xvycTdLdct0w/edit?usp=share_link"",""พะเยา!l253"")+IMPORTRANGE(""https://docs.google.com/spreadsheets/d/1Y"&amp;"9LPKx95PyL5OKy09d-KbKJSuuEZCFdkhYjwC0XQjBA/edit?usp=share_link"",""พิจิตร!l253"")+IMPORTRANGE(""https://docs.google.com/spreadsheets/d/16OMuOwy2eVqZcYWOouQtTpa8X1L23h4660uVHc0C8os/edit?usp=share_link"",""พิษณุโลก!l253"")+IMPORTRANGE(""https://docs.google."&amp;"com/spreadsheets/d/1GfgTldLG6k77HXaMQzaafODklYuucJZQNs_GAPEfZyY/edit?usp=share_link"",""เพชรบูรณ์!l253"")+IMPORTRANGE(""https://docs.google.com/spreadsheets/d/1gvTMYAnm7v1yG1BKWFtr0DnaTsq59oW9dwWvFgq6hs0/edit?usp=share_link"",""แพร่!l253"")+IMPORTRANGE("""&amp;"https://docs.google.com/spreadsheets/d/1Wbcosgy-Xa1xXUArJSOenub6EfZHUSzc_bpJFWwQUf0/edit?usp=share_link"",""แม่ฮ่องสอน!l253"")+IMPORTRANGE(""https://docs.google.com/spreadsheets/d/1p7ERhsr0qZeSn-KSOdeHS9r0heI-lHtkcn2OH7hP0jQ/edit?usp=share_link"",""ลำปาง!"&amp;"l253"")+IMPORTRANGE(""https://docs.google.com/spreadsheets/d/1-uUXvimVhiU2U0bMN-xi2te0tS4X7DI2GLPnMjzl8cA/edit?usp=share_link"",""ลำพูน!l253"")+IMPORTRANGE(""https://docs.google.com/spreadsheets/d/17HrOaa5pBUI1onckFfumXB8xlg35qb2uBAFfF1D-Myo/edit?usp=shar"&amp;"e_link"",""สุโขทัย!l253"")+IMPORTRANGE(""https://docs.google.com/spreadsheets/d/1ubs5cl16eYL9gHbdHTJtmtYb9MGzHBs7CAphn8kNCgM/edit?usp=share_link"",""อุตรดิตถ์!l253"")+IMPORTRANGE(""https://docs.google.com/spreadsheets/d/1kII0BjS6CtVrBvI8IrytgPdxDrlyQDyigz"&amp;"MsohRtDMs/edit?usp=share_link"",""อุทัยธานี!l253"")
"),10000)</f>
        <v>10000</v>
      </c>
      <c r="M253" s="321"/>
      <c r="N253" s="340">
        <f ca="1">IFERROR(__xludf.DUMMYFUNCTION("IMPORTRANGE(""https://docs.google.com/spreadsheets/d/1KxicF4apzSqm0-jIpmueT4kyZtE-Cwn5zskl7GD4loQ/edit?usp=share_link"",""กำแพงเพชร!n253"")+IMPORTRANGE(""https://docs.google.com/spreadsheets/d/1ZNYWeiFoFA1K1U4xKWqRX29MBvEyRHXORjo734Gnq_c/edit?usp=share_li"&amp;"nk"",""เชียงราย!n253"")
+IMPORTRANGE(""https://docs.google.com/spreadsheets/d/1Jgv0Y7YlHDtsiDawwp-uvifEJ8HVaSn0k2aGHG8-hwM/edit?usp=share_link"",""เชียงใหม่!n253"")+IMPORTRANGE(""https://docs.google.com/spreadsheets/d/1JWG2rZePOz9pe-f-ObA-yDr0VoOX2kSb0qIi"&amp;"x2mTUo8/edit?usp=share_link"",""ตาก!n253"")+IMPORTRANGE(""https://docs.google.com/spreadsheets/d/10nSRjK08hx8Y6HgSOQKNw81lyY46Zc7U_Cj72hBMp9U/edit?usp=share_link"",""นครสวรรค์!n253"")+IMPORTRANGE(""https://docs.google.com/spreadsheets/d/1gFVb7qd7amutrIxAA"&amp;"oM7lcy35hllxznovot8lyOfvDo/edit?usp=share_link"",""น่าน!n253"")+IMPORTRANGE(""https://docs.google.com/spreadsheets/d/1K0Aa9s-6EuHE5M0FG1F9aHLXRCOV917xvycTdLdct0w/edit?usp=share_link"",""พะเยา!n253"")+IMPORTRANGE(""https://docs.google.com/spreadsheets/d/1Y"&amp;"9LPKx95PyL5OKy09d-KbKJSuuEZCFdkhYjwC0XQjBA/edit?usp=share_link"",""พิจิตร!n253"")+IMPORTRANGE(""https://docs.google.com/spreadsheets/d/16OMuOwy2eVqZcYWOouQtTpa8X1L23h4660uVHc0C8os/edit?usp=share_link"",""พิษณุโลก!n253"")+IMPORTRANGE(""https://docs.google."&amp;"com/spreadsheets/d/1GfgTldLG6k77HXaMQzaafODklYuucJZQNs_GAPEfZyY/edit?usp=share_link"",""เพชรบูรณ์!n253"")+IMPORTRANGE(""https://docs.google.com/spreadsheets/d/1gvTMYAnm7v1yG1BKWFtr0DnaTsq59oW9dwWvFgq6hs0/edit?usp=share_link"",""แพร่!n253"")+IMPORTRANGE("""&amp;"https://docs.google.com/spreadsheets/d/1Wbcosgy-Xa1xXUArJSOenub6EfZHUSzc_bpJFWwQUf0/edit?usp=share_link"",""แม่ฮ่องสอน!n253"")+IMPORTRANGE(""https://docs.google.com/spreadsheets/d/1p7ERhsr0qZeSn-KSOdeHS9r0heI-lHtkcn2OH7hP0jQ/edit?usp=share_link"",""ลำปาง!"&amp;"n253"")+IMPORTRANGE(""https://docs.google.com/spreadsheets/d/1-uUXvimVhiU2U0bMN-xi2te0tS4X7DI2GLPnMjzl8cA/edit?usp=share_link"",""ลำพูน!n253"")+IMPORTRANGE(""https://docs.google.com/spreadsheets/d/17HrOaa5pBUI1onckFfumXB8xlg35qb2uBAFfF1D-Myo/edit?usp=shar"&amp;"e_link"",""สุโขทัย!n253"")+IMPORTRANGE(""https://docs.google.com/spreadsheets/d/1ubs5cl16eYL9gHbdHTJtmtYb9MGzHBs7CAphn8kNCgM/edit?usp=share_link"",""อุตรดิตถ์!n253"")+IMPORTRANGE(""https://docs.google.com/spreadsheets/d/1kII0BjS6CtVrBvI8IrytgPdxDrlyQDyigz"&amp;"MsohRtDMs/edit?usp=share_link"",""อุทัยธานี!n253"")
"),0)</f>
        <v>0</v>
      </c>
      <c r="O253" s="321"/>
      <c r="P253" s="321"/>
      <c r="Q253" s="326"/>
      <c r="R253" s="326"/>
      <c r="S253" s="326"/>
      <c r="T253" s="326"/>
      <c r="U253" s="326"/>
      <c r="V253" s="326"/>
      <c r="W253" s="326"/>
      <c r="X253" s="326"/>
      <c r="Y253" s="326"/>
      <c r="Z253" s="326"/>
    </row>
    <row r="254" spans="1:26" ht="19.5" hidden="1">
      <c r="A254" s="170"/>
      <c r="B254" s="171"/>
      <c r="C254" s="291" t="s">
        <v>16</v>
      </c>
      <c r="D254" s="172" t="s">
        <v>38</v>
      </c>
      <c r="E254" s="173"/>
      <c r="F254" s="173"/>
      <c r="G254" s="174"/>
      <c r="H254" s="175"/>
      <c r="I254" s="162"/>
      <c r="J254" s="37"/>
      <c r="K254" s="38"/>
      <c r="L254" s="38"/>
      <c r="M254" s="38"/>
      <c r="N254" s="38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181" t="s">
        <v>117</v>
      </c>
      <c r="E255" s="178"/>
      <c r="F255" s="178"/>
      <c r="G255" s="179"/>
      <c r="H255" s="182" t="s">
        <v>35</v>
      </c>
      <c r="I255" s="37">
        <f ca="1">IFERROR(__xludf.DUMMYFUNCTION("IMPORTRANGE(""https://docs.google.com/spreadsheets/d/1KxicF4apzSqm0-jIpmueT4kyZtE-Cwn5zskl7GD4loQ/edit?usp=share_link"",""กำแพงเพชร!I255"")+IMPORTRANGE(""https://docs.google.com/spreadsheets/d/1ZNYWeiFoFA1K1U4xKWqRX29MBvEyRHXORjo734Gnq_c/edit?usp=share_li"&amp;"nk"",""เชียงราย!I255"")
+IMPORTRANGE(""https://docs.google.com/spreadsheets/d/1Jgv0Y7YlHDtsiDawwp-uvifEJ8HVaSn0k2aGHG8-hwM/edit?usp=share_link"",""เชียงใหม่!I255"")+IMPORTRANGE(""https://docs.google.com/spreadsheets/d/1JWG2rZePOz9pe-f-ObA-yDr0VoOX2kSb0qIi"&amp;"x2mTUo8/edit?usp=share_link"",""ตาก!I255"")+IMPORTRANGE(""https://docs.google.com/spreadsheets/d/10nSRjK08hx8Y6HgSOQKNw81lyY46Zc7U_Cj72hBMp9U/edit?usp=share_link"",""นครสวรรค์!I255"")+IMPORTRANGE(""https://docs.google.com/spreadsheets/d/1gFVb7qd7amutrIxAA"&amp;"oM7lcy35hllxznovot8lyOfvDo/edit?usp=share_link"",""น่าน!I255"")+IMPORTRANGE(""https://docs.google.com/spreadsheets/d/1K0Aa9s-6EuHE5M0FG1F9aHLXRCOV917xvycTdLdct0w/edit?usp=share_link"",""พะเยา!I255"")+IMPORTRANGE(""https://docs.google.com/spreadsheets/d/1Y"&amp;"9LPKx95PyL5OKy09d-KbKJSuuEZCFdkhYjwC0XQjBA/edit?usp=share_link"",""พิจิตร!I255"")+IMPORTRANGE(""https://docs.google.com/spreadsheets/d/16OMuOwy2eVqZcYWOouQtTpa8X1L23h4660uVHc0C8os/edit?usp=share_link"",""พิษณุโลก!I255"")+IMPORTRANGE(""https://docs.google."&amp;"com/spreadsheets/d/1GfgTldLG6k77HXaMQzaafODklYuucJZQNs_GAPEfZyY/edit?usp=share_link"",""เพชรบูรณ์!I255"")+IMPORTRANGE(""https://docs.google.com/spreadsheets/d/1gvTMYAnm7v1yG1BKWFtr0DnaTsq59oW9dwWvFgq6hs0/edit?usp=share_link"",""แพร่!I255"")+IMPORTRANGE("""&amp;"https://docs.google.com/spreadsheets/d/1Wbcosgy-Xa1xXUArJSOenub6EfZHUSzc_bpJFWwQUf0/edit?usp=share_link"",""แม่ฮ่องสอน!I255"")+IMPORTRANGE(""https://docs.google.com/spreadsheets/d/1p7ERhsr0qZeSn-KSOdeHS9r0heI-lHtkcn2OH7hP0jQ/edit?usp=share_link"",""ลำปาง!"&amp;"I255"")+IMPORTRANGE(""https://docs.google.com/spreadsheets/d/1-uUXvimVhiU2U0bMN-xi2te0tS4X7DI2GLPnMjzl8cA/edit?usp=share_link"",""ลำพูน!I255"")+IMPORTRANGE(""https://docs.google.com/spreadsheets/d/17HrOaa5pBUI1onckFfumXB8xlg35qb2uBAFfF1D-Myo/edit?usp=shar"&amp;"e_link"",""สุโขทัย!I255"")+IMPORTRANGE(""https://docs.google.com/spreadsheets/d/1ubs5cl16eYL9gHbdHTJtmtYb9MGzHBs7CAphn8kNCgM/edit?usp=share_link"",""อุตรดิตถ์!I255"")+IMPORTRANGE(""https://docs.google.com/spreadsheets/d/1kII0BjS6CtVrBvI8IrytgPdxDrlyQDyigz"&amp;"MsohRtDMs/edit?usp=share_link"",""อุทัยธานี!I255"")
"),40)</f>
        <v>40</v>
      </c>
      <c r="J255" s="183">
        <f ca="1">IFERROR(__xludf.DUMMYFUNCTION("IMPORTRANGE(""https://docs.google.com/spreadsheets/d/1KxicF4apzSqm0-jIpmueT4kyZtE-Cwn5zskl7GD4loQ/edit?usp=share_link"",""กำแพงเพชร!J255"")+IMPORTRANGE(""https://docs.google.com/spreadsheets/d/1ZNYWeiFoFA1K1U4xKWqRX29MBvEyRHXORjo734Gnq_c/edit?usp=share_li"&amp;"nk"",""เชียงราย!J255"")
+IMPORTRANGE(""https://docs.google.com/spreadsheets/d/1Jgv0Y7YlHDtsiDawwp-uvifEJ8HVaSn0k2aGHG8-hwM/edit?usp=share_link"",""เชียงใหม่!J255"")+IMPORTRANGE(""https://docs.google.com/spreadsheets/d/1JWG2rZePOz9pe-f-ObA-yDr0VoOX2kSb0qIi"&amp;"x2mTUo8/edit?usp=share_link"",""ตาก!J255"")+IMPORTRANGE(""https://docs.google.com/spreadsheets/d/10nSRjK08hx8Y6HgSOQKNw81lyY46Zc7U_Cj72hBMp9U/edit?usp=share_link"",""นครสวรรค์!J255"")+IMPORTRANGE(""https://docs.google.com/spreadsheets/d/1gFVb7qd7amutrIxAA"&amp;"oM7lcy35hllxznovot8lyOfvDo/edit?usp=share_link"",""น่าน!J255"")+IMPORTRANGE(""https://docs.google.com/spreadsheets/d/1K0Aa9s-6EuHE5M0FG1F9aHLXRCOV917xvycTdLdct0w/edit?usp=share_link"",""พะเยา!J255"")+IMPORTRANGE(""https://docs.google.com/spreadsheets/d/1Y"&amp;"9LPKx95PyL5OKy09d-KbKJSuuEZCFdkhYjwC0XQjBA/edit?usp=share_link"",""พิจิตร!J255"")+IMPORTRANGE(""https://docs.google.com/spreadsheets/d/16OMuOwy2eVqZcYWOouQtTpa8X1L23h4660uVHc0C8os/edit?usp=share_link"",""พิษณุโลก!J255"")+IMPORTRANGE(""https://docs.google."&amp;"com/spreadsheets/d/1GfgTldLG6k77HXaMQzaafODklYuucJZQNs_GAPEfZyY/edit?usp=share_link"",""เพชรบูรณ์!J255"")+IMPORTRANGE(""https://docs.google.com/spreadsheets/d/1gvTMYAnm7v1yG1BKWFtr0DnaTsq59oW9dwWvFgq6hs0/edit?usp=share_link"",""แพร่!J255"")+IMPORTRANGE("""&amp;"https://docs.google.com/spreadsheets/d/1Wbcosgy-Xa1xXUArJSOenub6EfZHUSzc_bpJFWwQUf0/edit?usp=share_link"",""แม่ฮ่องสอน!J255"")+IMPORTRANGE(""https://docs.google.com/spreadsheets/d/1p7ERhsr0qZeSn-KSOdeHS9r0heI-lHtkcn2OH7hP0jQ/edit?usp=share_link"",""ลำปาง!"&amp;"J255"")+IMPORTRANGE(""https://docs.google.com/spreadsheets/d/1-uUXvimVhiU2U0bMN-xi2te0tS4X7DI2GLPnMjzl8cA/edit?usp=share_link"",""ลำพูน!J255"")+IMPORTRANGE(""https://docs.google.com/spreadsheets/d/17HrOaa5pBUI1onckFfumXB8xlg35qb2uBAFfF1D-Myo/edit?usp=shar"&amp;"e_link"",""สุโขทัย!J255"")+IMPORTRANGE(""https://docs.google.com/spreadsheets/d/1ubs5cl16eYL9gHbdHTJtmtYb9MGzHBs7CAphn8kNCgM/edit?usp=share_link"",""อุตรดิตถ์!J255"")+IMPORTRANGE(""https://docs.google.com/spreadsheets/d/1kII0BjS6CtVrBvI8IrytgPdxDrlyQDyigz"&amp;"MsohRtDMs/edit?usp=share_link"",""อุทัยธานี!J255"")
"),0)</f>
        <v>0</v>
      </c>
      <c r="K255" s="38">
        <f ca="1">IF(I255&gt;0,J255*100/I255,0)</f>
        <v>0</v>
      </c>
      <c r="L255" s="38"/>
      <c r="M255" s="38"/>
      <c r="N255" s="38"/>
      <c r="O255" s="38"/>
      <c r="P255" s="38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341" t="s">
        <v>43</v>
      </c>
      <c r="E256" s="342"/>
      <c r="F256" s="178"/>
      <c r="G256" s="179"/>
      <c r="H256" s="182"/>
      <c r="I256" s="37"/>
      <c r="J256" s="37"/>
      <c r="K256" s="38"/>
      <c r="L256" s="38"/>
      <c r="M256" s="38"/>
      <c r="N256" s="38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343" t="s">
        <v>118</v>
      </c>
      <c r="F257" s="178"/>
      <c r="G257" s="179"/>
      <c r="H257" s="182" t="s">
        <v>35</v>
      </c>
      <c r="I257" s="37">
        <f ca="1">IFERROR(__xludf.DUMMYFUNCTION("IMPORTRANGE(""https://docs.google.com/spreadsheets/d/1KxicF4apzSqm0-jIpmueT4kyZtE-Cwn5zskl7GD4loQ/edit?usp=share_link"",""กำแพงเพชร!I257"")+IMPORTRANGE(""https://docs.google.com/spreadsheets/d/1ZNYWeiFoFA1K1U4xKWqRX29MBvEyRHXORjo734Gnq_c/edit?usp=share_li"&amp;"nk"",""เชียงราย!I257"")
+IMPORTRANGE(""https://docs.google.com/spreadsheets/d/1Jgv0Y7YlHDtsiDawwp-uvifEJ8HVaSn0k2aGHG8-hwM/edit?usp=share_link"",""เชียงใหม่!I257"")+IMPORTRANGE(""https://docs.google.com/spreadsheets/d/1JWG2rZePOz9pe-f-ObA-yDr0VoOX2kSb0qIi"&amp;"x2mTUo8/edit?usp=share_link"",""ตาก!I257"")+IMPORTRANGE(""https://docs.google.com/spreadsheets/d/10nSRjK08hx8Y6HgSOQKNw81lyY46Zc7U_Cj72hBMp9U/edit?usp=share_link"",""นครสวรรค์!I257"")+IMPORTRANGE(""https://docs.google.com/spreadsheets/d/1gFVb7qd7amutrIxAA"&amp;"oM7lcy35hllxznovot8lyOfvDo/edit?usp=share_link"",""น่าน!I257"")+IMPORTRANGE(""https://docs.google.com/spreadsheets/d/1K0Aa9s-6EuHE5M0FG1F9aHLXRCOV917xvycTdLdct0w/edit?usp=share_link"",""พะเยา!I257"")+IMPORTRANGE(""https://docs.google.com/spreadsheets/d/1Y"&amp;"9LPKx95PyL5OKy09d-KbKJSuuEZCFdkhYjwC0XQjBA/edit?usp=share_link"",""พิจิตร!I257"")+IMPORTRANGE(""https://docs.google.com/spreadsheets/d/16OMuOwy2eVqZcYWOouQtTpa8X1L23h4660uVHc0C8os/edit?usp=share_link"",""พิษณุโลก!I257"")+IMPORTRANGE(""https://docs.google."&amp;"com/spreadsheets/d/1GfgTldLG6k77HXaMQzaafODklYuucJZQNs_GAPEfZyY/edit?usp=share_link"",""เพชรบูรณ์!I257"")+IMPORTRANGE(""https://docs.google.com/spreadsheets/d/1gvTMYAnm7v1yG1BKWFtr0DnaTsq59oW9dwWvFgq6hs0/edit?usp=share_link"",""แพร่!I257"")+IMPORTRANGE("""&amp;"https://docs.google.com/spreadsheets/d/1Wbcosgy-Xa1xXUArJSOenub6EfZHUSzc_bpJFWwQUf0/edit?usp=share_link"",""แม่ฮ่องสอน!I257"")+IMPORTRANGE(""https://docs.google.com/spreadsheets/d/1p7ERhsr0qZeSn-KSOdeHS9r0heI-lHtkcn2OH7hP0jQ/edit?usp=share_link"",""ลำปาง!"&amp;"I257"")+IMPORTRANGE(""https://docs.google.com/spreadsheets/d/1-uUXvimVhiU2U0bMN-xi2te0tS4X7DI2GLPnMjzl8cA/edit?usp=share_link"",""ลำพูน!I257"")+IMPORTRANGE(""https://docs.google.com/spreadsheets/d/17HrOaa5pBUI1onckFfumXB8xlg35qb2uBAFfF1D-Myo/edit?usp=shar"&amp;"e_link"",""สุโขทัย!I257"")+IMPORTRANGE(""https://docs.google.com/spreadsheets/d/1ubs5cl16eYL9gHbdHTJtmtYb9MGzHBs7CAphn8kNCgM/edit?usp=share_link"",""อุตรดิตถ์!I257"")+IMPORTRANGE(""https://docs.google.com/spreadsheets/d/1kII0BjS6CtVrBvI8IrytgPdxDrlyQDyigz"&amp;"MsohRtDMs/edit?usp=share_link"",""อุทัยธานี!I257"")
"),40)</f>
        <v>40</v>
      </c>
      <c r="J257" s="183">
        <f ca="1">IFERROR(__xludf.DUMMYFUNCTION("IMPORTRANGE(""https://docs.google.com/spreadsheets/d/1KxicF4apzSqm0-jIpmueT4kyZtE-Cwn5zskl7GD4loQ/edit?usp=share_link"",""กำแพงเพชร!J257"")+IMPORTRANGE(""https://docs.google.com/spreadsheets/d/1ZNYWeiFoFA1K1U4xKWqRX29MBvEyRHXORjo734Gnq_c/edit?usp=share_li"&amp;"nk"",""เชียงราย!J257"")
+IMPORTRANGE(""https://docs.google.com/spreadsheets/d/1Jgv0Y7YlHDtsiDawwp-uvifEJ8HVaSn0k2aGHG8-hwM/edit?usp=share_link"",""เชียงใหม่!J257"")+IMPORTRANGE(""https://docs.google.com/spreadsheets/d/1JWG2rZePOz9pe-f-ObA-yDr0VoOX2kSb0qIi"&amp;"x2mTUo8/edit?usp=share_link"",""ตาก!J257"")+IMPORTRANGE(""https://docs.google.com/spreadsheets/d/10nSRjK08hx8Y6HgSOQKNw81lyY46Zc7U_Cj72hBMp9U/edit?usp=share_link"",""นครสวรรค์!J257"")+IMPORTRANGE(""https://docs.google.com/spreadsheets/d/1gFVb7qd7amutrIxAA"&amp;"oM7lcy35hllxznovot8lyOfvDo/edit?usp=share_link"",""น่าน!J257"")+IMPORTRANGE(""https://docs.google.com/spreadsheets/d/1K0Aa9s-6EuHE5M0FG1F9aHLXRCOV917xvycTdLdct0w/edit?usp=share_link"",""พะเยา!J257"")+IMPORTRANGE(""https://docs.google.com/spreadsheets/d/1Y"&amp;"9LPKx95PyL5OKy09d-KbKJSuuEZCFdkhYjwC0XQjBA/edit?usp=share_link"",""พิจิตร!J257"")+IMPORTRANGE(""https://docs.google.com/spreadsheets/d/16OMuOwy2eVqZcYWOouQtTpa8X1L23h4660uVHc0C8os/edit?usp=share_link"",""พิษณุโลก!J257"")+IMPORTRANGE(""https://docs.google."&amp;"com/spreadsheets/d/1GfgTldLG6k77HXaMQzaafODklYuucJZQNs_GAPEfZyY/edit?usp=share_link"",""เพชรบูรณ์!J257"")+IMPORTRANGE(""https://docs.google.com/spreadsheets/d/1gvTMYAnm7v1yG1BKWFtr0DnaTsq59oW9dwWvFgq6hs0/edit?usp=share_link"",""แพร่!J257"")+IMPORTRANGE("""&amp;"https://docs.google.com/spreadsheets/d/1Wbcosgy-Xa1xXUArJSOenub6EfZHUSzc_bpJFWwQUf0/edit?usp=share_link"",""แม่ฮ่องสอน!J257"")+IMPORTRANGE(""https://docs.google.com/spreadsheets/d/1p7ERhsr0qZeSn-KSOdeHS9r0heI-lHtkcn2OH7hP0jQ/edit?usp=share_link"",""ลำปาง!"&amp;"J257"")+IMPORTRANGE(""https://docs.google.com/spreadsheets/d/1-uUXvimVhiU2U0bMN-xi2te0tS4X7DI2GLPnMjzl8cA/edit?usp=share_link"",""ลำพูน!J257"")+IMPORTRANGE(""https://docs.google.com/spreadsheets/d/17HrOaa5pBUI1onckFfumXB8xlg35qb2uBAFfF1D-Myo/edit?usp=shar"&amp;"e_link"",""สุโขทัย!J257"")+IMPORTRANGE(""https://docs.google.com/spreadsheets/d/1ubs5cl16eYL9gHbdHTJtmtYb9MGzHBs7CAphn8kNCgM/edit?usp=share_link"",""อุตรดิตถ์!J257"")+IMPORTRANGE(""https://docs.google.com/spreadsheets/d/1kII0BjS6CtVrBvI8IrytgPdxDrlyQDyigz"&amp;"MsohRtDMs/edit?usp=share_link"",""อุทัยธานี!J257"")
"),0)</f>
        <v>0</v>
      </c>
      <c r="K257" s="38">
        <f t="shared" ref="K257:K258" ca="1" si="137">IF(I257&gt;0,J257*100/I257,0)</f>
        <v>0</v>
      </c>
      <c r="L257" s="38"/>
      <c r="M257" s="38"/>
      <c r="N257" s="38"/>
      <c r="O257" s="38"/>
      <c r="P257" s="38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182" t="s">
        <v>69</v>
      </c>
      <c r="I258" s="37">
        <f ca="1">IFERROR(__xludf.DUMMYFUNCTION("IMPORTRANGE(""https://docs.google.com/spreadsheets/d/1KxicF4apzSqm0-jIpmueT4kyZtE-Cwn5zskl7GD4loQ/edit?usp=share_link"",""กำแพงเพชร!I258"")+IMPORTRANGE(""https://docs.google.com/spreadsheets/d/1ZNYWeiFoFA1K1U4xKWqRX29MBvEyRHXORjo734Gnq_c/edit?usp=share_li"&amp;"nk"",""เชียงราย!I258"")
+IMPORTRANGE(""https://docs.google.com/spreadsheets/d/1Jgv0Y7YlHDtsiDawwp-uvifEJ8HVaSn0k2aGHG8-hwM/edit?usp=share_link"",""เชียงใหม่!I258"")+IMPORTRANGE(""https://docs.google.com/spreadsheets/d/1JWG2rZePOz9pe-f-ObA-yDr0VoOX2kSb0qIi"&amp;"x2mTUo8/edit?usp=share_link"",""ตาก!I258"")+IMPORTRANGE(""https://docs.google.com/spreadsheets/d/10nSRjK08hx8Y6HgSOQKNw81lyY46Zc7U_Cj72hBMp9U/edit?usp=share_link"",""นครสวรรค์!I258"")+IMPORTRANGE(""https://docs.google.com/spreadsheets/d/1gFVb7qd7amutrIxAA"&amp;"oM7lcy35hllxznovot8lyOfvDo/edit?usp=share_link"",""น่าน!I258"")+IMPORTRANGE(""https://docs.google.com/spreadsheets/d/1K0Aa9s-6EuHE5M0FG1F9aHLXRCOV917xvycTdLdct0w/edit?usp=share_link"",""พะเยา!I258"")+IMPORTRANGE(""https://docs.google.com/spreadsheets/d/1Y"&amp;"9LPKx95PyL5OKy09d-KbKJSuuEZCFdkhYjwC0XQjBA/edit?usp=share_link"",""พิจิตร!I258"")+IMPORTRANGE(""https://docs.google.com/spreadsheets/d/16OMuOwy2eVqZcYWOouQtTpa8X1L23h4660uVHc0C8os/edit?usp=share_link"",""พิษณุโลก!I258"")+IMPORTRANGE(""https://docs.google."&amp;"com/spreadsheets/d/1GfgTldLG6k77HXaMQzaafODklYuucJZQNs_GAPEfZyY/edit?usp=share_link"",""เพชรบูรณ์!I258"")+IMPORTRANGE(""https://docs.google.com/spreadsheets/d/1gvTMYAnm7v1yG1BKWFtr0DnaTsq59oW9dwWvFgq6hs0/edit?usp=share_link"",""แพร่!I258"")+IMPORTRANGE("""&amp;"https://docs.google.com/spreadsheets/d/1Wbcosgy-Xa1xXUArJSOenub6EfZHUSzc_bpJFWwQUf0/edit?usp=share_link"",""แม่ฮ่องสอน!I258"")+IMPORTRANGE(""https://docs.google.com/spreadsheets/d/1p7ERhsr0qZeSn-KSOdeHS9r0heI-lHtkcn2OH7hP0jQ/edit?usp=share_link"",""ลำปาง!"&amp;"I258"")+IMPORTRANGE(""https://docs.google.com/spreadsheets/d/1-uUXvimVhiU2U0bMN-xi2te0tS4X7DI2GLPnMjzl8cA/edit?usp=share_link"",""ลำพูน!I258"")+IMPORTRANGE(""https://docs.google.com/spreadsheets/d/17HrOaa5pBUI1onckFfumXB8xlg35qb2uBAFfF1D-Myo/edit?usp=shar"&amp;"e_link"",""สุโขทัย!I258"")+IMPORTRANGE(""https://docs.google.com/spreadsheets/d/1ubs5cl16eYL9gHbdHTJtmtYb9MGzHBs7CAphn8kNCgM/edit?usp=share_link"",""อุตรดิตถ์!I258"")+IMPORTRANGE(""https://docs.google.com/spreadsheets/d/1kII0BjS6CtVrBvI8IrytgPdxDrlyQDyigz"&amp;"MsohRtDMs/edit?usp=share_link"",""อุทัยธานี!I258"")
"),1)</f>
        <v>1</v>
      </c>
      <c r="J258" s="183">
        <f ca="1">IFERROR(__xludf.DUMMYFUNCTION("IMPORTRANGE(""https://docs.google.com/spreadsheets/d/1KxicF4apzSqm0-jIpmueT4kyZtE-Cwn5zskl7GD4loQ/edit?usp=share_link"",""กำแพงเพชร!J258"")+IMPORTRANGE(""https://docs.google.com/spreadsheets/d/1ZNYWeiFoFA1K1U4xKWqRX29MBvEyRHXORjo734Gnq_c/edit?usp=share_li"&amp;"nk"",""เชียงราย!J258"")
+IMPORTRANGE(""https://docs.google.com/spreadsheets/d/1Jgv0Y7YlHDtsiDawwp-uvifEJ8HVaSn0k2aGHG8-hwM/edit?usp=share_link"",""เชียงใหม่!J258"")+IMPORTRANGE(""https://docs.google.com/spreadsheets/d/1JWG2rZePOz9pe-f-ObA-yDr0VoOX2kSb0qIi"&amp;"x2mTUo8/edit?usp=share_link"",""ตาก!J258"")+IMPORTRANGE(""https://docs.google.com/spreadsheets/d/10nSRjK08hx8Y6HgSOQKNw81lyY46Zc7U_Cj72hBMp9U/edit?usp=share_link"",""นครสวรรค์!J258"")+IMPORTRANGE(""https://docs.google.com/spreadsheets/d/1gFVb7qd7amutrIxAA"&amp;"oM7lcy35hllxznovot8lyOfvDo/edit?usp=share_link"",""น่าน!J258"")+IMPORTRANGE(""https://docs.google.com/spreadsheets/d/1K0Aa9s-6EuHE5M0FG1F9aHLXRCOV917xvycTdLdct0w/edit?usp=share_link"",""พะเยา!J258"")+IMPORTRANGE(""https://docs.google.com/spreadsheets/d/1Y"&amp;"9LPKx95PyL5OKy09d-KbKJSuuEZCFdkhYjwC0XQjBA/edit?usp=share_link"",""พิจิตร!J258"")+IMPORTRANGE(""https://docs.google.com/spreadsheets/d/16OMuOwy2eVqZcYWOouQtTpa8X1L23h4660uVHc0C8os/edit?usp=share_link"",""พิษณุโลก!J258"")+IMPORTRANGE(""https://docs.google."&amp;"com/spreadsheets/d/1GfgTldLG6k77HXaMQzaafODklYuucJZQNs_GAPEfZyY/edit?usp=share_link"",""เพชรบูรณ์!J258"")+IMPORTRANGE(""https://docs.google.com/spreadsheets/d/1gvTMYAnm7v1yG1BKWFtr0DnaTsq59oW9dwWvFgq6hs0/edit?usp=share_link"",""แพร่!J258"")+IMPORTRANGE("""&amp;"https://docs.google.com/spreadsheets/d/1Wbcosgy-Xa1xXUArJSOenub6EfZHUSzc_bpJFWwQUf0/edit?usp=share_link"",""แม่ฮ่องสอน!J258"")+IMPORTRANGE(""https://docs.google.com/spreadsheets/d/1p7ERhsr0qZeSn-KSOdeHS9r0heI-lHtkcn2OH7hP0jQ/edit?usp=share_link"",""ลำปาง!"&amp;"J258"")+IMPORTRANGE(""https://docs.google.com/spreadsheets/d/1-uUXvimVhiU2U0bMN-xi2te0tS4X7DI2GLPnMjzl8cA/edit?usp=share_link"",""ลำพูน!J258"")+IMPORTRANGE(""https://docs.google.com/spreadsheets/d/17HrOaa5pBUI1onckFfumXB8xlg35qb2uBAFfF1D-Myo/edit?usp=shar"&amp;"e_link"",""สุโขทัย!J258"")+IMPORTRANGE(""https://docs.google.com/spreadsheets/d/1ubs5cl16eYL9gHbdHTJtmtYb9MGzHBs7CAphn8kNCgM/edit?usp=share_link"",""อุตรดิตถ์!J258"")+IMPORTRANGE(""https://docs.google.com/spreadsheets/d/1kII0BjS6CtVrBvI8IrytgPdxDrlyQDyigz"&amp;"MsohRtDMs/edit?usp=share_link"",""อุทัยธานี!J258"")
"),0)</f>
        <v>0</v>
      </c>
      <c r="K258" s="38">
        <f t="shared" ca="1" si="137"/>
        <v>0</v>
      </c>
      <c r="L258" s="38"/>
      <c r="M258" s="38"/>
      <c r="N258" s="38"/>
      <c r="O258" s="38"/>
      <c r="P258" s="38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1" t="s">
        <v>122</v>
      </c>
      <c r="B259" s="242"/>
      <c r="C259" s="242"/>
      <c r="D259" s="243"/>
      <c r="E259" s="243"/>
      <c r="F259" s="243"/>
      <c r="G259" s="244"/>
      <c r="H259" s="245"/>
      <c r="I259" s="246"/>
      <c r="J259" s="246"/>
      <c r="K259" s="247"/>
      <c r="L259" s="247"/>
      <c r="M259" s="247"/>
      <c r="N259" s="247"/>
      <c r="O259" s="247"/>
      <c r="P259" s="247"/>
    </row>
    <row r="260" spans="1:26" ht="19.5">
      <c r="A260" s="248"/>
      <c r="B260" s="249" t="s">
        <v>123</v>
      </c>
      <c r="C260" s="250"/>
      <c r="D260" s="173"/>
      <c r="E260" s="173"/>
      <c r="F260" s="173"/>
      <c r="G260" s="174"/>
      <c r="H260" s="251" t="s">
        <v>35</v>
      </c>
      <c r="I260" s="252">
        <f t="shared" ref="I260:J260" ca="1" si="138">I271</f>
        <v>396</v>
      </c>
      <c r="J260" s="252">
        <f t="shared" ca="1" si="138"/>
        <v>46</v>
      </c>
      <c r="K260" s="253">
        <f ca="1">IF(I260&gt;0,J260*100/I260,0)</f>
        <v>11.616161616161616</v>
      </c>
      <c r="L260" s="254"/>
      <c r="M260" s="254"/>
      <c r="N260" s="254"/>
      <c r="O260" s="254"/>
      <c r="P260" s="254"/>
    </row>
    <row r="261" spans="1:26" ht="19.5">
      <c r="A261" s="147"/>
      <c r="B261" s="148"/>
      <c r="C261" s="149" t="s">
        <v>16</v>
      </c>
      <c r="D261" s="150" t="s">
        <v>17</v>
      </c>
      <c r="E261" s="148"/>
      <c r="F261" s="148"/>
      <c r="G261" s="151"/>
      <c r="H261" s="152" t="s">
        <v>12</v>
      </c>
      <c r="I261" s="153"/>
      <c r="J261" s="153"/>
      <c r="K261" s="154"/>
      <c r="L261" s="155">
        <f t="shared" ref="L261:N261" ca="1" si="139">L262+L263</f>
        <v>1193200</v>
      </c>
      <c r="M261" s="155">
        <f t="shared" ca="1" si="139"/>
        <v>752200</v>
      </c>
      <c r="N261" s="155">
        <f t="shared" ca="1" si="139"/>
        <v>221500.66999999899</v>
      </c>
      <c r="O261" s="155">
        <f t="shared" ref="O261:O269" ca="1" si="140">IF(L261&gt;0,N261*100/L261,0)</f>
        <v>18.563582802547685</v>
      </c>
      <c r="P261" s="155">
        <f t="shared" ref="P261:P269" ca="1" si="141">IF(M261&gt;0,N261*100/M261,0)</f>
        <v>29.447044668970886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41" t="s">
        <v>18</v>
      </c>
      <c r="F262" s="40"/>
      <c r="G262" s="157"/>
      <c r="H262" s="158" t="s">
        <v>12</v>
      </c>
      <c r="I262" s="44"/>
      <c r="J262" s="44"/>
      <c r="K262" s="45"/>
      <c r="L262" s="45">
        <f t="shared" ref="L262:N262" si="142">L265+L268</f>
        <v>0</v>
      </c>
      <c r="M262" s="45">
        <f t="shared" si="142"/>
        <v>0</v>
      </c>
      <c r="N262" s="45">
        <f t="shared" si="142"/>
        <v>0</v>
      </c>
      <c r="O262" s="45">
        <f t="shared" si="140"/>
        <v>0</v>
      </c>
      <c r="P262" s="45">
        <f t="shared" si="141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41" t="s">
        <v>19</v>
      </c>
      <c r="F263" s="40"/>
      <c r="G263" s="157"/>
      <c r="H263" s="158" t="s">
        <v>12</v>
      </c>
      <c r="I263" s="44"/>
      <c r="J263" s="44"/>
      <c r="K263" s="45"/>
      <c r="L263" s="45">
        <f t="shared" ref="L263:N263" ca="1" si="143">L266+L269</f>
        <v>1193200</v>
      </c>
      <c r="M263" s="45">
        <f t="shared" ca="1" si="143"/>
        <v>752200</v>
      </c>
      <c r="N263" s="45">
        <f t="shared" ca="1" si="143"/>
        <v>221500.66999999899</v>
      </c>
      <c r="O263" s="45">
        <f t="shared" ca="1" si="140"/>
        <v>18.563582802547685</v>
      </c>
      <c r="P263" s="45">
        <f t="shared" ca="1" si="141"/>
        <v>29.447044668970886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160"/>
      <c r="D264" s="34" t="s">
        <v>20</v>
      </c>
      <c r="E264" s="33"/>
      <c r="F264" s="33"/>
      <c r="G264" s="35"/>
      <c r="H264" s="161" t="s">
        <v>12</v>
      </c>
      <c r="I264" s="162"/>
      <c r="J264" s="162"/>
      <c r="K264" s="163"/>
      <c r="L264" s="38">
        <f t="shared" ref="L264:N264" ca="1" si="144">L265+L266</f>
        <v>1193200</v>
      </c>
      <c r="M264" s="38">
        <f t="shared" ca="1" si="144"/>
        <v>752200</v>
      </c>
      <c r="N264" s="38">
        <f t="shared" ca="1" si="144"/>
        <v>221500.66999999899</v>
      </c>
      <c r="O264" s="38">
        <f t="shared" ca="1" si="140"/>
        <v>18.563582802547685</v>
      </c>
      <c r="P264" s="38">
        <f t="shared" ca="1" si="141"/>
        <v>29.447044668970886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41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45">
        <f t="shared" si="140"/>
        <v>0</v>
      </c>
      <c r="P265" s="45">
        <f t="shared" si="141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41" t="s">
        <v>37</v>
      </c>
      <c r="F266" s="40"/>
      <c r="G266" s="157"/>
      <c r="H266" s="165" t="s">
        <v>12</v>
      </c>
      <c r="I266" s="166"/>
      <c r="J266" s="166"/>
      <c r="K266" s="167"/>
      <c r="L266" s="45">
        <f ca="1">IFERROR(__xludf.DUMMYFUNCTION("IMPORTRANGE(""https://docs.google.com/spreadsheets/d/1KxicF4apzSqm0-jIpmueT4kyZtE-Cwn5zskl7GD4loQ/edit?usp=share_link"",""กำแพงเพชร!l266"")+IMPORTRANGE(""https://docs.google.com/spreadsheets/d/1ZNYWeiFoFA1K1U4xKWqRX29MBvEyRHXORjo734Gnq_c/edit?usp=share_li"&amp;"nk"",""เชียงราย!l266"")
+IMPORTRANGE(""https://docs.google.com/spreadsheets/d/1Jgv0Y7YlHDtsiDawwp-uvifEJ8HVaSn0k2aGHG8-hwM/edit?usp=share_link"",""เชียงใหม่!l266"")+IMPORTRANGE(""https://docs.google.com/spreadsheets/d/1JWG2rZePOz9pe-f-ObA-yDr0VoOX2kSb0qIi"&amp;"x2mTUo8/edit?usp=share_link"",""ตาก!l266"")+IMPORTRANGE(""https://docs.google.com/spreadsheets/d/10nSRjK08hx8Y6HgSOQKNw81lyY46Zc7U_Cj72hBMp9U/edit?usp=share_link"",""นครสวรรค์!l266"")+IMPORTRANGE(""https://docs.google.com/spreadsheets/d/1gFVb7qd7amutrIxAA"&amp;"oM7lcy35hllxznovot8lyOfvDo/edit?usp=share_link"",""น่าน!l266"")+IMPORTRANGE(""https://docs.google.com/spreadsheets/d/1K0Aa9s-6EuHE5M0FG1F9aHLXRCOV917xvycTdLdct0w/edit?usp=share_link"",""พะเยา!l266"")+IMPORTRANGE(""https://docs.google.com/spreadsheets/d/1Y"&amp;"9LPKx95PyL5OKy09d-KbKJSuuEZCFdkhYjwC0XQjBA/edit?usp=share_link"",""พิจิตร!l266"")+IMPORTRANGE(""https://docs.google.com/spreadsheets/d/16OMuOwy2eVqZcYWOouQtTpa8X1L23h4660uVHc0C8os/edit?usp=share_link"",""พิษณุโลก!l266"")+IMPORTRANGE(""https://docs.google."&amp;"com/spreadsheets/d/1GfgTldLG6k77HXaMQzaafODklYuucJZQNs_GAPEfZyY/edit?usp=share_link"",""เพชรบูรณ์!l266"")+IMPORTRANGE(""https://docs.google.com/spreadsheets/d/1gvTMYAnm7v1yG1BKWFtr0DnaTsq59oW9dwWvFgq6hs0/edit?usp=share_link"",""แพร่!l266"")+IMPORTRANGE("""&amp;"https://docs.google.com/spreadsheets/d/1Wbcosgy-Xa1xXUArJSOenub6EfZHUSzc_bpJFWwQUf0/edit?usp=share_link"",""แม่ฮ่องสอน!l266"")+IMPORTRANGE(""https://docs.google.com/spreadsheets/d/1p7ERhsr0qZeSn-KSOdeHS9r0heI-lHtkcn2OH7hP0jQ/edit?usp=share_link"",""ลำปาง!"&amp;"l266"")+IMPORTRANGE(""https://docs.google.com/spreadsheets/d/1-uUXvimVhiU2U0bMN-xi2te0tS4X7DI2GLPnMjzl8cA/edit?usp=share_link"",""ลำพูน!l266"")+IMPORTRANGE(""https://docs.google.com/spreadsheets/d/17HrOaa5pBUI1onckFfumXB8xlg35qb2uBAFfF1D-Myo/edit?usp=shar"&amp;"e_link"",""สุโขทัย!l266"")+IMPORTRANGE(""https://docs.google.com/spreadsheets/d/1ubs5cl16eYL9gHbdHTJtmtYb9MGzHBs7CAphn8kNCgM/edit?usp=share_link"",""อุตรดิตถ์!l266"")+IMPORTRANGE(""https://docs.google.com/spreadsheets/d/1kII0BjS6CtVrBvI8IrytgPdxDrlyQDyigz"&amp;"MsohRtDMs/edit?usp=share_link"",""อุทัยธานี!l266"")
"),1193200)</f>
        <v>1193200</v>
      </c>
      <c r="M266" s="45">
        <f ca="1">IFERROR(__xludf.DUMMYFUNCTION("IMPORTRANGE(""https://docs.google.com/spreadsheets/d/1KxicF4apzSqm0-jIpmueT4kyZtE-Cwn5zskl7GD4loQ/edit?usp=share_link"",""กำแพงเพชร!m266"")+IMPORTRANGE(""https://docs.google.com/spreadsheets/d/1ZNYWeiFoFA1K1U4xKWqRX29MBvEyRHXORjo734Gnq_c/edit?usp=share_li"&amp;"nk"",""เชียงราย!m266"")
+IMPORTRANGE(""https://docs.google.com/spreadsheets/d/1Jgv0Y7YlHDtsiDawwp-uvifEJ8HVaSn0k2aGHG8-hwM/edit?usp=share_link"",""เชียงใหม่!m266"")+IMPORTRANGE(""https://docs.google.com/spreadsheets/d/1JWG2rZePOz9pe-f-ObA-yDr0VoOX2kSb0qIi"&amp;"x2mTUo8/edit?usp=share_link"",""ตาก!m266"")+IMPORTRANGE(""https://docs.google.com/spreadsheets/d/10nSRjK08hx8Y6HgSOQKNw81lyY46Zc7U_Cj72hBMp9U/edit?usp=share_link"",""นครสวรรค์!m266"")+IMPORTRANGE(""https://docs.google.com/spreadsheets/d/1gFVb7qd7amutrIxAA"&amp;"oM7lcy35hllxznovot8lyOfvDo/edit?usp=share_link"",""น่าน!m266"")+IMPORTRANGE(""https://docs.google.com/spreadsheets/d/1K0Aa9s-6EuHE5M0FG1F9aHLXRCOV917xvycTdLdct0w/edit?usp=share_link"",""พะเยา!m266"")+IMPORTRANGE(""https://docs.google.com/spreadsheets/d/1Y"&amp;"9LPKx95PyL5OKy09d-KbKJSuuEZCFdkhYjwC0XQjBA/edit?usp=share_link"",""พิจิตร!m266"")+IMPORTRANGE(""https://docs.google.com/spreadsheets/d/16OMuOwy2eVqZcYWOouQtTpa8X1L23h4660uVHc0C8os/edit?usp=share_link"",""พิษณุโลก!m266"")+IMPORTRANGE(""https://docs.google."&amp;"com/spreadsheets/d/1GfgTldLG6k77HXaMQzaafODklYuucJZQNs_GAPEfZyY/edit?usp=share_link"",""เพชรบูรณ์!m266"")+IMPORTRANGE(""https://docs.google.com/spreadsheets/d/1gvTMYAnm7v1yG1BKWFtr0DnaTsq59oW9dwWvFgq6hs0/edit?usp=share_link"",""แพร่!m266"")+IMPORTRANGE("""&amp;"https://docs.google.com/spreadsheets/d/1Wbcosgy-Xa1xXUArJSOenub6EfZHUSzc_bpJFWwQUf0/edit?usp=share_link"",""แม่ฮ่องสอน!m266"")+IMPORTRANGE(""https://docs.google.com/spreadsheets/d/1p7ERhsr0qZeSn-KSOdeHS9r0heI-lHtkcn2OH7hP0jQ/edit?usp=share_link"",""ลำปาง!"&amp;"m266"")+IMPORTRANGE(""https://docs.google.com/spreadsheets/d/1-uUXvimVhiU2U0bMN-xi2te0tS4X7DI2GLPnMjzl8cA/edit?usp=share_link"",""ลำพูน!m266"")+IMPORTRANGE(""https://docs.google.com/spreadsheets/d/17HrOaa5pBUI1onckFfumXB8xlg35qb2uBAFfF1D-Myo/edit?usp=shar"&amp;"e_link"",""สุโขทัย!m266"")+IMPORTRANGE(""https://docs.google.com/spreadsheets/d/1ubs5cl16eYL9gHbdHTJtmtYb9MGzHBs7CAphn8kNCgM/edit?usp=share_link"",""อุตรดิตถ์!m266"")+IMPORTRANGE(""https://docs.google.com/spreadsheets/d/1kII0BjS6CtVrBvI8IrytgPdxDrlyQDyigz"&amp;"MsohRtDMs/edit?usp=share_link"",""อุทัยธานี!m266"")
"),752200)</f>
        <v>752200</v>
      </c>
      <c r="N266" s="45">
        <f ca="1">IFERROR(__xludf.DUMMYFUNCTION("IMPORTRANGE(""https://docs.google.com/spreadsheets/d/1KxicF4apzSqm0-jIpmueT4kyZtE-Cwn5zskl7GD4loQ/edit?usp=share_link"",""กำแพงเพชร!n266"")+IMPORTRANGE(""https://docs.google.com/spreadsheets/d/1ZNYWeiFoFA1K1U4xKWqRX29MBvEyRHXORjo734Gnq_c/edit?usp=share_li"&amp;"nk"",""เชียงราย!n266"")
+IMPORTRANGE(""https://docs.google.com/spreadsheets/d/1Jgv0Y7YlHDtsiDawwp-uvifEJ8HVaSn0k2aGHG8-hwM/edit?usp=share_link"",""เชียงใหม่!n266"")+IMPORTRANGE(""https://docs.google.com/spreadsheets/d/1JWG2rZePOz9pe-f-ObA-yDr0VoOX2kSb0qIi"&amp;"x2mTUo8/edit?usp=share_link"",""ตาก!n266"")+IMPORTRANGE(""https://docs.google.com/spreadsheets/d/10nSRjK08hx8Y6HgSOQKNw81lyY46Zc7U_Cj72hBMp9U/edit?usp=share_link"",""นครสวรรค์!n266"")+IMPORTRANGE(""https://docs.google.com/spreadsheets/d/1gFVb7qd7amutrIxAA"&amp;"oM7lcy35hllxznovot8lyOfvDo/edit?usp=share_link"",""น่าน!n266"")+IMPORTRANGE(""https://docs.google.com/spreadsheets/d/1K0Aa9s-6EuHE5M0FG1F9aHLXRCOV917xvycTdLdct0w/edit?usp=share_link"",""พะเยา!n266"")+IMPORTRANGE(""https://docs.google.com/spreadsheets/d/1Y"&amp;"9LPKx95PyL5OKy09d-KbKJSuuEZCFdkhYjwC0XQjBA/edit?usp=share_link"",""พิจิตร!n266"")+IMPORTRANGE(""https://docs.google.com/spreadsheets/d/16OMuOwy2eVqZcYWOouQtTpa8X1L23h4660uVHc0C8os/edit?usp=share_link"",""พิษณุโลก!n266"")+IMPORTRANGE(""https://docs.google."&amp;"com/spreadsheets/d/1GfgTldLG6k77HXaMQzaafODklYuucJZQNs_GAPEfZyY/edit?usp=share_link"",""เพชรบูรณ์!n266"")+IMPORTRANGE(""https://docs.google.com/spreadsheets/d/1gvTMYAnm7v1yG1BKWFtr0DnaTsq59oW9dwWvFgq6hs0/edit?usp=share_link"",""แพร่!n266"")+IMPORTRANGE("""&amp;"https://docs.google.com/spreadsheets/d/1Wbcosgy-Xa1xXUArJSOenub6EfZHUSzc_bpJFWwQUf0/edit?usp=share_link"",""แม่ฮ่องสอน!n266"")+IMPORTRANGE(""https://docs.google.com/spreadsheets/d/1p7ERhsr0qZeSn-KSOdeHS9r0heI-lHtkcn2OH7hP0jQ/edit?usp=share_link"",""ลำปาง!"&amp;"n266"")+IMPORTRANGE(""https://docs.google.com/spreadsheets/d/1-uUXvimVhiU2U0bMN-xi2te0tS4X7DI2GLPnMjzl8cA/edit?usp=share_link"",""ลำพูน!n266"")+IMPORTRANGE(""https://docs.google.com/spreadsheets/d/17HrOaa5pBUI1onckFfumXB8xlg35qb2uBAFfF1D-Myo/edit?usp=shar"&amp;"e_link"",""สุโขทัย!n266"")+IMPORTRANGE(""https://docs.google.com/spreadsheets/d/1ubs5cl16eYL9gHbdHTJtmtYb9MGzHBs7CAphn8kNCgM/edit?usp=share_link"",""อุตรดิตถ์!n266"")+IMPORTRANGE(""https://docs.google.com/spreadsheets/d/1kII0BjS6CtVrBvI8IrytgPdxDrlyQDyigz"&amp;"MsohRtDMs/edit?usp=share_link"",""อุทัยธานี!n266"")
"),221500.669999999)</f>
        <v>221500.66999999899</v>
      </c>
      <c r="O266" s="45">
        <f t="shared" ca="1" si="140"/>
        <v>18.563582802547685</v>
      </c>
      <c r="P266" s="45">
        <f t="shared" ca="1" si="141"/>
        <v>29.447044668970886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160"/>
      <c r="D267" s="34" t="s">
        <v>21</v>
      </c>
      <c r="E267" s="33"/>
      <c r="F267" s="33"/>
      <c r="G267" s="35"/>
      <c r="H267" s="168" t="s">
        <v>12</v>
      </c>
      <c r="I267" s="162"/>
      <c r="J267" s="162"/>
      <c r="K267" s="163"/>
      <c r="L267" s="38">
        <f t="shared" ref="L267:N267" ca="1" si="145">L268+L269</f>
        <v>0</v>
      </c>
      <c r="M267" s="38">
        <f t="shared" ca="1" si="145"/>
        <v>0</v>
      </c>
      <c r="N267" s="38">
        <f t="shared" ca="1" si="145"/>
        <v>0</v>
      </c>
      <c r="O267" s="38">
        <f t="shared" ca="1" si="140"/>
        <v>0</v>
      </c>
      <c r="P267" s="38">
        <f t="shared" ca="1" si="141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41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45">
        <f t="shared" si="140"/>
        <v>0</v>
      </c>
      <c r="P268" s="45">
        <f t="shared" si="141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41" t="s">
        <v>19</v>
      </c>
      <c r="F269" s="40"/>
      <c r="G269" s="157"/>
      <c r="H269" s="169" t="s">
        <v>12</v>
      </c>
      <c r="I269" s="166"/>
      <c r="J269" s="166"/>
      <c r="K269" s="167"/>
      <c r="L269" s="45">
        <f ca="1">IFERROR(__xludf.DUMMYFUNCTION("IMPORTRANGE(""https://docs.google.com/spreadsheets/d/1KxicF4apzSqm0-jIpmueT4kyZtE-Cwn5zskl7GD4loQ/edit?usp=share_link"",""กำแพงเพชร!l269"")+IMPORTRANGE(""https://docs.google.com/spreadsheets/d/1ZNYWeiFoFA1K1U4xKWqRX29MBvEyRHXORjo734Gnq_c/edit?usp=share_li"&amp;"nk"",""เชียงราย!l269"")
+IMPORTRANGE(""https://docs.google.com/spreadsheets/d/1Jgv0Y7YlHDtsiDawwp-uvifEJ8HVaSn0k2aGHG8-hwM/edit?usp=share_link"",""เชียงใหม่!l269"")+IMPORTRANGE(""https://docs.google.com/spreadsheets/d/1JWG2rZePOz9pe-f-ObA-yDr0VoOX2kSb0qIi"&amp;"x2mTUo8/edit?usp=share_link"",""ตาก!l269"")+IMPORTRANGE(""https://docs.google.com/spreadsheets/d/10nSRjK08hx8Y6HgSOQKNw81lyY46Zc7U_Cj72hBMp9U/edit?usp=share_link"",""นครสวรรค์!l269"")+IMPORTRANGE(""https://docs.google.com/spreadsheets/d/1gFVb7qd7amutrIxAA"&amp;"oM7lcy35hllxznovot8lyOfvDo/edit?usp=share_link"",""น่าน!l269"")+IMPORTRANGE(""https://docs.google.com/spreadsheets/d/1K0Aa9s-6EuHE5M0FG1F9aHLXRCOV917xvycTdLdct0w/edit?usp=share_link"",""พะเยา!l269"")+IMPORTRANGE(""https://docs.google.com/spreadsheets/d/1Y"&amp;"9LPKx95PyL5OKy09d-KbKJSuuEZCFdkhYjwC0XQjBA/edit?usp=share_link"",""พิจิตร!l269"")+IMPORTRANGE(""https://docs.google.com/spreadsheets/d/16OMuOwy2eVqZcYWOouQtTpa8X1L23h4660uVHc0C8os/edit?usp=share_link"",""พิษณุโลก!l269"")+IMPORTRANGE(""https://docs.google."&amp;"com/spreadsheets/d/1GfgTldLG6k77HXaMQzaafODklYuucJZQNs_GAPEfZyY/edit?usp=share_link"",""เพชรบูรณ์!l269"")+IMPORTRANGE(""https://docs.google.com/spreadsheets/d/1gvTMYAnm7v1yG1BKWFtr0DnaTsq59oW9dwWvFgq6hs0/edit?usp=share_link"",""แพร่!l269"")+IMPORTRANGE("""&amp;"https://docs.google.com/spreadsheets/d/1Wbcosgy-Xa1xXUArJSOenub6EfZHUSzc_bpJFWwQUf0/edit?usp=share_link"",""แม่ฮ่องสอน!l269"")+IMPORTRANGE(""https://docs.google.com/spreadsheets/d/1p7ERhsr0qZeSn-KSOdeHS9r0heI-lHtkcn2OH7hP0jQ/edit?usp=share_link"",""ลำปาง!"&amp;"l269"")+IMPORTRANGE(""https://docs.google.com/spreadsheets/d/1-uUXvimVhiU2U0bMN-xi2te0tS4X7DI2GLPnMjzl8cA/edit?usp=share_link"",""ลำพูน!l269"")+IMPORTRANGE(""https://docs.google.com/spreadsheets/d/17HrOaa5pBUI1onckFfumXB8xlg35qb2uBAFfF1D-Myo/edit?usp=shar"&amp;"e_link"",""สุโขทัย!l269"")+IMPORTRANGE(""https://docs.google.com/spreadsheets/d/1ubs5cl16eYL9gHbdHTJtmtYb9MGzHBs7CAphn8kNCgM/edit?usp=share_link"",""อุตรดิตถ์!l269"")+IMPORTRANGE(""https://docs.google.com/spreadsheets/d/1kII0BjS6CtVrBvI8IrytgPdxDrlyQDyigz"&amp;"MsohRtDMs/edit?usp=share_link"",""อุทัยธานี!l269"")
"),0)</f>
        <v>0</v>
      </c>
      <c r="M269" s="45">
        <f ca="1">IFERROR(__xludf.DUMMYFUNCTION("IMPORTRANGE(""https://docs.google.com/spreadsheets/d/1KxicF4apzSqm0-jIpmueT4kyZtE-Cwn5zskl7GD4loQ/edit?usp=share_link"",""กำแพงเพชร!m269"")+IMPORTRANGE(""https://docs.google.com/spreadsheets/d/1ZNYWeiFoFA1K1U4xKWqRX29MBvEyRHXORjo734Gnq_c/edit?usp=share_li"&amp;"nk"",""เชียงราย!m269"")
+IMPORTRANGE(""https://docs.google.com/spreadsheets/d/1Jgv0Y7YlHDtsiDawwp-uvifEJ8HVaSn0k2aGHG8-hwM/edit?usp=share_link"",""เชียงใหม่!m269"")+IMPORTRANGE(""https://docs.google.com/spreadsheets/d/1JWG2rZePOz9pe-f-ObA-yDr0VoOX2kSb0qIi"&amp;"x2mTUo8/edit?usp=share_link"",""ตาก!m269"")+IMPORTRANGE(""https://docs.google.com/spreadsheets/d/10nSRjK08hx8Y6HgSOQKNw81lyY46Zc7U_Cj72hBMp9U/edit?usp=share_link"",""นครสวรรค์!m269"")+IMPORTRANGE(""https://docs.google.com/spreadsheets/d/1gFVb7qd7amutrIxAA"&amp;"oM7lcy35hllxznovot8lyOfvDo/edit?usp=share_link"",""น่าน!m269"")+IMPORTRANGE(""https://docs.google.com/spreadsheets/d/1K0Aa9s-6EuHE5M0FG1F9aHLXRCOV917xvycTdLdct0w/edit?usp=share_link"",""พะเยา!m269"")+IMPORTRANGE(""https://docs.google.com/spreadsheets/d/1Y"&amp;"9LPKx95PyL5OKy09d-KbKJSuuEZCFdkhYjwC0XQjBA/edit?usp=share_link"",""พิจิตร!m269"")+IMPORTRANGE(""https://docs.google.com/spreadsheets/d/16OMuOwy2eVqZcYWOouQtTpa8X1L23h4660uVHc0C8os/edit?usp=share_link"",""พิษณุโลก!m269"")+IMPORTRANGE(""https://docs.google."&amp;"com/spreadsheets/d/1GfgTldLG6k77HXaMQzaafODklYuucJZQNs_GAPEfZyY/edit?usp=share_link"",""เพชรบูรณ์!m269"")+IMPORTRANGE(""https://docs.google.com/spreadsheets/d/1gvTMYAnm7v1yG1BKWFtr0DnaTsq59oW9dwWvFgq6hs0/edit?usp=share_link"",""แพร่!m269"")+IMPORTRANGE("""&amp;"https://docs.google.com/spreadsheets/d/1Wbcosgy-Xa1xXUArJSOenub6EfZHUSzc_bpJFWwQUf0/edit?usp=share_link"",""แม่ฮ่องสอน!m269"")+IMPORTRANGE(""https://docs.google.com/spreadsheets/d/1p7ERhsr0qZeSn-KSOdeHS9r0heI-lHtkcn2OH7hP0jQ/edit?usp=share_link"",""ลำปาง!"&amp;"m269"")+IMPORTRANGE(""https://docs.google.com/spreadsheets/d/1-uUXvimVhiU2U0bMN-xi2te0tS4X7DI2GLPnMjzl8cA/edit?usp=share_link"",""ลำพูน!m269"")+IMPORTRANGE(""https://docs.google.com/spreadsheets/d/17HrOaa5pBUI1onckFfumXB8xlg35qb2uBAFfF1D-Myo/edit?usp=shar"&amp;"e_link"",""สุโขทัย!m269"")+IMPORTRANGE(""https://docs.google.com/spreadsheets/d/1ubs5cl16eYL9gHbdHTJtmtYb9MGzHBs7CAphn8kNCgM/edit?usp=share_link"",""อุตรดิตถ์!m269"")+IMPORTRANGE(""https://docs.google.com/spreadsheets/d/1kII0BjS6CtVrBvI8IrytgPdxDrlyQDyigz"&amp;"MsohRtDMs/edit?usp=share_link"",""อุทัยธานี!m269"")
"),0)</f>
        <v>0</v>
      </c>
      <c r="N269" s="45">
        <f ca="1">IFERROR(__xludf.DUMMYFUNCTION("IMPORTRANGE(""https://docs.google.com/spreadsheets/d/1KxicF4apzSqm0-jIpmueT4kyZtE-Cwn5zskl7GD4loQ/edit?usp=share_link"",""กำแพงเพชร!n269"")+IMPORTRANGE(""https://docs.google.com/spreadsheets/d/1ZNYWeiFoFA1K1U4xKWqRX29MBvEyRHXORjo734Gnq_c/edit?usp=share_li"&amp;"nk"",""เชียงราย!n269"")
+IMPORTRANGE(""https://docs.google.com/spreadsheets/d/1Jgv0Y7YlHDtsiDawwp-uvifEJ8HVaSn0k2aGHG8-hwM/edit?usp=share_link"",""เชียงใหม่!n269"")+IMPORTRANGE(""https://docs.google.com/spreadsheets/d/1JWG2rZePOz9pe-f-ObA-yDr0VoOX2kSb0qIi"&amp;"x2mTUo8/edit?usp=share_link"",""ตาก!n269"")+IMPORTRANGE(""https://docs.google.com/spreadsheets/d/10nSRjK08hx8Y6HgSOQKNw81lyY46Zc7U_Cj72hBMp9U/edit?usp=share_link"",""นครสวรรค์!n269"")+IMPORTRANGE(""https://docs.google.com/spreadsheets/d/1gFVb7qd7amutrIxAA"&amp;"oM7lcy35hllxznovot8lyOfvDo/edit?usp=share_link"",""น่าน!n269"")+IMPORTRANGE(""https://docs.google.com/spreadsheets/d/1K0Aa9s-6EuHE5M0FG1F9aHLXRCOV917xvycTdLdct0w/edit?usp=share_link"",""พะเยา!n269"")+IMPORTRANGE(""https://docs.google.com/spreadsheets/d/1Y"&amp;"9LPKx95PyL5OKy09d-KbKJSuuEZCFdkhYjwC0XQjBA/edit?usp=share_link"",""พิจิตร!n269"")+IMPORTRANGE(""https://docs.google.com/spreadsheets/d/16OMuOwy2eVqZcYWOouQtTpa8X1L23h4660uVHc0C8os/edit?usp=share_link"",""พิษณุโลก!n269"")+IMPORTRANGE(""https://docs.google."&amp;"com/spreadsheets/d/1GfgTldLG6k77HXaMQzaafODklYuucJZQNs_GAPEfZyY/edit?usp=share_link"",""เพชรบูรณ์!n269"")+IMPORTRANGE(""https://docs.google.com/spreadsheets/d/1gvTMYAnm7v1yG1BKWFtr0DnaTsq59oW9dwWvFgq6hs0/edit?usp=share_link"",""แพร่!n269"")+IMPORTRANGE("""&amp;"https://docs.google.com/spreadsheets/d/1Wbcosgy-Xa1xXUArJSOenub6EfZHUSzc_bpJFWwQUf0/edit?usp=share_link"",""แม่ฮ่องสอน!n269"")+IMPORTRANGE(""https://docs.google.com/spreadsheets/d/1p7ERhsr0qZeSn-KSOdeHS9r0heI-lHtkcn2OH7hP0jQ/edit?usp=share_link"",""ลำปาง!"&amp;"n269"")+IMPORTRANGE(""https://docs.google.com/spreadsheets/d/1-uUXvimVhiU2U0bMN-xi2te0tS4X7DI2GLPnMjzl8cA/edit?usp=share_link"",""ลำพูน!n269"")+IMPORTRANGE(""https://docs.google.com/spreadsheets/d/17HrOaa5pBUI1onckFfumXB8xlg35qb2uBAFfF1D-Myo/edit?usp=shar"&amp;"e_link"",""สุโขทัย!n269"")+IMPORTRANGE(""https://docs.google.com/spreadsheets/d/1ubs5cl16eYL9gHbdHTJtmtYb9MGzHBs7CAphn8kNCgM/edit?usp=share_link"",""อุตรดิตถ์!n269"")+IMPORTRANGE(""https://docs.google.com/spreadsheets/d/1kII0BjS6CtVrBvI8IrytgPdxDrlyQDyigz"&amp;"MsohRtDMs/edit?usp=share_link"",""อุทัยธานี!n269"")
"),0)</f>
        <v>0</v>
      </c>
      <c r="O269" s="45">
        <f t="shared" ca="1" si="140"/>
        <v>0</v>
      </c>
      <c r="P269" s="45">
        <f t="shared" ca="1" si="141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160" t="s">
        <v>16</v>
      </c>
      <c r="D270" s="172" t="s">
        <v>38</v>
      </c>
      <c r="E270" s="173"/>
      <c r="F270" s="173"/>
      <c r="G270" s="174"/>
      <c r="H270" s="175"/>
      <c r="I270" s="162"/>
      <c r="J270" s="162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44" t="s">
        <v>124</v>
      </c>
      <c r="E271" s="178"/>
      <c r="F271" s="268"/>
      <c r="G271" s="179"/>
      <c r="H271" s="345" t="s">
        <v>35</v>
      </c>
      <c r="I271" s="37">
        <f ca="1">IFERROR(__xludf.DUMMYFUNCTION("IMPORTRANGE(""https://docs.google.com/spreadsheets/d/1KxicF4apzSqm0-jIpmueT4kyZtE-Cwn5zskl7GD4loQ/edit?usp=share_link"",""กำแพงเพชร!I271"")+IMPORTRANGE(""https://docs.google.com/spreadsheets/d/1ZNYWeiFoFA1K1U4xKWqRX29MBvEyRHXORjo734Gnq_c/edit?usp=share_li"&amp;"nk"",""เชียงราย!I271"")
+IMPORTRANGE(""https://docs.google.com/spreadsheets/d/1Jgv0Y7YlHDtsiDawwp-uvifEJ8HVaSn0k2aGHG8-hwM/edit?usp=share_link"",""เชียงใหม่!I271"")+IMPORTRANGE(""https://docs.google.com/spreadsheets/d/1JWG2rZePOz9pe-f-ObA-yDr0VoOX2kSb0qIi"&amp;"x2mTUo8/edit?usp=share_link"",""ตาก!I271"")+IMPORTRANGE(""https://docs.google.com/spreadsheets/d/10nSRjK08hx8Y6HgSOQKNw81lyY46Zc7U_Cj72hBMp9U/edit?usp=share_link"",""นครสวรรค์!I271"")+IMPORTRANGE(""https://docs.google.com/spreadsheets/d/1gFVb7qd7amutrIxAA"&amp;"oM7lcy35hllxznovot8lyOfvDo/edit?usp=share_link"",""น่าน!I271"")+IMPORTRANGE(""https://docs.google.com/spreadsheets/d/1K0Aa9s-6EuHE5M0FG1F9aHLXRCOV917xvycTdLdct0w/edit?usp=share_link"",""พะเยา!I271"")+IMPORTRANGE(""https://docs.google.com/spreadsheets/d/1Y"&amp;"9LPKx95PyL5OKy09d-KbKJSuuEZCFdkhYjwC0XQjBA/edit?usp=share_link"",""พิจิตร!I271"")+IMPORTRANGE(""https://docs.google.com/spreadsheets/d/16OMuOwy2eVqZcYWOouQtTpa8X1L23h4660uVHc0C8os/edit?usp=share_link"",""พิษณุโลก!I271"")+IMPORTRANGE(""https://docs.google."&amp;"com/spreadsheets/d/1GfgTldLG6k77HXaMQzaafODklYuucJZQNs_GAPEfZyY/edit?usp=share_link"",""เพชรบูรณ์!I271"")+IMPORTRANGE(""https://docs.google.com/spreadsheets/d/1gvTMYAnm7v1yG1BKWFtr0DnaTsq59oW9dwWvFgq6hs0/edit?usp=share_link"",""แพร่!I271"")+IMPORTRANGE("""&amp;"https://docs.google.com/spreadsheets/d/1Wbcosgy-Xa1xXUArJSOenub6EfZHUSzc_bpJFWwQUf0/edit?usp=share_link"",""แม่ฮ่องสอน!I271"")+IMPORTRANGE(""https://docs.google.com/spreadsheets/d/1p7ERhsr0qZeSn-KSOdeHS9r0heI-lHtkcn2OH7hP0jQ/edit?usp=share_link"",""ลำปาง!"&amp;"I271"")+IMPORTRANGE(""https://docs.google.com/spreadsheets/d/1-uUXvimVhiU2U0bMN-xi2te0tS4X7DI2GLPnMjzl8cA/edit?usp=share_link"",""ลำพูน!I271"")+IMPORTRANGE(""https://docs.google.com/spreadsheets/d/17HrOaa5pBUI1onckFfumXB8xlg35qb2uBAFfF1D-Myo/edit?usp=shar"&amp;"e_link"",""สุโขทัย!I271"")+IMPORTRANGE(""https://docs.google.com/spreadsheets/d/1ubs5cl16eYL9gHbdHTJtmtYb9MGzHBs7CAphn8kNCgM/edit?usp=share_link"",""อุตรดิตถ์!I271"")+IMPORTRANGE(""https://docs.google.com/spreadsheets/d/1kII0BjS6CtVrBvI8IrytgPdxDrlyQDyigz"&amp;"MsohRtDMs/edit?usp=share_link"",""อุทัยธานี!I271"")
"),396)</f>
        <v>396</v>
      </c>
      <c r="J271" s="183">
        <f ca="1">IFERROR(__xludf.DUMMYFUNCTION("IMPORTRANGE(""https://docs.google.com/spreadsheets/d/1KxicF4apzSqm0-jIpmueT4kyZtE-Cwn5zskl7GD4loQ/edit?usp=share_link"",""กำแพงเพชร!J271"")+IMPORTRANGE(""https://docs.google.com/spreadsheets/d/1ZNYWeiFoFA1K1U4xKWqRX29MBvEyRHXORjo734Gnq_c/edit?usp=share_li"&amp;"nk"",""เชียงราย!J271"")
+IMPORTRANGE(""https://docs.google.com/spreadsheets/d/1Jgv0Y7YlHDtsiDawwp-uvifEJ8HVaSn0k2aGHG8-hwM/edit?usp=share_link"",""เชียงใหม่!J271"")+IMPORTRANGE(""https://docs.google.com/spreadsheets/d/1JWG2rZePOz9pe-f-ObA-yDr0VoOX2kSb0qIi"&amp;"x2mTUo8/edit?usp=share_link"",""ตาก!J271"")+IMPORTRANGE(""https://docs.google.com/spreadsheets/d/10nSRjK08hx8Y6HgSOQKNw81lyY46Zc7U_Cj72hBMp9U/edit?usp=share_link"",""นครสวรรค์!J271"")+IMPORTRANGE(""https://docs.google.com/spreadsheets/d/1gFVb7qd7amutrIxAA"&amp;"oM7lcy35hllxznovot8lyOfvDo/edit?usp=share_link"",""น่าน!J271"")+IMPORTRANGE(""https://docs.google.com/spreadsheets/d/1K0Aa9s-6EuHE5M0FG1F9aHLXRCOV917xvycTdLdct0w/edit?usp=share_link"",""พะเยา!J271"")+IMPORTRANGE(""https://docs.google.com/spreadsheets/d/1Y"&amp;"9LPKx95PyL5OKy09d-KbKJSuuEZCFdkhYjwC0XQjBA/edit?usp=share_link"",""พิจิตร!J271"")+IMPORTRANGE(""https://docs.google.com/spreadsheets/d/16OMuOwy2eVqZcYWOouQtTpa8X1L23h4660uVHc0C8os/edit?usp=share_link"",""พิษณุโลก!J271"")+IMPORTRANGE(""https://docs.google."&amp;"com/spreadsheets/d/1GfgTldLG6k77HXaMQzaafODklYuucJZQNs_GAPEfZyY/edit?usp=share_link"",""เพชรบูรณ์!J271"")+IMPORTRANGE(""https://docs.google.com/spreadsheets/d/1gvTMYAnm7v1yG1BKWFtr0DnaTsq59oW9dwWvFgq6hs0/edit?usp=share_link"",""แพร่!J271"")+IMPORTRANGE("""&amp;"https://docs.google.com/spreadsheets/d/1Wbcosgy-Xa1xXUArJSOenub6EfZHUSzc_bpJFWwQUf0/edit?usp=share_link"",""แม่ฮ่องสอน!J271"")+IMPORTRANGE(""https://docs.google.com/spreadsheets/d/1p7ERhsr0qZeSn-KSOdeHS9r0heI-lHtkcn2OH7hP0jQ/edit?usp=share_link"",""ลำปาง!"&amp;"J271"")+IMPORTRANGE(""https://docs.google.com/spreadsheets/d/1-uUXvimVhiU2U0bMN-xi2te0tS4X7DI2GLPnMjzl8cA/edit?usp=share_link"",""ลำพูน!J271"")+IMPORTRANGE(""https://docs.google.com/spreadsheets/d/17HrOaa5pBUI1onckFfumXB8xlg35qb2uBAFfF1D-Myo/edit?usp=shar"&amp;"e_link"",""สุโขทัย!J271"")+IMPORTRANGE(""https://docs.google.com/spreadsheets/d/1ubs5cl16eYL9gHbdHTJtmtYb9MGzHBs7CAphn8kNCgM/edit?usp=share_link"",""อุตรดิตถ์!J271"")+IMPORTRANGE(""https://docs.google.com/spreadsheets/d/1kII0BjS6CtVrBvI8IrytgPdxDrlyQDyigz"&amp;"MsohRtDMs/edit?usp=share_link"",""อุทัยธานี!J271"")
"),46)</f>
        <v>46</v>
      </c>
      <c r="K271" s="163">
        <f ca="1">IF(I271&gt;0,J271*100/I271,0)</f>
        <v>11.616161616161616</v>
      </c>
      <c r="L271" s="163"/>
      <c r="M271" s="163"/>
      <c r="N271" s="163"/>
      <c r="O271" s="163"/>
      <c r="P271" s="163"/>
    </row>
    <row r="272" spans="1:26" ht="18.75" hidden="1">
      <c r="A272" s="346"/>
      <c r="B272" s="347"/>
      <c r="C272" s="347"/>
      <c r="D272" s="348" t="s">
        <v>125</v>
      </c>
      <c r="E272" s="349"/>
      <c r="F272" s="349"/>
      <c r="G272" s="350"/>
      <c r="H272" s="50" t="s">
        <v>35</v>
      </c>
      <c r="I272" s="351">
        <v>0</v>
      </c>
      <c r="J272" s="351">
        <v>0</v>
      </c>
      <c r="K272" s="352">
        <v>0</v>
      </c>
      <c r="L272" s="353"/>
      <c r="M272" s="353"/>
      <c r="N272" s="353"/>
      <c r="O272" s="353"/>
      <c r="P272" s="353"/>
    </row>
    <row r="273" spans="1:26" ht="19.5">
      <c r="A273" s="354" t="s">
        <v>126</v>
      </c>
      <c r="B273" s="355"/>
      <c r="C273" s="355"/>
      <c r="D273" s="355"/>
      <c r="E273" s="356"/>
      <c r="F273" s="356"/>
      <c r="G273" s="357"/>
      <c r="H273" s="358"/>
      <c r="I273" s="359"/>
      <c r="J273" s="359"/>
      <c r="K273" s="360"/>
      <c r="L273" s="360"/>
      <c r="M273" s="360"/>
      <c r="N273" s="360"/>
      <c r="O273" s="360"/>
      <c r="P273" s="360"/>
    </row>
    <row r="274" spans="1:26" ht="19.5">
      <c r="A274" s="361" t="s">
        <v>127</v>
      </c>
      <c r="B274" s="362"/>
      <c r="C274" s="363"/>
      <c r="D274" s="362"/>
      <c r="E274" s="362"/>
      <c r="F274" s="362"/>
      <c r="G274" s="362"/>
      <c r="H274" s="364"/>
      <c r="I274" s="365"/>
      <c r="J274" s="366"/>
      <c r="K274" s="367"/>
      <c r="L274" s="367"/>
      <c r="M274" s="367"/>
      <c r="N274" s="367"/>
      <c r="O274" s="367"/>
      <c r="P274" s="367"/>
    </row>
    <row r="275" spans="1:26" ht="19.5">
      <c r="A275" s="368"/>
      <c r="B275" s="369" t="s">
        <v>128</v>
      </c>
      <c r="C275" s="370"/>
      <c r="D275" s="371"/>
      <c r="E275" s="370"/>
      <c r="F275" s="370"/>
      <c r="G275" s="372"/>
      <c r="H275" s="373" t="s">
        <v>35</v>
      </c>
      <c r="I275" s="374">
        <f t="shared" ref="I275:J275" ca="1" si="146">I288</f>
        <v>395</v>
      </c>
      <c r="J275" s="374">
        <f t="shared" ca="1" si="146"/>
        <v>0</v>
      </c>
      <c r="K275" s="375">
        <f t="shared" ref="K275:K276" ca="1" si="147">IF(I275&gt;0,J275*100/I275,0)</f>
        <v>0</v>
      </c>
      <c r="L275" s="376"/>
      <c r="M275" s="376"/>
      <c r="N275" s="376"/>
      <c r="O275" s="376"/>
      <c r="P275" s="376"/>
    </row>
    <row r="276" spans="1:26" ht="19.5">
      <c r="A276" s="368"/>
      <c r="B276" s="377"/>
      <c r="C276" s="370"/>
      <c r="D276" s="371"/>
      <c r="E276" s="370"/>
      <c r="F276" s="370"/>
      <c r="G276" s="372"/>
      <c r="H276" s="373" t="s">
        <v>46</v>
      </c>
      <c r="I276" s="374">
        <f t="shared" ref="I276:J276" ca="1" si="148">I287</f>
        <v>3950</v>
      </c>
      <c r="J276" s="374">
        <f t="shared" ca="1" si="148"/>
        <v>1000</v>
      </c>
      <c r="K276" s="375">
        <f t="shared" ca="1" si="147"/>
        <v>25.316455696202532</v>
      </c>
      <c r="L276" s="376"/>
      <c r="M276" s="376"/>
      <c r="N276" s="376"/>
      <c r="O276" s="376"/>
      <c r="P276" s="376"/>
    </row>
    <row r="277" spans="1:26" ht="19.5">
      <c r="A277" s="147"/>
      <c r="B277" s="148"/>
      <c r="C277" s="149" t="s">
        <v>16</v>
      </c>
      <c r="D277" s="150" t="s">
        <v>17</v>
      </c>
      <c r="E277" s="148"/>
      <c r="F277" s="148"/>
      <c r="G277" s="151"/>
      <c r="H277" s="152" t="s">
        <v>12</v>
      </c>
      <c r="I277" s="153"/>
      <c r="J277" s="153"/>
      <c r="K277" s="154"/>
      <c r="L277" s="155">
        <f t="shared" ref="L277:N277" ca="1" si="149">L278+L279</f>
        <v>2886050</v>
      </c>
      <c r="M277" s="155">
        <f t="shared" ca="1" si="149"/>
        <v>1313640</v>
      </c>
      <c r="N277" s="155">
        <f t="shared" ca="1" si="149"/>
        <v>440165.27999999898</v>
      </c>
      <c r="O277" s="155">
        <f t="shared" ref="O277:O285" ca="1" si="150">IF(L277&gt;0,N277*100/L277,0)</f>
        <v>15.251477971622077</v>
      </c>
      <c r="P277" s="155">
        <f t="shared" ref="P277:P285" ca="1" si="151">IF(M277&gt;0,N277*100/M277,0)</f>
        <v>33.507298803325035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41" t="s">
        <v>18</v>
      </c>
      <c r="F278" s="40"/>
      <c r="G278" s="157"/>
      <c r="H278" s="158" t="s">
        <v>12</v>
      </c>
      <c r="I278" s="44"/>
      <c r="J278" s="44"/>
      <c r="K278" s="45"/>
      <c r="L278" s="45">
        <f t="shared" ref="L278:N278" si="152">L281+L284</f>
        <v>0</v>
      </c>
      <c r="M278" s="45">
        <f t="shared" si="152"/>
        <v>0</v>
      </c>
      <c r="N278" s="45">
        <f t="shared" si="152"/>
        <v>0</v>
      </c>
      <c r="O278" s="45">
        <f t="shared" si="150"/>
        <v>0</v>
      </c>
      <c r="P278" s="45">
        <f t="shared" si="151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41" t="s">
        <v>19</v>
      </c>
      <c r="F279" s="40"/>
      <c r="G279" s="157"/>
      <c r="H279" s="158" t="s">
        <v>12</v>
      </c>
      <c r="I279" s="44"/>
      <c r="J279" s="44"/>
      <c r="K279" s="45"/>
      <c r="L279" s="45">
        <f t="shared" ref="L279:N279" ca="1" si="153">L282+L285</f>
        <v>2886050</v>
      </c>
      <c r="M279" s="45">
        <f t="shared" ca="1" si="153"/>
        <v>1313640</v>
      </c>
      <c r="N279" s="45">
        <f t="shared" ca="1" si="153"/>
        <v>440165.27999999898</v>
      </c>
      <c r="O279" s="45">
        <f t="shared" ca="1" si="150"/>
        <v>15.251477971622077</v>
      </c>
      <c r="P279" s="45">
        <f t="shared" ca="1" si="151"/>
        <v>33.507298803325035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>
      <c r="A280" s="159"/>
      <c r="B280" s="33"/>
      <c r="C280" s="160"/>
      <c r="D280" s="34" t="s">
        <v>20</v>
      </c>
      <c r="E280" s="33"/>
      <c r="F280" s="33"/>
      <c r="G280" s="35"/>
      <c r="H280" s="161" t="s">
        <v>12</v>
      </c>
      <c r="I280" s="162"/>
      <c r="J280" s="162"/>
      <c r="K280" s="163"/>
      <c r="L280" s="38">
        <f t="shared" ref="L280:N280" ca="1" si="154">L281+L282</f>
        <v>2886050</v>
      </c>
      <c r="M280" s="38">
        <f t="shared" ca="1" si="154"/>
        <v>1313640</v>
      </c>
      <c r="N280" s="38">
        <f t="shared" ca="1" si="154"/>
        <v>440165.27999999898</v>
      </c>
      <c r="O280" s="38">
        <f t="shared" ca="1" si="150"/>
        <v>15.251477971622077</v>
      </c>
      <c r="P280" s="38">
        <f t="shared" ca="1" si="151"/>
        <v>33.507298803325035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41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45">
        <f t="shared" si="150"/>
        <v>0</v>
      </c>
      <c r="P281" s="45">
        <f t="shared" si="151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41" t="s">
        <v>37</v>
      </c>
      <c r="F282" s="40"/>
      <c r="G282" s="157"/>
      <c r="H282" s="165" t="s">
        <v>12</v>
      </c>
      <c r="I282" s="166"/>
      <c r="J282" s="166"/>
      <c r="K282" s="167"/>
      <c r="L282" s="45">
        <f ca="1">IFERROR(__xludf.DUMMYFUNCTION("IMPORTRANGE(""https://docs.google.com/spreadsheets/d/1KxicF4apzSqm0-jIpmueT4kyZtE-Cwn5zskl7GD4loQ/edit?usp=share_link"",""กำแพงเพชร!l282"")+IMPORTRANGE(""https://docs.google.com/spreadsheets/d/1ZNYWeiFoFA1K1U4xKWqRX29MBvEyRHXORjo734Gnq_c/edit?usp=share_li"&amp;"nk"",""เชียงราย!l282"")
+IMPORTRANGE(""https://docs.google.com/spreadsheets/d/1Jgv0Y7YlHDtsiDawwp-uvifEJ8HVaSn0k2aGHG8-hwM/edit?usp=share_link"",""เชียงใหม่!l282"")+IMPORTRANGE(""https://docs.google.com/spreadsheets/d/1JWG2rZePOz9pe-f-ObA-yDr0VoOX2kSb0qIi"&amp;"x2mTUo8/edit?usp=share_link"",""ตาก!l282"")+IMPORTRANGE(""https://docs.google.com/spreadsheets/d/10nSRjK08hx8Y6HgSOQKNw81lyY46Zc7U_Cj72hBMp9U/edit?usp=share_link"",""นครสวรรค์!l282"")+IMPORTRANGE(""https://docs.google.com/spreadsheets/d/1gFVb7qd7amutrIxAA"&amp;"oM7lcy35hllxznovot8lyOfvDo/edit?usp=share_link"",""น่าน!l282"")+IMPORTRANGE(""https://docs.google.com/spreadsheets/d/1K0Aa9s-6EuHE5M0FG1F9aHLXRCOV917xvycTdLdct0w/edit?usp=share_link"",""พะเยา!l282"")+IMPORTRANGE(""https://docs.google.com/spreadsheets/d/1Y"&amp;"9LPKx95PyL5OKy09d-KbKJSuuEZCFdkhYjwC0XQjBA/edit?usp=share_link"",""พิจิตร!l282"")+IMPORTRANGE(""https://docs.google.com/spreadsheets/d/16OMuOwy2eVqZcYWOouQtTpa8X1L23h4660uVHc0C8os/edit?usp=share_link"",""พิษณุโลก!l282"")+IMPORTRANGE(""https://docs.google."&amp;"com/spreadsheets/d/1GfgTldLG6k77HXaMQzaafODklYuucJZQNs_GAPEfZyY/edit?usp=share_link"",""เพชรบูรณ์!l282"")+IMPORTRANGE(""https://docs.google.com/spreadsheets/d/1gvTMYAnm7v1yG1BKWFtr0DnaTsq59oW9dwWvFgq6hs0/edit?usp=share_link"",""แพร่!l282"")+IMPORTRANGE("""&amp;"https://docs.google.com/spreadsheets/d/1Wbcosgy-Xa1xXUArJSOenub6EfZHUSzc_bpJFWwQUf0/edit?usp=share_link"",""แม่ฮ่องสอน!l282"")+IMPORTRANGE(""https://docs.google.com/spreadsheets/d/1p7ERhsr0qZeSn-KSOdeHS9r0heI-lHtkcn2OH7hP0jQ/edit?usp=share_link"",""ลำปาง!"&amp;"l282"")+IMPORTRANGE(""https://docs.google.com/spreadsheets/d/1-uUXvimVhiU2U0bMN-xi2te0tS4X7DI2GLPnMjzl8cA/edit?usp=share_link"",""ลำพูน!l282"")+IMPORTRANGE(""https://docs.google.com/spreadsheets/d/17HrOaa5pBUI1onckFfumXB8xlg35qb2uBAFfF1D-Myo/edit?usp=shar"&amp;"e_link"",""สุโขทัย!l282"")+IMPORTRANGE(""https://docs.google.com/spreadsheets/d/1ubs5cl16eYL9gHbdHTJtmtYb9MGzHBs7CAphn8kNCgM/edit?usp=share_link"",""อุตรดิตถ์!l282"")+IMPORTRANGE(""https://docs.google.com/spreadsheets/d/1kII0BjS6CtVrBvI8IrytgPdxDrlyQDyigz"&amp;"MsohRtDMs/edit?usp=share_link"",""อุทัยธานี!l282"")
"),2886050)</f>
        <v>2886050</v>
      </c>
      <c r="M282" s="45">
        <f ca="1">IFERROR(__xludf.DUMMYFUNCTION("IMPORTRANGE(""https://docs.google.com/spreadsheets/d/1KxicF4apzSqm0-jIpmueT4kyZtE-Cwn5zskl7GD4loQ/edit?usp=share_link"",""กำแพงเพชร!m282"")+IMPORTRANGE(""https://docs.google.com/spreadsheets/d/1ZNYWeiFoFA1K1U4xKWqRX29MBvEyRHXORjo734Gnq_c/edit?usp=share_li"&amp;"nk"",""เชียงราย!m282"")
+IMPORTRANGE(""https://docs.google.com/spreadsheets/d/1Jgv0Y7YlHDtsiDawwp-uvifEJ8HVaSn0k2aGHG8-hwM/edit?usp=share_link"",""เชียงใหม่!m282"")+IMPORTRANGE(""https://docs.google.com/spreadsheets/d/1JWG2rZePOz9pe-f-ObA-yDr0VoOX2kSb0qIi"&amp;"x2mTUo8/edit?usp=share_link"",""ตาก!m282"")+IMPORTRANGE(""https://docs.google.com/spreadsheets/d/10nSRjK08hx8Y6HgSOQKNw81lyY46Zc7U_Cj72hBMp9U/edit?usp=share_link"",""นครสวรรค์!m282"")+IMPORTRANGE(""https://docs.google.com/spreadsheets/d/1gFVb7qd7amutrIxAA"&amp;"oM7lcy35hllxznovot8lyOfvDo/edit?usp=share_link"",""น่าน!m282"")+IMPORTRANGE(""https://docs.google.com/spreadsheets/d/1K0Aa9s-6EuHE5M0FG1F9aHLXRCOV917xvycTdLdct0w/edit?usp=share_link"",""พะเยา!m282"")+IMPORTRANGE(""https://docs.google.com/spreadsheets/d/1Y"&amp;"9LPKx95PyL5OKy09d-KbKJSuuEZCFdkhYjwC0XQjBA/edit?usp=share_link"",""พิจิตร!m282"")+IMPORTRANGE(""https://docs.google.com/spreadsheets/d/16OMuOwy2eVqZcYWOouQtTpa8X1L23h4660uVHc0C8os/edit?usp=share_link"",""พิษณุโลก!m282"")+IMPORTRANGE(""https://docs.google."&amp;"com/spreadsheets/d/1GfgTldLG6k77HXaMQzaafODklYuucJZQNs_GAPEfZyY/edit?usp=share_link"",""เพชรบูรณ์!m282"")+IMPORTRANGE(""https://docs.google.com/spreadsheets/d/1gvTMYAnm7v1yG1BKWFtr0DnaTsq59oW9dwWvFgq6hs0/edit?usp=share_link"",""แพร่!m282"")+IMPORTRANGE("""&amp;"https://docs.google.com/spreadsheets/d/1Wbcosgy-Xa1xXUArJSOenub6EfZHUSzc_bpJFWwQUf0/edit?usp=share_link"",""แม่ฮ่องสอน!m282"")+IMPORTRANGE(""https://docs.google.com/spreadsheets/d/1p7ERhsr0qZeSn-KSOdeHS9r0heI-lHtkcn2OH7hP0jQ/edit?usp=share_link"",""ลำปาง!"&amp;"m282"")+IMPORTRANGE(""https://docs.google.com/spreadsheets/d/1-uUXvimVhiU2U0bMN-xi2te0tS4X7DI2GLPnMjzl8cA/edit?usp=share_link"",""ลำพูน!m282"")+IMPORTRANGE(""https://docs.google.com/spreadsheets/d/17HrOaa5pBUI1onckFfumXB8xlg35qb2uBAFfF1D-Myo/edit?usp=shar"&amp;"e_link"",""สุโขทัย!m282"")+IMPORTRANGE(""https://docs.google.com/spreadsheets/d/1ubs5cl16eYL9gHbdHTJtmtYb9MGzHBs7CAphn8kNCgM/edit?usp=share_link"",""อุตรดิตถ์!m282"")+IMPORTRANGE(""https://docs.google.com/spreadsheets/d/1kII0BjS6CtVrBvI8IrytgPdxDrlyQDyigz"&amp;"MsohRtDMs/edit?usp=share_link"",""อุทัยธานี!m282"")
"),1313640)</f>
        <v>1313640</v>
      </c>
      <c r="N282" s="45">
        <f ca="1">IFERROR(__xludf.DUMMYFUNCTION("IMPORTRANGE(""https://docs.google.com/spreadsheets/d/1KxicF4apzSqm0-jIpmueT4kyZtE-Cwn5zskl7GD4loQ/edit?usp=share_link"",""กำแพงเพชร!n282"")+IMPORTRANGE(""https://docs.google.com/spreadsheets/d/1ZNYWeiFoFA1K1U4xKWqRX29MBvEyRHXORjo734Gnq_c/edit?usp=share_li"&amp;"nk"",""เชียงราย!n282"")
+IMPORTRANGE(""https://docs.google.com/spreadsheets/d/1Jgv0Y7YlHDtsiDawwp-uvifEJ8HVaSn0k2aGHG8-hwM/edit?usp=share_link"",""เชียงใหม่!n282"")+IMPORTRANGE(""https://docs.google.com/spreadsheets/d/1JWG2rZePOz9pe-f-ObA-yDr0VoOX2kSb0qIi"&amp;"x2mTUo8/edit?usp=share_link"",""ตาก!n282"")+IMPORTRANGE(""https://docs.google.com/spreadsheets/d/10nSRjK08hx8Y6HgSOQKNw81lyY46Zc7U_Cj72hBMp9U/edit?usp=share_link"",""นครสวรรค์!n282"")+IMPORTRANGE(""https://docs.google.com/spreadsheets/d/1gFVb7qd7amutrIxAA"&amp;"oM7lcy35hllxznovot8lyOfvDo/edit?usp=share_link"",""น่าน!n282"")+IMPORTRANGE(""https://docs.google.com/spreadsheets/d/1K0Aa9s-6EuHE5M0FG1F9aHLXRCOV917xvycTdLdct0w/edit?usp=share_link"",""พะเยา!n282"")+IMPORTRANGE(""https://docs.google.com/spreadsheets/d/1Y"&amp;"9LPKx95PyL5OKy09d-KbKJSuuEZCFdkhYjwC0XQjBA/edit?usp=share_link"",""พิจิตร!n282"")+IMPORTRANGE(""https://docs.google.com/spreadsheets/d/16OMuOwy2eVqZcYWOouQtTpa8X1L23h4660uVHc0C8os/edit?usp=share_link"",""พิษณุโลก!n282"")+IMPORTRANGE(""https://docs.google."&amp;"com/spreadsheets/d/1GfgTldLG6k77HXaMQzaafODklYuucJZQNs_GAPEfZyY/edit?usp=share_link"",""เพชรบูรณ์!n282"")+IMPORTRANGE(""https://docs.google.com/spreadsheets/d/1gvTMYAnm7v1yG1BKWFtr0DnaTsq59oW9dwWvFgq6hs0/edit?usp=share_link"",""แพร่!n282"")+IMPORTRANGE("""&amp;"https://docs.google.com/spreadsheets/d/1Wbcosgy-Xa1xXUArJSOenub6EfZHUSzc_bpJFWwQUf0/edit?usp=share_link"",""แม่ฮ่องสอน!n282"")+IMPORTRANGE(""https://docs.google.com/spreadsheets/d/1p7ERhsr0qZeSn-KSOdeHS9r0heI-lHtkcn2OH7hP0jQ/edit?usp=share_link"",""ลำปาง!"&amp;"n282"")+IMPORTRANGE(""https://docs.google.com/spreadsheets/d/1-uUXvimVhiU2U0bMN-xi2te0tS4X7DI2GLPnMjzl8cA/edit?usp=share_link"",""ลำพูน!n282"")+IMPORTRANGE(""https://docs.google.com/spreadsheets/d/17HrOaa5pBUI1onckFfumXB8xlg35qb2uBAFfF1D-Myo/edit?usp=shar"&amp;"e_link"",""สุโขทัย!n282"")+IMPORTRANGE(""https://docs.google.com/spreadsheets/d/1ubs5cl16eYL9gHbdHTJtmtYb9MGzHBs7CAphn8kNCgM/edit?usp=share_link"",""อุตรดิตถ์!n282"")+IMPORTRANGE(""https://docs.google.com/spreadsheets/d/1kII0BjS6CtVrBvI8IrytgPdxDrlyQDyigz"&amp;"MsohRtDMs/edit?usp=share_link"",""อุทัยธานี!n282"")
"),440165.279999999)</f>
        <v>440165.27999999898</v>
      </c>
      <c r="O282" s="45">
        <f t="shared" ca="1" si="150"/>
        <v>15.251477971622077</v>
      </c>
      <c r="P282" s="45">
        <f t="shared" ca="1" si="151"/>
        <v>33.507298803325035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>
      <c r="A283" s="159"/>
      <c r="B283" s="33"/>
      <c r="C283" s="160"/>
      <c r="D283" s="34" t="s">
        <v>21</v>
      </c>
      <c r="E283" s="33"/>
      <c r="F283" s="33"/>
      <c r="G283" s="35"/>
      <c r="H283" s="168" t="s">
        <v>12</v>
      </c>
      <c r="I283" s="162"/>
      <c r="J283" s="162"/>
      <c r="K283" s="163"/>
      <c r="L283" s="38">
        <f t="shared" ref="L283:N283" ca="1" si="155">L284+L285</f>
        <v>0</v>
      </c>
      <c r="M283" s="38">
        <f t="shared" ca="1" si="155"/>
        <v>0</v>
      </c>
      <c r="N283" s="38">
        <f t="shared" ca="1" si="155"/>
        <v>0</v>
      </c>
      <c r="O283" s="38">
        <f t="shared" ca="1" si="150"/>
        <v>0</v>
      </c>
      <c r="P283" s="38">
        <f t="shared" ca="1" si="151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41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45">
        <f t="shared" si="150"/>
        <v>0</v>
      </c>
      <c r="P284" s="45">
        <f t="shared" si="151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41" t="s">
        <v>19</v>
      </c>
      <c r="F285" s="40"/>
      <c r="G285" s="157"/>
      <c r="H285" s="169" t="s">
        <v>12</v>
      </c>
      <c r="I285" s="166"/>
      <c r="J285" s="166"/>
      <c r="K285" s="167"/>
      <c r="L285" s="45">
        <f ca="1">IFERROR(__xludf.DUMMYFUNCTION("IMPORTRANGE(""https://docs.google.com/spreadsheets/d/1KxicF4apzSqm0-jIpmueT4kyZtE-Cwn5zskl7GD4loQ/edit?usp=share_link"",""กำแพงเพชร!l285"")+IMPORTRANGE(""https://docs.google.com/spreadsheets/d/1ZNYWeiFoFA1K1U4xKWqRX29MBvEyRHXORjo734Gnq_c/edit?usp=share_li"&amp;"nk"",""เชียงราย!l285"")
+IMPORTRANGE(""https://docs.google.com/spreadsheets/d/1Jgv0Y7YlHDtsiDawwp-uvifEJ8HVaSn0k2aGHG8-hwM/edit?usp=share_link"",""เชียงใหม่!l285"")+IMPORTRANGE(""https://docs.google.com/spreadsheets/d/1JWG2rZePOz9pe-f-ObA-yDr0VoOX2kSb0qIi"&amp;"x2mTUo8/edit?usp=share_link"",""ตาก!l285"")+IMPORTRANGE(""https://docs.google.com/spreadsheets/d/10nSRjK08hx8Y6HgSOQKNw81lyY46Zc7U_Cj72hBMp9U/edit?usp=share_link"",""นครสวรรค์!l285"")+IMPORTRANGE(""https://docs.google.com/spreadsheets/d/1gFVb7qd7amutrIxAA"&amp;"oM7lcy35hllxznovot8lyOfvDo/edit?usp=share_link"",""น่าน!l285"")+IMPORTRANGE(""https://docs.google.com/spreadsheets/d/1K0Aa9s-6EuHE5M0FG1F9aHLXRCOV917xvycTdLdct0w/edit?usp=share_link"",""พะเยา!l285"")+IMPORTRANGE(""https://docs.google.com/spreadsheets/d/1Y"&amp;"9LPKx95PyL5OKy09d-KbKJSuuEZCFdkhYjwC0XQjBA/edit?usp=share_link"",""พิจิตร!l285"")+IMPORTRANGE(""https://docs.google.com/spreadsheets/d/16OMuOwy2eVqZcYWOouQtTpa8X1L23h4660uVHc0C8os/edit?usp=share_link"",""พิษณุโลก!l285"")+IMPORTRANGE(""https://docs.google."&amp;"com/spreadsheets/d/1GfgTldLG6k77HXaMQzaafODklYuucJZQNs_GAPEfZyY/edit?usp=share_link"",""เพชรบูรณ์!l285"")+IMPORTRANGE(""https://docs.google.com/spreadsheets/d/1gvTMYAnm7v1yG1BKWFtr0DnaTsq59oW9dwWvFgq6hs0/edit?usp=share_link"",""แพร่!l285"")+IMPORTRANGE("""&amp;"https://docs.google.com/spreadsheets/d/1Wbcosgy-Xa1xXUArJSOenub6EfZHUSzc_bpJFWwQUf0/edit?usp=share_link"",""แม่ฮ่องสอน!l285"")+IMPORTRANGE(""https://docs.google.com/spreadsheets/d/1p7ERhsr0qZeSn-KSOdeHS9r0heI-lHtkcn2OH7hP0jQ/edit?usp=share_link"",""ลำปาง!"&amp;"l285"")+IMPORTRANGE(""https://docs.google.com/spreadsheets/d/1-uUXvimVhiU2U0bMN-xi2te0tS4X7DI2GLPnMjzl8cA/edit?usp=share_link"",""ลำพูน!l285"")+IMPORTRANGE(""https://docs.google.com/spreadsheets/d/17HrOaa5pBUI1onckFfumXB8xlg35qb2uBAFfF1D-Myo/edit?usp=shar"&amp;"e_link"",""สุโขทัย!l285"")+IMPORTRANGE(""https://docs.google.com/spreadsheets/d/1ubs5cl16eYL9gHbdHTJtmtYb9MGzHBs7CAphn8kNCgM/edit?usp=share_link"",""อุตรดิตถ์!l285"")+IMPORTRANGE(""https://docs.google.com/spreadsheets/d/1kII0BjS6CtVrBvI8IrytgPdxDrlyQDyigz"&amp;"MsohRtDMs/edit?usp=share_link"",""อุทัยธานี!l285"")
"),0)</f>
        <v>0</v>
      </c>
      <c r="M285" s="45">
        <f ca="1">IFERROR(__xludf.DUMMYFUNCTION("IMPORTRANGE(""https://docs.google.com/spreadsheets/d/1KxicF4apzSqm0-jIpmueT4kyZtE-Cwn5zskl7GD4loQ/edit?usp=share_link"",""กำแพงเพชร!m285"")+IMPORTRANGE(""https://docs.google.com/spreadsheets/d/1ZNYWeiFoFA1K1U4xKWqRX29MBvEyRHXORjo734Gnq_c/edit?usp=share_li"&amp;"nk"",""เชียงราย!m285"")
+IMPORTRANGE(""https://docs.google.com/spreadsheets/d/1Jgv0Y7YlHDtsiDawwp-uvifEJ8HVaSn0k2aGHG8-hwM/edit?usp=share_link"",""เชียงใหม่!m285"")+IMPORTRANGE(""https://docs.google.com/spreadsheets/d/1JWG2rZePOz9pe-f-ObA-yDr0VoOX2kSb0qIi"&amp;"x2mTUo8/edit?usp=share_link"",""ตาก!m285"")+IMPORTRANGE(""https://docs.google.com/spreadsheets/d/10nSRjK08hx8Y6HgSOQKNw81lyY46Zc7U_Cj72hBMp9U/edit?usp=share_link"",""นครสวรรค์!m285"")+IMPORTRANGE(""https://docs.google.com/spreadsheets/d/1gFVb7qd7amutrIxAA"&amp;"oM7lcy35hllxznovot8lyOfvDo/edit?usp=share_link"",""น่าน!m285"")+IMPORTRANGE(""https://docs.google.com/spreadsheets/d/1K0Aa9s-6EuHE5M0FG1F9aHLXRCOV917xvycTdLdct0w/edit?usp=share_link"",""พะเยา!m285"")+IMPORTRANGE(""https://docs.google.com/spreadsheets/d/1Y"&amp;"9LPKx95PyL5OKy09d-KbKJSuuEZCFdkhYjwC0XQjBA/edit?usp=share_link"",""พิจิตร!m285"")+IMPORTRANGE(""https://docs.google.com/spreadsheets/d/16OMuOwy2eVqZcYWOouQtTpa8X1L23h4660uVHc0C8os/edit?usp=share_link"",""พิษณุโลก!m285"")+IMPORTRANGE(""https://docs.google."&amp;"com/spreadsheets/d/1GfgTldLG6k77HXaMQzaafODklYuucJZQNs_GAPEfZyY/edit?usp=share_link"",""เพชรบูรณ์!m285"")+IMPORTRANGE(""https://docs.google.com/spreadsheets/d/1gvTMYAnm7v1yG1BKWFtr0DnaTsq59oW9dwWvFgq6hs0/edit?usp=share_link"",""แพร่!m285"")+IMPORTRANGE("""&amp;"https://docs.google.com/spreadsheets/d/1Wbcosgy-Xa1xXUArJSOenub6EfZHUSzc_bpJFWwQUf0/edit?usp=share_link"",""แม่ฮ่องสอน!m285"")+IMPORTRANGE(""https://docs.google.com/spreadsheets/d/1p7ERhsr0qZeSn-KSOdeHS9r0heI-lHtkcn2OH7hP0jQ/edit?usp=share_link"",""ลำปาง!"&amp;"m285"")+IMPORTRANGE(""https://docs.google.com/spreadsheets/d/1-uUXvimVhiU2U0bMN-xi2te0tS4X7DI2GLPnMjzl8cA/edit?usp=share_link"",""ลำพูน!m285"")+IMPORTRANGE(""https://docs.google.com/spreadsheets/d/17HrOaa5pBUI1onckFfumXB8xlg35qb2uBAFfF1D-Myo/edit?usp=shar"&amp;"e_link"",""สุโขทัย!m285"")+IMPORTRANGE(""https://docs.google.com/spreadsheets/d/1ubs5cl16eYL9gHbdHTJtmtYb9MGzHBs7CAphn8kNCgM/edit?usp=share_link"",""อุตรดิตถ์!m285"")+IMPORTRANGE(""https://docs.google.com/spreadsheets/d/1kII0BjS6CtVrBvI8IrytgPdxDrlyQDyigz"&amp;"MsohRtDMs/edit?usp=share_link"",""อุทัยธานี!m285"")
"),0)</f>
        <v>0</v>
      </c>
      <c r="N285" s="45">
        <f ca="1">IFERROR(__xludf.DUMMYFUNCTION("IMPORTRANGE(""https://docs.google.com/spreadsheets/d/1KxicF4apzSqm0-jIpmueT4kyZtE-Cwn5zskl7GD4loQ/edit?usp=share_link"",""กำแพงเพชร!n285"")+IMPORTRANGE(""https://docs.google.com/spreadsheets/d/1ZNYWeiFoFA1K1U4xKWqRX29MBvEyRHXORjo734Gnq_c/edit?usp=share_li"&amp;"nk"",""เชียงราย!n285"")
+IMPORTRANGE(""https://docs.google.com/spreadsheets/d/1Jgv0Y7YlHDtsiDawwp-uvifEJ8HVaSn0k2aGHG8-hwM/edit?usp=share_link"",""เชียงใหม่!n285"")+IMPORTRANGE(""https://docs.google.com/spreadsheets/d/1JWG2rZePOz9pe-f-ObA-yDr0VoOX2kSb0qIi"&amp;"x2mTUo8/edit?usp=share_link"",""ตาก!n285"")+IMPORTRANGE(""https://docs.google.com/spreadsheets/d/10nSRjK08hx8Y6HgSOQKNw81lyY46Zc7U_Cj72hBMp9U/edit?usp=share_link"",""นครสวรรค์!n285"")+IMPORTRANGE(""https://docs.google.com/spreadsheets/d/1gFVb7qd7amutrIxAA"&amp;"oM7lcy35hllxznovot8lyOfvDo/edit?usp=share_link"",""น่าน!n285"")+IMPORTRANGE(""https://docs.google.com/spreadsheets/d/1K0Aa9s-6EuHE5M0FG1F9aHLXRCOV917xvycTdLdct0w/edit?usp=share_link"",""พะเยา!n285"")+IMPORTRANGE(""https://docs.google.com/spreadsheets/d/1Y"&amp;"9LPKx95PyL5OKy09d-KbKJSuuEZCFdkhYjwC0XQjBA/edit?usp=share_link"",""พิจิตร!n285"")+IMPORTRANGE(""https://docs.google.com/spreadsheets/d/16OMuOwy2eVqZcYWOouQtTpa8X1L23h4660uVHc0C8os/edit?usp=share_link"",""พิษณุโลก!n285"")+IMPORTRANGE(""https://docs.google."&amp;"com/spreadsheets/d/1GfgTldLG6k77HXaMQzaafODklYuucJZQNs_GAPEfZyY/edit?usp=share_link"",""เพชรบูรณ์!n285"")+IMPORTRANGE(""https://docs.google.com/spreadsheets/d/1gvTMYAnm7v1yG1BKWFtr0DnaTsq59oW9dwWvFgq6hs0/edit?usp=share_link"",""แพร่!n285"")+IMPORTRANGE("""&amp;"https://docs.google.com/spreadsheets/d/1Wbcosgy-Xa1xXUArJSOenub6EfZHUSzc_bpJFWwQUf0/edit?usp=share_link"",""แม่ฮ่องสอน!n285"")+IMPORTRANGE(""https://docs.google.com/spreadsheets/d/1p7ERhsr0qZeSn-KSOdeHS9r0heI-lHtkcn2OH7hP0jQ/edit?usp=share_link"",""ลำปาง!"&amp;"n285"")+IMPORTRANGE(""https://docs.google.com/spreadsheets/d/1-uUXvimVhiU2U0bMN-xi2te0tS4X7DI2GLPnMjzl8cA/edit?usp=share_link"",""ลำพูน!n285"")+IMPORTRANGE(""https://docs.google.com/spreadsheets/d/17HrOaa5pBUI1onckFfumXB8xlg35qb2uBAFfF1D-Myo/edit?usp=shar"&amp;"e_link"",""สุโขทัย!n285"")+IMPORTRANGE(""https://docs.google.com/spreadsheets/d/1ubs5cl16eYL9gHbdHTJtmtYb9MGzHBs7CAphn8kNCgM/edit?usp=share_link"",""อุตรดิตถ์!n285"")+IMPORTRANGE(""https://docs.google.com/spreadsheets/d/1kII0BjS6CtVrBvI8IrytgPdxDrlyQDyigz"&amp;"MsohRtDMs/edit?usp=share_link"",""อุทัยธานี!n285"")
"),0)</f>
        <v>0</v>
      </c>
      <c r="O285" s="45">
        <f t="shared" ca="1" si="150"/>
        <v>0</v>
      </c>
      <c r="P285" s="45">
        <f t="shared" ca="1" si="151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>
      <c r="A286" s="170"/>
      <c r="B286" s="171"/>
      <c r="C286" s="164" t="s">
        <v>16</v>
      </c>
      <c r="D286" s="172" t="s">
        <v>38</v>
      </c>
      <c r="E286" s="173"/>
      <c r="F286" s="173"/>
      <c r="G286" s="174"/>
      <c r="H286" s="175"/>
      <c r="I286" s="162"/>
      <c r="J286" s="162"/>
      <c r="K286" s="163"/>
      <c r="L286" s="163"/>
      <c r="M286" s="163"/>
      <c r="N286" s="163"/>
      <c r="O286" s="163"/>
      <c r="P286" s="163"/>
    </row>
    <row r="287" spans="1:26" ht="18.75">
      <c r="A287" s="170"/>
      <c r="B287" s="171"/>
      <c r="C287" s="171"/>
      <c r="D287" s="378" t="s">
        <v>129</v>
      </c>
      <c r="E287" s="171"/>
      <c r="F287" s="178"/>
      <c r="G287" s="179"/>
      <c r="H287" s="185" t="s">
        <v>46</v>
      </c>
      <c r="I287" s="269">
        <f ca="1">IFERROR(__xludf.DUMMYFUNCTION("IMPORTRANGE(""https://docs.google.com/spreadsheets/d/1KxicF4apzSqm0-jIpmueT4kyZtE-Cwn5zskl7GD4loQ/edit?usp=share_link"",""กำแพงเพชร!I287"")+IMPORTRANGE(""https://docs.google.com/spreadsheets/d/1ZNYWeiFoFA1K1U4xKWqRX29MBvEyRHXORjo734Gnq_c/edit?usp=share_li"&amp;"nk"",""เชียงราย!I287"")
+IMPORTRANGE(""https://docs.google.com/spreadsheets/d/1Jgv0Y7YlHDtsiDawwp-uvifEJ8HVaSn0k2aGHG8-hwM/edit?usp=share_link"",""เชียงใหม่!I287"")+IMPORTRANGE(""https://docs.google.com/spreadsheets/d/1JWG2rZePOz9pe-f-ObA-yDr0VoOX2kSb0qIi"&amp;"x2mTUo8/edit?usp=share_link"",""ตาก!I287"")+IMPORTRANGE(""https://docs.google.com/spreadsheets/d/10nSRjK08hx8Y6HgSOQKNw81lyY46Zc7U_Cj72hBMp9U/edit?usp=share_link"",""นครสวรรค์!I287"")+IMPORTRANGE(""https://docs.google.com/spreadsheets/d/1gFVb7qd7amutrIxAA"&amp;"oM7lcy35hllxznovot8lyOfvDo/edit?usp=share_link"",""น่าน!I287"")+IMPORTRANGE(""https://docs.google.com/spreadsheets/d/1K0Aa9s-6EuHE5M0FG1F9aHLXRCOV917xvycTdLdct0w/edit?usp=share_link"",""พะเยา!I287"")+IMPORTRANGE(""https://docs.google.com/spreadsheets/d/1Y"&amp;"9LPKx95PyL5OKy09d-KbKJSuuEZCFdkhYjwC0XQjBA/edit?usp=share_link"",""พิจิตร!I287"")+IMPORTRANGE(""https://docs.google.com/spreadsheets/d/16OMuOwy2eVqZcYWOouQtTpa8X1L23h4660uVHc0C8os/edit?usp=share_link"",""พิษณุโลก!I287"")+IMPORTRANGE(""https://docs.google."&amp;"com/spreadsheets/d/1GfgTldLG6k77HXaMQzaafODklYuucJZQNs_GAPEfZyY/edit?usp=share_link"",""เพชรบูรณ์!I287"")+IMPORTRANGE(""https://docs.google.com/spreadsheets/d/1gvTMYAnm7v1yG1BKWFtr0DnaTsq59oW9dwWvFgq6hs0/edit?usp=share_link"",""แพร่!I287"")+IMPORTRANGE("""&amp;"https://docs.google.com/spreadsheets/d/1Wbcosgy-Xa1xXUArJSOenub6EfZHUSzc_bpJFWwQUf0/edit?usp=share_link"",""แม่ฮ่องสอน!I287"")+IMPORTRANGE(""https://docs.google.com/spreadsheets/d/1p7ERhsr0qZeSn-KSOdeHS9r0heI-lHtkcn2OH7hP0jQ/edit?usp=share_link"",""ลำปาง!"&amp;"I287"")+IMPORTRANGE(""https://docs.google.com/spreadsheets/d/1-uUXvimVhiU2U0bMN-xi2te0tS4X7DI2GLPnMjzl8cA/edit?usp=share_link"",""ลำพูน!I287"")+IMPORTRANGE(""https://docs.google.com/spreadsheets/d/17HrOaa5pBUI1onckFfumXB8xlg35qb2uBAFfF1D-Myo/edit?usp=shar"&amp;"e_link"",""สุโขทัย!I287"")+IMPORTRANGE(""https://docs.google.com/spreadsheets/d/1ubs5cl16eYL9gHbdHTJtmtYb9MGzHBs7CAphn8kNCgM/edit?usp=share_link"",""อุตรดิตถ์!I287"")+IMPORTRANGE(""https://docs.google.com/spreadsheets/d/1kII0BjS6CtVrBvI8IrytgPdxDrlyQDyigz"&amp;"MsohRtDMs/edit?usp=share_link"",""อุทัยธานี!I287"")
"),3950)</f>
        <v>3950</v>
      </c>
      <c r="J287" s="183">
        <f ca="1">IFERROR(__xludf.DUMMYFUNCTION("IMPORTRANGE(""https://docs.google.com/spreadsheets/d/1KxicF4apzSqm0-jIpmueT4kyZtE-Cwn5zskl7GD4loQ/edit?usp=share_link"",""กำแพงเพชร!J287"")+IMPORTRANGE(""https://docs.google.com/spreadsheets/d/1ZNYWeiFoFA1K1U4xKWqRX29MBvEyRHXORjo734Gnq_c/edit?usp=share_li"&amp;"nk"",""เชียงราย!J287"")
+IMPORTRANGE(""https://docs.google.com/spreadsheets/d/1Jgv0Y7YlHDtsiDawwp-uvifEJ8HVaSn0k2aGHG8-hwM/edit?usp=share_link"",""เชียงใหม่!J287"")+IMPORTRANGE(""https://docs.google.com/spreadsheets/d/1JWG2rZePOz9pe-f-ObA-yDr0VoOX2kSb0qIi"&amp;"x2mTUo8/edit?usp=share_link"",""ตาก!J287"")+IMPORTRANGE(""https://docs.google.com/spreadsheets/d/10nSRjK08hx8Y6HgSOQKNw81lyY46Zc7U_Cj72hBMp9U/edit?usp=share_link"",""นครสวรรค์!J287"")+IMPORTRANGE(""https://docs.google.com/spreadsheets/d/1gFVb7qd7amutrIxAA"&amp;"oM7lcy35hllxznovot8lyOfvDo/edit?usp=share_link"",""น่าน!J287"")+IMPORTRANGE(""https://docs.google.com/spreadsheets/d/1K0Aa9s-6EuHE5M0FG1F9aHLXRCOV917xvycTdLdct0w/edit?usp=share_link"",""พะเยา!J287"")+IMPORTRANGE(""https://docs.google.com/spreadsheets/d/1Y"&amp;"9LPKx95PyL5OKy09d-KbKJSuuEZCFdkhYjwC0XQjBA/edit?usp=share_link"",""พิจิตร!J287"")+IMPORTRANGE(""https://docs.google.com/spreadsheets/d/16OMuOwy2eVqZcYWOouQtTpa8X1L23h4660uVHc0C8os/edit?usp=share_link"",""พิษณุโลก!J287"")+IMPORTRANGE(""https://docs.google."&amp;"com/spreadsheets/d/1GfgTldLG6k77HXaMQzaafODklYuucJZQNs_GAPEfZyY/edit?usp=share_link"",""เพชรบูรณ์!J287"")+IMPORTRANGE(""https://docs.google.com/spreadsheets/d/1gvTMYAnm7v1yG1BKWFtr0DnaTsq59oW9dwWvFgq6hs0/edit?usp=share_link"",""แพร่!J287"")+IMPORTRANGE("""&amp;"https://docs.google.com/spreadsheets/d/1Wbcosgy-Xa1xXUArJSOenub6EfZHUSzc_bpJFWwQUf0/edit?usp=share_link"",""แม่ฮ่องสอน!J287"")+IMPORTRANGE(""https://docs.google.com/spreadsheets/d/1p7ERhsr0qZeSn-KSOdeHS9r0heI-lHtkcn2OH7hP0jQ/edit?usp=share_link"",""ลำปาง!"&amp;"J287"")+IMPORTRANGE(""https://docs.google.com/spreadsheets/d/1-uUXvimVhiU2U0bMN-xi2te0tS4X7DI2GLPnMjzl8cA/edit?usp=share_link"",""ลำพูน!J287"")+IMPORTRANGE(""https://docs.google.com/spreadsheets/d/17HrOaa5pBUI1onckFfumXB8xlg35qb2uBAFfF1D-Myo/edit?usp=shar"&amp;"e_link"",""สุโขทัย!J287"")+IMPORTRANGE(""https://docs.google.com/spreadsheets/d/1ubs5cl16eYL9gHbdHTJtmtYb9MGzHBs7CAphn8kNCgM/edit?usp=share_link"",""อุตรดิตถ์!J287"")+IMPORTRANGE(""https://docs.google.com/spreadsheets/d/1kII0BjS6CtVrBvI8IrytgPdxDrlyQDyigz"&amp;"MsohRtDMs/edit?usp=share_link"",""อุทัยธานี!J287"")
"),1000)</f>
        <v>1000</v>
      </c>
      <c r="K287" s="163">
        <f t="shared" ref="K287:K288" ca="1" si="156">IF(I287&gt;0,J287*100/I287,0)</f>
        <v>25.316455696202532</v>
      </c>
      <c r="L287" s="163"/>
      <c r="M287" s="163"/>
      <c r="N287" s="163"/>
      <c r="O287" s="163"/>
      <c r="P287" s="163"/>
    </row>
    <row r="288" spans="1:26" ht="19.5">
      <c r="A288" s="170"/>
      <c r="B288" s="171"/>
      <c r="C288" s="171"/>
      <c r="D288" s="378" t="s">
        <v>130</v>
      </c>
      <c r="E288" s="171"/>
      <c r="F288" s="178"/>
      <c r="G288" s="179"/>
      <c r="H288" s="180" t="s">
        <v>35</v>
      </c>
      <c r="I288" s="194">
        <f ca="1">IFERROR(__xludf.DUMMYFUNCTION("IMPORTRANGE(""https://docs.google.com/spreadsheets/d/1KxicF4apzSqm0-jIpmueT4kyZtE-Cwn5zskl7GD4loQ/edit?usp=share_link"",""กำแพงเพชร!I288"")+IMPORTRANGE(""https://docs.google.com/spreadsheets/d/1ZNYWeiFoFA1K1U4xKWqRX29MBvEyRHXORjo734Gnq_c/edit?usp=share_li"&amp;"nk"",""เชียงราย!I288"")
+IMPORTRANGE(""https://docs.google.com/spreadsheets/d/1Jgv0Y7YlHDtsiDawwp-uvifEJ8HVaSn0k2aGHG8-hwM/edit?usp=share_link"",""เชียงใหม่!I288"")+IMPORTRANGE(""https://docs.google.com/spreadsheets/d/1JWG2rZePOz9pe-f-ObA-yDr0VoOX2kSb0qIi"&amp;"x2mTUo8/edit?usp=share_link"",""ตาก!I288"")+IMPORTRANGE(""https://docs.google.com/spreadsheets/d/10nSRjK08hx8Y6HgSOQKNw81lyY46Zc7U_Cj72hBMp9U/edit?usp=share_link"",""นครสวรรค์!I288"")+IMPORTRANGE(""https://docs.google.com/spreadsheets/d/1gFVb7qd7amutrIxAA"&amp;"oM7lcy35hllxznovot8lyOfvDo/edit?usp=share_link"",""น่าน!I288"")+IMPORTRANGE(""https://docs.google.com/spreadsheets/d/1K0Aa9s-6EuHE5M0FG1F9aHLXRCOV917xvycTdLdct0w/edit?usp=share_link"",""พะเยา!I288"")+IMPORTRANGE(""https://docs.google.com/spreadsheets/d/1Y"&amp;"9LPKx95PyL5OKy09d-KbKJSuuEZCFdkhYjwC0XQjBA/edit?usp=share_link"",""พิจิตร!I288"")+IMPORTRANGE(""https://docs.google.com/spreadsheets/d/16OMuOwy2eVqZcYWOouQtTpa8X1L23h4660uVHc0C8os/edit?usp=share_link"",""พิษณุโลก!I288"")+IMPORTRANGE(""https://docs.google."&amp;"com/spreadsheets/d/1GfgTldLG6k77HXaMQzaafODklYuucJZQNs_GAPEfZyY/edit?usp=share_link"",""เพชรบูรณ์!I288"")+IMPORTRANGE(""https://docs.google.com/spreadsheets/d/1gvTMYAnm7v1yG1BKWFtr0DnaTsq59oW9dwWvFgq6hs0/edit?usp=share_link"",""แพร่!I288"")+IMPORTRANGE("""&amp;"https://docs.google.com/spreadsheets/d/1Wbcosgy-Xa1xXUArJSOenub6EfZHUSzc_bpJFWwQUf0/edit?usp=share_link"",""แม่ฮ่องสอน!I288"")+IMPORTRANGE(""https://docs.google.com/spreadsheets/d/1p7ERhsr0qZeSn-KSOdeHS9r0heI-lHtkcn2OH7hP0jQ/edit?usp=share_link"",""ลำปาง!"&amp;"I288"")+IMPORTRANGE(""https://docs.google.com/spreadsheets/d/1-uUXvimVhiU2U0bMN-xi2te0tS4X7DI2GLPnMjzl8cA/edit?usp=share_link"",""ลำพูน!I288"")+IMPORTRANGE(""https://docs.google.com/spreadsheets/d/17HrOaa5pBUI1onckFfumXB8xlg35qb2uBAFfF1D-Myo/edit?usp=shar"&amp;"e_link"",""สุโขทัย!I288"")+IMPORTRANGE(""https://docs.google.com/spreadsheets/d/1ubs5cl16eYL9gHbdHTJtmtYb9MGzHBs7CAphn8kNCgM/edit?usp=share_link"",""อุตรดิตถ์!I288"")+IMPORTRANGE(""https://docs.google.com/spreadsheets/d/1kII0BjS6CtVrBvI8IrytgPdxDrlyQDyigz"&amp;"MsohRtDMs/edit?usp=share_link"",""อุทัยธานี!I288"")
"),395)</f>
        <v>395</v>
      </c>
      <c r="J288" s="194">
        <f ca="1">IF(AND(J291&gt;=I288,J294&gt;=I288),J294,0)</f>
        <v>0</v>
      </c>
      <c r="K288" s="379">
        <f t="shared" ca="1" si="156"/>
        <v>0</v>
      </c>
      <c r="L288" s="163"/>
      <c r="M288" s="163"/>
      <c r="N288" s="163"/>
      <c r="O288" s="163"/>
      <c r="P288" s="163"/>
    </row>
    <row r="289" spans="1:26" ht="19.5">
      <c r="A289" s="170"/>
      <c r="B289" s="171"/>
      <c r="C289" s="171"/>
      <c r="D289" s="380"/>
      <c r="E289" s="381" t="s">
        <v>131</v>
      </c>
      <c r="F289" s="178"/>
      <c r="G289" s="179"/>
      <c r="H289" s="182"/>
      <c r="I289" s="184"/>
      <c r="J289" s="269"/>
      <c r="K289" s="163"/>
      <c r="L289" s="163"/>
      <c r="M289" s="163"/>
      <c r="N289" s="163"/>
      <c r="O289" s="163"/>
      <c r="P289" s="163"/>
    </row>
    <row r="290" spans="1:26" ht="19.5">
      <c r="A290" s="170"/>
      <c r="B290" s="171"/>
      <c r="C290" s="171"/>
      <c r="D290" s="380"/>
      <c r="E290" s="378" t="s">
        <v>132</v>
      </c>
      <c r="F290" s="178"/>
      <c r="G290" s="179"/>
      <c r="H290" s="182" t="s">
        <v>35</v>
      </c>
      <c r="I290" s="184">
        <f ca="1">IFERROR(__xludf.DUMMYFUNCTION("IMPORTRANGE(""https://docs.google.com/spreadsheets/d/1KxicF4apzSqm0-jIpmueT4kyZtE-Cwn5zskl7GD4loQ/edit?usp=share_link"",""กำแพงเพชร!I290"")+IMPORTRANGE(""https://docs.google.com/spreadsheets/d/1ZNYWeiFoFA1K1U4xKWqRX29MBvEyRHXORjo734Gnq_c/edit?usp=share_li"&amp;"nk"",""เชียงราย!I290"")
+IMPORTRANGE(""https://docs.google.com/spreadsheets/d/1Jgv0Y7YlHDtsiDawwp-uvifEJ8HVaSn0k2aGHG8-hwM/edit?usp=share_link"",""เชียงใหม่!I290"")+IMPORTRANGE(""https://docs.google.com/spreadsheets/d/1JWG2rZePOz9pe-f-ObA-yDr0VoOX2kSb0qIi"&amp;"x2mTUo8/edit?usp=share_link"",""ตาก!I290"")+IMPORTRANGE(""https://docs.google.com/spreadsheets/d/10nSRjK08hx8Y6HgSOQKNw81lyY46Zc7U_Cj72hBMp9U/edit?usp=share_link"",""นครสวรรค์!I290"")+IMPORTRANGE(""https://docs.google.com/spreadsheets/d/1gFVb7qd7amutrIxAA"&amp;"oM7lcy35hllxznovot8lyOfvDo/edit?usp=share_link"",""น่าน!I290"")+IMPORTRANGE(""https://docs.google.com/spreadsheets/d/1K0Aa9s-6EuHE5M0FG1F9aHLXRCOV917xvycTdLdct0w/edit?usp=share_link"",""พะเยา!I290"")+IMPORTRANGE(""https://docs.google.com/spreadsheets/d/1Y"&amp;"9LPKx95PyL5OKy09d-KbKJSuuEZCFdkhYjwC0XQjBA/edit?usp=share_link"",""พิจิตร!I290"")+IMPORTRANGE(""https://docs.google.com/spreadsheets/d/16OMuOwy2eVqZcYWOouQtTpa8X1L23h4660uVHc0C8os/edit?usp=share_link"",""พิษณุโลก!I290"")+IMPORTRANGE(""https://docs.google."&amp;"com/spreadsheets/d/1GfgTldLG6k77HXaMQzaafODklYuucJZQNs_GAPEfZyY/edit?usp=share_link"",""เพชรบูรณ์!I290"")+IMPORTRANGE(""https://docs.google.com/spreadsheets/d/1gvTMYAnm7v1yG1BKWFtr0DnaTsq59oW9dwWvFgq6hs0/edit?usp=share_link"",""แพร่!I290"")+IMPORTRANGE("""&amp;"https://docs.google.com/spreadsheets/d/1Wbcosgy-Xa1xXUArJSOenub6EfZHUSzc_bpJFWwQUf0/edit?usp=share_link"",""แม่ฮ่องสอน!I290"")+IMPORTRANGE(""https://docs.google.com/spreadsheets/d/1p7ERhsr0qZeSn-KSOdeHS9r0heI-lHtkcn2OH7hP0jQ/edit?usp=share_link"",""ลำปาง!"&amp;"I290"")+IMPORTRANGE(""https://docs.google.com/spreadsheets/d/1-uUXvimVhiU2U0bMN-xi2te0tS4X7DI2GLPnMjzl8cA/edit?usp=share_link"",""ลำพูน!I290"")+IMPORTRANGE(""https://docs.google.com/spreadsheets/d/17HrOaa5pBUI1onckFfumXB8xlg35qb2uBAFfF1D-Myo/edit?usp=shar"&amp;"e_link"",""สุโขทัย!I290"")+IMPORTRANGE(""https://docs.google.com/spreadsheets/d/1ubs5cl16eYL9gHbdHTJtmtYb9MGzHBs7CAphn8kNCgM/edit?usp=share_link"",""อุตรดิตถ์!I290"")+IMPORTRANGE(""https://docs.google.com/spreadsheets/d/1kII0BjS6CtVrBvI8IrytgPdxDrlyQDyigz"&amp;"MsohRtDMs/edit?usp=share_link"",""อุทัยธานี!I290"")
"),395)</f>
        <v>395</v>
      </c>
      <c r="J290" s="183">
        <f ca="1">IFERROR(__xludf.DUMMYFUNCTION("IMPORTRANGE(""https://docs.google.com/spreadsheets/d/1KxicF4apzSqm0-jIpmueT4kyZtE-Cwn5zskl7GD4loQ/edit?usp=share_link"",""กำแพงเพชร!J290"")+IMPORTRANGE(""https://docs.google.com/spreadsheets/d/1ZNYWeiFoFA1K1U4xKWqRX29MBvEyRHXORjo734Gnq_c/edit?usp=share_li"&amp;"nk"",""เชียงราย!J290"")
+IMPORTRANGE(""https://docs.google.com/spreadsheets/d/1Jgv0Y7YlHDtsiDawwp-uvifEJ8HVaSn0k2aGHG8-hwM/edit?usp=share_link"",""เชียงใหม่!J290"")+IMPORTRANGE(""https://docs.google.com/spreadsheets/d/1JWG2rZePOz9pe-f-ObA-yDr0VoOX2kSb0qIi"&amp;"x2mTUo8/edit?usp=share_link"",""ตาก!J290"")+IMPORTRANGE(""https://docs.google.com/spreadsheets/d/10nSRjK08hx8Y6HgSOQKNw81lyY46Zc7U_Cj72hBMp9U/edit?usp=share_link"",""นครสวรรค์!J290"")+IMPORTRANGE(""https://docs.google.com/spreadsheets/d/1gFVb7qd7amutrIxAA"&amp;"oM7lcy35hllxznovot8lyOfvDo/edit?usp=share_link"",""น่าน!J290"")+IMPORTRANGE(""https://docs.google.com/spreadsheets/d/1K0Aa9s-6EuHE5M0FG1F9aHLXRCOV917xvycTdLdct0w/edit?usp=share_link"",""พะเยา!J290"")+IMPORTRANGE(""https://docs.google.com/spreadsheets/d/1Y"&amp;"9LPKx95PyL5OKy09d-KbKJSuuEZCFdkhYjwC0XQjBA/edit?usp=share_link"",""พิจิตร!J290"")+IMPORTRANGE(""https://docs.google.com/spreadsheets/d/16OMuOwy2eVqZcYWOouQtTpa8X1L23h4660uVHc0C8os/edit?usp=share_link"",""พิษณุโลก!J290"")+IMPORTRANGE(""https://docs.google."&amp;"com/spreadsheets/d/1GfgTldLG6k77HXaMQzaafODklYuucJZQNs_GAPEfZyY/edit?usp=share_link"",""เพชรบูรณ์!J290"")+IMPORTRANGE(""https://docs.google.com/spreadsheets/d/1gvTMYAnm7v1yG1BKWFtr0DnaTsq59oW9dwWvFgq6hs0/edit?usp=share_link"",""แพร่!J290"")+IMPORTRANGE("""&amp;"https://docs.google.com/spreadsheets/d/1Wbcosgy-Xa1xXUArJSOenub6EfZHUSzc_bpJFWwQUf0/edit?usp=share_link"",""แม่ฮ่องสอน!J290"")+IMPORTRANGE(""https://docs.google.com/spreadsheets/d/1p7ERhsr0qZeSn-KSOdeHS9r0heI-lHtkcn2OH7hP0jQ/edit?usp=share_link"",""ลำปาง!"&amp;"J290"")+IMPORTRANGE(""https://docs.google.com/spreadsheets/d/1-uUXvimVhiU2U0bMN-xi2te0tS4X7DI2GLPnMjzl8cA/edit?usp=share_link"",""ลำพูน!J290"")+IMPORTRANGE(""https://docs.google.com/spreadsheets/d/17HrOaa5pBUI1onckFfumXB8xlg35qb2uBAFfF1D-Myo/edit?usp=shar"&amp;"e_link"",""สุโขทัย!J290"")+IMPORTRANGE(""https://docs.google.com/spreadsheets/d/1ubs5cl16eYL9gHbdHTJtmtYb9MGzHBs7CAphn8kNCgM/edit?usp=share_link"",""อุตรดิตถ์!J290"")+IMPORTRANGE(""https://docs.google.com/spreadsheets/d/1kII0BjS6CtVrBvI8IrytgPdxDrlyQDyigz"&amp;"MsohRtDMs/edit?usp=share_link"",""อุทัยธานี!J290"")
"),100)</f>
        <v>100</v>
      </c>
      <c r="K290" s="163">
        <f t="shared" ref="K290:K291" ca="1" si="157">IF(I290&gt;0,J290*100/I290,0)</f>
        <v>25.316455696202532</v>
      </c>
      <c r="L290" s="163"/>
      <c r="M290" s="163"/>
      <c r="N290" s="163"/>
      <c r="O290" s="163"/>
      <c r="P290" s="163"/>
    </row>
    <row r="291" spans="1:26" ht="19.5">
      <c r="A291" s="170"/>
      <c r="B291" s="171"/>
      <c r="C291" s="171"/>
      <c r="D291" s="178"/>
      <c r="E291" s="378" t="s">
        <v>133</v>
      </c>
      <c r="F291" s="178"/>
      <c r="G291" s="179"/>
      <c r="H291" s="182" t="s">
        <v>35</v>
      </c>
      <c r="I291" s="184">
        <f ca="1">IFERROR(__xludf.DUMMYFUNCTION("IMPORTRANGE(""https://docs.google.com/spreadsheets/d/1KxicF4apzSqm0-jIpmueT4kyZtE-Cwn5zskl7GD4loQ/edit?usp=share_link"",""กำแพงเพชร!I291"")+IMPORTRANGE(""https://docs.google.com/spreadsheets/d/1ZNYWeiFoFA1K1U4xKWqRX29MBvEyRHXORjo734Gnq_c/edit?usp=share_li"&amp;"nk"",""เชียงราย!I291"")
+IMPORTRANGE(""https://docs.google.com/spreadsheets/d/1Jgv0Y7YlHDtsiDawwp-uvifEJ8HVaSn0k2aGHG8-hwM/edit?usp=share_link"",""เชียงใหม่!I291"")+IMPORTRANGE(""https://docs.google.com/spreadsheets/d/1JWG2rZePOz9pe-f-ObA-yDr0VoOX2kSb0qIi"&amp;"x2mTUo8/edit?usp=share_link"",""ตาก!I291"")+IMPORTRANGE(""https://docs.google.com/spreadsheets/d/10nSRjK08hx8Y6HgSOQKNw81lyY46Zc7U_Cj72hBMp9U/edit?usp=share_link"",""นครสวรรค์!I291"")+IMPORTRANGE(""https://docs.google.com/spreadsheets/d/1gFVb7qd7amutrIxAA"&amp;"oM7lcy35hllxznovot8lyOfvDo/edit?usp=share_link"",""น่าน!I291"")+IMPORTRANGE(""https://docs.google.com/spreadsheets/d/1K0Aa9s-6EuHE5M0FG1F9aHLXRCOV917xvycTdLdct0w/edit?usp=share_link"",""พะเยา!I291"")+IMPORTRANGE(""https://docs.google.com/spreadsheets/d/1Y"&amp;"9LPKx95PyL5OKy09d-KbKJSuuEZCFdkhYjwC0XQjBA/edit?usp=share_link"",""พิจิตร!I291"")+IMPORTRANGE(""https://docs.google.com/spreadsheets/d/16OMuOwy2eVqZcYWOouQtTpa8X1L23h4660uVHc0C8os/edit?usp=share_link"",""พิษณุโลก!I291"")+IMPORTRANGE(""https://docs.google."&amp;"com/spreadsheets/d/1GfgTldLG6k77HXaMQzaafODklYuucJZQNs_GAPEfZyY/edit?usp=share_link"",""เพชรบูรณ์!I291"")+IMPORTRANGE(""https://docs.google.com/spreadsheets/d/1gvTMYAnm7v1yG1BKWFtr0DnaTsq59oW9dwWvFgq6hs0/edit?usp=share_link"",""แพร่!I291"")+IMPORTRANGE("""&amp;"https://docs.google.com/spreadsheets/d/1Wbcosgy-Xa1xXUArJSOenub6EfZHUSzc_bpJFWwQUf0/edit?usp=share_link"",""แม่ฮ่องสอน!I291"")+IMPORTRANGE(""https://docs.google.com/spreadsheets/d/1p7ERhsr0qZeSn-KSOdeHS9r0heI-lHtkcn2OH7hP0jQ/edit?usp=share_link"",""ลำปาง!"&amp;"I291"")+IMPORTRANGE(""https://docs.google.com/spreadsheets/d/1-uUXvimVhiU2U0bMN-xi2te0tS4X7DI2GLPnMjzl8cA/edit?usp=share_link"",""ลำพูน!I291"")+IMPORTRANGE(""https://docs.google.com/spreadsheets/d/17HrOaa5pBUI1onckFfumXB8xlg35qb2uBAFfF1D-Myo/edit?usp=shar"&amp;"e_link"",""สุโขทัย!I291"")+IMPORTRANGE(""https://docs.google.com/spreadsheets/d/1ubs5cl16eYL9gHbdHTJtmtYb9MGzHBs7CAphn8kNCgM/edit?usp=share_link"",""อุตรดิตถ์!I291"")+IMPORTRANGE(""https://docs.google.com/spreadsheets/d/1kII0BjS6CtVrBvI8IrytgPdxDrlyQDyigz"&amp;"MsohRtDMs/edit?usp=share_link"",""อุทัยธานี!I291"")
"),395)</f>
        <v>395</v>
      </c>
      <c r="J291" s="183">
        <f ca="1">IFERROR(__xludf.DUMMYFUNCTION("IMPORTRANGE(""https://docs.google.com/spreadsheets/d/1KxicF4apzSqm0-jIpmueT4kyZtE-Cwn5zskl7GD4loQ/edit?usp=share_link"",""กำแพงเพชร!J291"")+IMPORTRANGE(""https://docs.google.com/spreadsheets/d/1ZNYWeiFoFA1K1U4xKWqRX29MBvEyRHXORjo734Gnq_c/edit?usp=share_li"&amp;"nk"",""เชียงราย!J291"")
+IMPORTRANGE(""https://docs.google.com/spreadsheets/d/1Jgv0Y7YlHDtsiDawwp-uvifEJ8HVaSn0k2aGHG8-hwM/edit?usp=share_link"",""เชียงใหม่!J291"")+IMPORTRANGE(""https://docs.google.com/spreadsheets/d/1JWG2rZePOz9pe-f-ObA-yDr0VoOX2kSb0qIi"&amp;"x2mTUo8/edit?usp=share_link"",""ตาก!J291"")+IMPORTRANGE(""https://docs.google.com/spreadsheets/d/10nSRjK08hx8Y6HgSOQKNw81lyY46Zc7U_Cj72hBMp9U/edit?usp=share_link"",""นครสวรรค์!J291"")+IMPORTRANGE(""https://docs.google.com/spreadsheets/d/1gFVb7qd7amutrIxAA"&amp;"oM7lcy35hllxznovot8lyOfvDo/edit?usp=share_link"",""น่าน!J291"")+IMPORTRANGE(""https://docs.google.com/spreadsheets/d/1K0Aa9s-6EuHE5M0FG1F9aHLXRCOV917xvycTdLdct0w/edit?usp=share_link"",""พะเยา!J291"")+IMPORTRANGE(""https://docs.google.com/spreadsheets/d/1Y"&amp;"9LPKx95PyL5OKy09d-KbKJSuuEZCFdkhYjwC0XQjBA/edit?usp=share_link"",""พิจิตร!J291"")+IMPORTRANGE(""https://docs.google.com/spreadsheets/d/16OMuOwy2eVqZcYWOouQtTpa8X1L23h4660uVHc0C8os/edit?usp=share_link"",""พิษณุโลก!J291"")+IMPORTRANGE(""https://docs.google."&amp;"com/spreadsheets/d/1GfgTldLG6k77HXaMQzaafODklYuucJZQNs_GAPEfZyY/edit?usp=share_link"",""เพชรบูรณ์!J291"")+IMPORTRANGE(""https://docs.google.com/spreadsheets/d/1gvTMYAnm7v1yG1BKWFtr0DnaTsq59oW9dwWvFgq6hs0/edit?usp=share_link"",""แพร่!J291"")+IMPORTRANGE("""&amp;"https://docs.google.com/spreadsheets/d/1Wbcosgy-Xa1xXUArJSOenub6EfZHUSzc_bpJFWwQUf0/edit?usp=share_link"",""แม่ฮ่องสอน!J291"")+IMPORTRANGE(""https://docs.google.com/spreadsheets/d/1p7ERhsr0qZeSn-KSOdeHS9r0heI-lHtkcn2OH7hP0jQ/edit?usp=share_link"",""ลำปาง!"&amp;"J291"")+IMPORTRANGE(""https://docs.google.com/spreadsheets/d/1-uUXvimVhiU2U0bMN-xi2te0tS4X7DI2GLPnMjzl8cA/edit?usp=share_link"",""ลำพูน!J291"")+IMPORTRANGE(""https://docs.google.com/spreadsheets/d/17HrOaa5pBUI1onckFfumXB8xlg35qb2uBAFfF1D-Myo/edit?usp=shar"&amp;"e_link"",""สุโขทัย!J291"")+IMPORTRANGE(""https://docs.google.com/spreadsheets/d/1ubs5cl16eYL9gHbdHTJtmtYb9MGzHBs7CAphn8kNCgM/edit?usp=share_link"",""อุตรดิตถ์!J291"")+IMPORTRANGE(""https://docs.google.com/spreadsheets/d/1kII0BjS6CtVrBvI8IrytgPdxDrlyQDyigz"&amp;"MsohRtDMs/edit?usp=share_link"",""อุทัยธานี!J291"")
"),100)</f>
        <v>100</v>
      </c>
      <c r="K291" s="163">
        <f t="shared" ca="1" si="157"/>
        <v>25.316455696202532</v>
      </c>
      <c r="L291" s="163"/>
      <c r="M291" s="163"/>
      <c r="N291" s="163"/>
      <c r="O291" s="163"/>
      <c r="P291" s="163"/>
    </row>
    <row r="292" spans="1:26" ht="19.5">
      <c r="A292" s="382"/>
      <c r="B292" s="383"/>
      <c r="C292" s="383"/>
      <c r="D292" s="384"/>
      <c r="E292" s="385" t="s">
        <v>134</v>
      </c>
      <c r="F292" s="286"/>
      <c r="G292" s="287"/>
      <c r="H292" s="386"/>
      <c r="I292" s="387"/>
      <c r="J292" s="388"/>
      <c r="K292" s="279"/>
      <c r="L292" s="279"/>
      <c r="M292" s="279"/>
      <c r="N292" s="279"/>
      <c r="O292" s="279"/>
      <c r="P292" s="279"/>
    </row>
    <row r="293" spans="1:26" ht="19.5">
      <c r="A293" s="170"/>
      <c r="B293" s="171"/>
      <c r="C293" s="171"/>
      <c r="D293" s="380"/>
      <c r="E293" s="378" t="s">
        <v>135</v>
      </c>
      <c r="F293" s="178"/>
      <c r="G293" s="179"/>
      <c r="H293" s="182" t="s">
        <v>35</v>
      </c>
      <c r="I293" s="184">
        <f ca="1">IFERROR(__xludf.DUMMYFUNCTION("IMPORTRANGE(""https://docs.google.com/spreadsheets/d/1KxicF4apzSqm0-jIpmueT4kyZtE-Cwn5zskl7GD4loQ/edit?usp=share_link"",""กำแพงเพชร!I293"")+IMPORTRANGE(""https://docs.google.com/spreadsheets/d/1ZNYWeiFoFA1K1U4xKWqRX29MBvEyRHXORjo734Gnq_c/edit?usp=share_li"&amp;"nk"",""เชียงราย!I293"")
+IMPORTRANGE(""https://docs.google.com/spreadsheets/d/1Jgv0Y7YlHDtsiDawwp-uvifEJ8HVaSn0k2aGHG8-hwM/edit?usp=share_link"",""เชียงใหม่!I293"")+IMPORTRANGE(""https://docs.google.com/spreadsheets/d/1JWG2rZePOz9pe-f-ObA-yDr0VoOX2kSb0qIi"&amp;"x2mTUo8/edit?usp=share_link"",""ตาก!I293"")+IMPORTRANGE(""https://docs.google.com/spreadsheets/d/10nSRjK08hx8Y6HgSOQKNw81lyY46Zc7U_Cj72hBMp9U/edit?usp=share_link"",""นครสวรรค์!I293"")+IMPORTRANGE(""https://docs.google.com/spreadsheets/d/1gFVb7qd7amutrIxAA"&amp;"oM7lcy35hllxznovot8lyOfvDo/edit?usp=share_link"",""น่าน!I293"")+IMPORTRANGE(""https://docs.google.com/spreadsheets/d/1K0Aa9s-6EuHE5M0FG1F9aHLXRCOV917xvycTdLdct0w/edit?usp=share_link"",""พะเยา!I293"")+IMPORTRANGE(""https://docs.google.com/spreadsheets/d/1Y"&amp;"9LPKx95PyL5OKy09d-KbKJSuuEZCFdkhYjwC0XQjBA/edit?usp=share_link"",""พิจิตร!I293"")+IMPORTRANGE(""https://docs.google.com/spreadsheets/d/16OMuOwy2eVqZcYWOouQtTpa8X1L23h4660uVHc0C8os/edit?usp=share_link"",""พิษณุโลก!I293"")+IMPORTRANGE(""https://docs.google."&amp;"com/spreadsheets/d/1GfgTldLG6k77HXaMQzaafODklYuucJZQNs_GAPEfZyY/edit?usp=share_link"",""เพชรบูรณ์!I293"")+IMPORTRANGE(""https://docs.google.com/spreadsheets/d/1gvTMYAnm7v1yG1BKWFtr0DnaTsq59oW9dwWvFgq6hs0/edit?usp=share_link"",""แพร่!I293"")+IMPORTRANGE("""&amp;"https://docs.google.com/spreadsheets/d/1Wbcosgy-Xa1xXUArJSOenub6EfZHUSzc_bpJFWwQUf0/edit?usp=share_link"",""แม่ฮ่องสอน!I293"")+IMPORTRANGE(""https://docs.google.com/spreadsheets/d/1p7ERhsr0qZeSn-KSOdeHS9r0heI-lHtkcn2OH7hP0jQ/edit?usp=share_link"",""ลำปาง!"&amp;"I293"")+IMPORTRANGE(""https://docs.google.com/spreadsheets/d/1-uUXvimVhiU2U0bMN-xi2te0tS4X7DI2GLPnMjzl8cA/edit?usp=share_link"",""ลำพูน!I293"")+IMPORTRANGE(""https://docs.google.com/spreadsheets/d/17HrOaa5pBUI1onckFfumXB8xlg35qb2uBAFfF1D-Myo/edit?usp=shar"&amp;"e_link"",""สุโขทัย!I293"")+IMPORTRANGE(""https://docs.google.com/spreadsheets/d/1ubs5cl16eYL9gHbdHTJtmtYb9MGzHBs7CAphn8kNCgM/edit?usp=share_link"",""อุตรดิตถ์!I293"")+IMPORTRANGE(""https://docs.google.com/spreadsheets/d/1kII0BjS6CtVrBvI8IrytgPdxDrlyQDyigz"&amp;"MsohRtDMs/edit?usp=share_link"",""อุทัยธานี!I293"")
"),395)</f>
        <v>395</v>
      </c>
      <c r="J293" s="183">
        <f ca="1">IFERROR(__xludf.DUMMYFUNCTION("IMPORTRANGE(""https://docs.google.com/spreadsheets/d/1KxicF4apzSqm0-jIpmueT4kyZtE-Cwn5zskl7GD4loQ/edit?usp=share_link"",""กำแพงเพชร!J293"")+IMPORTRANGE(""https://docs.google.com/spreadsheets/d/1ZNYWeiFoFA1K1U4xKWqRX29MBvEyRHXORjo734Gnq_c/edit?usp=share_li"&amp;"nk"",""เชียงราย!J293"")
+IMPORTRANGE(""https://docs.google.com/spreadsheets/d/1Jgv0Y7YlHDtsiDawwp-uvifEJ8HVaSn0k2aGHG8-hwM/edit?usp=share_link"",""เชียงใหม่!J293"")+IMPORTRANGE(""https://docs.google.com/spreadsheets/d/1JWG2rZePOz9pe-f-ObA-yDr0VoOX2kSb0qIi"&amp;"x2mTUo8/edit?usp=share_link"",""ตาก!J293"")+IMPORTRANGE(""https://docs.google.com/spreadsheets/d/10nSRjK08hx8Y6HgSOQKNw81lyY46Zc7U_Cj72hBMp9U/edit?usp=share_link"",""นครสวรรค์!J293"")+IMPORTRANGE(""https://docs.google.com/spreadsheets/d/1gFVb7qd7amutrIxAA"&amp;"oM7lcy35hllxznovot8lyOfvDo/edit?usp=share_link"",""น่าน!J293"")+IMPORTRANGE(""https://docs.google.com/spreadsheets/d/1K0Aa9s-6EuHE5M0FG1F9aHLXRCOV917xvycTdLdct0w/edit?usp=share_link"",""พะเยา!J293"")+IMPORTRANGE(""https://docs.google.com/spreadsheets/d/1Y"&amp;"9LPKx95PyL5OKy09d-KbKJSuuEZCFdkhYjwC0XQjBA/edit?usp=share_link"",""พิจิตร!J293"")+IMPORTRANGE(""https://docs.google.com/spreadsheets/d/16OMuOwy2eVqZcYWOouQtTpa8X1L23h4660uVHc0C8os/edit?usp=share_link"",""พิษณุโลก!J293"")+IMPORTRANGE(""https://docs.google."&amp;"com/spreadsheets/d/1GfgTldLG6k77HXaMQzaafODklYuucJZQNs_GAPEfZyY/edit?usp=share_link"",""เพชรบูรณ์!J293"")+IMPORTRANGE(""https://docs.google.com/spreadsheets/d/1gvTMYAnm7v1yG1BKWFtr0DnaTsq59oW9dwWvFgq6hs0/edit?usp=share_link"",""แพร่!J293"")+IMPORTRANGE("""&amp;"https://docs.google.com/spreadsheets/d/1Wbcosgy-Xa1xXUArJSOenub6EfZHUSzc_bpJFWwQUf0/edit?usp=share_link"",""แม่ฮ่องสอน!J293"")+IMPORTRANGE(""https://docs.google.com/spreadsheets/d/1p7ERhsr0qZeSn-KSOdeHS9r0heI-lHtkcn2OH7hP0jQ/edit?usp=share_link"",""ลำปาง!"&amp;"J293"")+IMPORTRANGE(""https://docs.google.com/spreadsheets/d/1-uUXvimVhiU2U0bMN-xi2te0tS4X7DI2GLPnMjzl8cA/edit?usp=share_link"",""ลำพูน!J293"")+IMPORTRANGE(""https://docs.google.com/spreadsheets/d/17HrOaa5pBUI1onckFfumXB8xlg35qb2uBAFfF1D-Myo/edit?usp=shar"&amp;"e_link"",""สุโขทัย!J293"")+IMPORTRANGE(""https://docs.google.com/spreadsheets/d/1ubs5cl16eYL9gHbdHTJtmtYb9MGzHBs7CAphn8kNCgM/edit?usp=share_link"",""อุตรดิตถ์!J293"")+IMPORTRANGE(""https://docs.google.com/spreadsheets/d/1kII0BjS6CtVrBvI8IrytgPdxDrlyQDyigz"&amp;"MsohRtDMs/edit?usp=share_link"",""อุทัยธานี!J293"")
"),0)</f>
        <v>0</v>
      </c>
      <c r="K293" s="163">
        <f t="shared" ref="K293:K294" ca="1" si="158">IF(I293&gt;0,J293*100/I293,0)</f>
        <v>0</v>
      </c>
      <c r="L293" s="163"/>
      <c r="M293" s="163"/>
      <c r="N293" s="163"/>
      <c r="O293" s="163"/>
      <c r="P293" s="163"/>
    </row>
    <row r="294" spans="1:26" ht="19.5">
      <c r="A294" s="346"/>
      <c r="B294" s="347"/>
      <c r="C294" s="347"/>
      <c r="D294" s="349"/>
      <c r="E294" s="389" t="s">
        <v>136</v>
      </c>
      <c r="F294" s="349"/>
      <c r="G294" s="350"/>
      <c r="H294" s="390" t="s">
        <v>35</v>
      </c>
      <c r="I294" s="391">
        <f ca="1">IFERROR(__xludf.DUMMYFUNCTION("IMPORTRANGE(""https://docs.google.com/spreadsheets/d/1KxicF4apzSqm0-jIpmueT4kyZtE-Cwn5zskl7GD4loQ/edit?usp=share_link"",""กำแพงเพชร!I294"")+IMPORTRANGE(""https://docs.google.com/spreadsheets/d/1ZNYWeiFoFA1K1U4xKWqRX29MBvEyRHXORjo734Gnq_c/edit?usp=share_li"&amp;"nk"",""เชียงราย!I294"")
+IMPORTRANGE(""https://docs.google.com/spreadsheets/d/1Jgv0Y7YlHDtsiDawwp-uvifEJ8HVaSn0k2aGHG8-hwM/edit?usp=share_link"",""เชียงใหม่!I294"")+IMPORTRANGE(""https://docs.google.com/spreadsheets/d/1JWG2rZePOz9pe-f-ObA-yDr0VoOX2kSb0qIi"&amp;"x2mTUo8/edit?usp=share_link"",""ตาก!I294"")+IMPORTRANGE(""https://docs.google.com/spreadsheets/d/10nSRjK08hx8Y6HgSOQKNw81lyY46Zc7U_Cj72hBMp9U/edit?usp=share_link"",""นครสวรรค์!I294"")+IMPORTRANGE(""https://docs.google.com/spreadsheets/d/1gFVb7qd7amutrIxAA"&amp;"oM7lcy35hllxznovot8lyOfvDo/edit?usp=share_link"",""น่าน!I294"")+IMPORTRANGE(""https://docs.google.com/spreadsheets/d/1K0Aa9s-6EuHE5M0FG1F9aHLXRCOV917xvycTdLdct0w/edit?usp=share_link"",""พะเยา!I294"")+IMPORTRANGE(""https://docs.google.com/spreadsheets/d/1Y"&amp;"9LPKx95PyL5OKy09d-KbKJSuuEZCFdkhYjwC0XQjBA/edit?usp=share_link"",""พิจิตร!I294"")+IMPORTRANGE(""https://docs.google.com/spreadsheets/d/16OMuOwy2eVqZcYWOouQtTpa8X1L23h4660uVHc0C8os/edit?usp=share_link"",""พิษณุโลก!I294"")+IMPORTRANGE(""https://docs.google."&amp;"com/spreadsheets/d/1GfgTldLG6k77HXaMQzaafODklYuucJZQNs_GAPEfZyY/edit?usp=share_link"",""เพชรบูรณ์!I294"")+IMPORTRANGE(""https://docs.google.com/spreadsheets/d/1gvTMYAnm7v1yG1BKWFtr0DnaTsq59oW9dwWvFgq6hs0/edit?usp=share_link"",""แพร่!I294"")+IMPORTRANGE("""&amp;"https://docs.google.com/spreadsheets/d/1Wbcosgy-Xa1xXUArJSOenub6EfZHUSzc_bpJFWwQUf0/edit?usp=share_link"",""แม่ฮ่องสอน!I294"")+IMPORTRANGE(""https://docs.google.com/spreadsheets/d/1p7ERhsr0qZeSn-KSOdeHS9r0heI-lHtkcn2OH7hP0jQ/edit?usp=share_link"",""ลำปาง!"&amp;"I294"")+IMPORTRANGE(""https://docs.google.com/spreadsheets/d/1-uUXvimVhiU2U0bMN-xi2te0tS4X7DI2GLPnMjzl8cA/edit?usp=share_link"",""ลำพูน!I294"")+IMPORTRANGE(""https://docs.google.com/spreadsheets/d/17HrOaa5pBUI1onckFfumXB8xlg35qb2uBAFfF1D-Myo/edit?usp=shar"&amp;"e_link"",""สุโขทัย!I294"")+IMPORTRANGE(""https://docs.google.com/spreadsheets/d/1ubs5cl16eYL9gHbdHTJtmtYb9MGzHBs7CAphn8kNCgM/edit?usp=share_link"",""อุตรดิตถ์!I294"")+IMPORTRANGE(""https://docs.google.com/spreadsheets/d/1kII0BjS6CtVrBvI8IrytgPdxDrlyQDyigz"&amp;"MsohRtDMs/edit?usp=share_link"",""อุทัยธานี!I294"")
"),395)</f>
        <v>395</v>
      </c>
      <c r="J294" s="392">
        <f ca="1">IFERROR(__xludf.DUMMYFUNCTION("IMPORTRANGE(""https://docs.google.com/spreadsheets/d/1KxicF4apzSqm0-jIpmueT4kyZtE-Cwn5zskl7GD4loQ/edit?usp=share_link"",""กำแพงเพชร!J294"")+IMPORTRANGE(""https://docs.google.com/spreadsheets/d/1ZNYWeiFoFA1K1U4xKWqRX29MBvEyRHXORjo734Gnq_c/edit?usp=share_li"&amp;"nk"",""เชียงราย!J294"")
+IMPORTRANGE(""https://docs.google.com/spreadsheets/d/1Jgv0Y7YlHDtsiDawwp-uvifEJ8HVaSn0k2aGHG8-hwM/edit?usp=share_link"",""เชียงใหม่!J294"")+IMPORTRANGE(""https://docs.google.com/spreadsheets/d/1JWG2rZePOz9pe-f-ObA-yDr0VoOX2kSb0qIi"&amp;"x2mTUo8/edit?usp=share_link"",""ตาก!J294"")+IMPORTRANGE(""https://docs.google.com/spreadsheets/d/10nSRjK08hx8Y6HgSOQKNw81lyY46Zc7U_Cj72hBMp9U/edit?usp=share_link"",""นครสวรรค์!J294"")+IMPORTRANGE(""https://docs.google.com/spreadsheets/d/1gFVb7qd7amutrIxAA"&amp;"oM7lcy35hllxznovot8lyOfvDo/edit?usp=share_link"",""น่าน!J294"")+IMPORTRANGE(""https://docs.google.com/spreadsheets/d/1K0Aa9s-6EuHE5M0FG1F9aHLXRCOV917xvycTdLdct0w/edit?usp=share_link"",""พะเยา!J294"")+IMPORTRANGE(""https://docs.google.com/spreadsheets/d/1Y"&amp;"9LPKx95PyL5OKy09d-KbKJSuuEZCFdkhYjwC0XQjBA/edit?usp=share_link"",""พิจิตร!J294"")+IMPORTRANGE(""https://docs.google.com/spreadsheets/d/16OMuOwy2eVqZcYWOouQtTpa8X1L23h4660uVHc0C8os/edit?usp=share_link"",""พิษณุโลก!J294"")+IMPORTRANGE(""https://docs.google."&amp;"com/spreadsheets/d/1GfgTldLG6k77HXaMQzaafODklYuucJZQNs_GAPEfZyY/edit?usp=share_link"",""เพชรบูรณ์!J294"")+IMPORTRANGE(""https://docs.google.com/spreadsheets/d/1gvTMYAnm7v1yG1BKWFtr0DnaTsq59oW9dwWvFgq6hs0/edit?usp=share_link"",""แพร่!J294"")+IMPORTRANGE("""&amp;"https://docs.google.com/spreadsheets/d/1Wbcosgy-Xa1xXUArJSOenub6EfZHUSzc_bpJFWwQUf0/edit?usp=share_link"",""แม่ฮ่องสอน!J294"")+IMPORTRANGE(""https://docs.google.com/spreadsheets/d/1p7ERhsr0qZeSn-KSOdeHS9r0heI-lHtkcn2OH7hP0jQ/edit?usp=share_link"",""ลำปาง!"&amp;"J294"")+IMPORTRANGE(""https://docs.google.com/spreadsheets/d/1-uUXvimVhiU2U0bMN-xi2te0tS4X7DI2GLPnMjzl8cA/edit?usp=share_link"",""ลำพูน!J294"")+IMPORTRANGE(""https://docs.google.com/spreadsheets/d/17HrOaa5pBUI1onckFfumXB8xlg35qb2uBAFfF1D-Myo/edit?usp=shar"&amp;"e_link"",""สุโขทัย!J294"")+IMPORTRANGE(""https://docs.google.com/spreadsheets/d/1ubs5cl16eYL9gHbdHTJtmtYb9MGzHBs7CAphn8kNCgM/edit?usp=share_link"",""อุตรดิตถ์!J294"")+IMPORTRANGE(""https://docs.google.com/spreadsheets/d/1kII0BjS6CtVrBvI8IrytgPdxDrlyQDyigz"&amp;"MsohRtDMs/edit?usp=share_link"",""อุทัยธานี!J294"")
"),0)</f>
        <v>0</v>
      </c>
      <c r="K294" s="353">
        <f t="shared" ca="1" si="158"/>
        <v>0</v>
      </c>
      <c r="L294" s="353"/>
      <c r="M294" s="353"/>
      <c r="N294" s="353"/>
      <c r="O294" s="353"/>
      <c r="P294" s="353"/>
    </row>
    <row r="295" spans="1:26" ht="19.5">
      <c r="A295" s="393" t="s">
        <v>137</v>
      </c>
      <c r="B295" s="394"/>
      <c r="C295" s="394"/>
      <c r="D295" s="394"/>
      <c r="E295" s="395"/>
      <c r="F295" s="395"/>
      <c r="G295" s="396"/>
      <c r="H295" s="397"/>
      <c r="I295" s="398"/>
      <c r="J295" s="398"/>
      <c r="K295" s="399"/>
      <c r="L295" s="399"/>
      <c r="M295" s="399"/>
      <c r="N295" s="399"/>
      <c r="O295" s="399"/>
      <c r="P295" s="399"/>
    </row>
    <row r="296" spans="1:26" ht="19.5">
      <c r="A296" s="400" t="s">
        <v>138</v>
      </c>
      <c r="B296" s="401"/>
      <c r="C296" s="401"/>
      <c r="D296" s="402"/>
      <c r="E296" s="402"/>
      <c r="F296" s="402"/>
      <c r="G296" s="403"/>
      <c r="H296" s="404"/>
      <c r="I296" s="405"/>
      <c r="J296" s="405"/>
      <c r="K296" s="406"/>
      <c r="L296" s="406"/>
      <c r="M296" s="406"/>
      <c r="N296" s="406"/>
      <c r="O296" s="406"/>
      <c r="P296" s="406"/>
    </row>
    <row r="297" spans="1:26" ht="19.5">
      <c r="A297" s="407"/>
      <c r="B297" s="408" t="s">
        <v>139</v>
      </c>
      <c r="C297" s="409"/>
      <c r="D297" s="409"/>
      <c r="E297" s="409"/>
      <c r="F297" s="409"/>
      <c r="G297" s="410"/>
      <c r="H297" s="411" t="s">
        <v>35</v>
      </c>
      <c r="I297" s="412">
        <f t="shared" ref="I297:J297" ca="1" si="159">I309</f>
        <v>230</v>
      </c>
      <c r="J297" s="412">
        <f t="shared" ca="1" si="159"/>
        <v>65</v>
      </c>
      <c r="K297" s="413">
        <f ca="1">IF(I297&gt;0,J297*100/I297,0)</f>
        <v>28.260869565217391</v>
      </c>
      <c r="L297" s="414"/>
      <c r="M297" s="414"/>
      <c r="N297" s="414"/>
      <c r="O297" s="414"/>
      <c r="P297" s="414"/>
    </row>
    <row r="298" spans="1:26" ht="19.5">
      <c r="A298" s="147"/>
      <c r="B298" s="148"/>
      <c r="C298" s="149" t="s">
        <v>16</v>
      </c>
      <c r="D298" s="150" t="s">
        <v>17</v>
      </c>
      <c r="E298" s="148"/>
      <c r="F298" s="148"/>
      <c r="G298" s="151"/>
      <c r="H298" s="152" t="s">
        <v>12</v>
      </c>
      <c r="I298" s="153"/>
      <c r="J298" s="153"/>
      <c r="K298" s="154"/>
      <c r="L298" s="155">
        <f t="shared" ref="L298:N298" ca="1" si="160">L299+L300</f>
        <v>2230600</v>
      </c>
      <c r="M298" s="155">
        <f t="shared" ca="1" si="160"/>
        <v>1147880</v>
      </c>
      <c r="N298" s="155">
        <f t="shared" ca="1" si="160"/>
        <v>325115.32</v>
      </c>
      <c r="O298" s="155">
        <f t="shared" ref="O298:O306" ca="1" si="161">IF(L298&gt;0,N298*100/L298,0)</f>
        <v>14.575240742401148</v>
      </c>
      <c r="P298" s="155">
        <f t="shared" ref="P298:P306" ca="1" si="162">IF(M298&gt;0,N298*100/M298,0)</f>
        <v>28.323110429661636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41" t="s">
        <v>18</v>
      </c>
      <c r="F299" s="40"/>
      <c r="G299" s="157"/>
      <c r="H299" s="158" t="s">
        <v>12</v>
      </c>
      <c r="I299" s="44"/>
      <c r="J299" s="44"/>
      <c r="K299" s="45"/>
      <c r="L299" s="45">
        <f t="shared" ref="L299:N299" si="163">L302+L305</f>
        <v>0</v>
      </c>
      <c r="M299" s="45">
        <f t="shared" si="163"/>
        <v>0</v>
      </c>
      <c r="N299" s="45">
        <f t="shared" si="163"/>
        <v>0</v>
      </c>
      <c r="O299" s="45">
        <f t="shared" si="161"/>
        <v>0</v>
      </c>
      <c r="P299" s="45">
        <f t="shared" si="162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41" t="s">
        <v>19</v>
      </c>
      <c r="F300" s="40"/>
      <c r="G300" s="157"/>
      <c r="H300" s="158" t="s">
        <v>12</v>
      </c>
      <c r="I300" s="44"/>
      <c r="J300" s="44"/>
      <c r="K300" s="45"/>
      <c r="L300" s="45">
        <f t="shared" ref="L300:N300" ca="1" si="164">L303+L306</f>
        <v>2230600</v>
      </c>
      <c r="M300" s="45">
        <f t="shared" ca="1" si="164"/>
        <v>1147880</v>
      </c>
      <c r="N300" s="45">
        <f t="shared" ca="1" si="164"/>
        <v>325115.32</v>
      </c>
      <c r="O300" s="45">
        <f t="shared" ca="1" si="161"/>
        <v>14.575240742401148</v>
      </c>
      <c r="P300" s="45">
        <f t="shared" ca="1" si="162"/>
        <v>28.323110429661636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>
      <c r="A301" s="159"/>
      <c r="B301" s="33"/>
      <c r="C301" s="160"/>
      <c r="D301" s="34" t="s">
        <v>20</v>
      </c>
      <c r="E301" s="33"/>
      <c r="F301" s="33"/>
      <c r="G301" s="35"/>
      <c r="H301" s="161" t="s">
        <v>12</v>
      </c>
      <c r="I301" s="162"/>
      <c r="J301" s="162"/>
      <c r="K301" s="163"/>
      <c r="L301" s="38">
        <f t="shared" ref="L301:N301" ca="1" si="165">L302+L303</f>
        <v>2230600</v>
      </c>
      <c r="M301" s="38">
        <f t="shared" ca="1" si="165"/>
        <v>1147880</v>
      </c>
      <c r="N301" s="38">
        <f t="shared" ca="1" si="165"/>
        <v>325115.32</v>
      </c>
      <c r="O301" s="38">
        <f t="shared" ca="1" si="161"/>
        <v>14.575240742401148</v>
      </c>
      <c r="P301" s="38">
        <f t="shared" ca="1" si="162"/>
        <v>28.323110429661636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41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45">
        <f t="shared" si="161"/>
        <v>0</v>
      </c>
      <c r="P302" s="45">
        <f t="shared" si="162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41" t="s">
        <v>37</v>
      </c>
      <c r="F303" s="40"/>
      <c r="G303" s="157"/>
      <c r="H303" s="165" t="s">
        <v>12</v>
      </c>
      <c r="I303" s="166"/>
      <c r="J303" s="166"/>
      <c r="K303" s="167"/>
      <c r="L303" s="45">
        <f ca="1">IFERROR(__xludf.DUMMYFUNCTION("IMPORTRANGE(""https://docs.google.com/spreadsheets/d/1KxicF4apzSqm0-jIpmueT4kyZtE-Cwn5zskl7GD4loQ/edit?usp=share_link"",""กำแพงเพชร!l303"")+IMPORTRANGE(""https://docs.google.com/spreadsheets/d/1ZNYWeiFoFA1K1U4xKWqRX29MBvEyRHXORjo734Gnq_c/edit?usp=share_li"&amp;"nk"",""เชียงราย!l303"")
+IMPORTRANGE(""https://docs.google.com/spreadsheets/d/1Jgv0Y7YlHDtsiDawwp-uvifEJ8HVaSn0k2aGHG8-hwM/edit?usp=share_link"",""เชียงใหม่!l303"")+IMPORTRANGE(""https://docs.google.com/spreadsheets/d/1JWG2rZePOz9pe-f-ObA-yDr0VoOX2kSb0qIi"&amp;"x2mTUo8/edit?usp=share_link"",""ตาก!l303"")+IMPORTRANGE(""https://docs.google.com/spreadsheets/d/10nSRjK08hx8Y6HgSOQKNw81lyY46Zc7U_Cj72hBMp9U/edit?usp=share_link"",""นครสวรรค์!l303"")+IMPORTRANGE(""https://docs.google.com/spreadsheets/d/1gFVb7qd7amutrIxAA"&amp;"oM7lcy35hllxznovot8lyOfvDo/edit?usp=share_link"",""น่าน!l303"")+IMPORTRANGE(""https://docs.google.com/spreadsheets/d/1K0Aa9s-6EuHE5M0FG1F9aHLXRCOV917xvycTdLdct0w/edit?usp=share_link"",""พะเยา!l303"")+IMPORTRANGE(""https://docs.google.com/spreadsheets/d/1Y"&amp;"9LPKx95PyL5OKy09d-KbKJSuuEZCFdkhYjwC0XQjBA/edit?usp=share_link"",""พิจิตร!l303"")+IMPORTRANGE(""https://docs.google.com/spreadsheets/d/16OMuOwy2eVqZcYWOouQtTpa8X1L23h4660uVHc0C8os/edit?usp=share_link"",""พิษณุโลก!l303"")+IMPORTRANGE(""https://docs.google."&amp;"com/spreadsheets/d/1GfgTldLG6k77HXaMQzaafODklYuucJZQNs_GAPEfZyY/edit?usp=share_link"",""เพชรบูรณ์!l303"")+IMPORTRANGE(""https://docs.google.com/spreadsheets/d/1gvTMYAnm7v1yG1BKWFtr0DnaTsq59oW9dwWvFgq6hs0/edit?usp=share_link"",""แพร่!l303"")+IMPORTRANGE("""&amp;"https://docs.google.com/spreadsheets/d/1Wbcosgy-Xa1xXUArJSOenub6EfZHUSzc_bpJFWwQUf0/edit?usp=share_link"",""แม่ฮ่องสอน!l303"")+IMPORTRANGE(""https://docs.google.com/spreadsheets/d/1p7ERhsr0qZeSn-KSOdeHS9r0heI-lHtkcn2OH7hP0jQ/edit?usp=share_link"",""ลำปาง!"&amp;"l303"")+IMPORTRANGE(""https://docs.google.com/spreadsheets/d/1-uUXvimVhiU2U0bMN-xi2te0tS4X7DI2GLPnMjzl8cA/edit?usp=share_link"",""ลำพูน!l303"")+IMPORTRANGE(""https://docs.google.com/spreadsheets/d/17HrOaa5pBUI1onckFfumXB8xlg35qb2uBAFfF1D-Myo/edit?usp=shar"&amp;"e_link"",""สุโขทัย!l303"")+IMPORTRANGE(""https://docs.google.com/spreadsheets/d/1ubs5cl16eYL9gHbdHTJtmtYb9MGzHBs7CAphn8kNCgM/edit?usp=share_link"",""อุตรดิตถ์!l303"")+IMPORTRANGE(""https://docs.google.com/spreadsheets/d/1kII0BjS6CtVrBvI8IrytgPdxDrlyQDyigz"&amp;"MsohRtDMs/edit?usp=share_link"",""อุทัยธานี!l303"")
"),2230600)</f>
        <v>2230600</v>
      </c>
      <c r="M303" s="45">
        <f ca="1">IFERROR(__xludf.DUMMYFUNCTION("IMPORTRANGE(""https://docs.google.com/spreadsheets/d/1KxicF4apzSqm0-jIpmueT4kyZtE-Cwn5zskl7GD4loQ/edit?usp=share_link"",""กำแพงเพชร!m303"")+IMPORTRANGE(""https://docs.google.com/spreadsheets/d/1ZNYWeiFoFA1K1U4xKWqRX29MBvEyRHXORjo734Gnq_c/edit?usp=share_li"&amp;"nk"",""เชียงราย!m303"")
+IMPORTRANGE(""https://docs.google.com/spreadsheets/d/1Jgv0Y7YlHDtsiDawwp-uvifEJ8HVaSn0k2aGHG8-hwM/edit?usp=share_link"",""เชียงใหม่!m303"")+IMPORTRANGE(""https://docs.google.com/spreadsheets/d/1JWG2rZePOz9pe-f-ObA-yDr0VoOX2kSb0qIi"&amp;"x2mTUo8/edit?usp=share_link"",""ตาก!m303"")+IMPORTRANGE(""https://docs.google.com/spreadsheets/d/10nSRjK08hx8Y6HgSOQKNw81lyY46Zc7U_Cj72hBMp9U/edit?usp=share_link"",""นครสวรรค์!m303"")+IMPORTRANGE(""https://docs.google.com/spreadsheets/d/1gFVb7qd7amutrIxAA"&amp;"oM7lcy35hllxznovot8lyOfvDo/edit?usp=share_link"",""น่าน!m303"")+IMPORTRANGE(""https://docs.google.com/spreadsheets/d/1K0Aa9s-6EuHE5M0FG1F9aHLXRCOV917xvycTdLdct0w/edit?usp=share_link"",""พะเยา!m303"")+IMPORTRANGE(""https://docs.google.com/spreadsheets/d/1Y"&amp;"9LPKx95PyL5OKy09d-KbKJSuuEZCFdkhYjwC0XQjBA/edit?usp=share_link"",""พิจิตร!m303"")+IMPORTRANGE(""https://docs.google.com/spreadsheets/d/16OMuOwy2eVqZcYWOouQtTpa8X1L23h4660uVHc0C8os/edit?usp=share_link"",""พิษณุโลก!m303"")+IMPORTRANGE(""https://docs.google."&amp;"com/spreadsheets/d/1GfgTldLG6k77HXaMQzaafODklYuucJZQNs_GAPEfZyY/edit?usp=share_link"",""เพชรบูรณ์!m303"")+IMPORTRANGE(""https://docs.google.com/spreadsheets/d/1gvTMYAnm7v1yG1BKWFtr0DnaTsq59oW9dwWvFgq6hs0/edit?usp=share_link"",""แพร่!m303"")+IMPORTRANGE("""&amp;"https://docs.google.com/spreadsheets/d/1Wbcosgy-Xa1xXUArJSOenub6EfZHUSzc_bpJFWwQUf0/edit?usp=share_link"",""แม่ฮ่องสอน!m303"")+IMPORTRANGE(""https://docs.google.com/spreadsheets/d/1p7ERhsr0qZeSn-KSOdeHS9r0heI-lHtkcn2OH7hP0jQ/edit?usp=share_link"",""ลำปาง!"&amp;"m303"")+IMPORTRANGE(""https://docs.google.com/spreadsheets/d/1-uUXvimVhiU2U0bMN-xi2te0tS4X7DI2GLPnMjzl8cA/edit?usp=share_link"",""ลำพูน!m303"")+IMPORTRANGE(""https://docs.google.com/spreadsheets/d/17HrOaa5pBUI1onckFfumXB8xlg35qb2uBAFfF1D-Myo/edit?usp=shar"&amp;"e_link"",""สุโขทัย!m303"")+IMPORTRANGE(""https://docs.google.com/spreadsheets/d/1ubs5cl16eYL9gHbdHTJtmtYb9MGzHBs7CAphn8kNCgM/edit?usp=share_link"",""อุตรดิตถ์!m303"")+IMPORTRANGE(""https://docs.google.com/spreadsheets/d/1kII0BjS6CtVrBvI8IrytgPdxDrlyQDyigz"&amp;"MsohRtDMs/edit?usp=share_link"",""อุทัยธานี!m303"")
"),1147880)</f>
        <v>1147880</v>
      </c>
      <c r="N303" s="45">
        <f ca="1">IFERROR(__xludf.DUMMYFUNCTION("IMPORTRANGE(""https://docs.google.com/spreadsheets/d/1KxicF4apzSqm0-jIpmueT4kyZtE-Cwn5zskl7GD4loQ/edit?usp=share_link"",""กำแพงเพชร!n303"")+IMPORTRANGE(""https://docs.google.com/spreadsheets/d/1ZNYWeiFoFA1K1U4xKWqRX29MBvEyRHXORjo734Gnq_c/edit?usp=share_li"&amp;"nk"",""เชียงราย!n303"")
+IMPORTRANGE(""https://docs.google.com/spreadsheets/d/1Jgv0Y7YlHDtsiDawwp-uvifEJ8HVaSn0k2aGHG8-hwM/edit?usp=share_link"",""เชียงใหม่!n303"")+IMPORTRANGE(""https://docs.google.com/spreadsheets/d/1JWG2rZePOz9pe-f-ObA-yDr0VoOX2kSb0qIi"&amp;"x2mTUo8/edit?usp=share_link"",""ตาก!n303"")+IMPORTRANGE(""https://docs.google.com/spreadsheets/d/10nSRjK08hx8Y6HgSOQKNw81lyY46Zc7U_Cj72hBMp9U/edit?usp=share_link"",""นครสวรรค์!n303"")+IMPORTRANGE(""https://docs.google.com/spreadsheets/d/1gFVb7qd7amutrIxAA"&amp;"oM7lcy35hllxznovot8lyOfvDo/edit?usp=share_link"",""น่าน!n303"")+IMPORTRANGE(""https://docs.google.com/spreadsheets/d/1K0Aa9s-6EuHE5M0FG1F9aHLXRCOV917xvycTdLdct0w/edit?usp=share_link"",""พะเยา!n303"")+IMPORTRANGE(""https://docs.google.com/spreadsheets/d/1Y"&amp;"9LPKx95PyL5OKy09d-KbKJSuuEZCFdkhYjwC0XQjBA/edit?usp=share_link"",""พิจิตร!n303"")+IMPORTRANGE(""https://docs.google.com/spreadsheets/d/16OMuOwy2eVqZcYWOouQtTpa8X1L23h4660uVHc0C8os/edit?usp=share_link"",""พิษณุโลก!n303"")+IMPORTRANGE(""https://docs.google."&amp;"com/spreadsheets/d/1GfgTldLG6k77HXaMQzaafODklYuucJZQNs_GAPEfZyY/edit?usp=share_link"",""เพชรบูรณ์!n303"")+IMPORTRANGE(""https://docs.google.com/spreadsheets/d/1gvTMYAnm7v1yG1BKWFtr0DnaTsq59oW9dwWvFgq6hs0/edit?usp=share_link"",""แพร่!n303"")+IMPORTRANGE("""&amp;"https://docs.google.com/spreadsheets/d/1Wbcosgy-Xa1xXUArJSOenub6EfZHUSzc_bpJFWwQUf0/edit?usp=share_link"",""แม่ฮ่องสอน!n303"")+IMPORTRANGE(""https://docs.google.com/spreadsheets/d/1p7ERhsr0qZeSn-KSOdeHS9r0heI-lHtkcn2OH7hP0jQ/edit?usp=share_link"",""ลำปาง!"&amp;"n303"")+IMPORTRANGE(""https://docs.google.com/spreadsheets/d/1-uUXvimVhiU2U0bMN-xi2te0tS4X7DI2GLPnMjzl8cA/edit?usp=share_link"",""ลำพูน!n303"")+IMPORTRANGE(""https://docs.google.com/spreadsheets/d/17HrOaa5pBUI1onckFfumXB8xlg35qb2uBAFfF1D-Myo/edit?usp=shar"&amp;"e_link"",""สุโขทัย!n303"")+IMPORTRANGE(""https://docs.google.com/spreadsheets/d/1ubs5cl16eYL9gHbdHTJtmtYb9MGzHBs7CAphn8kNCgM/edit?usp=share_link"",""อุตรดิตถ์!n303"")+IMPORTRANGE(""https://docs.google.com/spreadsheets/d/1kII0BjS6CtVrBvI8IrytgPdxDrlyQDyigz"&amp;"MsohRtDMs/edit?usp=share_link"",""อุทัยธานี!n303"")
"),325115.32)</f>
        <v>325115.32</v>
      </c>
      <c r="O303" s="45">
        <f t="shared" ca="1" si="161"/>
        <v>14.575240742401148</v>
      </c>
      <c r="P303" s="45">
        <f t="shared" ca="1" si="162"/>
        <v>28.323110429661636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>
      <c r="A304" s="159"/>
      <c r="B304" s="33"/>
      <c r="C304" s="160"/>
      <c r="D304" s="34" t="s">
        <v>21</v>
      </c>
      <c r="E304" s="33"/>
      <c r="F304" s="33"/>
      <c r="G304" s="35"/>
      <c r="H304" s="168" t="s">
        <v>12</v>
      </c>
      <c r="I304" s="162"/>
      <c r="J304" s="162"/>
      <c r="K304" s="163"/>
      <c r="L304" s="38">
        <f t="shared" ref="L304:N304" ca="1" si="166">L305+L306</f>
        <v>0</v>
      </c>
      <c r="M304" s="38">
        <f t="shared" ca="1" si="166"/>
        <v>0</v>
      </c>
      <c r="N304" s="38">
        <f t="shared" ca="1" si="166"/>
        <v>0</v>
      </c>
      <c r="O304" s="38">
        <f t="shared" ca="1" si="161"/>
        <v>0</v>
      </c>
      <c r="P304" s="38">
        <f t="shared" ca="1" si="162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41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45">
        <f t="shared" si="161"/>
        <v>0</v>
      </c>
      <c r="P305" s="45">
        <f t="shared" si="162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41" t="s">
        <v>19</v>
      </c>
      <c r="F306" s="40"/>
      <c r="G306" s="157"/>
      <c r="H306" s="169" t="s">
        <v>12</v>
      </c>
      <c r="I306" s="166"/>
      <c r="J306" s="166"/>
      <c r="K306" s="167"/>
      <c r="L306" s="45">
        <f ca="1">IFERROR(__xludf.DUMMYFUNCTION("IMPORTRANGE(""https://docs.google.com/spreadsheets/d/1KxicF4apzSqm0-jIpmueT4kyZtE-Cwn5zskl7GD4loQ/edit?usp=share_link"",""กำแพงเพชร!l306"")+IMPORTRANGE(""https://docs.google.com/spreadsheets/d/1ZNYWeiFoFA1K1U4xKWqRX29MBvEyRHXORjo734Gnq_c/edit?usp=share_li"&amp;"nk"",""เชียงราย!l306"")
+IMPORTRANGE(""https://docs.google.com/spreadsheets/d/1Jgv0Y7YlHDtsiDawwp-uvifEJ8HVaSn0k2aGHG8-hwM/edit?usp=share_link"",""เชียงใหม่!l306"")+IMPORTRANGE(""https://docs.google.com/spreadsheets/d/1JWG2rZePOz9pe-f-ObA-yDr0VoOX2kSb0qIi"&amp;"x2mTUo8/edit?usp=share_link"",""ตาก!l306"")+IMPORTRANGE(""https://docs.google.com/spreadsheets/d/10nSRjK08hx8Y6HgSOQKNw81lyY46Zc7U_Cj72hBMp9U/edit?usp=share_link"",""นครสวรรค์!l306"")+IMPORTRANGE(""https://docs.google.com/spreadsheets/d/1gFVb7qd7amutrIxAA"&amp;"oM7lcy35hllxznovot8lyOfvDo/edit?usp=share_link"",""น่าน!l306"")+IMPORTRANGE(""https://docs.google.com/spreadsheets/d/1K0Aa9s-6EuHE5M0FG1F9aHLXRCOV917xvycTdLdct0w/edit?usp=share_link"",""พะเยา!l306"")+IMPORTRANGE(""https://docs.google.com/spreadsheets/d/1Y"&amp;"9LPKx95PyL5OKy09d-KbKJSuuEZCFdkhYjwC0XQjBA/edit?usp=share_link"",""พิจิตร!l306"")+IMPORTRANGE(""https://docs.google.com/spreadsheets/d/16OMuOwy2eVqZcYWOouQtTpa8X1L23h4660uVHc0C8os/edit?usp=share_link"",""พิษณุโลก!l306"")+IMPORTRANGE(""https://docs.google."&amp;"com/spreadsheets/d/1GfgTldLG6k77HXaMQzaafODklYuucJZQNs_GAPEfZyY/edit?usp=share_link"",""เพชรบูรณ์!l306"")+IMPORTRANGE(""https://docs.google.com/spreadsheets/d/1gvTMYAnm7v1yG1BKWFtr0DnaTsq59oW9dwWvFgq6hs0/edit?usp=share_link"",""แพร่!l306"")+IMPORTRANGE("""&amp;"https://docs.google.com/spreadsheets/d/1Wbcosgy-Xa1xXUArJSOenub6EfZHUSzc_bpJFWwQUf0/edit?usp=share_link"",""แม่ฮ่องสอน!l306"")+IMPORTRANGE(""https://docs.google.com/spreadsheets/d/1p7ERhsr0qZeSn-KSOdeHS9r0heI-lHtkcn2OH7hP0jQ/edit?usp=share_link"",""ลำปาง!"&amp;"l306"")+IMPORTRANGE(""https://docs.google.com/spreadsheets/d/1-uUXvimVhiU2U0bMN-xi2te0tS4X7DI2GLPnMjzl8cA/edit?usp=share_link"",""ลำพูน!l306"")+IMPORTRANGE(""https://docs.google.com/spreadsheets/d/17HrOaa5pBUI1onckFfumXB8xlg35qb2uBAFfF1D-Myo/edit?usp=shar"&amp;"e_link"",""สุโขทัย!l306"")+IMPORTRANGE(""https://docs.google.com/spreadsheets/d/1ubs5cl16eYL9gHbdHTJtmtYb9MGzHBs7CAphn8kNCgM/edit?usp=share_link"",""อุตรดิตถ์!l306"")+IMPORTRANGE(""https://docs.google.com/spreadsheets/d/1kII0BjS6CtVrBvI8IrytgPdxDrlyQDyigz"&amp;"MsohRtDMs/edit?usp=share_link"",""อุทัยธานี!l306"")
"),0)</f>
        <v>0</v>
      </c>
      <c r="M306" s="45">
        <f ca="1">IFERROR(__xludf.DUMMYFUNCTION("IMPORTRANGE(""https://docs.google.com/spreadsheets/d/1KxicF4apzSqm0-jIpmueT4kyZtE-Cwn5zskl7GD4loQ/edit?usp=share_link"",""กำแพงเพชร!m306"")+IMPORTRANGE(""https://docs.google.com/spreadsheets/d/1ZNYWeiFoFA1K1U4xKWqRX29MBvEyRHXORjo734Gnq_c/edit?usp=share_li"&amp;"nk"",""เชียงราย!m306"")
+IMPORTRANGE(""https://docs.google.com/spreadsheets/d/1Jgv0Y7YlHDtsiDawwp-uvifEJ8HVaSn0k2aGHG8-hwM/edit?usp=share_link"",""เชียงใหม่!m306"")+IMPORTRANGE(""https://docs.google.com/spreadsheets/d/1JWG2rZePOz9pe-f-ObA-yDr0VoOX2kSb0qIi"&amp;"x2mTUo8/edit?usp=share_link"",""ตาก!m306"")+IMPORTRANGE(""https://docs.google.com/spreadsheets/d/10nSRjK08hx8Y6HgSOQKNw81lyY46Zc7U_Cj72hBMp9U/edit?usp=share_link"",""นครสวรรค์!m306"")+IMPORTRANGE(""https://docs.google.com/spreadsheets/d/1gFVb7qd7amutrIxAA"&amp;"oM7lcy35hllxznovot8lyOfvDo/edit?usp=share_link"",""น่าน!m306"")+IMPORTRANGE(""https://docs.google.com/spreadsheets/d/1K0Aa9s-6EuHE5M0FG1F9aHLXRCOV917xvycTdLdct0w/edit?usp=share_link"",""พะเยา!m306"")+IMPORTRANGE(""https://docs.google.com/spreadsheets/d/1Y"&amp;"9LPKx95PyL5OKy09d-KbKJSuuEZCFdkhYjwC0XQjBA/edit?usp=share_link"",""พิจิตร!m306"")+IMPORTRANGE(""https://docs.google.com/spreadsheets/d/16OMuOwy2eVqZcYWOouQtTpa8X1L23h4660uVHc0C8os/edit?usp=share_link"",""พิษณุโลก!m306"")+IMPORTRANGE(""https://docs.google."&amp;"com/spreadsheets/d/1GfgTldLG6k77HXaMQzaafODklYuucJZQNs_GAPEfZyY/edit?usp=share_link"",""เพชรบูรณ์!m306"")+IMPORTRANGE(""https://docs.google.com/spreadsheets/d/1gvTMYAnm7v1yG1BKWFtr0DnaTsq59oW9dwWvFgq6hs0/edit?usp=share_link"",""แพร่!m306"")+IMPORTRANGE("""&amp;"https://docs.google.com/spreadsheets/d/1Wbcosgy-Xa1xXUArJSOenub6EfZHUSzc_bpJFWwQUf0/edit?usp=share_link"",""แม่ฮ่องสอน!m306"")+IMPORTRANGE(""https://docs.google.com/spreadsheets/d/1p7ERhsr0qZeSn-KSOdeHS9r0heI-lHtkcn2OH7hP0jQ/edit?usp=share_link"",""ลำปาง!"&amp;"m306"")+IMPORTRANGE(""https://docs.google.com/spreadsheets/d/1-uUXvimVhiU2U0bMN-xi2te0tS4X7DI2GLPnMjzl8cA/edit?usp=share_link"",""ลำพูน!m306"")+IMPORTRANGE(""https://docs.google.com/spreadsheets/d/17HrOaa5pBUI1onckFfumXB8xlg35qb2uBAFfF1D-Myo/edit?usp=shar"&amp;"e_link"",""สุโขทัย!m306"")+IMPORTRANGE(""https://docs.google.com/spreadsheets/d/1ubs5cl16eYL9gHbdHTJtmtYb9MGzHBs7CAphn8kNCgM/edit?usp=share_link"",""อุตรดิตถ์!m306"")+IMPORTRANGE(""https://docs.google.com/spreadsheets/d/1kII0BjS6CtVrBvI8IrytgPdxDrlyQDyigz"&amp;"MsohRtDMs/edit?usp=share_link"",""อุทัยธานี!m306"")
"),0)</f>
        <v>0</v>
      </c>
      <c r="N306" s="45">
        <f ca="1">IFERROR(__xludf.DUMMYFUNCTION("IMPORTRANGE(""https://docs.google.com/spreadsheets/d/1KxicF4apzSqm0-jIpmueT4kyZtE-Cwn5zskl7GD4loQ/edit?usp=share_link"",""กำแพงเพชร!n306"")+IMPORTRANGE(""https://docs.google.com/spreadsheets/d/1ZNYWeiFoFA1K1U4xKWqRX29MBvEyRHXORjo734Gnq_c/edit?usp=share_li"&amp;"nk"",""เชียงราย!n306"")
+IMPORTRANGE(""https://docs.google.com/spreadsheets/d/1Jgv0Y7YlHDtsiDawwp-uvifEJ8HVaSn0k2aGHG8-hwM/edit?usp=share_link"",""เชียงใหม่!n306"")+IMPORTRANGE(""https://docs.google.com/spreadsheets/d/1JWG2rZePOz9pe-f-ObA-yDr0VoOX2kSb0qIi"&amp;"x2mTUo8/edit?usp=share_link"",""ตาก!n306"")+IMPORTRANGE(""https://docs.google.com/spreadsheets/d/10nSRjK08hx8Y6HgSOQKNw81lyY46Zc7U_Cj72hBMp9U/edit?usp=share_link"",""นครสวรรค์!n306"")+IMPORTRANGE(""https://docs.google.com/spreadsheets/d/1gFVb7qd7amutrIxAA"&amp;"oM7lcy35hllxznovot8lyOfvDo/edit?usp=share_link"",""น่าน!n306"")+IMPORTRANGE(""https://docs.google.com/spreadsheets/d/1K0Aa9s-6EuHE5M0FG1F9aHLXRCOV917xvycTdLdct0w/edit?usp=share_link"",""พะเยา!n306"")+IMPORTRANGE(""https://docs.google.com/spreadsheets/d/1Y"&amp;"9LPKx95PyL5OKy09d-KbKJSuuEZCFdkhYjwC0XQjBA/edit?usp=share_link"",""พิจิตร!n306"")+IMPORTRANGE(""https://docs.google.com/spreadsheets/d/16OMuOwy2eVqZcYWOouQtTpa8X1L23h4660uVHc0C8os/edit?usp=share_link"",""พิษณุโลก!n306"")+IMPORTRANGE(""https://docs.google."&amp;"com/spreadsheets/d/1GfgTldLG6k77HXaMQzaafODklYuucJZQNs_GAPEfZyY/edit?usp=share_link"",""เพชรบูรณ์!n306"")+IMPORTRANGE(""https://docs.google.com/spreadsheets/d/1gvTMYAnm7v1yG1BKWFtr0DnaTsq59oW9dwWvFgq6hs0/edit?usp=share_link"",""แพร่!n306"")+IMPORTRANGE("""&amp;"https://docs.google.com/spreadsheets/d/1Wbcosgy-Xa1xXUArJSOenub6EfZHUSzc_bpJFWwQUf0/edit?usp=share_link"",""แม่ฮ่องสอน!n306"")+IMPORTRANGE(""https://docs.google.com/spreadsheets/d/1p7ERhsr0qZeSn-KSOdeHS9r0heI-lHtkcn2OH7hP0jQ/edit?usp=share_link"",""ลำปาง!"&amp;"n306"")+IMPORTRANGE(""https://docs.google.com/spreadsheets/d/1-uUXvimVhiU2U0bMN-xi2te0tS4X7DI2GLPnMjzl8cA/edit?usp=share_link"",""ลำพูน!n306"")+IMPORTRANGE(""https://docs.google.com/spreadsheets/d/17HrOaa5pBUI1onckFfumXB8xlg35qb2uBAFfF1D-Myo/edit?usp=shar"&amp;"e_link"",""สุโขทัย!n306"")+IMPORTRANGE(""https://docs.google.com/spreadsheets/d/1ubs5cl16eYL9gHbdHTJtmtYb9MGzHBs7CAphn8kNCgM/edit?usp=share_link"",""อุตรดิตถ์!n306"")+IMPORTRANGE(""https://docs.google.com/spreadsheets/d/1kII0BjS6CtVrBvI8IrytgPdxDrlyQDyigz"&amp;"MsohRtDMs/edit?usp=share_link"",""อุทัยธานี!n306"")
"),0)</f>
        <v>0</v>
      </c>
      <c r="O306" s="45">
        <f t="shared" ca="1" si="161"/>
        <v>0</v>
      </c>
      <c r="P306" s="45">
        <f t="shared" ca="1" si="162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>
      <c r="A307" s="170"/>
      <c r="B307" s="171"/>
      <c r="C307" s="164" t="s">
        <v>16</v>
      </c>
      <c r="D307" s="172" t="s">
        <v>38</v>
      </c>
      <c r="E307" s="173"/>
      <c r="F307" s="173"/>
      <c r="G307" s="174"/>
      <c r="H307" s="175"/>
      <c r="I307" s="37"/>
      <c r="J307" s="37"/>
      <c r="K307" s="38"/>
      <c r="L307" s="38"/>
      <c r="M307" s="38"/>
      <c r="N307" s="38"/>
      <c r="O307" s="38"/>
      <c r="P307" s="38"/>
    </row>
    <row r="308" spans="1:26" ht="18.75">
      <c r="A308" s="170"/>
      <c r="B308" s="171"/>
      <c r="C308" s="171"/>
      <c r="D308" s="415" t="s">
        <v>140</v>
      </c>
      <c r="E308" s="177"/>
      <c r="F308" s="177"/>
      <c r="G308" s="179"/>
      <c r="H308" s="182"/>
      <c r="I308" s="37"/>
      <c r="J308" s="183">
        <f ca="1">IFERROR(__xludf.DUMMYFUNCTION("IMPORTRANGE(""https://docs.google.com/spreadsheets/d/1KxicF4apzSqm0-jIpmueT4kyZtE-Cwn5zskl7GD4loQ/edit?usp=share_link"",""กำแพงเพชร!J308"")+IMPORTRANGE(""https://docs.google.com/spreadsheets/d/1ZNYWeiFoFA1K1U4xKWqRX29MBvEyRHXORjo734Gnq_c/edit?usp=share_li"&amp;"nk"",""เชียงราย!J308"")
+IMPORTRANGE(""https://docs.google.com/spreadsheets/d/1Jgv0Y7YlHDtsiDawwp-uvifEJ8HVaSn0k2aGHG8-hwM/edit?usp=share_link"",""เชียงใหม่!J308"")+IMPORTRANGE(""https://docs.google.com/spreadsheets/d/1JWG2rZePOz9pe-f-ObA-yDr0VoOX2kSb0qIi"&amp;"x2mTUo8/edit?usp=share_link"",""ตาก!J308"")+IMPORTRANGE(""https://docs.google.com/spreadsheets/d/10nSRjK08hx8Y6HgSOQKNw81lyY46Zc7U_Cj72hBMp9U/edit?usp=share_link"",""นครสวรรค์!J308"")+IMPORTRANGE(""https://docs.google.com/spreadsheets/d/1gFVb7qd7amutrIxAA"&amp;"oM7lcy35hllxznovot8lyOfvDo/edit?usp=share_link"",""น่าน!J308"")+IMPORTRANGE(""https://docs.google.com/spreadsheets/d/1K0Aa9s-6EuHE5M0FG1F9aHLXRCOV917xvycTdLdct0w/edit?usp=share_link"",""พะเยา!J308"")+IMPORTRANGE(""https://docs.google.com/spreadsheets/d/1Y"&amp;"9LPKx95PyL5OKy09d-KbKJSuuEZCFdkhYjwC0XQjBA/edit?usp=share_link"",""พิจิตร!J308"")+IMPORTRANGE(""https://docs.google.com/spreadsheets/d/16OMuOwy2eVqZcYWOouQtTpa8X1L23h4660uVHc0C8os/edit?usp=share_link"",""พิษณุโลก!J308"")+IMPORTRANGE(""https://docs.google."&amp;"com/spreadsheets/d/1GfgTldLG6k77HXaMQzaafODklYuucJZQNs_GAPEfZyY/edit?usp=share_link"",""เพชรบูรณ์!J308"")+IMPORTRANGE(""https://docs.google.com/spreadsheets/d/1gvTMYAnm7v1yG1BKWFtr0DnaTsq59oW9dwWvFgq6hs0/edit?usp=share_link"",""แพร่!J308"")+IMPORTRANGE("""&amp;"https://docs.google.com/spreadsheets/d/1Wbcosgy-Xa1xXUArJSOenub6EfZHUSzc_bpJFWwQUf0/edit?usp=share_link"",""แม่ฮ่องสอน!J308"")+IMPORTRANGE(""https://docs.google.com/spreadsheets/d/1p7ERhsr0qZeSn-KSOdeHS9r0heI-lHtkcn2OH7hP0jQ/edit?usp=share_link"",""ลำปาง!"&amp;"J308"")+IMPORTRANGE(""https://docs.google.com/spreadsheets/d/1-uUXvimVhiU2U0bMN-xi2te0tS4X7DI2GLPnMjzl8cA/edit?usp=share_link"",""ลำพูน!J308"")+IMPORTRANGE(""https://docs.google.com/spreadsheets/d/17HrOaa5pBUI1onckFfumXB8xlg35qb2uBAFfF1D-Myo/edit?usp=shar"&amp;"e_link"",""สุโขทัย!J308"")+IMPORTRANGE(""https://docs.google.com/spreadsheets/d/1ubs5cl16eYL9gHbdHTJtmtYb9MGzHBs7CAphn8kNCgM/edit?usp=share_link"",""อุตรดิตถ์!J308"")+IMPORTRANGE(""https://docs.google.com/spreadsheets/d/1kII0BjS6CtVrBvI8IrytgPdxDrlyQDyigz"&amp;"MsohRtDMs/edit?usp=share_link"",""อุทัยธานี!J308"")
"),2)</f>
        <v>2</v>
      </c>
      <c r="K308" s="38"/>
      <c r="L308" s="38"/>
      <c r="M308" s="38"/>
      <c r="N308" s="38"/>
      <c r="O308" s="38"/>
      <c r="P308" s="38"/>
    </row>
    <row r="309" spans="1:26" ht="18.75">
      <c r="A309" s="170"/>
      <c r="B309" s="171"/>
      <c r="C309" s="171"/>
      <c r="D309" s="181" t="s">
        <v>141</v>
      </c>
      <c r="E309" s="177"/>
      <c r="F309" s="177"/>
      <c r="G309" s="179"/>
      <c r="H309" s="182" t="s">
        <v>35</v>
      </c>
      <c r="I309" s="37">
        <f ca="1">IFERROR(__xludf.DUMMYFUNCTION("IMPORTRANGE(""https://docs.google.com/spreadsheets/d/1KxicF4apzSqm0-jIpmueT4kyZtE-Cwn5zskl7GD4loQ/edit?usp=share_link"",""กำแพงเพชร!I309"")+IMPORTRANGE(""https://docs.google.com/spreadsheets/d/1ZNYWeiFoFA1K1U4xKWqRX29MBvEyRHXORjo734Gnq_c/edit?usp=share_li"&amp;"nk"",""เชียงราย!I309"")
+IMPORTRANGE(""https://docs.google.com/spreadsheets/d/1Jgv0Y7YlHDtsiDawwp-uvifEJ8HVaSn0k2aGHG8-hwM/edit?usp=share_link"",""เชียงใหม่!I309"")+IMPORTRANGE(""https://docs.google.com/spreadsheets/d/1JWG2rZePOz9pe-f-ObA-yDr0VoOX2kSb0qIi"&amp;"x2mTUo8/edit?usp=share_link"",""ตาก!I309"")+IMPORTRANGE(""https://docs.google.com/spreadsheets/d/10nSRjK08hx8Y6HgSOQKNw81lyY46Zc7U_Cj72hBMp9U/edit?usp=share_link"",""นครสวรรค์!I309"")+IMPORTRANGE(""https://docs.google.com/spreadsheets/d/1gFVb7qd7amutrIxAA"&amp;"oM7lcy35hllxznovot8lyOfvDo/edit?usp=share_link"",""น่าน!I309"")+IMPORTRANGE(""https://docs.google.com/spreadsheets/d/1K0Aa9s-6EuHE5M0FG1F9aHLXRCOV917xvycTdLdct0w/edit?usp=share_link"",""พะเยา!I309"")+IMPORTRANGE(""https://docs.google.com/spreadsheets/d/1Y"&amp;"9LPKx95PyL5OKy09d-KbKJSuuEZCFdkhYjwC0XQjBA/edit?usp=share_link"",""พิจิตร!I309"")+IMPORTRANGE(""https://docs.google.com/spreadsheets/d/16OMuOwy2eVqZcYWOouQtTpa8X1L23h4660uVHc0C8os/edit?usp=share_link"",""พิษณุโลก!I309"")+IMPORTRANGE(""https://docs.google."&amp;"com/spreadsheets/d/1GfgTldLG6k77HXaMQzaafODklYuucJZQNs_GAPEfZyY/edit?usp=share_link"",""เพชรบูรณ์!I309"")+IMPORTRANGE(""https://docs.google.com/spreadsheets/d/1gvTMYAnm7v1yG1BKWFtr0DnaTsq59oW9dwWvFgq6hs0/edit?usp=share_link"",""แพร่!I309"")+IMPORTRANGE("""&amp;"https://docs.google.com/spreadsheets/d/1Wbcosgy-Xa1xXUArJSOenub6EfZHUSzc_bpJFWwQUf0/edit?usp=share_link"",""แม่ฮ่องสอน!I309"")+IMPORTRANGE(""https://docs.google.com/spreadsheets/d/1p7ERhsr0qZeSn-KSOdeHS9r0heI-lHtkcn2OH7hP0jQ/edit?usp=share_link"",""ลำปาง!"&amp;"I309"")+IMPORTRANGE(""https://docs.google.com/spreadsheets/d/1-uUXvimVhiU2U0bMN-xi2te0tS4X7DI2GLPnMjzl8cA/edit?usp=share_link"",""ลำพูน!I309"")+IMPORTRANGE(""https://docs.google.com/spreadsheets/d/17HrOaa5pBUI1onckFfumXB8xlg35qb2uBAFfF1D-Myo/edit?usp=shar"&amp;"e_link"",""สุโขทัย!I309"")+IMPORTRANGE(""https://docs.google.com/spreadsheets/d/1ubs5cl16eYL9gHbdHTJtmtYb9MGzHBs7CAphn8kNCgM/edit?usp=share_link"",""อุตรดิตถ์!I309"")+IMPORTRANGE(""https://docs.google.com/spreadsheets/d/1kII0BjS6CtVrBvI8IrytgPdxDrlyQDyigz"&amp;"MsohRtDMs/edit?usp=share_link"",""อุทัยธานี!I309"")
"),230)</f>
        <v>230</v>
      </c>
      <c r="J309" s="183">
        <f ca="1">IFERROR(__xludf.DUMMYFUNCTION("IMPORTRANGE(""https://docs.google.com/spreadsheets/d/1KxicF4apzSqm0-jIpmueT4kyZtE-Cwn5zskl7GD4loQ/edit?usp=share_link"",""กำแพงเพชร!J309"")+IMPORTRANGE(""https://docs.google.com/spreadsheets/d/1ZNYWeiFoFA1K1U4xKWqRX29MBvEyRHXORjo734Gnq_c/edit?usp=share_li"&amp;"nk"",""เชียงราย!J309"")
+IMPORTRANGE(""https://docs.google.com/spreadsheets/d/1Jgv0Y7YlHDtsiDawwp-uvifEJ8HVaSn0k2aGHG8-hwM/edit?usp=share_link"",""เชียงใหม่!J309"")+IMPORTRANGE(""https://docs.google.com/spreadsheets/d/1JWG2rZePOz9pe-f-ObA-yDr0VoOX2kSb0qIi"&amp;"x2mTUo8/edit?usp=share_link"",""ตาก!J309"")+IMPORTRANGE(""https://docs.google.com/spreadsheets/d/10nSRjK08hx8Y6HgSOQKNw81lyY46Zc7U_Cj72hBMp9U/edit?usp=share_link"",""นครสวรรค์!J309"")+IMPORTRANGE(""https://docs.google.com/spreadsheets/d/1gFVb7qd7amutrIxAA"&amp;"oM7lcy35hllxznovot8lyOfvDo/edit?usp=share_link"",""น่าน!J309"")+IMPORTRANGE(""https://docs.google.com/spreadsheets/d/1K0Aa9s-6EuHE5M0FG1F9aHLXRCOV917xvycTdLdct0w/edit?usp=share_link"",""พะเยา!J309"")+IMPORTRANGE(""https://docs.google.com/spreadsheets/d/1Y"&amp;"9LPKx95PyL5OKy09d-KbKJSuuEZCFdkhYjwC0XQjBA/edit?usp=share_link"",""พิจิตร!J309"")+IMPORTRANGE(""https://docs.google.com/spreadsheets/d/16OMuOwy2eVqZcYWOouQtTpa8X1L23h4660uVHc0C8os/edit?usp=share_link"",""พิษณุโลก!J309"")+IMPORTRANGE(""https://docs.google."&amp;"com/spreadsheets/d/1GfgTldLG6k77HXaMQzaafODklYuucJZQNs_GAPEfZyY/edit?usp=share_link"",""เพชรบูรณ์!J309"")+IMPORTRANGE(""https://docs.google.com/spreadsheets/d/1gvTMYAnm7v1yG1BKWFtr0DnaTsq59oW9dwWvFgq6hs0/edit?usp=share_link"",""แพร่!J309"")+IMPORTRANGE("""&amp;"https://docs.google.com/spreadsheets/d/1Wbcosgy-Xa1xXUArJSOenub6EfZHUSzc_bpJFWwQUf0/edit?usp=share_link"",""แม่ฮ่องสอน!J309"")+IMPORTRANGE(""https://docs.google.com/spreadsheets/d/1p7ERhsr0qZeSn-KSOdeHS9r0heI-lHtkcn2OH7hP0jQ/edit?usp=share_link"",""ลำปาง!"&amp;"J309"")+IMPORTRANGE(""https://docs.google.com/spreadsheets/d/1-uUXvimVhiU2U0bMN-xi2te0tS4X7DI2GLPnMjzl8cA/edit?usp=share_link"",""ลำพูน!J309"")+IMPORTRANGE(""https://docs.google.com/spreadsheets/d/17HrOaa5pBUI1onckFfumXB8xlg35qb2uBAFfF1D-Myo/edit?usp=shar"&amp;"e_link"",""สุโขทัย!J309"")+IMPORTRANGE(""https://docs.google.com/spreadsheets/d/1ubs5cl16eYL9gHbdHTJtmtYb9MGzHBs7CAphn8kNCgM/edit?usp=share_link"",""อุตรดิตถ์!J309"")+IMPORTRANGE(""https://docs.google.com/spreadsheets/d/1kII0BjS6CtVrBvI8IrytgPdxDrlyQDyigz"&amp;"MsohRtDMs/edit?usp=share_link"",""อุทัยธานี!J309"")
"),65)</f>
        <v>65</v>
      </c>
      <c r="K309" s="38">
        <f t="shared" ref="K309:K312" ca="1" si="167">IF(I309&gt;0,J309*100/I309,0)</f>
        <v>28.260869565217391</v>
      </c>
      <c r="L309" s="38"/>
      <c r="M309" s="38"/>
      <c r="N309" s="38"/>
      <c r="O309" s="38"/>
      <c r="P309" s="38"/>
    </row>
    <row r="310" spans="1:26" ht="18.75">
      <c r="A310" s="170"/>
      <c r="B310" s="171"/>
      <c r="C310" s="171"/>
      <c r="D310" s="415" t="s">
        <v>142</v>
      </c>
      <c r="E310" s="177"/>
      <c r="F310" s="177"/>
      <c r="G310" s="179"/>
      <c r="H310" s="182" t="s">
        <v>35</v>
      </c>
      <c r="I310" s="37">
        <f ca="1">IFERROR(__xludf.DUMMYFUNCTION("IMPORTRANGE(""https://docs.google.com/spreadsheets/d/1KxicF4apzSqm0-jIpmueT4kyZtE-Cwn5zskl7GD4loQ/edit?usp=share_link"",""กำแพงเพชร!I310"")+IMPORTRANGE(""https://docs.google.com/spreadsheets/d/1ZNYWeiFoFA1K1U4xKWqRX29MBvEyRHXORjo734Gnq_c/edit?usp=share_li"&amp;"nk"",""เชียงราย!I310"")
+IMPORTRANGE(""https://docs.google.com/spreadsheets/d/1Jgv0Y7YlHDtsiDawwp-uvifEJ8HVaSn0k2aGHG8-hwM/edit?usp=share_link"",""เชียงใหม่!I310"")+IMPORTRANGE(""https://docs.google.com/spreadsheets/d/1JWG2rZePOz9pe-f-ObA-yDr0VoOX2kSb0qIi"&amp;"x2mTUo8/edit?usp=share_link"",""ตาก!I310"")+IMPORTRANGE(""https://docs.google.com/spreadsheets/d/10nSRjK08hx8Y6HgSOQKNw81lyY46Zc7U_Cj72hBMp9U/edit?usp=share_link"",""นครสวรรค์!I310"")+IMPORTRANGE(""https://docs.google.com/spreadsheets/d/1gFVb7qd7amutrIxAA"&amp;"oM7lcy35hllxznovot8lyOfvDo/edit?usp=share_link"",""น่าน!I310"")+IMPORTRANGE(""https://docs.google.com/spreadsheets/d/1K0Aa9s-6EuHE5M0FG1F9aHLXRCOV917xvycTdLdct0w/edit?usp=share_link"",""พะเยา!I310"")+IMPORTRANGE(""https://docs.google.com/spreadsheets/d/1Y"&amp;"9LPKx95PyL5OKy09d-KbKJSuuEZCFdkhYjwC0XQjBA/edit?usp=share_link"",""พิจิตร!I310"")+IMPORTRANGE(""https://docs.google.com/spreadsheets/d/16OMuOwy2eVqZcYWOouQtTpa8X1L23h4660uVHc0C8os/edit?usp=share_link"",""พิษณุโลก!I310"")+IMPORTRANGE(""https://docs.google."&amp;"com/spreadsheets/d/1GfgTldLG6k77HXaMQzaafODklYuucJZQNs_GAPEfZyY/edit?usp=share_link"",""เพชรบูรณ์!I310"")+IMPORTRANGE(""https://docs.google.com/spreadsheets/d/1gvTMYAnm7v1yG1BKWFtr0DnaTsq59oW9dwWvFgq6hs0/edit?usp=share_link"",""แพร่!I310"")+IMPORTRANGE("""&amp;"https://docs.google.com/spreadsheets/d/1Wbcosgy-Xa1xXUArJSOenub6EfZHUSzc_bpJFWwQUf0/edit?usp=share_link"",""แม่ฮ่องสอน!I310"")+IMPORTRANGE(""https://docs.google.com/spreadsheets/d/1p7ERhsr0qZeSn-KSOdeHS9r0heI-lHtkcn2OH7hP0jQ/edit?usp=share_link"",""ลำปาง!"&amp;"I310"")+IMPORTRANGE(""https://docs.google.com/spreadsheets/d/1-uUXvimVhiU2U0bMN-xi2te0tS4X7DI2GLPnMjzl8cA/edit?usp=share_link"",""ลำพูน!I310"")+IMPORTRANGE(""https://docs.google.com/spreadsheets/d/17HrOaa5pBUI1onckFfumXB8xlg35qb2uBAFfF1D-Myo/edit?usp=shar"&amp;"e_link"",""สุโขทัย!I310"")+IMPORTRANGE(""https://docs.google.com/spreadsheets/d/1ubs5cl16eYL9gHbdHTJtmtYb9MGzHBs7CAphn8kNCgM/edit?usp=share_link"",""อุตรดิตถ์!I310"")+IMPORTRANGE(""https://docs.google.com/spreadsheets/d/1kII0BjS6CtVrBvI8IrytgPdxDrlyQDyigz"&amp;"MsohRtDMs/edit?usp=share_link"",""อุทัยธานี!I310"")
"),230)</f>
        <v>230</v>
      </c>
      <c r="J310" s="183">
        <f ca="1">IFERROR(__xludf.DUMMYFUNCTION("IMPORTRANGE(""https://docs.google.com/spreadsheets/d/1KxicF4apzSqm0-jIpmueT4kyZtE-Cwn5zskl7GD4loQ/edit?usp=share_link"",""กำแพงเพชร!J310"")+IMPORTRANGE(""https://docs.google.com/spreadsheets/d/1ZNYWeiFoFA1K1U4xKWqRX29MBvEyRHXORjo734Gnq_c/edit?usp=share_li"&amp;"nk"",""เชียงราย!J310"")
+IMPORTRANGE(""https://docs.google.com/spreadsheets/d/1Jgv0Y7YlHDtsiDawwp-uvifEJ8HVaSn0k2aGHG8-hwM/edit?usp=share_link"",""เชียงใหม่!J310"")+IMPORTRANGE(""https://docs.google.com/spreadsheets/d/1JWG2rZePOz9pe-f-ObA-yDr0VoOX2kSb0qIi"&amp;"x2mTUo8/edit?usp=share_link"",""ตาก!J310"")+IMPORTRANGE(""https://docs.google.com/spreadsheets/d/10nSRjK08hx8Y6HgSOQKNw81lyY46Zc7U_Cj72hBMp9U/edit?usp=share_link"",""นครสวรรค์!J310"")+IMPORTRANGE(""https://docs.google.com/spreadsheets/d/1gFVb7qd7amutrIxAA"&amp;"oM7lcy35hllxznovot8lyOfvDo/edit?usp=share_link"",""น่าน!J310"")+IMPORTRANGE(""https://docs.google.com/spreadsheets/d/1K0Aa9s-6EuHE5M0FG1F9aHLXRCOV917xvycTdLdct0w/edit?usp=share_link"",""พะเยา!J310"")+IMPORTRANGE(""https://docs.google.com/spreadsheets/d/1Y"&amp;"9LPKx95PyL5OKy09d-KbKJSuuEZCFdkhYjwC0XQjBA/edit?usp=share_link"",""พิจิตร!J310"")+IMPORTRANGE(""https://docs.google.com/spreadsheets/d/16OMuOwy2eVqZcYWOouQtTpa8X1L23h4660uVHc0C8os/edit?usp=share_link"",""พิษณุโลก!J310"")+IMPORTRANGE(""https://docs.google."&amp;"com/spreadsheets/d/1GfgTldLG6k77HXaMQzaafODklYuucJZQNs_GAPEfZyY/edit?usp=share_link"",""เพชรบูรณ์!J310"")+IMPORTRANGE(""https://docs.google.com/spreadsheets/d/1gvTMYAnm7v1yG1BKWFtr0DnaTsq59oW9dwWvFgq6hs0/edit?usp=share_link"",""แพร่!J310"")+IMPORTRANGE("""&amp;"https://docs.google.com/spreadsheets/d/1Wbcosgy-Xa1xXUArJSOenub6EfZHUSzc_bpJFWwQUf0/edit?usp=share_link"",""แม่ฮ่องสอน!J310"")+IMPORTRANGE(""https://docs.google.com/spreadsheets/d/1p7ERhsr0qZeSn-KSOdeHS9r0heI-lHtkcn2OH7hP0jQ/edit?usp=share_link"",""ลำปาง!"&amp;"J310"")+IMPORTRANGE(""https://docs.google.com/spreadsheets/d/1-uUXvimVhiU2U0bMN-xi2te0tS4X7DI2GLPnMjzl8cA/edit?usp=share_link"",""ลำพูน!J310"")+IMPORTRANGE(""https://docs.google.com/spreadsheets/d/17HrOaa5pBUI1onckFfumXB8xlg35qb2uBAFfF1D-Myo/edit?usp=shar"&amp;"e_link"",""สุโขทัย!J310"")+IMPORTRANGE(""https://docs.google.com/spreadsheets/d/1ubs5cl16eYL9gHbdHTJtmtYb9MGzHBs7CAphn8kNCgM/edit?usp=share_link"",""อุตรดิตถ์!J310"")+IMPORTRANGE(""https://docs.google.com/spreadsheets/d/1kII0BjS6CtVrBvI8IrytgPdxDrlyQDyigz"&amp;"MsohRtDMs/edit?usp=share_link"",""อุทัยธานี!J310"")
"),20)</f>
        <v>20</v>
      </c>
      <c r="K310" s="38">
        <f t="shared" ca="1" si="167"/>
        <v>8.695652173913043</v>
      </c>
      <c r="L310" s="38"/>
      <c r="M310" s="38"/>
      <c r="N310" s="38"/>
      <c r="O310" s="38"/>
      <c r="P310" s="38"/>
    </row>
    <row r="311" spans="1:26" ht="18.75">
      <c r="A311" s="170"/>
      <c r="B311" s="171"/>
      <c r="C311" s="171"/>
      <c r="D311" s="415" t="s">
        <v>59</v>
      </c>
      <c r="E311" s="177"/>
      <c r="F311" s="177"/>
      <c r="G311" s="179"/>
      <c r="H311" s="416" t="s">
        <v>35</v>
      </c>
      <c r="I311" s="37">
        <f ca="1">IFERROR(__xludf.DUMMYFUNCTION("IMPORTRANGE(""https://docs.google.com/spreadsheets/d/1KxicF4apzSqm0-jIpmueT4kyZtE-Cwn5zskl7GD4loQ/edit?usp=share_link"",""กำแพงเพชร!I311"")+IMPORTRANGE(""https://docs.google.com/spreadsheets/d/1ZNYWeiFoFA1K1U4xKWqRX29MBvEyRHXORjo734Gnq_c/edit?usp=share_li"&amp;"nk"",""เชียงราย!I311"")
+IMPORTRANGE(""https://docs.google.com/spreadsheets/d/1Jgv0Y7YlHDtsiDawwp-uvifEJ8HVaSn0k2aGHG8-hwM/edit?usp=share_link"",""เชียงใหม่!I311"")+IMPORTRANGE(""https://docs.google.com/spreadsheets/d/1JWG2rZePOz9pe-f-ObA-yDr0VoOX2kSb0qIi"&amp;"x2mTUo8/edit?usp=share_link"",""ตาก!I311"")+IMPORTRANGE(""https://docs.google.com/spreadsheets/d/10nSRjK08hx8Y6HgSOQKNw81lyY46Zc7U_Cj72hBMp9U/edit?usp=share_link"",""นครสวรรค์!I311"")+IMPORTRANGE(""https://docs.google.com/spreadsheets/d/1gFVb7qd7amutrIxAA"&amp;"oM7lcy35hllxznovot8lyOfvDo/edit?usp=share_link"",""น่าน!I311"")+IMPORTRANGE(""https://docs.google.com/spreadsheets/d/1K0Aa9s-6EuHE5M0FG1F9aHLXRCOV917xvycTdLdct0w/edit?usp=share_link"",""พะเยา!I311"")+IMPORTRANGE(""https://docs.google.com/spreadsheets/d/1Y"&amp;"9LPKx95PyL5OKy09d-KbKJSuuEZCFdkhYjwC0XQjBA/edit?usp=share_link"",""พิจิตร!I311"")+IMPORTRANGE(""https://docs.google.com/spreadsheets/d/16OMuOwy2eVqZcYWOouQtTpa8X1L23h4660uVHc0C8os/edit?usp=share_link"",""พิษณุโลก!I311"")+IMPORTRANGE(""https://docs.google."&amp;"com/spreadsheets/d/1GfgTldLG6k77HXaMQzaafODklYuucJZQNs_GAPEfZyY/edit?usp=share_link"",""เพชรบูรณ์!I311"")+IMPORTRANGE(""https://docs.google.com/spreadsheets/d/1gvTMYAnm7v1yG1BKWFtr0DnaTsq59oW9dwWvFgq6hs0/edit?usp=share_link"",""แพร่!I311"")+IMPORTRANGE("""&amp;"https://docs.google.com/spreadsheets/d/1Wbcosgy-Xa1xXUArJSOenub6EfZHUSzc_bpJFWwQUf0/edit?usp=share_link"",""แม่ฮ่องสอน!I311"")+IMPORTRANGE(""https://docs.google.com/spreadsheets/d/1p7ERhsr0qZeSn-KSOdeHS9r0heI-lHtkcn2OH7hP0jQ/edit?usp=share_link"",""ลำปาง!"&amp;"I311"")+IMPORTRANGE(""https://docs.google.com/spreadsheets/d/1-uUXvimVhiU2U0bMN-xi2te0tS4X7DI2GLPnMjzl8cA/edit?usp=share_link"",""ลำพูน!I311"")+IMPORTRANGE(""https://docs.google.com/spreadsheets/d/17HrOaa5pBUI1onckFfumXB8xlg35qb2uBAFfF1D-Myo/edit?usp=shar"&amp;"e_link"",""สุโขทัย!I311"")+IMPORTRANGE(""https://docs.google.com/spreadsheets/d/1ubs5cl16eYL9gHbdHTJtmtYb9MGzHBs7CAphn8kNCgM/edit?usp=share_link"",""อุตรดิตถ์!I311"")+IMPORTRANGE(""https://docs.google.com/spreadsheets/d/1kII0BjS6CtVrBvI8IrytgPdxDrlyQDyigz"&amp;"MsohRtDMs/edit?usp=share_link"",""อุทัยธานี!I311"")
"),230)</f>
        <v>230</v>
      </c>
      <c r="J311" s="183">
        <f ca="1">IFERROR(__xludf.DUMMYFUNCTION("IMPORTRANGE(""https://docs.google.com/spreadsheets/d/1KxicF4apzSqm0-jIpmueT4kyZtE-Cwn5zskl7GD4loQ/edit?usp=share_link"",""กำแพงเพชร!J311"")+IMPORTRANGE(""https://docs.google.com/spreadsheets/d/1ZNYWeiFoFA1K1U4xKWqRX29MBvEyRHXORjo734Gnq_c/edit?usp=share_li"&amp;"nk"",""เชียงราย!J311"")
+IMPORTRANGE(""https://docs.google.com/spreadsheets/d/1Jgv0Y7YlHDtsiDawwp-uvifEJ8HVaSn0k2aGHG8-hwM/edit?usp=share_link"",""เชียงใหม่!J311"")+IMPORTRANGE(""https://docs.google.com/spreadsheets/d/1JWG2rZePOz9pe-f-ObA-yDr0VoOX2kSb0qIi"&amp;"x2mTUo8/edit?usp=share_link"",""ตาก!J311"")+IMPORTRANGE(""https://docs.google.com/spreadsheets/d/10nSRjK08hx8Y6HgSOQKNw81lyY46Zc7U_Cj72hBMp9U/edit?usp=share_link"",""นครสวรรค์!J311"")+IMPORTRANGE(""https://docs.google.com/spreadsheets/d/1gFVb7qd7amutrIxAA"&amp;"oM7lcy35hllxznovot8lyOfvDo/edit?usp=share_link"",""น่าน!J311"")+IMPORTRANGE(""https://docs.google.com/spreadsheets/d/1K0Aa9s-6EuHE5M0FG1F9aHLXRCOV917xvycTdLdct0w/edit?usp=share_link"",""พะเยา!J311"")+IMPORTRANGE(""https://docs.google.com/spreadsheets/d/1Y"&amp;"9LPKx95PyL5OKy09d-KbKJSuuEZCFdkhYjwC0XQjBA/edit?usp=share_link"",""พิจิตร!J311"")+IMPORTRANGE(""https://docs.google.com/spreadsheets/d/16OMuOwy2eVqZcYWOouQtTpa8X1L23h4660uVHc0C8os/edit?usp=share_link"",""พิษณุโลก!J311"")+IMPORTRANGE(""https://docs.google."&amp;"com/spreadsheets/d/1GfgTldLG6k77HXaMQzaafODklYuucJZQNs_GAPEfZyY/edit?usp=share_link"",""เพชรบูรณ์!J311"")+IMPORTRANGE(""https://docs.google.com/spreadsheets/d/1gvTMYAnm7v1yG1BKWFtr0DnaTsq59oW9dwWvFgq6hs0/edit?usp=share_link"",""แพร่!J311"")+IMPORTRANGE("""&amp;"https://docs.google.com/spreadsheets/d/1Wbcosgy-Xa1xXUArJSOenub6EfZHUSzc_bpJFWwQUf0/edit?usp=share_link"",""แม่ฮ่องสอน!J311"")+IMPORTRANGE(""https://docs.google.com/spreadsheets/d/1p7ERhsr0qZeSn-KSOdeHS9r0heI-lHtkcn2OH7hP0jQ/edit?usp=share_link"",""ลำปาง!"&amp;"J311"")+IMPORTRANGE(""https://docs.google.com/spreadsheets/d/1-uUXvimVhiU2U0bMN-xi2te0tS4X7DI2GLPnMjzl8cA/edit?usp=share_link"",""ลำพูน!J311"")+IMPORTRANGE(""https://docs.google.com/spreadsheets/d/17HrOaa5pBUI1onckFfumXB8xlg35qb2uBAFfF1D-Myo/edit?usp=shar"&amp;"e_link"",""สุโขทัย!J311"")+IMPORTRANGE(""https://docs.google.com/spreadsheets/d/1ubs5cl16eYL9gHbdHTJtmtYb9MGzHBs7CAphn8kNCgM/edit?usp=share_link"",""อุตรดิตถ์!J311"")+IMPORTRANGE(""https://docs.google.com/spreadsheets/d/1kII0BjS6CtVrBvI8IrytgPdxDrlyQDyigz"&amp;"MsohRtDMs/edit?usp=share_link"",""อุทัยธานี!J311"")
"),0)</f>
        <v>0</v>
      </c>
      <c r="K311" s="38">
        <f t="shared" ca="1" si="167"/>
        <v>0</v>
      </c>
      <c r="L311" s="38"/>
      <c r="M311" s="38"/>
      <c r="N311" s="38"/>
      <c r="O311" s="38"/>
      <c r="P311" s="38"/>
    </row>
    <row r="312" spans="1:26" ht="18.75">
      <c r="A312" s="170"/>
      <c r="B312" s="171"/>
      <c r="C312" s="171"/>
      <c r="D312" s="415" t="s">
        <v>143</v>
      </c>
      <c r="E312" s="177"/>
      <c r="F312" s="177"/>
      <c r="G312" s="179"/>
      <c r="H312" s="182" t="s">
        <v>35</v>
      </c>
      <c r="I312" s="37">
        <f ca="1">IFERROR(__xludf.DUMMYFUNCTION("IMPORTRANGE(""https://docs.google.com/spreadsheets/d/1KxicF4apzSqm0-jIpmueT4kyZtE-Cwn5zskl7GD4loQ/edit?usp=share_link"",""กำแพงเพชร!I312"")+IMPORTRANGE(""https://docs.google.com/spreadsheets/d/1ZNYWeiFoFA1K1U4xKWqRX29MBvEyRHXORjo734Gnq_c/edit?usp=share_li"&amp;"nk"",""เชียงราย!I312"")
+IMPORTRANGE(""https://docs.google.com/spreadsheets/d/1Jgv0Y7YlHDtsiDawwp-uvifEJ8HVaSn0k2aGHG8-hwM/edit?usp=share_link"",""เชียงใหม่!I312"")+IMPORTRANGE(""https://docs.google.com/spreadsheets/d/1JWG2rZePOz9pe-f-ObA-yDr0VoOX2kSb0qIi"&amp;"x2mTUo8/edit?usp=share_link"",""ตาก!I312"")+IMPORTRANGE(""https://docs.google.com/spreadsheets/d/10nSRjK08hx8Y6HgSOQKNw81lyY46Zc7U_Cj72hBMp9U/edit?usp=share_link"",""นครสวรรค์!I312"")+IMPORTRANGE(""https://docs.google.com/spreadsheets/d/1gFVb7qd7amutrIxAA"&amp;"oM7lcy35hllxznovot8lyOfvDo/edit?usp=share_link"",""น่าน!I312"")+IMPORTRANGE(""https://docs.google.com/spreadsheets/d/1K0Aa9s-6EuHE5M0FG1F9aHLXRCOV917xvycTdLdct0w/edit?usp=share_link"",""พะเยา!I312"")+IMPORTRANGE(""https://docs.google.com/spreadsheets/d/1Y"&amp;"9LPKx95PyL5OKy09d-KbKJSuuEZCFdkhYjwC0XQjBA/edit?usp=share_link"",""พิจิตร!I312"")+IMPORTRANGE(""https://docs.google.com/spreadsheets/d/16OMuOwy2eVqZcYWOouQtTpa8X1L23h4660uVHc0C8os/edit?usp=share_link"",""พิษณุโลก!I312"")+IMPORTRANGE(""https://docs.google."&amp;"com/spreadsheets/d/1GfgTldLG6k77HXaMQzaafODklYuucJZQNs_GAPEfZyY/edit?usp=share_link"",""เพชรบูรณ์!I312"")+IMPORTRANGE(""https://docs.google.com/spreadsheets/d/1gvTMYAnm7v1yG1BKWFtr0DnaTsq59oW9dwWvFgq6hs0/edit?usp=share_link"",""แพร่!I312"")+IMPORTRANGE("""&amp;"https://docs.google.com/spreadsheets/d/1Wbcosgy-Xa1xXUArJSOenub6EfZHUSzc_bpJFWwQUf0/edit?usp=share_link"",""แม่ฮ่องสอน!I312"")+IMPORTRANGE(""https://docs.google.com/spreadsheets/d/1p7ERhsr0qZeSn-KSOdeHS9r0heI-lHtkcn2OH7hP0jQ/edit?usp=share_link"",""ลำปาง!"&amp;"I312"")+IMPORTRANGE(""https://docs.google.com/spreadsheets/d/1-uUXvimVhiU2U0bMN-xi2te0tS4X7DI2GLPnMjzl8cA/edit?usp=share_link"",""ลำพูน!I312"")+IMPORTRANGE(""https://docs.google.com/spreadsheets/d/17HrOaa5pBUI1onckFfumXB8xlg35qb2uBAFfF1D-Myo/edit?usp=shar"&amp;"e_link"",""สุโขทัย!I312"")+IMPORTRANGE(""https://docs.google.com/spreadsheets/d/1ubs5cl16eYL9gHbdHTJtmtYb9MGzHBs7CAphn8kNCgM/edit?usp=share_link"",""อุตรดิตถ์!I312"")+IMPORTRANGE(""https://docs.google.com/spreadsheets/d/1kII0BjS6CtVrBvI8IrytgPdxDrlyQDyigz"&amp;"MsohRtDMs/edit?usp=share_link"",""อุทัยธานี!I312"")
"),46)</f>
        <v>46</v>
      </c>
      <c r="J312" s="183">
        <f ca="1">IFERROR(__xludf.DUMMYFUNCTION("IMPORTRANGE(""https://docs.google.com/spreadsheets/d/1KxicF4apzSqm0-jIpmueT4kyZtE-Cwn5zskl7GD4loQ/edit?usp=share_link"",""กำแพงเพชร!J312"")+IMPORTRANGE(""https://docs.google.com/spreadsheets/d/1ZNYWeiFoFA1K1U4xKWqRX29MBvEyRHXORjo734Gnq_c/edit?usp=share_li"&amp;"nk"",""เชียงราย!J312"")
+IMPORTRANGE(""https://docs.google.com/spreadsheets/d/1Jgv0Y7YlHDtsiDawwp-uvifEJ8HVaSn0k2aGHG8-hwM/edit?usp=share_link"",""เชียงใหม่!J312"")+IMPORTRANGE(""https://docs.google.com/spreadsheets/d/1JWG2rZePOz9pe-f-ObA-yDr0VoOX2kSb0qIi"&amp;"x2mTUo8/edit?usp=share_link"",""ตาก!J312"")+IMPORTRANGE(""https://docs.google.com/spreadsheets/d/10nSRjK08hx8Y6HgSOQKNw81lyY46Zc7U_Cj72hBMp9U/edit?usp=share_link"",""นครสวรรค์!J312"")+IMPORTRANGE(""https://docs.google.com/spreadsheets/d/1gFVb7qd7amutrIxAA"&amp;"oM7lcy35hllxznovot8lyOfvDo/edit?usp=share_link"",""น่าน!J312"")+IMPORTRANGE(""https://docs.google.com/spreadsheets/d/1K0Aa9s-6EuHE5M0FG1F9aHLXRCOV917xvycTdLdct0w/edit?usp=share_link"",""พะเยา!J312"")+IMPORTRANGE(""https://docs.google.com/spreadsheets/d/1Y"&amp;"9LPKx95PyL5OKy09d-KbKJSuuEZCFdkhYjwC0XQjBA/edit?usp=share_link"",""พิจิตร!J312"")+IMPORTRANGE(""https://docs.google.com/spreadsheets/d/16OMuOwy2eVqZcYWOouQtTpa8X1L23h4660uVHc0C8os/edit?usp=share_link"",""พิษณุโลก!J312"")+IMPORTRANGE(""https://docs.google."&amp;"com/spreadsheets/d/1GfgTldLG6k77HXaMQzaafODklYuucJZQNs_GAPEfZyY/edit?usp=share_link"",""เพชรบูรณ์!J312"")+IMPORTRANGE(""https://docs.google.com/spreadsheets/d/1gvTMYAnm7v1yG1BKWFtr0DnaTsq59oW9dwWvFgq6hs0/edit?usp=share_link"",""แพร่!J312"")+IMPORTRANGE("""&amp;"https://docs.google.com/spreadsheets/d/1Wbcosgy-Xa1xXUArJSOenub6EfZHUSzc_bpJFWwQUf0/edit?usp=share_link"",""แม่ฮ่องสอน!J312"")+IMPORTRANGE(""https://docs.google.com/spreadsheets/d/1p7ERhsr0qZeSn-KSOdeHS9r0heI-lHtkcn2OH7hP0jQ/edit?usp=share_link"",""ลำปาง!"&amp;"J312"")+IMPORTRANGE(""https://docs.google.com/spreadsheets/d/1-uUXvimVhiU2U0bMN-xi2te0tS4X7DI2GLPnMjzl8cA/edit?usp=share_link"",""ลำพูน!J312"")+IMPORTRANGE(""https://docs.google.com/spreadsheets/d/17HrOaa5pBUI1onckFfumXB8xlg35qb2uBAFfF1D-Myo/edit?usp=shar"&amp;"e_link"",""สุโขทัย!J312"")+IMPORTRANGE(""https://docs.google.com/spreadsheets/d/1ubs5cl16eYL9gHbdHTJtmtYb9MGzHBs7CAphn8kNCgM/edit?usp=share_link"",""อุตรดิตถ์!J312"")+IMPORTRANGE(""https://docs.google.com/spreadsheets/d/1kII0BjS6CtVrBvI8IrytgPdxDrlyQDyigz"&amp;"MsohRtDMs/edit?usp=share_link"",""อุทัยธานี!J312"")
"),0)</f>
        <v>0</v>
      </c>
      <c r="K312" s="38">
        <f t="shared" ca="1" si="167"/>
        <v>0</v>
      </c>
      <c r="L312" s="38"/>
      <c r="M312" s="38"/>
      <c r="N312" s="38"/>
      <c r="O312" s="38"/>
      <c r="P312" s="38"/>
    </row>
    <row r="313" spans="1:26" ht="19.5">
      <c r="A313" s="400" t="s">
        <v>144</v>
      </c>
      <c r="B313" s="401"/>
      <c r="C313" s="401"/>
      <c r="D313" s="402"/>
      <c r="E313" s="401"/>
      <c r="F313" s="401"/>
      <c r="G313" s="401"/>
      <c r="H313" s="417"/>
      <c r="I313" s="405"/>
      <c r="J313" s="405"/>
      <c r="K313" s="406"/>
      <c r="L313" s="406"/>
      <c r="M313" s="406"/>
      <c r="N313" s="406"/>
      <c r="O313" s="406"/>
      <c r="P313" s="406"/>
    </row>
    <row r="314" spans="1:26" ht="19.5">
      <c r="A314" s="418"/>
      <c r="B314" s="408" t="s">
        <v>145</v>
      </c>
      <c r="C314" s="419"/>
      <c r="D314" s="420"/>
      <c r="E314" s="409"/>
      <c r="F314" s="409"/>
      <c r="G314" s="410"/>
      <c r="H314" s="411" t="s">
        <v>146</v>
      </c>
      <c r="I314" s="412">
        <f t="shared" ref="I314:J314" ca="1" si="168">I325</f>
        <v>3</v>
      </c>
      <c r="J314" s="412">
        <f t="shared" ca="1" si="168"/>
        <v>0</v>
      </c>
      <c r="K314" s="413">
        <f ca="1">IF(I314&gt;0,J314*100/I314,0)</f>
        <v>0</v>
      </c>
      <c r="L314" s="414"/>
      <c r="M314" s="414"/>
      <c r="N314" s="414"/>
      <c r="O314" s="414"/>
      <c r="P314" s="414"/>
    </row>
    <row r="315" spans="1:26" ht="19.5">
      <c r="A315" s="147"/>
      <c r="B315" s="148"/>
      <c r="C315" s="149" t="s">
        <v>16</v>
      </c>
      <c r="D315" s="150" t="s">
        <v>17</v>
      </c>
      <c r="E315" s="148"/>
      <c r="F315" s="148"/>
      <c r="G315" s="151"/>
      <c r="H315" s="152" t="s">
        <v>12</v>
      </c>
      <c r="I315" s="153"/>
      <c r="J315" s="153"/>
      <c r="K315" s="154"/>
      <c r="L315" s="155">
        <f t="shared" ref="L315:N315" ca="1" si="169">L316+L317</f>
        <v>459000</v>
      </c>
      <c r="M315" s="155">
        <f t="shared" si="169"/>
        <v>0</v>
      </c>
      <c r="N315" s="155">
        <f t="shared" ca="1" si="169"/>
        <v>57036</v>
      </c>
      <c r="O315" s="155">
        <f t="shared" ref="O315:O323" ca="1" si="170">IF(L315&gt;0,N315*100/L315,0)</f>
        <v>12.426143790849673</v>
      </c>
      <c r="P315" s="155">
        <f t="shared" ref="P315:P319" si="171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41" t="s">
        <v>18</v>
      </c>
      <c r="F316" s="40"/>
      <c r="G316" s="157"/>
      <c r="H316" s="158" t="s">
        <v>12</v>
      </c>
      <c r="I316" s="44"/>
      <c r="J316" s="44"/>
      <c r="K316" s="45"/>
      <c r="L316" s="45">
        <f t="shared" ref="L316:L317" si="172">L319+L322</f>
        <v>0</v>
      </c>
      <c r="M316" s="45">
        <f>M319+M462</f>
        <v>0</v>
      </c>
      <c r="N316" s="45">
        <f t="shared" ref="N316:N317" si="173">N319+N322</f>
        <v>0</v>
      </c>
      <c r="O316" s="45">
        <f t="shared" si="170"/>
        <v>0</v>
      </c>
      <c r="P316" s="45">
        <f t="shared" si="171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41" t="s">
        <v>19</v>
      </c>
      <c r="F317" s="40"/>
      <c r="G317" s="157"/>
      <c r="H317" s="158" t="s">
        <v>12</v>
      </c>
      <c r="I317" s="44"/>
      <c r="J317" s="44"/>
      <c r="K317" s="45"/>
      <c r="L317" s="45">
        <f t="shared" ca="1" si="172"/>
        <v>459000</v>
      </c>
      <c r="M317" s="45">
        <f>M460+M463</f>
        <v>0</v>
      </c>
      <c r="N317" s="45">
        <f t="shared" ca="1" si="173"/>
        <v>57036</v>
      </c>
      <c r="O317" s="45">
        <f t="shared" ca="1" si="170"/>
        <v>12.426143790849673</v>
      </c>
      <c r="P317" s="45">
        <f t="shared" si="171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>
      <c r="A318" s="159"/>
      <c r="B318" s="33"/>
      <c r="C318" s="160"/>
      <c r="D318" s="34" t="s">
        <v>20</v>
      </c>
      <c r="E318" s="33"/>
      <c r="F318" s="33"/>
      <c r="G318" s="35"/>
      <c r="H318" s="161" t="s">
        <v>12</v>
      </c>
      <c r="I318" s="162"/>
      <c r="J318" s="162"/>
      <c r="K318" s="163"/>
      <c r="L318" s="38">
        <f ca="1">L319+L320</f>
        <v>459000</v>
      </c>
      <c r="M318" s="38">
        <f>M319+M460</f>
        <v>0</v>
      </c>
      <c r="N318" s="38">
        <f ca="1">N319+N320</f>
        <v>57036</v>
      </c>
      <c r="O318" s="38">
        <f t="shared" ca="1" si="170"/>
        <v>12.426143790849673</v>
      </c>
      <c r="P318" s="38">
        <f t="shared" si="171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41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45">
        <f t="shared" si="170"/>
        <v>0</v>
      </c>
      <c r="P319" s="45">
        <f t="shared" si="171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41" t="s">
        <v>37</v>
      </c>
      <c r="F320" s="40"/>
      <c r="G320" s="157"/>
      <c r="H320" s="165" t="s">
        <v>12</v>
      </c>
      <c r="I320" s="166"/>
      <c r="J320" s="166"/>
      <c r="K320" s="167"/>
      <c r="L320" s="45">
        <f ca="1">IFERROR(__xludf.DUMMYFUNCTION("IMPORTRANGE(""https://docs.google.com/spreadsheets/d/1KxicF4apzSqm0-jIpmueT4kyZtE-Cwn5zskl7GD4loQ/edit?usp=share_link"",""กำแพงเพชร!l320"")+IMPORTRANGE(""https://docs.google.com/spreadsheets/d/1ZNYWeiFoFA1K1U4xKWqRX29MBvEyRHXORjo734Gnq_c/edit?usp=share_li"&amp;"nk"",""เชียงราย!l320"")
+IMPORTRANGE(""https://docs.google.com/spreadsheets/d/1Jgv0Y7YlHDtsiDawwp-uvifEJ8HVaSn0k2aGHG8-hwM/edit?usp=share_link"",""เชียงใหม่!l320"")+IMPORTRANGE(""https://docs.google.com/spreadsheets/d/1JWG2rZePOz9pe-f-ObA-yDr0VoOX2kSb0qIi"&amp;"x2mTUo8/edit?usp=share_link"",""ตาก!l320"")+IMPORTRANGE(""https://docs.google.com/spreadsheets/d/10nSRjK08hx8Y6HgSOQKNw81lyY46Zc7U_Cj72hBMp9U/edit?usp=share_link"",""นครสวรรค์!l320"")+IMPORTRANGE(""https://docs.google.com/spreadsheets/d/1gFVb7qd7amutrIxAA"&amp;"oM7lcy35hllxznovot8lyOfvDo/edit?usp=share_link"",""น่าน!l320"")+IMPORTRANGE(""https://docs.google.com/spreadsheets/d/1K0Aa9s-6EuHE5M0FG1F9aHLXRCOV917xvycTdLdct0w/edit?usp=share_link"",""พะเยา!l320"")+IMPORTRANGE(""https://docs.google.com/spreadsheets/d/1Y"&amp;"9LPKx95PyL5OKy09d-KbKJSuuEZCFdkhYjwC0XQjBA/edit?usp=share_link"",""พิจิตร!l320"")+IMPORTRANGE(""https://docs.google.com/spreadsheets/d/16OMuOwy2eVqZcYWOouQtTpa8X1L23h4660uVHc0C8os/edit?usp=share_link"",""พิษณุโลก!l320"")+IMPORTRANGE(""https://docs.google."&amp;"com/spreadsheets/d/1GfgTldLG6k77HXaMQzaafODklYuucJZQNs_GAPEfZyY/edit?usp=share_link"",""เพชรบูรณ์!l320"")+IMPORTRANGE(""https://docs.google.com/spreadsheets/d/1gvTMYAnm7v1yG1BKWFtr0DnaTsq59oW9dwWvFgq6hs0/edit?usp=share_link"",""แพร่!l320"")+IMPORTRANGE("""&amp;"https://docs.google.com/spreadsheets/d/1Wbcosgy-Xa1xXUArJSOenub6EfZHUSzc_bpJFWwQUf0/edit?usp=share_link"",""แม่ฮ่องสอน!l320"")+IMPORTRANGE(""https://docs.google.com/spreadsheets/d/1p7ERhsr0qZeSn-KSOdeHS9r0heI-lHtkcn2OH7hP0jQ/edit?usp=share_link"",""ลำปาง!"&amp;"l320"")+IMPORTRANGE(""https://docs.google.com/spreadsheets/d/1-uUXvimVhiU2U0bMN-xi2te0tS4X7DI2GLPnMjzl8cA/edit?usp=share_link"",""ลำพูน!l320"")+IMPORTRANGE(""https://docs.google.com/spreadsheets/d/17HrOaa5pBUI1onckFfumXB8xlg35qb2uBAFfF1D-Myo/edit?usp=shar"&amp;"e_link"",""สุโขทัย!l320"")+IMPORTRANGE(""https://docs.google.com/spreadsheets/d/1ubs5cl16eYL9gHbdHTJtmtYb9MGzHBs7CAphn8kNCgM/edit?usp=share_link"",""อุตรดิตถ์!l320"")+IMPORTRANGE(""https://docs.google.com/spreadsheets/d/1kII0BjS6CtVrBvI8IrytgPdxDrlyQDyigz"&amp;"MsohRtDMs/edit?usp=share_link"",""อุทัยธานี!l320"")
"),459000)</f>
        <v>459000</v>
      </c>
      <c r="M320" s="45">
        <f ca="1">IFERROR(__xludf.DUMMYFUNCTION("IMPORTRANGE(""https://docs.google.com/spreadsheets/d/1KxicF4apzSqm0-jIpmueT4kyZtE-Cwn5zskl7GD4loQ/edit?usp=share_link"",""กำแพงเพชร!m320"")+IMPORTRANGE(""https://docs.google.com/spreadsheets/d/1ZNYWeiFoFA1K1U4xKWqRX29MBvEyRHXORjo734Gnq_c/edit?usp=share_li"&amp;"nk"",""เชียงราย!m320"")
+IMPORTRANGE(""https://docs.google.com/spreadsheets/d/1Jgv0Y7YlHDtsiDawwp-uvifEJ8HVaSn0k2aGHG8-hwM/edit?usp=share_link"",""เชียงใหม่!m320"")+IMPORTRANGE(""https://docs.google.com/spreadsheets/d/1JWG2rZePOz9pe-f-ObA-yDr0VoOX2kSb0qIi"&amp;"x2mTUo8/edit?usp=share_link"",""ตาก!m320"")+IMPORTRANGE(""https://docs.google.com/spreadsheets/d/10nSRjK08hx8Y6HgSOQKNw81lyY46Zc7U_Cj72hBMp9U/edit?usp=share_link"",""นครสวรรค์!m320"")+IMPORTRANGE(""https://docs.google.com/spreadsheets/d/1gFVb7qd7amutrIxAA"&amp;"oM7lcy35hllxznovot8lyOfvDo/edit?usp=share_link"",""น่าน!m320"")+IMPORTRANGE(""https://docs.google.com/spreadsheets/d/1K0Aa9s-6EuHE5M0FG1F9aHLXRCOV917xvycTdLdct0w/edit?usp=share_link"",""พะเยา!m320"")+IMPORTRANGE(""https://docs.google.com/spreadsheets/d/1Y"&amp;"9LPKx95PyL5OKy09d-KbKJSuuEZCFdkhYjwC0XQjBA/edit?usp=share_link"",""พิจิตร!m320"")+IMPORTRANGE(""https://docs.google.com/spreadsheets/d/16OMuOwy2eVqZcYWOouQtTpa8X1L23h4660uVHc0C8os/edit?usp=share_link"",""พิษณุโลก!m320"")+IMPORTRANGE(""https://docs.google."&amp;"com/spreadsheets/d/1GfgTldLG6k77HXaMQzaafODklYuucJZQNs_GAPEfZyY/edit?usp=share_link"",""เพชรบูรณ์!m320"")+IMPORTRANGE(""https://docs.google.com/spreadsheets/d/1gvTMYAnm7v1yG1BKWFtr0DnaTsq59oW9dwWvFgq6hs0/edit?usp=share_link"",""แพร่!m320"")+IMPORTRANGE("""&amp;"https://docs.google.com/spreadsheets/d/1Wbcosgy-Xa1xXUArJSOenub6EfZHUSzc_bpJFWwQUf0/edit?usp=share_link"",""แม่ฮ่องสอน!m320"")+IMPORTRANGE(""https://docs.google.com/spreadsheets/d/1p7ERhsr0qZeSn-KSOdeHS9r0heI-lHtkcn2OH7hP0jQ/edit?usp=share_link"",""ลำปาง!"&amp;"m320"")+IMPORTRANGE(""https://docs.google.com/spreadsheets/d/1-uUXvimVhiU2U0bMN-xi2te0tS4X7DI2GLPnMjzl8cA/edit?usp=share_link"",""ลำพูน!m320"")+IMPORTRANGE(""https://docs.google.com/spreadsheets/d/17HrOaa5pBUI1onckFfumXB8xlg35qb2uBAFfF1D-Myo/edit?usp=shar"&amp;"e_link"",""สุโขทัย!m320"")+IMPORTRANGE(""https://docs.google.com/spreadsheets/d/1ubs5cl16eYL9gHbdHTJtmtYb9MGzHBs7CAphn8kNCgM/edit?usp=share_link"",""อุตรดิตถ์!m320"")+IMPORTRANGE(""https://docs.google.com/spreadsheets/d/1kII0BjS6CtVrBvI8IrytgPdxDrlyQDyigz"&amp;"MsohRtDMs/edit?usp=share_link"",""อุทัยธานี!m320"")
"),216500)</f>
        <v>216500</v>
      </c>
      <c r="N320" s="45">
        <f ca="1">IFERROR(__xludf.DUMMYFUNCTION("IMPORTRANGE(""https://docs.google.com/spreadsheets/d/1KxicF4apzSqm0-jIpmueT4kyZtE-Cwn5zskl7GD4loQ/edit?usp=share_link"",""กำแพงเพชร!n320"")+IMPORTRANGE(""https://docs.google.com/spreadsheets/d/1ZNYWeiFoFA1K1U4xKWqRX29MBvEyRHXORjo734Gnq_c/edit?usp=share_li"&amp;"nk"",""เชียงราย!n320"")
+IMPORTRANGE(""https://docs.google.com/spreadsheets/d/1Jgv0Y7YlHDtsiDawwp-uvifEJ8HVaSn0k2aGHG8-hwM/edit?usp=share_link"",""เชียงใหม่!n320"")+IMPORTRANGE(""https://docs.google.com/spreadsheets/d/1JWG2rZePOz9pe-f-ObA-yDr0VoOX2kSb0qIi"&amp;"x2mTUo8/edit?usp=share_link"",""ตาก!n320"")+IMPORTRANGE(""https://docs.google.com/spreadsheets/d/10nSRjK08hx8Y6HgSOQKNw81lyY46Zc7U_Cj72hBMp9U/edit?usp=share_link"",""นครสวรรค์!n320"")+IMPORTRANGE(""https://docs.google.com/spreadsheets/d/1gFVb7qd7amutrIxAA"&amp;"oM7lcy35hllxznovot8lyOfvDo/edit?usp=share_link"",""น่าน!n320"")+IMPORTRANGE(""https://docs.google.com/spreadsheets/d/1K0Aa9s-6EuHE5M0FG1F9aHLXRCOV917xvycTdLdct0w/edit?usp=share_link"",""พะเยา!n320"")+IMPORTRANGE(""https://docs.google.com/spreadsheets/d/1Y"&amp;"9LPKx95PyL5OKy09d-KbKJSuuEZCFdkhYjwC0XQjBA/edit?usp=share_link"",""พิจิตร!n320"")+IMPORTRANGE(""https://docs.google.com/spreadsheets/d/16OMuOwy2eVqZcYWOouQtTpa8X1L23h4660uVHc0C8os/edit?usp=share_link"",""พิษณุโลก!n320"")+IMPORTRANGE(""https://docs.google."&amp;"com/spreadsheets/d/1GfgTldLG6k77HXaMQzaafODklYuucJZQNs_GAPEfZyY/edit?usp=share_link"",""เพชรบูรณ์!n320"")+IMPORTRANGE(""https://docs.google.com/spreadsheets/d/1gvTMYAnm7v1yG1BKWFtr0DnaTsq59oW9dwWvFgq6hs0/edit?usp=share_link"",""แพร่!n320"")+IMPORTRANGE("""&amp;"https://docs.google.com/spreadsheets/d/1Wbcosgy-Xa1xXUArJSOenub6EfZHUSzc_bpJFWwQUf0/edit?usp=share_link"",""แม่ฮ่องสอน!n320"")+IMPORTRANGE(""https://docs.google.com/spreadsheets/d/1p7ERhsr0qZeSn-KSOdeHS9r0heI-lHtkcn2OH7hP0jQ/edit?usp=share_link"",""ลำปาง!"&amp;"n320"")+IMPORTRANGE(""https://docs.google.com/spreadsheets/d/1-uUXvimVhiU2U0bMN-xi2te0tS4X7DI2GLPnMjzl8cA/edit?usp=share_link"",""ลำพูน!n320"")+IMPORTRANGE(""https://docs.google.com/spreadsheets/d/17HrOaa5pBUI1onckFfumXB8xlg35qb2uBAFfF1D-Myo/edit?usp=shar"&amp;"e_link"",""สุโขทัย!n320"")+IMPORTRANGE(""https://docs.google.com/spreadsheets/d/1ubs5cl16eYL9gHbdHTJtmtYb9MGzHBs7CAphn8kNCgM/edit?usp=share_link"",""อุตรดิตถ์!n320"")+IMPORTRANGE(""https://docs.google.com/spreadsheets/d/1kII0BjS6CtVrBvI8IrytgPdxDrlyQDyigz"&amp;"MsohRtDMs/edit?usp=share_link"",""อุทัยธานี!n320"")
"),57036)</f>
        <v>57036</v>
      </c>
      <c r="O320" s="45">
        <f t="shared" ca="1" si="170"/>
        <v>12.426143790849673</v>
      </c>
      <c r="P320" s="45">
        <f t="shared" ref="P320:P323" si="174">IF(M460&gt;0,N320*100/M460,0)</f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>
      <c r="A321" s="159"/>
      <c r="B321" s="33"/>
      <c r="C321" s="160"/>
      <c r="D321" s="34" t="s">
        <v>21</v>
      </c>
      <c r="E321" s="33"/>
      <c r="F321" s="33"/>
      <c r="G321" s="35"/>
      <c r="H321" s="168" t="s">
        <v>12</v>
      </c>
      <c r="I321" s="162"/>
      <c r="J321" s="162"/>
      <c r="K321" s="163"/>
      <c r="L321" s="38">
        <f ca="1">L322+L323</f>
        <v>0</v>
      </c>
      <c r="M321" s="38">
        <f>M462+M463</f>
        <v>0</v>
      </c>
      <c r="N321" s="38">
        <f ca="1">N322+N323</f>
        <v>0</v>
      </c>
      <c r="O321" s="38">
        <f t="shared" ca="1" si="170"/>
        <v>0</v>
      </c>
      <c r="P321" s="38">
        <f t="shared" si="174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41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45">
        <f t="shared" si="170"/>
        <v>0</v>
      </c>
      <c r="P322" s="45">
        <f t="shared" si="174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41" t="s">
        <v>19</v>
      </c>
      <c r="F323" s="40"/>
      <c r="G323" s="157"/>
      <c r="H323" s="169" t="s">
        <v>12</v>
      </c>
      <c r="I323" s="166"/>
      <c r="J323" s="166"/>
      <c r="K323" s="167"/>
      <c r="L323" s="45">
        <f ca="1">IFERROR(__xludf.DUMMYFUNCTION("IMPORTRANGE(""https://docs.google.com/spreadsheets/d/1KxicF4apzSqm0-jIpmueT4kyZtE-Cwn5zskl7GD4loQ/edit?usp=share_link"",""กำแพงเพชร!l323"")+IMPORTRANGE(""https://docs.google.com/spreadsheets/d/1ZNYWeiFoFA1K1U4xKWqRX29MBvEyRHXORjo734Gnq_c/edit?usp=share_li"&amp;"nk"",""เชียงราย!l323"")
+IMPORTRANGE(""https://docs.google.com/spreadsheets/d/1Jgv0Y7YlHDtsiDawwp-uvifEJ8HVaSn0k2aGHG8-hwM/edit?usp=share_link"",""เชียงใหม่!l323"")+IMPORTRANGE(""https://docs.google.com/spreadsheets/d/1JWG2rZePOz9pe-f-ObA-yDr0VoOX2kSb0qIi"&amp;"x2mTUo8/edit?usp=share_link"",""ตาก!l323"")+IMPORTRANGE(""https://docs.google.com/spreadsheets/d/10nSRjK08hx8Y6HgSOQKNw81lyY46Zc7U_Cj72hBMp9U/edit?usp=share_link"",""นครสวรรค์!l323"")+IMPORTRANGE(""https://docs.google.com/spreadsheets/d/1gFVb7qd7amutrIxAA"&amp;"oM7lcy35hllxznovot8lyOfvDo/edit?usp=share_link"",""น่าน!l323"")+IMPORTRANGE(""https://docs.google.com/spreadsheets/d/1K0Aa9s-6EuHE5M0FG1F9aHLXRCOV917xvycTdLdct0w/edit?usp=share_link"",""พะเยา!l323"")+IMPORTRANGE(""https://docs.google.com/spreadsheets/d/1Y"&amp;"9LPKx95PyL5OKy09d-KbKJSuuEZCFdkhYjwC0XQjBA/edit?usp=share_link"",""พิจิตร!l323"")+IMPORTRANGE(""https://docs.google.com/spreadsheets/d/16OMuOwy2eVqZcYWOouQtTpa8X1L23h4660uVHc0C8os/edit?usp=share_link"",""พิษณุโลก!l323"")+IMPORTRANGE(""https://docs.google."&amp;"com/spreadsheets/d/1GfgTldLG6k77HXaMQzaafODklYuucJZQNs_GAPEfZyY/edit?usp=share_link"",""เพชรบูรณ์!l323"")+IMPORTRANGE(""https://docs.google.com/spreadsheets/d/1gvTMYAnm7v1yG1BKWFtr0DnaTsq59oW9dwWvFgq6hs0/edit?usp=share_link"",""แพร่!l323"")+IMPORTRANGE("""&amp;"https://docs.google.com/spreadsheets/d/1Wbcosgy-Xa1xXUArJSOenub6EfZHUSzc_bpJFWwQUf0/edit?usp=share_link"",""แม่ฮ่องสอน!l323"")+IMPORTRANGE(""https://docs.google.com/spreadsheets/d/1p7ERhsr0qZeSn-KSOdeHS9r0heI-lHtkcn2OH7hP0jQ/edit?usp=share_link"",""ลำปาง!"&amp;"l323"")+IMPORTRANGE(""https://docs.google.com/spreadsheets/d/1-uUXvimVhiU2U0bMN-xi2te0tS4X7DI2GLPnMjzl8cA/edit?usp=share_link"",""ลำพูน!l323"")+IMPORTRANGE(""https://docs.google.com/spreadsheets/d/17HrOaa5pBUI1onckFfumXB8xlg35qb2uBAFfF1D-Myo/edit?usp=shar"&amp;"e_link"",""สุโขทัย!l323"")+IMPORTRANGE(""https://docs.google.com/spreadsheets/d/1ubs5cl16eYL9gHbdHTJtmtYb9MGzHBs7CAphn8kNCgM/edit?usp=share_link"",""อุตรดิตถ์!l323"")+IMPORTRANGE(""https://docs.google.com/spreadsheets/d/1kII0BjS6CtVrBvI8IrytgPdxDrlyQDyigz"&amp;"MsohRtDMs/edit?usp=share_link"",""อุทัยธานี!l323"")
"),0)</f>
        <v>0</v>
      </c>
      <c r="M323" s="45">
        <f ca="1">IFERROR(__xludf.DUMMYFUNCTION("IMPORTRANGE(""https://docs.google.com/spreadsheets/d/1KxicF4apzSqm0-jIpmueT4kyZtE-Cwn5zskl7GD4loQ/edit?usp=share_link"",""กำแพงเพชร!m323"")+IMPORTRANGE(""https://docs.google.com/spreadsheets/d/1ZNYWeiFoFA1K1U4xKWqRX29MBvEyRHXORjo734Gnq_c/edit?usp=share_li"&amp;"nk"",""เชียงราย!m323"")
+IMPORTRANGE(""https://docs.google.com/spreadsheets/d/1Jgv0Y7YlHDtsiDawwp-uvifEJ8HVaSn0k2aGHG8-hwM/edit?usp=share_link"",""เชียงใหม่!m323"")+IMPORTRANGE(""https://docs.google.com/spreadsheets/d/1JWG2rZePOz9pe-f-ObA-yDr0VoOX2kSb0qIi"&amp;"x2mTUo8/edit?usp=share_link"",""ตาก!m323"")+IMPORTRANGE(""https://docs.google.com/spreadsheets/d/10nSRjK08hx8Y6HgSOQKNw81lyY46Zc7U_Cj72hBMp9U/edit?usp=share_link"",""นครสวรรค์!m323"")+IMPORTRANGE(""https://docs.google.com/spreadsheets/d/1gFVb7qd7amutrIxAA"&amp;"oM7lcy35hllxznovot8lyOfvDo/edit?usp=share_link"",""น่าน!m323"")+IMPORTRANGE(""https://docs.google.com/spreadsheets/d/1K0Aa9s-6EuHE5M0FG1F9aHLXRCOV917xvycTdLdct0w/edit?usp=share_link"",""พะเยา!m323"")+IMPORTRANGE(""https://docs.google.com/spreadsheets/d/1Y"&amp;"9LPKx95PyL5OKy09d-KbKJSuuEZCFdkhYjwC0XQjBA/edit?usp=share_link"",""พิจิตร!m323"")+IMPORTRANGE(""https://docs.google.com/spreadsheets/d/16OMuOwy2eVqZcYWOouQtTpa8X1L23h4660uVHc0C8os/edit?usp=share_link"",""พิษณุโลก!m323"")+IMPORTRANGE(""https://docs.google."&amp;"com/spreadsheets/d/1GfgTldLG6k77HXaMQzaafODklYuucJZQNs_GAPEfZyY/edit?usp=share_link"",""เพชรบูรณ์!m323"")+IMPORTRANGE(""https://docs.google.com/spreadsheets/d/1gvTMYAnm7v1yG1BKWFtr0DnaTsq59oW9dwWvFgq6hs0/edit?usp=share_link"",""แพร่!m323"")+IMPORTRANGE("""&amp;"https://docs.google.com/spreadsheets/d/1Wbcosgy-Xa1xXUArJSOenub6EfZHUSzc_bpJFWwQUf0/edit?usp=share_link"",""แม่ฮ่องสอน!m323"")+IMPORTRANGE(""https://docs.google.com/spreadsheets/d/1p7ERhsr0qZeSn-KSOdeHS9r0heI-lHtkcn2OH7hP0jQ/edit?usp=share_link"",""ลำปาง!"&amp;"m323"")+IMPORTRANGE(""https://docs.google.com/spreadsheets/d/1-uUXvimVhiU2U0bMN-xi2te0tS4X7DI2GLPnMjzl8cA/edit?usp=share_link"",""ลำพูน!m323"")+IMPORTRANGE(""https://docs.google.com/spreadsheets/d/17HrOaa5pBUI1onckFfumXB8xlg35qb2uBAFfF1D-Myo/edit?usp=shar"&amp;"e_link"",""สุโขทัย!m323"")+IMPORTRANGE(""https://docs.google.com/spreadsheets/d/1ubs5cl16eYL9gHbdHTJtmtYb9MGzHBs7CAphn8kNCgM/edit?usp=share_link"",""อุตรดิตถ์!m323"")+IMPORTRANGE(""https://docs.google.com/spreadsheets/d/1kII0BjS6CtVrBvI8IrytgPdxDrlyQDyigz"&amp;"MsohRtDMs/edit?usp=share_link"",""อุทัยธานี!m323"")
"),0)</f>
        <v>0</v>
      </c>
      <c r="N323" s="45">
        <f ca="1">IFERROR(__xludf.DUMMYFUNCTION("IMPORTRANGE(""https://docs.google.com/spreadsheets/d/1KxicF4apzSqm0-jIpmueT4kyZtE-Cwn5zskl7GD4loQ/edit?usp=share_link"",""กำแพงเพชร!n323"")+IMPORTRANGE(""https://docs.google.com/spreadsheets/d/1ZNYWeiFoFA1K1U4xKWqRX29MBvEyRHXORjo734Gnq_c/edit?usp=share_li"&amp;"nk"",""เชียงราย!n323"")
+IMPORTRANGE(""https://docs.google.com/spreadsheets/d/1Jgv0Y7YlHDtsiDawwp-uvifEJ8HVaSn0k2aGHG8-hwM/edit?usp=share_link"",""เชียงใหม่!n323"")+IMPORTRANGE(""https://docs.google.com/spreadsheets/d/1JWG2rZePOz9pe-f-ObA-yDr0VoOX2kSb0qIi"&amp;"x2mTUo8/edit?usp=share_link"",""ตาก!n323"")+IMPORTRANGE(""https://docs.google.com/spreadsheets/d/10nSRjK08hx8Y6HgSOQKNw81lyY46Zc7U_Cj72hBMp9U/edit?usp=share_link"",""นครสวรรค์!n323"")+IMPORTRANGE(""https://docs.google.com/spreadsheets/d/1gFVb7qd7amutrIxAA"&amp;"oM7lcy35hllxznovot8lyOfvDo/edit?usp=share_link"",""น่าน!n323"")+IMPORTRANGE(""https://docs.google.com/spreadsheets/d/1K0Aa9s-6EuHE5M0FG1F9aHLXRCOV917xvycTdLdct0w/edit?usp=share_link"",""พะเยา!n323"")+IMPORTRANGE(""https://docs.google.com/spreadsheets/d/1Y"&amp;"9LPKx95PyL5OKy09d-KbKJSuuEZCFdkhYjwC0XQjBA/edit?usp=share_link"",""พิจิตร!n323"")+IMPORTRANGE(""https://docs.google.com/spreadsheets/d/16OMuOwy2eVqZcYWOouQtTpa8X1L23h4660uVHc0C8os/edit?usp=share_link"",""พิษณุโลก!n323"")+IMPORTRANGE(""https://docs.google."&amp;"com/spreadsheets/d/1GfgTldLG6k77HXaMQzaafODklYuucJZQNs_GAPEfZyY/edit?usp=share_link"",""เพชรบูรณ์!n323"")+IMPORTRANGE(""https://docs.google.com/spreadsheets/d/1gvTMYAnm7v1yG1BKWFtr0DnaTsq59oW9dwWvFgq6hs0/edit?usp=share_link"",""แพร่!n323"")+IMPORTRANGE("""&amp;"https://docs.google.com/spreadsheets/d/1Wbcosgy-Xa1xXUArJSOenub6EfZHUSzc_bpJFWwQUf0/edit?usp=share_link"",""แม่ฮ่องสอน!n323"")+IMPORTRANGE(""https://docs.google.com/spreadsheets/d/1p7ERhsr0qZeSn-KSOdeHS9r0heI-lHtkcn2OH7hP0jQ/edit?usp=share_link"",""ลำปาง!"&amp;"n323"")+IMPORTRANGE(""https://docs.google.com/spreadsheets/d/1-uUXvimVhiU2U0bMN-xi2te0tS4X7DI2GLPnMjzl8cA/edit?usp=share_link"",""ลำพูน!n323"")+IMPORTRANGE(""https://docs.google.com/spreadsheets/d/17HrOaa5pBUI1onckFfumXB8xlg35qb2uBAFfF1D-Myo/edit?usp=shar"&amp;"e_link"",""สุโขทัย!n323"")+IMPORTRANGE(""https://docs.google.com/spreadsheets/d/1ubs5cl16eYL9gHbdHTJtmtYb9MGzHBs7CAphn8kNCgM/edit?usp=share_link"",""อุตรดิตถ์!n323"")+IMPORTRANGE(""https://docs.google.com/spreadsheets/d/1kII0BjS6CtVrBvI8IrytgPdxDrlyQDyigz"&amp;"MsohRtDMs/edit?usp=share_link"",""อุทัยธานี!n323"")
"),0)</f>
        <v>0</v>
      </c>
      <c r="O323" s="45">
        <f t="shared" ca="1" si="170"/>
        <v>0</v>
      </c>
      <c r="P323" s="45">
        <f t="shared" si="174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>
      <c r="A324" s="170"/>
      <c r="B324" s="171"/>
      <c r="C324" s="164" t="s">
        <v>16</v>
      </c>
      <c r="D324" s="172" t="s">
        <v>38</v>
      </c>
      <c r="E324" s="173"/>
      <c r="F324" s="173"/>
      <c r="G324" s="174"/>
      <c r="H324" s="175"/>
      <c r="I324" s="162"/>
      <c r="J324" s="37"/>
      <c r="K324" s="38"/>
      <c r="L324" s="38"/>
      <c r="M324" s="38"/>
      <c r="N324" s="38"/>
      <c r="O324" s="163"/>
      <c r="P324" s="163"/>
    </row>
    <row r="325" spans="1:26" ht="18.75">
      <c r="A325" s="170"/>
      <c r="B325" s="171"/>
      <c r="C325" s="171"/>
      <c r="D325" s="176" t="s">
        <v>147</v>
      </c>
      <c r="E325" s="178"/>
      <c r="F325" s="181"/>
      <c r="G325" s="179"/>
      <c r="H325" s="36" t="s">
        <v>146</v>
      </c>
      <c r="I325" s="37">
        <f ca="1">IFERROR(__xludf.DUMMYFUNCTION("IMPORTRANGE(""https://docs.google.com/spreadsheets/d/1KxicF4apzSqm0-jIpmueT4kyZtE-Cwn5zskl7GD4loQ/edit?usp=share_link"",""กำแพงเพชร!I325"")+IMPORTRANGE(""https://docs.google.com/spreadsheets/d/1ZNYWeiFoFA1K1U4xKWqRX29MBvEyRHXORjo734Gnq_c/edit?usp=share_li"&amp;"nk"",""เชียงราย!I325"")
+IMPORTRANGE(""https://docs.google.com/spreadsheets/d/1Jgv0Y7YlHDtsiDawwp-uvifEJ8HVaSn0k2aGHG8-hwM/edit?usp=share_link"",""เชียงใหม่!I325"")+IMPORTRANGE(""https://docs.google.com/spreadsheets/d/1JWG2rZePOz9pe-f-ObA-yDr0VoOX2kSb0qIi"&amp;"x2mTUo8/edit?usp=share_link"",""ตาก!I325"")+IMPORTRANGE(""https://docs.google.com/spreadsheets/d/10nSRjK08hx8Y6HgSOQKNw81lyY46Zc7U_Cj72hBMp9U/edit?usp=share_link"",""นครสวรรค์!I325"")+IMPORTRANGE(""https://docs.google.com/spreadsheets/d/1gFVb7qd7amutrIxAA"&amp;"oM7lcy35hllxznovot8lyOfvDo/edit?usp=share_link"",""น่าน!I325"")+IMPORTRANGE(""https://docs.google.com/spreadsheets/d/1K0Aa9s-6EuHE5M0FG1F9aHLXRCOV917xvycTdLdct0w/edit?usp=share_link"",""พะเยา!I325"")+IMPORTRANGE(""https://docs.google.com/spreadsheets/d/1Y"&amp;"9LPKx95PyL5OKy09d-KbKJSuuEZCFdkhYjwC0XQjBA/edit?usp=share_link"",""พิจิตร!I325"")+IMPORTRANGE(""https://docs.google.com/spreadsheets/d/16OMuOwy2eVqZcYWOouQtTpa8X1L23h4660uVHc0C8os/edit?usp=share_link"",""พิษณุโลก!I325"")+IMPORTRANGE(""https://docs.google."&amp;"com/spreadsheets/d/1GfgTldLG6k77HXaMQzaafODklYuucJZQNs_GAPEfZyY/edit?usp=share_link"",""เพชรบูรณ์!I325"")+IMPORTRANGE(""https://docs.google.com/spreadsheets/d/1gvTMYAnm7v1yG1BKWFtr0DnaTsq59oW9dwWvFgq6hs0/edit?usp=share_link"",""แพร่!I325"")+IMPORTRANGE("""&amp;"https://docs.google.com/spreadsheets/d/1Wbcosgy-Xa1xXUArJSOenub6EfZHUSzc_bpJFWwQUf0/edit?usp=share_link"",""แม่ฮ่องสอน!I325"")+IMPORTRANGE(""https://docs.google.com/spreadsheets/d/1p7ERhsr0qZeSn-KSOdeHS9r0heI-lHtkcn2OH7hP0jQ/edit?usp=share_link"",""ลำปาง!"&amp;"I325"")+IMPORTRANGE(""https://docs.google.com/spreadsheets/d/1-uUXvimVhiU2U0bMN-xi2te0tS4X7DI2GLPnMjzl8cA/edit?usp=share_link"",""ลำพูน!I325"")+IMPORTRANGE(""https://docs.google.com/spreadsheets/d/17HrOaa5pBUI1onckFfumXB8xlg35qb2uBAFfF1D-Myo/edit?usp=shar"&amp;"e_link"",""สุโขทัย!I325"")+IMPORTRANGE(""https://docs.google.com/spreadsheets/d/1ubs5cl16eYL9gHbdHTJtmtYb9MGzHBs7CAphn8kNCgM/edit?usp=share_link"",""อุตรดิตถ์!I325"")+IMPORTRANGE(""https://docs.google.com/spreadsheets/d/1kII0BjS6CtVrBvI8IrytgPdxDrlyQDyigz"&amp;"MsohRtDMs/edit?usp=share_link"",""อุทัยธานี!I325"")
"),3)</f>
        <v>3</v>
      </c>
      <c r="J325" s="183">
        <f ca="1">IFERROR(__xludf.DUMMYFUNCTION("IMPORTRANGE(""https://docs.google.com/spreadsheets/d/1KxicF4apzSqm0-jIpmueT4kyZtE-Cwn5zskl7GD4loQ/edit?usp=share_link"",""กำแพงเพชร!J325"")+IMPORTRANGE(""https://docs.google.com/spreadsheets/d/1ZNYWeiFoFA1K1U4xKWqRX29MBvEyRHXORjo734Gnq_c/edit?usp=share_li"&amp;"nk"",""เชียงราย!J325"")
+IMPORTRANGE(""https://docs.google.com/spreadsheets/d/1Jgv0Y7YlHDtsiDawwp-uvifEJ8HVaSn0k2aGHG8-hwM/edit?usp=share_link"",""เชียงใหม่!J325"")+IMPORTRANGE(""https://docs.google.com/spreadsheets/d/1JWG2rZePOz9pe-f-ObA-yDr0VoOX2kSb0qIi"&amp;"x2mTUo8/edit?usp=share_link"",""ตาก!J325"")+IMPORTRANGE(""https://docs.google.com/spreadsheets/d/10nSRjK08hx8Y6HgSOQKNw81lyY46Zc7U_Cj72hBMp9U/edit?usp=share_link"",""นครสวรรค์!J325"")+IMPORTRANGE(""https://docs.google.com/spreadsheets/d/1gFVb7qd7amutrIxAA"&amp;"oM7lcy35hllxznovot8lyOfvDo/edit?usp=share_link"",""น่าน!J325"")+IMPORTRANGE(""https://docs.google.com/spreadsheets/d/1K0Aa9s-6EuHE5M0FG1F9aHLXRCOV917xvycTdLdct0w/edit?usp=share_link"",""พะเยา!J325"")+IMPORTRANGE(""https://docs.google.com/spreadsheets/d/1Y"&amp;"9LPKx95PyL5OKy09d-KbKJSuuEZCFdkhYjwC0XQjBA/edit?usp=share_link"",""พิจิตร!J325"")+IMPORTRANGE(""https://docs.google.com/spreadsheets/d/16OMuOwy2eVqZcYWOouQtTpa8X1L23h4660uVHc0C8os/edit?usp=share_link"",""พิษณุโลก!J325"")+IMPORTRANGE(""https://docs.google."&amp;"com/spreadsheets/d/1GfgTldLG6k77HXaMQzaafODklYuucJZQNs_GAPEfZyY/edit?usp=share_link"",""เพชรบูรณ์!J325"")+IMPORTRANGE(""https://docs.google.com/spreadsheets/d/1gvTMYAnm7v1yG1BKWFtr0DnaTsq59oW9dwWvFgq6hs0/edit?usp=share_link"",""แพร่!J325"")+IMPORTRANGE("""&amp;"https://docs.google.com/spreadsheets/d/1Wbcosgy-Xa1xXUArJSOenub6EfZHUSzc_bpJFWwQUf0/edit?usp=share_link"",""แม่ฮ่องสอน!J325"")+IMPORTRANGE(""https://docs.google.com/spreadsheets/d/1p7ERhsr0qZeSn-KSOdeHS9r0heI-lHtkcn2OH7hP0jQ/edit?usp=share_link"",""ลำปาง!"&amp;"J325"")+IMPORTRANGE(""https://docs.google.com/spreadsheets/d/1-uUXvimVhiU2U0bMN-xi2te0tS4X7DI2GLPnMjzl8cA/edit?usp=share_link"",""ลำพูน!J325"")+IMPORTRANGE(""https://docs.google.com/spreadsheets/d/17HrOaa5pBUI1onckFfumXB8xlg35qb2uBAFfF1D-Myo/edit?usp=shar"&amp;"e_link"",""สุโขทัย!J325"")+IMPORTRANGE(""https://docs.google.com/spreadsheets/d/1ubs5cl16eYL9gHbdHTJtmtYb9MGzHBs7CAphn8kNCgM/edit?usp=share_link"",""อุตรดิตถ์!J325"")+IMPORTRANGE(""https://docs.google.com/spreadsheets/d/1kII0BjS6CtVrBvI8IrytgPdxDrlyQDyigz"&amp;"MsohRtDMs/edit?usp=share_link"",""อุทัยธานี!J325"")
"),0)</f>
        <v>0</v>
      </c>
      <c r="K325" s="38">
        <f ca="1">IF(I325&gt;0,J325*100/I325,0)</f>
        <v>0</v>
      </c>
      <c r="L325" s="38"/>
      <c r="M325" s="38"/>
      <c r="N325" s="38"/>
      <c r="O325" s="163"/>
      <c r="P325" s="163"/>
    </row>
    <row r="326" spans="1:26" ht="19.5">
      <c r="A326" s="400" t="s">
        <v>148</v>
      </c>
      <c r="B326" s="401"/>
      <c r="C326" s="401"/>
      <c r="D326" s="402"/>
      <c r="E326" s="401"/>
      <c r="F326" s="401"/>
      <c r="G326" s="401"/>
      <c r="H326" s="417"/>
      <c r="I326" s="405"/>
      <c r="J326" s="405"/>
      <c r="K326" s="406"/>
      <c r="L326" s="406"/>
      <c r="M326" s="406"/>
      <c r="N326" s="406"/>
      <c r="O326" s="406"/>
      <c r="P326" s="406"/>
    </row>
    <row r="327" spans="1:26" ht="19.5">
      <c r="A327" s="407"/>
      <c r="B327" s="408" t="s">
        <v>149</v>
      </c>
      <c r="C327" s="420"/>
      <c r="D327" s="409"/>
      <c r="E327" s="409"/>
      <c r="F327" s="409"/>
      <c r="G327" s="410"/>
      <c r="H327" s="411" t="s">
        <v>35</v>
      </c>
      <c r="I327" s="412">
        <f ca="1">IFERROR(__xludf.DUMMYFUNCTION("IMPORTRANGE(""https://docs.google.com/spreadsheets/d/1KxicF4apzSqm0-jIpmueT4kyZtE-Cwn5zskl7GD4loQ/edit?usp=share_link"",""กำแพงเพชร!I327"")+IMPORTRANGE(""https://docs.google.com/spreadsheets/d/1ZNYWeiFoFA1K1U4xKWqRX29MBvEyRHXORjo734Gnq_c/edit?usp=share_li"&amp;"nk"",""เชียงราย!I327"")
+IMPORTRANGE(""https://docs.google.com/spreadsheets/d/1Jgv0Y7YlHDtsiDawwp-uvifEJ8HVaSn0k2aGHG8-hwM/edit?usp=share_link"",""เชียงใหม่!I327"")+IMPORTRANGE(""https://docs.google.com/spreadsheets/d/1JWG2rZePOz9pe-f-ObA-yDr0VoOX2kSb0qIi"&amp;"x2mTUo8/edit?usp=share_link"",""ตาก!I327"")+IMPORTRANGE(""https://docs.google.com/spreadsheets/d/10nSRjK08hx8Y6HgSOQKNw81lyY46Zc7U_Cj72hBMp9U/edit?usp=share_link"",""นครสวรรค์!I327"")+IMPORTRANGE(""https://docs.google.com/spreadsheets/d/1gFVb7qd7amutrIxAA"&amp;"oM7lcy35hllxznovot8lyOfvDo/edit?usp=share_link"",""น่าน!I327"")+IMPORTRANGE(""https://docs.google.com/spreadsheets/d/1K0Aa9s-6EuHE5M0FG1F9aHLXRCOV917xvycTdLdct0w/edit?usp=share_link"",""พะเยา!I327"")+IMPORTRANGE(""https://docs.google.com/spreadsheets/d/1Y"&amp;"9LPKx95PyL5OKy09d-KbKJSuuEZCFdkhYjwC0XQjBA/edit?usp=share_link"",""พิจิตร!I327"")+IMPORTRANGE(""https://docs.google.com/spreadsheets/d/16OMuOwy2eVqZcYWOouQtTpa8X1L23h4660uVHc0C8os/edit?usp=share_link"",""พิษณุโลก!I327"")+IMPORTRANGE(""https://docs.google."&amp;"com/spreadsheets/d/1GfgTldLG6k77HXaMQzaafODklYuucJZQNs_GAPEfZyY/edit?usp=share_link"",""เพชรบูรณ์!I327"")+IMPORTRANGE(""https://docs.google.com/spreadsheets/d/1gvTMYAnm7v1yG1BKWFtr0DnaTsq59oW9dwWvFgq6hs0/edit?usp=share_link"",""แพร่!I327"")+IMPORTRANGE("""&amp;"https://docs.google.com/spreadsheets/d/1Wbcosgy-Xa1xXUArJSOenub6EfZHUSzc_bpJFWwQUf0/edit?usp=share_link"",""แม่ฮ่องสอน!I327"")+IMPORTRANGE(""https://docs.google.com/spreadsheets/d/1p7ERhsr0qZeSn-KSOdeHS9r0heI-lHtkcn2OH7hP0jQ/edit?usp=share_link"",""ลำปาง!"&amp;"I327"")+IMPORTRANGE(""https://docs.google.com/spreadsheets/d/1-uUXvimVhiU2U0bMN-xi2te0tS4X7DI2GLPnMjzl8cA/edit?usp=share_link"",""ลำพูน!I327"")+IMPORTRANGE(""https://docs.google.com/spreadsheets/d/17HrOaa5pBUI1onckFfumXB8xlg35qb2uBAFfF1D-Myo/edit?usp=shar"&amp;"e_link"",""สุโขทัย!I327"")+IMPORTRANGE(""https://docs.google.com/spreadsheets/d/1ubs5cl16eYL9gHbdHTJtmtYb9MGzHBs7CAphn8kNCgM/edit?usp=share_link"",""อุตรดิตถ์!I327"")+IMPORTRANGE(""https://docs.google.com/spreadsheets/d/1kII0BjS6CtVrBvI8IrytgPdxDrlyQDyigz"&amp;"MsohRtDMs/edit?usp=share_link"",""อุทัยธานี!I327"")
"),46900)</f>
        <v>46900</v>
      </c>
      <c r="J327" s="412">
        <f ca="1">J338+J341+J342+J343</f>
        <v>15714</v>
      </c>
      <c r="K327" s="413">
        <f ca="1">IF(I327&gt;0,J327*100/I327,0)</f>
        <v>33.505330490405115</v>
      </c>
      <c r="L327" s="414"/>
      <c r="M327" s="414"/>
      <c r="N327" s="414"/>
      <c r="O327" s="414"/>
      <c r="P327" s="414"/>
    </row>
    <row r="328" spans="1:26" ht="19.5">
      <c r="A328" s="147"/>
      <c r="B328" s="148"/>
      <c r="C328" s="149" t="s">
        <v>16</v>
      </c>
      <c r="D328" s="150" t="s">
        <v>17</v>
      </c>
      <c r="E328" s="148"/>
      <c r="F328" s="148"/>
      <c r="G328" s="151"/>
      <c r="H328" s="152" t="s">
        <v>12</v>
      </c>
      <c r="I328" s="153"/>
      <c r="J328" s="153"/>
      <c r="K328" s="154"/>
      <c r="L328" s="155">
        <f ca="1">L329+L330</f>
        <v>3678600</v>
      </c>
      <c r="M328" s="155">
        <f ca="1">M469+M330</f>
        <v>1839300</v>
      </c>
      <c r="N328" s="155">
        <f ca="1">N329+N330</f>
        <v>373240.42</v>
      </c>
      <c r="O328" s="155">
        <f t="shared" ref="O328:O336" ca="1" si="175">IF(L328&gt;0,N328*100/L328,0)</f>
        <v>10.146262708639156</v>
      </c>
      <c r="P328" s="155">
        <f t="shared" ref="P328:P329" si="176">IF(M468&gt;0,N328*100/M468,0)</f>
        <v>0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41" t="s">
        <v>18</v>
      </c>
      <c r="F329" s="40"/>
      <c r="G329" s="157"/>
      <c r="H329" s="158" t="s">
        <v>12</v>
      </c>
      <c r="I329" s="44"/>
      <c r="J329" s="44"/>
      <c r="K329" s="45"/>
      <c r="L329" s="45">
        <f t="shared" ref="L329:N329" si="177">L332+L335</f>
        <v>0</v>
      </c>
      <c r="M329" s="45">
        <f t="shared" si="177"/>
        <v>0</v>
      </c>
      <c r="N329" s="45">
        <f t="shared" si="177"/>
        <v>0</v>
      </c>
      <c r="O329" s="45">
        <f t="shared" si="175"/>
        <v>0</v>
      </c>
      <c r="P329" s="45">
        <f t="shared" si="176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41" t="s">
        <v>19</v>
      </c>
      <c r="F330" s="40"/>
      <c r="G330" s="157"/>
      <c r="H330" s="158" t="s">
        <v>12</v>
      </c>
      <c r="I330" s="44"/>
      <c r="J330" s="44"/>
      <c r="K330" s="45"/>
      <c r="L330" s="45">
        <f t="shared" ref="L330:N330" ca="1" si="178">L333+L336</f>
        <v>3678600</v>
      </c>
      <c r="M330" s="45">
        <f t="shared" ca="1" si="178"/>
        <v>1839300</v>
      </c>
      <c r="N330" s="45">
        <f t="shared" ca="1" si="178"/>
        <v>373240.42</v>
      </c>
      <c r="O330" s="45">
        <f t="shared" ca="1" si="175"/>
        <v>10.146262708639156</v>
      </c>
      <c r="P330" s="45">
        <f t="shared" ref="P330:P336" ca="1" si="179">IF(M330&gt;0,N330*100/M330,0)</f>
        <v>20.292525417278313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160"/>
      <c r="D331" s="34" t="s">
        <v>20</v>
      </c>
      <c r="E331" s="33"/>
      <c r="F331" s="33"/>
      <c r="G331" s="35"/>
      <c r="H331" s="161" t="s">
        <v>12</v>
      </c>
      <c r="I331" s="162"/>
      <c r="J331" s="162"/>
      <c r="K331" s="163"/>
      <c r="L331" s="38">
        <f t="shared" ref="L331:N331" ca="1" si="180">L332+L333</f>
        <v>3678600</v>
      </c>
      <c r="M331" s="38">
        <f t="shared" ca="1" si="180"/>
        <v>1839300</v>
      </c>
      <c r="N331" s="38">
        <f t="shared" ca="1" si="180"/>
        <v>373240.42</v>
      </c>
      <c r="O331" s="38">
        <f t="shared" ca="1" si="175"/>
        <v>10.146262708639156</v>
      </c>
      <c r="P331" s="38">
        <f t="shared" ca="1" si="179"/>
        <v>20.292525417278313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41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45">
        <f t="shared" si="175"/>
        <v>0</v>
      </c>
      <c r="P332" s="45">
        <f t="shared" si="179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41" t="s">
        <v>37</v>
      </c>
      <c r="F333" s="40"/>
      <c r="G333" s="157"/>
      <c r="H333" s="165" t="s">
        <v>12</v>
      </c>
      <c r="I333" s="166"/>
      <c r="J333" s="166"/>
      <c r="K333" s="167"/>
      <c r="L333" s="45">
        <f ca="1">IFERROR(__xludf.DUMMYFUNCTION("IMPORTRANGE(""https://docs.google.com/spreadsheets/d/1KxicF4apzSqm0-jIpmueT4kyZtE-Cwn5zskl7GD4loQ/edit?usp=share_link"",""กำแพงเพชร!l333"")+IMPORTRANGE(""https://docs.google.com/spreadsheets/d/1ZNYWeiFoFA1K1U4xKWqRX29MBvEyRHXORjo734Gnq_c/edit?usp=share_li"&amp;"nk"",""เชียงราย!l333"")
+IMPORTRANGE(""https://docs.google.com/spreadsheets/d/1Jgv0Y7YlHDtsiDawwp-uvifEJ8HVaSn0k2aGHG8-hwM/edit?usp=share_link"",""เชียงใหม่!l333"")+IMPORTRANGE(""https://docs.google.com/spreadsheets/d/1JWG2rZePOz9pe-f-ObA-yDr0VoOX2kSb0qIi"&amp;"x2mTUo8/edit?usp=share_link"",""ตาก!l333"")+IMPORTRANGE(""https://docs.google.com/spreadsheets/d/10nSRjK08hx8Y6HgSOQKNw81lyY46Zc7U_Cj72hBMp9U/edit?usp=share_link"",""นครสวรรค์!l333"")+IMPORTRANGE(""https://docs.google.com/spreadsheets/d/1gFVb7qd7amutrIxAA"&amp;"oM7lcy35hllxznovot8lyOfvDo/edit?usp=share_link"",""น่าน!l333"")+IMPORTRANGE(""https://docs.google.com/spreadsheets/d/1K0Aa9s-6EuHE5M0FG1F9aHLXRCOV917xvycTdLdct0w/edit?usp=share_link"",""พะเยา!l333"")+IMPORTRANGE(""https://docs.google.com/spreadsheets/d/1Y"&amp;"9LPKx95PyL5OKy09d-KbKJSuuEZCFdkhYjwC0XQjBA/edit?usp=share_link"",""พิจิตร!l333"")+IMPORTRANGE(""https://docs.google.com/spreadsheets/d/16OMuOwy2eVqZcYWOouQtTpa8X1L23h4660uVHc0C8os/edit?usp=share_link"",""พิษณุโลก!l333"")+IMPORTRANGE(""https://docs.google."&amp;"com/spreadsheets/d/1GfgTldLG6k77HXaMQzaafODklYuucJZQNs_GAPEfZyY/edit?usp=share_link"",""เพชรบูรณ์!l333"")+IMPORTRANGE(""https://docs.google.com/spreadsheets/d/1gvTMYAnm7v1yG1BKWFtr0DnaTsq59oW9dwWvFgq6hs0/edit?usp=share_link"",""แพร่!l333"")+IMPORTRANGE("""&amp;"https://docs.google.com/spreadsheets/d/1Wbcosgy-Xa1xXUArJSOenub6EfZHUSzc_bpJFWwQUf0/edit?usp=share_link"",""แม่ฮ่องสอน!l333"")+IMPORTRANGE(""https://docs.google.com/spreadsheets/d/1p7ERhsr0qZeSn-KSOdeHS9r0heI-lHtkcn2OH7hP0jQ/edit?usp=share_link"",""ลำปาง!"&amp;"l333"")+IMPORTRANGE(""https://docs.google.com/spreadsheets/d/1-uUXvimVhiU2U0bMN-xi2te0tS4X7DI2GLPnMjzl8cA/edit?usp=share_link"",""ลำพูน!l333"")+IMPORTRANGE(""https://docs.google.com/spreadsheets/d/17HrOaa5pBUI1onckFfumXB8xlg35qb2uBAFfF1D-Myo/edit?usp=shar"&amp;"e_link"",""สุโขทัย!l333"")+IMPORTRANGE(""https://docs.google.com/spreadsheets/d/1ubs5cl16eYL9gHbdHTJtmtYb9MGzHBs7CAphn8kNCgM/edit?usp=share_link"",""อุตรดิตถ์!l333"")+IMPORTRANGE(""https://docs.google.com/spreadsheets/d/1kII0BjS6CtVrBvI8IrytgPdxDrlyQDyigz"&amp;"MsohRtDMs/edit?usp=share_link"",""อุทัยธานี!l333"")
"),3678600)</f>
        <v>3678600</v>
      </c>
      <c r="M333" s="45">
        <f ca="1">IFERROR(__xludf.DUMMYFUNCTION("IMPORTRANGE(""https://docs.google.com/spreadsheets/d/1KxicF4apzSqm0-jIpmueT4kyZtE-Cwn5zskl7GD4loQ/edit?usp=share_link"",""กำแพงเพชร!m333"")+IMPORTRANGE(""https://docs.google.com/spreadsheets/d/1ZNYWeiFoFA1K1U4xKWqRX29MBvEyRHXORjo734Gnq_c/edit?usp=share_li"&amp;"nk"",""เชียงราย!m333"")
+IMPORTRANGE(""https://docs.google.com/spreadsheets/d/1Jgv0Y7YlHDtsiDawwp-uvifEJ8HVaSn0k2aGHG8-hwM/edit?usp=share_link"",""เชียงใหม่!m333"")+IMPORTRANGE(""https://docs.google.com/spreadsheets/d/1JWG2rZePOz9pe-f-ObA-yDr0VoOX2kSb0qIi"&amp;"x2mTUo8/edit?usp=share_link"",""ตาก!m333"")+IMPORTRANGE(""https://docs.google.com/spreadsheets/d/10nSRjK08hx8Y6HgSOQKNw81lyY46Zc7U_Cj72hBMp9U/edit?usp=share_link"",""นครสวรรค์!m333"")+IMPORTRANGE(""https://docs.google.com/spreadsheets/d/1gFVb7qd7amutrIxAA"&amp;"oM7lcy35hllxznovot8lyOfvDo/edit?usp=share_link"",""น่าน!m333"")+IMPORTRANGE(""https://docs.google.com/spreadsheets/d/1K0Aa9s-6EuHE5M0FG1F9aHLXRCOV917xvycTdLdct0w/edit?usp=share_link"",""พะเยา!m333"")+IMPORTRANGE(""https://docs.google.com/spreadsheets/d/1Y"&amp;"9LPKx95PyL5OKy09d-KbKJSuuEZCFdkhYjwC0XQjBA/edit?usp=share_link"",""พิจิตร!m333"")+IMPORTRANGE(""https://docs.google.com/spreadsheets/d/16OMuOwy2eVqZcYWOouQtTpa8X1L23h4660uVHc0C8os/edit?usp=share_link"",""พิษณุโลก!m333"")+IMPORTRANGE(""https://docs.google."&amp;"com/spreadsheets/d/1GfgTldLG6k77HXaMQzaafODklYuucJZQNs_GAPEfZyY/edit?usp=share_link"",""เพชรบูรณ์!m333"")+IMPORTRANGE(""https://docs.google.com/spreadsheets/d/1gvTMYAnm7v1yG1BKWFtr0DnaTsq59oW9dwWvFgq6hs0/edit?usp=share_link"",""แพร่!m333"")+IMPORTRANGE("""&amp;"https://docs.google.com/spreadsheets/d/1Wbcosgy-Xa1xXUArJSOenub6EfZHUSzc_bpJFWwQUf0/edit?usp=share_link"",""แม่ฮ่องสอน!m333"")+IMPORTRANGE(""https://docs.google.com/spreadsheets/d/1p7ERhsr0qZeSn-KSOdeHS9r0heI-lHtkcn2OH7hP0jQ/edit?usp=share_link"",""ลำปาง!"&amp;"m333"")+IMPORTRANGE(""https://docs.google.com/spreadsheets/d/1-uUXvimVhiU2U0bMN-xi2te0tS4X7DI2GLPnMjzl8cA/edit?usp=share_link"",""ลำพูน!m333"")+IMPORTRANGE(""https://docs.google.com/spreadsheets/d/17HrOaa5pBUI1onckFfumXB8xlg35qb2uBAFfF1D-Myo/edit?usp=shar"&amp;"e_link"",""สุโขทัย!m333"")+IMPORTRANGE(""https://docs.google.com/spreadsheets/d/1ubs5cl16eYL9gHbdHTJtmtYb9MGzHBs7CAphn8kNCgM/edit?usp=share_link"",""อุตรดิตถ์!m333"")+IMPORTRANGE(""https://docs.google.com/spreadsheets/d/1kII0BjS6CtVrBvI8IrytgPdxDrlyQDyigz"&amp;"MsohRtDMs/edit?usp=share_link"",""อุทัยธานี!m333"")
"),1839300)</f>
        <v>1839300</v>
      </c>
      <c r="N333" s="45">
        <f ca="1">IFERROR(__xludf.DUMMYFUNCTION("IMPORTRANGE(""https://docs.google.com/spreadsheets/d/1KxicF4apzSqm0-jIpmueT4kyZtE-Cwn5zskl7GD4loQ/edit?usp=share_link"",""กำแพงเพชร!n333"")+IMPORTRANGE(""https://docs.google.com/spreadsheets/d/1ZNYWeiFoFA1K1U4xKWqRX29MBvEyRHXORjo734Gnq_c/edit?usp=share_li"&amp;"nk"",""เชียงราย!n333"")
+IMPORTRANGE(""https://docs.google.com/spreadsheets/d/1Jgv0Y7YlHDtsiDawwp-uvifEJ8HVaSn0k2aGHG8-hwM/edit?usp=share_link"",""เชียงใหม่!n333"")+IMPORTRANGE(""https://docs.google.com/spreadsheets/d/1JWG2rZePOz9pe-f-ObA-yDr0VoOX2kSb0qIi"&amp;"x2mTUo8/edit?usp=share_link"",""ตาก!n333"")+IMPORTRANGE(""https://docs.google.com/spreadsheets/d/10nSRjK08hx8Y6HgSOQKNw81lyY46Zc7U_Cj72hBMp9U/edit?usp=share_link"",""นครสวรรค์!n333"")+IMPORTRANGE(""https://docs.google.com/spreadsheets/d/1gFVb7qd7amutrIxAA"&amp;"oM7lcy35hllxznovot8lyOfvDo/edit?usp=share_link"",""น่าน!n333"")+IMPORTRANGE(""https://docs.google.com/spreadsheets/d/1K0Aa9s-6EuHE5M0FG1F9aHLXRCOV917xvycTdLdct0w/edit?usp=share_link"",""พะเยา!n333"")+IMPORTRANGE(""https://docs.google.com/spreadsheets/d/1Y"&amp;"9LPKx95PyL5OKy09d-KbKJSuuEZCFdkhYjwC0XQjBA/edit?usp=share_link"",""พิจิตร!n333"")+IMPORTRANGE(""https://docs.google.com/spreadsheets/d/16OMuOwy2eVqZcYWOouQtTpa8X1L23h4660uVHc0C8os/edit?usp=share_link"",""พิษณุโลก!n333"")+IMPORTRANGE(""https://docs.google."&amp;"com/spreadsheets/d/1GfgTldLG6k77HXaMQzaafODklYuucJZQNs_GAPEfZyY/edit?usp=share_link"",""เพชรบูรณ์!n333"")+IMPORTRANGE(""https://docs.google.com/spreadsheets/d/1gvTMYAnm7v1yG1BKWFtr0DnaTsq59oW9dwWvFgq6hs0/edit?usp=share_link"",""แพร่!n333"")+IMPORTRANGE("""&amp;"https://docs.google.com/spreadsheets/d/1Wbcosgy-Xa1xXUArJSOenub6EfZHUSzc_bpJFWwQUf0/edit?usp=share_link"",""แม่ฮ่องสอน!n333"")+IMPORTRANGE(""https://docs.google.com/spreadsheets/d/1p7ERhsr0qZeSn-KSOdeHS9r0heI-lHtkcn2OH7hP0jQ/edit?usp=share_link"",""ลำปาง!"&amp;"n333"")+IMPORTRANGE(""https://docs.google.com/spreadsheets/d/1-uUXvimVhiU2U0bMN-xi2te0tS4X7DI2GLPnMjzl8cA/edit?usp=share_link"",""ลำพูน!n333"")+IMPORTRANGE(""https://docs.google.com/spreadsheets/d/17HrOaa5pBUI1onckFfumXB8xlg35qb2uBAFfF1D-Myo/edit?usp=shar"&amp;"e_link"",""สุโขทัย!n333"")+IMPORTRANGE(""https://docs.google.com/spreadsheets/d/1ubs5cl16eYL9gHbdHTJtmtYb9MGzHBs7CAphn8kNCgM/edit?usp=share_link"",""อุตรดิตถ์!n333"")+IMPORTRANGE(""https://docs.google.com/spreadsheets/d/1kII0BjS6CtVrBvI8IrytgPdxDrlyQDyigz"&amp;"MsohRtDMs/edit?usp=share_link"",""อุทัยธานี!n333"")
"),373240.42)</f>
        <v>373240.42</v>
      </c>
      <c r="O333" s="45">
        <f t="shared" ca="1" si="175"/>
        <v>10.146262708639156</v>
      </c>
      <c r="P333" s="45">
        <f t="shared" ca="1" si="179"/>
        <v>20.292525417278313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160"/>
      <c r="D334" s="34" t="s">
        <v>21</v>
      </c>
      <c r="E334" s="33"/>
      <c r="F334" s="33"/>
      <c r="G334" s="35"/>
      <c r="H334" s="168" t="s">
        <v>12</v>
      </c>
      <c r="I334" s="162"/>
      <c r="J334" s="162"/>
      <c r="K334" s="163"/>
      <c r="L334" s="38">
        <f t="shared" ref="L334:N334" ca="1" si="181">L335+L336</f>
        <v>0</v>
      </c>
      <c r="M334" s="38">
        <f t="shared" ca="1" si="181"/>
        <v>0</v>
      </c>
      <c r="N334" s="38">
        <f t="shared" ca="1" si="181"/>
        <v>0</v>
      </c>
      <c r="O334" s="38">
        <f t="shared" ca="1" si="175"/>
        <v>0</v>
      </c>
      <c r="P334" s="38">
        <f t="shared" ca="1" si="179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41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45">
        <f t="shared" si="175"/>
        <v>0</v>
      </c>
      <c r="P335" s="45">
        <f t="shared" si="179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41" t="s">
        <v>19</v>
      </c>
      <c r="F336" s="40"/>
      <c r="G336" s="157"/>
      <c r="H336" s="169" t="s">
        <v>12</v>
      </c>
      <c r="I336" s="166"/>
      <c r="J336" s="166"/>
      <c r="K336" s="167"/>
      <c r="L336" s="45">
        <f ca="1">IFERROR(__xludf.DUMMYFUNCTION("IMPORTRANGE(""https://docs.google.com/spreadsheets/d/1KxicF4apzSqm0-jIpmueT4kyZtE-Cwn5zskl7GD4loQ/edit?usp=share_link"",""กำแพงเพชร!l336"")+IMPORTRANGE(""https://docs.google.com/spreadsheets/d/1ZNYWeiFoFA1K1U4xKWqRX29MBvEyRHXORjo734Gnq_c/edit?usp=share_li"&amp;"nk"",""เชียงราย!l336"")
+IMPORTRANGE(""https://docs.google.com/spreadsheets/d/1Jgv0Y7YlHDtsiDawwp-uvifEJ8HVaSn0k2aGHG8-hwM/edit?usp=share_link"",""เชียงใหม่!l336"")+IMPORTRANGE(""https://docs.google.com/spreadsheets/d/1JWG2rZePOz9pe-f-ObA-yDr0VoOX2kSb0qIi"&amp;"x2mTUo8/edit?usp=share_link"",""ตาก!l336"")+IMPORTRANGE(""https://docs.google.com/spreadsheets/d/10nSRjK08hx8Y6HgSOQKNw81lyY46Zc7U_Cj72hBMp9U/edit?usp=share_link"",""นครสวรรค์!l336"")+IMPORTRANGE(""https://docs.google.com/spreadsheets/d/1gFVb7qd7amutrIxAA"&amp;"oM7lcy35hllxznovot8lyOfvDo/edit?usp=share_link"",""น่าน!l336"")+IMPORTRANGE(""https://docs.google.com/spreadsheets/d/1K0Aa9s-6EuHE5M0FG1F9aHLXRCOV917xvycTdLdct0w/edit?usp=share_link"",""พะเยา!l336"")+IMPORTRANGE(""https://docs.google.com/spreadsheets/d/1Y"&amp;"9LPKx95PyL5OKy09d-KbKJSuuEZCFdkhYjwC0XQjBA/edit?usp=share_link"",""พิจิตร!l336"")+IMPORTRANGE(""https://docs.google.com/spreadsheets/d/16OMuOwy2eVqZcYWOouQtTpa8X1L23h4660uVHc0C8os/edit?usp=share_link"",""พิษณุโลก!l336"")+IMPORTRANGE(""https://docs.google."&amp;"com/spreadsheets/d/1GfgTldLG6k77HXaMQzaafODklYuucJZQNs_GAPEfZyY/edit?usp=share_link"",""เพชรบูรณ์!l336"")+IMPORTRANGE(""https://docs.google.com/spreadsheets/d/1gvTMYAnm7v1yG1BKWFtr0DnaTsq59oW9dwWvFgq6hs0/edit?usp=share_link"",""แพร่!l336"")+IMPORTRANGE("""&amp;"https://docs.google.com/spreadsheets/d/1Wbcosgy-Xa1xXUArJSOenub6EfZHUSzc_bpJFWwQUf0/edit?usp=share_link"",""แม่ฮ่องสอน!l336"")+IMPORTRANGE(""https://docs.google.com/spreadsheets/d/1p7ERhsr0qZeSn-KSOdeHS9r0heI-lHtkcn2OH7hP0jQ/edit?usp=share_link"",""ลำปาง!"&amp;"l336"")+IMPORTRANGE(""https://docs.google.com/spreadsheets/d/1-uUXvimVhiU2U0bMN-xi2te0tS4X7DI2GLPnMjzl8cA/edit?usp=share_link"",""ลำพูน!l336"")+IMPORTRANGE(""https://docs.google.com/spreadsheets/d/17HrOaa5pBUI1onckFfumXB8xlg35qb2uBAFfF1D-Myo/edit?usp=shar"&amp;"e_link"",""สุโขทัย!l336"")+IMPORTRANGE(""https://docs.google.com/spreadsheets/d/1ubs5cl16eYL9gHbdHTJtmtYb9MGzHBs7CAphn8kNCgM/edit?usp=share_link"",""อุตรดิตถ์!l336"")+IMPORTRANGE(""https://docs.google.com/spreadsheets/d/1kII0BjS6CtVrBvI8IrytgPdxDrlyQDyigz"&amp;"MsohRtDMs/edit?usp=share_link"",""อุทัยธานี!l336"")
"),0)</f>
        <v>0</v>
      </c>
      <c r="M336" s="45">
        <f ca="1">IFERROR(__xludf.DUMMYFUNCTION("IMPORTRANGE(""https://docs.google.com/spreadsheets/d/1KxicF4apzSqm0-jIpmueT4kyZtE-Cwn5zskl7GD4loQ/edit?usp=share_link"",""กำแพงเพชร!m336"")+IMPORTRANGE(""https://docs.google.com/spreadsheets/d/1ZNYWeiFoFA1K1U4xKWqRX29MBvEyRHXORjo734Gnq_c/edit?usp=share_li"&amp;"nk"",""เชียงราย!m336"")
+IMPORTRANGE(""https://docs.google.com/spreadsheets/d/1Jgv0Y7YlHDtsiDawwp-uvifEJ8HVaSn0k2aGHG8-hwM/edit?usp=share_link"",""เชียงใหม่!m336"")+IMPORTRANGE(""https://docs.google.com/spreadsheets/d/1JWG2rZePOz9pe-f-ObA-yDr0VoOX2kSb0qIi"&amp;"x2mTUo8/edit?usp=share_link"",""ตาก!m336"")+IMPORTRANGE(""https://docs.google.com/spreadsheets/d/10nSRjK08hx8Y6HgSOQKNw81lyY46Zc7U_Cj72hBMp9U/edit?usp=share_link"",""นครสวรรค์!m336"")+IMPORTRANGE(""https://docs.google.com/spreadsheets/d/1gFVb7qd7amutrIxAA"&amp;"oM7lcy35hllxznovot8lyOfvDo/edit?usp=share_link"",""น่าน!m336"")+IMPORTRANGE(""https://docs.google.com/spreadsheets/d/1K0Aa9s-6EuHE5M0FG1F9aHLXRCOV917xvycTdLdct0w/edit?usp=share_link"",""พะเยา!m336"")+IMPORTRANGE(""https://docs.google.com/spreadsheets/d/1Y"&amp;"9LPKx95PyL5OKy09d-KbKJSuuEZCFdkhYjwC0XQjBA/edit?usp=share_link"",""พิจิตร!m336"")+IMPORTRANGE(""https://docs.google.com/spreadsheets/d/16OMuOwy2eVqZcYWOouQtTpa8X1L23h4660uVHc0C8os/edit?usp=share_link"",""พิษณุโลก!m336"")+IMPORTRANGE(""https://docs.google."&amp;"com/spreadsheets/d/1GfgTldLG6k77HXaMQzaafODklYuucJZQNs_GAPEfZyY/edit?usp=share_link"",""เพชรบูรณ์!m336"")+IMPORTRANGE(""https://docs.google.com/spreadsheets/d/1gvTMYAnm7v1yG1BKWFtr0DnaTsq59oW9dwWvFgq6hs0/edit?usp=share_link"",""แพร่!m336"")+IMPORTRANGE("""&amp;"https://docs.google.com/spreadsheets/d/1Wbcosgy-Xa1xXUArJSOenub6EfZHUSzc_bpJFWwQUf0/edit?usp=share_link"",""แม่ฮ่องสอน!m336"")+IMPORTRANGE(""https://docs.google.com/spreadsheets/d/1p7ERhsr0qZeSn-KSOdeHS9r0heI-lHtkcn2OH7hP0jQ/edit?usp=share_link"",""ลำปาง!"&amp;"m336"")+IMPORTRANGE(""https://docs.google.com/spreadsheets/d/1-uUXvimVhiU2U0bMN-xi2te0tS4X7DI2GLPnMjzl8cA/edit?usp=share_link"",""ลำพูน!m336"")+IMPORTRANGE(""https://docs.google.com/spreadsheets/d/17HrOaa5pBUI1onckFfumXB8xlg35qb2uBAFfF1D-Myo/edit?usp=shar"&amp;"e_link"",""สุโขทัย!m336"")+IMPORTRANGE(""https://docs.google.com/spreadsheets/d/1ubs5cl16eYL9gHbdHTJtmtYb9MGzHBs7CAphn8kNCgM/edit?usp=share_link"",""อุตรดิตถ์!m336"")+IMPORTRANGE(""https://docs.google.com/spreadsheets/d/1kII0BjS6CtVrBvI8IrytgPdxDrlyQDyigz"&amp;"MsohRtDMs/edit?usp=share_link"",""อุทัยธานี!m336"")
"),0)</f>
        <v>0</v>
      </c>
      <c r="N336" s="45">
        <f ca="1">IFERROR(__xludf.DUMMYFUNCTION("IMPORTRANGE(""https://docs.google.com/spreadsheets/d/1KxicF4apzSqm0-jIpmueT4kyZtE-Cwn5zskl7GD4loQ/edit?usp=share_link"",""กำแพงเพชร!n336"")+IMPORTRANGE(""https://docs.google.com/spreadsheets/d/1ZNYWeiFoFA1K1U4xKWqRX29MBvEyRHXORjo734Gnq_c/edit?usp=share_li"&amp;"nk"",""เชียงราย!n336"")
+IMPORTRANGE(""https://docs.google.com/spreadsheets/d/1Jgv0Y7YlHDtsiDawwp-uvifEJ8HVaSn0k2aGHG8-hwM/edit?usp=share_link"",""เชียงใหม่!n336"")+IMPORTRANGE(""https://docs.google.com/spreadsheets/d/1JWG2rZePOz9pe-f-ObA-yDr0VoOX2kSb0qIi"&amp;"x2mTUo8/edit?usp=share_link"",""ตาก!n336"")+IMPORTRANGE(""https://docs.google.com/spreadsheets/d/10nSRjK08hx8Y6HgSOQKNw81lyY46Zc7U_Cj72hBMp9U/edit?usp=share_link"",""นครสวรรค์!n336"")+IMPORTRANGE(""https://docs.google.com/spreadsheets/d/1gFVb7qd7amutrIxAA"&amp;"oM7lcy35hllxznovot8lyOfvDo/edit?usp=share_link"",""น่าน!n336"")+IMPORTRANGE(""https://docs.google.com/spreadsheets/d/1K0Aa9s-6EuHE5M0FG1F9aHLXRCOV917xvycTdLdct0w/edit?usp=share_link"",""พะเยา!n336"")+IMPORTRANGE(""https://docs.google.com/spreadsheets/d/1Y"&amp;"9LPKx95PyL5OKy09d-KbKJSuuEZCFdkhYjwC0XQjBA/edit?usp=share_link"",""พิจิตร!n336"")+IMPORTRANGE(""https://docs.google.com/spreadsheets/d/16OMuOwy2eVqZcYWOouQtTpa8X1L23h4660uVHc0C8os/edit?usp=share_link"",""พิษณุโลก!n336"")+IMPORTRANGE(""https://docs.google."&amp;"com/spreadsheets/d/1GfgTldLG6k77HXaMQzaafODklYuucJZQNs_GAPEfZyY/edit?usp=share_link"",""เพชรบูรณ์!n336"")+IMPORTRANGE(""https://docs.google.com/spreadsheets/d/1gvTMYAnm7v1yG1BKWFtr0DnaTsq59oW9dwWvFgq6hs0/edit?usp=share_link"",""แพร่!n336"")+IMPORTRANGE("""&amp;"https://docs.google.com/spreadsheets/d/1Wbcosgy-Xa1xXUArJSOenub6EfZHUSzc_bpJFWwQUf0/edit?usp=share_link"",""แม่ฮ่องสอน!n336"")+IMPORTRANGE(""https://docs.google.com/spreadsheets/d/1p7ERhsr0qZeSn-KSOdeHS9r0heI-lHtkcn2OH7hP0jQ/edit?usp=share_link"",""ลำปาง!"&amp;"n336"")+IMPORTRANGE(""https://docs.google.com/spreadsheets/d/1-uUXvimVhiU2U0bMN-xi2te0tS4X7DI2GLPnMjzl8cA/edit?usp=share_link"",""ลำพูน!n336"")+IMPORTRANGE(""https://docs.google.com/spreadsheets/d/17HrOaa5pBUI1onckFfumXB8xlg35qb2uBAFfF1D-Myo/edit?usp=shar"&amp;"e_link"",""สุโขทัย!n336"")+IMPORTRANGE(""https://docs.google.com/spreadsheets/d/1ubs5cl16eYL9gHbdHTJtmtYb9MGzHBs7CAphn8kNCgM/edit?usp=share_link"",""อุตรดิตถ์!n336"")+IMPORTRANGE(""https://docs.google.com/spreadsheets/d/1kII0BjS6CtVrBvI8IrytgPdxDrlyQDyigz"&amp;"MsohRtDMs/edit?usp=share_link"",""อุทัยธานี!n336"")
"),0)</f>
        <v>0</v>
      </c>
      <c r="O336" s="45">
        <f t="shared" ca="1" si="175"/>
        <v>0</v>
      </c>
      <c r="P336" s="45">
        <f t="shared" ca="1" si="179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172" t="s">
        <v>38</v>
      </c>
      <c r="E337" s="173"/>
      <c r="F337" s="173"/>
      <c r="G337" s="174"/>
      <c r="H337" s="175"/>
      <c r="I337" s="162"/>
      <c r="J337" s="37"/>
      <c r="K337" s="38"/>
      <c r="L337" s="38"/>
      <c r="M337" s="38"/>
      <c r="N337" s="38"/>
      <c r="O337" s="163"/>
      <c r="P337" s="163"/>
    </row>
    <row r="338" spans="1:26" ht="18.75">
      <c r="A338" s="283"/>
      <c r="B338" s="33"/>
      <c r="C338" s="280"/>
      <c r="D338" s="181" t="s">
        <v>150</v>
      </c>
      <c r="E338" s="171"/>
      <c r="F338" s="33"/>
      <c r="G338" s="35"/>
      <c r="H338" s="276" t="s">
        <v>35</v>
      </c>
      <c r="I338" s="37">
        <f ca="1">IFERROR(__xludf.DUMMYFUNCTION("IMPORTRANGE(""https://docs.google.com/spreadsheets/d/1KxicF4apzSqm0-jIpmueT4kyZtE-Cwn5zskl7GD4loQ/edit?usp=share_link"",""กำแพงเพชร!I338"")+IMPORTRANGE(""https://docs.google.com/spreadsheets/d/1ZNYWeiFoFA1K1U4xKWqRX29MBvEyRHXORjo734Gnq_c/edit?usp=share_li"&amp;"nk"",""เชียงราย!I338"")
+IMPORTRANGE(""https://docs.google.com/spreadsheets/d/1Jgv0Y7YlHDtsiDawwp-uvifEJ8HVaSn0k2aGHG8-hwM/edit?usp=share_link"",""เชียงใหม่!I338"")+IMPORTRANGE(""https://docs.google.com/spreadsheets/d/1JWG2rZePOz9pe-f-ObA-yDr0VoOX2kSb0qIi"&amp;"x2mTUo8/edit?usp=share_link"",""ตาก!I338"")+IMPORTRANGE(""https://docs.google.com/spreadsheets/d/10nSRjK08hx8Y6HgSOQKNw81lyY46Zc7U_Cj72hBMp9U/edit?usp=share_link"",""นครสวรรค์!I338"")+IMPORTRANGE(""https://docs.google.com/spreadsheets/d/1gFVb7qd7amutrIxAA"&amp;"oM7lcy35hllxznovot8lyOfvDo/edit?usp=share_link"",""น่าน!I338"")+IMPORTRANGE(""https://docs.google.com/spreadsheets/d/1K0Aa9s-6EuHE5M0FG1F9aHLXRCOV917xvycTdLdct0w/edit?usp=share_link"",""พะเยา!I338"")+IMPORTRANGE(""https://docs.google.com/spreadsheets/d/1Y"&amp;"9LPKx95PyL5OKy09d-KbKJSuuEZCFdkhYjwC0XQjBA/edit?usp=share_link"",""พิจิตร!I338"")+IMPORTRANGE(""https://docs.google.com/spreadsheets/d/16OMuOwy2eVqZcYWOouQtTpa8X1L23h4660uVHc0C8os/edit?usp=share_link"",""พิษณุโลก!I338"")+IMPORTRANGE(""https://docs.google."&amp;"com/spreadsheets/d/1GfgTldLG6k77HXaMQzaafODklYuucJZQNs_GAPEfZyY/edit?usp=share_link"",""เพชรบูรณ์!I338"")+IMPORTRANGE(""https://docs.google.com/spreadsheets/d/1gvTMYAnm7v1yG1BKWFtr0DnaTsq59oW9dwWvFgq6hs0/edit?usp=share_link"",""แพร่!I338"")+IMPORTRANGE("""&amp;"https://docs.google.com/spreadsheets/d/1Wbcosgy-Xa1xXUArJSOenub6EfZHUSzc_bpJFWwQUf0/edit?usp=share_link"",""แม่ฮ่องสอน!I338"")+IMPORTRANGE(""https://docs.google.com/spreadsheets/d/1p7ERhsr0qZeSn-KSOdeHS9r0heI-lHtkcn2OH7hP0jQ/edit?usp=share_link"",""ลำปาง!"&amp;"I338"")+IMPORTRANGE(""https://docs.google.com/spreadsheets/d/1-uUXvimVhiU2U0bMN-xi2te0tS4X7DI2GLPnMjzl8cA/edit?usp=share_link"",""ลำพูน!I338"")+IMPORTRANGE(""https://docs.google.com/spreadsheets/d/17HrOaa5pBUI1onckFfumXB8xlg35qb2uBAFfF1D-Myo/edit?usp=shar"&amp;"e_link"",""สุโขทัย!I338"")+IMPORTRANGE(""https://docs.google.com/spreadsheets/d/1ubs5cl16eYL9gHbdHTJtmtYb9MGzHBs7CAphn8kNCgM/edit?usp=share_link"",""อุตรดิตถ์!I338"")+IMPORTRANGE(""https://docs.google.com/spreadsheets/d/1kII0BjS6CtVrBvI8IrytgPdxDrlyQDyigz"&amp;"MsohRtDMs/edit?usp=share_link"",""อุทัยธานี!I338"")
"),46900)</f>
        <v>46900</v>
      </c>
      <c r="J338" s="269">
        <f ca="1">IFERROR(__xludf.DUMMYFUNCTION("IMPORTRANGE(""https://docs.google.com/spreadsheets/d/1KxicF4apzSqm0-jIpmueT4kyZtE-Cwn5zskl7GD4loQ/edit?usp=share_link"",""กำแพงเพชร!J338"")+IMPORTRANGE(""https://docs.google.com/spreadsheets/d/1ZNYWeiFoFA1K1U4xKWqRX29MBvEyRHXORjo734Gnq_c/edit?usp=share_li"&amp;"nk"",""เชียงราย!J338"")
+IMPORTRANGE(""https://docs.google.com/spreadsheets/d/1Jgv0Y7YlHDtsiDawwp-uvifEJ8HVaSn0k2aGHG8-hwM/edit?usp=share_link"",""เชียงใหม่!J338"")+IMPORTRANGE(""https://docs.google.com/spreadsheets/d/1JWG2rZePOz9pe-f-ObA-yDr0VoOX2kSb0qIi"&amp;"x2mTUo8/edit?usp=share_link"",""ตาก!J338"")+IMPORTRANGE(""https://docs.google.com/spreadsheets/d/10nSRjK08hx8Y6HgSOQKNw81lyY46Zc7U_Cj72hBMp9U/edit?usp=share_link"",""นครสวรรค์!J338"")+IMPORTRANGE(""https://docs.google.com/spreadsheets/d/1gFVb7qd7amutrIxAA"&amp;"oM7lcy35hllxznovot8lyOfvDo/edit?usp=share_link"",""น่าน!J338"")+IMPORTRANGE(""https://docs.google.com/spreadsheets/d/1K0Aa9s-6EuHE5M0FG1F9aHLXRCOV917xvycTdLdct0w/edit?usp=share_link"",""พะเยา!J338"")+IMPORTRANGE(""https://docs.google.com/spreadsheets/d/1Y"&amp;"9LPKx95PyL5OKy09d-KbKJSuuEZCFdkhYjwC0XQjBA/edit?usp=share_link"",""พิจิตร!J338"")+IMPORTRANGE(""https://docs.google.com/spreadsheets/d/16OMuOwy2eVqZcYWOouQtTpa8X1L23h4660uVHc0C8os/edit?usp=share_link"",""พิษณุโลก!J338"")+IMPORTRANGE(""https://docs.google."&amp;"com/spreadsheets/d/1GfgTldLG6k77HXaMQzaafODklYuucJZQNs_GAPEfZyY/edit?usp=share_link"",""เพชรบูรณ์!J338"")+IMPORTRANGE(""https://docs.google.com/spreadsheets/d/1gvTMYAnm7v1yG1BKWFtr0DnaTsq59oW9dwWvFgq6hs0/edit?usp=share_link"",""แพร่!J338"")+IMPORTRANGE("""&amp;"https://docs.google.com/spreadsheets/d/1Wbcosgy-Xa1xXUArJSOenub6EfZHUSzc_bpJFWwQUf0/edit?usp=share_link"",""แม่ฮ่องสอน!J338"")+IMPORTRANGE(""https://docs.google.com/spreadsheets/d/1p7ERhsr0qZeSn-KSOdeHS9r0heI-lHtkcn2OH7hP0jQ/edit?usp=share_link"",""ลำปาง!"&amp;"J338"")+IMPORTRANGE(""https://docs.google.com/spreadsheets/d/1-uUXvimVhiU2U0bMN-xi2te0tS4X7DI2GLPnMjzl8cA/edit?usp=share_link"",""ลำพูน!J338"")+IMPORTRANGE(""https://docs.google.com/spreadsheets/d/17HrOaa5pBUI1onckFfumXB8xlg35qb2uBAFfF1D-Myo/edit?usp=shar"&amp;"e_link"",""สุโขทัย!J338"")+IMPORTRANGE(""https://docs.google.com/spreadsheets/d/1ubs5cl16eYL9gHbdHTJtmtYb9MGzHBs7CAphn8kNCgM/edit?usp=share_link"",""อุตรดิตถ์!J338"")+IMPORTRANGE(""https://docs.google.com/spreadsheets/d/1kII0BjS6CtVrBvI8IrytgPdxDrlyQDyigz"&amp;"MsohRtDMs/edit?usp=share_link"",""อุทัยธานี!J338"")
"),13625)</f>
        <v>13625</v>
      </c>
      <c r="K338" s="38">
        <f ca="1">IF(I338&gt;0,J338*100/I338,0)</f>
        <v>29.051172707889126</v>
      </c>
      <c r="L338" s="38"/>
      <c r="M338" s="38"/>
      <c r="N338" s="38"/>
      <c r="O338" s="38"/>
      <c r="P338" s="38"/>
    </row>
    <row r="339" spans="1:26" ht="18.75">
      <c r="A339" s="283"/>
      <c r="B339" s="33"/>
      <c r="C339" s="280"/>
      <c r="D339" s="181" t="s">
        <v>151</v>
      </c>
      <c r="E339" s="171"/>
      <c r="F339" s="33"/>
      <c r="G339" s="35"/>
      <c r="H339" s="276"/>
      <c r="I339" s="37"/>
      <c r="J339" s="269"/>
      <c r="K339" s="38"/>
      <c r="L339" s="38"/>
      <c r="M339" s="38"/>
      <c r="N339" s="38"/>
      <c r="O339" s="38"/>
      <c r="P339" s="38"/>
    </row>
    <row r="340" spans="1:26" ht="18.75">
      <c r="A340" s="283"/>
      <c r="B340" s="33"/>
      <c r="C340" s="280"/>
      <c r="D340" s="178"/>
      <c r="E340" s="181" t="s">
        <v>152</v>
      </c>
      <c r="F340" s="33"/>
      <c r="G340" s="35"/>
      <c r="H340" s="276" t="s">
        <v>153</v>
      </c>
      <c r="I340" s="37">
        <f ca="1">IFERROR(__xludf.DUMMYFUNCTION("IMPORTRANGE(""https://docs.google.com/spreadsheets/d/1KxicF4apzSqm0-jIpmueT4kyZtE-Cwn5zskl7GD4loQ/edit?usp=share_link"",""กำแพงเพชร!I340"")+IMPORTRANGE(""https://docs.google.com/spreadsheets/d/1ZNYWeiFoFA1K1U4xKWqRX29MBvEyRHXORjo734Gnq_c/edit?usp=share_li"&amp;"nk"",""เชียงราย!I340"")
+IMPORTRANGE(""https://docs.google.com/spreadsheets/d/1Jgv0Y7YlHDtsiDawwp-uvifEJ8HVaSn0k2aGHG8-hwM/edit?usp=share_link"",""เชียงใหม่!I340"")+IMPORTRANGE(""https://docs.google.com/spreadsheets/d/1JWG2rZePOz9pe-f-ObA-yDr0VoOX2kSb0qIi"&amp;"x2mTUo8/edit?usp=share_link"",""ตาก!I340"")+IMPORTRANGE(""https://docs.google.com/spreadsheets/d/10nSRjK08hx8Y6HgSOQKNw81lyY46Zc7U_Cj72hBMp9U/edit?usp=share_link"",""นครสวรรค์!I340"")+IMPORTRANGE(""https://docs.google.com/spreadsheets/d/1gFVb7qd7amutrIxAA"&amp;"oM7lcy35hllxznovot8lyOfvDo/edit?usp=share_link"",""น่าน!I340"")+IMPORTRANGE(""https://docs.google.com/spreadsheets/d/1K0Aa9s-6EuHE5M0FG1F9aHLXRCOV917xvycTdLdct0w/edit?usp=share_link"",""พะเยา!I340"")+IMPORTRANGE(""https://docs.google.com/spreadsheets/d/1Y"&amp;"9LPKx95PyL5OKy09d-KbKJSuuEZCFdkhYjwC0XQjBA/edit?usp=share_link"",""พิจิตร!I340"")+IMPORTRANGE(""https://docs.google.com/spreadsheets/d/16OMuOwy2eVqZcYWOouQtTpa8X1L23h4660uVHc0C8os/edit?usp=share_link"",""พิษณุโลก!I340"")+IMPORTRANGE(""https://docs.google."&amp;"com/spreadsheets/d/1GfgTldLG6k77HXaMQzaafODklYuucJZQNs_GAPEfZyY/edit?usp=share_link"",""เพชรบูรณ์!I340"")+IMPORTRANGE(""https://docs.google.com/spreadsheets/d/1gvTMYAnm7v1yG1BKWFtr0DnaTsq59oW9dwWvFgq6hs0/edit?usp=share_link"",""แพร่!I340"")+IMPORTRANGE("""&amp;"https://docs.google.com/spreadsheets/d/1Wbcosgy-Xa1xXUArJSOenub6EfZHUSzc_bpJFWwQUf0/edit?usp=share_link"",""แม่ฮ่องสอน!I340"")+IMPORTRANGE(""https://docs.google.com/spreadsheets/d/1p7ERhsr0qZeSn-KSOdeHS9r0heI-lHtkcn2OH7hP0jQ/edit?usp=share_link"",""ลำปาง!"&amp;"I340"")+IMPORTRANGE(""https://docs.google.com/spreadsheets/d/1-uUXvimVhiU2U0bMN-xi2te0tS4X7DI2GLPnMjzl8cA/edit?usp=share_link"",""ลำพูน!I340"")+IMPORTRANGE(""https://docs.google.com/spreadsheets/d/17HrOaa5pBUI1onckFfumXB8xlg35qb2uBAFfF1D-Myo/edit?usp=shar"&amp;"e_link"",""สุโขทัย!I340"")+IMPORTRANGE(""https://docs.google.com/spreadsheets/d/1ubs5cl16eYL9gHbdHTJtmtYb9MGzHBs7CAphn8kNCgM/edit?usp=share_link"",""อุตรดิตถ์!I340"")+IMPORTRANGE(""https://docs.google.com/spreadsheets/d/1kII0BjS6CtVrBvI8IrytgPdxDrlyQDyigz"&amp;"MsohRtDMs/edit?usp=share_link"",""อุทัยธานี!I340"")
"),107)</f>
        <v>107</v>
      </c>
      <c r="J340" s="269">
        <f ca="1">IFERROR(__xludf.DUMMYFUNCTION("IMPORTRANGE(""https://docs.google.com/spreadsheets/d/1KxicF4apzSqm0-jIpmueT4kyZtE-Cwn5zskl7GD4loQ/edit?usp=share_link"",""กำแพงเพชร!J340"")+IMPORTRANGE(""https://docs.google.com/spreadsheets/d/1ZNYWeiFoFA1K1U4xKWqRX29MBvEyRHXORjo734Gnq_c/edit?usp=share_li"&amp;"nk"",""เชียงราย!J340"")
+IMPORTRANGE(""https://docs.google.com/spreadsheets/d/1Jgv0Y7YlHDtsiDawwp-uvifEJ8HVaSn0k2aGHG8-hwM/edit?usp=share_link"",""เชียงใหม่!J340"")+IMPORTRANGE(""https://docs.google.com/spreadsheets/d/1JWG2rZePOz9pe-f-ObA-yDr0VoOX2kSb0qIi"&amp;"x2mTUo8/edit?usp=share_link"",""ตาก!J340"")+IMPORTRANGE(""https://docs.google.com/spreadsheets/d/10nSRjK08hx8Y6HgSOQKNw81lyY46Zc7U_Cj72hBMp9U/edit?usp=share_link"",""นครสวรรค์!J340"")+IMPORTRANGE(""https://docs.google.com/spreadsheets/d/1gFVb7qd7amutrIxAA"&amp;"oM7lcy35hllxznovot8lyOfvDo/edit?usp=share_link"",""น่าน!J340"")+IMPORTRANGE(""https://docs.google.com/spreadsheets/d/1K0Aa9s-6EuHE5M0FG1F9aHLXRCOV917xvycTdLdct0w/edit?usp=share_link"",""พะเยา!J340"")+IMPORTRANGE(""https://docs.google.com/spreadsheets/d/1Y"&amp;"9LPKx95PyL5OKy09d-KbKJSuuEZCFdkhYjwC0XQjBA/edit?usp=share_link"",""พิจิตร!J340"")+IMPORTRANGE(""https://docs.google.com/spreadsheets/d/16OMuOwy2eVqZcYWOouQtTpa8X1L23h4660uVHc0C8os/edit?usp=share_link"",""พิษณุโลก!J340"")+IMPORTRANGE(""https://docs.google."&amp;"com/spreadsheets/d/1GfgTldLG6k77HXaMQzaafODklYuucJZQNs_GAPEfZyY/edit?usp=share_link"",""เพชรบูรณ์!J340"")+IMPORTRANGE(""https://docs.google.com/spreadsheets/d/1gvTMYAnm7v1yG1BKWFtr0DnaTsq59oW9dwWvFgq6hs0/edit?usp=share_link"",""แพร่!J340"")+IMPORTRANGE("""&amp;"https://docs.google.com/spreadsheets/d/1Wbcosgy-Xa1xXUArJSOenub6EfZHUSzc_bpJFWwQUf0/edit?usp=share_link"",""แม่ฮ่องสอน!J340"")+IMPORTRANGE(""https://docs.google.com/spreadsheets/d/1p7ERhsr0qZeSn-KSOdeHS9r0heI-lHtkcn2OH7hP0jQ/edit?usp=share_link"",""ลำปาง!"&amp;"J340"")+IMPORTRANGE(""https://docs.google.com/spreadsheets/d/1-uUXvimVhiU2U0bMN-xi2te0tS4X7DI2GLPnMjzl8cA/edit?usp=share_link"",""ลำพูน!J340"")+IMPORTRANGE(""https://docs.google.com/spreadsheets/d/17HrOaa5pBUI1onckFfumXB8xlg35qb2uBAFfF1D-Myo/edit?usp=shar"&amp;"e_link"",""สุโขทัย!J340"")+IMPORTRANGE(""https://docs.google.com/spreadsheets/d/1ubs5cl16eYL9gHbdHTJtmtYb9MGzHBs7CAphn8kNCgM/edit?usp=share_link"",""อุตรดิตถ์!J340"")+IMPORTRANGE(""https://docs.google.com/spreadsheets/d/1kII0BjS6CtVrBvI8IrytgPdxDrlyQDyigz"&amp;"MsohRtDMs/edit?usp=share_link"",""อุทัยธานี!J340"")
"),17)</f>
        <v>17</v>
      </c>
      <c r="K340" s="38">
        <f ca="1">IF(I340&gt;0,J340*100/I340,0)</f>
        <v>15.88785046728972</v>
      </c>
      <c r="L340" s="38"/>
      <c r="M340" s="38"/>
      <c r="N340" s="38"/>
      <c r="O340" s="38"/>
      <c r="P340" s="38"/>
    </row>
    <row r="341" spans="1:26" ht="18.75">
      <c r="A341" s="283"/>
      <c r="B341" s="33"/>
      <c r="C341" s="280"/>
      <c r="D341" s="178"/>
      <c r="E341" s="181" t="s">
        <v>154</v>
      </c>
      <c r="F341" s="33"/>
      <c r="G341" s="35"/>
      <c r="H341" s="276" t="s">
        <v>35</v>
      </c>
      <c r="I341" s="37"/>
      <c r="J341" s="269">
        <f ca="1">IFERROR(__xludf.DUMMYFUNCTION("IMPORTRANGE(""https://docs.google.com/spreadsheets/d/1KxicF4apzSqm0-jIpmueT4kyZtE-Cwn5zskl7GD4loQ/edit?usp=share_link"",""กำแพงเพชร!J341"")+IMPORTRANGE(""https://docs.google.com/spreadsheets/d/1ZNYWeiFoFA1K1U4xKWqRX29MBvEyRHXORjo734Gnq_c/edit?usp=share_li"&amp;"nk"",""เชียงราย!J341"")
+IMPORTRANGE(""https://docs.google.com/spreadsheets/d/1Jgv0Y7YlHDtsiDawwp-uvifEJ8HVaSn0k2aGHG8-hwM/edit?usp=share_link"",""เชียงใหม่!J341"")+IMPORTRANGE(""https://docs.google.com/spreadsheets/d/1JWG2rZePOz9pe-f-ObA-yDr0VoOX2kSb0qIi"&amp;"x2mTUo8/edit?usp=share_link"",""ตาก!J341"")+IMPORTRANGE(""https://docs.google.com/spreadsheets/d/10nSRjK08hx8Y6HgSOQKNw81lyY46Zc7U_Cj72hBMp9U/edit?usp=share_link"",""นครสวรรค์!J341"")+IMPORTRANGE(""https://docs.google.com/spreadsheets/d/1gFVb7qd7amutrIxAA"&amp;"oM7lcy35hllxznovot8lyOfvDo/edit?usp=share_link"",""น่าน!J341"")+IMPORTRANGE(""https://docs.google.com/spreadsheets/d/1K0Aa9s-6EuHE5M0FG1F9aHLXRCOV917xvycTdLdct0w/edit?usp=share_link"",""พะเยา!J341"")+IMPORTRANGE(""https://docs.google.com/spreadsheets/d/1Y"&amp;"9LPKx95PyL5OKy09d-KbKJSuuEZCFdkhYjwC0XQjBA/edit?usp=share_link"",""พิจิตร!J341"")+IMPORTRANGE(""https://docs.google.com/spreadsheets/d/16OMuOwy2eVqZcYWOouQtTpa8X1L23h4660uVHc0C8os/edit?usp=share_link"",""พิษณุโลก!J341"")+IMPORTRANGE(""https://docs.google."&amp;"com/spreadsheets/d/1GfgTldLG6k77HXaMQzaafODklYuucJZQNs_GAPEfZyY/edit?usp=share_link"",""เพชรบูรณ์!J341"")+IMPORTRANGE(""https://docs.google.com/spreadsheets/d/1gvTMYAnm7v1yG1BKWFtr0DnaTsq59oW9dwWvFgq6hs0/edit?usp=share_link"",""แพร่!J341"")+IMPORTRANGE("""&amp;"https://docs.google.com/spreadsheets/d/1Wbcosgy-Xa1xXUArJSOenub6EfZHUSzc_bpJFWwQUf0/edit?usp=share_link"",""แม่ฮ่องสอน!J341"")+IMPORTRANGE(""https://docs.google.com/spreadsheets/d/1p7ERhsr0qZeSn-KSOdeHS9r0heI-lHtkcn2OH7hP0jQ/edit?usp=share_link"",""ลำปาง!"&amp;"J341"")+IMPORTRANGE(""https://docs.google.com/spreadsheets/d/1-uUXvimVhiU2U0bMN-xi2te0tS4X7DI2GLPnMjzl8cA/edit?usp=share_link"",""ลำพูน!J341"")+IMPORTRANGE(""https://docs.google.com/spreadsheets/d/17HrOaa5pBUI1onckFfumXB8xlg35qb2uBAFfF1D-Myo/edit?usp=shar"&amp;"e_link"",""สุโขทัย!J341"")+IMPORTRANGE(""https://docs.google.com/spreadsheets/d/1ubs5cl16eYL9gHbdHTJtmtYb9MGzHBs7CAphn8kNCgM/edit?usp=share_link"",""อุตรดิตถ์!J341"")+IMPORTRANGE(""https://docs.google.com/spreadsheets/d/1kII0BjS6CtVrBvI8IrytgPdxDrlyQDyigz"&amp;"MsohRtDMs/edit?usp=share_link"",""อุทัยธานี!J341"")
"),1543)</f>
        <v>1543</v>
      </c>
      <c r="K341" s="38"/>
      <c r="L341" s="38"/>
      <c r="M341" s="38"/>
      <c r="N341" s="38"/>
      <c r="O341" s="38"/>
      <c r="P341" s="38"/>
    </row>
    <row r="342" spans="1:26" ht="18.75">
      <c r="A342" s="283"/>
      <c r="B342" s="33"/>
      <c r="C342" s="280"/>
      <c r="D342" s="181" t="s">
        <v>155</v>
      </c>
      <c r="E342" s="178"/>
      <c r="F342" s="178"/>
      <c r="G342" s="35"/>
      <c r="H342" s="276" t="s">
        <v>35</v>
      </c>
      <c r="I342" s="37"/>
      <c r="J342" s="269">
        <f ca="1">IFERROR(__xludf.DUMMYFUNCTION("IMPORTRANGE(""https://docs.google.com/spreadsheets/d/1KxicF4apzSqm0-jIpmueT4kyZtE-Cwn5zskl7GD4loQ/edit?usp=share_link"",""กำแพงเพชร!J342"")+IMPORTRANGE(""https://docs.google.com/spreadsheets/d/1ZNYWeiFoFA1K1U4xKWqRX29MBvEyRHXORjo734Gnq_c/edit?usp=share_li"&amp;"nk"",""เชียงราย!J342"")
+IMPORTRANGE(""https://docs.google.com/spreadsheets/d/1Jgv0Y7YlHDtsiDawwp-uvifEJ8HVaSn0k2aGHG8-hwM/edit?usp=share_link"",""เชียงใหม่!J342"")+IMPORTRANGE(""https://docs.google.com/spreadsheets/d/1JWG2rZePOz9pe-f-ObA-yDr0VoOX2kSb0qIi"&amp;"x2mTUo8/edit?usp=share_link"",""ตาก!J342"")+IMPORTRANGE(""https://docs.google.com/spreadsheets/d/10nSRjK08hx8Y6HgSOQKNw81lyY46Zc7U_Cj72hBMp9U/edit?usp=share_link"",""นครสวรรค์!J342"")+IMPORTRANGE(""https://docs.google.com/spreadsheets/d/1gFVb7qd7amutrIxAA"&amp;"oM7lcy35hllxznovot8lyOfvDo/edit?usp=share_link"",""น่าน!J342"")+IMPORTRANGE(""https://docs.google.com/spreadsheets/d/1K0Aa9s-6EuHE5M0FG1F9aHLXRCOV917xvycTdLdct0w/edit?usp=share_link"",""พะเยา!J342"")+IMPORTRANGE(""https://docs.google.com/spreadsheets/d/1Y"&amp;"9LPKx95PyL5OKy09d-KbKJSuuEZCFdkhYjwC0XQjBA/edit?usp=share_link"",""พิจิตร!J342"")+IMPORTRANGE(""https://docs.google.com/spreadsheets/d/16OMuOwy2eVqZcYWOouQtTpa8X1L23h4660uVHc0C8os/edit?usp=share_link"",""พิษณุโลก!J342"")+IMPORTRANGE(""https://docs.google."&amp;"com/spreadsheets/d/1GfgTldLG6k77HXaMQzaafODklYuucJZQNs_GAPEfZyY/edit?usp=share_link"",""เพชรบูรณ์!J342"")+IMPORTRANGE(""https://docs.google.com/spreadsheets/d/1gvTMYAnm7v1yG1BKWFtr0DnaTsq59oW9dwWvFgq6hs0/edit?usp=share_link"",""แพร่!J342"")+IMPORTRANGE("""&amp;"https://docs.google.com/spreadsheets/d/1Wbcosgy-Xa1xXUArJSOenub6EfZHUSzc_bpJFWwQUf0/edit?usp=share_link"",""แม่ฮ่องสอน!J342"")+IMPORTRANGE(""https://docs.google.com/spreadsheets/d/1p7ERhsr0qZeSn-KSOdeHS9r0heI-lHtkcn2OH7hP0jQ/edit?usp=share_link"",""ลำปาง!"&amp;"J342"")+IMPORTRANGE(""https://docs.google.com/spreadsheets/d/1-uUXvimVhiU2U0bMN-xi2te0tS4X7DI2GLPnMjzl8cA/edit?usp=share_link"",""ลำพูน!J342"")+IMPORTRANGE(""https://docs.google.com/spreadsheets/d/17HrOaa5pBUI1onckFfumXB8xlg35qb2uBAFfF1D-Myo/edit?usp=shar"&amp;"e_link"",""สุโขทัย!J342"")+IMPORTRANGE(""https://docs.google.com/spreadsheets/d/1ubs5cl16eYL9gHbdHTJtmtYb9MGzHBs7CAphn8kNCgM/edit?usp=share_link"",""อุตรดิตถ์!J342"")+IMPORTRANGE(""https://docs.google.com/spreadsheets/d/1kII0BjS6CtVrBvI8IrytgPdxDrlyQDyigz"&amp;"MsohRtDMs/edit?usp=share_link"",""อุทัยธานี!J342"")
"),7)</f>
        <v>7</v>
      </c>
      <c r="K342" s="38"/>
      <c r="L342" s="38"/>
      <c r="M342" s="38"/>
      <c r="N342" s="38"/>
      <c r="O342" s="38"/>
      <c r="P342" s="38"/>
    </row>
    <row r="343" spans="1:26" ht="18.75">
      <c r="A343" s="283"/>
      <c r="B343" s="33"/>
      <c r="C343" s="280"/>
      <c r="D343" s="181" t="s">
        <v>156</v>
      </c>
      <c r="E343" s="178"/>
      <c r="F343" s="178"/>
      <c r="G343" s="35"/>
      <c r="H343" s="276" t="s">
        <v>35</v>
      </c>
      <c r="I343" s="37"/>
      <c r="J343" s="269">
        <f ca="1">IFERROR(__xludf.DUMMYFUNCTION("IMPORTRANGE(""https://docs.google.com/spreadsheets/d/1KxicF4apzSqm0-jIpmueT4kyZtE-Cwn5zskl7GD4loQ/edit?usp=share_link"",""กำแพงเพชร!J343"")+IMPORTRANGE(""https://docs.google.com/spreadsheets/d/1ZNYWeiFoFA1K1U4xKWqRX29MBvEyRHXORjo734Gnq_c/edit?usp=share_li"&amp;"nk"",""เชียงราย!J343"")
+IMPORTRANGE(""https://docs.google.com/spreadsheets/d/1Jgv0Y7YlHDtsiDawwp-uvifEJ8HVaSn0k2aGHG8-hwM/edit?usp=share_link"",""เชียงใหม่!J343"")+IMPORTRANGE(""https://docs.google.com/spreadsheets/d/1JWG2rZePOz9pe-f-ObA-yDr0VoOX2kSb0qIi"&amp;"x2mTUo8/edit?usp=share_link"",""ตาก!J343"")+IMPORTRANGE(""https://docs.google.com/spreadsheets/d/10nSRjK08hx8Y6HgSOQKNw81lyY46Zc7U_Cj72hBMp9U/edit?usp=share_link"",""นครสวรรค์!J343"")+IMPORTRANGE(""https://docs.google.com/spreadsheets/d/1gFVb7qd7amutrIxAA"&amp;"oM7lcy35hllxznovot8lyOfvDo/edit?usp=share_link"",""น่าน!J343"")+IMPORTRANGE(""https://docs.google.com/spreadsheets/d/1K0Aa9s-6EuHE5M0FG1F9aHLXRCOV917xvycTdLdct0w/edit?usp=share_link"",""พะเยา!J343"")+IMPORTRANGE(""https://docs.google.com/spreadsheets/d/1Y"&amp;"9LPKx95PyL5OKy09d-KbKJSuuEZCFdkhYjwC0XQjBA/edit?usp=share_link"",""พิจิตร!J343"")+IMPORTRANGE(""https://docs.google.com/spreadsheets/d/16OMuOwy2eVqZcYWOouQtTpa8X1L23h4660uVHc0C8os/edit?usp=share_link"",""พิษณุโลก!J343"")+IMPORTRANGE(""https://docs.google."&amp;"com/spreadsheets/d/1GfgTldLG6k77HXaMQzaafODklYuucJZQNs_GAPEfZyY/edit?usp=share_link"",""เพชรบูรณ์!J343"")+IMPORTRANGE(""https://docs.google.com/spreadsheets/d/1gvTMYAnm7v1yG1BKWFtr0DnaTsq59oW9dwWvFgq6hs0/edit?usp=share_link"",""แพร่!J343"")+IMPORTRANGE("""&amp;"https://docs.google.com/spreadsheets/d/1Wbcosgy-Xa1xXUArJSOenub6EfZHUSzc_bpJFWwQUf0/edit?usp=share_link"",""แม่ฮ่องสอน!J343"")+IMPORTRANGE(""https://docs.google.com/spreadsheets/d/1p7ERhsr0qZeSn-KSOdeHS9r0heI-lHtkcn2OH7hP0jQ/edit?usp=share_link"",""ลำปาง!"&amp;"J343"")+IMPORTRANGE(""https://docs.google.com/spreadsheets/d/1-uUXvimVhiU2U0bMN-xi2te0tS4X7DI2GLPnMjzl8cA/edit?usp=share_link"",""ลำพูน!J343"")+IMPORTRANGE(""https://docs.google.com/spreadsheets/d/17HrOaa5pBUI1onckFfumXB8xlg35qb2uBAFfF1D-Myo/edit?usp=shar"&amp;"e_link"",""สุโขทัย!J343"")+IMPORTRANGE(""https://docs.google.com/spreadsheets/d/1ubs5cl16eYL9gHbdHTJtmtYb9MGzHBs7CAphn8kNCgM/edit?usp=share_link"",""อุตรดิตถ์!J343"")+IMPORTRANGE(""https://docs.google.com/spreadsheets/d/1kII0BjS6CtVrBvI8IrytgPdxDrlyQDyigz"&amp;"MsohRtDMs/edit?usp=share_link"",""อุทัยธานี!J343"")
"),539)</f>
        <v>539</v>
      </c>
      <c r="K343" s="38"/>
      <c r="L343" s="38"/>
      <c r="M343" s="38"/>
      <c r="N343" s="38"/>
      <c r="O343" s="38"/>
      <c r="P343" s="38"/>
    </row>
    <row r="344" spans="1:26" ht="19.5">
      <c r="A344" s="407"/>
      <c r="B344" s="408" t="s">
        <v>157</v>
      </c>
      <c r="C344" s="420"/>
      <c r="D344" s="409"/>
      <c r="E344" s="409"/>
      <c r="F344" s="409"/>
      <c r="G344" s="410"/>
      <c r="H344" s="411"/>
      <c r="I344" s="421"/>
      <c r="J344" s="421"/>
      <c r="K344" s="414"/>
      <c r="L344" s="414"/>
      <c r="M344" s="414"/>
      <c r="N344" s="414"/>
      <c r="O344" s="414"/>
      <c r="P344" s="414"/>
    </row>
    <row r="345" spans="1:26" ht="19.5">
      <c r="A345" s="147"/>
      <c r="B345" s="148"/>
      <c r="C345" s="149" t="s">
        <v>16</v>
      </c>
      <c r="D345" s="150" t="s">
        <v>17</v>
      </c>
      <c r="E345" s="148"/>
      <c r="F345" s="148"/>
      <c r="G345" s="151"/>
      <c r="H345" s="152" t="s">
        <v>12</v>
      </c>
      <c r="I345" s="153"/>
      <c r="J345" s="153"/>
      <c r="K345" s="154"/>
      <c r="L345" s="155">
        <f t="shared" ref="L345:N345" ca="1" si="182">L346+L347</f>
        <v>13325790</v>
      </c>
      <c r="M345" s="155">
        <f t="shared" ca="1" si="182"/>
        <v>7481500</v>
      </c>
      <c r="N345" s="155">
        <f t="shared" ca="1" si="182"/>
        <v>2853228.6599999899</v>
      </c>
      <c r="O345" s="155">
        <f t="shared" ref="O345:O353" ca="1" si="183">IF(L345&gt;0,N345*100/L345,0)</f>
        <v>21.411328409047343</v>
      </c>
      <c r="P345" s="155">
        <f t="shared" ref="P345:P353" ca="1" si="184">IF(M345&gt;0,N345*100/M345,0)</f>
        <v>38.137120363563319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41" t="s">
        <v>18</v>
      </c>
      <c r="F346" s="40"/>
      <c r="G346" s="157"/>
      <c r="H346" s="158" t="s">
        <v>12</v>
      </c>
      <c r="I346" s="44"/>
      <c r="J346" s="44"/>
      <c r="K346" s="45"/>
      <c r="L346" s="45">
        <f t="shared" ref="L346:N346" si="185">L349+L352</f>
        <v>0</v>
      </c>
      <c r="M346" s="45">
        <f t="shared" si="185"/>
        <v>0</v>
      </c>
      <c r="N346" s="45">
        <f t="shared" si="185"/>
        <v>0</v>
      </c>
      <c r="O346" s="45">
        <f t="shared" si="183"/>
        <v>0</v>
      </c>
      <c r="P346" s="45">
        <f t="shared" si="184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41" t="s">
        <v>19</v>
      </c>
      <c r="F347" s="40"/>
      <c r="G347" s="157"/>
      <c r="H347" s="158" t="s">
        <v>12</v>
      </c>
      <c r="I347" s="44"/>
      <c r="J347" s="44"/>
      <c r="K347" s="45"/>
      <c r="L347" s="45">
        <f t="shared" ref="L347:N347" ca="1" si="186">L350+L353</f>
        <v>13325790</v>
      </c>
      <c r="M347" s="45">
        <f t="shared" ca="1" si="186"/>
        <v>7481500</v>
      </c>
      <c r="N347" s="45">
        <f t="shared" ca="1" si="186"/>
        <v>2853228.6599999899</v>
      </c>
      <c r="O347" s="45">
        <f t="shared" ca="1" si="183"/>
        <v>21.411328409047343</v>
      </c>
      <c r="P347" s="45">
        <f t="shared" ca="1" si="184"/>
        <v>38.137120363563319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160"/>
      <c r="D348" s="34" t="s">
        <v>20</v>
      </c>
      <c r="E348" s="33"/>
      <c r="F348" s="33"/>
      <c r="G348" s="35"/>
      <c r="H348" s="161" t="s">
        <v>12</v>
      </c>
      <c r="I348" s="162"/>
      <c r="J348" s="162"/>
      <c r="K348" s="163"/>
      <c r="L348" s="38">
        <f t="shared" ref="L348:N348" ca="1" si="187">L349+L350</f>
        <v>11818690</v>
      </c>
      <c r="M348" s="38">
        <f t="shared" ca="1" si="187"/>
        <v>5989400</v>
      </c>
      <c r="N348" s="38">
        <f t="shared" ca="1" si="187"/>
        <v>1459948.6599999899</v>
      </c>
      <c r="O348" s="38">
        <f t="shared" ca="1" si="183"/>
        <v>12.352880564597175</v>
      </c>
      <c r="P348" s="38">
        <f t="shared" ca="1" si="184"/>
        <v>24.375541122649846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41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45">
        <f t="shared" si="183"/>
        <v>0</v>
      </c>
      <c r="P349" s="45">
        <f t="shared" si="184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41" t="s">
        <v>37</v>
      </c>
      <c r="F350" s="40"/>
      <c r="G350" s="157"/>
      <c r="H350" s="165" t="s">
        <v>12</v>
      </c>
      <c r="I350" s="166"/>
      <c r="J350" s="166"/>
      <c r="K350" s="167"/>
      <c r="L350" s="45">
        <f ca="1">IFERROR(__xludf.DUMMYFUNCTION("IMPORTRANGE(""https://docs.google.com/spreadsheets/d/1KxicF4apzSqm0-jIpmueT4kyZtE-Cwn5zskl7GD4loQ/edit?usp=share_link"",""กำแพงเพชร!l350"")+IMPORTRANGE(""https://docs.google.com/spreadsheets/d/1ZNYWeiFoFA1K1U4xKWqRX29MBvEyRHXORjo734Gnq_c/edit?usp=share_li"&amp;"nk"",""เชียงราย!l350"")
+IMPORTRANGE(""https://docs.google.com/spreadsheets/d/1Jgv0Y7YlHDtsiDawwp-uvifEJ8HVaSn0k2aGHG8-hwM/edit?usp=share_link"",""เชียงใหม่!l350"")+IMPORTRANGE(""https://docs.google.com/spreadsheets/d/1JWG2rZePOz9pe-f-ObA-yDr0VoOX2kSb0qIi"&amp;"x2mTUo8/edit?usp=share_link"",""ตาก!l350"")+IMPORTRANGE(""https://docs.google.com/spreadsheets/d/10nSRjK08hx8Y6HgSOQKNw81lyY46Zc7U_Cj72hBMp9U/edit?usp=share_link"",""นครสวรรค์!l350"")+IMPORTRANGE(""https://docs.google.com/spreadsheets/d/1gFVb7qd7amutrIxAA"&amp;"oM7lcy35hllxznovot8lyOfvDo/edit?usp=share_link"",""น่าน!l350"")+IMPORTRANGE(""https://docs.google.com/spreadsheets/d/1K0Aa9s-6EuHE5M0FG1F9aHLXRCOV917xvycTdLdct0w/edit?usp=share_link"",""พะเยา!l350"")+IMPORTRANGE(""https://docs.google.com/spreadsheets/d/1Y"&amp;"9LPKx95PyL5OKy09d-KbKJSuuEZCFdkhYjwC0XQjBA/edit?usp=share_link"",""พิจิตร!l350"")+IMPORTRANGE(""https://docs.google.com/spreadsheets/d/16OMuOwy2eVqZcYWOouQtTpa8X1L23h4660uVHc0C8os/edit?usp=share_link"",""พิษณุโลก!l350"")+IMPORTRANGE(""https://docs.google."&amp;"com/spreadsheets/d/1GfgTldLG6k77HXaMQzaafODklYuucJZQNs_GAPEfZyY/edit?usp=share_link"",""เพชรบูรณ์!l350"")+IMPORTRANGE(""https://docs.google.com/spreadsheets/d/1gvTMYAnm7v1yG1BKWFtr0DnaTsq59oW9dwWvFgq6hs0/edit?usp=share_link"",""แพร่!l350"")+IMPORTRANGE("""&amp;"https://docs.google.com/spreadsheets/d/1Wbcosgy-Xa1xXUArJSOenub6EfZHUSzc_bpJFWwQUf0/edit?usp=share_link"",""แม่ฮ่องสอน!l350"")+IMPORTRANGE(""https://docs.google.com/spreadsheets/d/1p7ERhsr0qZeSn-KSOdeHS9r0heI-lHtkcn2OH7hP0jQ/edit?usp=share_link"",""ลำปาง!"&amp;"l350"")+IMPORTRANGE(""https://docs.google.com/spreadsheets/d/1-uUXvimVhiU2U0bMN-xi2te0tS4X7DI2GLPnMjzl8cA/edit?usp=share_link"",""ลำพูน!l350"")+IMPORTRANGE(""https://docs.google.com/spreadsheets/d/17HrOaa5pBUI1onckFfumXB8xlg35qb2uBAFfF1D-Myo/edit?usp=shar"&amp;"e_link"",""สุโขทัย!l350"")+IMPORTRANGE(""https://docs.google.com/spreadsheets/d/1ubs5cl16eYL9gHbdHTJtmtYb9MGzHBs7CAphn8kNCgM/edit?usp=share_link"",""อุตรดิตถ์!l350"")+IMPORTRANGE(""https://docs.google.com/spreadsheets/d/1kII0BjS6CtVrBvI8IrytgPdxDrlyQDyigz"&amp;"MsohRtDMs/edit?usp=share_link"",""อุทัยธานี!l350"")
"),11818690)</f>
        <v>11818690</v>
      </c>
      <c r="M350" s="45">
        <f ca="1">IFERROR(__xludf.DUMMYFUNCTION("IMPORTRANGE(""https://docs.google.com/spreadsheets/d/1KxicF4apzSqm0-jIpmueT4kyZtE-Cwn5zskl7GD4loQ/edit?usp=share_link"",""กำแพงเพชร!m350"")+IMPORTRANGE(""https://docs.google.com/spreadsheets/d/1ZNYWeiFoFA1K1U4xKWqRX29MBvEyRHXORjo734Gnq_c/edit?usp=share_li"&amp;"nk"",""เชียงราย!m350"")
+IMPORTRANGE(""https://docs.google.com/spreadsheets/d/1Jgv0Y7YlHDtsiDawwp-uvifEJ8HVaSn0k2aGHG8-hwM/edit?usp=share_link"",""เชียงใหม่!m350"")+IMPORTRANGE(""https://docs.google.com/spreadsheets/d/1JWG2rZePOz9pe-f-ObA-yDr0VoOX2kSb0qIi"&amp;"x2mTUo8/edit?usp=share_link"",""ตาก!m350"")+IMPORTRANGE(""https://docs.google.com/spreadsheets/d/10nSRjK08hx8Y6HgSOQKNw81lyY46Zc7U_Cj72hBMp9U/edit?usp=share_link"",""นครสวรรค์!m350"")+IMPORTRANGE(""https://docs.google.com/spreadsheets/d/1gFVb7qd7amutrIxAA"&amp;"oM7lcy35hllxznovot8lyOfvDo/edit?usp=share_link"",""น่าน!m350"")+IMPORTRANGE(""https://docs.google.com/spreadsheets/d/1K0Aa9s-6EuHE5M0FG1F9aHLXRCOV917xvycTdLdct0w/edit?usp=share_link"",""พะเยา!m350"")+IMPORTRANGE(""https://docs.google.com/spreadsheets/d/1Y"&amp;"9LPKx95PyL5OKy09d-KbKJSuuEZCFdkhYjwC0XQjBA/edit?usp=share_link"",""พิจิตร!m350"")+IMPORTRANGE(""https://docs.google.com/spreadsheets/d/16OMuOwy2eVqZcYWOouQtTpa8X1L23h4660uVHc0C8os/edit?usp=share_link"",""พิษณุโลก!m350"")+IMPORTRANGE(""https://docs.google."&amp;"com/spreadsheets/d/1GfgTldLG6k77HXaMQzaafODklYuucJZQNs_GAPEfZyY/edit?usp=share_link"",""เพชรบูรณ์!m350"")+IMPORTRANGE(""https://docs.google.com/spreadsheets/d/1gvTMYAnm7v1yG1BKWFtr0DnaTsq59oW9dwWvFgq6hs0/edit?usp=share_link"",""แพร่!m350"")+IMPORTRANGE("""&amp;"https://docs.google.com/spreadsheets/d/1Wbcosgy-Xa1xXUArJSOenub6EfZHUSzc_bpJFWwQUf0/edit?usp=share_link"",""แม่ฮ่องสอน!m350"")+IMPORTRANGE(""https://docs.google.com/spreadsheets/d/1p7ERhsr0qZeSn-KSOdeHS9r0heI-lHtkcn2OH7hP0jQ/edit?usp=share_link"",""ลำปาง!"&amp;"m350"")+IMPORTRANGE(""https://docs.google.com/spreadsheets/d/1-uUXvimVhiU2U0bMN-xi2te0tS4X7DI2GLPnMjzl8cA/edit?usp=share_link"",""ลำพูน!m350"")+IMPORTRANGE(""https://docs.google.com/spreadsheets/d/17HrOaa5pBUI1onckFfumXB8xlg35qb2uBAFfF1D-Myo/edit?usp=shar"&amp;"e_link"",""สุโขทัย!m350"")+IMPORTRANGE(""https://docs.google.com/spreadsheets/d/1ubs5cl16eYL9gHbdHTJtmtYb9MGzHBs7CAphn8kNCgM/edit?usp=share_link"",""อุตรดิตถ์!m350"")+IMPORTRANGE(""https://docs.google.com/spreadsheets/d/1kII0BjS6CtVrBvI8IrytgPdxDrlyQDyigz"&amp;"MsohRtDMs/edit?usp=share_link"",""อุทัยธานี!m350"")
"),5989400)</f>
        <v>5989400</v>
      </c>
      <c r="N350" s="45">
        <f ca="1">IFERROR(__xludf.DUMMYFUNCTION("IMPORTRANGE(""https://docs.google.com/spreadsheets/d/1KxicF4apzSqm0-jIpmueT4kyZtE-Cwn5zskl7GD4loQ/edit?usp=share_link"",""กำแพงเพชร!n350"")+IMPORTRANGE(""https://docs.google.com/spreadsheets/d/1ZNYWeiFoFA1K1U4xKWqRX29MBvEyRHXORjo734Gnq_c/edit?usp=share_li"&amp;"nk"",""เชียงราย!n350"")
+IMPORTRANGE(""https://docs.google.com/spreadsheets/d/1Jgv0Y7YlHDtsiDawwp-uvifEJ8HVaSn0k2aGHG8-hwM/edit?usp=share_link"",""เชียงใหม่!n350"")+IMPORTRANGE(""https://docs.google.com/spreadsheets/d/1JWG2rZePOz9pe-f-ObA-yDr0VoOX2kSb0qIi"&amp;"x2mTUo8/edit?usp=share_link"",""ตาก!n350"")+IMPORTRANGE(""https://docs.google.com/spreadsheets/d/10nSRjK08hx8Y6HgSOQKNw81lyY46Zc7U_Cj72hBMp9U/edit?usp=share_link"",""นครสวรรค์!n350"")+IMPORTRANGE(""https://docs.google.com/spreadsheets/d/1gFVb7qd7amutrIxAA"&amp;"oM7lcy35hllxznovot8lyOfvDo/edit?usp=share_link"",""น่าน!n350"")+IMPORTRANGE(""https://docs.google.com/spreadsheets/d/1K0Aa9s-6EuHE5M0FG1F9aHLXRCOV917xvycTdLdct0w/edit?usp=share_link"",""พะเยา!n350"")+IMPORTRANGE(""https://docs.google.com/spreadsheets/d/1Y"&amp;"9LPKx95PyL5OKy09d-KbKJSuuEZCFdkhYjwC0XQjBA/edit?usp=share_link"",""พิจิตร!n350"")+IMPORTRANGE(""https://docs.google.com/spreadsheets/d/16OMuOwy2eVqZcYWOouQtTpa8X1L23h4660uVHc0C8os/edit?usp=share_link"",""พิษณุโลก!n350"")+IMPORTRANGE(""https://docs.google."&amp;"com/spreadsheets/d/1GfgTldLG6k77HXaMQzaafODklYuucJZQNs_GAPEfZyY/edit?usp=share_link"",""เพชรบูรณ์!n350"")+IMPORTRANGE(""https://docs.google.com/spreadsheets/d/1gvTMYAnm7v1yG1BKWFtr0DnaTsq59oW9dwWvFgq6hs0/edit?usp=share_link"",""แพร่!n350"")+IMPORTRANGE("""&amp;"https://docs.google.com/spreadsheets/d/1Wbcosgy-Xa1xXUArJSOenub6EfZHUSzc_bpJFWwQUf0/edit?usp=share_link"",""แม่ฮ่องสอน!n350"")+IMPORTRANGE(""https://docs.google.com/spreadsheets/d/1p7ERhsr0qZeSn-KSOdeHS9r0heI-lHtkcn2OH7hP0jQ/edit?usp=share_link"",""ลำปาง!"&amp;"n350"")+IMPORTRANGE(""https://docs.google.com/spreadsheets/d/1-uUXvimVhiU2U0bMN-xi2te0tS4X7DI2GLPnMjzl8cA/edit?usp=share_link"",""ลำพูน!n350"")+IMPORTRANGE(""https://docs.google.com/spreadsheets/d/17HrOaa5pBUI1onckFfumXB8xlg35qb2uBAFfF1D-Myo/edit?usp=shar"&amp;"e_link"",""สุโขทัย!n350"")+IMPORTRANGE(""https://docs.google.com/spreadsheets/d/1ubs5cl16eYL9gHbdHTJtmtYb9MGzHBs7CAphn8kNCgM/edit?usp=share_link"",""อุตรดิตถ์!n350"")+IMPORTRANGE(""https://docs.google.com/spreadsheets/d/1kII0BjS6CtVrBvI8IrytgPdxDrlyQDyigz"&amp;"MsohRtDMs/edit?usp=share_link"",""อุทัยธานี!n350"")
"),1459948.65999999)</f>
        <v>1459948.6599999899</v>
      </c>
      <c r="O350" s="45">
        <f t="shared" ca="1" si="183"/>
        <v>12.352880564597175</v>
      </c>
      <c r="P350" s="45">
        <f t="shared" ca="1" si="184"/>
        <v>24.375541122649846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160"/>
      <c r="D351" s="34" t="s">
        <v>21</v>
      </c>
      <c r="E351" s="33"/>
      <c r="F351" s="33"/>
      <c r="G351" s="35"/>
      <c r="H351" s="168" t="s">
        <v>12</v>
      </c>
      <c r="I351" s="162"/>
      <c r="J351" s="162"/>
      <c r="K351" s="163"/>
      <c r="L351" s="38">
        <f t="shared" ref="L351:N351" ca="1" si="188">L352+L353</f>
        <v>1507100</v>
      </c>
      <c r="M351" s="38">
        <f t="shared" ca="1" si="188"/>
        <v>1492100</v>
      </c>
      <c r="N351" s="38">
        <f t="shared" ca="1" si="188"/>
        <v>1393280</v>
      </c>
      <c r="O351" s="38">
        <f t="shared" ca="1" si="183"/>
        <v>92.447747329307944</v>
      </c>
      <c r="P351" s="38">
        <f t="shared" ca="1" si="184"/>
        <v>93.377119496012327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41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45">
        <f t="shared" si="183"/>
        <v>0</v>
      </c>
      <c r="P352" s="45">
        <f t="shared" si="184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41" t="s">
        <v>19</v>
      </c>
      <c r="F353" s="40"/>
      <c r="G353" s="157"/>
      <c r="H353" s="169" t="s">
        <v>12</v>
      </c>
      <c r="I353" s="166"/>
      <c r="J353" s="166"/>
      <c r="K353" s="167"/>
      <c r="L353" s="45">
        <f ca="1">IFERROR(__xludf.DUMMYFUNCTION("IMPORTRANGE(""https://docs.google.com/spreadsheets/d/1KxicF4apzSqm0-jIpmueT4kyZtE-Cwn5zskl7GD4loQ/edit?usp=share_link"",""กำแพงเพชร!l353"")+IMPORTRANGE(""https://docs.google.com/spreadsheets/d/1ZNYWeiFoFA1K1U4xKWqRX29MBvEyRHXORjo734Gnq_c/edit?usp=share_li"&amp;"nk"",""เชียงราย!l353"")
+IMPORTRANGE(""https://docs.google.com/spreadsheets/d/1Jgv0Y7YlHDtsiDawwp-uvifEJ8HVaSn0k2aGHG8-hwM/edit?usp=share_link"",""เชียงใหม่!l353"")+IMPORTRANGE(""https://docs.google.com/spreadsheets/d/1JWG2rZePOz9pe-f-ObA-yDr0VoOX2kSb0qIi"&amp;"x2mTUo8/edit?usp=share_link"",""ตาก!l353"")+IMPORTRANGE(""https://docs.google.com/spreadsheets/d/10nSRjK08hx8Y6HgSOQKNw81lyY46Zc7U_Cj72hBMp9U/edit?usp=share_link"",""นครสวรรค์!l353"")+IMPORTRANGE(""https://docs.google.com/spreadsheets/d/1gFVb7qd7amutrIxAA"&amp;"oM7lcy35hllxznovot8lyOfvDo/edit?usp=share_link"",""น่าน!l353"")+IMPORTRANGE(""https://docs.google.com/spreadsheets/d/1K0Aa9s-6EuHE5M0FG1F9aHLXRCOV917xvycTdLdct0w/edit?usp=share_link"",""พะเยา!l353"")+IMPORTRANGE(""https://docs.google.com/spreadsheets/d/1Y"&amp;"9LPKx95PyL5OKy09d-KbKJSuuEZCFdkhYjwC0XQjBA/edit?usp=share_link"",""พิจิตร!l353"")+IMPORTRANGE(""https://docs.google.com/spreadsheets/d/16OMuOwy2eVqZcYWOouQtTpa8X1L23h4660uVHc0C8os/edit?usp=share_link"",""พิษณุโลก!l353"")+IMPORTRANGE(""https://docs.google."&amp;"com/spreadsheets/d/1GfgTldLG6k77HXaMQzaafODklYuucJZQNs_GAPEfZyY/edit?usp=share_link"",""เพชรบูรณ์!l353"")+IMPORTRANGE(""https://docs.google.com/spreadsheets/d/1gvTMYAnm7v1yG1BKWFtr0DnaTsq59oW9dwWvFgq6hs0/edit?usp=share_link"",""แพร่!l353"")+IMPORTRANGE("""&amp;"https://docs.google.com/spreadsheets/d/1Wbcosgy-Xa1xXUArJSOenub6EfZHUSzc_bpJFWwQUf0/edit?usp=share_link"",""แม่ฮ่องสอน!l353"")+IMPORTRANGE(""https://docs.google.com/spreadsheets/d/1p7ERhsr0qZeSn-KSOdeHS9r0heI-lHtkcn2OH7hP0jQ/edit?usp=share_link"",""ลำปาง!"&amp;"l353"")+IMPORTRANGE(""https://docs.google.com/spreadsheets/d/1-uUXvimVhiU2U0bMN-xi2te0tS4X7DI2GLPnMjzl8cA/edit?usp=share_link"",""ลำพูน!l353"")+IMPORTRANGE(""https://docs.google.com/spreadsheets/d/17HrOaa5pBUI1onckFfumXB8xlg35qb2uBAFfF1D-Myo/edit?usp=shar"&amp;"e_link"",""สุโขทัย!l353"")+IMPORTRANGE(""https://docs.google.com/spreadsheets/d/1ubs5cl16eYL9gHbdHTJtmtYb9MGzHBs7CAphn8kNCgM/edit?usp=share_link"",""อุตรดิตถ์!l353"")+IMPORTRANGE(""https://docs.google.com/spreadsheets/d/1kII0BjS6CtVrBvI8IrytgPdxDrlyQDyigz"&amp;"MsohRtDMs/edit?usp=share_link"",""อุทัยธานี!l353"")
"),1507100)</f>
        <v>1507100</v>
      </c>
      <c r="M353" s="45">
        <f ca="1">IFERROR(__xludf.DUMMYFUNCTION("IMPORTRANGE(""https://docs.google.com/spreadsheets/d/1KxicF4apzSqm0-jIpmueT4kyZtE-Cwn5zskl7GD4loQ/edit?usp=share_link"",""กำแพงเพชร!m353"")+IMPORTRANGE(""https://docs.google.com/spreadsheets/d/1ZNYWeiFoFA1K1U4xKWqRX29MBvEyRHXORjo734Gnq_c/edit?usp=share_li"&amp;"nk"",""เชียงราย!m353"")
+IMPORTRANGE(""https://docs.google.com/spreadsheets/d/1Jgv0Y7YlHDtsiDawwp-uvifEJ8HVaSn0k2aGHG8-hwM/edit?usp=share_link"",""เชียงใหม่!m353"")+IMPORTRANGE(""https://docs.google.com/spreadsheets/d/1JWG2rZePOz9pe-f-ObA-yDr0VoOX2kSb0qIi"&amp;"x2mTUo8/edit?usp=share_link"",""ตาก!m353"")+IMPORTRANGE(""https://docs.google.com/spreadsheets/d/10nSRjK08hx8Y6HgSOQKNw81lyY46Zc7U_Cj72hBMp9U/edit?usp=share_link"",""นครสวรรค์!m353"")+IMPORTRANGE(""https://docs.google.com/spreadsheets/d/1gFVb7qd7amutrIxAA"&amp;"oM7lcy35hllxznovot8lyOfvDo/edit?usp=share_link"",""น่าน!m353"")+IMPORTRANGE(""https://docs.google.com/spreadsheets/d/1K0Aa9s-6EuHE5M0FG1F9aHLXRCOV917xvycTdLdct0w/edit?usp=share_link"",""พะเยา!m353"")+IMPORTRANGE(""https://docs.google.com/spreadsheets/d/1Y"&amp;"9LPKx95PyL5OKy09d-KbKJSuuEZCFdkhYjwC0XQjBA/edit?usp=share_link"",""พิจิตร!m353"")+IMPORTRANGE(""https://docs.google.com/spreadsheets/d/16OMuOwy2eVqZcYWOouQtTpa8X1L23h4660uVHc0C8os/edit?usp=share_link"",""พิษณุโลก!m353"")+IMPORTRANGE(""https://docs.google."&amp;"com/spreadsheets/d/1GfgTldLG6k77HXaMQzaafODklYuucJZQNs_GAPEfZyY/edit?usp=share_link"",""เพชรบูรณ์!m353"")+IMPORTRANGE(""https://docs.google.com/spreadsheets/d/1gvTMYAnm7v1yG1BKWFtr0DnaTsq59oW9dwWvFgq6hs0/edit?usp=share_link"",""แพร่!m353"")+IMPORTRANGE("""&amp;"https://docs.google.com/spreadsheets/d/1Wbcosgy-Xa1xXUArJSOenub6EfZHUSzc_bpJFWwQUf0/edit?usp=share_link"",""แม่ฮ่องสอน!m353"")+IMPORTRANGE(""https://docs.google.com/spreadsheets/d/1p7ERhsr0qZeSn-KSOdeHS9r0heI-lHtkcn2OH7hP0jQ/edit?usp=share_link"",""ลำปาง!"&amp;"m353"")+IMPORTRANGE(""https://docs.google.com/spreadsheets/d/1-uUXvimVhiU2U0bMN-xi2te0tS4X7DI2GLPnMjzl8cA/edit?usp=share_link"",""ลำพูน!m353"")+IMPORTRANGE(""https://docs.google.com/spreadsheets/d/17HrOaa5pBUI1onckFfumXB8xlg35qb2uBAFfF1D-Myo/edit?usp=shar"&amp;"e_link"",""สุโขทัย!m353"")+IMPORTRANGE(""https://docs.google.com/spreadsheets/d/1ubs5cl16eYL9gHbdHTJtmtYb9MGzHBs7CAphn8kNCgM/edit?usp=share_link"",""อุตรดิตถ์!m353"")+IMPORTRANGE(""https://docs.google.com/spreadsheets/d/1kII0BjS6CtVrBvI8IrytgPdxDrlyQDyigz"&amp;"MsohRtDMs/edit?usp=share_link"",""อุทัยธานี!m353"")
"),1492100)</f>
        <v>1492100</v>
      </c>
      <c r="N353" s="45">
        <f ca="1">IFERROR(__xludf.DUMMYFUNCTION("IMPORTRANGE(""https://docs.google.com/spreadsheets/d/1KxicF4apzSqm0-jIpmueT4kyZtE-Cwn5zskl7GD4loQ/edit?usp=share_link"",""กำแพงเพชร!n353"")+IMPORTRANGE(""https://docs.google.com/spreadsheets/d/1ZNYWeiFoFA1K1U4xKWqRX29MBvEyRHXORjo734Gnq_c/edit?usp=share_li"&amp;"nk"",""เชียงราย!n353"")
+IMPORTRANGE(""https://docs.google.com/spreadsheets/d/1Jgv0Y7YlHDtsiDawwp-uvifEJ8HVaSn0k2aGHG8-hwM/edit?usp=share_link"",""เชียงใหม่!n353"")+IMPORTRANGE(""https://docs.google.com/spreadsheets/d/1JWG2rZePOz9pe-f-ObA-yDr0VoOX2kSb0qIi"&amp;"x2mTUo8/edit?usp=share_link"",""ตาก!n353"")+IMPORTRANGE(""https://docs.google.com/spreadsheets/d/10nSRjK08hx8Y6HgSOQKNw81lyY46Zc7U_Cj72hBMp9U/edit?usp=share_link"",""นครสวรรค์!n353"")+IMPORTRANGE(""https://docs.google.com/spreadsheets/d/1gFVb7qd7amutrIxAA"&amp;"oM7lcy35hllxznovot8lyOfvDo/edit?usp=share_link"",""น่าน!n353"")+IMPORTRANGE(""https://docs.google.com/spreadsheets/d/1K0Aa9s-6EuHE5M0FG1F9aHLXRCOV917xvycTdLdct0w/edit?usp=share_link"",""พะเยา!n353"")+IMPORTRANGE(""https://docs.google.com/spreadsheets/d/1Y"&amp;"9LPKx95PyL5OKy09d-KbKJSuuEZCFdkhYjwC0XQjBA/edit?usp=share_link"",""พิจิตร!n353"")+IMPORTRANGE(""https://docs.google.com/spreadsheets/d/16OMuOwy2eVqZcYWOouQtTpa8X1L23h4660uVHc0C8os/edit?usp=share_link"",""พิษณุโลก!n353"")+IMPORTRANGE(""https://docs.google."&amp;"com/spreadsheets/d/1GfgTldLG6k77HXaMQzaafODklYuucJZQNs_GAPEfZyY/edit?usp=share_link"",""เพชรบูรณ์!n353"")+IMPORTRANGE(""https://docs.google.com/spreadsheets/d/1gvTMYAnm7v1yG1BKWFtr0DnaTsq59oW9dwWvFgq6hs0/edit?usp=share_link"",""แพร่!n353"")+IMPORTRANGE("""&amp;"https://docs.google.com/spreadsheets/d/1Wbcosgy-Xa1xXUArJSOenub6EfZHUSzc_bpJFWwQUf0/edit?usp=share_link"",""แม่ฮ่องสอน!n353"")+IMPORTRANGE(""https://docs.google.com/spreadsheets/d/1p7ERhsr0qZeSn-KSOdeHS9r0heI-lHtkcn2OH7hP0jQ/edit?usp=share_link"",""ลำปาง!"&amp;"n353"")+IMPORTRANGE(""https://docs.google.com/spreadsheets/d/1-uUXvimVhiU2U0bMN-xi2te0tS4X7DI2GLPnMjzl8cA/edit?usp=share_link"",""ลำพูน!n353"")+IMPORTRANGE(""https://docs.google.com/spreadsheets/d/17HrOaa5pBUI1onckFfumXB8xlg35qb2uBAFfF1D-Myo/edit?usp=shar"&amp;"e_link"",""สุโขทัย!n353"")+IMPORTRANGE(""https://docs.google.com/spreadsheets/d/1ubs5cl16eYL9gHbdHTJtmtYb9MGzHBs7CAphn8kNCgM/edit?usp=share_link"",""อุตรดิตถ์!n353"")+IMPORTRANGE(""https://docs.google.com/spreadsheets/d/1kII0BjS6CtVrBvI8IrytgPdxDrlyQDyigz"&amp;"MsohRtDMs/edit?usp=share_link"",""อุทัยธานี!n353"")
"),1393280)</f>
        <v>1393280</v>
      </c>
      <c r="O353" s="45">
        <f t="shared" ca="1" si="183"/>
        <v>92.447747329307944</v>
      </c>
      <c r="P353" s="45">
        <f t="shared" ca="1" si="184"/>
        <v>93.377119496012327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5"/>
      <c r="B354" s="263"/>
      <c r="C354" s="256"/>
      <c r="D354" s="422" t="s">
        <v>158</v>
      </c>
      <c r="E354" s="256"/>
      <c r="F354" s="256"/>
      <c r="G354" s="258"/>
      <c r="H354" s="423"/>
      <c r="I354" s="260"/>
      <c r="J354" s="260"/>
      <c r="K354" s="261"/>
      <c r="L354" s="261"/>
      <c r="M354" s="261"/>
      <c r="N354" s="261"/>
      <c r="O354" s="261"/>
      <c r="P354" s="261"/>
    </row>
    <row r="355" spans="1:26" ht="19.5">
      <c r="A355" s="424"/>
      <c r="B355" s="425"/>
      <c r="C355" s="426"/>
      <c r="D355" s="427" t="s">
        <v>159</v>
      </c>
      <c r="E355" s="428"/>
      <c r="F355" s="428"/>
      <c r="G355" s="429"/>
      <c r="H355" s="430" t="s">
        <v>35</v>
      </c>
      <c r="I355" s="431">
        <f ca="1">IFERROR(__xludf.DUMMYFUNCTION("IMPORTRANGE(""https://docs.google.com/spreadsheets/d/1KxicF4apzSqm0-jIpmueT4kyZtE-Cwn5zskl7GD4loQ/edit?usp=share_link"",""กำแพงเพชร!I355"")+IMPORTRANGE(""https://docs.google.com/spreadsheets/d/1ZNYWeiFoFA1K1U4xKWqRX29MBvEyRHXORjo734Gnq_c/edit?usp=share_li"&amp;"nk"",""เชียงราย!I355"")
+IMPORTRANGE(""https://docs.google.com/spreadsheets/d/1Jgv0Y7YlHDtsiDawwp-uvifEJ8HVaSn0k2aGHG8-hwM/edit?usp=share_link"",""เชียงใหม่!I355"")+IMPORTRANGE(""https://docs.google.com/spreadsheets/d/1JWG2rZePOz9pe-f-ObA-yDr0VoOX2kSb0qIi"&amp;"x2mTUo8/edit?usp=share_link"",""ตาก!I355"")+IMPORTRANGE(""https://docs.google.com/spreadsheets/d/10nSRjK08hx8Y6HgSOQKNw81lyY46Zc7U_Cj72hBMp9U/edit?usp=share_link"",""นครสวรรค์!I355"")+IMPORTRANGE(""https://docs.google.com/spreadsheets/d/1gFVb7qd7amutrIxAA"&amp;"oM7lcy35hllxznovot8lyOfvDo/edit?usp=share_link"",""น่าน!I355"")+IMPORTRANGE(""https://docs.google.com/spreadsheets/d/1K0Aa9s-6EuHE5M0FG1F9aHLXRCOV917xvycTdLdct0w/edit?usp=share_link"",""พะเยา!I355"")+IMPORTRANGE(""https://docs.google.com/spreadsheets/d/1Y"&amp;"9LPKx95PyL5OKy09d-KbKJSuuEZCFdkhYjwC0XQjBA/edit?usp=share_link"",""พิจิตร!I355"")+IMPORTRANGE(""https://docs.google.com/spreadsheets/d/16OMuOwy2eVqZcYWOouQtTpa8X1L23h4660uVHc0C8os/edit?usp=share_link"",""พิษณุโลก!I355"")+IMPORTRANGE(""https://docs.google."&amp;"com/spreadsheets/d/1GfgTldLG6k77HXaMQzaafODklYuucJZQNs_GAPEfZyY/edit?usp=share_link"",""เพชรบูรณ์!I355"")+IMPORTRANGE(""https://docs.google.com/spreadsheets/d/1gvTMYAnm7v1yG1BKWFtr0DnaTsq59oW9dwWvFgq6hs0/edit?usp=share_link"",""แพร่!I355"")+IMPORTRANGE("""&amp;"https://docs.google.com/spreadsheets/d/1Wbcosgy-Xa1xXUArJSOenub6EfZHUSzc_bpJFWwQUf0/edit?usp=share_link"",""แม่ฮ่องสอน!I355"")+IMPORTRANGE(""https://docs.google.com/spreadsheets/d/1p7ERhsr0qZeSn-KSOdeHS9r0heI-lHtkcn2OH7hP0jQ/edit?usp=share_link"",""ลำปาง!"&amp;"I355"")+IMPORTRANGE(""https://docs.google.com/spreadsheets/d/1-uUXvimVhiU2U0bMN-xi2te0tS4X7DI2GLPnMjzl8cA/edit?usp=share_link"",""ลำพูน!I355"")+IMPORTRANGE(""https://docs.google.com/spreadsheets/d/17HrOaa5pBUI1onckFfumXB8xlg35qb2uBAFfF1D-Myo/edit?usp=shar"&amp;"e_link"",""สุโขทัย!I355"")+IMPORTRANGE(""https://docs.google.com/spreadsheets/d/1ubs5cl16eYL9gHbdHTJtmtYb9MGzHBs7CAphn8kNCgM/edit?usp=share_link"",""อุตรดิตถ์!I355"")+IMPORTRANGE(""https://docs.google.com/spreadsheets/d/1kII0BjS6CtVrBvI8IrytgPdxDrlyQDyigz"&amp;"MsohRtDMs/edit?usp=share_link"",""อุทัยธานี!I355"")
"),4028)</f>
        <v>4028</v>
      </c>
      <c r="J355" s="432">
        <f ca="1">J362</f>
        <v>75</v>
      </c>
      <c r="K355" s="433">
        <f ca="1">IF(I355&gt;0,J355*100/I355,0)</f>
        <v>1.8619662363455809</v>
      </c>
      <c r="L355" s="434"/>
      <c r="M355" s="434"/>
      <c r="N355" s="434"/>
      <c r="O355" s="434"/>
      <c r="P355" s="434"/>
    </row>
    <row r="356" spans="1:26" ht="19.5">
      <c r="A356" s="424"/>
      <c r="B356" s="425"/>
      <c r="C356" s="426"/>
      <c r="D356" s="435" t="s">
        <v>160</v>
      </c>
      <c r="E356" s="428"/>
      <c r="F356" s="428"/>
      <c r="G356" s="429"/>
      <c r="H356" s="436"/>
      <c r="I356" s="437"/>
      <c r="J356" s="437"/>
      <c r="K356" s="434"/>
      <c r="L356" s="434"/>
      <c r="M356" s="434"/>
      <c r="N356" s="434"/>
      <c r="O356" s="434"/>
      <c r="P356" s="434"/>
    </row>
    <row r="357" spans="1:26" ht="19.5">
      <c r="A357" s="170"/>
      <c r="B357" s="171"/>
      <c r="C357" s="164" t="s">
        <v>16</v>
      </c>
      <c r="D357" s="172" t="s">
        <v>38</v>
      </c>
      <c r="E357" s="173"/>
      <c r="F357" s="173"/>
      <c r="G357" s="174"/>
      <c r="H357" s="175"/>
      <c r="I357" s="37"/>
      <c r="J357" s="37"/>
      <c r="K357" s="38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69">
        <v>0</v>
      </c>
      <c r="J358" s="269">
        <f ca="1">IFERROR(__xludf.DUMMYFUNCTION("IMPORTRANGE(""https://docs.google.com/spreadsheets/d/1KxicF4apzSqm0-jIpmueT4kyZtE-Cwn5zskl7GD4loQ/edit?usp=share_link"",""กำแพงเพชร!J358"")+IMPORTRANGE(""https://docs.google.com/spreadsheets/d/1ZNYWeiFoFA1K1U4xKWqRX29MBvEyRHXORjo734Gnq_c/edit?usp=share_li"&amp;"nk"",""เชียงราย!J358"")
+IMPORTRANGE(""https://docs.google.com/spreadsheets/d/1Jgv0Y7YlHDtsiDawwp-uvifEJ8HVaSn0k2aGHG8-hwM/edit?usp=share_link"",""เชียงใหม่!J358"")+IMPORTRANGE(""https://docs.google.com/spreadsheets/d/1JWG2rZePOz9pe-f-ObA-yDr0VoOX2kSb0qIi"&amp;"x2mTUo8/edit?usp=share_link"",""ตาก!J358"")+IMPORTRANGE(""https://docs.google.com/spreadsheets/d/10nSRjK08hx8Y6HgSOQKNw81lyY46Zc7U_Cj72hBMp9U/edit?usp=share_link"",""นครสวรรค์!J358"")+IMPORTRANGE(""https://docs.google.com/spreadsheets/d/1gFVb7qd7amutrIxAA"&amp;"oM7lcy35hllxznovot8lyOfvDo/edit?usp=share_link"",""น่าน!J358"")+IMPORTRANGE(""https://docs.google.com/spreadsheets/d/1K0Aa9s-6EuHE5M0FG1F9aHLXRCOV917xvycTdLdct0w/edit?usp=share_link"",""พะเยา!J358"")+IMPORTRANGE(""https://docs.google.com/spreadsheets/d/1Y"&amp;"9LPKx95PyL5OKy09d-KbKJSuuEZCFdkhYjwC0XQjBA/edit?usp=share_link"",""พิจิตร!J358"")+IMPORTRANGE(""https://docs.google.com/spreadsheets/d/16OMuOwy2eVqZcYWOouQtTpa8X1L23h4660uVHc0C8os/edit?usp=share_link"",""พิษณุโลก!J358"")+IMPORTRANGE(""https://docs.google."&amp;"com/spreadsheets/d/1GfgTldLG6k77HXaMQzaafODklYuucJZQNs_GAPEfZyY/edit?usp=share_link"",""เพชรบูรณ์!J358"")+IMPORTRANGE(""https://docs.google.com/spreadsheets/d/1gvTMYAnm7v1yG1BKWFtr0DnaTsq59oW9dwWvFgq6hs0/edit?usp=share_link"",""แพร่!J358"")+IMPORTRANGE("""&amp;"https://docs.google.com/spreadsheets/d/1Wbcosgy-Xa1xXUArJSOenub6EfZHUSzc_bpJFWwQUf0/edit?usp=share_link"",""แม่ฮ่องสอน!J358"")+IMPORTRANGE(""https://docs.google.com/spreadsheets/d/1p7ERhsr0qZeSn-KSOdeHS9r0heI-lHtkcn2OH7hP0jQ/edit?usp=share_link"",""ลำปาง!"&amp;"J358"")+IMPORTRANGE(""https://docs.google.com/spreadsheets/d/1-uUXvimVhiU2U0bMN-xi2te0tS4X7DI2GLPnMjzl8cA/edit?usp=share_link"",""ลำพูน!J358"")+IMPORTRANGE(""https://docs.google.com/spreadsheets/d/17HrOaa5pBUI1onckFfumXB8xlg35qb2uBAFfF1D-Myo/edit?usp=shar"&amp;"e_link"",""สุโขทัย!J358"")+IMPORTRANGE(""https://docs.google.com/spreadsheets/d/1ubs5cl16eYL9gHbdHTJtmtYb9MGzHBs7CAphn8kNCgM/edit?usp=share_link"",""อุตรดิตถ์!J358"")+IMPORTRANGE(""https://docs.google.com/spreadsheets/d/1kII0BjS6CtVrBvI8IrytgPdxDrlyQDyigz"&amp;"MsohRtDMs/edit?usp=share_link"",""อุทัยธานี!J358"")
"),221)</f>
        <v>221</v>
      </c>
      <c r="K358" s="38">
        <f t="shared" ref="K358:K365" si="189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37">
        <f ca="1">IFERROR(__xludf.DUMMYFUNCTION("IMPORTRANGE(""https://docs.google.com/spreadsheets/d/1KxicF4apzSqm0-jIpmueT4kyZtE-Cwn5zskl7GD4loQ/edit?usp=share_link"",""กำแพงเพชร!I359"")+IMPORTRANGE(""https://docs.google.com/spreadsheets/d/1ZNYWeiFoFA1K1U4xKWqRX29MBvEyRHXORjo734Gnq_c/edit?usp=share_li"&amp;"nk"",""เชียงราย!I359"")
+IMPORTRANGE(""https://docs.google.com/spreadsheets/d/1Jgv0Y7YlHDtsiDawwp-uvifEJ8HVaSn0k2aGHG8-hwM/edit?usp=share_link"",""เชียงใหม่!I359"")+IMPORTRANGE(""https://docs.google.com/spreadsheets/d/1JWG2rZePOz9pe-f-ObA-yDr0VoOX2kSb0qIi"&amp;"x2mTUo8/edit?usp=share_link"",""ตาก!I359"")+IMPORTRANGE(""https://docs.google.com/spreadsheets/d/10nSRjK08hx8Y6HgSOQKNw81lyY46Zc7U_Cj72hBMp9U/edit?usp=share_link"",""นครสวรรค์!I359"")+IMPORTRANGE(""https://docs.google.com/spreadsheets/d/1gFVb7qd7amutrIxAA"&amp;"oM7lcy35hllxznovot8lyOfvDo/edit?usp=share_link"",""น่าน!I359"")+IMPORTRANGE(""https://docs.google.com/spreadsheets/d/1K0Aa9s-6EuHE5M0FG1F9aHLXRCOV917xvycTdLdct0w/edit?usp=share_link"",""พะเยา!I359"")+IMPORTRANGE(""https://docs.google.com/spreadsheets/d/1Y"&amp;"9LPKx95PyL5OKy09d-KbKJSuuEZCFdkhYjwC0XQjBA/edit?usp=share_link"",""พิจิตร!I359"")+IMPORTRANGE(""https://docs.google.com/spreadsheets/d/16OMuOwy2eVqZcYWOouQtTpa8X1L23h4660uVHc0C8os/edit?usp=share_link"",""พิษณุโลก!I359"")+IMPORTRANGE(""https://docs.google."&amp;"com/spreadsheets/d/1GfgTldLG6k77HXaMQzaafODklYuucJZQNs_GAPEfZyY/edit?usp=share_link"",""เพชรบูรณ์!I359"")+IMPORTRANGE(""https://docs.google.com/spreadsheets/d/1gvTMYAnm7v1yG1BKWFtr0DnaTsq59oW9dwWvFgq6hs0/edit?usp=share_link"",""แพร่!I359"")+IMPORTRANGE("""&amp;"https://docs.google.com/spreadsheets/d/1Wbcosgy-Xa1xXUArJSOenub6EfZHUSzc_bpJFWwQUf0/edit?usp=share_link"",""แม่ฮ่องสอน!I359"")+IMPORTRANGE(""https://docs.google.com/spreadsheets/d/1p7ERhsr0qZeSn-KSOdeHS9r0heI-lHtkcn2OH7hP0jQ/edit?usp=share_link"",""ลำปาง!"&amp;"I359"")+IMPORTRANGE(""https://docs.google.com/spreadsheets/d/1-uUXvimVhiU2U0bMN-xi2te0tS4X7DI2GLPnMjzl8cA/edit?usp=share_link"",""ลำพูน!I359"")+IMPORTRANGE(""https://docs.google.com/spreadsheets/d/17HrOaa5pBUI1onckFfumXB8xlg35qb2uBAFfF1D-Myo/edit?usp=shar"&amp;"e_link"",""สุโขทัย!I359"")+IMPORTRANGE(""https://docs.google.com/spreadsheets/d/1ubs5cl16eYL9gHbdHTJtmtYb9MGzHBs7CAphn8kNCgM/edit?usp=share_link"",""อุตรดิตถ์!I359"")+IMPORTRANGE(""https://docs.google.com/spreadsheets/d/1kII0BjS6CtVrBvI8IrytgPdxDrlyQDyigz"&amp;"MsohRtDMs/edit?usp=share_link"",""อุทัยธานี!I359"")
"),35800)</f>
        <v>35800</v>
      </c>
      <c r="J359" s="269">
        <f ca="1">IFERROR(__xludf.DUMMYFUNCTION("IMPORTRANGE(""https://docs.google.com/spreadsheets/d/1KxicF4apzSqm0-jIpmueT4kyZtE-Cwn5zskl7GD4loQ/edit?usp=share_link"",""กำแพงเพชร!J359"")+IMPORTRANGE(""https://docs.google.com/spreadsheets/d/1ZNYWeiFoFA1K1U4xKWqRX29MBvEyRHXORjo734Gnq_c/edit?usp=share_li"&amp;"nk"",""เชียงราย!J359"")
+IMPORTRANGE(""https://docs.google.com/spreadsheets/d/1Jgv0Y7YlHDtsiDawwp-uvifEJ8HVaSn0k2aGHG8-hwM/edit?usp=share_link"",""เชียงใหม่!J359"")+IMPORTRANGE(""https://docs.google.com/spreadsheets/d/1JWG2rZePOz9pe-f-ObA-yDr0VoOX2kSb0qIi"&amp;"x2mTUo8/edit?usp=share_link"",""ตาก!J359"")+IMPORTRANGE(""https://docs.google.com/spreadsheets/d/10nSRjK08hx8Y6HgSOQKNw81lyY46Zc7U_Cj72hBMp9U/edit?usp=share_link"",""นครสวรรค์!J359"")+IMPORTRANGE(""https://docs.google.com/spreadsheets/d/1gFVb7qd7amutrIxAA"&amp;"oM7lcy35hllxznovot8lyOfvDo/edit?usp=share_link"",""น่าน!J359"")+IMPORTRANGE(""https://docs.google.com/spreadsheets/d/1K0Aa9s-6EuHE5M0FG1F9aHLXRCOV917xvycTdLdct0w/edit?usp=share_link"",""พะเยา!J359"")+IMPORTRANGE(""https://docs.google.com/spreadsheets/d/1Y"&amp;"9LPKx95PyL5OKy09d-KbKJSuuEZCFdkhYjwC0XQjBA/edit?usp=share_link"",""พิจิตร!J359"")+IMPORTRANGE(""https://docs.google.com/spreadsheets/d/16OMuOwy2eVqZcYWOouQtTpa8X1L23h4660uVHc0C8os/edit?usp=share_link"",""พิษณุโลก!J359"")+IMPORTRANGE(""https://docs.google."&amp;"com/spreadsheets/d/1GfgTldLG6k77HXaMQzaafODklYuucJZQNs_GAPEfZyY/edit?usp=share_link"",""เพชรบูรณ์!J359"")+IMPORTRANGE(""https://docs.google.com/spreadsheets/d/1gvTMYAnm7v1yG1BKWFtr0DnaTsq59oW9dwWvFgq6hs0/edit?usp=share_link"",""แพร่!J359"")+IMPORTRANGE("""&amp;"https://docs.google.com/spreadsheets/d/1Wbcosgy-Xa1xXUArJSOenub6EfZHUSzc_bpJFWwQUf0/edit?usp=share_link"",""แม่ฮ่องสอน!J359"")+IMPORTRANGE(""https://docs.google.com/spreadsheets/d/1p7ERhsr0qZeSn-KSOdeHS9r0heI-lHtkcn2OH7hP0jQ/edit?usp=share_link"",""ลำปาง!"&amp;"J359"")+IMPORTRANGE(""https://docs.google.com/spreadsheets/d/1-uUXvimVhiU2U0bMN-xi2te0tS4X7DI2GLPnMjzl8cA/edit?usp=share_link"",""ลำพูน!J359"")+IMPORTRANGE(""https://docs.google.com/spreadsheets/d/17HrOaa5pBUI1onckFfumXB8xlg35qb2uBAFfF1D-Myo/edit?usp=shar"&amp;"e_link"",""สุโขทัย!J359"")+IMPORTRANGE(""https://docs.google.com/spreadsheets/d/1ubs5cl16eYL9gHbdHTJtmtYb9MGzHBs7CAphn8kNCgM/edit?usp=share_link"",""อุตรดิตถ์!J359"")+IMPORTRANGE(""https://docs.google.com/spreadsheets/d/1kII0BjS6CtVrBvI8IrytgPdxDrlyQDyigz"&amp;"MsohRtDMs/edit?usp=share_link"",""อุทัยธานี!J359"")
"),1595.89999999999)</f>
        <v>1595.8999999999901</v>
      </c>
      <c r="K359" s="38">
        <f t="shared" ca="1" si="189"/>
        <v>4.4578212290502517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182" t="s">
        <v>35</v>
      </c>
      <c r="I360" s="37">
        <f ca="1">IFERROR(__xludf.DUMMYFUNCTION("IMPORTRANGE(""https://docs.google.com/spreadsheets/d/1KxicF4apzSqm0-jIpmueT4kyZtE-Cwn5zskl7GD4loQ/edit?usp=share_link"",""กำแพงเพชร!I360"")+IMPORTRANGE(""https://docs.google.com/spreadsheets/d/1ZNYWeiFoFA1K1U4xKWqRX29MBvEyRHXORjo734Gnq_c/edit?usp=share_li"&amp;"nk"",""เชียงราย!I360"")
+IMPORTRANGE(""https://docs.google.com/spreadsheets/d/1Jgv0Y7YlHDtsiDawwp-uvifEJ8HVaSn0k2aGHG8-hwM/edit?usp=share_link"",""เชียงใหม่!I360"")+IMPORTRANGE(""https://docs.google.com/spreadsheets/d/1JWG2rZePOz9pe-f-ObA-yDr0VoOX2kSb0qIi"&amp;"x2mTUo8/edit?usp=share_link"",""ตาก!I360"")+IMPORTRANGE(""https://docs.google.com/spreadsheets/d/10nSRjK08hx8Y6HgSOQKNw81lyY46Zc7U_Cj72hBMp9U/edit?usp=share_link"",""นครสวรรค์!I360"")+IMPORTRANGE(""https://docs.google.com/spreadsheets/d/1gFVb7qd7amutrIxAA"&amp;"oM7lcy35hllxznovot8lyOfvDo/edit?usp=share_link"",""น่าน!I360"")+IMPORTRANGE(""https://docs.google.com/spreadsheets/d/1K0Aa9s-6EuHE5M0FG1F9aHLXRCOV917xvycTdLdct0w/edit?usp=share_link"",""พะเยา!I360"")+IMPORTRANGE(""https://docs.google.com/spreadsheets/d/1Y"&amp;"9LPKx95PyL5OKy09d-KbKJSuuEZCFdkhYjwC0XQjBA/edit?usp=share_link"",""พิจิตร!I360"")+IMPORTRANGE(""https://docs.google.com/spreadsheets/d/16OMuOwy2eVqZcYWOouQtTpa8X1L23h4660uVHc0C8os/edit?usp=share_link"",""พิษณุโลก!I360"")+IMPORTRANGE(""https://docs.google."&amp;"com/spreadsheets/d/1GfgTldLG6k77HXaMQzaafODklYuucJZQNs_GAPEfZyY/edit?usp=share_link"",""เพชรบูรณ์!I360"")+IMPORTRANGE(""https://docs.google.com/spreadsheets/d/1gvTMYAnm7v1yG1BKWFtr0DnaTsq59oW9dwWvFgq6hs0/edit?usp=share_link"",""แพร่!I360"")+IMPORTRANGE("""&amp;"https://docs.google.com/spreadsheets/d/1Wbcosgy-Xa1xXUArJSOenub6EfZHUSzc_bpJFWwQUf0/edit?usp=share_link"",""แม่ฮ่องสอน!I360"")+IMPORTRANGE(""https://docs.google.com/spreadsheets/d/1p7ERhsr0qZeSn-KSOdeHS9r0heI-lHtkcn2OH7hP0jQ/edit?usp=share_link"",""ลำปาง!"&amp;"I360"")+IMPORTRANGE(""https://docs.google.com/spreadsheets/d/1-uUXvimVhiU2U0bMN-xi2te0tS4X7DI2GLPnMjzl8cA/edit?usp=share_link"",""ลำพูน!I360"")+IMPORTRANGE(""https://docs.google.com/spreadsheets/d/17HrOaa5pBUI1onckFfumXB8xlg35qb2uBAFfF1D-Myo/edit?usp=shar"&amp;"e_link"",""สุโขทัย!I360"")+IMPORTRANGE(""https://docs.google.com/spreadsheets/d/1ubs5cl16eYL9gHbdHTJtmtYb9MGzHBs7CAphn8kNCgM/edit?usp=share_link"",""อุตรดิตถ์!I360"")+IMPORTRANGE(""https://docs.google.com/spreadsheets/d/1kII0BjS6CtVrBvI8IrytgPdxDrlyQDyigz"&amp;"MsohRtDMs/edit?usp=share_link"",""อุทัยธานี!I360"")
"),4028)</f>
        <v>4028</v>
      </c>
      <c r="J360" s="269">
        <f ca="1">IFERROR(__xludf.DUMMYFUNCTION("IMPORTRANGE(""https://docs.google.com/spreadsheets/d/1KxicF4apzSqm0-jIpmueT4kyZtE-Cwn5zskl7GD4loQ/edit?usp=share_link"",""กำแพงเพชร!J360"")+IMPORTRANGE(""https://docs.google.com/spreadsheets/d/1ZNYWeiFoFA1K1U4xKWqRX29MBvEyRHXORjo734Gnq_c/edit?usp=share_li"&amp;"nk"",""เชียงราย!J360"")
+IMPORTRANGE(""https://docs.google.com/spreadsheets/d/1Jgv0Y7YlHDtsiDawwp-uvifEJ8HVaSn0k2aGHG8-hwM/edit?usp=share_link"",""เชียงใหม่!J360"")+IMPORTRANGE(""https://docs.google.com/spreadsheets/d/1JWG2rZePOz9pe-f-ObA-yDr0VoOX2kSb0qIi"&amp;"x2mTUo8/edit?usp=share_link"",""ตาก!J360"")+IMPORTRANGE(""https://docs.google.com/spreadsheets/d/10nSRjK08hx8Y6HgSOQKNw81lyY46Zc7U_Cj72hBMp9U/edit?usp=share_link"",""นครสวรรค์!J360"")+IMPORTRANGE(""https://docs.google.com/spreadsheets/d/1gFVb7qd7amutrIxAA"&amp;"oM7lcy35hllxznovot8lyOfvDo/edit?usp=share_link"",""น่าน!J360"")+IMPORTRANGE(""https://docs.google.com/spreadsheets/d/1K0Aa9s-6EuHE5M0FG1F9aHLXRCOV917xvycTdLdct0w/edit?usp=share_link"",""พะเยา!J360"")+IMPORTRANGE(""https://docs.google.com/spreadsheets/d/1Y"&amp;"9LPKx95PyL5OKy09d-KbKJSuuEZCFdkhYjwC0XQjBA/edit?usp=share_link"",""พิจิตร!J360"")+IMPORTRANGE(""https://docs.google.com/spreadsheets/d/16OMuOwy2eVqZcYWOouQtTpa8X1L23h4660uVHc0C8os/edit?usp=share_link"",""พิษณุโลก!J360"")+IMPORTRANGE(""https://docs.google."&amp;"com/spreadsheets/d/1GfgTldLG6k77HXaMQzaafODklYuucJZQNs_GAPEfZyY/edit?usp=share_link"",""เพชรบูรณ์!J360"")+IMPORTRANGE(""https://docs.google.com/spreadsheets/d/1gvTMYAnm7v1yG1BKWFtr0DnaTsq59oW9dwWvFgq6hs0/edit?usp=share_link"",""แพร่!J360"")+IMPORTRANGE("""&amp;"https://docs.google.com/spreadsheets/d/1Wbcosgy-Xa1xXUArJSOenub6EfZHUSzc_bpJFWwQUf0/edit?usp=share_link"",""แม่ฮ่องสอน!J360"")+IMPORTRANGE(""https://docs.google.com/spreadsheets/d/1p7ERhsr0qZeSn-KSOdeHS9r0heI-lHtkcn2OH7hP0jQ/edit?usp=share_link"",""ลำปาง!"&amp;"J360"")+IMPORTRANGE(""https://docs.google.com/spreadsheets/d/1-uUXvimVhiU2U0bMN-xi2te0tS4X7DI2GLPnMjzl8cA/edit?usp=share_link"",""ลำพูน!J360"")+IMPORTRANGE(""https://docs.google.com/spreadsheets/d/17HrOaa5pBUI1onckFfumXB8xlg35qb2uBAFfF1D-Myo/edit?usp=shar"&amp;"e_link"",""สุโขทัย!J360"")+IMPORTRANGE(""https://docs.google.com/spreadsheets/d/1ubs5cl16eYL9gHbdHTJtmtYb9MGzHBs7CAphn8kNCgM/edit?usp=share_link"",""อุตรดิตถ์!J360"")+IMPORTRANGE(""https://docs.google.com/spreadsheets/d/1kII0BjS6CtVrBvI8IrytgPdxDrlyQDyigz"&amp;"MsohRtDMs/edit?usp=share_link"",""อุทัยธานี!J360"")
"),97)</f>
        <v>97</v>
      </c>
      <c r="K360" s="38">
        <f t="shared" ca="1" si="189"/>
        <v>2.4081429990069512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182" t="s">
        <v>46</v>
      </c>
      <c r="I361" s="269">
        <v>0</v>
      </c>
      <c r="J361" s="269">
        <f ca="1">IFERROR(__xludf.DUMMYFUNCTION("IMPORTRANGE(""https://docs.google.com/spreadsheets/d/1KxicF4apzSqm0-jIpmueT4kyZtE-Cwn5zskl7GD4loQ/edit?usp=share_link"",""กำแพงเพชร!J361"")+IMPORTRANGE(""https://docs.google.com/spreadsheets/d/1ZNYWeiFoFA1K1U4xKWqRX29MBvEyRHXORjo734Gnq_c/edit?usp=share_li"&amp;"nk"",""เชียงราย!J361"")
+IMPORTRANGE(""https://docs.google.com/spreadsheets/d/1Jgv0Y7YlHDtsiDawwp-uvifEJ8HVaSn0k2aGHG8-hwM/edit?usp=share_link"",""เชียงใหม่!J361"")+IMPORTRANGE(""https://docs.google.com/spreadsheets/d/1JWG2rZePOz9pe-f-ObA-yDr0VoOX2kSb0qIi"&amp;"x2mTUo8/edit?usp=share_link"",""ตาก!J361"")+IMPORTRANGE(""https://docs.google.com/spreadsheets/d/10nSRjK08hx8Y6HgSOQKNw81lyY46Zc7U_Cj72hBMp9U/edit?usp=share_link"",""นครสวรรค์!J361"")+IMPORTRANGE(""https://docs.google.com/spreadsheets/d/1gFVb7qd7amutrIxAA"&amp;"oM7lcy35hllxznovot8lyOfvDo/edit?usp=share_link"",""น่าน!J361"")+IMPORTRANGE(""https://docs.google.com/spreadsheets/d/1K0Aa9s-6EuHE5M0FG1F9aHLXRCOV917xvycTdLdct0w/edit?usp=share_link"",""พะเยา!J361"")+IMPORTRANGE(""https://docs.google.com/spreadsheets/d/1Y"&amp;"9LPKx95PyL5OKy09d-KbKJSuuEZCFdkhYjwC0XQjBA/edit?usp=share_link"",""พิจิตร!J361"")+IMPORTRANGE(""https://docs.google.com/spreadsheets/d/16OMuOwy2eVqZcYWOouQtTpa8X1L23h4660uVHc0C8os/edit?usp=share_link"",""พิษณุโลก!J361"")+IMPORTRANGE(""https://docs.google."&amp;"com/spreadsheets/d/1GfgTldLG6k77HXaMQzaafODklYuucJZQNs_GAPEfZyY/edit?usp=share_link"",""เพชรบูรณ์!J361"")+IMPORTRANGE(""https://docs.google.com/spreadsheets/d/1gvTMYAnm7v1yG1BKWFtr0DnaTsq59oW9dwWvFgq6hs0/edit?usp=share_link"",""แพร่!J361"")+IMPORTRANGE("""&amp;"https://docs.google.com/spreadsheets/d/1Wbcosgy-Xa1xXUArJSOenub6EfZHUSzc_bpJFWwQUf0/edit?usp=share_link"",""แม่ฮ่องสอน!J361"")+IMPORTRANGE(""https://docs.google.com/spreadsheets/d/1p7ERhsr0qZeSn-KSOdeHS9r0heI-lHtkcn2OH7hP0jQ/edit?usp=share_link"",""ลำปาง!"&amp;"J361"")+IMPORTRANGE(""https://docs.google.com/spreadsheets/d/1-uUXvimVhiU2U0bMN-xi2te0tS4X7DI2GLPnMjzl8cA/edit?usp=share_link"",""ลำพูน!J361"")+IMPORTRANGE(""https://docs.google.com/spreadsheets/d/17HrOaa5pBUI1onckFfumXB8xlg35qb2uBAFfF1D-Myo/edit?usp=shar"&amp;"e_link"",""สุโขทัย!J361"")+IMPORTRANGE(""https://docs.google.com/spreadsheets/d/1ubs5cl16eYL9gHbdHTJtmtYb9MGzHBs7CAphn8kNCgM/edit?usp=share_link"",""อุตรดิตถ์!J361"")+IMPORTRANGE(""https://docs.google.com/spreadsheets/d/1kII0BjS6CtVrBvI8IrytgPdxDrlyQDyigz"&amp;"MsohRtDMs/edit?usp=share_link"",""อุทัยธานี!J361"")
"),1006.49)</f>
        <v>1006.49</v>
      </c>
      <c r="K361" s="38">
        <f t="shared" si="189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182" t="s">
        <v>35</v>
      </c>
      <c r="I362" s="37">
        <f ca="1">IFERROR(__xludf.DUMMYFUNCTION("IMPORTRANGE(""https://docs.google.com/spreadsheets/d/1KxicF4apzSqm0-jIpmueT4kyZtE-Cwn5zskl7GD4loQ/edit?usp=share_link"",""กำแพงเพชร!I362"")+IMPORTRANGE(""https://docs.google.com/spreadsheets/d/1ZNYWeiFoFA1K1U4xKWqRX29MBvEyRHXORjo734Gnq_c/edit?usp=share_li"&amp;"nk"",""เชียงราย!I362"")
+IMPORTRANGE(""https://docs.google.com/spreadsheets/d/1Jgv0Y7YlHDtsiDawwp-uvifEJ8HVaSn0k2aGHG8-hwM/edit?usp=share_link"",""เชียงใหม่!I362"")+IMPORTRANGE(""https://docs.google.com/spreadsheets/d/1JWG2rZePOz9pe-f-ObA-yDr0VoOX2kSb0qIi"&amp;"x2mTUo8/edit?usp=share_link"",""ตาก!I362"")+IMPORTRANGE(""https://docs.google.com/spreadsheets/d/10nSRjK08hx8Y6HgSOQKNw81lyY46Zc7U_Cj72hBMp9U/edit?usp=share_link"",""นครสวรรค์!I362"")+IMPORTRANGE(""https://docs.google.com/spreadsheets/d/1gFVb7qd7amutrIxAA"&amp;"oM7lcy35hllxznovot8lyOfvDo/edit?usp=share_link"",""น่าน!I362"")+IMPORTRANGE(""https://docs.google.com/spreadsheets/d/1K0Aa9s-6EuHE5M0FG1F9aHLXRCOV917xvycTdLdct0w/edit?usp=share_link"",""พะเยา!I362"")+IMPORTRANGE(""https://docs.google.com/spreadsheets/d/1Y"&amp;"9LPKx95PyL5OKy09d-KbKJSuuEZCFdkhYjwC0XQjBA/edit?usp=share_link"",""พิจิตร!I362"")+IMPORTRANGE(""https://docs.google.com/spreadsheets/d/16OMuOwy2eVqZcYWOouQtTpa8X1L23h4660uVHc0C8os/edit?usp=share_link"",""พิษณุโลก!I362"")+IMPORTRANGE(""https://docs.google."&amp;"com/spreadsheets/d/1GfgTldLG6k77HXaMQzaafODklYuucJZQNs_GAPEfZyY/edit?usp=share_link"",""เพชรบูรณ์!I362"")+IMPORTRANGE(""https://docs.google.com/spreadsheets/d/1gvTMYAnm7v1yG1BKWFtr0DnaTsq59oW9dwWvFgq6hs0/edit?usp=share_link"",""แพร่!I362"")+IMPORTRANGE("""&amp;"https://docs.google.com/spreadsheets/d/1Wbcosgy-Xa1xXUArJSOenub6EfZHUSzc_bpJFWwQUf0/edit?usp=share_link"",""แม่ฮ่องสอน!I362"")+IMPORTRANGE(""https://docs.google.com/spreadsheets/d/1p7ERhsr0qZeSn-KSOdeHS9r0heI-lHtkcn2OH7hP0jQ/edit?usp=share_link"",""ลำปาง!"&amp;"I362"")+IMPORTRANGE(""https://docs.google.com/spreadsheets/d/1-uUXvimVhiU2U0bMN-xi2te0tS4X7DI2GLPnMjzl8cA/edit?usp=share_link"",""ลำพูน!I362"")+IMPORTRANGE(""https://docs.google.com/spreadsheets/d/17HrOaa5pBUI1onckFfumXB8xlg35qb2uBAFfF1D-Myo/edit?usp=shar"&amp;"e_link"",""สุโขทัย!I362"")+IMPORTRANGE(""https://docs.google.com/spreadsheets/d/1ubs5cl16eYL9gHbdHTJtmtYb9MGzHBs7CAphn8kNCgM/edit?usp=share_link"",""อุตรดิตถ์!I362"")+IMPORTRANGE(""https://docs.google.com/spreadsheets/d/1kII0BjS6CtVrBvI8IrytgPdxDrlyQDyigz"&amp;"MsohRtDMs/edit?usp=share_link"",""อุทัยธานี!I362"")
"),4028)</f>
        <v>4028</v>
      </c>
      <c r="J362" s="269">
        <f ca="1">IFERROR(__xludf.DUMMYFUNCTION("IMPORTRANGE(""https://docs.google.com/spreadsheets/d/1KxicF4apzSqm0-jIpmueT4kyZtE-Cwn5zskl7GD4loQ/edit?usp=share_link"",""กำแพงเพชร!J362"")+IMPORTRANGE(""https://docs.google.com/spreadsheets/d/1ZNYWeiFoFA1K1U4xKWqRX29MBvEyRHXORjo734Gnq_c/edit?usp=share_li"&amp;"nk"",""เชียงราย!J362"")
+IMPORTRANGE(""https://docs.google.com/spreadsheets/d/1Jgv0Y7YlHDtsiDawwp-uvifEJ8HVaSn0k2aGHG8-hwM/edit?usp=share_link"",""เชียงใหม่!J362"")+IMPORTRANGE(""https://docs.google.com/spreadsheets/d/1JWG2rZePOz9pe-f-ObA-yDr0VoOX2kSb0qIi"&amp;"x2mTUo8/edit?usp=share_link"",""ตาก!J362"")+IMPORTRANGE(""https://docs.google.com/spreadsheets/d/10nSRjK08hx8Y6HgSOQKNw81lyY46Zc7U_Cj72hBMp9U/edit?usp=share_link"",""นครสวรรค์!J362"")+IMPORTRANGE(""https://docs.google.com/spreadsheets/d/1gFVb7qd7amutrIxAA"&amp;"oM7lcy35hllxznovot8lyOfvDo/edit?usp=share_link"",""น่าน!J362"")+IMPORTRANGE(""https://docs.google.com/spreadsheets/d/1K0Aa9s-6EuHE5M0FG1F9aHLXRCOV917xvycTdLdct0w/edit?usp=share_link"",""พะเยา!J362"")+IMPORTRANGE(""https://docs.google.com/spreadsheets/d/1Y"&amp;"9LPKx95PyL5OKy09d-KbKJSuuEZCFdkhYjwC0XQjBA/edit?usp=share_link"",""พิจิตร!J362"")+IMPORTRANGE(""https://docs.google.com/spreadsheets/d/16OMuOwy2eVqZcYWOouQtTpa8X1L23h4660uVHc0C8os/edit?usp=share_link"",""พิษณุโลก!J362"")+IMPORTRANGE(""https://docs.google."&amp;"com/spreadsheets/d/1GfgTldLG6k77HXaMQzaafODklYuucJZQNs_GAPEfZyY/edit?usp=share_link"",""เพชรบูรณ์!J362"")+IMPORTRANGE(""https://docs.google.com/spreadsheets/d/1gvTMYAnm7v1yG1BKWFtr0DnaTsq59oW9dwWvFgq6hs0/edit?usp=share_link"",""แพร่!J362"")+IMPORTRANGE("""&amp;"https://docs.google.com/spreadsheets/d/1Wbcosgy-Xa1xXUArJSOenub6EfZHUSzc_bpJFWwQUf0/edit?usp=share_link"",""แม่ฮ่องสอน!J362"")+IMPORTRANGE(""https://docs.google.com/spreadsheets/d/1p7ERhsr0qZeSn-KSOdeHS9r0heI-lHtkcn2OH7hP0jQ/edit?usp=share_link"",""ลำปาง!"&amp;"J362"")+IMPORTRANGE(""https://docs.google.com/spreadsheets/d/1-uUXvimVhiU2U0bMN-xi2te0tS4X7DI2GLPnMjzl8cA/edit?usp=share_link"",""ลำพูน!J362"")+IMPORTRANGE(""https://docs.google.com/spreadsheets/d/17HrOaa5pBUI1onckFfumXB8xlg35qb2uBAFfF1D-Myo/edit?usp=shar"&amp;"e_link"",""สุโขทัย!J362"")+IMPORTRANGE(""https://docs.google.com/spreadsheets/d/1ubs5cl16eYL9gHbdHTJtmtYb9MGzHBs7CAphn8kNCgM/edit?usp=share_link"",""อุตรดิตถ์!J362"")+IMPORTRANGE(""https://docs.google.com/spreadsheets/d/1kII0BjS6CtVrBvI8IrytgPdxDrlyQDyigz"&amp;"MsohRtDMs/edit?usp=share_link"",""อุทัยธานี!J362"")
"),75)</f>
        <v>75</v>
      </c>
      <c r="K362" s="38">
        <f t="shared" ca="1" si="189"/>
        <v>1.8619662363455809</v>
      </c>
      <c r="L362" s="163"/>
      <c r="M362" s="163"/>
      <c r="N362" s="163"/>
      <c r="O362" s="163"/>
      <c r="P362" s="163"/>
    </row>
    <row r="363" spans="1:26" ht="18.75">
      <c r="A363" s="438" t="s">
        <v>164</v>
      </c>
      <c r="B363" s="178"/>
      <c r="C363" s="171"/>
      <c r="D363" s="178"/>
      <c r="E363" s="177"/>
      <c r="F363" s="178"/>
      <c r="G363" s="179"/>
      <c r="H363" s="182" t="s">
        <v>46</v>
      </c>
      <c r="I363" s="269">
        <v>0</v>
      </c>
      <c r="J363" s="269">
        <f ca="1">IFERROR(__xludf.DUMMYFUNCTION("IMPORTRANGE(""https://docs.google.com/spreadsheets/d/1KxicF4apzSqm0-jIpmueT4kyZtE-Cwn5zskl7GD4loQ/edit?usp=share_link"",""กำแพงเพชร!J363"")+IMPORTRANGE(""https://docs.google.com/spreadsheets/d/1ZNYWeiFoFA1K1U4xKWqRX29MBvEyRHXORjo734Gnq_c/edit?usp=share_li"&amp;"nk"",""เชียงราย!J363"")
+IMPORTRANGE(""https://docs.google.com/spreadsheets/d/1Jgv0Y7YlHDtsiDawwp-uvifEJ8HVaSn0k2aGHG8-hwM/edit?usp=share_link"",""เชียงใหม่!J363"")+IMPORTRANGE(""https://docs.google.com/spreadsheets/d/1JWG2rZePOz9pe-f-ObA-yDr0VoOX2kSb0qIi"&amp;"x2mTUo8/edit?usp=share_link"",""ตาก!J363"")+IMPORTRANGE(""https://docs.google.com/spreadsheets/d/10nSRjK08hx8Y6HgSOQKNw81lyY46Zc7U_Cj72hBMp9U/edit?usp=share_link"",""นครสวรรค์!J363"")+IMPORTRANGE(""https://docs.google.com/spreadsheets/d/1gFVb7qd7amutrIxAA"&amp;"oM7lcy35hllxznovot8lyOfvDo/edit?usp=share_link"",""น่าน!J363"")+IMPORTRANGE(""https://docs.google.com/spreadsheets/d/1K0Aa9s-6EuHE5M0FG1F9aHLXRCOV917xvycTdLdct0w/edit?usp=share_link"",""พะเยา!J363"")+IMPORTRANGE(""https://docs.google.com/spreadsheets/d/1Y"&amp;"9LPKx95PyL5OKy09d-KbKJSuuEZCFdkhYjwC0XQjBA/edit?usp=share_link"",""พิจิตร!J363"")+IMPORTRANGE(""https://docs.google.com/spreadsheets/d/16OMuOwy2eVqZcYWOouQtTpa8X1L23h4660uVHc0C8os/edit?usp=share_link"",""พิษณุโลก!J363"")+IMPORTRANGE(""https://docs.google."&amp;"com/spreadsheets/d/1GfgTldLG6k77HXaMQzaafODklYuucJZQNs_GAPEfZyY/edit?usp=share_link"",""เพชรบูรณ์!J363"")+IMPORTRANGE(""https://docs.google.com/spreadsheets/d/1gvTMYAnm7v1yG1BKWFtr0DnaTsq59oW9dwWvFgq6hs0/edit?usp=share_link"",""แพร่!J363"")+IMPORTRANGE("""&amp;"https://docs.google.com/spreadsheets/d/1Wbcosgy-Xa1xXUArJSOenub6EfZHUSzc_bpJFWwQUf0/edit?usp=share_link"",""แม่ฮ่องสอน!J363"")+IMPORTRANGE(""https://docs.google.com/spreadsheets/d/1p7ERhsr0qZeSn-KSOdeHS9r0heI-lHtkcn2OH7hP0jQ/edit?usp=share_link"",""ลำปาง!"&amp;"J363"")+IMPORTRANGE(""https://docs.google.com/spreadsheets/d/1-uUXvimVhiU2U0bMN-xi2te0tS4X7DI2GLPnMjzl8cA/edit?usp=share_link"",""ลำพูน!J363"")+IMPORTRANGE(""https://docs.google.com/spreadsheets/d/17HrOaa5pBUI1onckFfumXB8xlg35qb2uBAFfF1D-Myo/edit?usp=shar"&amp;"e_link"",""สุโขทัย!J363"")+IMPORTRANGE(""https://docs.google.com/spreadsheets/d/1ubs5cl16eYL9gHbdHTJtmtYb9MGzHBs7CAphn8kNCgM/edit?usp=share_link"",""อุตรดิตถ์!J363"")+IMPORTRANGE(""https://docs.google.com/spreadsheets/d/1kII0BjS6CtVrBvI8IrytgPdxDrlyQDyigz"&amp;"MsohRtDMs/edit?usp=share_link"",""อุทัยธานี!J363"")
"),716.91)</f>
        <v>716.91</v>
      </c>
      <c r="K363" s="38">
        <f t="shared" si="189"/>
        <v>0</v>
      </c>
      <c r="L363" s="163"/>
      <c r="M363" s="163"/>
      <c r="N363" s="163"/>
      <c r="O363" s="163"/>
      <c r="P363" s="163"/>
    </row>
    <row r="364" spans="1:26" ht="19.5">
      <c r="A364" s="439"/>
      <c r="B364" s="440"/>
      <c r="C364" s="441"/>
      <c r="D364" s="442" t="s">
        <v>165</v>
      </c>
      <c r="E364" s="443"/>
      <c r="F364" s="443"/>
      <c r="G364" s="444"/>
      <c r="H364" s="445" t="s">
        <v>35</v>
      </c>
      <c r="I364" s="446">
        <f t="shared" ref="I364:J364" ca="1" si="190">I365+I374</f>
        <v>9438</v>
      </c>
      <c r="J364" s="446">
        <f t="shared" ca="1" si="190"/>
        <v>814</v>
      </c>
      <c r="K364" s="447">
        <f t="shared" ca="1" si="189"/>
        <v>8.6247086247086244</v>
      </c>
      <c r="L364" s="448"/>
      <c r="M364" s="448"/>
      <c r="N364" s="448"/>
      <c r="O364" s="448"/>
      <c r="P364" s="448"/>
      <c r="Q364" s="449"/>
      <c r="R364" s="449"/>
      <c r="S364" s="449"/>
      <c r="T364" s="449"/>
      <c r="U364" s="449"/>
      <c r="V364" s="449"/>
      <c r="W364" s="449"/>
      <c r="X364" s="449"/>
      <c r="Y364" s="449"/>
      <c r="Z364" s="449"/>
    </row>
    <row r="365" spans="1:26" ht="19.5">
      <c r="A365" s="450"/>
      <c r="B365" s="451"/>
      <c r="C365" s="452"/>
      <c r="D365" s="453" t="s">
        <v>166</v>
      </c>
      <c r="E365" s="454"/>
      <c r="F365" s="454"/>
      <c r="G365" s="455"/>
      <c r="H365" s="456" t="s">
        <v>35</v>
      </c>
      <c r="I365" s="457">
        <f ca="1">IFERROR(__xludf.DUMMYFUNCTION("IMPORTRANGE(""https://docs.google.com/spreadsheets/d/1KxicF4apzSqm0-jIpmueT4kyZtE-Cwn5zskl7GD4loQ/edit?usp=share_link"",""กำแพงเพชร!I365"")+IMPORTRANGE(""https://docs.google.com/spreadsheets/d/1ZNYWeiFoFA1K1U4xKWqRX29MBvEyRHXORjo734Gnq_c/edit?usp=share_li"&amp;"nk"",""เชียงราย!I365"")
+IMPORTRANGE(""https://docs.google.com/spreadsheets/d/1Jgv0Y7YlHDtsiDawwp-uvifEJ8HVaSn0k2aGHG8-hwM/edit?usp=share_link"",""เชียงใหม่!I365"")+IMPORTRANGE(""https://docs.google.com/spreadsheets/d/1JWG2rZePOz9pe-f-ObA-yDr0VoOX2kSb0qIi"&amp;"x2mTUo8/edit?usp=share_link"",""ตาก!I365"")+IMPORTRANGE(""https://docs.google.com/spreadsheets/d/10nSRjK08hx8Y6HgSOQKNw81lyY46Zc7U_Cj72hBMp9U/edit?usp=share_link"",""นครสวรรค์!I365"")+IMPORTRANGE(""https://docs.google.com/spreadsheets/d/1gFVb7qd7amutrIxAA"&amp;"oM7lcy35hllxznovot8lyOfvDo/edit?usp=share_link"",""น่าน!I365"")+IMPORTRANGE(""https://docs.google.com/spreadsheets/d/1K0Aa9s-6EuHE5M0FG1F9aHLXRCOV917xvycTdLdct0w/edit?usp=share_link"",""พะเยา!I365"")+IMPORTRANGE(""https://docs.google.com/spreadsheets/d/1Y"&amp;"9LPKx95PyL5OKy09d-KbKJSuuEZCFdkhYjwC0XQjBA/edit?usp=share_link"",""พิจิตร!I365"")+IMPORTRANGE(""https://docs.google.com/spreadsheets/d/16OMuOwy2eVqZcYWOouQtTpa8X1L23h4660uVHc0C8os/edit?usp=share_link"",""พิษณุโลก!I365"")+IMPORTRANGE(""https://docs.google."&amp;"com/spreadsheets/d/1GfgTldLG6k77HXaMQzaafODklYuucJZQNs_GAPEfZyY/edit?usp=share_link"",""เพชรบูรณ์!I365"")+IMPORTRANGE(""https://docs.google.com/spreadsheets/d/1gvTMYAnm7v1yG1BKWFtr0DnaTsq59oW9dwWvFgq6hs0/edit?usp=share_link"",""แพร่!I365"")+IMPORTRANGE("""&amp;"https://docs.google.com/spreadsheets/d/1Wbcosgy-Xa1xXUArJSOenub6EfZHUSzc_bpJFWwQUf0/edit?usp=share_link"",""แม่ฮ่องสอน!I365"")+IMPORTRANGE(""https://docs.google.com/spreadsheets/d/1p7ERhsr0qZeSn-KSOdeHS9r0heI-lHtkcn2OH7hP0jQ/edit?usp=share_link"",""ลำปาง!"&amp;"I365"")+IMPORTRANGE(""https://docs.google.com/spreadsheets/d/1-uUXvimVhiU2U0bMN-xi2te0tS4X7DI2GLPnMjzl8cA/edit?usp=share_link"",""ลำพูน!I365"")+IMPORTRANGE(""https://docs.google.com/spreadsheets/d/17HrOaa5pBUI1onckFfumXB8xlg35qb2uBAFfF1D-Myo/edit?usp=shar"&amp;"e_link"",""สุโขทัย!I365"")+IMPORTRANGE(""https://docs.google.com/spreadsheets/d/1ubs5cl16eYL9gHbdHTJtmtYb9MGzHBs7CAphn8kNCgM/edit?usp=share_link"",""อุตรดิตถ์!I365"")+IMPORTRANGE(""https://docs.google.com/spreadsheets/d/1kII0BjS6CtVrBvI8IrytgPdxDrlyQDyigz"&amp;"MsohRtDMs/edit?usp=share_link"",""อุทัยธานี!I365"")
"),1343)</f>
        <v>1343</v>
      </c>
      <c r="J365" s="458">
        <f ca="1">J372</f>
        <v>35</v>
      </c>
      <c r="K365" s="459">
        <f t="shared" ca="1" si="189"/>
        <v>2.6061057334326136</v>
      </c>
      <c r="L365" s="460"/>
      <c r="M365" s="460"/>
      <c r="N365" s="460"/>
      <c r="O365" s="460"/>
      <c r="P365" s="460"/>
      <c r="Q365" s="449"/>
      <c r="R365" s="449"/>
      <c r="S365" s="449"/>
      <c r="T365" s="449"/>
      <c r="U365" s="449"/>
      <c r="V365" s="449"/>
      <c r="W365" s="449"/>
      <c r="X365" s="449"/>
      <c r="Y365" s="449"/>
      <c r="Z365" s="449"/>
    </row>
    <row r="366" spans="1:26" ht="19.5">
      <c r="A366" s="450"/>
      <c r="B366" s="451"/>
      <c r="C366" s="452"/>
      <c r="D366" s="461" t="s">
        <v>167</v>
      </c>
      <c r="E366" s="454"/>
      <c r="F366" s="454"/>
      <c r="G366" s="455"/>
      <c r="H366" s="462"/>
      <c r="I366" s="463"/>
      <c r="J366" s="463"/>
      <c r="K366" s="460"/>
      <c r="L366" s="460"/>
      <c r="M366" s="460"/>
      <c r="N366" s="460"/>
      <c r="O366" s="460"/>
      <c r="P366" s="460"/>
      <c r="Q366" s="449"/>
      <c r="R366" s="449"/>
      <c r="S366" s="449"/>
      <c r="T366" s="449"/>
      <c r="U366" s="449"/>
      <c r="V366" s="449"/>
      <c r="W366" s="449"/>
      <c r="X366" s="449"/>
      <c r="Y366" s="449"/>
      <c r="Z366" s="449"/>
    </row>
    <row r="367" spans="1:26" ht="19.5">
      <c r="A367" s="170"/>
      <c r="B367" s="171"/>
      <c r="C367" s="164" t="s">
        <v>16</v>
      </c>
      <c r="D367" s="172" t="s">
        <v>38</v>
      </c>
      <c r="E367" s="173"/>
      <c r="F367" s="173"/>
      <c r="G367" s="174"/>
      <c r="H367" s="175"/>
      <c r="I367" s="37"/>
      <c r="J367" s="37"/>
      <c r="K367" s="38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69">
        <v>0</v>
      </c>
      <c r="J368" s="269">
        <f ca="1">IFERROR(__xludf.DUMMYFUNCTION("IMPORTRANGE(""https://docs.google.com/spreadsheets/d/1KxicF4apzSqm0-jIpmueT4kyZtE-Cwn5zskl7GD4loQ/edit?usp=share_link"",""กำแพงเพชร!J368"")+IMPORTRANGE(""https://docs.google.com/spreadsheets/d/1ZNYWeiFoFA1K1U4xKWqRX29MBvEyRHXORjo734Gnq_c/edit?usp=share_li"&amp;"nk"",""เชียงราย!J368"")
+IMPORTRANGE(""https://docs.google.com/spreadsheets/d/1Jgv0Y7YlHDtsiDawwp-uvifEJ8HVaSn0k2aGHG8-hwM/edit?usp=share_link"",""เชียงใหม่!J368"")+IMPORTRANGE(""https://docs.google.com/spreadsheets/d/1JWG2rZePOz9pe-f-ObA-yDr0VoOX2kSb0qIi"&amp;"x2mTUo8/edit?usp=share_link"",""ตาก!J368"")+IMPORTRANGE(""https://docs.google.com/spreadsheets/d/10nSRjK08hx8Y6HgSOQKNw81lyY46Zc7U_Cj72hBMp9U/edit?usp=share_link"",""นครสวรรค์!J368"")+IMPORTRANGE(""https://docs.google.com/spreadsheets/d/1gFVb7qd7amutrIxAA"&amp;"oM7lcy35hllxznovot8lyOfvDo/edit?usp=share_link"",""น่าน!J368"")+IMPORTRANGE(""https://docs.google.com/spreadsheets/d/1K0Aa9s-6EuHE5M0FG1F9aHLXRCOV917xvycTdLdct0w/edit?usp=share_link"",""พะเยา!J368"")+IMPORTRANGE(""https://docs.google.com/spreadsheets/d/1Y"&amp;"9LPKx95PyL5OKy09d-KbKJSuuEZCFdkhYjwC0XQjBA/edit?usp=share_link"",""พิจิตร!J368"")+IMPORTRANGE(""https://docs.google.com/spreadsheets/d/16OMuOwy2eVqZcYWOouQtTpa8X1L23h4660uVHc0C8os/edit?usp=share_link"",""พิษณุโลก!J368"")+IMPORTRANGE(""https://docs.google."&amp;"com/spreadsheets/d/1GfgTldLG6k77HXaMQzaafODklYuucJZQNs_GAPEfZyY/edit?usp=share_link"",""เพชรบูรณ์!J368"")+IMPORTRANGE(""https://docs.google.com/spreadsheets/d/1gvTMYAnm7v1yG1BKWFtr0DnaTsq59oW9dwWvFgq6hs0/edit?usp=share_link"",""แพร่!J368"")+IMPORTRANGE("""&amp;"https://docs.google.com/spreadsheets/d/1Wbcosgy-Xa1xXUArJSOenub6EfZHUSzc_bpJFWwQUf0/edit?usp=share_link"",""แม่ฮ่องสอน!J368"")+IMPORTRANGE(""https://docs.google.com/spreadsheets/d/1p7ERhsr0qZeSn-KSOdeHS9r0heI-lHtkcn2OH7hP0jQ/edit?usp=share_link"",""ลำปาง!"&amp;"J368"")+IMPORTRANGE(""https://docs.google.com/spreadsheets/d/1-uUXvimVhiU2U0bMN-xi2te0tS4X7DI2GLPnMjzl8cA/edit?usp=share_link"",""ลำพูน!J368"")+IMPORTRANGE(""https://docs.google.com/spreadsheets/d/17HrOaa5pBUI1onckFfumXB8xlg35qb2uBAFfF1D-Myo/edit?usp=shar"&amp;"e_link"",""สุโขทัย!J368"")+IMPORTRANGE(""https://docs.google.com/spreadsheets/d/1ubs5cl16eYL9gHbdHTJtmtYb9MGzHBs7CAphn8kNCgM/edit?usp=share_link"",""อุตรดิตถ์!J368"")+IMPORTRANGE(""https://docs.google.com/spreadsheets/d/1kII0BjS6CtVrBvI8IrytgPdxDrlyQDyigz"&amp;"MsohRtDMs/edit?usp=share_link"",""อุทัยธานี!J368"")
"),136)</f>
        <v>136</v>
      </c>
      <c r="K368" s="38">
        <f t="shared" ref="K368:K374" si="191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37">
        <f ca="1">IFERROR(__xludf.DUMMYFUNCTION("IMPORTRANGE(""https://docs.google.com/spreadsheets/d/1KxicF4apzSqm0-jIpmueT4kyZtE-Cwn5zskl7GD4loQ/edit?usp=share_link"",""กำแพงเพชร!I369"")+IMPORTRANGE(""https://docs.google.com/spreadsheets/d/1ZNYWeiFoFA1K1U4xKWqRX29MBvEyRHXORjo734Gnq_c/edit?usp=share_li"&amp;"nk"",""เชียงราย!I369"")
+IMPORTRANGE(""https://docs.google.com/spreadsheets/d/1Jgv0Y7YlHDtsiDawwp-uvifEJ8HVaSn0k2aGHG8-hwM/edit?usp=share_link"",""เชียงใหม่!I369"")+IMPORTRANGE(""https://docs.google.com/spreadsheets/d/1JWG2rZePOz9pe-f-ObA-yDr0VoOX2kSb0qIi"&amp;"x2mTUo8/edit?usp=share_link"",""ตาก!I369"")+IMPORTRANGE(""https://docs.google.com/spreadsheets/d/10nSRjK08hx8Y6HgSOQKNw81lyY46Zc7U_Cj72hBMp9U/edit?usp=share_link"",""นครสวรรค์!I369"")+IMPORTRANGE(""https://docs.google.com/spreadsheets/d/1gFVb7qd7amutrIxAA"&amp;"oM7lcy35hllxznovot8lyOfvDo/edit?usp=share_link"",""น่าน!I369"")+IMPORTRANGE(""https://docs.google.com/spreadsheets/d/1K0Aa9s-6EuHE5M0FG1F9aHLXRCOV917xvycTdLdct0w/edit?usp=share_link"",""พะเยา!I369"")+IMPORTRANGE(""https://docs.google.com/spreadsheets/d/1Y"&amp;"9LPKx95PyL5OKy09d-KbKJSuuEZCFdkhYjwC0XQjBA/edit?usp=share_link"",""พิจิตร!I369"")+IMPORTRANGE(""https://docs.google.com/spreadsheets/d/16OMuOwy2eVqZcYWOouQtTpa8X1L23h4660uVHc0C8os/edit?usp=share_link"",""พิษณุโลก!I369"")+IMPORTRANGE(""https://docs.google."&amp;"com/spreadsheets/d/1GfgTldLG6k77HXaMQzaafODklYuucJZQNs_GAPEfZyY/edit?usp=share_link"",""เพชรบูรณ์!I369"")+IMPORTRANGE(""https://docs.google.com/spreadsheets/d/1gvTMYAnm7v1yG1BKWFtr0DnaTsq59oW9dwWvFgq6hs0/edit?usp=share_link"",""แพร่!I369"")+IMPORTRANGE("""&amp;"https://docs.google.com/spreadsheets/d/1Wbcosgy-Xa1xXUArJSOenub6EfZHUSzc_bpJFWwQUf0/edit?usp=share_link"",""แม่ฮ่องสอน!I369"")+IMPORTRANGE(""https://docs.google.com/spreadsheets/d/1p7ERhsr0qZeSn-KSOdeHS9r0heI-lHtkcn2OH7hP0jQ/edit?usp=share_link"",""ลำปาง!"&amp;"I369"")+IMPORTRANGE(""https://docs.google.com/spreadsheets/d/1-uUXvimVhiU2U0bMN-xi2te0tS4X7DI2GLPnMjzl8cA/edit?usp=share_link"",""ลำพูน!I369"")+IMPORTRANGE(""https://docs.google.com/spreadsheets/d/17HrOaa5pBUI1onckFfumXB8xlg35qb2uBAFfF1D-Myo/edit?usp=shar"&amp;"e_link"",""สุโขทัย!I369"")+IMPORTRANGE(""https://docs.google.com/spreadsheets/d/1ubs5cl16eYL9gHbdHTJtmtYb9MGzHBs7CAphn8kNCgM/edit?usp=share_link"",""อุตรดิตถ์!I369"")+IMPORTRANGE(""https://docs.google.com/spreadsheets/d/1kII0BjS6CtVrBvI8IrytgPdxDrlyQDyigz"&amp;"MsohRtDMs/edit?usp=share_link"",""อุทัยธานี!I369"")
"),13540)</f>
        <v>13540</v>
      </c>
      <c r="J369" s="269">
        <f ca="1">IFERROR(__xludf.DUMMYFUNCTION("IMPORTRANGE(""https://docs.google.com/spreadsheets/d/1KxicF4apzSqm0-jIpmueT4kyZtE-Cwn5zskl7GD4loQ/edit?usp=share_link"",""กำแพงเพชร!J369"")+IMPORTRANGE(""https://docs.google.com/spreadsheets/d/1ZNYWeiFoFA1K1U4xKWqRX29MBvEyRHXORjo734Gnq_c/edit?usp=share_li"&amp;"nk"",""เชียงราย!J369"")
+IMPORTRANGE(""https://docs.google.com/spreadsheets/d/1Jgv0Y7YlHDtsiDawwp-uvifEJ8HVaSn0k2aGHG8-hwM/edit?usp=share_link"",""เชียงใหม่!J369"")+IMPORTRANGE(""https://docs.google.com/spreadsheets/d/1JWG2rZePOz9pe-f-ObA-yDr0VoOX2kSb0qIi"&amp;"x2mTUo8/edit?usp=share_link"",""ตาก!J369"")+IMPORTRANGE(""https://docs.google.com/spreadsheets/d/10nSRjK08hx8Y6HgSOQKNw81lyY46Zc7U_Cj72hBMp9U/edit?usp=share_link"",""นครสวรรค์!J369"")+IMPORTRANGE(""https://docs.google.com/spreadsheets/d/1gFVb7qd7amutrIxAA"&amp;"oM7lcy35hllxznovot8lyOfvDo/edit?usp=share_link"",""น่าน!J369"")+IMPORTRANGE(""https://docs.google.com/spreadsheets/d/1K0Aa9s-6EuHE5M0FG1F9aHLXRCOV917xvycTdLdct0w/edit?usp=share_link"",""พะเยา!J369"")+IMPORTRANGE(""https://docs.google.com/spreadsheets/d/1Y"&amp;"9LPKx95PyL5OKy09d-KbKJSuuEZCFdkhYjwC0XQjBA/edit?usp=share_link"",""พิจิตร!J369"")+IMPORTRANGE(""https://docs.google.com/spreadsheets/d/16OMuOwy2eVqZcYWOouQtTpa8X1L23h4660uVHc0C8os/edit?usp=share_link"",""พิษณุโลก!J369"")+IMPORTRANGE(""https://docs.google."&amp;"com/spreadsheets/d/1GfgTldLG6k77HXaMQzaafODklYuucJZQNs_GAPEfZyY/edit?usp=share_link"",""เพชรบูรณ์!J369"")+IMPORTRANGE(""https://docs.google.com/spreadsheets/d/1gvTMYAnm7v1yG1BKWFtr0DnaTsq59oW9dwWvFgq6hs0/edit?usp=share_link"",""แพร่!J369"")+IMPORTRANGE("""&amp;"https://docs.google.com/spreadsheets/d/1Wbcosgy-Xa1xXUArJSOenub6EfZHUSzc_bpJFWwQUf0/edit?usp=share_link"",""แม่ฮ่องสอน!J369"")+IMPORTRANGE(""https://docs.google.com/spreadsheets/d/1p7ERhsr0qZeSn-KSOdeHS9r0heI-lHtkcn2OH7hP0jQ/edit?usp=share_link"",""ลำปาง!"&amp;"J369"")+IMPORTRANGE(""https://docs.google.com/spreadsheets/d/1-uUXvimVhiU2U0bMN-xi2te0tS4X7DI2GLPnMjzl8cA/edit?usp=share_link"",""ลำพูน!J369"")+IMPORTRANGE(""https://docs.google.com/spreadsheets/d/17HrOaa5pBUI1onckFfumXB8xlg35qb2uBAFfF1D-Myo/edit?usp=shar"&amp;"e_link"",""สุโขทัย!J369"")+IMPORTRANGE(""https://docs.google.com/spreadsheets/d/1ubs5cl16eYL9gHbdHTJtmtYb9MGzHBs7CAphn8kNCgM/edit?usp=share_link"",""อุตรดิตถ์!J369"")+IMPORTRANGE(""https://docs.google.com/spreadsheets/d/1kII0BjS6CtVrBvI8IrytgPdxDrlyQDyigz"&amp;"MsohRtDMs/edit?usp=share_link"",""อุทัยธานี!J369"")
"),948.01)</f>
        <v>948.01</v>
      </c>
      <c r="K369" s="38">
        <f t="shared" ca="1" si="191"/>
        <v>7.001550960118168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182" t="s">
        <v>35</v>
      </c>
      <c r="I370" s="37">
        <f ca="1">IFERROR(__xludf.DUMMYFUNCTION("IMPORTRANGE(""https://docs.google.com/spreadsheets/d/1KxicF4apzSqm0-jIpmueT4kyZtE-Cwn5zskl7GD4loQ/edit?usp=share_link"",""กำแพงเพชร!I370"")+IMPORTRANGE(""https://docs.google.com/spreadsheets/d/1ZNYWeiFoFA1K1U4xKWqRX29MBvEyRHXORjo734Gnq_c/edit?usp=share_li"&amp;"nk"",""เชียงราย!I370"")
+IMPORTRANGE(""https://docs.google.com/spreadsheets/d/1Jgv0Y7YlHDtsiDawwp-uvifEJ8HVaSn0k2aGHG8-hwM/edit?usp=share_link"",""เชียงใหม่!I370"")+IMPORTRANGE(""https://docs.google.com/spreadsheets/d/1JWG2rZePOz9pe-f-ObA-yDr0VoOX2kSb0qIi"&amp;"x2mTUo8/edit?usp=share_link"",""ตาก!I370"")+IMPORTRANGE(""https://docs.google.com/spreadsheets/d/10nSRjK08hx8Y6HgSOQKNw81lyY46Zc7U_Cj72hBMp9U/edit?usp=share_link"",""นครสวรรค์!I370"")+IMPORTRANGE(""https://docs.google.com/spreadsheets/d/1gFVb7qd7amutrIxAA"&amp;"oM7lcy35hllxznovot8lyOfvDo/edit?usp=share_link"",""น่าน!I370"")+IMPORTRANGE(""https://docs.google.com/spreadsheets/d/1K0Aa9s-6EuHE5M0FG1F9aHLXRCOV917xvycTdLdct0w/edit?usp=share_link"",""พะเยา!I370"")+IMPORTRANGE(""https://docs.google.com/spreadsheets/d/1Y"&amp;"9LPKx95PyL5OKy09d-KbKJSuuEZCFdkhYjwC0XQjBA/edit?usp=share_link"",""พิจิตร!I370"")+IMPORTRANGE(""https://docs.google.com/spreadsheets/d/16OMuOwy2eVqZcYWOouQtTpa8X1L23h4660uVHc0C8os/edit?usp=share_link"",""พิษณุโลก!I370"")+IMPORTRANGE(""https://docs.google."&amp;"com/spreadsheets/d/1GfgTldLG6k77HXaMQzaafODklYuucJZQNs_GAPEfZyY/edit?usp=share_link"",""เพชรบูรณ์!I370"")+IMPORTRANGE(""https://docs.google.com/spreadsheets/d/1gvTMYAnm7v1yG1BKWFtr0DnaTsq59oW9dwWvFgq6hs0/edit?usp=share_link"",""แพร่!I370"")+IMPORTRANGE("""&amp;"https://docs.google.com/spreadsheets/d/1Wbcosgy-Xa1xXUArJSOenub6EfZHUSzc_bpJFWwQUf0/edit?usp=share_link"",""แม่ฮ่องสอน!I370"")+IMPORTRANGE(""https://docs.google.com/spreadsheets/d/1p7ERhsr0qZeSn-KSOdeHS9r0heI-lHtkcn2OH7hP0jQ/edit?usp=share_link"",""ลำปาง!"&amp;"I370"")+IMPORTRANGE(""https://docs.google.com/spreadsheets/d/1-uUXvimVhiU2U0bMN-xi2te0tS4X7DI2GLPnMjzl8cA/edit?usp=share_link"",""ลำพูน!I370"")+IMPORTRANGE(""https://docs.google.com/spreadsheets/d/17HrOaa5pBUI1onckFfumXB8xlg35qb2uBAFfF1D-Myo/edit?usp=shar"&amp;"e_link"",""สุโขทัย!I370"")+IMPORTRANGE(""https://docs.google.com/spreadsheets/d/1ubs5cl16eYL9gHbdHTJtmtYb9MGzHBs7CAphn8kNCgM/edit?usp=share_link"",""อุตรดิตถ์!I370"")+IMPORTRANGE(""https://docs.google.com/spreadsheets/d/1kII0BjS6CtVrBvI8IrytgPdxDrlyQDyigz"&amp;"MsohRtDMs/edit?usp=share_link"",""อุทัยธานี!I370"")
"),1343)</f>
        <v>1343</v>
      </c>
      <c r="J370" s="269">
        <f ca="1">IFERROR(__xludf.DUMMYFUNCTION("IMPORTRANGE(""https://docs.google.com/spreadsheets/d/1KxicF4apzSqm0-jIpmueT4kyZtE-Cwn5zskl7GD4loQ/edit?usp=share_link"",""กำแพงเพชร!J370"")+IMPORTRANGE(""https://docs.google.com/spreadsheets/d/1ZNYWeiFoFA1K1U4xKWqRX29MBvEyRHXORjo734Gnq_c/edit?usp=share_li"&amp;"nk"",""เชียงราย!J370"")
+IMPORTRANGE(""https://docs.google.com/spreadsheets/d/1Jgv0Y7YlHDtsiDawwp-uvifEJ8HVaSn0k2aGHG8-hwM/edit?usp=share_link"",""เชียงใหม่!J370"")+IMPORTRANGE(""https://docs.google.com/spreadsheets/d/1JWG2rZePOz9pe-f-ObA-yDr0VoOX2kSb0qIi"&amp;"x2mTUo8/edit?usp=share_link"",""ตาก!J370"")+IMPORTRANGE(""https://docs.google.com/spreadsheets/d/10nSRjK08hx8Y6HgSOQKNw81lyY46Zc7U_Cj72hBMp9U/edit?usp=share_link"",""นครสวรรค์!J370"")+IMPORTRANGE(""https://docs.google.com/spreadsheets/d/1gFVb7qd7amutrIxAA"&amp;"oM7lcy35hllxznovot8lyOfvDo/edit?usp=share_link"",""น่าน!J370"")+IMPORTRANGE(""https://docs.google.com/spreadsheets/d/1K0Aa9s-6EuHE5M0FG1F9aHLXRCOV917xvycTdLdct0w/edit?usp=share_link"",""พะเยา!J370"")+IMPORTRANGE(""https://docs.google.com/spreadsheets/d/1Y"&amp;"9LPKx95PyL5OKy09d-KbKJSuuEZCFdkhYjwC0XQjBA/edit?usp=share_link"",""พิจิตร!J370"")+IMPORTRANGE(""https://docs.google.com/spreadsheets/d/16OMuOwy2eVqZcYWOouQtTpa8X1L23h4660uVHc0C8os/edit?usp=share_link"",""พิษณุโลก!J370"")+IMPORTRANGE(""https://docs.google."&amp;"com/spreadsheets/d/1GfgTldLG6k77HXaMQzaafODklYuucJZQNs_GAPEfZyY/edit?usp=share_link"",""เพชรบูรณ์!J370"")+IMPORTRANGE(""https://docs.google.com/spreadsheets/d/1gvTMYAnm7v1yG1BKWFtr0DnaTsq59oW9dwWvFgq6hs0/edit?usp=share_link"",""แพร่!J370"")+IMPORTRANGE("""&amp;"https://docs.google.com/spreadsheets/d/1Wbcosgy-Xa1xXUArJSOenub6EfZHUSzc_bpJFWwQUf0/edit?usp=share_link"",""แม่ฮ่องสอน!J370"")+IMPORTRANGE(""https://docs.google.com/spreadsheets/d/1p7ERhsr0qZeSn-KSOdeHS9r0heI-lHtkcn2OH7hP0jQ/edit?usp=share_link"",""ลำปาง!"&amp;"J370"")+IMPORTRANGE(""https://docs.google.com/spreadsheets/d/1-uUXvimVhiU2U0bMN-xi2te0tS4X7DI2GLPnMjzl8cA/edit?usp=share_link"",""ลำพูน!J370"")+IMPORTRANGE(""https://docs.google.com/spreadsheets/d/17HrOaa5pBUI1onckFfumXB8xlg35qb2uBAFfF1D-Myo/edit?usp=shar"&amp;"e_link"",""สุโขทัย!J370"")+IMPORTRANGE(""https://docs.google.com/spreadsheets/d/1ubs5cl16eYL9gHbdHTJtmtYb9MGzHBs7CAphn8kNCgM/edit?usp=share_link"",""อุตรดิตถ์!J370"")+IMPORTRANGE(""https://docs.google.com/spreadsheets/d/1kII0BjS6CtVrBvI8IrytgPdxDrlyQDyigz"&amp;"MsohRtDMs/edit?usp=share_link"",""อุทัยธานี!J370"")
"),46)</f>
        <v>46</v>
      </c>
      <c r="K370" s="38">
        <f t="shared" ca="1" si="191"/>
        <v>3.425167535368578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182" t="s">
        <v>46</v>
      </c>
      <c r="I371" s="269">
        <v>0</v>
      </c>
      <c r="J371" s="269">
        <f ca="1">IFERROR(__xludf.DUMMYFUNCTION("IMPORTRANGE(""https://docs.google.com/spreadsheets/d/1KxicF4apzSqm0-jIpmueT4kyZtE-Cwn5zskl7GD4loQ/edit?usp=share_link"",""กำแพงเพชร!J371"")+IMPORTRANGE(""https://docs.google.com/spreadsheets/d/1ZNYWeiFoFA1K1U4xKWqRX29MBvEyRHXORjo734Gnq_c/edit?usp=share_li"&amp;"nk"",""เชียงราย!J371"")
+IMPORTRANGE(""https://docs.google.com/spreadsheets/d/1Jgv0Y7YlHDtsiDawwp-uvifEJ8HVaSn0k2aGHG8-hwM/edit?usp=share_link"",""เชียงใหม่!J371"")+IMPORTRANGE(""https://docs.google.com/spreadsheets/d/1JWG2rZePOz9pe-f-ObA-yDr0VoOX2kSb0qIi"&amp;"x2mTUo8/edit?usp=share_link"",""ตาก!J371"")+IMPORTRANGE(""https://docs.google.com/spreadsheets/d/10nSRjK08hx8Y6HgSOQKNw81lyY46Zc7U_Cj72hBMp9U/edit?usp=share_link"",""นครสวรรค์!J371"")+IMPORTRANGE(""https://docs.google.com/spreadsheets/d/1gFVb7qd7amutrIxAA"&amp;"oM7lcy35hllxznovot8lyOfvDo/edit?usp=share_link"",""น่าน!J371"")+IMPORTRANGE(""https://docs.google.com/spreadsheets/d/1K0Aa9s-6EuHE5M0FG1F9aHLXRCOV917xvycTdLdct0w/edit?usp=share_link"",""พะเยา!J371"")+IMPORTRANGE(""https://docs.google.com/spreadsheets/d/1Y"&amp;"9LPKx95PyL5OKy09d-KbKJSuuEZCFdkhYjwC0XQjBA/edit?usp=share_link"",""พิจิตร!J371"")+IMPORTRANGE(""https://docs.google.com/spreadsheets/d/16OMuOwy2eVqZcYWOouQtTpa8X1L23h4660uVHc0C8os/edit?usp=share_link"",""พิษณุโลก!J371"")+IMPORTRANGE(""https://docs.google."&amp;"com/spreadsheets/d/1GfgTldLG6k77HXaMQzaafODklYuucJZQNs_GAPEfZyY/edit?usp=share_link"",""เพชรบูรณ์!J371"")+IMPORTRANGE(""https://docs.google.com/spreadsheets/d/1gvTMYAnm7v1yG1BKWFtr0DnaTsq59oW9dwWvFgq6hs0/edit?usp=share_link"",""แพร่!J371"")+IMPORTRANGE("""&amp;"https://docs.google.com/spreadsheets/d/1Wbcosgy-Xa1xXUArJSOenub6EfZHUSzc_bpJFWwQUf0/edit?usp=share_link"",""แม่ฮ่องสอน!J371"")+IMPORTRANGE(""https://docs.google.com/spreadsheets/d/1p7ERhsr0qZeSn-KSOdeHS9r0heI-lHtkcn2OH7hP0jQ/edit?usp=share_link"",""ลำปาง!"&amp;"J371"")+IMPORTRANGE(""https://docs.google.com/spreadsheets/d/1-uUXvimVhiU2U0bMN-xi2te0tS4X7DI2GLPnMjzl8cA/edit?usp=share_link"",""ลำพูน!J371"")+IMPORTRANGE(""https://docs.google.com/spreadsheets/d/17HrOaa5pBUI1onckFfumXB8xlg35qb2uBAFfF1D-Myo/edit?usp=shar"&amp;"e_link"",""สุโขทัย!J371"")+IMPORTRANGE(""https://docs.google.com/spreadsheets/d/1ubs5cl16eYL9gHbdHTJtmtYb9MGzHBs7CAphn8kNCgM/edit?usp=share_link"",""อุตรดิตถ์!J371"")+IMPORTRANGE(""https://docs.google.com/spreadsheets/d/1kII0BjS6CtVrBvI8IrytgPdxDrlyQDyigz"&amp;"MsohRtDMs/edit?usp=share_link"",""อุทัยธานี!J371"")
"),683.33)</f>
        <v>683.33</v>
      </c>
      <c r="K371" s="38">
        <f t="shared" si="191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182" t="s">
        <v>35</v>
      </c>
      <c r="I372" s="37">
        <f ca="1">IFERROR(__xludf.DUMMYFUNCTION("IMPORTRANGE(""https://docs.google.com/spreadsheets/d/1KxicF4apzSqm0-jIpmueT4kyZtE-Cwn5zskl7GD4loQ/edit?usp=share_link"",""กำแพงเพชร!I372"")+IMPORTRANGE(""https://docs.google.com/spreadsheets/d/1ZNYWeiFoFA1K1U4xKWqRX29MBvEyRHXORjo734Gnq_c/edit?usp=share_li"&amp;"nk"",""เชียงราย!I372"")
+IMPORTRANGE(""https://docs.google.com/spreadsheets/d/1Jgv0Y7YlHDtsiDawwp-uvifEJ8HVaSn0k2aGHG8-hwM/edit?usp=share_link"",""เชียงใหม่!I372"")+IMPORTRANGE(""https://docs.google.com/spreadsheets/d/1JWG2rZePOz9pe-f-ObA-yDr0VoOX2kSb0qIi"&amp;"x2mTUo8/edit?usp=share_link"",""ตาก!I372"")+IMPORTRANGE(""https://docs.google.com/spreadsheets/d/10nSRjK08hx8Y6HgSOQKNw81lyY46Zc7U_Cj72hBMp9U/edit?usp=share_link"",""นครสวรรค์!I372"")+IMPORTRANGE(""https://docs.google.com/spreadsheets/d/1gFVb7qd7amutrIxAA"&amp;"oM7lcy35hllxznovot8lyOfvDo/edit?usp=share_link"",""น่าน!I372"")+IMPORTRANGE(""https://docs.google.com/spreadsheets/d/1K0Aa9s-6EuHE5M0FG1F9aHLXRCOV917xvycTdLdct0w/edit?usp=share_link"",""พะเยา!I372"")+IMPORTRANGE(""https://docs.google.com/spreadsheets/d/1Y"&amp;"9LPKx95PyL5OKy09d-KbKJSuuEZCFdkhYjwC0XQjBA/edit?usp=share_link"",""พิจิตร!I372"")+IMPORTRANGE(""https://docs.google.com/spreadsheets/d/16OMuOwy2eVqZcYWOouQtTpa8X1L23h4660uVHc0C8os/edit?usp=share_link"",""พิษณุโลก!I372"")+IMPORTRANGE(""https://docs.google."&amp;"com/spreadsheets/d/1GfgTldLG6k77HXaMQzaafODklYuucJZQNs_GAPEfZyY/edit?usp=share_link"",""เพชรบูรณ์!I372"")+IMPORTRANGE(""https://docs.google.com/spreadsheets/d/1gvTMYAnm7v1yG1BKWFtr0DnaTsq59oW9dwWvFgq6hs0/edit?usp=share_link"",""แพร่!I372"")+IMPORTRANGE("""&amp;"https://docs.google.com/spreadsheets/d/1Wbcosgy-Xa1xXUArJSOenub6EfZHUSzc_bpJFWwQUf0/edit?usp=share_link"",""แม่ฮ่องสอน!I372"")+IMPORTRANGE(""https://docs.google.com/spreadsheets/d/1p7ERhsr0qZeSn-KSOdeHS9r0heI-lHtkcn2OH7hP0jQ/edit?usp=share_link"",""ลำปาง!"&amp;"I372"")+IMPORTRANGE(""https://docs.google.com/spreadsheets/d/1-uUXvimVhiU2U0bMN-xi2te0tS4X7DI2GLPnMjzl8cA/edit?usp=share_link"",""ลำพูน!I372"")+IMPORTRANGE(""https://docs.google.com/spreadsheets/d/17HrOaa5pBUI1onckFfumXB8xlg35qb2uBAFfF1D-Myo/edit?usp=shar"&amp;"e_link"",""สุโขทัย!I372"")+IMPORTRANGE(""https://docs.google.com/spreadsheets/d/1ubs5cl16eYL9gHbdHTJtmtYb9MGzHBs7CAphn8kNCgM/edit?usp=share_link"",""อุตรดิตถ์!I372"")+IMPORTRANGE(""https://docs.google.com/spreadsheets/d/1kII0BjS6CtVrBvI8IrytgPdxDrlyQDyigz"&amp;"MsohRtDMs/edit?usp=share_link"",""อุทัยธานี!I372"")
"),1343)</f>
        <v>1343</v>
      </c>
      <c r="J372" s="269">
        <f ca="1">IFERROR(__xludf.DUMMYFUNCTION("IMPORTRANGE(""https://docs.google.com/spreadsheets/d/1KxicF4apzSqm0-jIpmueT4kyZtE-Cwn5zskl7GD4loQ/edit?usp=share_link"",""กำแพงเพชร!J372"")+IMPORTRANGE(""https://docs.google.com/spreadsheets/d/1ZNYWeiFoFA1K1U4xKWqRX29MBvEyRHXORjo734Gnq_c/edit?usp=share_li"&amp;"nk"",""เชียงราย!J372"")
+IMPORTRANGE(""https://docs.google.com/spreadsheets/d/1Jgv0Y7YlHDtsiDawwp-uvifEJ8HVaSn0k2aGHG8-hwM/edit?usp=share_link"",""เชียงใหม่!J372"")+IMPORTRANGE(""https://docs.google.com/spreadsheets/d/1JWG2rZePOz9pe-f-ObA-yDr0VoOX2kSb0qIi"&amp;"x2mTUo8/edit?usp=share_link"",""ตาก!J372"")+IMPORTRANGE(""https://docs.google.com/spreadsheets/d/10nSRjK08hx8Y6HgSOQKNw81lyY46Zc7U_Cj72hBMp9U/edit?usp=share_link"",""นครสวรรค์!J372"")+IMPORTRANGE(""https://docs.google.com/spreadsheets/d/1gFVb7qd7amutrIxAA"&amp;"oM7lcy35hllxznovot8lyOfvDo/edit?usp=share_link"",""น่าน!J372"")+IMPORTRANGE(""https://docs.google.com/spreadsheets/d/1K0Aa9s-6EuHE5M0FG1F9aHLXRCOV917xvycTdLdct0w/edit?usp=share_link"",""พะเยา!J372"")+IMPORTRANGE(""https://docs.google.com/spreadsheets/d/1Y"&amp;"9LPKx95PyL5OKy09d-KbKJSuuEZCFdkhYjwC0XQjBA/edit?usp=share_link"",""พิจิตร!J372"")+IMPORTRANGE(""https://docs.google.com/spreadsheets/d/16OMuOwy2eVqZcYWOouQtTpa8X1L23h4660uVHc0C8os/edit?usp=share_link"",""พิษณุโลก!J372"")+IMPORTRANGE(""https://docs.google."&amp;"com/spreadsheets/d/1GfgTldLG6k77HXaMQzaafODklYuucJZQNs_GAPEfZyY/edit?usp=share_link"",""เพชรบูรณ์!J372"")+IMPORTRANGE(""https://docs.google.com/spreadsheets/d/1gvTMYAnm7v1yG1BKWFtr0DnaTsq59oW9dwWvFgq6hs0/edit?usp=share_link"",""แพร่!J372"")+IMPORTRANGE("""&amp;"https://docs.google.com/spreadsheets/d/1Wbcosgy-Xa1xXUArJSOenub6EfZHUSzc_bpJFWwQUf0/edit?usp=share_link"",""แม่ฮ่องสอน!J372"")+IMPORTRANGE(""https://docs.google.com/spreadsheets/d/1p7ERhsr0qZeSn-KSOdeHS9r0heI-lHtkcn2OH7hP0jQ/edit?usp=share_link"",""ลำปาง!"&amp;"J372"")+IMPORTRANGE(""https://docs.google.com/spreadsheets/d/1-uUXvimVhiU2U0bMN-xi2te0tS4X7DI2GLPnMjzl8cA/edit?usp=share_link"",""ลำพูน!J372"")+IMPORTRANGE(""https://docs.google.com/spreadsheets/d/17HrOaa5pBUI1onckFfumXB8xlg35qb2uBAFfF1D-Myo/edit?usp=shar"&amp;"e_link"",""สุโขทัย!J372"")+IMPORTRANGE(""https://docs.google.com/spreadsheets/d/1ubs5cl16eYL9gHbdHTJtmtYb9MGzHBs7CAphn8kNCgM/edit?usp=share_link"",""อุตรดิตถ์!J372"")+IMPORTRANGE(""https://docs.google.com/spreadsheets/d/1kII0BjS6CtVrBvI8IrytgPdxDrlyQDyigz"&amp;"MsohRtDMs/edit?usp=share_link"",""อุทัยธานี!J372"")
"),35)</f>
        <v>35</v>
      </c>
      <c r="K372" s="38">
        <f t="shared" ca="1" si="191"/>
        <v>2.6061057334326136</v>
      </c>
      <c r="L372" s="163"/>
      <c r="M372" s="163"/>
      <c r="N372" s="163"/>
      <c r="O372" s="163"/>
      <c r="P372" s="163"/>
    </row>
    <row r="373" spans="1:26" ht="18.75">
      <c r="A373" s="438" t="s">
        <v>164</v>
      </c>
      <c r="B373" s="178"/>
      <c r="C373" s="171"/>
      <c r="D373" s="178"/>
      <c r="E373" s="177"/>
      <c r="F373" s="178"/>
      <c r="G373" s="179"/>
      <c r="H373" s="182" t="s">
        <v>46</v>
      </c>
      <c r="I373" s="269">
        <v>0</v>
      </c>
      <c r="J373" s="269">
        <f ca="1">IFERROR(__xludf.DUMMYFUNCTION("IMPORTRANGE(""https://docs.google.com/spreadsheets/d/1KxicF4apzSqm0-jIpmueT4kyZtE-Cwn5zskl7GD4loQ/edit?usp=share_link"",""กำแพงเพชร!J373"")+IMPORTRANGE(""https://docs.google.com/spreadsheets/d/1ZNYWeiFoFA1K1U4xKWqRX29MBvEyRHXORjo734Gnq_c/edit?usp=share_li"&amp;"nk"",""เชียงราย!J373"")
+IMPORTRANGE(""https://docs.google.com/spreadsheets/d/1Jgv0Y7YlHDtsiDawwp-uvifEJ8HVaSn0k2aGHG8-hwM/edit?usp=share_link"",""เชียงใหม่!J373"")+IMPORTRANGE(""https://docs.google.com/spreadsheets/d/1JWG2rZePOz9pe-f-ObA-yDr0VoOX2kSb0qIi"&amp;"x2mTUo8/edit?usp=share_link"",""ตาก!J373"")+IMPORTRANGE(""https://docs.google.com/spreadsheets/d/10nSRjK08hx8Y6HgSOQKNw81lyY46Zc7U_Cj72hBMp9U/edit?usp=share_link"",""นครสวรรค์!J373"")+IMPORTRANGE(""https://docs.google.com/spreadsheets/d/1gFVb7qd7amutrIxAA"&amp;"oM7lcy35hllxznovot8lyOfvDo/edit?usp=share_link"",""น่าน!J373"")+IMPORTRANGE(""https://docs.google.com/spreadsheets/d/1K0Aa9s-6EuHE5M0FG1F9aHLXRCOV917xvycTdLdct0w/edit?usp=share_link"",""พะเยา!J373"")+IMPORTRANGE(""https://docs.google.com/spreadsheets/d/1Y"&amp;"9LPKx95PyL5OKy09d-KbKJSuuEZCFdkhYjwC0XQjBA/edit?usp=share_link"",""พิจิตร!J373"")+IMPORTRANGE(""https://docs.google.com/spreadsheets/d/16OMuOwy2eVqZcYWOouQtTpa8X1L23h4660uVHc0C8os/edit?usp=share_link"",""พิษณุโลก!J373"")+IMPORTRANGE(""https://docs.google."&amp;"com/spreadsheets/d/1GfgTldLG6k77HXaMQzaafODklYuucJZQNs_GAPEfZyY/edit?usp=share_link"",""เพชรบูรณ์!J373"")+IMPORTRANGE(""https://docs.google.com/spreadsheets/d/1gvTMYAnm7v1yG1BKWFtr0DnaTsq59oW9dwWvFgq6hs0/edit?usp=share_link"",""แพร่!J373"")+IMPORTRANGE("""&amp;"https://docs.google.com/spreadsheets/d/1Wbcosgy-Xa1xXUArJSOenub6EfZHUSzc_bpJFWwQUf0/edit?usp=share_link"",""แม่ฮ่องสอน!J373"")+IMPORTRANGE(""https://docs.google.com/spreadsheets/d/1p7ERhsr0qZeSn-KSOdeHS9r0heI-lHtkcn2OH7hP0jQ/edit?usp=share_link"",""ลำปาง!"&amp;"J373"")+IMPORTRANGE(""https://docs.google.com/spreadsheets/d/1-uUXvimVhiU2U0bMN-xi2te0tS4X7DI2GLPnMjzl8cA/edit?usp=share_link"",""ลำพูน!J373"")+IMPORTRANGE(""https://docs.google.com/spreadsheets/d/17HrOaa5pBUI1onckFfumXB8xlg35qb2uBAFfF1D-Myo/edit?usp=shar"&amp;"e_link"",""สุโขทัย!J373"")+IMPORTRANGE(""https://docs.google.com/spreadsheets/d/1ubs5cl16eYL9gHbdHTJtmtYb9MGzHBs7CAphn8kNCgM/edit?usp=share_link"",""อุตรดิตถ์!J373"")+IMPORTRANGE(""https://docs.google.com/spreadsheets/d/1kII0BjS6CtVrBvI8IrytgPdxDrlyQDyigz"&amp;"MsohRtDMs/edit?usp=share_link"",""อุทัยธานี!J373"")
"),544.64)</f>
        <v>544.64</v>
      </c>
      <c r="K373" s="38">
        <f t="shared" si="191"/>
        <v>0</v>
      </c>
      <c r="L373" s="163"/>
      <c r="M373" s="163"/>
      <c r="N373" s="163"/>
      <c r="O373" s="163"/>
      <c r="P373" s="163"/>
    </row>
    <row r="374" spans="1:26" ht="19.5">
      <c r="A374" s="450"/>
      <c r="B374" s="451"/>
      <c r="C374" s="452"/>
      <c r="D374" s="453" t="s">
        <v>168</v>
      </c>
      <c r="E374" s="454"/>
      <c r="F374" s="454"/>
      <c r="G374" s="455"/>
      <c r="H374" s="456" t="s">
        <v>35</v>
      </c>
      <c r="I374" s="464">
        <f ca="1">IFERROR(__xludf.DUMMYFUNCTION("IMPORTRANGE(""https://docs.google.com/spreadsheets/d/1KxicF4apzSqm0-jIpmueT4kyZtE-Cwn5zskl7GD4loQ/edit?usp=share_link"",""กำแพงเพชร!I374"")+IMPORTRANGE(""https://docs.google.com/spreadsheets/d/1ZNYWeiFoFA1K1U4xKWqRX29MBvEyRHXORjo734Gnq_c/edit?usp=share_li"&amp;"nk"",""เชียงราย!I374"")
+IMPORTRANGE(""https://docs.google.com/spreadsheets/d/1Jgv0Y7YlHDtsiDawwp-uvifEJ8HVaSn0k2aGHG8-hwM/edit?usp=share_link"",""เชียงใหม่!I374"")+IMPORTRANGE(""https://docs.google.com/spreadsheets/d/1JWG2rZePOz9pe-f-ObA-yDr0VoOX2kSb0qIi"&amp;"x2mTUo8/edit?usp=share_link"",""ตาก!I374"")+IMPORTRANGE(""https://docs.google.com/spreadsheets/d/10nSRjK08hx8Y6HgSOQKNw81lyY46Zc7U_Cj72hBMp9U/edit?usp=share_link"",""นครสวรรค์!I374"")+IMPORTRANGE(""https://docs.google.com/spreadsheets/d/1gFVb7qd7amutrIxAA"&amp;"oM7lcy35hllxznovot8lyOfvDo/edit?usp=share_link"",""น่าน!I374"")+IMPORTRANGE(""https://docs.google.com/spreadsheets/d/1K0Aa9s-6EuHE5M0FG1F9aHLXRCOV917xvycTdLdct0w/edit?usp=share_link"",""พะเยา!I374"")+IMPORTRANGE(""https://docs.google.com/spreadsheets/d/1Y"&amp;"9LPKx95PyL5OKy09d-KbKJSuuEZCFdkhYjwC0XQjBA/edit?usp=share_link"",""พิจิตร!I374"")+IMPORTRANGE(""https://docs.google.com/spreadsheets/d/16OMuOwy2eVqZcYWOouQtTpa8X1L23h4660uVHc0C8os/edit?usp=share_link"",""พิษณุโลก!I374"")+IMPORTRANGE(""https://docs.google."&amp;"com/spreadsheets/d/1GfgTldLG6k77HXaMQzaafODklYuucJZQNs_GAPEfZyY/edit?usp=share_link"",""เพชรบูรณ์!I374"")+IMPORTRANGE(""https://docs.google.com/spreadsheets/d/1gvTMYAnm7v1yG1BKWFtr0DnaTsq59oW9dwWvFgq6hs0/edit?usp=share_link"",""แพร่!I374"")+IMPORTRANGE("""&amp;"https://docs.google.com/spreadsheets/d/1Wbcosgy-Xa1xXUArJSOenub6EfZHUSzc_bpJFWwQUf0/edit?usp=share_link"",""แม่ฮ่องสอน!I374"")+IMPORTRANGE(""https://docs.google.com/spreadsheets/d/1p7ERhsr0qZeSn-KSOdeHS9r0heI-lHtkcn2OH7hP0jQ/edit?usp=share_link"",""ลำปาง!"&amp;"I374"")+IMPORTRANGE(""https://docs.google.com/spreadsheets/d/1-uUXvimVhiU2U0bMN-xi2te0tS4X7DI2GLPnMjzl8cA/edit?usp=share_link"",""ลำพูน!I374"")+IMPORTRANGE(""https://docs.google.com/spreadsheets/d/17HrOaa5pBUI1onckFfumXB8xlg35qb2uBAFfF1D-Myo/edit?usp=shar"&amp;"e_link"",""สุโขทัย!I374"")+IMPORTRANGE(""https://docs.google.com/spreadsheets/d/1ubs5cl16eYL9gHbdHTJtmtYb9MGzHBs7CAphn8kNCgM/edit?usp=share_link"",""อุตรดิตถ์!I374"")+IMPORTRANGE(""https://docs.google.com/spreadsheets/d/1kII0BjS6CtVrBvI8IrytgPdxDrlyQDyigz"&amp;"MsohRtDMs/edit?usp=share_link"",""อุทัยธานี!I374"")
"),8095)</f>
        <v>8095</v>
      </c>
      <c r="J374" s="458">
        <f ca="1">J381</f>
        <v>779</v>
      </c>
      <c r="K374" s="459">
        <f t="shared" ca="1" si="191"/>
        <v>9.6232242124768383</v>
      </c>
      <c r="L374" s="460"/>
      <c r="M374" s="460"/>
      <c r="N374" s="460"/>
      <c r="O374" s="460"/>
      <c r="P374" s="460"/>
      <c r="Q374" s="449"/>
      <c r="R374" s="449"/>
      <c r="S374" s="449"/>
      <c r="T374" s="449"/>
      <c r="U374" s="449"/>
      <c r="V374" s="449"/>
      <c r="W374" s="449"/>
      <c r="X374" s="449"/>
      <c r="Y374" s="449"/>
      <c r="Z374" s="449"/>
    </row>
    <row r="375" spans="1:26" ht="19.5">
      <c r="A375" s="450"/>
      <c r="B375" s="451"/>
      <c r="C375" s="452"/>
      <c r="D375" s="461" t="s">
        <v>169</v>
      </c>
      <c r="E375" s="454"/>
      <c r="F375" s="454"/>
      <c r="G375" s="455"/>
      <c r="H375" s="462"/>
      <c r="I375" s="463"/>
      <c r="J375" s="463"/>
      <c r="K375" s="460"/>
      <c r="L375" s="460"/>
      <c r="M375" s="460"/>
      <c r="N375" s="460"/>
      <c r="O375" s="460"/>
      <c r="P375" s="460"/>
      <c r="Q375" s="449"/>
      <c r="R375" s="449"/>
      <c r="S375" s="449"/>
      <c r="T375" s="449"/>
      <c r="U375" s="449"/>
      <c r="V375" s="449"/>
      <c r="W375" s="449"/>
      <c r="X375" s="449"/>
      <c r="Y375" s="449"/>
      <c r="Z375" s="449"/>
    </row>
    <row r="376" spans="1:26" ht="19.5">
      <c r="A376" s="170"/>
      <c r="B376" s="171"/>
      <c r="C376" s="164" t="s">
        <v>16</v>
      </c>
      <c r="D376" s="172" t="s">
        <v>38</v>
      </c>
      <c r="E376" s="173"/>
      <c r="F376" s="173"/>
      <c r="G376" s="174"/>
      <c r="H376" s="175"/>
      <c r="I376" s="37"/>
      <c r="J376" s="37"/>
      <c r="K376" s="38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69">
        <v>0</v>
      </c>
      <c r="J377" s="269">
        <f ca="1">IFERROR(__xludf.DUMMYFUNCTION("IMPORTRANGE(""https://docs.google.com/spreadsheets/d/1KxicF4apzSqm0-jIpmueT4kyZtE-Cwn5zskl7GD4loQ/edit?usp=share_link"",""กำแพงเพชร!J377"")+IMPORTRANGE(""https://docs.google.com/spreadsheets/d/1ZNYWeiFoFA1K1U4xKWqRX29MBvEyRHXORjo734Gnq_c/edit?usp=share_li"&amp;"nk"",""เชียงราย!J377"")
+IMPORTRANGE(""https://docs.google.com/spreadsheets/d/1Jgv0Y7YlHDtsiDawwp-uvifEJ8HVaSn0k2aGHG8-hwM/edit?usp=share_link"",""เชียงใหม่!J377"")+IMPORTRANGE(""https://docs.google.com/spreadsheets/d/1JWG2rZePOz9pe-f-ObA-yDr0VoOX2kSb0qIi"&amp;"x2mTUo8/edit?usp=share_link"",""ตาก!J377"")+IMPORTRANGE(""https://docs.google.com/spreadsheets/d/10nSRjK08hx8Y6HgSOQKNw81lyY46Zc7U_Cj72hBMp9U/edit?usp=share_link"",""นครสวรรค์!J377"")+IMPORTRANGE(""https://docs.google.com/spreadsheets/d/1gFVb7qd7amutrIxAA"&amp;"oM7lcy35hllxznovot8lyOfvDo/edit?usp=share_link"",""น่าน!J377"")+IMPORTRANGE(""https://docs.google.com/spreadsheets/d/1K0Aa9s-6EuHE5M0FG1F9aHLXRCOV917xvycTdLdct0w/edit?usp=share_link"",""พะเยา!J377"")+IMPORTRANGE(""https://docs.google.com/spreadsheets/d/1Y"&amp;"9LPKx95PyL5OKy09d-KbKJSuuEZCFdkhYjwC0XQjBA/edit?usp=share_link"",""พิจิตร!J377"")+IMPORTRANGE(""https://docs.google.com/spreadsheets/d/16OMuOwy2eVqZcYWOouQtTpa8X1L23h4660uVHc0C8os/edit?usp=share_link"",""พิษณุโลก!J377"")+IMPORTRANGE(""https://docs.google."&amp;"com/spreadsheets/d/1GfgTldLG6k77HXaMQzaafODklYuucJZQNs_GAPEfZyY/edit?usp=share_link"",""เพชรบูรณ์!J377"")+IMPORTRANGE(""https://docs.google.com/spreadsheets/d/1gvTMYAnm7v1yG1BKWFtr0DnaTsq59oW9dwWvFgq6hs0/edit?usp=share_link"",""แพร่!J377"")+IMPORTRANGE("""&amp;"https://docs.google.com/spreadsheets/d/1Wbcosgy-Xa1xXUArJSOenub6EfZHUSzc_bpJFWwQUf0/edit?usp=share_link"",""แม่ฮ่องสอน!J377"")+IMPORTRANGE(""https://docs.google.com/spreadsheets/d/1p7ERhsr0qZeSn-KSOdeHS9r0heI-lHtkcn2OH7hP0jQ/edit?usp=share_link"",""ลำปาง!"&amp;"J377"")+IMPORTRANGE(""https://docs.google.com/spreadsheets/d/1-uUXvimVhiU2U0bMN-xi2te0tS4X7DI2GLPnMjzl8cA/edit?usp=share_link"",""ลำพูน!J377"")+IMPORTRANGE(""https://docs.google.com/spreadsheets/d/17HrOaa5pBUI1onckFfumXB8xlg35qb2uBAFfF1D-Myo/edit?usp=shar"&amp;"e_link"",""สุโขทัย!J377"")+IMPORTRANGE(""https://docs.google.com/spreadsheets/d/1ubs5cl16eYL9gHbdHTJtmtYb9MGzHBs7CAphn8kNCgM/edit?usp=share_link"",""อุตรดิตถ์!J377"")+IMPORTRANGE(""https://docs.google.com/spreadsheets/d/1kII0BjS6CtVrBvI8IrytgPdxDrlyQDyigz"&amp;"MsohRtDMs/edit?usp=share_link"",""อุทัยธานี!J377"")
"),85)</f>
        <v>85</v>
      </c>
      <c r="K377" s="465">
        <f t="shared" ref="K377:K382" si="192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37">
        <f ca="1">IFERROR(__xludf.DUMMYFUNCTION("IMPORTRANGE(""https://docs.google.com/spreadsheets/d/1KxicF4apzSqm0-jIpmueT4kyZtE-Cwn5zskl7GD4loQ/edit?usp=share_link"",""กำแพงเพชร!I378"")+IMPORTRANGE(""https://docs.google.com/spreadsheets/d/1ZNYWeiFoFA1K1U4xKWqRX29MBvEyRHXORjo734Gnq_c/edit?usp=share_li"&amp;"nk"",""เชียงราย!I378"")
+IMPORTRANGE(""https://docs.google.com/spreadsheets/d/1Jgv0Y7YlHDtsiDawwp-uvifEJ8HVaSn0k2aGHG8-hwM/edit?usp=share_link"",""เชียงใหม่!I378"")+IMPORTRANGE(""https://docs.google.com/spreadsheets/d/1JWG2rZePOz9pe-f-ObA-yDr0VoOX2kSb0qIi"&amp;"x2mTUo8/edit?usp=share_link"",""ตาก!I378"")+IMPORTRANGE(""https://docs.google.com/spreadsheets/d/10nSRjK08hx8Y6HgSOQKNw81lyY46Zc7U_Cj72hBMp9U/edit?usp=share_link"",""นครสวรรค์!I378"")+IMPORTRANGE(""https://docs.google.com/spreadsheets/d/1gFVb7qd7amutrIxAA"&amp;"oM7lcy35hllxznovot8lyOfvDo/edit?usp=share_link"",""น่าน!I378"")+IMPORTRANGE(""https://docs.google.com/spreadsheets/d/1K0Aa9s-6EuHE5M0FG1F9aHLXRCOV917xvycTdLdct0w/edit?usp=share_link"",""พะเยา!I378"")+IMPORTRANGE(""https://docs.google.com/spreadsheets/d/1Y"&amp;"9LPKx95PyL5OKy09d-KbKJSuuEZCFdkhYjwC0XQjBA/edit?usp=share_link"",""พิจิตร!I378"")+IMPORTRANGE(""https://docs.google.com/spreadsheets/d/16OMuOwy2eVqZcYWOouQtTpa8X1L23h4660uVHc0C8os/edit?usp=share_link"",""พิษณุโลก!I378"")+IMPORTRANGE(""https://docs.google."&amp;"com/spreadsheets/d/1GfgTldLG6k77HXaMQzaafODklYuucJZQNs_GAPEfZyY/edit?usp=share_link"",""เพชรบูรณ์!I378"")+IMPORTRANGE(""https://docs.google.com/spreadsheets/d/1gvTMYAnm7v1yG1BKWFtr0DnaTsq59oW9dwWvFgq6hs0/edit?usp=share_link"",""แพร่!I378"")+IMPORTRANGE("""&amp;"https://docs.google.com/spreadsheets/d/1Wbcosgy-Xa1xXUArJSOenub6EfZHUSzc_bpJFWwQUf0/edit?usp=share_link"",""แม่ฮ่องสอน!I378"")+IMPORTRANGE(""https://docs.google.com/spreadsheets/d/1p7ERhsr0qZeSn-KSOdeHS9r0heI-lHtkcn2OH7hP0jQ/edit?usp=share_link"",""ลำปาง!"&amp;"I378"")+IMPORTRANGE(""https://docs.google.com/spreadsheets/d/1-uUXvimVhiU2U0bMN-xi2te0tS4X7DI2GLPnMjzl8cA/edit?usp=share_link"",""ลำพูน!I378"")+IMPORTRANGE(""https://docs.google.com/spreadsheets/d/17HrOaa5pBUI1onckFfumXB8xlg35qb2uBAFfF1D-Myo/edit?usp=shar"&amp;"e_link"",""สุโขทัย!I378"")+IMPORTRANGE(""https://docs.google.com/spreadsheets/d/1ubs5cl16eYL9gHbdHTJtmtYb9MGzHBs7CAphn8kNCgM/edit?usp=share_link"",""อุตรดิตถ์!I378"")+IMPORTRANGE(""https://docs.google.com/spreadsheets/d/1kII0BjS6CtVrBvI8IrytgPdxDrlyQDyigz"&amp;"MsohRtDMs/edit?usp=share_link"",""อุทัยธานี!I378"")
"),22260)</f>
        <v>22260</v>
      </c>
      <c r="J378" s="269">
        <f ca="1">IFERROR(__xludf.DUMMYFUNCTION("IMPORTRANGE(""https://docs.google.com/spreadsheets/d/1KxicF4apzSqm0-jIpmueT4kyZtE-Cwn5zskl7GD4loQ/edit?usp=share_link"",""กำแพงเพชร!J378"")+IMPORTRANGE(""https://docs.google.com/spreadsheets/d/1ZNYWeiFoFA1K1U4xKWqRX29MBvEyRHXORjo734Gnq_c/edit?usp=share_li"&amp;"nk"",""เชียงราย!J378"")
+IMPORTRANGE(""https://docs.google.com/spreadsheets/d/1Jgv0Y7YlHDtsiDawwp-uvifEJ8HVaSn0k2aGHG8-hwM/edit?usp=share_link"",""เชียงใหม่!J378"")+IMPORTRANGE(""https://docs.google.com/spreadsheets/d/1JWG2rZePOz9pe-f-ObA-yDr0VoOX2kSb0qIi"&amp;"x2mTUo8/edit?usp=share_link"",""ตาก!J378"")+IMPORTRANGE(""https://docs.google.com/spreadsheets/d/10nSRjK08hx8Y6HgSOQKNw81lyY46Zc7U_Cj72hBMp9U/edit?usp=share_link"",""นครสวรรค์!J378"")+IMPORTRANGE(""https://docs.google.com/spreadsheets/d/1gFVb7qd7amutrIxAA"&amp;"oM7lcy35hllxznovot8lyOfvDo/edit?usp=share_link"",""น่าน!J378"")+IMPORTRANGE(""https://docs.google.com/spreadsheets/d/1K0Aa9s-6EuHE5M0FG1F9aHLXRCOV917xvycTdLdct0w/edit?usp=share_link"",""พะเยา!J378"")+IMPORTRANGE(""https://docs.google.com/spreadsheets/d/1Y"&amp;"9LPKx95PyL5OKy09d-KbKJSuuEZCFdkhYjwC0XQjBA/edit?usp=share_link"",""พิจิตร!J378"")+IMPORTRANGE(""https://docs.google.com/spreadsheets/d/16OMuOwy2eVqZcYWOouQtTpa8X1L23h4660uVHc0C8os/edit?usp=share_link"",""พิษณุโลก!J378"")+IMPORTRANGE(""https://docs.google."&amp;"com/spreadsheets/d/1GfgTldLG6k77HXaMQzaafODklYuucJZQNs_GAPEfZyY/edit?usp=share_link"",""เพชรบูรณ์!J378"")+IMPORTRANGE(""https://docs.google.com/spreadsheets/d/1gvTMYAnm7v1yG1BKWFtr0DnaTsq59oW9dwWvFgq6hs0/edit?usp=share_link"",""แพร่!J378"")+IMPORTRANGE("""&amp;"https://docs.google.com/spreadsheets/d/1Wbcosgy-Xa1xXUArJSOenub6EfZHUSzc_bpJFWwQUf0/edit?usp=share_link"",""แม่ฮ่องสอน!J378"")+IMPORTRANGE(""https://docs.google.com/spreadsheets/d/1p7ERhsr0qZeSn-KSOdeHS9r0heI-lHtkcn2OH7hP0jQ/edit?usp=share_link"",""ลำปาง!"&amp;"J378"")+IMPORTRANGE(""https://docs.google.com/spreadsheets/d/1-uUXvimVhiU2U0bMN-xi2te0tS4X7DI2GLPnMjzl8cA/edit?usp=share_link"",""ลำพูน!J378"")+IMPORTRANGE(""https://docs.google.com/spreadsheets/d/17HrOaa5pBUI1onckFfumXB8xlg35qb2uBAFfF1D-Myo/edit?usp=shar"&amp;"e_link"",""สุโขทัย!J378"")+IMPORTRANGE(""https://docs.google.com/spreadsheets/d/1ubs5cl16eYL9gHbdHTJtmtYb9MGzHBs7CAphn8kNCgM/edit?usp=share_link"",""อุตรดิตถ์!J378"")+IMPORTRANGE(""https://docs.google.com/spreadsheets/d/1kII0BjS6CtVrBvI8IrytgPdxDrlyQDyigz"&amp;"MsohRtDMs/edit?usp=share_link"",""อุทัยธานี!J378"")
"),647.89)</f>
        <v>647.89</v>
      </c>
      <c r="K378" s="465">
        <f t="shared" ca="1" si="192"/>
        <v>2.910557053009883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182" t="s">
        <v>35</v>
      </c>
      <c r="I379" s="37">
        <f ca="1">IFERROR(__xludf.DUMMYFUNCTION("IMPORTRANGE(""https://docs.google.com/spreadsheets/d/1KxicF4apzSqm0-jIpmueT4kyZtE-Cwn5zskl7GD4loQ/edit?usp=share_link"",""กำแพงเพชร!I379"")+IMPORTRANGE(""https://docs.google.com/spreadsheets/d/1ZNYWeiFoFA1K1U4xKWqRX29MBvEyRHXORjo734Gnq_c/edit?usp=share_li"&amp;"nk"",""เชียงราย!I379"")
+IMPORTRANGE(""https://docs.google.com/spreadsheets/d/1Jgv0Y7YlHDtsiDawwp-uvifEJ8HVaSn0k2aGHG8-hwM/edit?usp=share_link"",""เชียงใหม่!I379"")+IMPORTRANGE(""https://docs.google.com/spreadsheets/d/1JWG2rZePOz9pe-f-ObA-yDr0VoOX2kSb0qIi"&amp;"x2mTUo8/edit?usp=share_link"",""ตาก!I379"")+IMPORTRANGE(""https://docs.google.com/spreadsheets/d/10nSRjK08hx8Y6HgSOQKNw81lyY46Zc7U_Cj72hBMp9U/edit?usp=share_link"",""นครสวรรค์!I379"")+IMPORTRANGE(""https://docs.google.com/spreadsheets/d/1gFVb7qd7amutrIxAA"&amp;"oM7lcy35hllxznovot8lyOfvDo/edit?usp=share_link"",""น่าน!I379"")+IMPORTRANGE(""https://docs.google.com/spreadsheets/d/1K0Aa9s-6EuHE5M0FG1F9aHLXRCOV917xvycTdLdct0w/edit?usp=share_link"",""พะเยา!I379"")+IMPORTRANGE(""https://docs.google.com/spreadsheets/d/1Y"&amp;"9LPKx95PyL5OKy09d-KbKJSuuEZCFdkhYjwC0XQjBA/edit?usp=share_link"",""พิจิตร!I379"")+IMPORTRANGE(""https://docs.google.com/spreadsheets/d/16OMuOwy2eVqZcYWOouQtTpa8X1L23h4660uVHc0C8os/edit?usp=share_link"",""พิษณุโลก!I379"")+IMPORTRANGE(""https://docs.google."&amp;"com/spreadsheets/d/1GfgTldLG6k77HXaMQzaafODklYuucJZQNs_GAPEfZyY/edit?usp=share_link"",""เพชรบูรณ์!I379"")+IMPORTRANGE(""https://docs.google.com/spreadsheets/d/1gvTMYAnm7v1yG1BKWFtr0DnaTsq59oW9dwWvFgq6hs0/edit?usp=share_link"",""แพร่!I379"")+IMPORTRANGE("""&amp;"https://docs.google.com/spreadsheets/d/1Wbcosgy-Xa1xXUArJSOenub6EfZHUSzc_bpJFWwQUf0/edit?usp=share_link"",""แม่ฮ่องสอน!I379"")+IMPORTRANGE(""https://docs.google.com/spreadsheets/d/1p7ERhsr0qZeSn-KSOdeHS9r0heI-lHtkcn2OH7hP0jQ/edit?usp=share_link"",""ลำปาง!"&amp;"I379"")+IMPORTRANGE(""https://docs.google.com/spreadsheets/d/1-uUXvimVhiU2U0bMN-xi2te0tS4X7DI2GLPnMjzl8cA/edit?usp=share_link"",""ลำพูน!I379"")+IMPORTRANGE(""https://docs.google.com/spreadsheets/d/17HrOaa5pBUI1onckFfumXB8xlg35qb2uBAFfF1D-Myo/edit?usp=shar"&amp;"e_link"",""สุโขทัย!I379"")+IMPORTRANGE(""https://docs.google.com/spreadsheets/d/1ubs5cl16eYL9gHbdHTJtmtYb9MGzHBs7CAphn8kNCgM/edit?usp=share_link"",""อุตรดิตถ์!I379"")+IMPORTRANGE(""https://docs.google.com/spreadsheets/d/1kII0BjS6CtVrBvI8IrytgPdxDrlyQDyigz"&amp;"MsohRtDMs/edit?usp=share_link"",""อุทัยธานี!I379"")
"),8095)</f>
        <v>8095</v>
      </c>
      <c r="J379" s="269">
        <f ca="1">IFERROR(__xludf.DUMMYFUNCTION("IMPORTRANGE(""https://docs.google.com/spreadsheets/d/1KxicF4apzSqm0-jIpmueT4kyZtE-Cwn5zskl7GD4loQ/edit?usp=share_link"",""กำแพงเพชร!J379"")+IMPORTRANGE(""https://docs.google.com/spreadsheets/d/1ZNYWeiFoFA1K1U4xKWqRX29MBvEyRHXORjo734Gnq_c/edit?usp=share_li"&amp;"nk"",""เชียงราย!J379"")
+IMPORTRANGE(""https://docs.google.com/spreadsheets/d/1Jgv0Y7YlHDtsiDawwp-uvifEJ8HVaSn0k2aGHG8-hwM/edit?usp=share_link"",""เชียงใหม่!J379"")+IMPORTRANGE(""https://docs.google.com/spreadsheets/d/1JWG2rZePOz9pe-f-ObA-yDr0VoOX2kSb0qIi"&amp;"x2mTUo8/edit?usp=share_link"",""ตาก!J379"")+IMPORTRANGE(""https://docs.google.com/spreadsheets/d/10nSRjK08hx8Y6HgSOQKNw81lyY46Zc7U_Cj72hBMp9U/edit?usp=share_link"",""นครสวรรค์!J379"")+IMPORTRANGE(""https://docs.google.com/spreadsheets/d/1gFVb7qd7amutrIxAA"&amp;"oM7lcy35hllxznovot8lyOfvDo/edit?usp=share_link"",""น่าน!J379"")+IMPORTRANGE(""https://docs.google.com/spreadsheets/d/1K0Aa9s-6EuHE5M0FG1F9aHLXRCOV917xvycTdLdct0w/edit?usp=share_link"",""พะเยา!J379"")+IMPORTRANGE(""https://docs.google.com/spreadsheets/d/1Y"&amp;"9LPKx95PyL5OKy09d-KbKJSuuEZCFdkhYjwC0XQjBA/edit?usp=share_link"",""พิจิตร!J379"")+IMPORTRANGE(""https://docs.google.com/spreadsheets/d/16OMuOwy2eVqZcYWOouQtTpa8X1L23h4660uVHc0C8os/edit?usp=share_link"",""พิษณุโลก!J379"")+IMPORTRANGE(""https://docs.google."&amp;"com/spreadsheets/d/1GfgTldLG6k77HXaMQzaafODklYuucJZQNs_GAPEfZyY/edit?usp=share_link"",""เพชรบูรณ์!J379"")+IMPORTRANGE(""https://docs.google.com/spreadsheets/d/1gvTMYAnm7v1yG1BKWFtr0DnaTsq59oW9dwWvFgq6hs0/edit?usp=share_link"",""แพร่!J379"")+IMPORTRANGE("""&amp;"https://docs.google.com/spreadsheets/d/1Wbcosgy-Xa1xXUArJSOenub6EfZHUSzc_bpJFWwQUf0/edit?usp=share_link"",""แม่ฮ่องสอน!J379"")+IMPORTRANGE(""https://docs.google.com/spreadsheets/d/1p7ERhsr0qZeSn-KSOdeHS9r0heI-lHtkcn2OH7hP0jQ/edit?usp=share_link"",""ลำปาง!"&amp;"J379"")+IMPORTRANGE(""https://docs.google.com/spreadsheets/d/1-uUXvimVhiU2U0bMN-xi2te0tS4X7DI2GLPnMjzl8cA/edit?usp=share_link"",""ลำพูน!J379"")+IMPORTRANGE(""https://docs.google.com/spreadsheets/d/17HrOaa5pBUI1onckFfumXB8xlg35qb2uBAFfF1D-Myo/edit?usp=shar"&amp;"e_link"",""สุโขทัย!J379"")+IMPORTRANGE(""https://docs.google.com/spreadsheets/d/1ubs5cl16eYL9gHbdHTJtmtYb9MGzHBs7CAphn8kNCgM/edit?usp=share_link"",""อุตรดิตถ์!J379"")+IMPORTRANGE(""https://docs.google.com/spreadsheets/d/1kII0BjS6CtVrBvI8IrytgPdxDrlyQDyigz"&amp;"MsohRtDMs/edit?usp=share_link"",""อุทัยธานี!J379"")
"),822)</f>
        <v>822</v>
      </c>
      <c r="K379" s="465">
        <f t="shared" ca="1" si="192"/>
        <v>10.154416306361952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182" t="s">
        <v>46</v>
      </c>
      <c r="I380" s="269">
        <v>0</v>
      </c>
      <c r="J380" s="269">
        <f ca="1">IFERROR(__xludf.DUMMYFUNCTION("IMPORTRANGE(""https://docs.google.com/spreadsheets/d/1KxicF4apzSqm0-jIpmueT4kyZtE-Cwn5zskl7GD4loQ/edit?usp=share_link"",""กำแพงเพชร!J380"")+IMPORTRANGE(""https://docs.google.com/spreadsheets/d/1ZNYWeiFoFA1K1U4xKWqRX29MBvEyRHXORjo734Gnq_c/edit?usp=share_li"&amp;"nk"",""เชียงราย!J380"")
+IMPORTRANGE(""https://docs.google.com/spreadsheets/d/1Jgv0Y7YlHDtsiDawwp-uvifEJ8HVaSn0k2aGHG8-hwM/edit?usp=share_link"",""เชียงใหม่!J380"")+IMPORTRANGE(""https://docs.google.com/spreadsheets/d/1JWG2rZePOz9pe-f-ObA-yDr0VoOX2kSb0qIi"&amp;"x2mTUo8/edit?usp=share_link"",""ตาก!J380"")+IMPORTRANGE(""https://docs.google.com/spreadsheets/d/10nSRjK08hx8Y6HgSOQKNw81lyY46Zc7U_Cj72hBMp9U/edit?usp=share_link"",""นครสวรรค์!J380"")+IMPORTRANGE(""https://docs.google.com/spreadsheets/d/1gFVb7qd7amutrIxAA"&amp;"oM7lcy35hllxznovot8lyOfvDo/edit?usp=share_link"",""น่าน!J380"")+IMPORTRANGE(""https://docs.google.com/spreadsheets/d/1K0Aa9s-6EuHE5M0FG1F9aHLXRCOV917xvycTdLdct0w/edit?usp=share_link"",""พะเยา!J380"")+IMPORTRANGE(""https://docs.google.com/spreadsheets/d/1Y"&amp;"9LPKx95PyL5OKy09d-KbKJSuuEZCFdkhYjwC0XQjBA/edit?usp=share_link"",""พิจิตร!J380"")+IMPORTRANGE(""https://docs.google.com/spreadsheets/d/16OMuOwy2eVqZcYWOouQtTpa8X1L23h4660uVHc0C8os/edit?usp=share_link"",""พิษณุโลก!J380"")+IMPORTRANGE(""https://docs.google."&amp;"com/spreadsheets/d/1GfgTldLG6k77HXaMQzaafODklYuucJZQNs_GAPEfZyY/edit?usp=share_link"",""เพชรบูรณ์!J380"")+IMPORTRANGE(""https://docs.google.com/spreadsheets/d/1gvTMYAnm7v1yG1BKWFtr0DnaTsq59oW9dwWvFgq6hs0/edit?usp=share_link"",""แพร่!J380"")+IMPORTRANGE("""&amp;"https://docs.google.com/spreadsheets/d/1Wbcosgy-Xa1xXUArJSOenub6EfZHUSzc_bpJFWwQUf0/edit?usp=share_link"",""แม่ฮ่องสอน!J380"")+IMPORTRANGE(""https://docs.google.com/spreadsheets/d/1p7ERhsr0qZeSn-KSOdeHS9r0heI-lHtkcn2OH7hP0jQ/edit?usp=share_link"",""ลำปาง!"&amp;"J380"")+IMPORTRANGE(""https://docs.google.com/spreadsheets/d/1-uUXvimVhiU2U0bMN-xi2te0tS4X7DI2GLPnMjzl8cA/edit?usp=share_link"",""ลำพูน!J380"")+IMPORTRANGE(""https://docs.google.com/spreadsheets/d/17HrOaa5pBUI1onckFfumXB8xlg35qb2uBAFfF1D-Myo/edit?usp=shar"&amp;"e_link"",""สุโขทัย!J380"")+IMPORTRANGE(""https://docs.google.com/spreadsheets/d/1ubs5cl16eYL9gHbdHTJtmtYb9MGzHBs7CAphn8kNCgM/edit?usp=share_link"",""อุตรดิตถ์!J380"")+IMPORTRANGE(""https://docs.google.com/spreadsheets/d/1kII0BjS6CtVrBvI8IrytgPdxDrlyQDyigz"&amp;"MsohRtDMs/edit?usp=share_link"",""อุทัยธานี!J380"")
"),9747.55)</f>
        <v>9747.5499999999993</v>
      </c>
      <c r="K380" s="465">
        <f t="shared" si="192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182" t="s">
        <v>35</v>
      </c>
      <c r="I381" s="37">
        <f ca="1">IFERROR(__xludf.DUMMYFUNCTION("IMPORTRANGE(""https://docs.google.com/spreadsheets/d/1KxicF4apzSqm0-jIpmueT4kyZtE-Cwn5zskl7GD4loQ/edit?usp=share_link"",""กำแพงเพชร!I381"")+IMPORTRANGE(""https://docs.google.com/spreadsheets/d/1ZNYWeiFoFA1K1U4xKWqRX29MBvEyRHXORjo734Gnq_c/edit?usp=share_li"&amp;"nk"",""เชียงราย!I381"")
+IMPORTRANGE(""https://docs.google.com/spreadsheets/d/1Jgv0Y7YlHDtsiDawwp-uvifEJ8HVaSn0k2aGHG8-hwM/edit?usp=share_link"",""เชียงใหม่!I381"")+IMPORTRANGE(""https://docs.google.com/spreadsheets/d/1JWG2rZePOz9pe-f-ObA-yDr0VoOX2kSb0qIi"&amp;"x2mTUo8/edit?usp=share_link"",""ตาก!I381"")+IMPORTRANGE(""https://docs.google.com/spreadsheets/d/10nSRjK08hx8Y6HgSOQKNw81lyY46Zc7U_Cj72hBMp9U/edit?usp=share_link"",""นครสวรรค์!I381"")+IMPORTRANGE(""https://docs.google.com/spreadsheets/d/1gFVb7qd7amutrIxAA"&amp;"oM7lcy35hllxznovot8lyOfvDo/edit?usp=share_link"",""น่าน!I381"")+IMPORTRANGE(""https://docs.google.com/spreadsheets/d/1K0Aa9s-6EuHE5M0FG1F9aHLXRCOV917xvycTdLdct0w/edit?usp=share_link"",""พะเยา!I381"")+IMPORTRANGE(""https://docs.google.com/spreadsheets/d/1Y"&amp;"9LPKx95PyL5OKy09d-KbKJSuuEZCFdkhYjwC0XQjBA/edit?usp=share_link"",""พิจิตร!I381"")+IMPORTRANGE(""https://docs.google.com/spreadsheets/d/16OMuOwy2eVqZcYWOouQtTpa8X1L23h4660uVHc0C8os/edit?usp=share_link"",""พิษณุโลก!I381"")+IMPORTRANGE(""https://docs.google."&amp;"com/spreadsheets/d/1GfgTldLG6k77HXaMQzaafODklYuucJZQNs_GAPEfZyY/edit?usp=share_link"",""เพชรบูรณ์!I381"")+IMPORTRANGE(""https://docs.google.com/spreadsheets/d/1gvTMYAnm7v1yG1BKWFtr0DnaTsq59oW9dwWvFgq6hs0/edit?usp=share_link"",""แพร่!I381"")+IMPORTRANGE("""&amp;"https://docs.google.com/spreadsheets/d/1Wbcosgy-Xa1xXUArJSOenub6EfZHUSzc_bpJFWwQUf0/edit?usp=share_link"",""แม่ฮ่องสอน!I381"")+IMPORTRANGE(""https://docs.google.com/spreadsheets/d/1p7ERhsr0qZeSn-KSOdeHS9r0heI-lHtkcn2OH7hP0jQ/edit?usp=share_link"",""ลำปาง!"&amp;"I381"")+IMPORTRANGE(""https://docs.google.com/spreadsheets/d/1-uUXvimVhiU2U0bMN-xi2te0tS4X7DI2GLPnMjzl8cA/edit?usp=share_link"",""ลำพูน!I381"")+IMPORTRANGE(""https://docs.google.com/spreadsheets/d/17HrOaa5pBUI1onckFfumXB8xlg35qb2uBAFfF1D-Myo/edit?usp=shar"&amp;"e_link"",""สุโขทัย!I381"")+IMPORTRANGE(""https://docs.google.com/spreadsheets/d/1ubs5cl16eYL9gHbdHTJtmtYb9MGzHBs7CAphn8kNCgM/edit?usp=share_link"",""อุตรดิตถ์!I381"")+IMPORTRANGE(""https://docs.google.com/spreadsheets/d/1kII0BjS6CtVrBvI8IrytgPdxDrlyQDyigz"&amp;"MsohRtDMs/edit?usp=share_link"",""อุทัยธานี!I381"")
"),8095)</f>
        <v>8095</v>
      </c>
      <c r="J381" s="269">
        <f ca="1">IFERROR(__xludf.DUMMYFUNCTION("IMPORTRANGE(""https://docs.google.com/spreadsheets/d/1KxicF4apzSqm0-jIpmueT4kyZtE-Cwn5zskl7GD4loQ/edit?usp=share_link"",""กำแพงเพชร!J381"")+IMPORTRANGE(""https://docs.google.com/spreadsheets/d/1ZNYWeiFoFA1K1U4xKWqRX29MBvEyRHXORjo734Gnq_c/edit?usp=share_li"&amp;"nk"",""เชียงราย!J381"")
+IMPORTRANGE(""https://docs.google.com/spreadsheets/d/1Jgv0Y7YlHDtsiDawwp-uvifEJ8HVaSn0k2aGHG8-hwM/edit?usp=share_link"",""เชียงใหม่!J381"")+IMPORTRANGE(""https://docs.google.com/spreadsheets/d/1JWG2rZePOz9pe-f-ObA-yDr0VoOX2kSb0qIi"&amp;"x2mTUo8/edit?usp=share_link"",""ตาก!J381"")+IMPORTRANGE(""https://docs.google.com/spreadsheets/d/10nSRjK08hx8Y6HgSOQKNw81lyY46Zc7U_Cj72hBMp9U/edit?usp=share_link"",""นครสวรรค์!J381"")+IMPORTRANGE(""https://docs.google.com/spreadsheets/d/1gFVb7qd7amutrIxAA"&amp;"oM7lcy35hllxznovot8lyOfvDo/edit?usp=share_link"",""น่าน!J381"")+IMPORTRANGE(""https://docs.google.com/spreadsheets/d/1K0Aa9s-6EuHE5M0FG1F9aHLXRCOV917xvycTdLdct0w/edit?usp=share_link"",""พะเยา!J381"")+IMPORTRANGE(""https://docs.google.com/spreadsheets/d/1Y"&amp;"9LPKx95PyL5OKy09d-KbKJSuuEZCFdkhYjwC0XQjBA/edit?usp=share_link"",""พิจิตร!J381"")+IMPORTRANGE(""https://docs.google.com/spreadsheets/d/16OMuOwy2eVqZcYWOouQtTpa8X1L23h4660uVHc0C8os/edit?usp=share_link"",""พิษณุโลก!J381"")+IMPORTRANGE(""https://docs.google."&amp;"com/spreadsheets/d/1GfgTldLG6k77HXaMQzaafODklYuucJZQNs_GAPEfZyY/edit?usp=share_link"",""เพชรบูรณ์!J381"")+IMPORTRANGE(""https://docs.google.com/spreadsheets/d/1gvTMYAnm7v1yG1BKWFtr0DnaTsq59oW9dwWvFgq6hs0/edit?usp=share_link"",""แพร่!J381"")+IMPORTRANGE("""&amp;"https://docs.google.com/spreadsheets/d/1Wbcosgy-Xa1xXUArJSOenub6EfZHUSzc_bpJFWwQUf0/edit?usp=share_link"",""แม่ฮ่องสอน!J381"")+IMPORTRANGE(""https://docs.google.com/spreadsheets/d/1p7ERhsr0qZeSn-KSOdeHS9r0heI-lHtkcn2OH7hP0jQ/edit?usp=share_link"",""ลำปาง!"&amp;"J381"")+IMPORTRANGE(""https://docs.google.com/spreadsheets/d/1-uUXvimVhiU2U0bMN-xi2te0tS4X7DI2GLPnMjzl8cA/edit?usp=share_link"",""ลำพูน!J381"")+IMPORTRANGE(""https://docs.google.com/spreadsheets/d/17HrOaa5pBUI1onckFfumXB8xlg35qb2uBAFfF1D-Myo/edit?usp=shar"&amp;"e_link"",""สุโขทัย!J381"")+IMPORTRANGE(""https://docs.google.com/spreadsheets/d/1ubs5cl16eYL9gHbdHTJtmtYb9MGzHBs7CAphn8kNCgM/edit?usp=share_link"",""อุตรดิตถ์!J381"")+IMPORTRANGE(""https://docs.google.com/spreadsheets/d/1kII0BjS6CtVrBvI8IrytgPdxDrlyQDyigz"&amp;"MsohRtDMs/edit?usp=share_link"",""อุทัยธานี!J381"")
"),779)</f>
        <v>779</v>
      </c>
      <c r="K381" s="465">
        <f t="shared" ca="1" si="192"/>
        <v>9.6232242124768383</v>
      </c>
      <c r="L381" s="163"/>
      <c r="M381" s="163"/>
      <c r="N381" s="163"/>
      <c r="O381" s="163"/>
      <c r="P381" s="163"/>
    </row>
    <row r="382" spans="1:26" ht="18.75">
      <c r="A382" s="438" t="s">
        <v>164</v>
      </c>
      <c r="B382" s="178"/>
      <c r="C382" s="171"/>
      <c r="D382" s="178"/>
      <c r="E382" s="177"/>
      <c r="F382" s="178"/>
      <c r="G382" s="179"/>
      <c r="H382" s="182" t="s">
        <v>46</v>
      </c>
      <c r="I382" s="269">
        <v>0</v>
      </c>
      <c r="J382" s="269">
        <f ca="1">IFERROR(__xludf.DUMMYFUNCTION("IMPORTRANGE(""https://docs.google.com/spreadsheets/d/1KxicF4apzSqm0-jIpmueT4kyZtE-Cwn5zskl7GD4loQ/edit?usp=share_link"",""กำแพงเพชร!J382"")+IMPORTRANGE(""https://docs.google.com/spreadsheets/d/1ZNYWeiFoFA1K1U4xKWqRX29MBvEyRHXORjo734Gnq_c/edit?usp=share_li"&amp;"nk"",""เชียงราย!J382"")
+IMPORTRANGE(""https://docs.google.com/spreadsheets/d/1Jgv0Y7YlHDtsiDawwp-uvifEJ8HVaSn0k2aGHG8-hwM/edit?usp=share_link"",""เชียงใหม่!J382"")+IMPORTRANGE(""https://docs.google.com/spreadsheets/d/1JWG2rZePOz9pe-f-ObA-yDr0VoOX2kSb0qIi"&amp;"x2mTUo8/edit?usp=share_link"",""ตาก!J382"")+IMPORTRANGE(""https://docs.google.com/spreadsheets/d/10nSRjK08hx8Y6HgSOQKNw81lyY46Zc7U_Cj72hBMp9U/edit?usp=share_link"",""นครสวรรค์!J382"")+IMPORTRANGE(""https://docs.google.com/spreadsheets/d/1gFVb7qd7amutrIxAA"&amp;"oM7lcy35hllxznovot8lyOfvDo/edit?usp=share_link"",""น่าน!J382"")+IMPORTRANGE(""https://docs.google.com/spreadsheets/d/1K0Aa9s-6EuHE5M0FG1F9aHLXRCOV917xvycTdLdct0w/edit?usp=share_link"",""พะเยา!J382"")+IMPORTRANGE(""https://docs.google.com/spreadsheets/d/1Y"&amp;"9LPKx95PyL5OKy09d-KbKJSuuEZCFdkhYjwC0XQjBA/edit?usp=share_link"",""พิจิตร!J382"")+IMPORTRANGE(""https://docs.google.com/spreadsheets/d/16OMuOwy2eVqZcYWOouQtTpa8X1L23h4660uVHc0C8os/edit?usp=share_link"",""พิษณุโลก!J382"")+IMPORTRANGE(""https://docs.google."&amp;"com/spreadsheets/d/1GfgTldLG6k77HXaMQzaafODklYuucJZQNs_GAPEfZyY/edit?usp=share_link"",""เพชรบูรณ์!J382"")+IMPORTRANGE(""https://docs.google.com/spreadsheets/d/1gvTMYAnm7v1yG1BKWFtr0DnaTsq59oW9dwWvFgq6hs0/edit?usp=share_link"",""แพร่!J382"")+IMPORTRANGE("""&amp;"https://docs.google.com/spreadsheets/d/1Wbcosgy-Xa1xXUArJSOenub6EfZHUSzc_bpJFWwQUf0/edit?usp=share_link"",""แม่ฮ่องสอน!J382"")+IMPORTRANGE(""https://docs.google.com/spreadsheets/d/1p7ERhsr0qZeSn-KSOdeHS9r0heI-lHtkcn2OH7hP0jQ/edit?usp=share_link"",""ลำปาง!"&amp;"J382"")+IMPORTRANGE(""https://docs.google.com/spreadsheets/d/1-uUXvimVhiU2U0bMN-xi2te0tS4X7DI2GLPnMjzl8cA/edit?usp=share_link"",""ลำพูน!J382"")+IMPORTRANGE(""https://docs.google.com/spreadsheets/d/17HrOaa5pBUI1onckFfumXB8xlg35qb2uBAFfF1D-Myo/edit?usp=shar"&amp;"e_link"",""สุโขทัย!J382"")+IMPORTRANGE(""https://docs.google.com/spreadsheets/d/1ubs5cl16eYL9gHbdHTJtmtYb9MGzHBs7CAphn8kNCgM/edit?usp=share_link"",""อุตรดิตถ์!J382"")+IMPORTRANGE(""https://docs.google.com/spreadsheets/d/1kII0BjS6CtVrBvI8IrytgPdxDrlyQDyigz"&amp;"MsohRtDMs/edit?usp=share_link"",""อุทัยธานี!J382"")
"),9251.18)</f>
        <v>9251.18</v>
      </c>
      <c r="K382" s="465">
        <f t="shared" si="192"/>
        <v>0</v>
      </c>
      <c r="L382" s="163"/>
      <c r="M382" s="163"/>
      <c r="N382" s="163"/>
      <c r="O382" s="163"/>
      <c r="P382" s="163"/>
    </row>
    <row r="383" spans="1:26" ht="19.5">
      <c r="A383" s="255"/>
      <c r="B383" s="263"/>
      <c r="C383" s="256"/>
      <c r="D383" s="422" t="s">
        <v>170</v>
      </c>
      <c r="E383" s="256"/>
      <c r="F383" s="256"/>
      <c r="G383" s="258"/>
      <c r="H383" s="423"/>
      <c r="I383" s="260"/>
      <c r="J383" s="260"/>
      <c r="K383" s="261"/>
      <c r="L383" s="261"/>
      <c r="M383" s="261"/>
      <c r="N383" s="261"/>
      <c r="O383" s="261"/>
      <c r="P383" s="261"/>
    </row>
    <row r="384" spans="1:26" ht="19.5">
      <c r="A384" s="170"/>
      <c r="B384" s="171"/>
      <c r="C384" s="33" t="s">
        <v>16</v>
      </c>
      <c r="D384" s="172" t="s">
        <v>38</v>
      </c>
      <c r="E384" s="173"/>
      <c r="F384" s="173"/>
      <c r="G384" s="174"/>
      <c r="H384" s="175"/>
      <c r="I384" s="37"/>
      <c r="J384" s="37"/>
      <c r="K384" s="38"/>
      <c r="L384" s="163"/>
      <c r="M384" s="163"/>
      <c r="N384" s="163"/>
      <c r="O384" s="163"/>
      <c r="P384" s="163"/>
    </row>
    <row r="385" spans="1:26" ht="18.75">
      <c r="A385" s="346"/>
      <c r="B385" s="349"/>
      <c r="C385" s="347"/>
      <c r="D385" s="349"/>
      <c r="E385" s="466" t="s">
        <v>163</v>
      </c>
      <c r="F385" s="349"/>
      <c r="G385" s="350"/>
      <c r="H385" s="467" t="s">
        <v>35</v>
      </c>
      <c r="I385" s="468">
        <f ca="1">IFERROR(__xludf.DUMMYFUNCTION("IMPORTRANGE(""https://docs.google.com/spreadsheets/d/1KxicF4apzSqm0-jIpmueT4kyZtE-Cwn5zskl7GD4loQ/edit?usp=share_link"",""กำแพงเพชร!I385"")+IMPORTRANGE(""https://docs.google.com/spreadsheets/d/1ZNYWeiFoFA1K1U4xKWqRX29MBvEyRHXORjo734Gnq_c/edit?usp=share_li"&amp;"nk"",""เชียงราย!I385"")
+IMPORTRANGE(""https://docs.google.com/spreadsheets/d/1Jgv0Y7YlHDtsiDawwp-uvifEJ8HVaSn0k2aGHG8-hwM/edit?usp=share_link"",""เชียงใหม่!I385"")+IMPORTRANGE(""https://docs.google.com/spreadsheets/d/1JWG2rZePOz9pe-f-ObA-yDr0VoOX2kSb0qIi"&amp;"x2mTUo8/edit?usp=share_link"",""ตาก!I385"")+IMPORTRANGE(""https://docs.google.com/spreadsheets/d/10nSRjK08hx8Y6HgSOQKNw81lyY46Zc7U_Cj72hBMp9U/edit?usp=share_link"",""นครสวรรค์!I385"")+IMPORTRANGE(""https://docs.google.com/spreadsheets/d/1gFVb7qd7amutrIxAA"&amp;"oM7lcy35hllxznovot8lyOfvDo/edit?usp=share_link"",""น่าน!I385"")+IMPORTRANGE(""https://docs.google.com/spreadsheets/d/1K0Aa9s-6EuHE5M0FG1F9aHLXRCOV917xvycTdLdct0w/edit?usp=share_link"",""พะเยา!I385"")+IMPORTRANGE(""https://docs.google.com/spreadsheets/d/1Y"&amp;"9LPKx95PyL5OKy09d-KbKJSuuEZCFdkhYjwC0XQjBA/edit?usp=share_link"",""พิจิตร!I385"")+IMPORTRANGE(""https://docs.google.com/spreadsheets/d/16OMuOwy2eVqZcYWOouQtTpa8X1L23h4660uVHc0C8os/edit?usp=share_link"",""พิษณุโลก!I385"")+IMPORTRANGE(""https://docs.google."&amp;"com/spreadsheets/d/1GfgTldLG6k77HXaMQzaafODklYuucJZQNs_GAPEfZyY/edit?usp=share_link"",""เพชรบูรณ์!I385"")+IMPORTRANGE(""https://docs.google.com/spreadsheets/d/1gvTMYAnm7v1yG1BKWFtr0DnaTsq59oW9dwWvFgq6hs0/edit?usp=share_link"",""แพร่!I385"")+IMPORTRANGE("""&amp;"https://docs.google.com/spreadsheets/d/1Wbcosgy-Xa1xXUArJSOenub6EfZHUSzc_bpJFWwQUf0/edit?usp=share_link"",""แม่ฮ่องสอน!I385"")+IMPORTRANGE(""https://docs.google.com/spreadsheets/d/1p7ERhsr0qZeSn-KSOdeHS9r0heI-lHtkcn2OH7hP0jQ/edit?usp=share_link"",""ลำปาง!"&amp;"I385"")+IMPORTRANGE(""https://docs.google.com/spreadsheets/d/1-uUXvimVhiU2U0bMN-xi2te0tS4X7DI2GLPnMjzl8cA/edit?usp=share_link"",""ลำพูน!I385"")+IMPORTRANGE(""https://docs.google.com/spreadsheets/d/17HrOaa5pBUI1onckFfumXB8xlg35qb2uBAFfF1D-Myo/edit?usp=shar"&amp;"e_link"",""สุโขทัย!I385"")+IMPORTRANGE(""https://docs.google.com/spreadsheets/d/1ubs5cl16eYL9gHbdHTJtmtYb9MGzHBs7CAphn8kNCgM/edit?usp=share_link"",""อุตรดิตถ์!I385"")+IMPORTRANGE(""https://docs.google.com/spreadsheets/d/1kII0BjS6CtVrBvI8IrytgPdxDrlyQDyigz"&amp;"MsohRtDMs/edit?usp=share_link"",""อุทัยธานี!I385"")
"),760)</f>
        <v>760</v>
      </c>
      <c r="J385" s="468">
        <f ca="1">IFERROR(__xludf.DUMMYFUNCTION("IMPORTRANGE(""https://docs.google.com/spreadsheets/d/1KxicF4apzSqm0-jIpmueT4kyZtE-Cwn5zskl7GD4loQ/edit?usp=share_link"",""กำแพงเพชร!J385"")+IMPORTRANGE(""https://docs.google.com/spreadsheets/d/1ZNYWeiFoFA1K1U4xKWqRX29MBvEyRHXORjo734Gnq_c/edit?usp=share_li"&amp;"nk"",""เชียงราย!J385"")
+IMPORTRANGE(""https://docs.google.com/spreadsheets/d/1Jgv0Y7YlHDtsiDawwp-uvifEJ8HVaSn0k2aGHG8-hwM/edit?usp=share_link"",""เชียงใหม่!J385"")+IMPORTRANGE(""https://docs.google.com/spreadsheets/d/1JWG2rZePOz9pe-f-ObA-yDr0VoOX2kSb0qIi"&amp;"x2mTUo8/edit?usp=share_link"",""ตาก!J385"")+IMPORTRANGE(""https://docs.google.com/spreadsheets/d/10nSRjK08hx8Y6HgSOQKNw81lyY46Zc7U_Cj72hBMp9U/edit?usp=share_link"",""นครสวรรค์!J385"")+IMPORTRANGE(""https://docs.google.com/spreadsheets/d/1gFVb7qd7amutrIxAA"&amp;"oM7lcy35hllxznovot8lyOfvDo/edit?usp=share_link"",""น่าน!J385"")+IMPORTRANGE(""https://docs.google.com/spreadsheets/d/1K0Aa9s-6EuHE5M0FG1F9aHLXRCOV917xvycTdLdct0w/edit?usp=share_link"",""พะเยา!J385"")+IMPORTRANGE(""https://docs.google.com/spreadsheets/d/1Y"&amp;"9LPKx95PyL5OKy09d-KbKJSuuEZCFdkhYjwC0XQjBA/edit?usp=share_link"",""พิจิตร!J385"")+IMPORTRANGE(""https://docs.google.com/spreadsheets/d/16OMuOwy2eVqZcYWOouQtTpa8X1L23h4660uVHc0C8os/edit?usp=share_link"",""พิษณุโลก!J385"")+IMPORTRANGE(""https://docs.google."&amp;"com/spreadsheets/d/1GfgTldLG6k77HXaMQzaafODklYuucJZQNs_GAPEfZyY/edit?usp=share_link"",""เพชรบูรณ์!J385"")+IMPORTRANGE(""https://docs.google.com/spreadsheets/d/1gvTMYAnm7v1yG1BKWFtr0DnaTsq59oW9dwWvFgq6hs0/edit?usp=share_link"",""แพร่!J385"")+IMPORTRANGE("""&amp;"https://docs.google.com/spreadsheets/d/1Wbcosgy-Xa1xXUArJSOenub6EfZHUSzc_bpJFWwQUf0/edit?usp=share_link"",""แม่ฮ่องสอน!J385"")+IMPORTRANGE(""https://docs.google.com/spreadsheets/d/1p7ERhsr0qZeSn-KSOdeHS9r0heI-lHtkcn2OH7hP0jQ/edit?usp=share_link"",""ลำปาง!"&amp;"J385"")+IMPORTRANGE(""https://docs.google.com/spreadsheets/d/1-uUXvimVhiU2U0bMN-xi2te0tS4X7DI2GLPnMjzl8cA/edit?usp=share_link"",""ลำพูน!J385"")+IMPORTRANGE(""https://docs.google.com/spreadsheets/d/17HrOaa5pBUI1onckFfumXB8xlg35qb2uBAFfF1D-Myo/edit?usp=shar"&amp;"e_link"",""สุโขทัย!J385"")+IMPORTRANGE(""https://docs.google.com/spreadsheets/d/1ubs5cl16eYL9gHbdHTJtmtYb9MGzHBs7CAphn8kNCgM/edit?usp=share_link"",""อุตรดิตถ์!J385"")+IMPORTRANGE(""https://docs.google.com/spreadsheets/d/1kII0BjS6CtVrBvI8IrytgPdxDrlyQDyigz"&amp;"MsohRtDMs/edit?usp=share_link"",""อุทัยธานี!J385"")
"),11)</f>
        <v>11</v>
      </c>
      <c r="K385" s="469">
        <f ca="1">IF(I385&gt;0,J385*100/I385,0)</f>
        <v>1.4473684210526316</v>
      </c>
      <c r="L385" s="353"/>
      <c r="M385" s="353"/>
      <c r="N385" s="353"/>
      <c r="O385" s="353"/>
      <c r="P385" s="353"/>
    </row>
    <row r="386" spans="1:26" ht="19.5" hidden="1">
      <c r="A386" s="470" t="s">
        <v>171</v>
      </c>
      <c r="B386" s="471"/>
      <c r="C386" s="471"/>
      <c r="D386" s="471"/>
      <c r="E386" s="472"/>
      <c r="F386" s="472"/>
      <c r="G386" s="473"/>
      <c r="H386" s="474"/>
      <c r="I386" s="475"/>
      <c r="J386" s="475"/>
      <c r="K386" s="476"/>
      <c r="L386" s="476"/>
      <c r="M386" s="476"/>
      <c r="N386" s="476"/>
      <c r="O386" s="476"/>
      <c r="P386" s="476"/>
    </row>
    <row r="387" spans="1:26" ht="19.5" hidden="1">
      <c r="A387" s="477" t="s">
        <v>172</v>
      </c>
      <c r="B387" s="478"/>
      <c r="C387" s="478"/>
      <c r="D387" s="479"/>
      <c r="E387" s="478"/>
      <c r="F387" s="478"/>
      <c r="G387" s="478"/>
      <c r="H387" s="480"/>
      <c r="I387" s="481"/>
      <c r="J387" s="481"/>
      <c r="K387" s="482"/>
      <c r="L387" s="482"/>
      <c r="M387" s="482"/>
      <c r="N387" s="482"/>
      <c r="O387" s="482"/>
      <c r="P387" s="482"/>
    </row>
    <row r="388" spans="1:26" ht="19.5" hidden="1">
      <c r="A388" s="483"/>
      <c r="B388" s="484" t="s">
        <v>173</v>
      </c>
      <c r="C388" s="485"/>
      <c r="D388" s="486"/>
      <c r="E388" s="486"/>
      <c r="F388" s="486"/>
      <c r="G388" s="487"/>
      <c r="H388" s="488" t="s">
        <v>69</v>
      </c>
      <c r="I388" s="489">
        <f t="shared" ref="I388:J388" ca="1" si="193">I400</f>
        <v>0</v>
      </c>
      <c r="J388" s="489">
        <f t="shared" ca="1" si="193"/>
        <v>0</v>
      </c>
      <c r="K388" s="490">
        <f ca="1">IF(I388&gt;0,J388*100/I388,0)</f>
        <v>0</v>
      </c>
      <c r="L388" s="491"/>
      <c r="M388" s="491"/>
      <c r="N388" s="491"/>
      <c r="O388" s="491"/>
      <c r="P388" s="491"/>
    </row>
    <row r="389" spans="1:26" ht="19.5" hidden="1">
      <c r="A389" s="147"/>
      <c r="B389" s="148"/>
      <c r="C389" s="149" t="s">
        <v>16</v>
      </c>
      <c r="D389" s="150" t="s">
        <v>17</v>
      </c>
      <c r="E389" s="148"/>
      <c r="F389" s="148"/>
      <c r="G389" s="151"/>
      <c r="H389" s="152" t="s">
        <v>12</v>
      </c>
      <c r="I389" s="153"/>
      <c r="J389" s="153"/>
      <c r="K389" s="154"/>
      <c r="L389" s="155">
        <f t="shared" ref="L389:N389" ca="1" si="194">L390+L391</f>
        <v>0</v>
      </c>
      <c r="M389" s="155">
        <f t="shared" ca="1" si="194"/>
        <v>0</v>
      </c>
      <c r="N389" s="155">
        <f t="shared" ca="1" si="194"/>
        <v>0</v>
      </c>
      <c r="O389" s="155">
        <f t="shared" ref="O389:O397" ca="1" si="195">IF(L389&gt;0,N389*100/L389,0)</f>
        <v>0</v>
      </c>
      <c r="P389" s="155">
        <f t="shared" ref="P389:P397" ca="1" si="196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41" t="s">
        <v>18</v>
      </c>
      <c r="F390" s="40"/>
      <c r="G390" s="157"/>
      <c r="H390" s="158" t="s">
        <v>12</v>
      </c>
      <c r="I390" s="44"/>
      <c r="J390" s="44"/>
      <c r="K390" s="45"/>
      <c r="L390" s="45">
        <f t="shared" ref="L390:N390" si="197">L393+L396</f>
        <v>0</v>
      </c>
      <c r="M390" s="45">
        <f t="shared" si="197"/>
        <v>0</v>
      </c>
      <c r="N390" s="45">
        <f t="shared" si="197"/>
        <v>0</v>
      </c>
      <c r="O390" s="45">
        <f t="shared" si="195"/>
        <v>0</v>
      </c>
      <c r="P390" s="45">
        <f t="shared" si="196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41" t="s">
        <v>19</v>
      </c>
      <c r="F391" s="40"/>
      <c r="G391" s="157"/>
      <c r="H391" s="158" t="s">
        <v>12</v>
      </c>
      <c r="I391" s="44"/>
      <c r="J391" s="44"/>
      <c r="K391" s="45"/>
      <c r="L391" s="45">
        <f t="shared" ref="L391:N391" ca="1" si="198">L394+L397</f>
        <v>0</v>
      </c>
      <c r="M391" s="45">
        <f t="shared" ca="1" si="198"/>
        <v>0</v>
      </c>
      <c r="N391" s="45">
        <f t="shared" ca="1" si="198"/>
        <v>0</v>
      </c>
      <c r="O391" s="45">
        <f t="shared" ca="1" si="195"/>
        <v>0</v>
      </c>
      <c r="P391" s="45">
        <f t="shared" ca="1" si="196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160"/>
      <c r="D392" s="34" t="s">
        <v>20</v>
      </c>
      <c r="E392" s="33"/>
      <c r="F392" s="33"/>
      <c r="G392" s="35"/>
      <c r="H392" s="161" t="s">
        <v>12</v>
      </c>
      <c r="I392" s="162"/>
      <c r="J392" s="162"/>
      <c r="K392" s="163"/>
      <c r="L392" s="38">
        <f t="shared" ref="L392:N392" ca="1" si="199">L393+L394</f>
        <v>0</v>
      </c>
      <c r="M392" s="38">
        <f t="shared" ca="1" si="199"/>
        <v>0</v>
      </c>
      <c r="N392" s="38">
        <f t="shared" ca="1" si="199"/>
        <v>0</v>
      </c>
      <c r="O392" s="38">
        <f t="shared" ca="1" si="195"/>
        <v>0</v>
      </c>
      <c r="P392" s="38">
        <f t="shared" ca="1" si="196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41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45">
        <f t="shared" si="195"/>
        <v>0</v>
      </c>
      <c r="P393" s="45">
        <f t="shared" si="196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41" t="s">
        <v>37</v>
      </c>
      <c r="F394" s="40"/>
      <c r="G394" s="157"/>
      <c r="H394" s="165" t="s">
        <v>12</v>
      </c>
      <c r="I394" s="166"/>
      <c r="J394" s="166"/>
      <c r="K394" s="167"/>
      <c r="L394" s="45">
        <f ca="1">IFERROR(__xludf.DUMMYFUNCTION("IMPORTRANGE(""https://docs.google.com/spreadsheets/d/1KxicF4apzSqm0-jIpmueT4kyZtE-Cwn5zskl7GD4loQ/edit?usp=share_link"",""กำแพงเพชร!l394"")+IMPORTRANGE(""https://docs.google.com/spreadsheets/d/1ZNYWeiFoFA1K1U4xKWqRX29MBvEyRHXORjo734Gnq_c/edit?usp=share_li"&amp;"nk"",""เชียงราย!l394"")
+IMPORTRANGE(""https://docs.google.com/spreadsheets/d/1Jgv0Y7YlHDtsiDawwp-uvifEJ8HVaSn0k2aGHG8-hwM/edit?usp=share_link"",""เชียงใหม่!l394"")+IMPORTRANGE(""https://docs.google.com/spreadsheets/d/1JWG2rZePOz9pe-f-ObA-yDr0VoOX2kSb0qIi"&amp;"x2mTUo8/edit?usp=share_link"",""ตาก!l394"")+IMPORTRANGE(""https://docs.google.com/spreadsheets/d/10nSRjK08hx8Y6HgSOQKNw81lyY46Zc7U_Cj72hBMp9U/edit?usp=share_link"",""นครสวรรค์!l394"")+IMPORTRANGE(""https://docs.google.com/spreadsheets/d/1gFVb7qd7amutrIxAA"&amp;"oM7lcy35hllxznovot8lyOfvDo/edit?usp=share_link"",""น่าน!l394"")+IMPORTRANGE(""https://docs.google.com/spreadsheets/d/1K0Aa9s-6EuHE5M0FG1F9aHLXRCOV917xvycTdLdct0w/edit?usp=share_link"",""พะเยา!l394"")+IMPORTRANGE(""https://docs.google.com/spreadsheets/d/1Y"&amp;"9LPKx95PyL5OKy09d-KbKJSuuEZCFdkhYjwC0XQjBA/edit?usp=share_link"",""พิจิตร!l394"")+IMPORTRANGE(""https://docs.google.com/spreadsheets/d/16OMuOwy2eVqZcYWOouQtTpa8X1L23h4660uVHc0C8os/edit?usp=share_link"",""พิษณุโลก!l394"")+IMPORTRANGE(""https://docs.google."&amp;"com/spreadsheets/d/1GfgTldLG6k77HXaMQzaafODklYuucJZQNs_GAPEfZyY/edit?usp=share_link"",""เพชรบูรณ์!l394"")+IMPORTRANGE(""https://docs.google.com/spreadsheets/d/1gvTMYAnm7v1yG1BKWFtr0DnaTsq59oW9dwWvFgq6hs0/edit?usp=share_link"",""แพร่!l394"")+IMPORTRANGE("""&amp;"https://docs.google.com/spreadsheets/d/1Wbcosgy-Xa1xXUArJSOenub6EfZHUSzc_bpJFWwQUf0/edit?usp=share_link"",""แม่ฮ่องสอน!l394"")+IMPORTRANGE(""https://docs.google.com/spreadsheets/d/1p7ERhsr0qZeSn-KSOdeHS9r0heI-lHtkcn2OH7hP0jQ/edit?usp=share_link"",""ลำปาง!"&amp;"l394"")+IMPORTRANGE(""https://docs.google.com/spreadsheets/d/1-uUXvimVhiU2U0bMN-xi2te0tS4X7DI2GLPnMjzl8cA/edit?usp=share_link"",""ลำพูน!l394"")+IMPORTRANGE(""https://docs.google.com/spreadsheets/d/17HrOaa5pBUI1onckFfumXB8xlg35qb2uBAFfF1D-Myo/edit?usp=shar"&amp;"e_link"",""สุโขทัย!l394"")+IMPORTRANGE(""https://docs.google.com/spreadsheets/d/1ubs5cl16eYL9gHbdHTJtmtYb9MGzHBs7CAphn8kNCgM/edit?usp=share_link"",""อุตรดิตถ์!l394"")+IMPORTRANGE(""https://docs.google.com/spreadsheets/d/1kII0BjS6CtVrBvI8IrytgPdxDrlyQDyigz"&amp;"MsohRtDMs/edit?usp=share_link"",""อุทัยธานี!l394"")
"),0)</f>
        <v>0</v>
      </c>
      <c r="M394" s="45">
        <f ca="1">IFERROR(__xludf.DUMMYFUNCTION("IMPORTRANGE(""https://docs.google.com/spreadsheets/d/1KxicF4apzSqm0-jIpmueT4kyZtE-Cwn5zskl7GD4loQ/edit?usp=share_link"",""กำแพงเพชร!m394"")+IMPORTRANGE(""https://docs.google.com/spreadsheets/d/1ZNYWeiFoFA1K1U4xKWqRX29MBvEyRHXORjo734Gnq_c/edit?usp=share_li"&amp;"nk"",""เชียงราย!m394"")
+IMPORTRANGE(""https://docs.google.com/spreadsheets/d/1Jgv0Y7YlHDtsiDawwp-uvifEJ8HVaSn0k2aGHG8-hwM/edit?usp=share_link"",""เชียงใหม่!m394"")+IMPORTRANGE(""https://docs.google.com/spreadsheets/d/1JWG2rZePOz9pe-f-ObA-yDr0VoOX2kSb0qIi"&amp;"x2mTUo8/edit?usp=share_link"",""ตาก!m394"")+IMPORTRANGE(""https://docs.google.com/spreadsheets/d/10nSRjK08hx8Y6HgSOQKNw81lyY46Zc7U_Cj72hBMp9U/edit?usp=share_link"",""นครสวรรค์!m394"")+IMPORTRANGE(""https://docs.google.com/spreadsheets/d/1gFVb7qd7amutrIxAA"&amp;"oM7lcy35hllxznovot8lyOfvDo/edit?usp=share_link"",""น่าน!m394"")+IMPORTRANGE(""https://docs.google.com/spreadsheets/d/1K0Aa9s-6EuHE5M0FG1F9aHLXRCOV917xvycTdLdct0w/edit?usp=share_link"",""พะเยา!m394"")+IMPORTRANGE(""https://docs.google.com/spreadsheets/d/1Y"&amp;"9LPKx95PyL5OKy09d-KbKJSuuEZCFdkhYjwC0XQjBA/edit?usp=share_link"",""พิจิตร!m394"")+IMPORTRANGE(""https://docs.google.com/spreadsheets/d/16OMuOwy2eVqZcYWOouQtTpa8X1L23h4660uVHc0C8os/edit?usp=share_link"",""พิษณุโลก!m394"")+IMPORTRANGE(""https://docs.google."&amp;"com/spreadsheets/d/1GfgTldLG6k77HXaMQzaafODklYuucJZQNs_GAPEfZyY/edit?usp=share_link"",""เพชรบูรณ์!m394"")+IMPORTRANGE(""https://docs.google.com/spreadsheets/d/1gvTMYAnm7v1yG1BKWFtr0DnaTsq59oW9dwWvFgq6hs0/edit?usp=share_link"",""แพร่!m394"")+IMPORTRANGE("""&amp;"https://docs.google.com/spreadsheets/d/1Wbcosgy-Xa1xXUArJSOenub6EfZHUSzc_bpJFWwQUf0/edit?usp=share_link"",""แม่ฮ่องสอน!m394"")+IMPORTRANGE(""https://docs.google.com/spreadsheets/d/1p7ERhsr0qZeSn-KSOdeHS9r0heI-lHtkcn2OH7hP0jQ/edit?usp=share_link"",""ลำปาง!"&amp;"m394"")+IMPORTRANGE(""https://docs.google.com/spreadsheets/d/1-uUXvimVhiU2U0bMN-xi2te0tS4X7DI2GLPnMjzl8cA/edit?usp=share_link"",""ลำพูน!m394"")+IMPORTRANGE(""https://docs.google.com/spreadsheets/d/17HrOaa5pBUI1onckFfumXB8xlg35qb2uBAFfF1D-Myo/edit?usp=shar"&amp;"e_link"",""สุโขทัย!m394"")+IMPORTRANGE(""https://docs.google.com/spreadsheets/d/1ubs5cl16eYL9gHbdHTJtmtYb9MGzHBs7CAphn8kNCgM/edit?usp=share_link"",""อุตรดิตถ์!m394"")+IMPORTRANGE(""https://docs.google.com/spreadsheets/d/1kII0BjS6CtVrBvI8IrytgPdxDrlyQDyigz"&amp;"MsohRtDMs/edit?usp=share_link"",""อุทัยธานี!m394"")
"),0)</f>
        <v>0</v>
      </c>
      <c r="N394" s="45">
        <f ca="1">IFERROR(__xludf.DUMMYFUNCTION("IMPORTRANGE(""https://docs.google.com/spreadsheets/d/1KxicF4apzSqm0-jIpmueT4kyZtE-Cwn5zskl7GD4loQ/edit?usp=share_link"",""กำแพงเพชร!n394"")+IMPORTRANGE(""https://docs.google.com/spreadsheets/d/1ZNYWeiFoFA1K1U4xKWqRX29MBvEyRHXORjo734Gnq_c/edit?usp=share_li"&amp;"nk"",""เชียงราย!n394"")
+IMPORTRANGE(""https://docs.google.com/spreadsheets/d/1Jgv0Y7YlHDtsiDawwp-uvifEJ8HVaSn0k2aGHG8-hwM/edit?usp=share_link"",""เชียงใหม่!n394"")+IMPORTRANGE(""https://docs.google.com/spreadsheets/d/1JWG2rZePOz9pe-f-ObA-yDr0VoOX2kSb0qIi"&amp;"x2mTUo8/edit?usp=share_link"",""ตาก!n394"")+IMPORTRANGE(""https://docs.google.com/spreadsheets/d/10nSRjK08hx8Y6HgSOQKNw81lyY46Zc7U_Cj72hBMp9U/edit?usp=share_link"",""นครสวรรค์!n394"")+IMPORTRANGE(""https://docs.google.com/spreadsheets/d/1gFVb7qd7amutrIxAA"&amp;"oM7lcy35hllxznovot8lyOfvDo/edit?usp=share_link"",""น่าน!n394"")+IMPORTRANGE(""https://docs.google.com/spreadsheets/d/1K0Aa9s-6EuHE5M0FG1F9aHLXRCOV917xvycTdLdct0w/edit?usp=share_link"",""พะเยา!n394"")+IMPORTRANGE(""https://docs.google.com/spreadsheets/d/1Y"&amp;"9LPKx95PyL5OKy09d-KbKJSuuEZCFdkhYjwC0XQjBA/edit?usp=share_link"",""พิจิตร!n394"")+IMPORTRANGE(""https://docs.google.com/spreadsheets/d/16OMuOwy2eVqZcYWOouQtTpa8X1L23h4660uVHc0C8os/edit?usp=share_link"",""พิษณุโลก!n394"")+IMPORTRANGE(""https://docs.google."&amp;"com/spreadsheets/d/1GfgTldLG6k77HXaMQzaafODklYuucJZQNs_GAPEfZyY/edit?usp=share_link"",""เพชรบูรณ์!n394"")+IMPORTRANGE(""https://docs.google.com/spreadsheets/d/1gvTMYAnm7v1yG1BKWFtr0DnaTsq59oW9dwWvFgq6hs0/edit?usp=share_link"",""แพร่!n394"")+IMPORTRANGE("""&amp;"https://docs.google.com/spreadsheets/d/1Wbcosgy-Xa1xXUArJSOenub6EfZHUSzc_bpJFWwQUf0/edit?usp=share_link"",""แม่ฮ่องสอน!n394"")+IMPORTRANGE(""https://docs.google.com/spreadsheets/d/1p7ERhsr0qZeSn-KSOdeHS9r0heI-lHtkcn2OH7hP0jQ/edit?usp=share_link"",""ลำปาง!"&amp;"n394"")+IMPORTRANGE(""https://docs.google.com/spreadsheets/d/1-uUXvimVhiU2U0bMN-xi2te0tS4X7DI2GLPnMjzl8cA/edit?usp=share_link"",""ลำพูน!n394"")+IMPORTRANGE(""https://docs.google.com/spreadsheets/d/17HrOaa5pBUI1onckFfumXB8xlg35qb2uBAFfF1D-Myo/edit?usp=shar"&amp;"e_link"",""สุโขทัย!n394"")+IMPORTRANGE(""https://docs.google.com/spreadsheets/d/1ubs5cl16eYL9gHbdHTJtmtYb9MGzHBs7CAphn8kNCgM/edit?usp=share_link"",""อุตรดิตถ์!n394"")+IMPORTRANGE(""https://docs.google.com/spreadsheets/d/1kII0BjS6CtVrBvI8IrytgPdxDrlyQDyigz"&amp;"MsohRtDMs/edit?usp=share_link"",""อุทัยธานี!n394"")
"),0)</f>
        <v>0</v>
      </c>
      <c r="O394" s="45">
        <f t="shared" ca="1" si="195"/>
        <v>0</v>
      </c>
      <c r="P394" s="45">
        <f t="shared" ca="1" si="196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160"/>
      <c r="D395" s="34" t="s">
        <v>21</v>
      </c>
      <c r="E395" s="33"/>
      <c r="F395" s="33"/>
      <c r="G395" s="35"/>
      <c r="H395" s="168" t="s">
        <v>12</v>
      </c>
      <c r="I395" s="162"/>
      <c r="J395" s="162"/>
      <c r="K395" s="163"/>
      <c r="L395" s="38">
        <f t="shared" ref="L395:N395" ca="1" si="200">L396+L397</f>
        <v>0</v>
      </c>
      <c r="M395" s="38">
        <f t="shared" ca="1" si="200"/>
        <v>0</v>
      </c>
      <c r="N395" s="38">
        <f t="shared" ca="1" si="200"/>
        <v>0</v>
      </c>
      <c r="O395" s="38">
        <f t="shared" ca="1" si="195"/>
        <v>0</v>
      </c>
      <c r="P395" s="38">
        <f t="shared" ca="1" si="196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41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45">
        <f t="shared" si="195"/>
        <v>0</v>
      </c>
      <c r="P396" s="45">
        <f t="shared" si="196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41" t="s">
        <v>19</v>
      </c>
      <c r="F397" s="40"/>
      <c r="G397" s="157"/>
      <c r="H397" s="169" t="s">
        <v>12</v>
      </c>
      <c r="I397" s="166"/>
      <c r="J397" s="166"/>
      <c r="K397" s="167"/>
      <c r="L397" s="45">
        <f ca="1">IFERROR(__xludf.DUMMYFUNCTION("IMPORTRANGE(""https://docs.google.com/spreadsheets/d/1KxicF4apzSqm0-jIpmueT4kyZtE-Cwn5zskl7GD4loQ/edit?usp=share_link"",""กำแพงเพชร!l397"")+IMPORTRANGE(""https://docs.google.com/spreadsheets/d/1ZNYWeiFoFA1K1U4xKWqRX29MBvEyRHXORjo734Gnq_c/edit?usp=share_li"&amp;"nk"",""เชียงราย!l397"")
+IMPORTRANGE(""https://docs.google.com/spreadsheets/d/1Jgv0Y7YlHDtsiDawwp-uvifEJ8HVaSn0k2aGHG8-hwM/edit?usp=share_link"",""เชียงใหม่!l397"")+IMPORTRANGE(""https://docs.google.com/spreadsheets/d/1JWG2rZePOz9pe-f-ObA-yDr0VoOX2kSb0qIi"&amp;"x2mTUo8/edit?usp=share_link"",""ตาก!l397"")+IMPORTRANGE(""https://docs.google.com/spreadsheets/d/10nSRjK08hx8Y6HgSOQKNw81lyY46Zc7U_Cj72hBMp9U/edit?usp=share_link"",""นครสวรรค์!l397"")+IMPORTRANGE(""https://docs.google.com/spreadsheets/d/1gFVb7qd7amutrIxAA"&amp;"oM7lcy35hllxznovot8lyOfvDo/edit?usp=share_link"",""น่าน!l397"")+IMPORTRANGE(""https://docs.google.com/spreadsheets/d/1K0Aa9s-6EuHE5M0FG1F9aHLXRCOV917xvycTdLdct0w/edit?usp=share_link"",""พะเยา!l397"")+IMPORTRANGE(""https://docs.google.com/spreadsheets/d/1Y"&amp;"9LPKx95PyL5OKy09d-KbKJSuuEZCFdkhYjwC0XQjBA/edit?usp=share_link"",""พิจิตร!l397"")+IMPORTRANGE(""https://docs.google.com/spreadsheets/d/16OMuOwy2eVqZcYWOouQtTpa8X1L23h4660uVHc0C8os/edit?usp=share_link"",""พิษณุโลก!l397"")+IMPORTRANGE(""https://docs.google."&amp;"com/spreadsheets/d/1GfgTldLG6k77HXaMQzaafODklYuucJZQNs_GAPEfZyY/edit?usp=share_link"",""เพชรบูรณ์!l397"")+IMPORTRANGE(""https://docs.google.com/spreadsheets/d/1gvTMYAnm7v1yG1BKWFtr0DnaTsq59oW9dwWvFgq6hs0/edit?usp=share_link"",""แพร่!l397"")+IMPORTRANGE("""&amp;"https://docs.google.com/spreadsheets/d/1Wbcosgy-Xa1xXUArJSOenub6EfZHUSzc_bpJFWwQUf0/edit?usp=share_link"",""แม่ฮ่องสอน!l397"")+IMPORTRANGE(""https://docs.google.com/spreadsheets/d/1p7ERhsr0qZeSn-KSOdeHS9r0heI-lHtkcn2OH7hP0jQ/edit?usp=share_link"",""ลำปาง!"&amp;"l397"")+IMPORTRANGE(""https://docs.google.com/spreadsheets/d/1-uUXvimVhiU2U0bMN-xi2te0tS4X7DI2GLPnMjzl8cA/edit?usp=share_link"",""ลำพูน!l397"")+IMPORTRANGE(""https://docs.google.com/spreadsheets/d/17HrOaa5pBUI1onckFfumXB8xlg35qb2uBAFfF1D-Myo/edit?usp=shar"&amp;"e_link"",""สุโขทัย!l397"")+IMPORTRANGE(""https://docs.google.com/spreadsheets/d/1ubs5cl16eYL9gHbdHTJtmtYb9MGzHBs7CAphn8kNCgM/edit?usp=share_link"",""อุตรดิตถ์!l397"")+IMPORTRANGE(""https://docs.google.com/spreadsheets/d/1kII0BjS6CtVrBvI8IrytgPdxDrlyQDyigz"&amp;"MsohRtDMs/edit?usp=share_link"",""อุทัยธานี!l397"")
"),0)</f>
        <v>0</v>
      </c>
      <c r="M397" s="45">
        <f ca="1">IFERROR(__xludf.DUMMYFUNCTION("IMPORTRANGE(""https://docs.google.com/spreadsheets/d/1KxicF4apzSqm0-jIpmueT4kyZtE-Cwn5zskl7GD4loQ/edit?usp=share_link"",""กำแพงเพชร!m397"")+IMPORTRANGE(""https://docs.google.com/spreadsheets/d/1ZNYWeiFoFA1K1U4xKWqRX29MBvEyRHXORjo734Gnq_c/edit?usp=share_li"&amp;"nk"",""เชียงราย!m397"")
+IMPORTRANGE(""https://docs.google.com/spreadsheets/d/1Jgv0Y7YlHDtsiDawwp-uvifEJ8HVaSn0k2aGHG8-hwM/edit?usp=share_link"",""เชียงใหม่!m397"")+IMPORTRANGE(""https://docs.google.com/spreadsheets/d/1JWG2rZePOz9pe-f-ObA-yDr0VoOX2kSb0qIi"&amp;"x2mTUo8/edit?usp=share_link"",""ตาก!m397"")+IMPORTRANGE(""https://docs.google.com/spreadsheets/d/10nSRjK08hx8Y6HgSOQKNw81lyY46Zc7U_Cj72hBMp9U/edit?usp=share_link"",""นครสวรรค์!m397"")+IMPORTRANGE(""https://docs.google.com/spreadsheets/d/1gFVb7qd7amutrIxAA"&amp;"oM7lcy35hllxznovot8lyOfvDo/edit?usp=share_link"",""น่าน!m397"")+IMPORTRANGE(""https://docs.google.com/spreadsheets/d/1K0Aa9s-6EuHE5M0FG1F9aHLXRCOV917xvycTdLdct0w/edit?usp=share_link"",""พะเยา!m397"")+IMPORTRANGE(""https://docs.google.com/spreadsheets/d/1Y"&amp;"9LPKx95PyL5OKy09d-KbKJSuuEZCFdkhYjwC0XQjBA/edit?usp=share_link"",""พิจิตร!m397"")+IMPORTRANGE(""https://docs.google.com/spreadsheets/d/16OMuOwy2eVqZcYWOouQtTpa8X1L23h4660uVHc0C8os/edit?usp=share_link"",""พิษณุโลก!m397"")+IMPORTRANGE(""https://docs.google."&amp;"com/spreadsheets/d/1GfgTldLG6k77HXaMQzaafODklYuucJZQNs_GAPEfZyY/edit?usp=share_link"",""เพชรบูรณ์!m397"")+IMPORTRANGE(""https://docs.google.com/spreadsheets/d/1gvTMYAnm7v1yG1BKWFtr0DnaTsq59oW9dwWvFgq6hs0/edit?usp=share_link"",""แพร่!m397"")+IMPORTRANGE("""&amp;"https://docs.google.com/spreadsheets/d/1Wbcosgy-Xa1xXUArJSOenub6EfZHUSzc_bpJFWwQUf0/edit?usp=share_link"",""แม่ฮ่องสอน!m397"")+IMPORTRANGE(""https://docs.google.com/spreadsheets/d/1p7ERhsr0qZeSn-KSOdeHS9r0heI-lHtkcn2OH7hP0jQ/edit?usp=share_link"",""ลำปาง!"&amp;"m397"")+IMPORTRANGE(""https://docs.google.com/spreadsheets/d/1-uUXvimVhiU2U0bMN-xi2te0tS4X7DI2GLPnMjzl8cA/edit?usp=share_link"",""ลำพูน!m397"")+IMPORTRANGE(""https://docs.google.com/spreadsheets/d/17HrOaa5pBUI1onckFfumXB8xlg35qb2uBAFfF1D-Myo/edit?usp=shar"&amp;"e_link"",""สุโขทัย!m397"")+IMPORTRANGE(""https://docs.google.com/spreadsheets/d/1ubs5cl16eYL9gHbdHTJtmtYb9MGzHBs7CAphn8kNCgM/edit?usp=share_link"",""อุตรดิตถ์!m397"")+IMPORTRANGE(""https://docs.google.com/spreadsheets/d/1kII0BjS6CtVrBvI8IrytgPdxDrlyQDyigz"&amp;"MsohRtDMs/edit?usp=share_link"",""อุทัยธานี!m397"")
"),0)</f>
        <v>0</v>
      </c>
      <c r="N397" s="45">
        <f ca="1">IFERROR(__xludf.DUMMYFUNCTION("IMPORTRANGE(""https://docs.google.com/spreadsheets/d/1KxicF4apzSqm0-jIpmueT4kyZtE-Cwn5zskl7GD4loQ/edit?usp=share_link"",""กำแพงเพชร!n397"")+IMPORTRANGE(""https://docs.google.com/spreadsheets/d/1ZNYWeiFoFA1K1U4xKWqRX29MBvEyRHXORjo734Gnq_c/edit?usp=share_li"&amp;"nk"",""เชียงราย!n397"")
+IMPORTRANGE(""https://docs.google.com/spreadsheets/d/1Jgv0Y7YlHDtsiDawwp-uvifEJ8HVaSn0k2aGHG8-hwM/edit?usp=share_link"",""เชียงใหม่!n397"")+IMPORTRANGE(""https://docs.google.com/spreadsheets/d/1JWG2rZePOz9pe-f-ObA-yDr0VoOX2kSb0qIi"&amp;"x2mTUo8/edit?usp=share_link"",""ตาก!n397"")+IMPORTRANGE(""https://docs.google.com/spreadsheets/d/10nSRjK08hx8Y6HgSOQKNw81lyY46Zc7U_Cj72hBMp9U/edit?usp=share_link"",""นครสวรรค์!n397"")+IMPORTRANGE(""https://docs.google.com/spreadsheets/d/1gFVb7qd7amutrIxAA"&amp;"oM7lcy35hllxznovot8lyOfvDo/edit?usp=share_link"",""น่าน!n397"")+IMPORTRANGE(""https://docs.google.com/spreadsheets/d/1K0Aa9s-6EuHE5M0FG1F9aHLXRCOV917xvycTdLdct0w/edit?usp=share_link"",""พะเยา!n397"")+IMPORTRANGE(""https://docs.google.com/spreadsheets/d/1Y"&amp;"9LPKx95PyL5OKy09d-KbKJSuuEZCFdkhYjwC0XQjBA/edit?usp=share_link"",""พิจิตร!n397"")+IMPORTRANGE(""https://docs.google.com/spreadsheets/d/16OMuOwy2eVqZcYWOouQtTpa8X1L23h4660uVHc0C8os/edit?usp=share_link"",""พิษณุโลก!n397"")+IMPORTRANGE(""https://docs.google."&amp;"com/spreadsheets/d/1GfgTldLG6k77HXaMQzaafODklYuucJZQNs_GAPEfZyY/edit?usp=share_link"",""เพชรบูรณ์!n397"")+IMPORTRANGE(""https://docs.google.com/spreadsheets/d/1gvTMYAnm7v1yG1BKWFtr0DnaTsq59oW9dwWvFgq6hs0/edit?usp=share_link"",""แพร่!n397"")+IMPORTRANGE("""&amp;"https://docs.google.com/spreadsheets/d/1Wbcosgy-Xa1xXUArJSOenub6EfZHUSzc_bpJFWwQUf0/edit?usp=share_link"",""แม่ฮ่องสอน!n397"")+IMPORTRANGE(""https://docs.google.com/spreadsheets/d/1p7ERhsr0qZeSn-KSOdeHS9r0heI-lHtkcn2OH7hP0jQ/edit?usp=share_link"",""ลำปาง!"&amp;"n397"")+IMPORTRANGE(""https://docs.google.com/spreadsheets/d/1-uUXvimVhiU2U0bMN-xi2te0tS4X7DI2GLPnMjzl8cA/edit?usp=share_link"",""ลำพูน!n397"")+IMPORTRANGE(""https://docs.google.com/spreadsheets/d/17HrOaa5pBUI1onckFfumXB8xlg35qb2uBAFfF1D-Myo/edit?usp=shar"&amp;"e_link"",""สุโขทัย!n397"")+IMPORTRANGE(""https://docs.google.com/spreadsheets/d/1ubs5cl16eYL9gHbdHTJtmtYb9MGzHBs7CAphn8kNCgM/edit?usp=share_link"",""อุตรดิตถ์!n397"")+IMPORTRANGE(""https://docs.google.com/spreadsheets/d/1kII0BjS6CtVrBvI8IrytgPdxDrlyQDyigz"&amp;"MsohRtDMs/edit?usp=share_link"",""อุทัยธานี!n397"")
"),0)</f>
        <v>0</v>
      </c>
      <c r="O397" s="45">
        <f t="shared" ca="1" si="195"/>
        <v>0</v>
      </c>
      <c r="P397" s="45">
        <f t="shared" ca="1" si="196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172" t="s">
        <v>38</v>
      </c>
      <c r="E398" s="173"/>
      <c r="F398" s="173"/>
      <c r="G398" s="174"/>
      <c r="H398" s="175"/>
      <c r="I398" s="162"/>
      <c r="J398" s="37"/>
      <c r="K398" s="38"/>
      <c r="L398" s="38"/>
      <c r="M398" s="38"/>
      <c r="N398" s="38"/>
      <c r="O398" s="163"/>
      <c r="P398" s="163"/>
    </row>
    <row r="399" spans="1:26" ht="18.75" hidden="1">
      <c r="A399" s="492"/>
      <c r="B399" s="148"/>
      <c r="C399" s="493"/>
      <c r="D399" s="494" t="s">
        <v>174</v>
      </c>
      <c r="E399" s="383"/>
      <c r="F399" s="148"/>
      <c r="G399" s="151"/>
      <c r="H399" s="495" t="s">
        <v>9</v>
      </c>
      <c r="I399" s="269">
        <f ca="1">IFERROR(__xludf.DUMMYFUNCTION("IMPORTRANGE(""https://docs.google.com/spreadsheets/d/1KxicF4apzSqm0-jIpmueT4kyZtE-Cwn5zskl7GD4loQ/edit?usp=share_link"",""กำแพงเพชร!I399"")+IMPORTRANGE(""https://docs.google.com/spreadsheets/d/1ZNYWeiFoFA1K1U4xKWqRX29MBvEyRHXORjo734Gnq_c/edit?usp=share_li"&amp;"nk"",""เชียงราย!I399"")
+IMPORTRANGE(""https://docs.google.com/spreadsheets/d/1Jgv0Y7YlHDtsiDawwp-uvifEJ8HVaSn0k2aGHG8-hwM/edit?usp=share_link"",""เชียงใหม่!I399"")+IMPORTRANGE(""https://docs.google.com/spreadsheets/d/1JWG2rZePOz9pe-f-ObA-yDr0VoOX2kSb0qIi"&amp;"x2mTUo8/edit?usp=share_link"",""ตาก!I399"")+IMPORTRANGE(""https://docs.google.com/spreadsheets/d/10nSRjK08hx8Y6HgSOQKNw81lyY46Zc7U_Cj72hBMp9U/edit?usp=share_link"",""นครสวรรค์!I399"")+IMPORTRANGE(""https://docs.google.com/spreadsheets/d/1gFVb7qd7amutrIxAA"&amp;"oM7lcy35hllxznovot8lyOfvDo/edit?usp=share_link"",""น่าน!I399"")+IMPORTRANGE(""https://docs.google.com/spreadsheets/d/1K0Aa9s-6EuHE5M0FG1F9aHLXRCOV917xvycTdLdct0w/edit?usp=share_link"",""พะเยา!I399"")+IMPORTRANGE(""https://docs.google.com/spreadsheets/d/1Y"&amp;"9LPKx95PyL5OKy09d-KbKJSuuEZCFdkhYjwC0XQjBA/edit?usp=share_link"",""พิจิตร!I399"")+IMPORTRANGE(""https://docs.google.com/spreadsheets/d/16OMuOwy2eVqZcYWOouQtTpa8X1L23h4660uVHc0C8os/edit?usp=share_link"",""พิษณุโลก!I399"")+IMPORTRANGE(""https://docs.google."&amp;"com/spreadsheets/d/1GfgTldLG6k77HXaMQzaafODklYuucJZQNs_GAPEfZyY/edit?usp=share_link"",""เพชรบูรณ์!I399"")+IMPORTRANGE(""https://docs.google.com/spreadsheets/d/1gvTMYAnm7v1yG1BKWFtr0DnaTsq59oW9dwWvFgq6hs0/edit?usp=share_link"",""แพร่!I399"")+IMPORTRANGE("""&amp;"https://docs.google.com/spreadsheets/d/1Wbcosgy-Xa1xXUArJSOenub6EfZHUSzc_bpJFWwQUf0/edit?usp=share_link"",""แม่ฮ่องสอน!I399"")+IMPORTRANGE(""https://docs.google.com/spreadsheets/d/1p7ERhsr0qZeSn-KSOdeHS9r0heI-lHtkcn2OH7hP0jQ/edit?usp=share_link"",""ลำปาง!"&amp;"I399"")+IMPORTRANGE(""https://docs.google.com/spreadsheets/d/1-uUXvimVhiU2U0bMN-xi2te0tS4X7DI2GLPnMjzl8cA/edit?usp=share_link"",""ลำพูน!I399"")+IMPORTRANGE(""https://docs.google.com/spreadsheets/d/17HrOaa5pBUI1onckFfumXB8xlg35qb2uBAFfF1D-Myo/edit?usp=shar"&amp;"e_link"",""สุโขทัย!I399"")+IMPORTRANGE(""https://docs.google.com/spreadsheets/d/1ubs5cl16eYL9gHbdHTJtmtYb9MGzHBs7CAphn8kNCgM/edit?usp=share_link"",""อุตรดิตถ์!I399"")+IMPORTRANGE(""https://docs.google.com/spreadsheets/d/1kII0BjS6CtVrBvI8IrytgPdxDrlyQDyigz"&amp;"MsohRtDMs/edit?usp=share_link"",""อุทัยธานี!I399"")
"),0)</f>
        <v>0</v>
      </c>
      <c r="J399" s="183">
        <f ca="1">IFERROR(__xludf.DUMMYFUNCTION("IMPORTRANGE(""https://docs.google.com/spreadsheets/d/1KxicF4apzSqm0-jIpmueT4kyZtE-Cwn5zskl7GD4loQ/edit?usp=share_link"",""กำแพงเพชร!J399"")+IMPORTRANGE(""https://docs.google.com/spreadsheets/d/1ZNYWeiFoFA1K1U4xKWqRX29MBvEyRHXORjo734Gnq_c/edit?usp=share_li"&amp;"nk"",""เชียงราย!J399"")
+IMPORTRANGE(""https://docs.google.com/spreadsheets/d/1Jgv0Y7YlHDtsiDawwp-uvifEJ8HVaSn0k2aGHG8-hwM/edit?usp=share_link"",""เชียงใหม่!J399"")+IMPORTRANGE(""https://docs.google.com/spreadsheets/d/1JWG2rZePOz9pe-f-ObA-yDr0VoOX2kSb0qIi"&amp;"x2mTUo8/edit?usp=share_link"",""ตาก!J399"")+IMPORTRANGE(""https://docs.google.com/spreadsheets/d/10nSRjK08hx8Y6HgSOQKNw81lyY46Zc7U_Cj72hBMp9U/edit?usp=share_link"",""นครสวรรค์!J399"")+IMPORTRANGE(""https://docs.google.com/spreadsheets/d/1gFVb7qd7amutrIxAA"&amp;"oM7lcy35hllxznovot8lyOfvDo/edit?usp=share_link"",""น่าน!J399"")+IMPORTRANGE(""https://docs.google.com/spreadsheets/d/1K0Aa9s-6EuHE5M0FG1F9aHLXRCOV917xvycTdLdct0w/edit?usp=share_link"",""พะเยา!J399"")+IMPORTRANGE(""https://docs.google.com/spreadsheets/d/1Y"&amp;"9LPKx95PyL5OKy09d-KbKJSuuEZCFdkhYjwC0XQjBA/edit?usp=share_link"",""พิจิตร!J399"")+IMPORTRANGE(""https://docs.google.com/spreadsheets/d/16OMuOwy2eVqZcYWOouQtTpa8X1L23h4660uVHc0C8os/edit?usp=share_link"",""พิษณุโลก!J399"")+IMPORTRANGE(""https://docs.google."&amp;"com/spreadsheets/d/1GfgTldLG6k77HXaMQzaafODklYuucJZQNs_GAPEfZyY/edit?usp=share_link"",""เพชรบูรณ์!J399"")+IMPORTRANGE(""https://docs.google.com/spreadsheets/d/1gvTMYAnm7v1yG1BKWFtr0DnaTsq59oW9dwWvFgq6hs0/edit?usp=share_link"",""แพร่!J399"")+IMPORTRANGE("""&amp;"https://docs.google.com/spreadsheets/d/1Wbcosgy-Xa1xXUArJSOenub6EfZHUSzc_bpJFWwQUf0/edit?usp=share_link"",""แม่ฮ่องสอน!J399"")+IMPORTRANGE(""https://docs.google.com/spreadsheets/d/1p7ERhsr0qZeSn-KSOdeHS9r0heI-lHtkcn2OH7hP0jQ/edit?usp=share_link"",""ลำปาง!"&amp;"J399"")+IMPORTRANGE(""https://docs.google.com/spreadsheets/d/1-uUXvimVhiU2U0bMN-xi2te0tS4X7DI2GLPnMjzl8cA/edit?usp=share_link"",""ลำพูน!J399"")+IMPORTRANGE(""https://docs.google.com/spreadsheets/d/17HrOaa5pBUI1onckFfumXB8xlg35qb2uBAFfF1D-Myo/edit?usp=shar"&amp;"e_link"",""สุโขทัย!J399"")+IMPORTRANGE(""https://docs.google.com/spreadsheets/d/1ubs5cl16eYL9gHbdHTJtmtYb9MGzHBs7CAphn8kNCgM/edit?usp=share_link"",""อุตรดิตถ์!J399"")+IMPORTRANGE(""https://docs.google.com/spreadsheets/d/1kII0BjS6CtVrBvI8IrytgPdxDrlyQDyigz"&amp;"MsohRtDMs/edit?usp=share_link"",""อุทัยธานี!J399"")
"),0)</f>
        <v>0</v>
      </c>
      <c r="K399" s="38">
        <f t="shared" ref="K399:K401" ca="1" si="201">IF(I399&gt;0,J399*100/I399,0)</f>
        <v>0</v>
      </c>
      <c r="L399" s="496"/>
      <c r="M399" s="496"/>
      <c r="N399" s="496"/>
      <c r="O399" s="496"/>
      <c r="P399" s="496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3"/>
      <c r="B400" s="33"/>
      <c r="C400" s="280"/>
      <c r="D400" s="415" t="s">
        <v>175</v>
      </c>
      <c r="E400" s="171"/>
      <c r="F400" s="33"/>
      <c r="G400" s="35"/>
      <c r="H400" s="276" t="s">
        <v>69</v>
      </c>
      <c r="I400" s="269">
        <f ca="1">IFERROR(__xludf.DUMMYFUNCTION("IMPORTRANGE(""https://docs.google.com/spreadsheets/d/1KxicF4apzSqm0-jIpmueT4kyZtE-Cwn5zskl7GD4loQ/edit?usp=share_link"",""กำแพงเพชร!I400"")+IMPORTRANGE(""https://docs.google.com/spreadsheets/d/1ZNYWeiFoFA1K1U4xKWqRX29MBvEyRHXORjo734Gnq_c/edit?usp=share_li"&amp;"nk"",""เชียงราย!I400"")
+IMPORTRANGE(""https://docs.google.com/spreadsheets/d/1Jgv0Y7YlHDtsiDawwp-uvifEJ8HVaSn0k2aGHG8-hwM/edit?usp=share_link"",""เชียงใหม่!I400"")+IMPORTRANGE(""https://docs.google.com/spreadsheets/d/1JWG2rZePOz9pe-f-ObA-yDr0VoOX2kSb0qIi"&amp;"x2mTUo8/edit?usp=share_link"",""ตาก!I400"")+IMPORTRANGE(""https://docs.google.com/spreadsheets/d/10nSRjK08hx8Y6HgSOQKNw81lyY46Zc7U_Cj72hBMp9U/edit?usp=share_link"",""นครสวรรค์!I400"")+IMPORTRANGE(""https://docs.google.com/spreadsheets/d/1gFVb7qd7amutrIxAA"&amp;"oM7lcy35hllxznovot8lyOfvDo/edit?usp=share_link"",""น่าน!I400"")+IMPORTRANGE(""https://docs.google.com/spreadsheets/d/1K0Aa9s-6EuHE5M0FG1F9aHLXRCOV917xvycTdLdct0w/edit?usp=share_link"",""พะเยา!I400"")+IMPORTRANGE(""https://docs.google.com/spreadsheets/d/1Y"&amp;"9LPKx95PyL5OKy09d-KbKJSuuEZCFdkhYjwC0XQjBA/edit?usp=share_link"",""พิจิตร!I400"")+IMPORTRANGE(""https://docs.google.com/spreadsheets/d/16OMuOwy2eVqZcYWOouQtTpa8X1L23h4660uVHc0C8os/edit?usp=share_link"",""พิษณุโลก!I400"")+IMPORTRANGE(""https://docs.google."&amp;"com/spreadsheets/d/1GfgTldLG6k77HXaMQzaafODklYuucJZQNs_GAPEfZyY/edit?usp=share_link"",""เพชรบูรณ์!I400"")+IMPORTRANGE(""https://docs.google.com/spreadsheets/d/1gvTMYAnm7v1yG1BKWFtr0DnaTsq59oW9dwWvFgq6hs0/edit?usp=share_link"",""แพร่!I400"")+IMPORTRANGE("""&amp;"https://docs.google.com/spreadsheets/d/1Wbcosgy-Xa1xXUArJSOenub6EfZHUSzc_bpJFWwQUf0/edit?usp=share_link"",""แม่ฮ่องสอน!I400"")+IMPORTRANGE(""https://docs.google.com/spreadsheets/d/1p7ERhsr0qZeSn-KSOdeHS9r0heI-lHtkcn2OH7hP0jQ/edit?usp=share_link"",""ลำปาง!"&amp;"I400"")+IMPORTRANGE(""https://docs.google.com/spreadsheets/d/1-uUXvimVhiU2U0bMN-xi2te0tS4X7DI2GLPnMjzl8cA/edit?usp=share_link"",""ลำพูน!I400"")+IMPORTRANGE(""https://docs.google.com/spreadsheets/d/17HrOaa5pBUI1onckFfumXB8xlg35qb2uBAFfF1D-Myo/edit?usp=shar"&amp;"e_link"",""สุโขทัย!I400"")+IMPORTRANGE(""https://docs.google.com/spreadsheets/d/1ubs5cl16eYL9gHbdHTJtmtYb9MGzHBs7CAphn8kNCgM/edit?usp=share_link"",""อุตรดิตถ์!I400"")+IMPORTRANGE(""https://docs.google.com/spreadsheets/d/1kII0BjS6CtVrBvI8IrytgPdxDrlyQDyigz"&amp;"MsohRtDMs/edit?usp=share_link"",""อุทัยธานี!I400"")
"),0)</f>
        <v>0</v>
      </c>
      <c r="J400" s="183">
        <f ca="1">IFERROR(__xludf.DUMMYFUNCTION("IMPORTRANGE(""https://docs.google.com/spreadsheets/d/1KxicF4apzSqm0-jIpmueT4kyZtE-Cwn5zskl7GD4loQ/edit?usp=share_link"",""กำแพงเพชร!J400"")+IMPORTRANGE(""https://docs.google.com/spreadsheets/d/1ZNYWeiFoFA1K1U4xKWqRX29MBvEyRHXORjo734Gnq_c/edit?usp=share_li"&amp;"nk"",""เชียงราย!J400"")
+IMPORTRANGE(""https://docs.google.com/spreadsheets/d/1Jgv0Y7YlHDtsiDawwp-uvifEJ8HVaSn0k2aGHG8-hwM/edit?usp=share_link"",""เชียงใหม่!J400"")+IMPORTRANGE(""https://docs.google.com/spreadsheets/d/1JWG2rZePOz9pe-f-ObA-yDr0VoOX2kSb0qIi"&amp;"x2mTUo8/edit?usp=share_link"",""ตาก!J400"")+IMPORTRANGE(""https://docs.google.com/spreadsheets/d/10nSRjK08hx8Y6HgSOQKNw81lyY46Zc7U_Cj72hBMp9U/edit?usp=share_link"",""นครสวรรค์!J400"")+IMPORTRANGE(""https://docs.google.com/spreadsheets/d/1gFVb7qd7amutrIxAA"&amp;"oM7lcy35hllxznovot8lyOfvDo/edit?usp=share_link"",""น่าน!J400"")+IMPORTRANGE(""https://docs.google.com/spreadsheets/d/1K0Aa9s-6EuHE5M0FG1F9aHLXRCOV917xvycTdLdct0w/edit?usp=share_link"",""พะเยา!J400"")+IMPORTRANGE(""https://docs.google.com/spreadsheets/d/1Y"&amp;"9LPKx95PyL5OKy09d-KbKJSuuEZCFdkhYjwC0XQjBA/edit?usp=share_link"",""พิจิตร!J400"")+IMPORTRANGE(""https://docs.google.com/spreadsheets/d/16OMuOwy2eVqZcYWOouQtTpa8X1L23h4660uVHc0C8os/edit?usp=share_link"",""พิษณุโลก!J400"")+IMPORTRANGE(""https://docs.google."&amp;"com/spreadsheets/d/1GfgTldLG6k77HXaMQzaafODklYuucJZQNs_GAPEfZyY/edit?usp=share_link"",""เพชรบูรณ์!J400"")+IMPORTRANGE(""https://docs.google.com/spreadsheets/d/1gvTMYAnm7v1yG1BKWFtr0DnaTsq59oW9dwWvFgq6hs0/edit?usp=share_link"",""แพร่!J400"")+IMPORTRANGE("""&amp;"https://docs.google.com/spreadsheets/d/1Wbcosgy-Xa1xXUArJSOenub6EfZHUSzc_bpJFWwQUf0/edit?usp=share_link"",""แม่ฮ่องสอน!J400"")+IMPORTRANGE(""https://docs.google.com/spreadsheets/d/1p7ERhsr0qZeSn-KSOdeHS9r0heI-lHtkcn2OH7hP0jQ/edit?usp=share_link"",""ลำปาง!"&amp;"J400"")+IMPORTRANGE(""https://docs.google.com/spreadsheets/d/1-uUXvimVhiU2U0bMN-xi2te0tS4X7DI2GLPnMjzl8cA/edit?usp=share_link"",""ลำพูน!J400"")+IMPORTRANGE(""https://docs.google.com/spreadsheets/d/17HrOaa5pBUI1onckFfumXB8xlg35qb2uBAFfF1D-Myo/edit?usp=shar"&amp;"e_link"",""สุโขทัย!J400"")+IMPORTRANGE(""https://docs.google.com/spreadsheets/d/1ubs5cl16eYL9gHbdHTJtmtYb9MGzHBs7CAphn8kNCgM/edit?usp=share_link"",""อุตรดิตถ์!J400"")+IMPORTRANGE(""https://docs.google.com/spreadsheets/d/1kII0BjS6CtVrBvI8IrytgPdxDrlyQDyigz"&amp;"MsohRtDMs/edit?usp=share_link"",""อุทัยธานี!J400"")
"),0)</f>
        <v>0</v>
      </c>
      <c r="K400" s="38">
        <f t="shared" ca="1" si="201"/>
        <v>0</v>
      </c>
      <c r="L400" s="38"/>
      <c r="M400" s="38"/>
      <c r="N400" s="38"/>
      <c r="O400" s="38"/>
      <c r="P400" s="38"/>
    </row>
    <row r="401" spans="1:26" ht="19.5" hidden="1">
      <c r="A401" s="483"/>
      <c r="B401" s="484" t="s">
        <v>176</v>
      </c>
      <c r="C401" s="485"/>
      <c r="D401" s="486"/>
      <c r="E401" s="486"/>
      <c r="F401" s="486"/>
      <c r="G401" s="487"/>
      <c r="H401" s="488" t="s">
        <v>69</v>
      </c>
      <c r="I401" s="489">
        <f t="shared" ref="I401:J401" ca="1" si="202">I412</f>
        <v>0</v>
      </c>
      <c r="J401" s="489">
        <f t="shared" ca="1" si="202"/>
        <v>0</v>
      </c>
      <c r="K401" s="490">
        <f t="shared" ca="1" si="201"/>
        <v>0</v>
      </c>
      <c r="L401" s="491"/>
      <c r="M401" s="491"/>
      <c r="N401" s="491"/>
      <c r="O401" s="491"/>
      <c r="P401" s="491"/>
    </row>
    <row r="402" spans="1:26" ht="19.5" hidden="1">
      <c r="A402" s="147"/>
      <c r="B402" s="148"/>
      <c r="C402" s="149" t="s">
        <v>16</v>
      </c>
      <c r="D402" s="150" t="s">
        <v>17</v>
      </c>
      <c r="E402" s="148"/>
      <c r="F402" s="148"/>
      <c r="G402" s="151"/>
      <c r="H402" s="152" t="s">
        <v>12</v>
      </c>
      <c r="I402" s="153"/>
      <c r="J402" s="153"/>
      <c r="K402" s="154"/>
      <c r="L402" s="155">
        <f t="shared" ref="L402:N402" ca="1" si="203">L403+L404</f>
        <v>0</v>
      </c>
      <c r="M402" s="155">
        <f t="shared" ca="1" si="203"/>
        <v>0</v>
      </c>
      <c r="N402" s="155">
        <f t="shared" ca="1" si="203"/>
        <v>0</v>
      </c>
      <c r="O402" s="155">
        <f t="shared" ref="O402:O410" ca="1" si="204">IF(L402&gt;0,N402*100/L402,0)</f>
        <v>0</v>
      </c>
      <c r="P402" s="155">
        <f t="shared" ref="P402:P410" ca="1" si="205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41" t="s">
        <v>18</v>
      </c>
      <c r="F403" s="40"/>
      <c r="G403" s="157"/>
      <c r="H403" s="158" t="s">
        <v>12</v>
      </c>
      <c r="I403" s="44"/>
      <c r="J403" s="44"/>
      <c r="K403" s="45"/>
      <c r="L403" s="45">
        <f t="shared" ref="L403:N403" si="206">L406+L409</f>
        <v>0</v>
      </c>
      <c r="M403" s="45">
        <f t="shared" si="206"/>
        <v>0</v>
      </c>
      <c r="N403" s="45">
        <f t="shared" si="206"/>
        <v>0</v>
      </c>
      <c r="O403" s="45">
        <f t="shared" si="204"/>
        <v>0</v>
      </c>
      <c r="P403" s="45">
        <f t="shared" si="205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41" t="s">
        <v>19</v>
      </c>
      <c r="F404" s="40"/>
      <c r="G404" s="157"/>
      <c r="H404" s="158" t="s">
        <v>12</v>
      </c>
      <c r="I404" s="44"/>
      <c r="J404" s="44"/>
      <c r="K404" s="45"/>
      <c r="L404" s="45">
        <f t="shared" ref="L404:N404" ca="1" si="207">L407+L410</f>
        <v>0</v>
      </c>
      <c r="M404" s="45">
        <f t="shared" ca="1" si="207"/>
        <v>0</v>
      </c>
      <c r="N404" s="45">
        <f t="shared" ca="1" si="207"/>
        <v>0</v>
      </c>
      <c r="O404" s="45">
        <f t="shared" ca="1" si="204"/>
        <v>0</v>
      </c>
      <c r="P404" s="45">
        <f t="shared" ca="1" si="205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160"/>
      <c r="D405" s="34" t="s">
        <v>20</v>
      </c>
      <c r="E405" s="33"/>
      <c r="F405" s="33"/>
      <c r="G405" s="35"/>
      <c r="H405" s="161" t="s">
        <v>12</v>
      </c>
      <c r="I405" s="162"/>
      <c r="J405" s="162"/>
      <c r="K405" s="163"/>
      <c r="L405" s="38">
        <f t="shared" ref="L405:N405" ca="1" si="208">L406+L407</f>
        <v>0</v>
      </c>
      <c r="M405" s="38">
        <f t="shared" ca="1" si="208"/>
        <v>0</v>
      </c>
      <c r="N405" s="38">
        <f t="shared" ca="1" si="208"/>
        <v>0</v>
      </c>
      <c r="O405" s="38">
        <f t="shared" ca="1" si="204"/>
        <v>0</v>
      </c>
      <c r="P405" s="38">
        <f t="shared" ca="1" si="205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41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45">
        <f t="shared" si="204"/>
        <v>0</v>
      </c>
      <c r="P406" s="45">
        <f t="shared" si="205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41" t="s">
        <v>37</v>
      </c>
      <c r="F407" s="40"/>
      <c r="G407" s="157"/>
      <c r="H407" s="165" t="s">
        <v>12</v>
      </c>
      <c r="I407" s="166"/>
      <c r="J407" s="166"/>
      <c r="K407" s="167"/>
      <c r="L407" s="45">
        <f ca="1">IFERROR(__xludf.DUMMYFUNCTION("IMPORTRANGE(""https://docs.google.com/spreadsheets/d/1KxicF4apzSqm0-jIpmueT4kyZtE-Cwn5zskl7GD4loQ/edit?usp=share_link"",""กำแพงเพชร!l407"")+IMPORTRANGE(""https://docs.google.com/spreadsheets/d/1ZNYWeiFoFA1K1U4xKWqRX29MBvEyRHXORjo734Gnq_c/edit?usp=share_li"&amp;"nk"",""เชียงราย!l407"")
+IMPORTRANGE(""https://docs.google.com/spreadsheets/d/1Jgv0Y7YlHDtsiDawwp-uvifEJ8HVaSn0k2aGHG8-hwM/edit?usp=share_link"",""เชียงใหม่!l407"")+IMPORTRANGE(""https://docs.google.com/spreadsheets/d/1JWG2rZePOz9pe-f-ObA-yDr0VoOX2kSb0qIi"&amp;"x2mTUo8/edit?usp=share_link"",""ตาก!l407"")+IMPORTRANGE(""https://docs.google.com/spreadsheets/d/10nSRjK08hx8Y6HgSOQKNw81lyY46Zc7U_Cj72hBMp9U/edit?usp=share_link"",""นครสวรรค์!l407"")+IMPORTRANGE(""https://docs.google.com/spreadsheets/d/1gFVb7qd7amutrIxAA"&amp;"oM7lcy35hllxznovot8lyOfvDo/edit?usp=share_link"",""น่าน!l407"")+IMPORTRANGE(""https://docs.google.com/spreadsheets/d/1K0Aa9s-6EuHE5M0FG1F9aHLXRCOV917xvycTdLdct0w/edit?usp=share_link"",""พะเยา!l407"")+IMPORTRANGE(""https://docs.google.com/spreadsheets/d/1Y"&amp;"9LPKx95PyL5OKy09d-KbKJSuuEZCFdkhYjwC0XQjBA/edit?usp=share_link"",""พิจิตร!l407"")+IMPORTRANGE(""https://docs.google.com/spreadsheets/d/16OMuOwy2eVqZcYWOouQtTpa8X1L23h4660uVHc0C8os/edit?usp=share_link"",""พิษณุโลก!l407"")+IMPORTRANGE(""https://docs.google."&amp;"com/spreadsheets/d/1GfgTldLG6k77HXaMQzaafODklYuucJZQNs_GAPEfZyY/edit?usp=share_link"",""เพชรบูรณ์!l407"")+IMPORTRANGE(""https://docs.google.com/spreadsheets/d/1gvTMYAnm7v1yG1BKWFtr0DnaTsq59oW9dwWvFgq6hs0/edit?usp=share_link"",""แพร่!l407"")+IMPORTRANGE("""&amp;"https://docs.google.com/spreadsheets/d/1Wbcosgy-Xa1xXUArJSOenub6EfZHUSzc_bpJFWwQUf0/edit?usp=share_link"",""แม่ฮ่องสอน!l407"")+IMPORTRANGE(""https://docs.google.com/spreadsheets/d/1p7ERhsr0qZeSn-KSOdeHS9r0heI-lHtkcn2OH7hP0jQ/edit?usp=share_link"",""ลำปาง!"&amp;"l407"")+IMPORTRANGE(""https://docs.google.com/spreadsheets/d/1-uUXvimVhiU2U0bMN-xi2te0tS4X7DI2GLPnMjzl8cA/edit?usp=share_link"",""ลำพูน!l407"")+IMPORTRANGE(""https://docs.google.com/spreadsheets/d/17HrOaa5pBUI1onckFfumXB8xlg35qb2uBAFfF1D-Myo/edit?usp=shar"&amp;"e_link"",""สุโขทัย!l407"")+IMPORTRANGE(""https://docs.google.com/spreadsheets/d/1ubs5cl16eYL9gHbdHTJtmtYb9MGzHBs7CAphn8kNCgM/edit?usp=share_link"",""อุตรดิตถ์!l407"")+IMPORTRANGE(""https://docs.google.com/spreadsheets/d/1kII0BjS6CtVrBvI8IrytgPdxDrlyQDyigz"&amp;"MsohRtDMs/edit?usp=share_link"",""อุทัยธานี!l407"")
"),0)</f>
        <v>0</v>
      </c>
      <c r="M407" s="45">
        <f ca="1">IFERROR(__xludf.DUMMYFUNCTION("IMPORTRANGE(""https://docs.google.com/spreadsheets/d/1KxicF4apzSqm0-jIpmueT4kyZtE-Cwn5zskl7GD4loQ/edit?usp=share_link"",""กำแพงเพชร!m407"")+IMPORTRANGE(""https://docs.google.com/spreadsheets/d/1ZNYWeiFoFA1K1U4xKWqRX29MBvEyRHXORjo734Gnq_c/edit?usp=share_li"&amp;"nk"",""เชียงราย!m407"")
+IMPORTRANGE(""https://docs.google.com/spreadsheets/d/1Jgv0Y7YlHDtsiDawwp-uvifEJ8HVaSn0k2aGHG8-hwM/edit?usp=share_link"",""เชียงใหม่!m407"")+IMPORTRANGE(""https://docs.google.com/spreadsheets/d/1JWG2rZePOz9pe-f-ObA-yDr0VoOX2kSb0qIi"&amp;"x2mTUo8/edit?usp=share_link"",""ตาก!m407"")+IMPORTRANGE(""https://docs.google.com/spreadsheets/d/10nSRjK08hx8Y6HgSOQKNw81lyY46Zc7U_Cj72hBMp9U/edit?usp=share_link"",""นครสวรรค์!m407"")+IMPORTRANGE(""https://docs.google.com/spreadsheets/d/1gFVb7qd7amutrIxAA"&amp;"oM7lcy35hllxznovot8lyOfvDo/edit?usp=share_link"",""น่าน!m407"")+IMPORTRANGE(""https://docs.google.com/spreadsheets/d/1K0Aa9s-6EuHE5M0FG1F9aHLXRCOV917xvycTdLdct0w/edit?usp=share_link"",""พะเยา!m407"")+IMPORTRANGE(""https://docs.google.com/spreadsheets/d/1Y"&amp;"9LPKx95PyL5OKy09d-KbKJSuuEZCFdkhYjwC0XQjBA/edit?usp=share_link"",""พิจิตร!m407"")+IMPORTRANGE(""https://docs.google.com/spreadsheets/d/16OMuOwy2eVqZcYWOouQtTpa8X1L23h4660uVHc0C8os/edit?usp=share_link"",""พิษณุโลก!m407"")+IMPORTRANGE(""https://docs.google."&amp;"com/spreadsheets/d/1GfgTldLG6k77HXaMQzaafODklYuucJZQNs_GAPEfZyY/edit?usp=share_link"",""เพชรบูรณ์!m407"")+IMPORTRANGE(""https://docs.google.com/spreadsheets/d/1gvTMYAnm7v1yG1BKWFtr0DnaTsq59oW9dwWvFgq6hs0/edit?usp=share_link"",""แพร่!m407"")+IMPORTRANGE("""&amp;"https://docs.google.com/spreadsheets/d/1Wbcosgy-Xa1xXUArJSOenub6EfZHUSzc_bpJFWwQUf0/edit?usp=share_link"",""แม่ฮ่องสอน!m407"")+IMPORTRANGE(""https://docs.google.com/spreadsheets/d/1p7ERhsr0qZeSn-KSOdeHS9r0heI-lHtkcn2OH7hP0jQ/edit?usp=share_link"",""ลำปาง!"&amp;"m407"")+IMPORTRANGE(""https://docs.google.com/spreadsheets/d/1-uUXvimVhiU2U0bMN-xi2te0tS4X7DI2GLPnMjzl8cA/edit?usp=share_link"",""ลำพูน!m407"")+IMPORTRANGE(""https://docs.google.com/spreadsheets/d/17HrOaa5pBUI1onckFfumXB8xlg35qb2uBAFfF1D-Myo/edit?usp=shar"&amp;"e_link"",""สุโขทัย!m407"")+IMPORTRANGE(""https://docs.google.com/spreadsheets/d/1ubs5cl16eYL9gHbdHTJtmtYb9MGzHBs7CAphn8kNCgM/edit?usp=share_link"",""อุตรดิตถ์!m407"")+IMPORTRANGE(""https://docs.google.com/spreadsheets/d/1kII0BjS6CtVrBvI8IrytgPdxDrlyQDyigz"&amp;"MsohRtDMs/edit?usp=share_link"",""อุทัยธานี!m407"")
"),0)</f>
        <v>0</v>
      </c>
      <c r="N407" s="45">
        <f ca="1">IFERROR(__xludf.DUMMYFUNCTION("IMPORTRANGE(""https://docs.google.com/spreadsheets/d/1KxicF4apzSqm0-jIpmueT4kyZtE-Cwn5zskl7GD4loQ/edit?usp=share_link"",""กำแพงเพชร!n407"")+IMPORTRANGE(""https://docs.google.com/spreadsheets/d/1ZNYWeiFoFA1K1U4xKWqRX29MBvEyRHXORjo734Gnq_c/edit?usp=share_li"&amp;"nk"",""เชียงราย!n407"")
+IMPORTRANGE(""https://docs.google.com/spreadsheets/d/1Jgv0Y7YlHDtsiDawwp-uvifEJ8HVaSn0k2aGHG8-hwM/edit?usp=share_link"",""เชียงใหม่!n407"")+IMPORTRANGE(""https://docs.google.com/spreadsheets/d/1JWG2rZePOz9pe-f-ObA-yDr0VoOX2kSb0qIi"&amp;"x2mTUo8/edit?usp=share_link"",""ตาก!n407"")+IMPORTRANGE(""https://docs.google.com/spreadsheets/d/10nSRjK08hx8Y6HgSOQKNw81lyY46Zc7U_Cj72hBMp9U/edit?usp=share_link"",""นครสวรรค์!n407"")+IMPORTRANGE(""https://docs.google.com/spreadsheets/d/1gFVb7qd7amutrIxAA"&amp;"oM7lcy35hllxznovot8lyOfvDo/edit?usp=share_link"",""น่าน!n407"")+IMPORTRANGE(""https://docs.google.com/spreadsheets/d/1K0Aa9s-6EuHE5M0FG1F9aHLXRCOV917xvycTdLdct0w/edit?usp=share_link"",""พะเยา!n407"")+IMPORTRANGE(""https://docs.google.com/spreadsheets/d/1Y"&amp;"9LPKx95PyL5OKy09d-KbKJSuuEZCFdkhYjwC0XQjBA/edit?usp=share_link"",""พิจิตร!n407"")+IMPORTRANGE(""https://docs.google.com/spreadsheets/d/16OMuOwy2eVqZcYWOouQtTpa8X1L23h4660uVHc0C8os/edit?usp=share_link"",""พิษณุโลก!n407"")+IMPORTRANGE(""https://docs.google."&amp;"com/spreadsheets/d/1GfgTldLG6k77HXaMQzaafODklYuucJZQNs_GAPEfZyY/edit?usp=share_link"",""เพชรบูรณ์!n407"")+IMPORTRANGE(""https://docs.google.com/spreadsheets/d/1gvTMYAnm7v1yG1BKWFtr0DnaTsq59oW9dwWvFgq6hs0/edit?usp=share_link"",""แพร่!n407"")+IMPORTRANGE("""&amp;"https://docs.google.com/spreadsheets/d/1Wbcosgy-Xa1xXUArJSOenub6EfZHUSzc_bpJFWwQUf0/edit?usp=share_link"",""แม่ฮ่องสอน!n407"")+IMPORTRANGE(""https://docs.google.com/spreadsheets/d/1p7ERhsr0qZeSn-KSOdeHS9r0heI-lHtkcn2OH7hP0jQ/edit?usp=share_link"",""ลำปาง!"&amp;"n407"")+IMPORTRANGE(""https://docs.google.com/spreadsheets/d/1-uUXvimVhiU2U0bMN-xi2te0tS4X7DI2GLPnMjzl8cA/edit?usp=share_link"",""ลำพูน!n407"")+IMPORTRANGE(""https://docs.google.com/spreadsheets/d/17HrOaa5pBUI1onckFfumXB8xlg35qb2uBAFfF1D-Myo/edit?usp=shar"&amp;"e_link"",""สุโขทัย!n407"")+IMPORTRANGE(""https://docs.google.com/spreadsheets/d/1ubs5cl16eYL9gHbdHTJtmtYb9MGzHBs7CAphn8kNCgM/edit?usp=share_link"",""อุตรดิตถ์!n407"")+IMPORTRANGE(""https://docs.google.com/spreadsheets/d/1kII0BjS6CtVrBvI8IrytgPdxDrlyQDyigz"&amp;"MsohRtDMs/edit?usp=share_link"",""อุทัยธานี!n407"")
"),0)</f>
        <v>0</v>
      </c>
      <c r="O407" s="45">
        <f t="shared" ca="1" si="204"/>
        <v>0</v>
      </c>
      <c r="P407" s="45">
        <f t="shared" ca="1" si="205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160"/>
      <c r="D408" s="34" t="s">
        <v>21</v>
      </c>
      <c r="E408" s="33"/>
      <c r="F408" s="33"/>
      <c r="G408" s="35"/>
      <c r="H408" s="168" t="s">
        <v>12</v>
      </c>
      <c r="I408" s="162"/>
      <c r="J408" s="162"/>
      <c r="K408" s="163"/>
      <c r="L408" s="38">
        <f t="shared" ref="L408:N408" ca="1" si="209">L409+L410</f>
        <v>0</v>
      </c>
      <c r="M408" s="38">
        <f t="shared" ca="1" si="209"/>
        <v>0</v>
      </c>
      <c r="N408" s="38">
        <f t="shared" ca="1" si="209"/>
        <v>0</v>
      </c>
      <c r="O408" s="38">
        <f t="shared" ca="1" si="204"/>
        <v>0</v>
      </c>
      <c r="P408" s="38">
        <f t="shared" ca="1" si="205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41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45">
        <f t="shared" si="204"/>
        <v>0</v>
      </c>
      <c r="P409" s="45">
        <f t="shared" si="205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41" t="s">
        <v>19</v>
      </c>
      <c r="F410" s="40"/>
      <c r="G410" s="157"/>
      <c r="H410" s="169" t="s">
        <v>12</v>
      </c>
      <c r="I410" s="166"/>
      <c r="J410" s="166"/>
      <c r="K410" s="167"/>
      <c r="L410" s="45">
        <f ca="1">IFERROR(__xludf.DUMMYFUNCTION("IMPORTRANGE(""https://docs.google.com/spreadsheets/d/1KxicF4apzSqm0-jIpmueT4kyZtE-Cwn5zskl7GD4loQ/edit?usp=share_link"",""กำแพงเพชร!l410"")+IMPORTRANGE(""https://docs.google.com/spreadsheets/d/1ZNYWeiFoFA1K1U4xKWqRX29MBvEyRHXORjo734Gnq_c/edit?usp=share_li"&amp;"nk"",""เชียงราย!l410"")
+IMPORTRANGE(""https://docs.google.com/spreadsheets/d/1Jgv0Y7YlHDtsiDawwp-uvifEJ8HVaSn0k2aGHG8-hwM/edit?usp=share_link"",""เชียงใหม่!l410"")+IMPORTRANGE(""https://docs.google.com/spreadsheets/d/1JWG2rZePOz9pe-f-ObA-yDr0VoOX2kSb0qIi"&amp;"x2mTUo8/edit?usp=share_link"",""ตาก!l410"")+IMPORTRANGE(""https://docs.google.com/spreadsheets/d/10nSRjK08hx8Y6HgSOQKNw81lyY46Zc7U_Cj72hBMp9U/edit?usp=share_link"",""นครสวรรค์!l410"")+IMPORTRANGE(""https://docs.google.com/spreadsheets/d/1gFVb7qd7amutrIxAA"&amp;"oM7lcy35hllxznovot8lyOfvDo/edit?usp=share_link"",""น่าน!l410"")+IMPORTRANGE(""https://docs.google.com/spreadsheets/d/1K0Aa9s-6EuHE5M0FG1F9aHLXRCOV917xvycTdLdct0w/edit?usp=share_link"",""พะเยา!l410"")+IMPORTRANGE(""https://docs.google.com/spreadsheets/d/1Y"&amp;"9LPKx95PyL5OKy09d-KbKJSuuEZCFdkhYjwC0XQjBA/edit?usp=share_link"",""พิจิตร!l410"")+IMPORTRANGE(""https://docs.google.com/spreadsheets/d/16OMuOwy2eVqZcYWOouQtTpa8X1L23h4660uVHc0C8os/edit?usp=share_link"",""พิษณุโลก!l410"")+IMPORTRANGE(""https://docs.google."&amp;"com/spreadsheets/d/1GfgTldLG6k77HXaMQzaafODklYuucJZQNs_GAPEfZyY/edit?usp=share_link"",""เพชรบูรณ์!l410"")+IMPORTRANGE(""https://docs.google.com/spreadsheets/d/1gvTMYAnm7v1yG1BKWFtr0DnaTsq59oW9dwWvFgq6hs0/edit?usp=share_link"",""แพร่!l410"")+IMPORTRANGE("""&amp;"https://docs.google.com/spreadsheets/d/1Wbcosgy-Xa1xXUArJSOenub6EfZHUSzc_bpJFWwQUf0/edit?usp=share_link"",""แม่ฮ่องสอน!l410"")+IMPORTRANGE(""https://docs.google.com/spreadsheets/d/1p7ERhsr0qZeSn-KSOdeHS9r0heI-lHtkcn2OH7hP0jQ/edit?usp=share_link"",""ลำปาง!"&amp;"l410"")+IMPORTRANGE(""https://docs.google.com/spreadsheets/d/1-uUXvimVhiU2U0bMN-xi2te0tS4X7DI2GLPnMjzl8cA/edit?usp=share_link"",""ลำพูน!l410"")+IMPORTRANGE(""https://docs.google.com/spreadsheets/d/17HrOaa5pBUI1onckFfumXB8xlg35qb2uBAFfF1D-Myo/edit?usp=shar"&amp;"e_link"",""สุโขทัย!l410"")+IMPORTRANGE(""https://docs.google.com/spreadsheets/d/1ubs5cl16eYL9gHbdHTJtmtYb9MGzHBs7CAphn8kNCgM/edit?usp=share_link"",""อุตรดิตถ์!l410"")+IMPORTRANGE(""https://docs.google.com/spreadsheets/d/1kII0BjS6CtVrBvI8IrytgPdxDrlyQDyigz"&amp;"MsohRtDMs/edit?usp=share_link"",""อุทัยธานี!l410"")
"),0)</f>
        <v>0</v>
      </c>
      <c r="M410" s="45">
        <f ca="1">IFERROR(__xludf.DUMMYFUNCTION("IMPORTRANGE(""https://docs.google.com/spreadsheets/d/1KxicF4apzSqm0-jIpmueT4kyZtE-Cwn5zskl7GD4loQ/edit?usp=share_link"",""กำแพงเพชร!m410"")+IMPORTRANGE(""https://docs.google.com/spreadsheets/d/1ZNYWeiFoFA1K1U4xKWqRX29MBvEyRHXORjo734Gnq_c/edit?usp=share_li"&amp;"nk"",""เชียงราย!m410"")
+IMPORTRANGE(""https://docs.google.com/spreadsheets/d/1Jgv0Y7YlHDtsiDawwp-uvifEJ8HVaSn0k2aGHG8-hwM/edit?usp=share_link"",""เชียงใหม่!m410"")+IMPORTRANGE(""https://docs.google.com/spreadsheets/d/1JWG2rZePOz9pe-f-ObA-yDr0VoOX2kSb0qIi"&amp;"x2mTUo8/edit?usp=share_link"",""ตาก!m410"")+IMPORTRANGE(""https://docs.google.com/spreadsheets/d/10nSRjK08hx8Y6HgSOQKNw81lyY46Zc7U_Cj72hBMp9U/edit?usp=share_link"",""นครสวรรค์!m410"")+IMPORTRANGE(""https://docs.google.com/spreadsheets/d/1gFVb7qd7amutrIxAA"&amp;"oM7lcy35hllxznovot8lyOfvDo/edit?usp=share_link"",""น่าน!m410"")+IMPORTRANGE(""https://docs.google.com/spreadsheets/d/1K0Aa9s-6EuHE5M0FG1F9aHLXRCOV917xvycTdLdct0w/edit?usp=share_link"",""พะเยา!m410"")+IMPORTRANGE(""https://docs.google.com/spreadsheets/d/1Y"&amp;"9LPKx95PyL5OKy09d-KbKJSuuEZCFdkhYjwC0XQjBA/edit?usp=share_link"",""พิจิตร!m410"")+IMPORTRANGE(""https://docs.google.com/spreadsheets/d/16OMuOwy2eVqZcYWOouQtTpa8X1L23h4660uVHc0C8os/edit?usp=share_link"",""พิษณุโลก!m410"")+IMPORTRANGE(""https://docs.google."&amp;"com/spreadsheets/d/1GfgTldLG6k77HXaMQzaafODklYuucJZQNs_GAPEfZyY/edit?usp=share_link"",""เพชรบูรณ์!m410"")+IMPORTRANGE(""https://docs.google.com/spreadsheets/d/1gvTMYAnm7v1yG1BKWFtr0DnaTsq59oW9dwWvFgq6hs0/edit?usp=share_link"",""แพร่!m410"")+IMPORTRANGE("""&amp;"https://docs.google.com/spreadsheets/d/1Wbcosgy-Xa1xXUArJSOenub6EfZHUSzc_bpJFWwQUf0/edit?usp=share_link"",""แม่ฮ่องสอน!m410"")+IMPORTRANGE(""https://docs.google.com/spreadsheets/d/1p7ERhsr0qZeSn-KSOdeHS9r0heI-lHtkcn2OH7hP0jQ/edit?usp=share_link"",""ลำปาง!"&amp;"m410"")+IMPORTRANGE(""https://docs.google.com/spreadsheets/d/1-uUXvimVhiU2U0bMN-xi2te0tS4X7DI2GLPnMjzl8cA/edit?usp=share_link"",""ลำพูน!m410"")+IMPORTRANGE(""https://docs.google.com/spreadsheets/d/17HrOaa5pBUI1onckFfumXB8xlg35qb2uBAFfF1D-Myo/edit?usp=shar"&amp;"e_link"",""สุโขทัย!m410"")+IMPORTRANGE(""https://docs.google.com/spreadsheets/d/1ubs5cl16eYL9gHbdHTJtmtYb9MGzHBs7CAphn8kNCgM/edit?usp=share_link"",""อุตรดิตถ์!m410"")+IMPORTRANGE(""https://docs.google.com/spreadsheets/d/1kII0BjS6CtVrBvI8IrytgPdxDrlyQDyigz"&amp;"MsohRtDMs/edit?usp=share_link"",""อุทัยธานี!m410"")
"),0)</f>
        <v>0</v>
      </c>
      <c r="N410" s="45">
        <f ca="1">IFERROR(__xludf.DUMMYFUNCTION("IMPORTRANGE(""https://docs.google.com/spreadsheets/d/1KxicF4apzSqm0-jIpmueT4kyZtE-Cwn5zskl7GD4loQ/edit?usp=share_link"",""กำแพงเพชร!n410"")+IMPORTRANGE(""https://docs.google.com/spreadsheets/d/1ZNYWeiFoFA1K1U4xKWqRX29MBvEyRHXORjo734Gnq_c/edit?usp=share_li"&amp;"nk"",""เชียงราย!n410"")
+IMPORTRANGE(""https://docs.google.com/spreadsheets/d/1Jgv0Y7YlHDtsiDawwp-uvifEJ8HVaSn0k2aGHG8-hwM/edit?usp=share_link"",""เชียงใหม่!n410"")+IMPORTRANGE(""https://docs.google.com/spreadsheets/d/1JWG2rZePOz9pe-f-ObA-yDr0VoOX2kSb0qIi"&amp;"x2mTUo8/edit?usp=share_link"",""ตาก!n410"")+IMPORTRANGE(""https://docs.google.com/spreadsheets/d/10nSRjK08hx8Y6HgSOQKNw81lyY46Zc7U_Cj72hBMp9U/edit?usp=share_link"",""นครสวรรค์!n410"")+IMPORTRANGE(""https://docs.google.com/spreadsheets/d/1gFVb7qd7amutrIxAA"&amp;"oM7lcy35hllxznovot8lyOfvDo/edit?usp=share_link"",""น่าน!n410"")+IMPORTRANGE(""https://docs.google.com/spreadsheets/d/1K0Aa9s-6EuHE5M0FG1F9aHLXRCOV917xvycTdLdct0w/edit?usp=share_link"",""พะเยา!n410"")+IMPORTRANGE(""https://docs.google.com/spreadsheets/d/1Y"&amp;"9LPKx95PyL5OKy09d-KbKJSuuEZCFdkhYjwC0XQjBA/edit?usp=share_link"",""พิจิตร!n410"")+IMPORTRANGE(""https://docs.google.com/spreadsheets/d/16OMuOwy2eVqZcYWOouQtTpa8X1L23h4660uVHc0C8os/edit?usp=share_link"",""พิษณุโลก!n410"")+IMPORTRANGE(""https://docs.google."&amp;"com/spreadsheets/d/1GfgTldLG6k77HXaMQzaafODklYuucJZQNs_GAPEfZyY/edit?usp=share_link"",""เพชรบูรณ์!n410"")+IMPORTRANGE(""https://docs.google.com/spreadsheets/d/1gvTMYAnm7v1yG1BKWFtr0DnaTsq59oW9dwWvFgq6hs0/edit?usp=share_link"",""แพร่!n410"")+IMPORTRANGE("""&amp;"https://docs.google.com/spreadsheets/d/1Wbcosgy-Xa1xXUArJSOenub6EfZHUSzc_bpJFWwQUf0/edit?usp=share_link"",""แม่ฮ่องสอน!n410"")+IMPORTRANGE(""https://docs.google.com/spreadsheets/d/1p7ERhsr0qZeSn-KSOdeHS9r0heI-lHtkcn2OH7hP0jQ/edit?usp=share_link"",""ลำปาง!"&amp;"n410"")+IMPORTRANGE(""https://docs.google.com/spreadsheets/d/1-uUXvimVhiU2U0bMN-xi2te0tS4X7DI2GLPnMjzl8cA/edit?usp=share_link"",""ลำพูน!n410"")+IMPORTRANGE(""https://docs.google.com/spreadsheets/d/17HrOaa5pBUI1onckFfumXB8xlg35qb2uBAFfF1D-Myo/edit?usp=shar"&amp;"e_link"",""สุโขทัย!n410"")+IMPORTRANGE(""https://docs.google.com/spreadsheets/d/1ubs5cl16eYL9gHbdHTJtmtYb9MGzHBs7CAphn8kNCgM/edit?usp=share_link"",""อุตรดิตถ์!n410"")+IMPORTRANGE(""https://docs.google.com/spreadsheets/d/1kII0BjS6CtVrBvI8IrytgPdxDrlyQDyigz"&amp;"MsohRtDMs/edit?usp=share_link"",""อุทัยธานี!n410"")
"),0)</f>
        <v>0</v>
      </c>
      <c r="O410" s="45">
        <f t="shared" ca="1" si="204"/>
        <v>0</v>
      </c>
      <c r="P410" s="45">
        <f t="shared" ca="1" si="205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497" t="s">
        <v>38</v>
      </c>
      <c r="E411" s="498"/>
      <c r="F411" s="498"/>
      <c r="G411" s="499"/>
      <c r="H411" s="175"/>
      <c r="I411" s="37"/>
      <c r="J411" s="37"/>
      <c r="K411" s="38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181" t="s">
        <v>177</v>
      </c>
      <c r="E412" s="178"/>
      <c r="F412" s="178"/>
      <c r="G412" s="179"/>
      <c r="H412" s="500" t="s">
        <v>69</v>
      </c>
      <c r="I412" s="269">
        <f ca="1">IFERROR(__xludf.DUMMYFUNCTION("IMPORTRANGE(""https://docs.google.com/spreadsheets/d/1KxicF4apzSqm0-jIpmueT4kyZtE-Cwn5zskl7GD4loQ/edit?usp=share_link"",""กำแพงเพชร!I412"")+IMPORTRANGE(""https://docs.google.com/spreadsheets/d/1ZNYWeiFoFA1K1U4xKWqRX29MBvEyRHXORjo734Gnq_c/edit?usp=share_li"&amp;"nk"",""เชียงราย!I412"")
+IMPORTRANGE(""https://docs.google.com/spreadsheets/d/1Jgv0Y7YlHDtsiDawwp-uvifEJ8HVaSn0k2aGHG8-hwM/edit?usp=share_link"",""เชียงใหม่!I412"")+IMPORTRANGE(""https://docs.google.com/spreadsheets/d/1JWG2rZePOz9pe-f-ObA-yDr0VoOX2kSb0qIi"&amp;"x2mTUo8/edit?usp=share_link"",""ตาก!I412"")+IMPORTRANGE(""https://docs.google.com/spreadsheets/d/10nSRjK08hx8Y6HgSOQKNw81lyY46Zc7U_Cj72hBMp9U/edit?usp=share_link"",""นครสวรรค์!I412"")+IMPORTRANGE(""https://docs.google.com/spreadsheets/d/1gFVb7qd7amutrIxAA"&amp;"oM7lcy35hllxznovot8lyOfvDo/edit?usp=share_link"",""น่าน!I412"")+IMPORTRANGE(""https://docs.google.com/spreadsheets/d/1K0Aa9s-6EuHE5M0FG1F9aHLXRCOV917xvycTdLdct0w/edit?usp=share_link"",""พะเยา!I412"")+IMPORTRANGE(""https://docs.google.com/spreadsheets/d/1Y"&amp;"9LPKx95PyL5OKy09d-KbKJSuuEZCFdkhYjwC0XQjBA/edit?usp=share_link"",""พิจิตร!I412"")+IMPORTRANGE(""https://docs.google.com/spreadsheets/d/16OMuOwy2eVqZcYWOouQtTpa8X1L23h4660uVHc0C8os/edit?usp=share_link"",""พิษณุโลก!I412"")+IMPORTRANGE(""https://docs.google."&amp;"com/spreadsheets/d/1GfgTldLG6k77HXaMQzaafODklYuucJZQNs_GAPEfZyY/edit?usp=share_link"",""เพชรบูรณ์!I412"")+IMPORTRANGE(""https://docs.google.com/spreadsheets/d/1gvTMYAnm7v1yG1BKWFtr0DnaTsq59oW9dwWvFgq6hs0/edit?usp=share_link"",""แพร่!I412"")+IMPORTRANGE("""&amp;"https://docs.google.com/spreadsheets/d/1Wbcosgy-Xa1xXUArJSOenub6EfZHUSzc_bpJFWwQUf0/edit?usp=share_link"",""แม่ฮ่องสอน!I412"")+IMPORTRANGE(""https://docs.google.com/spreadsheets/d/1p7ERhsr0qZeSn-KSOdeHS9r0heI-lHtkcn2OH7hP0jQ/edit?usp=share_link"",""ลำปาง!"&amp;"I412"")+IMPORTRANGE(""https://docs.google.com/spreadsheets/d/1-uUXvimVhiU2U0bMN-xi2te0tS4X7DI2GLPnMjzl8cA/edit?usp=share_link"",""ลำพูน!I412"")+IMPORTRANGE(""https://docs.google.com/spreadsheets/d/17HrOaa5pBUI1onckFfumXB8xlg35qb2uBAFfF1D-Myo/edit?usp=shar"&amp;"e_link"",""สุโขทัย!I412"")+IMPORTRANGE(""https://docs.google.com/spreadsheets/d/1ubs5cl16eYL9gHbdHTJtmtYb9MGzHBs7CAphn8kNCgM/edit?usp=share_link"",""อุตรดิตถ์!I412"")+IMPORTRANGE(""https://docs.google.com/spreadsheets/d/1kII0BjS6CtVrBvI8IrytgPdxDrlyQDyigz"&amp;"MsohRtDMs/edit?usp=share_link"",""อุทัยธานี!I412"")
"),0)</f>
        <v>0</v>
      </c>
      <c r="J412" s="183">
        <f ca="1">IFERROR(__xludf.DUMMYFUNCTION("IMPORTRANGE(""https://docs.google.com/spreadsheets/d/1KxicF4apzSqm0-jIpmueT4kyZtE-Cwn5zskl7GD4loQ/edit?usp=share_link"",""กำแพงเพชร!J412"")+IMPORTRANGE(""https://docs.google.com/spreadsheets/d/1ZNYWeiFoFA1K1U4xKWqRX29MBvEyRHXORjo734Gnq_c/edit?usp=share_li"&amp;"nk"",""เชียงราย!J412"")
+IMPORTRANGE(""https://docs.google.com/spreadsheets/d/1Jgv0Y7YlHDtsiDawwp-uvifEJ8HVaSn0k2aGHG8-hwM/edit?usp=share_link"",""เชียงใหม่!J412"")+IMPORTRANGE(""https://docs.google.com/spreadsheets/d/1JWG2rZePOz9pe-f-ObA-yDr0VoOX2kSb0qIi"&amp;"x2mTUo8/edit?usp=share_link"",""ตาก!J412"")+IMPORTRANGE(""https://docs.google.com/spreadsheets/d/10nSRjK08hx8Y6HgSOQKNw81lyY46Zc7U_Cj72hBMp9U/edit?usp=share_link"",""นครสวรรค์!J412"")+IMPORTRANGE(""https://docs.google.com/spreadsheets/d/1gFVb7qd7amutrIxAA"&amp;"oM7lcy35hllxznovot8lyOfvDo/edit?usp=share_link"",""น่าน!J412"")+IMPORTRANGE(""https://docs.google.com/spreadsheets/d/1K0Aa9s-6EuHE5M0FG1F9aHLXRCOV917xvycTdLdct0w/edit?usp=share_link"",""พะเยา!J412"")+IMPORTRANGE(""https://docs.google.com/spreadsheets/d/1Y"&amp;"9LPKx95PyL5OKy09d-KbKJSuuEZCFdkhYjwC0XQjBA/edit?usp=share_link"",""พิจิตร!J412"")+IMPORTRANGE(""https://docs.google.com/spreadsheets/d/16OMuOwy2eVqZcYWOouQtTpa8X1L23h4660uVHc0C8os/edit?usp=share_link"",""พิษณุโลก!J412"")+IMPORTRANGE(""https://docs.google."&amp;"com/spreadsheets/d/1GfgTldLG6k77HXaMQzaafODklYuucJZQNs_GAPEfZyY/edit?usp=share_link"",""เพชรบูรณ์!J412"")+IMPORTRANGE(""https://docs.google.com/spreadsheets/d/1gvTMYAnm7v1yG1BKWFtr0DnaTsq59oW9dwWvFgq6hs0/edit?usp=share_link"",""แพร่!J412"")+IMPORTRANGE("""&amp;"https://docs.google.com/spreadsheets/d/1Wbcosgy-Xa1xXUArJSOenub6EfZHUSzc_bpJFWwQUf0/edit?usp=share_link"",""แม่ฮ่องสอน!J412"")+IMPORTRANGE(""https://docs.google.com/spreadsheets/d/1p7ERhsr0qZeSn-KSOdeHS9r0heI-lHtkcn2OH7hP0jQ/edit?usp=share_link"",""ลำปาง!"&amp;"J412"")+IMPORTRANGE(""https://docs.google.com/spreadsheets/d/1-uUXvimVhiU2U0bMN-xi2te0tS4X7DI2GLPnMjzl8cA/edit?usp=share_link"",""ลำพูน!J412"")+IMPORTRANGE(""https://docs.google.com/spreadsheets/d/17HrOaa5pBUI1onckFfumXB8xlg35qb2uBAFfF1D-Myo/edit?usp=shar"&amp;"e_link"",""สุโขทัย!J412"")+IMPORTRANGE(""https://docs.google.com/spreadsheets/d/1ubs5cl16eYL9gHbdHTJtmtYb9MGzHBs7CAphn8kNCgM/edit?usp=share_link"",""อุตรดิตถ์!J412"")+IMPORTRANGE(""https://docs.google.com/spreadsheets/d/1kII0BjS6CtVrBvI8IrytgPdxDrlyQDyigz"&amp;"MsohRtDMs/edit?usp=share_link"",""อุทัยธานี!J412"")
"),0)</f>
        <v>0</v>
      </c>
      <c r="K412" s="38">
        <f t="shared" ref="K412:K413" ca="1" si="210">IF(I412&gt;0,J412*100/I412,0)</f>
        <v>0</v>
      </c>
      <c r="L412" s="163"/>
      <c r="M412" s="163"/>
      <c r="N412" s="163"/>
      <c r="O412" s="163"/>
      <c r="P412" s="163"/>
    </row>
    <row r="413" spans="1:26" ht="18.75" hidden="1">
      <c r="A413" s="501"/>
      <c r="B413" s="502"/>
      <c r="C413" s="502"/>
      <c r="D413" s="503" t="s">
        <v>178</v>
      </c>
      <c r="E413" s="502"/>
      <c r="F413" s="502"/>
      <c r="G413" s="504"/>
      <c r="H413" s="505" t="s">
        <v>179</v>
      </c>
      <c r="I413" s="506">
        <f ca="1">IFERROR(__xludf.DUMMYFUNCTION("IMPORTRANGE(""https://docs.google.com/spreadsheets/d/1KxicF4apzSqm0-jIpmueT4kyZtE-Cwn5zskl7GD4loQ/edit?usp=share_link"",""กำแพงเพชร!I413"")+IMPORTRANGE(""https://docs.google.com/spreadsheets/d/1ZNYWeiFoFA1K1U4xKWqRX29MBvEyRHXORjo734Gnq_c/edit?usp=share_li"&amp;"nk"",""เชียงราย!I413"")
+IMPORTRANGE(""https://docs.google.com/spreadsheets/d/1Jgv0Y7YlHDtsiDawwp-uvifEJ8HVaSn0k2aGHG8-hwM/edit?usp=share_link"",""เชียงใหม่!I413"")+IMPORTRANGE(""https://docs.google.com/spreadsheets/d/1JWG2rZePOz9pe-f-ObA-yDr0VoOX2kSb0qIi"&amp;"x2mTUo8/edit?usp=share_link"",""ตาก!I413"")+IMPORTRANGE(""https://docs.google.com/spreadsheets/d/10nSRjK08hx8Y6HgSOQKNw81lyY46Zc7U_Cj72hBMp9U/edit?usp=share_link"",""นครสวรรค์!I413"")+IMPORTRANGE(""https://docs.google.com/spreadsheets/d/1gFVb7qd7amutrIxAA"&amp;"oM7lcy35hllxznovot8lyOfvDo/edit?usp=share_link"",""น่าน!I413"")+IMPORTRANGE(""https://docs.google.com/spreadsheets/d/1K0Aa9s-6EuHE5M0FG1F9aHLXRCOV917xvycTdLdct0w/edit?usp=share_link"",""พะเยา!I413"")+IMPORTRANGE(""https://docs.google.com/spreadsheets/d/1Y"&amp;"9LPKx95PyL5OKy09d-KbKJSuuEZCFdkhYjwC0XQjBA/edit?usp=share_link"",""พิจิตร!I413"")+IMPORTRANGE(""https://docs.google.com/spreadsheets/d/16OMuOwy2eVqZcYWOouQtTpa8X1L23h4660uVHc0C8os/edit?usp=share_link"",""พิษณุโลก!I413"")+IMPORTRANGE(""https://docs.google."&amp;"com/spreadsheets/d/1GfgTldLG6k77HXaMQzaafODklYuucJZQNs_GAPEfZyY/edit?usp=share_link"",""เพชรบูรณ์!I413"")+IMPORTRANGE(""https://docs.google.com/spreadsheets/d/1gvTMYAnm7v1yG1BKWFtr0DnaTsq59oW9dwWvFgq6hs0/edit?usp=share_link"",""แพร่!I413"")+IMPORTRANGE("""&amp;"https://docs.google.com/spreadsheets/d/1Wbcosgy-Xa1xXUArJSOenub6EfZHUSzc_bpJFWwQUf0/edit?usp=share_link"",""แม่ฮ่องสอน!I413"")+IMPORTRANGE(""https://docs.google.com/spreadsheets/d/1p7ERhsr0qZeSn-KSOdeHS9r0heI-lHtkcn2OH7hP0jQ/edit?usp=share_link"",""ลำปาง!"&amp;"I413"")+IMPORTRANGE(""https://docs.google.com/spreadsheets/d/1-uUXvimVhiU2U0bMN-xi2te0tS4X7DI2GLPnMjzl8cA/edit?usp=share_link"",""ลำพูน!I413"")+IMPORTRANGE(""https://docs.google.com/spreadsheets/d/17HrOaa5pBUI1onckFfumXB8xlg35qb2uBAFfF1D-Myo/edit?usp=shar"&amp;"e_link"",""สุโขทัย!I413"")+IMPORTRANGE(""https://docs.google.com/spreadsheets/d/1ubs5cl16eYL9gHbdHTJtmtYb9MGzHBs7CAphn8kNCgM/edit?usp=share_link"",""อุตรดิตถ์!I413"")+IMPORTRANGE(""https://docs.google.com/spreadsheets/d/1kII0BjS6CtVrBvI8IrytgPdxDrlyQDyigz"&amp;"MsohRtDMs/edit?usp=share_link"",""อุทัยธานี!I413"")
"),0)</f>
        <v>0</v>
      </c>
      <c r="J413" s="507">
        <f ca="1">IFERROR(__xludf.DUMMYFUNCTION("IMPORTRANGE(""https://docs.google.com/spreadsheets/d/1KxicF4apzSqm0-jIpmueT4kyZtE-Cwn5zskl7GD4loQ/edit?usp=share_link"",""กำแพงเพชร!J413"")+IMPORTRANGE(""https://docs.google.com/spreadsheets/d/1ZNYWeiFoFA1K1U4xKWqRX29MBvEyRHXORjo734Gnq_c/edit?usp=share_li"&amp;"nk"",""เชียงราย!J413"")
+IMPORTRANGE(""https://docs.google.com/spreadsheets/d/1Jgv0Y7YlHDtsiDawwp-uvifEJ8HVaSn0k2aGHG8-hwM/edit?usp=share_link"",""เชียงใหม่!J413"")+IMPORTRANGE(""https://docs.google.com/spreadsheets/d/1JWG2rZePOz9pe-f-ObA-yDr0VoOX2kSb0qIi"&amp;"x2mTUo8/edit?usp=share_link"",""ตาก!J413"")+IMPORTRANGE(""https://docs.google.com/spreadsheets/d/10nSRjK08hx8Y6HgSOQKNw81lyY46Zc7U_Cj72hBMp9U/edit?usp=share_link"",""นครสวรรค์!J413"")+IMPORTRANGE(""https://docs.google.com/spreadsheets/d/1gFVb7qd7amutrIxAA"&amp;"oM7lcy35hllxznovot8lyOfvDo/edit?usp=share_link"",""น่าน!J413"")+IMPORTRANGE(""https://docs.google.com/spreadsheets/d/1K0Aa9s-6EuHE5M0FG1F9aHLXRCOV917xvycTdLdct0w/edit?usp=share_link"",""พะเยา!J413"")+IMPORTRANGE(""https://docs.google.com/spreadsheets/d/1Y"&amp;"9LPKx95PyL5OKy09d-KbKJSuuEZCFdkhYjwC0XQjBA/edit?usp=share_link"",""พิจิตร!J413"")+IMPORTRANGE(""https://docs.google.com/spreadsheets/d/16OMuOwy2eVqZcYWOouQtTpa8X1L23h4660uVHc0C8os/edit?usp=share_link"",""พิษณุโลก!J413"")+IMPORTRANGE(""https://docs.google."&amp;"com/spreadsheets/d/1GfgTldLG6k77HXaMQzaafODklYuucJZQNs_GAPEfZyY/edit?usp=share_link"",""เพชรบูรณ์!J413"")+IMPORTRANGE(""https://docs.google.com/spreadsheets/d/1gvTMYAnm7v1yG1BKWFtr0DnaTsq59oW9dwWvFgq6hs0/edit?usp=share_link"",""แพร่!J413"")+IMPORTRANGE("""&amp;"https://docs.google.com/spreadsheets/d/1Wbcosgy-Xa1xXUArJSOenub6EfZHUSzc_bpJFWwQUf0/edit?usp=share_link"",""แม่ฮ่องสอน!J413"")+IMPORTRANGE(""https://docs.google.com/spreadsheets/d/1p7ERhsr0qZeSn-KSOdeHS9r0heI-lHtkcn2OH7hP0jQ/edit?usp=share_link"",""ลำปาง!"&amp;"J413"")+IMPORTRANGE(""https://docs.google.com/spreadsheets/d/1-uUXvimVhiU2U0bMN-xi2te0tS4X7DI2GLPnMjzl8cA/edit?usp=share_link"",""ลำพูน!J413"")+IMPORTRANGE(""https://docs.google.com/spreadsheets/d/17HrOaa5pBUI1onckFfumXB8xlg35qb2uBAFfF1D-Myo/edit?usp=shar"&amp;"e_link"",""สุโขทัย!J413"")+IMPORTRANGE(""https://docs.google.com/spreadsheets/d/1ubs5cl16eYL9gHbdHTJtmtYb9MGzHBs7CAphn8kNCgM/edit?usp=share_link"",""อุตรดิตถ์!J413"")+IMPORTRANGE(""https://docs.google.com/spreadsheets/d/1kII0BjS6CtVrBvI8IrytgPdxDrlyQDyigz"&amp;"MsohRtDMs/edit?usp=share_link"",""อุทัยธานี!J413"")
"),0)</f>
        <v>0</v>
      </c>
      <c r="K413" s="508">
        <f t="shared" ca="1" si="210"/>
        <v>0</v>
      </c>
      <c r="L413" s="509"/>
      <c r="M413" s="509"/>
      <c r="N413" s="509"/>
      <c r="O413" s="509"/>
      <c r="P413" s="509"/>
    </row>
    <row r="414" spans="1:26" ht="19.5">
      <c r="A414" s="510" t="s">
        <v>180</v>
      </c>
      <c r="B414" s="511"/>
      <c r="C414" s="511"/>
      <c r="D414" s="511"/>
      <c r="E414" s="511"/>
      <c r="F414" s="511"/>
      <c r="G414" s="512"/>
      <c r="H414" s="513"/>
      <c r="I414" s="514"/>
      <c r="J414" s="514"/>
      <c r="K414" s="515"/>
      <c r="L414" s="516">
        <f ca="1">L419+L444+M467+L502+L523+L544+L629+L655+L685+L737+L754+L770+L786+L805</f>
        <v>23591955</v>
      </c>
      <c r="M414" s="516">
        <f t="shared" ref="M414:N414" si="211">M419+M444+M467+M502+M523+M544+M629+M655+M685+M737+M754+M770+M786+M805</f>
        <v>0</v>
      </c>
      <c r="N414" s="516">
        <f t="shared" ca="1" si="211"/>
        <v>514779.87</v>
      </c>
      <c r="O414" s="516">
        <f ca="1">IF(L414&gt;0,N414*100/L414,0)</f>
        <v>2.1820144621333841</v>
      </c>
      <c r="P414" s="516">
        <f>IF(M414&gt;0,N414*100/M414,0)</f>
        <v>0</v>
      </c>
    </row>
    <row r="415" spans="1:26" ht="19.5">
      <c r="A415" s="517" t="s">
        <v>181</v>
      </c>
      <c r="B415" s="518"/>
      <c r="C415" s="518"/>
      <c r="D415" s="518"/>
      <c r="E415" s="518"/>
      <c r="F415" s="518"/>
      <c r="G415" s="518"/>
      <c r="H415" s="519"/>
      <c r="I415" s="520"/>
      <c r="J415" s="520"/>
      <c r="K415" s="521"/>
      <c r="L415" s="522"/>
      <c r="M415" s="522"/>
      <c r="N415" s="522"/>
      <c r="O415" s="522"/>
      <c r="P415" s="522"/>
    </row>
    <row r="416" spans="1:26" ht="19.5">
      <c r="A416" s="517" t="s">
        <v>182</v>
      </c>
      <c r="B416" s="518"/>
      <c r="C416" s="518"/>
      <c r="D416" s="518"/>
      <c r="E416" s="518"/>
      <c r="F416" s="518"/>
      <c r="G416" s="523"/>
      <c r="H416" s="524"/>
      <c r="I416" s="525"/>
      <c r="J416" s="525"/>
      <c r="K416" s="522"/>
      <c r="L416" s="522"/>
      <c r="M416" s="522"/>
      <c r="N416" s="522"/>
      <c r="O416" s="522"/>
      <c r="P416" s="522"/>
    </row>
    <row r="417" spans="1:26" ht="21.75" customHeight="1">
      <c r="A417" s="526">
        <v>1</v>
      </c>
      <c r="B417" s="527" t="s">
        <v>183</v>
      </c>
      <c r="C417" s="528"/>
      <c r="D417" s="529"/>
      <c r="E417" s="529"/>
      <c r="F417" s="529"/>
      <c r="G417" s="530"/>
      <c r="H417" s="531" t="s">
        <v>35</v>
      </c>
      <c r="I417" s="532">
        <f t="shared" ref="I417:J417" ca="1" si="212">I433</f>
        <v>630</v>
      </c>
      <c r="J417" s="532">
        <f t="shared" ca="1" si="212"/>
        <v>20</v>
      </c>
      <c r="K417" s="533">
        <f t="shared" ref="K417:K418" ca="1" si="213">IF(I417&gt;0,J417*100/I417,0)</f>
        <v>3.1746031746031744</v>
      </c>
      <c r="L417" s="534"/>
      <c r="M417" s="534"/>
      <c r="N417" s="534"/>
      <c r="O417" s="534"/>
      <c r="P417" s="534"/>
    </row>
    <row r="418" spans="1:26" ht="19.5">
      <c r="A418" s="535"/>
      <c r="B418" s="526"/>
      <c r="C418" s="528"/>
      <c r="D418" s="529"/>
      <c r="E418" s="529"/>
      <c r="F418" s="529"/>
      <c r="G418" s="530"/>
      <c r="H418" s="531" t="s">
        <v>49</v>
      </c>
      <c r="I418" s="532">
        <f t="shared" ref="I418:J418" ca="1" si="214">I434</f>
        <v>24</v>
      </c>
      <c r="J418" s="532">
        <f t="shared" ca="1" si="214"/>
        <v>1</v>
      </c>
      <c r="K418" s="533">
        <f t="shared" ca="1" si="213"/>
        <v>4.166666666666667</v>
      </c>
      <c r="L418" s="534"/>
      <c r="M418" s="534"/>
      <c r="N418" s="534"/>
      <c r="O418" s="534"/>
      <c r="P418" s="534"/>
    </row>
    <row r="419" spans="1:26" ht="19.5">
      <c r="A419" s="147"/>
      <c r="B419" s="148"/>
      <c r="C419" s="148" t="s">
        <v>16</v>
      </c>
      <c r="D419" s="809" t="s">
        <v>17</v>
      </c>
      <c r="E419" s="810"/>
      <c r="F419" s="810"/>
      <c r="G419" s="151"/>
      <c r="H419" s="274" t="s">
        <v>12</v>
      </c>
      <c r="I419" s="153"/>
      <c r="J419" s="153"/>
      <c r="K419" s="154"/>
      <c r="L419" s="155">
        <f t="shared" ref="L419:N419" ca="1" si="215">L420+L421</f>
        <v>2127450</v>
      </c>
      <c r="M419" s="155">
        <f t="shared" si="215"/>
        <v>0</v>
      </c>
      <c r="N419" s="155">
        <f t="shared" ca="1" si="215"/>
        <v>52648</v>
      </c>
      <c r="O419" s="155">
        <f t="shared" ref="O419:O424" ca="1" si="216">IF(L419&gt;0,N419*100/L419,0)</f>
        <v>2.4746997579261558</v>
      </c>
      <c r="P419" s="155">
        <f t="shared" ref="P419:P424" si="217">IF(M419&gt;0,N419*100/M419,0)</f>
        <v>0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536"/>
      <c r="E420" s="41" t="s">
        <v>184</v>
      </c>
      <c r="F420" s="40"/>
      <c r="G420" s="157"/>
      <c r="H420" s="165" t="s">
        <v>12</v>
      </c>
      <c r="I420" s="44"/>
      <c r="J420" s="44"/>
      <c r="K420" s="45"/>
      <c r="L420" s="45">
        <f t="shared" ref="L420:N420" si="218">L423+L430</f>
        <v>0</v>
      </c>
      <c r="M420" s="45">
        <f t="shared" si="218"/>
        <v>0</v>
      </c>
      <c r="N420" s="45">
        <f t="shared" si="218"/>
        <v>0</v>
      </c>
      <c r="O420" s="45">
        <f t="shared" si="216"/>
        <v>0</v>
      </c>
      <c r="P420" s="45">
        <f t="shared" si="217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536"/>
      <c r="E421" s="41" t="s">
        <v>185</v>
      </c>
      <c r="F421" s="40"/>
      <c r="G421" s="157"/>
      <c r="H421" s="165" t="s">
        <v>12</v>
      </c>
      <c r="I421" s="44"/>
      <c r="J421" s="44"/>
      <c r="K421" s="45"/>
      <c r="L421" s="45">
        <f t="shared" ref="L421:N421" ca="1" si="219">L424+L431</f>
        <v>2127450</v>
      </c>
      <c r="M421" s="45">
        <f t="shared" si="219"/>
        <v>0</v>
      </c>
      <c r="N421" s="45">
        <f t="shared" ca="1" si="219"/>
        <v>52648</v>
      </c>
      <c r="O421" s="45">
        <f t="shared" ca="1" si="216"/>
        <v>2.4746997579261558</v>
      </c>
      <c r="P421" s="45">
        <f t="shared" si="217"/>
        <v>0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0"/>
      <c r="C422" s="33"/>
      <c r="D422" s="34" t="s">
        <v>20</v>
      </c>
      <c r="E422" s="33"/>
      <c r="F422" s="33"/>
      <c r="G422" s="35"/>
      <c r="H422" s="161" t="s">
        <v>12</v>
      </c>
      <c r="I422" s="162"/>
      <c r="J422" s="162"/>
      <c r="K422" s="163"/>
      <c r="L422" s="38">
        <f t="shared" ref="L422:N422" ca="1" si="220">L423+L424</f>
        <v>2127450</v>
      </c>
      <c r="M422" s="38">
        <f t="shared" si="220"/>
        <v>0</v>
      </c>
      <c r="N422" s="38">
        <f t="shared" ca="1" si="220"/>
        <v>52648</v>
      </c>
      <c r="O422" s="38">
        <f t="shared" ca="1" si="216"/>
        <v>2.4746997579261558</v>
      </c>
      <c r="P422" s="38">
        <f t="shared" si="217"/>
        <v>0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536"/>
      <c r="E423" s="41" t="s">
        <v>184</v>
      </c>
      <c r="F423" s="40"/>
      <c r="G423" s="157"/>
      <c r="H423" s="165" t="s">
        <v>12</v>
      </c>
      <c r="I423" s="44"/>
      <c r="J423" s="44"/>
      <c r="K423" s="45"/>
      <c r="L423" s="93">
        <v>0</v>
      </c>
      <c r="M423" s="93">
        <v>0</v>
      </c>
      <c r="N423" s="93">
        <v>0</v>
      </c>
      <c r="O423" s="45">
        <f t="shared" si="216"/>
        <v>0</v>
      </c>
      <c r="P423" s="45">
        <f t="shared" si="217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536"/>
      <c r="E424" s="41" t="s">
        <v>185</v>
      </c>
      <c r="F424" s="40"/>
      <c r="G424" s="157"/>
      <c r="H424" s="165" t="s">
        <v>12</v>
      </c>
      <c r="I424" s="44"/>
      <c r="J424" s="44"/>
      <c r="K424" s="45"/>
      <c r="L424" s="45">
        <f ca="1">IFERROR(__xludf.DUMMYFUNCTION("IMPORTRANGE(""https://docs.google.com/spreadsheets/d/1KxicF4apzSqm0-jIpmueT4kyZtE-Cwn5zskl7GD4loQ/edit?usp=share_link"",""กำแพงเพชร!l424"")+IMPORTRANGE(""https://docs.google.com/spreadsheets/d/1ZNYWeiFoFA1K1U4xKWqRX29MBvEyRHXORjo734Gnq_c/edit?usp=share_li"&amp;"nk"",""เชียงราย!l424"")
+IMPORTRANGE(""https://docs.google.com/spreadsheets/d/1Jgv0Y7YlHDtsiDawwp-uvifEJ8HVaSn0k2aGHG8-hwM/edit?usp=share_link"",""เชียงใหม่!l424"")+IMPORTRANGE(""https://docs.google.com/spreadsheets/d/1JWG2rZePOz9pe-f-ObA-yDr0VoOX2kSb0qIi"&amp;"x2mTUo8/edit?usp=share_link"",""ตาก!l424"")+IMPORTRANGE(""https://docs.google.com/spreadsheets/d/10nSRjK08hx8Y6HgSOQKNw81lyY46Zc7U_Cj72hBMp9U/edit?usp=share_link"",""นครสวรรค์!l424"")+IMPORTRANGE(""https://docs.google.com/spreadsheets/d/1gFVb7qd7amutrIxAA"&amp;"oM7lcy35hllxznovot8lyOfvDo/edit?usp=share_link"",""น่าน!l424"")+IMPORTRANGE(""https://docs.google.com/spreadsheets/d/1K0Aa9s-6EuHE5M0FG1F9aHLXRCOV917xvycTdLdct0w/edit?usp=share_link"",""พะเยา!l424"")+IMPORTRANGE(""https://docs.google.com/spreadsheets/d/1Y"&amp;"9LPKx95PyL5OKy09d-KbKJSuuEZCFdkhYjwC0XQjBA/edit?usp=share_link"",""พิจิตร!l424"")+IMPORTRANGE(""https://docs.google.com/spreadsheets/d/16OMuOwy2eVqZcYWOouQtTpa8X1L23h4660uVHc0C8os/edit?usp=share_link"",""พิษณุโลก!l424"")+IMPORTRANGE(""https://docs.google."&amp;"com/spreadsheets/d/1GfgTldLG6k77HXaMQzaafODklYuucJZQNs_GAPEfZyY/edit?usp=share_link"",""เพชรบูรณ์!l424"")+IMPORTRANGE(""https://docs.google.com/spreadsheets/d/1gvTMYAnm7v1yG1BKWFtr0DnaTsq59oW9dwWvFgq6hs0/edit?usp=share_link"",""แพร่!l424"")+IMPORTRANGE("""&amp;"https://docs.google.com/spreadsheets/d/1Wbcosgy-Xa1xXUArJSOenub6EfZHUSzc_bpJFWwQUf0/edit?usp=share_link"",""แม่ฮ่องสอน!l424"")+IMPORTRANGE(""https://docs.google.com/spreadsheets/d/1p7ERhsr0qZeSn-KSOdeHS9r0heI-lHtkcn2OH7hP0jQ/edit?usp=share_link"",""ลำปาง!"&amp;"l424"")+IMPORTRANGE(""https://docs.google.com/spreadsheets/d/1-uUXvimVhiU2U0bMN-xi2te0tS4X7DI2GLPnMjzl8cA/edit?usp=share_link"",""ลำพูน!l424"")+IMPORTRANGE(""https://docs.google.com/spreadsheets/d/17HrOaa5pBUI1onckFfumXB8xlg35qb2uBAFfF1D-Myo/edit?usp=shar"&amp;"e_link"",""สุโขทัย!l424"")+IMPORTRANGE(""https://docs.google.com/spreadsheets/d/1ubs5cl16eYL9gHbdHTJtmtYb9MGzHBs7CAphn8kNCgM/edit?usp=share_link"",""อุตรดิตถ์!l424"")+IMPORTRANGE(""https://docs.google.com/spreadsheets/d/1kII0BjS6CtVrBvI8IrytgPdxDrlyQDyigz"&amp;"MsohRtDMs/edit?usp=share_link"",""อุทัยธานี!l424"")
"),2127450)</f>
        <v>2127450</v>
      </c>
      <c r="M424" s="93">
        <v>0</v>
      </c>
      <c r="N424" s="45">
        <f ca="1">N425+N426+N427+N428</f>
        <v>52648</v>
      </c>
      <c r="O424" s="45">
        <f t="shared" ca="1" si="216"/>
        <v>2.4746997579261558</v>
      </c>
      <c r="P424" s="45">
        <f t="shared" si="217"/>
        <v>0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37"/>
      <c r="B425" s="538"/>
      <c r="C425" s="539"/>
      <c r="D425" s="539"/>
      <c r="E425" s="539"/>
      <c r="F425" s="540" t="s">
        <v>186</v>
      </c>
      <c r="G425" s="189"/>
      <c r="H425" s="161" t="s">
        <v>12</v>
      </c>
      <c r="I425" s="37"/>
      <c r="J425" s="37"/>
      <c r="K425" s="38"/>
      <c r="L425" s="38"/>
      <c r="M425" s="38"/>
      <c r="N425" s="282">
        <f ca="1">IFERROR(__xludf.DUMMYFUNCTION("IMPORTRANGE(""https://docs.google.com/spreadsheets/d/1KxicF4apzSqm0-jIpmueT4kyZtE-Cwn5zskl7GD4loQ/edit?usp=share_link"",""กำแพงเพชร!n425"")+IMPORTRANGE(""https://docs.google.com/spreadsheets/d/1ZNYWeiFoFA1K1U4xKWqRX29MBvEyRHXORjo734Gnq_c/edit?usp=share_li"&amp;"nk"",""เชียงราย!n425"")
+IMPORTRANGE(""https://docs.google.com/spreadsheets/d/1Jgv0Y7YlHDtsiDawwp-uvifEJ8HVaSn0k2aGHG8-hwM/edit?usp=share_link"",""เชียงใหม่!n425"")+IMPORTRANGE(""https://docs.google.com/spreadsheets/d/1JWG2rZePOz9pe-f-ObA-yDr0VoOX2kSb0qIi"&amp;"x2mTUo8/edit?usp=share_link"",""ตาก!n425"")+IMPORTRANGE(""https://docs.google.com/spreadsheets/d/10nSRjK08hx8Y6HgSOQKNw81lyY46Zc7U_Cj72hBMp9U/edit?usp=share_link"",""นครสวรรค์!n425"")+IMPORTRANGE(""https://docs.google.com/spreadsheets/d/1gFVb7qd7amutrIxAA"&amp;"oM7lcy35hllxznovot8lyOfvDo/edit?usp=share_link"",""น่าน!n425"")+IMPORTRANGE(""https://docs.google.com/spreadsheets/d/1K0Aa9s-6EuHE5M0FG1F9aHLXRCOV917xvycTdLdct0w/edit?usp=share_link"",""พะเยา!n425"")+IMPORTRANGE(""https://docs.google.com/spreadsheets/d/1Y"&amp;"9LPKx95PyL5OKy09d-KbKJSuuEZCFdkhYjwC0XQjBA/edit?usp=share_link"",""พิจิตร!n425"")+IMPORTRANGE(""https://docs.google.com/spreadsheets/d/16OMuOwy2eVqZcYWOouQtTpa8X1L23h4660uVHc0C8os/edit?usp=share_link"",""พิษณุโลก!n425"")+IMPORTRANGE(""https://docs.google."&amp;"com/spreadsheets/d/1GfgTldLG6k77HXaMQzaafODklYuucJZQNs_GAPEfZyY/edit?usp=share_link"",""เพชรบูรณ์!n425"")+IMPORTRANGE(""https://docs.google.com/spreadsheets/d/1gvTMYAnm7v1yG1BKWFtr0DnaTsq59oW9dwWvFgq6hs0/edit?usp=share_link"",""แพร่!n425"")+IMPORTRANGE("""&amp;"https://docs.google.com/spreadsheets/d/1Wbcosgy-Xa1xXUArJSOenub6EfZHUSzc_bpJFWwQUf0/edit?usp=share_link"",""แม่ฮ่องสอน!n425"")+IMPORTRANGE(""https://docs.google.com/spreadsheets/d/1p7ERhsr0qZeSn-KSOdeHS9r0heI-lHtkcn2OH7hP0jQ/edit?usp=share_link"",""ลำปาง!"&amp;"n425"")+IMPORTRANGE(""https://docs.google.com/spreadsheets/d/1-uUXvimVhiU2U0bMN-xi2te0tS4X7DI2GLPnMjzl8cA/edit?usp=share_link"",""ลำพูน!n425"")+IMPORTRANGE(""https://docs.google.com/spreadsheets/d/17HrOaa5pBUI1onckFfumXB8xlg35qb2uBAFfF1D-Myo/edit?usp=shar"&amp;"e_link"",""สุโขทัย!n425"")+IMPORTRANGE(""https://docs.google.com/spreadsheets/d/1ubs5cl16eYL9gHbdHTJtmtYb9MGzHBs7CAphn8kNCgM/edit?usp=share_link"",""อุตรดิตถ์!n425"")+IMPORTRANGE(""https://docs.google.com/spreadsheets/d/1kII0BjS6CtVrBvI8IrytgPdxDrlyQDyigz"&amp;"MsohRtDMs/edit?usp=share_link"",""อุทัยธานี!n425"")
"),39208)</f>
        <v>39208</v>
      </c>
      <c r="O425" s="38"/>
      <c r="P425" s="38"/>
      <c r="Q425" s="541"/>
      <c r="R425" s="541"/>
      <c r="S425" s="541"/>
      <c r="T425" s="541"/>
      <c r="U425" s="541"/>
      <c r="V425" s="541"/>
      <c r="W425" s="541"/>
      <c r="X425" s="541"/>
      <c r="Y425" s="541"/>
      <c r="Z425" s="541"/>
    </row>
    <row r="426" spans="1:26" ht="18.75">
      <c r="A426" s="537"/>
      <c r="B426" s="538"/>
      <c r="C426" s="539"/>
      <c r="D426" s="539"/>
      <c r="E426" s="539"/>
      <c r="F426" s="540" t="s">
        <v>187</v>
      </c>
      <c r="G426" s="189"/>
      <c r="H426" s="161" t="s">
        <v>12</v>
      </c>
      <c r="I426" s="37"/>
      <c r="J426" s="37"/>
      <c r="K426" s="38"/>
      <c r="L426" s="38"/>
      <c r="M426" s="38"/>
      <c r="N426" s="282">
        <f ca="1">IFERROR(__xludf.DUMMYFUNCTION("IMPORTRANGE(""https://docs.google.com/spreadsheets/d/1KxicF4apzSqm0-jIpmueT4kyZtE-Cwn5zskl7GD4loQ/edit?usp=share_link"",""กำแพงเพชร!n426"")+IMPORTRANGE(""https://docs.google.com/spreadsheets/d/1ZNYWeiFoFA1K1U4xKWqRX29MBvEyRHXORjo734Gnq_c/edit?usp=share_li"&amp;"nk"",""เชียงราย!n426"")
+IMPORTRANGE(""https://docs.google.com/spreadsheets/d/1Jgv0Y7YlHDtsiDawwp-uvifEJ8HVaSn0k2aGHG8-hwM/edit?usp=share_link"",""เชียงใหม่!n426"")+IMPORTRANGE(""https://docs.google.com/spreadsheets/d/1JWG2rZePOz9pe-f-ObA-yDr0VoOX2kSb0qIi"&amp;"x2mTUo8/edit?usp=share_link"",""ตาก!n426"")+IMPORTRANGE(""https://docs.google.com/spreadsheets/d/10nSRjK08hx8Y6HgSOQKNw81lyY46Zc7U_Cj72hBMp9U/edit?usp=share_link"",""นครสวรรค์!n426"")+IMPORTRANGE(""https://docs.google.com/spreadsheets/d/1gFVb7qd7amutrIxAA"&amp;"oM7lcy35hllxznovot8lyOfvDo/edit?usp=share_link"",""น่าน!n426"")+IMPORTRANGE(""https://docs.google.com/spreadsheets/d/1K0Aa9s-6EuHE5M0FG1F9aHLXRCOV917xvycTdLdct0w/edit?usp=share_link"",""พะเยา!n426"")+IMPORTRANGE(""https://docs.google.com/spreadsheets/d/1Y"&amp;"9LPKx95PyL5OKy09d-KbKJSuuEZCFdkhYjwC0XQjBA/edit?usp=share_link"",""พิจิตร!n426"")+IMPORTRANGE(""https://docs.google.com/spreadsheets/d/16OMuOwy2eVqZcYWOouQtTpa8X1L23h4660uVHc0C8os/edit?usp=share_link"",""พิษณุโลก!n426"")+IMPORTRANGE(""https://docs.google."&amp;"com/spreadsheets/d/1GfgTldLG6k77HXaMQzaafODklYuucJZQNs_GAPEfZyY/edit?usp=share_link"",""เพชรบูรณ์!n426"")+IMPORTRANGE(""https://docs.google.com/spreadsheets/d/1gvTMYAnm7v1yG1BKWFtr0DnaTsq59oW9dwWvFgq6hs0/edit?usp=share_link"",""แพร่!n426"")+IMPORTRANGE("""&amp;"https://docs.google.com/spreadsheets/d/1Wbcosgy-Xa1xXUArJSOenub6EfZHUSzc_bpJFWwQUf0/edit?usp=share_link"",""แม่ฮ่องสอน!n426"")+IMPORTRANGE(""https://docs.google.com/spreadsheets/d/1p7ERhsr0qZeSn-KSOdeHS9r0heI-lHtkcn2OH7hP0jQ/edit?usp=share_link"",""ลำปาง!"&amp;"n426"")+IMPORTRANGE(""https://docs.google.com/spreadsheets/d/1-uUXvimVhiU2U0bMN-xi2te0tS4X7DI2GLPnMjzl8cA/edit?usp=share_link"",""ลำพูน!n426"")+IMPORTRANGE(""https://docs.google.com/spreadsheets/d/17HrOaa5pBUI1onckFfumXB8xlg35qb2uBAFfF1D-Myo/edit?usp=shar"&amp;"e_link"",""สุโขทัย!n426"")+IMPORTRANGE(""https://docs.google.com/spreadsheets/d/1ubs5cl16eYL9gHbdHTJtmtYb9MGzHBs7CAphn8kNCgM/edit?usp=share_link"",""อุตรดิตถ์!n426"")+IMPORTRANGE(""https://docs.google.com/spreadsheets/d/1kII0BjS6CtVrBvI8IrytgPdxDrlyQDyigz"&amp;"MsohRtDMs/edit?usp=share_link"",""อุทัยธานี!n426"")
"),0)</f>
        <v>0</v>
      </c>
      <c r="O426" s="38"/>
      <c r="P426" s="38"/>
      <c r="Q426" s="541"/>
      <c r="R426" s="541"/>
      <c r="S426" s="541"/>
      <c r="T426" s="541"/>
      <c r="U426" s="541"/>
      <c r="V426" s="541"/>
      <c r="W426" s="541"/>
      <c r="X426" s="541"/>
      <c r="Y426" s="541"/>
      <c r="Z426" s="541"/>
    </row>
    <row r="427" spans="1:26" ht="18.75">
      <c r="A427" s="537"/>
      <c r="B427" s="538"/>
      <c r="C427" s="539"/>
      <c r="D427" s="539"/>
      <c r="E427" s="539"/>
      <c r="F427" s="540" t="s">
        <v>188</v>
      </c>
      <c r="G427" s="189"/>
      <c r="H427" s="161" t="s">
        <v>12</v>
      </c>
      <c r="I427" s="37"/>
      <c r="J427" s="37"/>
      <c r="K427" s="38"/>
      <c r="L427" s="38"/>
      <c r="M427" s="38"/>
      <c r="N427" s="282">
        <f ca="1">IFERROR(__xludf.DUMMYFUNCTION("IMPORTRANGE(""https://docs.google.com/spreadsheets/d/1KxicF4apzSqm0-jIpmueT4kyZtE-Cwn5zskl7GD4loQ/edit?usp=share_link"",""กำแพงเพชร!n427"")+IMPORTRANGE(""https://docs.google.com/spreadsheets/d/1ZNYWeiFoFA1K1U4xKWqRX29MBvEyRHXORjo734Gnq_c/edit?usp=share_li"&amp;"nk"",""เชียงราย!n427"")
+IMPORTRANGE(""https://docs.google.com/spreadsheets/d/1Jgv0Y7YlHDtsiDawwp-uvifEJ8HVaSn0k2aGHG8-hwM/edit?usp=share_link"",""เชียงใหม่!n427"")+IMPORTRANGE(""https://docs.google.com/spreadsheets/d/1JWG2rZePOz9pe-f-ObA-yDr0VoOX2kSb0qIi"&amp;"x2mTUo8/edit?usp=share_link"",""ตาก!n427"")+IMPORTRANGE(""https://docs.google.com/spreadsheets/d/10nSRjK08hx8Y6HgSOQKNw81lyY46Zc7U_Cj72hBMp9U/edit?usp=share_link"",""นครสวรรค์!n427"")+IMPORTRANGE(""https://docs.google.com/spreadsheets/d/1gFVb7qd7amutrIxAA"&amp;"oM7lcy35hllxznovot8lyOfvDo/edit?usp=share_link"",""น่าน!n427"")+IMPORTRANGE(""https://docs.google.com/spreadsheets/d/1K0Aa9s-6EuHE5M0FG1F9aHLXRCOV917xvycTdLdct0w/edit?usp=share_link"",""พะเยา!n427"")+IMPORTRANGE(""https://docs.google.com/spreadsheets/d/1Y"&amp;"9LPKx95PyL5OKy09d-KbKJSuuEZCFdkhYjwC0XQjBA/edit?usp=share_link"",""พิจิตร!n427"")+IMPORTRANGE(""https://docs.google.com/spreadsheets/d/16OMuOwy2eVqZcYWOouQtTpa8X1L23h4660uVHc0C8os/edit?usp=share_link"",""พิษณุโลก!n427"")+IMPORTRANGE(""https://docs.google."&amp;"com/spreadsheets/d/1GfgTldLG6k77HXaMQzaafODklYuucJZQNs_GAPEfZyY/edit?usp=share_link"",""เพชรบูรณ์!n427"")+IMPORTRANGE(""https://docs.google.com/spreadsheets/d/1gvTMYAnm7v1yG1BKWFtr0DnaTsq59oW9dwWvFgq6hs0/edit?usp=share_link"",""แพร่!n427"")+IMPORTRANGE("""&amp;"https://docs.google.com/spreadsheets/d/1Wbcosgy-Xa1xXUArJSOenub6EfZHUSzc_bpJFWwQUf0/edit?usp=share_link"",""แม่ฮ่องสอน!n427"")+IMPORTRANGE(""https://docs.google.com/spreadsheets/d/1p7ERhsr0qZeSn-KSOdeHS9r0heI-lHtkcn2OH7hP0jQ/edit?usp=share_link"",""ลำปาง!"&amp;"n427"")+IMPORTRANGE(""https://docs.google.com/spreadsheets/d/1-uUXvimVhiU2U0bMN-xi2te0tS4X7DI2GLPnMjzl8cA/edit?usp=share_link"",""ลำพูน!n427"")+IMPORTRANGE(""https://docs.google.com/spreadsheets/d/17HrOaa5pBUI1onckFfumXB8xlg35qb2uBAFfF1D-Myo/edit?usp=shar"&amp;"e_link"",""สุโขทัย!n427"")+IMPORTRANGE(""https://docs.google.com/spreadsheets/d/1ubs5cl16eYL9gHbdHTJtmtYb9MGzHBs7CAphn8kNCgM/edit?usp=share_link"",""อุตรดิตถ์!n427"")+IMPORTRANGE(""https://docs.google.com/spreadsheets/d/1kII0BjS6CtVrBvI8IrytgPdxDrlyQDyigz"&amp;"MsohRtDMs/edit?usp=share_link"",""อุทัยธานี!n427"")
"),0)</f>
        <v>0</v>
      </c>
      <c r="O427" s="38"/>
      <c r="P427" s="38"/>
      <c r="Q427" s="541"/>
      <c r="R427" s="541"/>
      <c r="S427" s="541"/>
      <c r="T427" s="541"/>
      <c r="U427" s="541"/>
      <c r="V427" s="541"/>
      <c r="W427" s="541"/>
      <c r="X427" s="541"/>
      <c r="Y427" s="541"/>
      <c r="Z427" s="541"/>
    </row>
    <row r="428" spans="1:26" ht="18.75">
      <c r="A428" s="283"/>
      <c r="B428" s="280"/>
      <c r="C428" s="33"/>
      <c r="D428" s="33"/>
      <c r="E428" s="33"/>
      <c r="F428" s="211" t="s">
        <v>189</v>
      </c>
      <c r="G428" s="213"/>
      <c r="H428" s="161" t="s">
        <v>12</v>
      </c>
      <c r="I428" s="37"/>
      <c r="J428" s="37"/>
      <c r="K428" s="38"/>
      <c r="L428" s="38"/>
      <c r="M428" s="38"/>
      <c r="N428" s="282">
        <f ca="1">IFERROR(__xludf.DUMMYFUNCTION("IMPORTRANGE(""https://docs.google.com/spreadsheets/d/1KxicF4apzSqm0-jIpmueT4kyZtE-Cwn5zskl7GD4loQ/edit?usp=share_link"",""กำแพงเพชร!n428"")+IMPORTRANGE(""https://docs.google.com/spreadsheets/d/1ZNYWeiFoFA1K1U4xKWqRX29MBvEyRHXORjo734Gnq_c/edit?usp=share_li"&amp;"nk"",""เชียงราย!n428"")
+IMPORTRANGE(""https://docs.google.com/spreadsheets/d/1Jgv0Y7YlHDtsiDawwp-uvifEJ8HVaSn0k2aGHG8-hwM/edit?usp=share_link"",""เชียงใหม่!n428"")+IMPORTRANGE(""https://docs.google.com/spreadsheets/d/1JWG2rZePOz9pe-f-ObA-yDr0VoOX2kSb0qIi"&amp;"x2mTUo8/edit?usp=share_link"",""ตาก!n428"")+IMPORTRANGE(""https://docs.google.com/spreadsheets/d/10nSRjK08hx8Y6HgSOQKNw81lyY46Zc7U_Cj72hBMp9U/edit?usp=share_link"",""นครสวรรค์!n428"")+IMPORTRANGE(""https://docs.google.com/spreadsheets/d/1gFVb7qd7amutrIxAA"&amp;"oM7lcy35hllxznovot8lyOfvDo/edit?usp=share_link"",""น่าน!n428"")+IMPORTRANGE(""https://docs.google.com/spreadsheets/d/1K0Aa9s-6EuHE5M0FG1F9aHLXRCOV917xvycTdLdct0w/edit?usp=share_link"",""พะเยา!n428"")+IMPORTRANGE(""https://docs.google.com/spreadsheets/d/1Y"&amp;"9LPKx95PyL5OKy09d-KbKJSuuEZCFdkhYjwC0XQjBA/edit?usp=share_link"",""พิจิตร!n428"")+IMPORTRANGE(""https://docs.google.com/spreadsheets/d/16OMuOwy2eVqZcYWOouQtTpa8X1L23h4660uVHc0C8os/edit?usp=share_link"",""พิษณุโลก!n428"")+IMPORTRANGE(""https://docs.google."&amp;"com/spreadsheets/d/1GfgTldLG6k77HXaMQzaafODklYuucJZQNs_GAPEfZyY/edit?usp=share_link"",""เพชรบูรณ์!n428"")+IMPORTRANGE(""https://docs.google.com/spreadsheets/d/1gvTMYAnm7v1yG1BKWFtr0DnaTsq59oW9dwWvFgq6hs0/edit?usp=share_link"",""แพร่!n428"")+IMPORTRANGE("""&amp;"https://docs.google.com/spreadsheets/d/1Wbcosgy-Xa1xXUArJSOenub6EfZHUSzc_bpJFWwQUf0/edit?usp=share_link"",""แม่ฮ่องสอน!n428"")+IMPORTRANGE(""https://docs.google.com/spreadsheets/d/1p7ERhsr0qZeSn-KSOdeHS9r0heI-lHtkcn2OH7hP0jQ/edit?usp=share_link"",""ลำปาง!"&amp;"n428"")+IMPORTRANGE(""https://docs.google.com/spreadsheets/d/1-uUXvimVhiU2U0bMN-xi2te0tS4X7DI2GLPnMjzl8cA/edit?usp=share_link"",""ลำพูน!n428"")+IMPORTRANGE(""https://docs.google.com/spreadsheets/d/17HrOaa5pBUI1onckFfumXB8xlg35qb2uBAFfF1D-Myo/edit?usp=shar"&amp;"e_link"",""สุโขทัย!n428"")+IMPORTRANGE(""https://docs.google.com/spreadsheets/d/1ubs5cl16eYL9gHbdHTJtmtYb9MGzHBs7CAphn8kNCgM/edit?usp=share_link"",""อุตรดิตถ์!n428"")+IMPORTRANGE(""https://docs.google.com/spreadsheets/d/1kII0BjS6CtVrBvI8IrytgPdxDrlyQDyigz"&amp;"MsohRtDMs/edit?usp=share_link"",""อุทัยธานี!n428"")
"),13440)</f>
        <v>13440</v>
      </c>
      <c r="O428" s="38"/>
      <c r="P428" s="38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0"/>
      <c r="C429" s="33"/>
      <c r="D429" s="34" t="s">
        <v>21</v>
      </c>
      <c r="E429" s="33"/>
      <c r="F429" s="33"/>
      <c r="G429" s="35"/>
      <c r="H429" s="168" t="s">
        <v>12</v>
      </c>
      <c r="I429" s="162"/>
      <c r="J429" s="162"/>
      <c r="K429" s="163"/>
      <c r="L429" s="38">
        <f t="shared" ref="L429:N429" ca="1" si="221">L430+L431</f>
        <v>0</v>
      </c>
      <c r="M429" s="38">
        <f t="shared" si="221"/>
        <v>0</v>
      </c>
      <c r="N429" s="38">
        <f t="shared" si="221"/>
        <v>0</v>
      </c>
      <c r="O429" s="38">
        <f t="shared" ref="O429:O431" ca="1" si="222">IF(L429&gt;0,N429*100/L429,0)</f>
        <v>0</v>
      </c>
      <c r="P429" s="38">
        <f t="shared" ref="P429:P431" si="223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542"/>
      <c r="C430" s="40"/>
      <c r="D430" s="40"/>
      <c r="E430" s="41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45">
        <f t="shared" si="222"/>
        <v>0</v>
      </c>
      <c r="P430" s="45">
        <f t="shared" si="223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542"/>
      <c r="C431" s="40"/>
      <c r="D431" s="40"/>
      <c r="E431" s="41" t="s">
        <v>19</v>
      </c>
      <c r="F431" s="40"/>
      <c r="G431" s="42"/>
      <c r="H431" s="169" t="s">
        <v>12</v>
      </c>
      <c r="I431" s="166"/>
      <c r="J431" s="166"/>
      <c r="K431" s="167"/>
      <c r="L431" s="45">
        <f ca="1">IFERROR(__xludf.DUMMYFUNCTION("IMPORTRANGE(""https://docs.google.com/spreadsheets/d/1KxicF4apzSqm0-jIpmueT4kyZtE-Cwn5zskl7GD4loQ/edit?usp=share_link"",""กำแพงเพชร!l431"")+IMPORTRANGE(""https://docs.google.com/spreadsheets/d/1ZNYWeiFoFA1K1U4xKWqRX29MBvEyRHXORjo734Gnq_c/edit?usp=share_li"&amp;"nk"",""เชียงราย!l431"")
+IMPORTRANGE(""https://docs.google.com/spreadsheets/d/1Jgv0Y7YlHDtsiDawwp-uvifEJ8HVaSn0k2aGHG8-hwM/edit?usp=share_link"",""เชียงใหม่!l431"")+IMPORTRANGE(""https://docs.google.com/spreadsheets/d/1JWG2rZePOz9pe-f-ObA-yDr0VoOX2kSb0qIi"&amp;"x2mTUo8/edit?usp=share_link"",""ตาก!l431"")+IMPORTRANGE(""https://docs.google.com/spreadsheets/d/10nSRjK08hx8Y6HgSOQKNw81lyY46Zc7U_Cj72hBMp9U/edit?usp=share_link"",""นครสวรรค์!l431"")+IMPORTRANGE(""https://docs.google.com/spreadsheets/d/1gFVb7qd7amutrIxAA"&amp;"oM7lcy35hllxznovot8lyOfvDo/edit?usp=share_link"",""น่าน!l431"")+IMPORTRANGE(""https://docs.google.com/spreadsheets/d/1K0Aa9s-6EuHE5M0FG1F9aHLXRCOV917xvycTdLdct0w/edit?usp=share_link"",""พะเยา!l431"")+IMPORTRANGE(""https://docs.google.com/spreadsheets/d/1Y"&amp;"9LPKx95PyL5OKy09d-KbKJSuuEZCFdkhYjwC0XQjBA/edit?usp=share_link"",""พิจิตร!l431"")+IMPORTRANGE(""https://docs.google.com/spreadsheets/d/16OMuOwy2eVqZcYWOouQtTpa8X1L23h4660uVHc0C8os/edit?usp=share_link"",""พิษณุโลก!l431"")+IMPORTRANGE(""https://docs.google."&amp;"com/spreadsheets/d/1GfgTldLG6k77HXaMQzaafODklYuucJZQNs_GAPEfZyY/edit?usp=share_link"",""เพชรบูรณ์!l431"")+IMPORTRANGE(""https://docs.google.com/spreadsheets/d/1gvTMYAnm7v1yG1BKWFtr0DnaTsq59oW9dwWvFgq6hs0/edit?usp=share_link"",""แพร่!l431"")+IMPORTRANGE("""&amp;"https://docs.google.com/spreadsheets/d/1Wbcosgy-Xa1xXUArJSOenub6EfZHUSzc_bpJFWwQUf0/edit?usp=share_link"",""แม่ฮ่องสอน!l431"")+IMPORTRANGE(""https://docs.google.com/spreadsheets/d/1p7ERhsr0qZeSn-KSOdeHS9r0heI-lHtkcn2OH7hP0jQ/edit?usp=share_link"",""ลำปาง!"&amp;"l431"")+IMPORTRANGE(""https://docs.google.com/spreadsheets/d/1-uUXvimVhiU2U0bMN-xi2te0tS4X7DI2GLPnMjzl8cA/edit?usp=share_link"",""ลำพูน!l431"")+IMPORTRANGE(""https://docs.google.com/spreadsheets/d/17HrOaa5pBUI1onckFfumXB8xlg35qb2uBAFfF1D-Myo/edit?usp=shar"&amp;"e_link"",""สุโขทัย!l431"")+IMPORTRANGE(""https://docs.google.com/spreadsheets/d/1ubs5cl16eYL9gHbdHTJtmtYb9MGzHBs7CAphn8kNCgM/edit?usp=share_link"",""อุตรดิตถ์!l431"")+IMPORTRANGE(""https://docs.google.com/spreadsheets/d/1kII0BjS6CtVrBvI8IrytgPdxDrlyQDyigz"&amp;"MsohRtDMs/edit?usp=share_link"",""อุทัยธานี!l431"")
"),0)</f>
        <v>0</v>
      </c>
      <c r="M431" s="93">
        <v>0</v>
      </c>
      <c r="N431" s="93">
        <v>0</v>
      </c>
      <c r="O431" s="45">
        <f t="shared" ca="1" si="222"/>
        <v>0</v>
      </c>
      <c r="P431" s="45">
        <f t="shared" si="223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382"/>
      <c r="B432" s="383"/>
      <c r="C432" s="148" t="s">
        <v>16</v>
      </c>
      <c r="D432" s="543" t="s">
        <v>38</v>
      </c>
      <c r="E432" s="544"/>
      <c r="F432" s="544"/>
      <c r="G432" s="545"/>
      <c r="H432" s="546"/>
      <c r="I432" s="153"/>
      <c r="J432" s="153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86" t="s">
        <v>190</v>
      </c>
      <c r="E433" s="178"/>
      <c r="F433" s="178"/>
      <c r="G433" s="179"/>
      <c r="H433" s="196" t="s">
        <v>35</v>
      </c>
      <c r="I433" s="194">
        <f ca="1">I435</f>
        <v>630</v>
      </c>
      <c r="J433" s="194">
        <f ca="1">IFERROR(__xludf.DUMMYFUNCTION("IMPORTRANGE(""https://docs.google.com/spreadsheets/d/1KxicF4apzSqm0-jIpmueT4kyZtE-Cwn5zskl7GD4loQ/edit?usp=share_link"",""กำแพงเพชร!J433"")+IMPORTRANGE(""https://docs.google.com/spreadsheets/d/1ZNYWeiFoFA1K1U4xKWqRX29MBvEyRHXORjo734Gnq_c/edit?usp=share_li"&amp;"nk"",""เชียงราย!J433"")
+IMPORTRANGE(""https://docs.google.com/spreadsheets/d/1Jgv0Y7YlHDtsiDawwp-uvifEJ8HVaSn0k2aGHG8-hwM/edit?usp=share_link"",""เชียงใหม่!J433"")+IMPORTRANGE(""https://docs.google.com/spreadsheets/d/1JWG2rZePOz9pe-f-ObA-yDr0VoOX2kSb0qIi"&amp;"x2mTUo8/edit?usp=share_link"",""ตาก!J433"")+IMPORTRANGE(""https://docs.google.com/spreadsheets/d/10nSRjK08hx8Y6HgSOQKNw81lyY46Zc7U_Cj72hBMp9U/edit?usp=share_link"",""นครสวรรค์!J433"")+IMPORTRANGE(""https://docs.google.com/spreadsheets/d/1gFVb7qd7amutrIxAA"&amp;"oM7lcy35hllxznovot8lyOfvDo/edit?usp=share_link"",""น่าน!J433"")+IMPORTRANGE(""https://docs.google.com/spreadsheets/d/1K0Aa9s-6EuHE5M0FG1F9aHLXRCOV917xvycTdLdct0w/edit?usp=share_link"",""พะเยา!J433"")+IMPORTRANGE(""https://docs.google.com/spreadsheets/d/1Y"&amp;"9LPKx95PyL5OKy09d-KbKJSuuEZCFdkhYjwC0XQjBA/edit?usp=share_link"",""พิจิตร!J433"")+IMPORTRANGE(""https://docs.google.com/spreadsheets/d/16OMuOwy2eVqZcYWOouQtTpa8X1L23h4660uVHc0C8os/edit?usp=share_link"",""พิษณุโลก!J433"")+IMPORTRANGE(""https://docs.google."&amp;"com/spreadsheets/d/1GfgTldLG6k77HXaMQzaafODklYuucJZQNs_GAPEfZyY/edit?usp=share_link"",""เพชรบูรณ์!J433"")+IMPORTRANGE(""https://docs.google.com/spreadsheets/d/1gvTMYAnm7v1yG1BKWFtr0DnaTsq59oW9dwWvFgq6hs0/edit?usp=share_link"",""แพร่!J433"")+IMPORTRANGE("""&amp;"https://docs.google.com/spreadsheets/d/1Wbcosgy-Xa1xXUArJSOenub6EfZHUSzc_bpJFWwQUf0/edit?usp=share_link"",""แม่ฮ่องสอน!J433"")+IMPORTRANGE(""https://docs.google.com/spreadsheets/d/1p7ERhsr0qZeSn-KSOdeHS9r0heI-lHtkcn2OH7hP0jQ/edit?usp=share_link"",""ลำปาง!"&amp;"J433"")+IMPORTRANGE(""https://docs.google.com/spreadsheets/d/1-uUXvimVhiU2U0bMN-xi2te0tS4X7DI2GLPnMjzl8cA/edit?usp=share_link"",""ลำพูน!J433"")+IMPORTRANGE(""https://docs.google.com/spreadsheets/d/17HrOaa5pBUI1onckFfumXB8xlg35qb2uBAFfF1D-Myo/edit?usp=shar"&amp;"e_link"",""สุโขทัย!J433"")+IMPORTRANGE(""https://docs.google.com/spreadsheets/d/1ubs5cl16eYL9gHbdHTJtmtYb9MGzHBs7CAphn8kNCgM/edit?usp=share_link"",""อุตรดิตถ์!J433"")+IMPORTRANGE(""https://docs.google.com/spreadsheets/d/1kII0BjS6CtVrBvI8IrytgPdxDrlyQDyigz"&amp;"MsohRtDMs/edit?usp=share_link"",""อุทัยธานี!J433"")
"),20)</f>
        <v>20</v>
      </c>
      <c r="K433" s="195">
        <f t="shared" ref="K433:K435" ca="1" si="224">IF(I433&gt;0,J433*100/I433,0)</f>
        <v>3.1746031746031744</v>
      </c>
      <c r="L433" s="38"/>
      <c r="M433" s="38"/>
      <c r="N433" s="38"/>
      <c r="O433" s="38"/>
      <c r="P433" s="38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86" t="s">
        <v>191</v>
      </c>
      <c r="E434" s="178"/>
      <c r="F434" s="178"/>
      <c r="G434" s="179"/>
      <c r="H434" s="196" t="s">
        <v>49</v>
      </c>
      <c r="I434" s="194">
        <f t="shared" ref="I434:J434" ca="1" si="225">I438+I440</f>
        <v>24</v>
      </c>
      <c r="J434" s="194">
        <f t="shared" ca="1" si="225"/>
        <v>1</v>
      </c>
      <c r="K434" s="195">
        <f t="shared" ca="1" si="224"/>
        <v>4.166666666666667</v>
      </c>
      <c r="L434" s="38"/>
      <c r="M434" s="38"/>
      <c r="N434" s="38"/>
      <c r="O434" s="38"/>
      <c r="P434" s="38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181" t="s">
        <v>192</v>
      </c>
      <c r="E435" s="178"/>
      <c r="F435" s="178"/>
      <c r="G435" s="179"/>
      <c r="H435" s="36" t="s">
        <v>35</v>
      </c>
      <c r="I435" s="547">
        <f ca="1">IFERROR(__xludf.DUMMYFUNCTION("IMPORTRANGE(""https://docs.google.com/spreadsheets/d/1KxicF4apzSqm0-jIpmueT4kyZtE-Cwn5zskl7GD4loQ/edit?usp=share_link"",""กำแพงเพชร!I435"")+IMPORTRANGE(""https://docs.google.com/spreadsheets/d/1ZNYWeiFoFA1K1U4xKWqRX29MBvEyRHXORjo734Gnq_c/edit?usp=share_li"&amp;"nk"",""เชียงราย!I435"")
+IMPORTRANGE(""https://docs.google.com/spreadsheets/d/1Jgv0Y7YlHDtsiDawwp-uvifEJ8HVaSn0k2aGHG8-hwM/edit?usp=share_link"",""เชียงใหม่!I435"")+IMPORTRANGE(""https://docs.google.com/spreadsheets/d/1JWG2rZePOz9pe-f-ObA-yDr0VoOX2kSb0qIi"&amp;"x2mTUo8/edit?usp=share_link"",""ตาก!I435"")+IMPORTRANGE(""https://docs.google.com/spreadsheets/d/10nSRjK08hx8Y6HgSOQKNw81lyY46Zc7U_Cj72hBMp9U/edit?usp=share_link"",""นครสวรรค์!I435"")+IMPORTRANGE(""https://docs.google.com/spreadsheets/d/1gFVb7qd7amutrIxAA"&amp;"oM7lcy35hllxznovot8lyOfvDo/edit?usp=share_link"",""น่าน!I435"")+IMPORTRANGE(""https://docs.google.com/spreadsheets/d/1K0Aa9s-6EuHE5M0FG1F9aHLXRCOV917xvycTdLdct0w/edit?usp=share_link"",""พะเยา!I435"")+IMPORTRANGE(""https://docs.google.com/spreadsheets/d/1Y"&amp;"9LPKx95PyL5OKy09d-KbKJSuuEZCFdkhYjwC0XQjBA/edit?usp=share_link"",""พิจิตร!I435"")+IMPORTRANGE(""https://docs.google.com/spreadsheets/d/16OMuOwy2eVqZcYWOouQtTpa8X1L23h4660uVHc0C8os/edit?usp=share_link"",""พิษณุโลก!I435"")+IMPORTRANGE(""https://docs.google."&amp;"com/spreadsheets/d/1GfgTldLG6k77HXaMQzaafODklYuucJZQNs_GAPEfZyY/edit?usp=share_link"",""เพชรบูรณ์!I435"")+IMPORTRANGE(""https://docs.google.com/spreadsheets/d/1gvTMYAnm7v1yG1BKWFtr0DnaTsq59oW9dwWvFgq6hs0/edit?usp=share_link"",""แพร่!I435"")+IMPORTRANGE("""&amp;"https://docs.google.com/spreadsheets/d/1Wbcosgy-Xa1xXUArJSOenub6EfZHUSzc_bpJFWwQUf0/edit?usp=share_link"",""แม่ฮ่องสอน!I435"")+IMPORTRANGE(""https://docs.google.com/spreadsheets/d/1p7ERhsr0qZeSn-KSOdeHS9r0heI-lHtkcn2OH7hP0jQ/edit?usp=share_link"",""ลำปาง!"&amp;"I435"")+IMPORTRANGE(""https://docs.google.com/spreadsheets/d/1-uUXvimVhiU2U0bMN-xi2te0tS4X7DI2GLPnMjzl8cA/edit?usp=share_link"",""ลำพูน!I435"")+IMPORTRANGE(""https://docs.google.com/spreadsheets/d/17HrOaa5pBUI1onckFfumXB8xlg35qb2uBAFfF1D-Myo/edit?usp=shar"&amp;"e_link"",""สุโขทัย!I435"")+IMPORTRANGE(""https://docs.google.com/spreadsheets/d/1ubs5cl16eYL9gHbdHTJtmtYb9MGzHBs7CAphn8kNCgM/edit?usp=share_link"",""อุตรดิตถ์!I435"")+IMPORTRANGE(""https://docs.google.com/spreadsheets/d/1kII0BjS6CtVrBvI8IrytgPdxDrlyQDyigz"&amp;"MsohRtDMs/edit?usp=share_link"",""อุทัยธานี!I435"")
"),630)</f>
        <v>630</v>
      </c>
      <c r="J435" s="548">
        <f ca="1">IFERROR(__xludf.DUMMYFUNCTION("IMPORTRANGE(""https://docs.google.com/spreadsheets/d/1KxicF4apzSqm0-jIpmueT4kyZtE-Cwn5zskl7GD4loQ/edit?usp=share_link"",""กำแพงเพชร!J435"")+IMPORTRANGE(""https://docs.google.com/spreadsheets/d/1ZNYWeiFoFA1K1U4xKWqRX29MBvEyRHXORjo734Gnq_c/edit?usp=share_li"&amp;"nk"",""เชียงราย!J435"")
+IMPORTRANGE(""https://docs.google.com/spreadsheets/d/1Jgv0Y7YlHDtsiDawwp-uvifEJ8HVaSn0k2aGHG8-hwM/edit?usp=share_link"",""เชียงใหม่!J435"")+IMPORTRANGE(""https://docs.google.com/spreadsheets/d/1JWG2rZePOz9pe-f-ObA-yDr0VoOX2kSb0qIi"&amp;"x2mTUo8/edit?usp=share_link"",""ตาก!J435"")+IMPORTRANGE(""https://docs.google.com/spreadsheets/d/10nSRjK08hx8Y6HgSOQKNw81lyY46Zc7U_Cj72hBMp9U/edit?usp=share_link"",""นครสวรรค์!J435"")+IMPORTRANGE(""https://docs.google.com/spreadsheets/d/1gFVb7qd7amutrIxAA"&amp;"oM7lcy35hllxznovot8lyOfvDo/edit?usp=share_link"",""น่าน!J435"")+IMPORTRANGE(""https://docs.google.com/spreadsheets/d/1K0Aa9s-6EuHE5M0FG1F9aHLXRCOV917xvycTdLdct0w/edit?usp=share_link"",""พะเยา!J435"")+IMPORTRANGE(""https://docs.google.com/spreadsheets/d/1Y"&amp;"9LPKx95PyL5OKy09d-KbKJSuuEZCFdkhYjwC0XQjBA/edit?usp=share_link"",""พิจิตร!J435"")+IMPORTRANGE(""https://docs.google.com/spreadsheets/d/16OMuOwy2eVqZcYWOouQtTpa8X1L23h4660uVHc0C8os/edit?usp=share_link"",""พิษณุโลก!J435"")+IMPORTRANGE(""https://docs.google."&amp;"com/spreadsheets/d/1GfgTldLG6k77HXaMQzaafODklYuucJZQNs_GAPEfZyY/edit?usp=share_link"",""เพชรบูรณ์!J435"")+IMPORTRANGE(""https://docs.google.com/spreadsheets/d/1gvTMYAnm7v1yG1BKWFtr0DnaTsq59oW9dwWvFgq6hs0/edit?usp=share_link"",""แพร่!J435"")+IMPORTRANGE("""&amp;"https://docs.google.com/spreadsheets/d/1Wbcosgy-Xa1xXUArJSOenub6EfZHUSzc_bpJFWwQUf0/edit?usp=share_link"",""แม่ฮ่องสอน!J435"")+IMPORTRANGE(""https://docs.google.com/spreadsheets/d/1p7ERhsr0qZeSn-KSOdeHS9r0heI-lHtkcn2OH7hP0jQ/edit?usp=share_link"",""ลำปาง!"&amp;"J435"")+IMPORTRANGE(""https://docs.google.com/spreadsheets/d/1-uUXvimVhiU2U0bMN-xi2te0tS4X7DI2GLPnMjzl8cA/edit?usp=share_link"",""ลำพูน!J435"")+IMPORTRANGE(""https://docs.google.com/spreadsheets/d/17HrOaa5pBUI1onckFfumXB8xlg35qb2uBAFfF1D-Myo/edit?usp=shar"&amp;"e_link"",""สุโขทัย!J435"")+IMPORTRANGE(""https://docs.google.com/spreadsheets/d/1ubs5cl16eYL9gHbdHTJtmtYb9MGzHBs7CAphn8kNCgM/edit?usp=share_link"",""อุตรดิตถ์!J435"")+IMPORTRANGE(""https://docs.google.com/spreadsheets/d/1kII0BjS6CtVrBvI8IrytgPdxDrlyQDyigz"&amp;"MsohRtDMs/edit?usp=share_link"",""อุทัยธานี!J435"")
"),40)</f>
        <v>40</v>
      </c>
      <c r="K435" s="465">
        <f t="shared" ca="1" si="224"/>
        <v>6.3492063492063489</v>
      </c>
      <c r="L435" s="38"/>
      <c r="M435" s="38"/>
      <c r="N435" s="38"/>
      <c r="O435" s="38"/>
      <c r="P435" s="38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181" t="s">
        <v>193</v>
      </c>
      <c r="E436" s="178"/>
      <c r="F436" s="178"/>
      <c r="G436" s="179"/>
      <c r="H436" s="36"/>
      <c r="I436" s="37"/>
      <c r="J436" s="37"/>
      <c r="K436" s="38"/>
      <c r="L436" s="38"/>
      <c r="M436" s="38"/>
      <c r="N436" s="38"/>
      <c r="O436" s="38"/>
      <c r="P436" s="38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181" t="s">
        <v>194</v>
      </c>
      <c r="E437" s="178"/>
      <c r="F437" s="178"/>
      <c r="G437" s="179"/>
      <c r="H437" s="36" t="s">
        <v>35</v>
      </c>
      <c r="I437" s="547">
        <f ca="1">IFERROR(__xludf.DUMMYFUNCTION("IMPORTRANGE(""https://docs.google.com/spreadsheets/d/1KxicF4apzSqm0-jIpmueT4kyZtE-Cwn5zskl7GD4loQ/edit?usp=share_link"",""กำแพงเพชร!I437"")+IMPORTRANGE(""https://docs.google.com/spreadsheets/d/1ZNYWeiFoFA1K1U4xKWqRX29MBvEyRHXORjo734Gnq_c/edit?usp=share_li"&amp;"nk"",""เชียงราย!I437"")
+IMPORTRANGE(""https://docs.google.com/spreadsheets/d/1Jgv0Y7YlHDtsiDawwp-uvifEJ8HVaSn0k2aGHG8-hwM/edit?usp=share_link"",""เชียงใหม่!I437"")+IMPORTRANGE(""https://docs.google.com/spreadsheets/d/1JWG2rZePOz9pe-f-ObA-yDr0VoOX2kSb0qIi"&amp;"x2mTUo8/edit?usp=share_link"",""ตาก!I437"")+IMPORTRANGE(""https://docs.google.com/spreadsheets/d/10nSRjK08hx8Y6HgSOQKNw81lyY46Zc7U_Cj72hBMp9U/edit?usp=share_link"",""นครสวรรค์!I437"")+IMPORTRANGE(""https://docs.google.com/spreadsheets/d/1gFVb7qd7amutrIxAA"&amp;"oM7lcy35hllxznovot8lyOfvDo/edit?usp=share_link"",""น่าน!I437"")+IMPORTRANGE(""https://docs.google.com/spreadsheets/d/1K0Aa9s-6EuHE5M0FG1F9aHLXRCOV917xvycTdLdct0w/edit?usp=share_link"",""พะเยา!I437"")+IMPORTRANGE(""https://docs.google.com/spreadsheets/d/1Y"&amp;"9LPKx95PyL5OKy09d-KbKJSuuEZCFdkhYjwC0XQjBA/edit?usp=share_link"",""พิจิตร!I437"")+IMPORTRANGE(""https://docs.google.com/spreadsheets/d/16OMuOwy2eVqZcYWOouQtTpa8X1L23h4660uVHc0C8os/edit?usp=share_link"",""พิษณุโลก!I437"")+IMPORTRANGE(""https://docs.google."&amp;"com/spreadsheets/d/1GfgTldLG6k77HXaMQzaafODklYuucJZQNs_GAPEfZyY/edit?usp=share_link"",""เพชรบูรณ์!I437"")+IMPORTRANGE(""https://docs.google.com/spreadsheets/d/1gvTMYAnm7v1yG1BKWFtr0DnaTsq59oW9dwWvFgq6hs0/edit?usp=share_link"",""แพร่!I437"")+IMPORTRANGE("""&amp;"https://docs.google.com/spreadsheets/d/1Wbcosgy-Xa1xXUArJSOenub6EfZHUSzc_bpJFWwQUf0/edit?usp=share_link"",""แม่ฮ่องสอน!I437"")+IMPORTRANGE(""https://docs.google.com/spreadsheets/d/1p7ERhsr0qZeSn-KSOdeHS9r0heI-lHtkcn2OH7hP0jQ/edit?usp=share_link"",""ลำปาง!"&amp;"I437"")+IMPORTRANGE(""https://docs.google.com/spreadsheets/d/1-uUXvimVhiU2U0bMN-xi2te0tS4X7DI2GLPnMjzl8cA/edit?usp=share_link"",""ลำพูน!I437"")+IMPORTRANGE(""https://docs.google.com/spreadsheets/d/17HrOaa5pBUI1onckFfumXB8xlg35qb2uBAFfF1D-Myo/edit?usp=shar"&amp;"e_link"",""สุโขทัย!I437"")+IMPORTRANGE(""https://docs.google.com/spreadsheets/d/1ubs5cl16eYL9gHbdHTJtmtYb9MGzHBs7CAphn8kNCgM/edit?usp=share_link"",""อุตรดิตถ์!I437"")+IMPORTRANGE(""https://docs.google.com/spreadsheets/d/1kII0BjS6CtVrBvI8IrytgPdxDrlyQDyigz"&amp;"MsohRtDMs/edit?usp=share_link"",""อุทัยธานี!I437"")
"),280)</f>
        <v>280</v>
      </c>
      <c r="J437" s="548">
        <f ca="1">IFERROR(__xludf.DUMMYFUNCTION("IMPORTRANGE(""https://docs.google.com/spreadsheets/d/1KxicF4apzSqm0-jIpmueT4kyZtE-Cwn5zskl7GD4loQ/edit?usp=share_link"",""กำแพงเพชร!J437"")+IMPORTRANGE(""https://docs.google.com/spreadsheets/d/1ZNYWeiFoFA1K1U4xKWqRX29MBvEyRHXORjo734Gnq_c/edit?usp=share_li"&amp;"nk"",""เชียงราย!J437"")
+IMPORTRANGE(""https://docs.google.com/spreadsheets/d/1Jgv0Y7YlHDtsiDawwp-uvifEJ8HVaSn0k2aGHG8-hwM/edit?usp=share_link"",""เชียงใหม่!J437"")+IMPORTRANGE(""https://docs.google.com/spreadsheets/d/1JWG2rZePOz9pe-f-ObA-yDr0VoOX2kSb0qIi"&amp;"x2mTUo8/edit?usp=share_link"",""ตาก!J437"")+IMPORTRANGE(""https://docs.google.com/spreadsheets/d/10nSRjK08hx8Y6HgSOQKNw81lyY46Zc7U_Cj72hBMp9U/edit?usp=share_link"",""นครสวรรค์!J437"")+IMPORTRANGE(""https://docs.google.com/spreadsheets/d/1gFVb7qd7amutrIxAA"&amp;"oM7lcy35hllxznovot8lyOfvDo/edit?usp=share_link"",""น่าน!J437"")+IMPORTRANGE(""https://docs.google.com/spreadsheets/d/1K0Aa9s-6EuHE5M0FG1F9aHLXRCOV917xvycTdLdct0w/edit?usp=share_link"",""พะเยา!J437"")+IMPORTRANGE(""https://docs.google.com/spreadsheets/d/1Y"&amp;"9LPKx95PyL5OKy09d-KbKJSuuEZCFdkhYjwC0XQjBA/edit?usp=share_link"",""พิจิตร!J437"")+IMPORTRANGE(""https://docs.google.com/spreadsheets/d/16OMuOwy2eVqZcYWOouQtTpa8X1L23h4660uVHc0C8os/edit?usp=share_link"",""พิษณุโลก!J437"")+IMPORTRANGE(""https://docs.google."&amp;"com/spreadsheets/d/1GfgTldLG6k77HXaMQzaafODklYuucJZQNs_GAPEfZyY/edit?usp=share_link"",""เพชรบูรณ์!J437"")+IMPORTRANGE(""https://docs.google.com/spreadsheets/d/1gvTMYAnm7v1yG1BKWFtr0DnaTsq59oW9dwWvFgq6hs0/edit?usp=share_link"",""แพร่!J437"")+IMPORTRANGE("""&amp;"https://docs.google.com/spreadsheets/d/1Wbcosgy-Xa1xXUArJSOenub6EfZHUSzc_bpJFWwQUf0/edit?usp=share_link"",""แม่ฮ่องสอน!J437"")+IMPORTRANGE(""https://docs.google.com/spreadsheets/d/1p7ERhsr0qZeSn-KSOdeHS9r0heI-lHtkcn2OH7hP0jQ/edit?usp=share_link"",""ลำปาง!"&amp;"J437"")+IMPORTRANGE(""https://docs.google.com/spreadsheets/d/1-uUXvimVhiU2U0bMN-xi2te0tS4X7DI2GLPnMjzl8cA/edit?usp=share_link"",""ลำพูน!J437"")+IMPORTRANGE(""https://docs.google.com/spreadsheets/d/17HrOaa5pBUI1onckFfumXB8xlg35qb2uBAFfF1D-Myo/edit?usp=shar"&amp;"e_link"",""สุโขทัย!J437"")+IMPORTRANGE(""https://docs.google.com/spreadsheets/d/1ubs5cl16eYL9gHbdHTJtmtYb9MGzHBs7CAphn8kNCgM/edit?usp=share_link"",""อุตรดิตถ์!J437"")+IMPORTRANGE(""https://docs.google.com/spreadsheets/d/1kII0BjS6CtVrBvI8IrytgPdxDrlyQDyigz"&amp;"MsohRtDMs/edit?usp=share_link"",""อุทัยธานี!J437"")
"),0)</f>
        <v>0</v>
      </c>
      <c r="K437" s="465">
        <f t="shared" ref="K437:K443" ca="1" si="226">IF(I437&gt;0,J437*100/I437,0)</f>
        <v>0</v>
      </c>
      <c r="L437" s="38"/>
      <c r="M437" s="38"/>
      <c r="N437" s="38"/>
      <c r="O437" s="38"/>
      <c r="P437" s="38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181" t="s">
        <v>195</v>
      </c>
      <c r="E438" s="178"/>
      <c r="F438" s="178"/>
      <c r="G438" s="179"/>
      <c r="H438" s="36" t="s">
        <v>49</v>
      </c>
      <c r="I438" s="37">
        <f ca="1">IFERROR(__xludf.DUMMYFUNCTION("IMPORTRANGE(""https://docs.google.com/spreadsheets/d/1KxicF4apzSqm0-jIpmueT4kyZtE-Cwn5zskl7GD4loQ/edit?usp=share_link"",""กำแพงเพชร!I438"")+IMPORTRANGE(""https://docs.google.com/spreadsheets/d/1ZNYWeiFoFA1K1U4xKWqRX29MBvEyRHXORjo734Gnq_c/edit?usp=share_li"&amp;"nk"",""เชียงราย!I438"")
+IMPORTRANGE(""https://docs.google.com/spreadsheets/d/1Jgv0Y7YlHDtsiDawwp-uvifEJ8HVaSn0k2aGHG8-hwM/edit?usp=share_link"",""เชียงใหม่!I438"")+IMPORTRANGE(""https://docs.google.com/spreadsheets/d/1JWG2rZePOz9pe-f-ObA-yDr0VoOX2kSb0qIi"&amp;"x2mTUo8/edit?usp=share_link"",""ตาก!I438"")+IMPORTRANGE(""https://docs.google.com/spreadsheets/d/10nSRjK08hx8Y6HgSOQKNw81lyY46Zc7U_Cj72hBMp9U/edit?usp=share_link"",""นครสวรรค์!I438"")+IMPORTRANGE(""https://docs.google.com/spreadsheets/d/1gFVb7qd7amutrIxAA"&amp;"oM7lcy35hllxznovot8lyOfvDo/edit?usp=share_link"",""น่าน!I438"")+IMPORTRANGE(""https://docs.google.com/spreadsheets/d/1K0Aa9s-6EuHE5M0FG1F9aHLXRCOV917xvycTdLdct0w/edit?usp=share_link"",""พะเยา!I438"")+IMPORTRANGE(""https://docs.google.com/spreadsheets/d/1Y"&amp;"9LPKx95PyL5OKy09d-KbKJSuuEZCFdkhYjwC0XQjBA/edit?usp=share_link"",""พิจิตร!I438"")+IMPORTRANGE(""https://docs.google.com/spreadsheets/d/16OMuOwy2eVqZcYWOouQtTpa8X1L23h4660uVHc0C8os/edit?usp=share_link"",""พิษณุโลก!I438"")+IMPORTRANGE(""https://docs.google."&amp;"com/spreadsheets/d/1GfgTldLG6k77HXaMQzaafODklYuucJZQNs_GAPEfZyY/edit?usp=share_link"",""เพชรบูรณ์!I438"")+IMPORTRANGE(""https://docs.google.com/spreadsheets/d/1gvTMYAnm7v1yG1BKWFtr0DnaTsq59oW9dwWvFgq6hs0/edit?usp=share_link"",""แพร่!I438"")+IMPORTRANGE("""&amp;"https://docs.google.com/spreadsheets/d/1Wbcosgy-Xa1xXUArJSOenub6EfZHUSzc_bpJFWwQUf0/edit?usp=share_link"",""แม่ฮ่องสอน!I438"")+IMPORTRANGE(""https://docs.google.com/spreadsheets/d/1p7ERhsr0qZeSn-KSOdeHS9r0heI-lHtkcn2OH7hP0jQ/edit?usp=share_link"",""ลำปาง!"&amp;"I438"")+IMPORTRANGE(""https://docs.google.com/spreadsheets/d/1-uUXvimVhiU2U0bMN-xi2te0tS4X7DI2GLPnMjzl8cA/edit?usp=share_link"",""ลำพูน!I438"")+IMPORTRANGE(""https://docs.google.com/spreadsheets/d/17HrOaa5pBUI1onckFfumXB8xlg35qb2uBAFfF1D-Myo/edit?usp=shar"&amp;"e_link"",""สุโขทัย!I438"")+IMPORTRANGE(""https://docs.google.com/spreadsheets/d/1ubs5cl16eYL9gHbdHTJtmtYb9MGzHBs7CAphn8kNCgM/edit?usp=share_link"",""อุตรดิตถ์!I438"")+IMPORTRANGE(""https://docs.google.com/spreadsheets/d/1kII0BjS6CtVrBvI8IrytgPdxDrlyQDyigz"&amp;"MsohRtDMs/edit?usp=share_link"",""อุทัยธานี!I438"")
"),7)</f>
        <v>7</v>
      </c>
      <c r="J438" s="183">
        <f ca="1">IFERROR(__xludf.DUMMYFUNCTION("IMPORTRANGE(""https://docs.google.com/spreadsheets/d/1KxicF4apzSqm0-jIpmueT4kyZtE-Cwn5zskl7GD4loQ/edit?usp=share_link"",""กำแพงเพชร!J438"")+IMPORTRANGE(""https://docs.google.com/spreadsheets/d/1ZNYWeiFoFA1K1U4xKWqRX29MBvEyRHXORjo734Gnq_c/edit?usp=share_li"&amp;"nk"",""เชียงราย!J438"")
+IMPORTRANGE(""https://docs.google.com/spreadsheets/d/1Jgv0Y7YlHDtsiDawwp-uvifEJ8HVaSn0k2aGHG8-hwM/edit?usp=share_link"",""เชียงใหม่!J438"")+IMPORTRANGE(""https://docs.google.com/spreadsheets/d/1JWG2rZePOz9pe-f-ObA-yDr0VoOX2kSb0qIi"&amp;"x2mTUo8/edit?usp=share_link"",""ตาก!J438"")+IMPORTRANGE(""https://docs.google.com/spreadsheets/d/10nSRjK08hx8Y6HgSOQKNw81lyY46Zc7U_Cj72hBMp9U/edit?usp=share_link"",""นครสวรรค์!J438"")+IMPORTRANGE(""https://docs.google.com/spreadsheets/d/1gFVb7qd7amutrIxAA"&amp;"oM7lcy35hllxznovot8lyOfvDo/edit?usp=share_link"",""น่าน!J438"")+IMPORTRANGE(""https://docs.google.com/spreadsheets/d/1K0Aa9s-6EuHE5M0FG1F9aHLXRCOV917xvycTdLdct0w/edit?usp=share_link"",""พะเยา!J438"")+IMPORTRANGE(""https://docs.google.com/spreadsheets/d/1Y"&amp;"9LPKx95PyL5OKy09d-KbKJSuuEZCFdkhYjwC0XQjBA/edit?usp=share_link"",""พิจิตร!J438"")+IMPORTRANGE(""https://docs.google.com/spreadsheets/d/16OMuOwy2eVqZcYWOouQtTpa8X1L23h4660uVHc0C8os/edit?usp=share_link"",""พิษณุโลก!J438"")+IMPORTRANGE(""https://docs.google."&amp;"com/spreadsheets/d/1GfgTldLG6k77HXaMQzaafODklYuucJZQNs_GAPEfZyY/edit?usp=share_link"",""เพชรบูรณ์!J438"")+IMPORTRANGE(""https://docs.google.com/spreadsheets/d/1gvTMYAnm7v1yG1BKWFtr0DnaTsq59oW9dwWvFgq6hs0/edit?usp=share_link"",""แพร่!J438"")+IMPORTRANGE("""&amp;"https://docs.google.com/spreadsheets/d/1Wbcosgy-Xa1xXUArJSOenub6EfZHUSzc_bpJFWwQUf0/edit?usp=share_link"",""แม่ฮ่องสอน!J438"")+IMPORTRANGE(""https://docs.google.com/spreadsheets/d/1p7ERhsr0qZeSn-KSOdeHS9r0heI-lHtkcn2OH7hP0jQ/edit?usp=share_link"",""ลำปาง!"&amp;"J438"")+IMPORTRANGE(""https://docs.google.com/spreadsheets/d/1-uUXvimVhiU2U0bMN-xi2te0tS4X7DI2GLPnMjzl8cA/edit?usp=share_link"",""ลำพูน!J438"")+IMPORTRANGE(""https://docs.google.com/spreadsheets/d/17HrOaa5pBUI1onckFfumXB8xlg35qb2uBAFfF1D-Myo/edit?usp=shar"&amp;"e_link"",""สุโขทัย!J438"")+IMPORTRANGE(""https://docs.google.com/spreadsheets/d/1ubs5cl16eYL9gHbdHTJtmtYb9MGzHBs7CAphn8kNCgM/edit?usp=share_link"",""อุตรดิตถ์!J438"")+IMPORTRANGE(""https://docs.google.com/spreadsheets/d/1kII0BjS6CtVrBvI8IrytgPdxDrlyQDyigz"&amp;"MsohRtDMs/edit?usp=share_link"",""อุทัยธานี!J438"")
"),0)</f>
        <v>0</v>
      </c>
      <c r="K438" s="38">
        <f t="shared" ca="1" si="226"/>
        <v>0</v>
      </c>
      <c r="L438" s="38"/>
      <c r="M438" s="38"/>
      <c r="N438" s="38"/>
      <c r="O438" s="38"/>
      <c r="P438" s="38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181" t="s">
        <v>196</v>
      </c>
      <c r="E439" s="178"/>
      <c r="F439" s="178"/>
      <c r="G439" s="179"/>
      <c r="H439" s="36" t="s">
        <v>35</v>
      </c>
      <c r="I439" s="547">
        <f ca="1">IFERROR(__xludf.DUMMYFUNCTION("IMPORTRANGE(""https://docs.google.com/spreadsheets/d/1KxicF4apzSqm0-jIpmueT4kyZtE-Cwn5zskl7GD4loQ/edit?usp=share_link"",""กำแพงเพชร!I439"")+IMPORTRANGE(""https://docs.google.com/spreadsheets/d/1ZNYWeiFoFA1K1U4xKWqRX29MBvEyRHXORjo734Gnq_c/edit?usp=share_li"&amp;"nk"",""เชียงราย!I439"")
+IMPORTRANGE(""https://docs.google.com/spreadsheets/d/1Jgv0Y7YlHDtsiDawwp-uvifEJ8HVaSn0k2aGHG8-hwM/edit?usp=share_link"",""เชียงใหม่!I439"")+IMPORTRANGE(""https://docs.google.com/spreadsheets/d/1JWG2rZePOz9pe-f-ObA-yDr0VoOX2kSb0qIi"&amp;"x2mTUo8/edit?usp=share_link"",""ตาก!I439"")+IMPORTRANGE(""https://docs.google.com/spreadsheets/d/10nSRjK08hx8Y6HgSOQKNw81lyY46Zc7U_Cj72hBMp9U/edit?usp=share_link"",""นครสวรรค์!I439"")+IMPORTRANGE(""https://docs.google.com/spreadsheets/d/1gFVb7qd7amutrIxAA"&amp;"oM7lcy35hllxznovot8lyOfvDo/edit?usp=share_link"",""น่าน!I439"")+IMPORTRANGE(""https://docs.google.com/spreadsheets/d/1K0Aa9s-6EuHE5M0FG1F9aHLXRCOV917xvycTdLdct0w/edit?usp=share_link"",""พะเยา!I439"")+IMPORTRANGE(""https://docs.google.com/spreadsheets/d/1Y"&amp;"9LPKx95PyL5OKy09d-KbKJSuuEZCFdkhYjwC0XQjBA/edit?usp=share_link"",""พิจิตร!I439"")+IMPORTRANGE(""https://docs.google.com/spreadsheets/d/16OMuOwy2eVqZcYWOouQtTpa8X1L23h4660uVHc0C8os/edit?usp=share_link"",""พิษณุโลก!I439"")+IMPORTRANGE(""https://docs.google."&amp;"com/spreadsheets/d/1GfgTldLG6k77HXaMQzaafODklYuucJZQNs_GAPEfZyY/edit?usp=share_link"",""เพชรบูรณ์!I439"")+IMPORTRANGE(""https://docs.google.com/spreadsheets/d/1gvTMYAnm7v1yG1BKWFtr0DnaTsq59oW9dwWvFgq6hs0/edit?usp=share_link"",""แพร่!I439"")+IMPORTRANGE("""&amp;"https://docs.google.com/spreadsheets/d/1Wbcosgy-Xa1xXUArJSOenub6EfZHUSzc_bpJFWwQUf0/edit?usp=share_link"",""แม่ฮ่องสอน!I439"")+IMPORTRANGE(""https://docs.google.com/spreadsheets/d/1p7ERhsr0qZeSn-KSOdeHS9r0heI-lHtkcn2OH7hP0jQ/edit?usp=share_link"",""ลำปาง!"&amp;"I439"")+IMPORTRANGE(""https://docs.google.com/spreadsheets/d/1-uUXvimVhiU2U0bMN-xi2te0tS4X7DI2GLPnMjzl8cA/edit?usp=share_link"",""ลำพูน!I439"")+IMPORTRANGE(""https://docs.google.com/spreadsheets/d/17HrOaa5pBUI1onckFfumXB8xlg35qb2uBAFfF1D-Myo/edit?usp=shar"&amp;"e_link"",""สุโขทัย!I439"")+IMPORTRANGE(""https://docs.google.com/spreadsheets/d/1ubs5cl16eYL9gHbdHTJtmtYb9MGzHBs7CAphn8kNCgM/edit?usp=share_link"",""อุตรดิตถ์!I439"")+IMPORTRANGE(""https://docs.google.com/spreadsheets/d/1kII0BjS6CtVrBvI8IrytgPdxDrlyQDyigz"&amp;"MsohRtDMs/edit?usp=share_link"",""อุทัยธานี!I439"")
"),350)</f>
        <v>350</v>
      </c>
      <c r="J439" s="548">
        <f ca="1">IFERROR(__xludf.DUMMYFUNCTION("IMPORTRANGE(""https://docs.google.com/spreadsheets/d/1KxicF4apzSqm0-jIpmueT4kyZtE-Cwn5zskl7GD4loQ/edit?usp=share_link"",""กำแพงเพชร!J439"")+IMPORTRANGE(""https://docs.google.com/spreadsheets/d/1ZNYWeiFoFA1K1U4xKWqRX29MBvEyRHXORjo734Gnq_c/edit?usp=share_li"&amp;"nk"",""เชียงราย!J439"")
+IMPORTRANGE(""https://docs.google.com/spreadsheets/d/1Jgv0Y7YlHDtsiDawwp-uvifEJ8HVaSn0k2aGHG8-hwM/edit?usp=share_link"",""เชียงใหม่!J439"")+IMPORTRANGE(""https://docs.google.com/spreadsheets/d/1JWG2rZePOz9pe-f-ObA-yDr0VoOX2kSb0qIi"&amp;"x2mTUo8/edit?usp=share_link"",""ตาก!J439"")+IMPORTRANGE(""https://docs.google.com/spreadsheets/d/10nSRjK08hx8Y6HgSOQKNw81lyY46Zc7U_Cj72hBMp9U/edit?usp=share_link"",""นครสวรรค์!J439"")+IMPORTRANGE(""https://docs.google.com/spreadsheets/d/1gFVb7qd7amutrIxAA"&amp;"oM7lcy35hllxznovot8lyOfvDo/edit?usp=share_link"",""น่าน!J439"")+IMPORTRANGE(""https://docs.google.com/spreadsheets/d/1K0Aa9s-6EuHE5M0FG1F9aHLXRCOV917xvycTdLdct0w/edit?usp=share_link"",""พะเยา!J439"")+IMPORTRANGE(""https://docs.google.com/spreadsheets/d/1Y"&amp;"9LPKx95PyL5OKy09d-KbKJSuuEZCFdkhYjwC0XQjBA/edit?usp=share_link"",""พิจิตร!J439"")+IMPORTRANGE(""https://docs.google.com/spreadsheets/d/16OMuOwy2eVqZcYWOouQtTpa8X1L23h4660uVHc0C8os/edit?usp=share_link"",""พิษณุโลก!J439"")+IMPORTRANGE(""https://docs.google."&amp;"com/spreadsheets/d/1GfgTldLG6k77HXaMQzaafODklYuucJZQNs_GAPEfZyY/edit?usp=share_link"",""เพชรบูรณ์!J439"")+IMPORTRANGE(""https://docs.google.com/spreadsheets/d/1gvTMYAnm7v1yG1BKWFtr0DnaTsq59oW9dwWvFgq6hs0/edit?usp=share_link"",""แพร่!J439"")+IMPORTRANGE("""&amp;"https://docs.google.com/spreadsheets/d/1Wbcosgy-Xa1xXUArJSOenub6EfZHUSzc_bpJFWwQUf0/edit?usp=share_link"",""แม่ฮ่องสอน!J439"")+IMPORTRANGE(""https://docs.google.com/spreadsheets/d/1p7ERhsr0qZeSn-KSOdeHS9r0heI-lHtkcn2OH7hP0jQ/edit?usp=share_link"",""ลำปาง!"&amp;"J439"")+IMPORTRANGE(""https://docs.google.com/spreadsheets/d/1-uUXvimVhiU2U0bMN-xi2te0tS4X7DI2GLPnMjzl8cA/edit?usp=share_link"",""ลำพูน!J439"")+IMPORTRANGE(""https://docs.google.com/spreadsheets/d/17HrOaa5pBUI1onckFfumXB8xlg35qb2uBAFfF1D-Myo/edit?usp=shar"&amp;"e_link"",""สุโขทัย!J439"")+IMPORTRANGE(""https://docs.google.com/spreadsheets/d/1ubs5cl16eYL9gHbdHTJtmtYb9MGzHBs7CAphn8kNCgM/edit?usp=share_link"",""อุตรดิตถ์!J439"")+IMPORTRANGE(""https://docs.google.com/spreadsheets/d/1kII0BjS6CtVrBvI8IrytgPdxDrlyQDyigz"&amp;"MsohRtDMs/edit?usp=share_link"",""อุทัยธานี!J439"")
"),35)</f>
        <v>35</v>
      </c>
      <c r="K439" s="465">
        <f t="shared" ca="1" si="226"/>
        <v>10</v>
      </c>
      <c r="L439" s="38"/>
      <c r="M439" s="38"/>
      <c r="N439" s="38"/>
      <c r="O439" s="38"/>
      <c r="P439" s="38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181" t="s">
        <v>197</v>
      </c>
      <c r="E440" s="178"/>
      <c r="F440" s="178"/>
      <c r="G440" s="179"/>
      <c r="H440" s="36" t="s">
        <v>49</v>
      </c>
      <c r="I440" s="37">
        <f ca="1">IFERROR(__xludf.DUMMYFUNCTION("IMPORTRANGE(""https://docs.google.com/spreadsheets/d/1KxicF4apzSqm0-jIpmueT4kyZtE-Cwn5zskl7GD4loQ/edit?usp=share_link"",""กำแพงเพชร!I440"")+IMPORTRANGE(""https://docs.google.com/spreadsheets/d/1ZNYWeiFoFA1K1U4xKWqRX29MBvEyRHXORjo734Gnq_c/edit?usp=share_li"&amp;"nk"",""เชียงราย!I440"")
+IMPORTRANGE(""https://docs.google.com/spreadsheets/d/1Jgv0Y7YlHDtsiDawwp-uvifEJ8HVaSn0k2aGHG8-hwM/edit?usp=share_link"",""เชียงใหม่!I440"")+IMPORTRANGE(""https://docs.google.com/spreadsheets/d/1JWG2rZePOz9pe-f-ObA-yDr0VoOX2kSb0qIi"&amp;"x2mTUo8/edit?usp=share_link"",""ตาก!I440"")+IMPORTRANGE(""https://docs.google.com/spreadsheets/d/10nSRjK08hx8Y6HgSOQKNw81lyY46Zc7U_Cj72hBMp9U/edit?usp=share_link"",""นครสวรรค์!I440"")+IMPORTRANGE(""https://docs.google.com/spreadsheets/d/1gFVb7qd7amutrIxAA"&amp;"oM7lcy35hllxznovot8lyOfvDo/edit?usp=share_link"",""น่าน!I440"")+IMPORTRANGE(""https://docs.google.com/spreadsheets/d/1K0Aa9s-6EuHE5M0FG1F9aHLXRCOV917xvycTdLdct0w/edit?usp=share_link"",""พะเยา!I440"")+IMPORTRANGE(""https://docs.google.com/spreadsheets/d/1Y"&amp;"9LPKx95PyL5OKy09d-KbKJSuuEZCFdkhYjwC0XQjBA/edit?usp=share_link"",""พิจิตร!I440"")+IMPORTRANGE(""https://docs.google.com/spreadsheets/d/16OMuOwy2eVqZcYWOouQtTpa8X1L23h4660uVHc0C8os/edit?usp=share_link"",""พิษณุโลก!I440"")+IMPORTRANGE(""https://docs.google."&amp;"com/spreadsheets/d/1GfgTldLG6k77HXaMQzaafODklYuucJZQNs_GAPEfZyY/edit?usp=share_link"",""เพชรบูรณ์!I440"")+IMPORTRANGE(""https://docs.google.com/spreadsheets/d/1gvTMYAnm7v1yG1BKWFtr0DnaTsq59oW9dwWvFgq6hs0/edit?usp=share_link"",""แพร่!I440"")+IMPORTRANGE("""&amp;"https://docs.google.com/spreadsheets/d/1Wbcosgy-Xa1xXUArJSOenub6EfZHUSzc_bpJFWwQUf0/edit?usp=share_link"",""แม่ฮ่องสอน!I440"")+IMPORTRANGE(""https://docs.google.com/spreadsheets/d/1p7ERhsr0qZeSn-KSOdeHS9r0heI-lHtkcn2OH7hP0jQ/edit?usp=share_link"",""ลำปาง!"&amp;"I440"")+IMPORTRANGE(""https://docs.google.com/spreadsheets/d/1-uUXvimVhiU2U0bMN-xi2te0tS4X7DI2GLPnMjzl8cA/edit?usp=share_link"",""ลำพูน!I440"")+IMPORTRANGE(""https://docs.google.com/spreadsheets/d/17HrOaa5pBUI1onckFfumXB8xlg35qb2uBAFfF1D-Myo/edit?usp=shar"&amp;"e_link"",""สุโขทัย!I440"")+IMPORTRANGE(""https://docs.google.com/spreadsheets/d/1ubs5cl16eYL9gHbdHTJtmtYb9MGzHBs7CAphn8kNCgM/edit?usp=share_link"",""อุตรดิตถ์!I440"")+IMPORTRANGE(""https://docs.google.com/spreadsheets/d/1kII0BjS6CtVrBvI8IrytgPdxDrlyQDyigz"&amp;"MsohRtDMs/edit?usp=share_link"",""อุทัยธานี!I440"")
"),17)</f>
        <v>17</v>
      </c>
      <c r="J440" s="183">
        <f ca="1">IFERROR(__xludf.DUMMYFUNCTION("IMPORTRANGE(""https://docs.google.com/spreadsheets/d/1KxicF4apzSqm0-jIpmueT4kyZtE-Cwn5zskl7GD4loQ/edit?usp=share_link"",""กำแพงเพชร!J440"")+IMPORTRANGE(""https://docs.google.com/spreadsheets/d/1ZNYWeiFoFA1K1U4xKWqRX29MBvEyRHXORjo734Gnq_c/edit?usp=share_li"&amp;"nk"",""เชียงราย!J440"")
+IMPORTRANGE(""https://docs.google.com/spreadsheets/d/1Jgv0Y7YlHDtsiDawwp-uvifEJ8HVaSn0k2aGHG8-hwM/edit?usp=share_link"",""เชียงใหม่!J440"")+IMPORTRANGE(""https://docs.google.com/spreadsheets/d/1JWG2rZePOz9pe-f-ObA-yDr0VoOX2kSb0qIi"&amp;"x2mTUo8/edit?usp=share_link"",""ตาก!J440"")+IMPORTRANGE(""https://docs.google.com/spreadsheets/d/10nSRjK08hx8Y6HgSOQKNw81lyY46Zc7U_Cj72hBMp9U/edit?usp=share_link"",""นครสวรรค์!J440"")+IMPORTRANGE(""https://docs.google.com/spreadsheets/d/1gFVb7qd7amutrIxAA"&amp;"oM7lcy35hllxznovot8lyOfvDo/edit?usp=share_link"",""น่าน!J440"")+IMPORTRANGE(""https://docs.google.com/spreadsheets/d/1K0Aa9s-6EuHE5M0FG1F9aHLXRCOV917xvycTdLdct0w/edit?usp=share_link"",""พะเยา!J440"")+IMPORTRANGE(""https://docs.google.com/spreadsheets/d/1Y"&amp;"9LPKx95PyL5OKy09d-KbKJSuuEZCFdkhYjwC0XQjBA/edit?usp=share_link"",""พิจิตร!J440"")+IMPORTRANGE(""https://docs.google.com/spreadsheets/d/16OMuOwy2eVqZcYWOouQtTpa8X1L23h4660uVHc0C8os/edit?usp=share_link"",""พิษณุโลก!J440"")+IMPORTRANGE(""https://docs.google."&amp;"com/spreadsheets/d/1GfgTldLG6k77HXaMQzaafODklYuucJZQNs_GAPEfZyY/edit?usp=share_link"",""เพชรบูรณ์!J440"")+IMPORTRANGE(""https://docs.google.com/spreadsheets/d/1gvTMYAnm7v1yG1BKWFtr0DnaTsq59oW9dwWvFgq6hs0/edit?usp=share_link"",""แพร่!J440"")+IMPORTRANGE("""&amp;"https://docs.google.com/spreadsheets/d/1Wbcosgy-Xa1xXUArJSOenub6EfZHUSzc_bpJFWwQUf0/edit?usp=share_link"",""แม่ฮ่องสอน!J440"")+IMPORTRANGE(""https://docs.google.com/spreadsheets/d/1p7ERhsr0qZeSn-KSOdeHS9r0heI-lHtkcn2OH7hP0jQ/edit?usp=share_link"",""ลำปาง!"&amp;"J440"")+IMPORTRANGE(""https://docs.google.com/spreadsheets/d/1-uUXvimVhiU2U0bMN-xi2te0tS4X7DI2GLPnMjzl8cA/edit?usp=share_link"",""ลำพูน!J440"")+IMPORTRANGE(""https://docs.google.com/spreadsheets/d/17HrOaa5pBUI1onckFfumXB8xlg35qb2uBAFfF1D-Myo/edit?usp=shar"&amp;"e_link"",""สุโขทัย!J440"")+IMPORTRANGE(""https://docs.google.com/spreadsheets/d/1ubs5cl16eYL9gHbdHTJtmtYb9MGzHBs7CAphn8kNCgM/edit?usp=share_link"",""อุตรดิตถ์!J440"")+IMPORTRANGE(""https://docs.google.com/spreadsheets/d/1kII0BjS6CtVrBvI8IrytgPdxDrlyQDyigz"&amp;"MsohRtDMs/edit?usp=share_link"",""อุทัยธานี!J440"")
"),1)</f>
        <v>1</v>
      </c>
      <c r="K440" s="38">
        <f t="shared" ca="1" si="226"/>
        <v>5.882352941176471</v>
      </c>
      <c r="L440" s="38"/>
      <c r="M440" s="38"/>
      <c r="N440" s="38"/>
      <c r="O440" s="38"/>
      <c r="P440" s="38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>
      <c r="A441" s="170"/>
      <c r="B441" s="171"/>
      <c r="C441" s="171"/>
      <c r="D441" s="181" t="s">
        <v>198</v>
      </c>
      <c r="E441" s="178"/>
      <c r="F441" s="178"/>
      <c r="G441" s="179"/>
      <c r="H441" s="36" t="s">
        <v>35</v>
      </c>
      <c r="I441" s="37">
        <f ca="1">IFERROR(__xludf.DUMMYFUNCTION("IMPORTRANGE(""https://docs.google.com/spreadsheets/d/1KxicF4apzSqm0-jIpmueT4kyZtE-Cwn5zskl7GD4loQ/edit?usp=share_link"",""กำแพงเพชร!I441"")+IMPORTRANGE(""https://docs.google.com/spreadsheets/d/1ZNYWeiFoFA1K1U4xKWqRX29MBvEyRHXORjo734Gnq_c/edit?usp=share_li"&amp;"nk"",""เชียงราย!I441"")
+IMPORTRANGE(""https://docs.google.com/spreadsheets/d/1Jgv0Y7YlHDtsiDawwp-uvifEJ8HVaSn0k2aGHG8-hwM/edit?usp=share_link"",""เชียงใหม่!I441"")+IMPORTRANGE(""https://docs.google.com/spreadsheets/d/1JWG2rZePOz9pe-f-ObA-yDr0VoOX2kSb0qIi"&amp;"x2mTUo8/edit?usp=share_link"",""ตาก!I441"")+IMPORTRANGE(""https://docs.google.com/spreadsheets/d/10nSRjK08hx8Y6HgSOQKNw81lyY46Zc7U_Cj72hBMp9U/edit?usp=share_link"",""นครสวรรค์!I441"")+IMPORTRANGE(""https://docs.google.com/spreadsheets/d/1gFVb7qd7amutrIxAA"&amp;"oM7lcy35hllxznovot8lyOfvDo/edit?usp=share_link"",""น่าน!I441"")+IMPORTRANGE(""https://docs.google.com/spreadsheets/d/1K0Aa9s-6EuHE5M0FG1F9aHLXRCOV917xvycTdLdct0w/edit?usp=share_link"",""พะเยา!I441"")+IMPORTRANGE(""https://docs.google.com/spreadsheets/d/1Y"&amp;"9LPKx95PyL5OKy09d-KbKJSuuEZCFdkhYjwC0XQjBA/edit?usp=share_link"",""พิจิตร!I441"")+IMPORTRANGE(""https://docs.google.com/spreadsheets/d/16OMuOwy2eVqZcYWOouQtTpa8X1L23h4660uVHc0C8os/edit?usp=share_link"",""พิษณุโลก!I441"")+IMPORTRANGE(""https://docs.google."&amp;"com/spreadsheets/d/1GfgTldLG6k77HXaMQzaafODklYuucJZQNs_GAPEfZyY/edit?usp=share_link"",""เพชรบูรณ์!I441"")+IMPORTRANGE(""https://docs.google.com/spreadsheets/d/1gvTMYAnm7v1yG1BKWFtr0DnaTsq59oW9dwWvFgq6hs0/edit?usp=share_link"",""แพร่!I441"")+IMPORTRANGE("""&amp;"https://docs.google.com/spreadsheets/d/1Wbcosgy-Xa1xXUArJSOenub6EfZHUSzc_bpJFWwQUf0/edit?usp=share_link"",""แม่ฮ่องสอน!I441"")+IMPORTRANGE(""https://docs.google.com/spreadsheets/d/1p7ERhsr0qZeSn-KSOdeHS9r0heI-lHtkcn2OH7hP0jQ/edit?usp=share_link"",""ลำปาง!"&amp;"I441"")+IMPORTRANGE(""https://docs.google.com/spreadsheets/d/1-uUXvimVhiU2U0bMN-xi2te0tS4X7DI2GLPnMjzl8cA/edit?usp=share_link"",""ลำพูน!I441"")+IMPORTRANGE(""https://docs.google.com/spreadsheets/d/17HrOaa5pBUI1onckFfumXB8xlg35qb2uBAFfF1D-Myo/edit?usp=shar"&amp;"e_link"",""สุโขทัย!I441"")+IMPORTRANGE(""https://docs.google.com/spreadsheets/d/1ubs5cl16eYL9gHbdHTJtmtYb9MGzHBs7CAphn8kNCgM/edit?usp=share_link"",""อุตรดิตถ์!I441"")+IMPORTRANGE(""https://docs.google.com/spreadsheets/d/1kII0BjS6CtVrBvI8IrytgPdxDrlyQDyigz"&amp;"MsohRtDMs/edit?usp=share_link"",""อุทัยธานี!I441"")
"),0)</f>
        <v>0</v>
      </c>
      <c r="J441" s="269">
        <v>0</v>
      </c>
      <c r="K441" s="38">
        <f t="shared" ca="1" si="226"/>
        <v>0</v>
      </c>
      <c r="L441" s="38"/>
      <c r="M441" s="38"/>
      <c r="N441" s="38"/>
      <c r="O441" s="38"/>
      <c r="P441" s="38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49">
        <v>2</v>
      </c>
      <c r="B442" s="550" t="s">
        <v>199</v>
      </c>
      <c r="C442" s="551"/>
      <c r="D442" s="551"/>
      <c r="E442" s="551"/>
      <c r="F442" s="551"/>
      <c r="G442" s="552"/>
      <c r="H442" s="553" t="s">
        <v>35</v>
      </c>
      <c r="I442" s="554">
        <f t="shared" ref="I442:J442" ca="1" si="227">I460</f>
        <v>860</v>
      </c>
      <c r="J442" s="554">
        <f t="shared" ca="1" si="227"/>
        <v>160</v>
      </c>
      <c r="K442" s="555">
        <f t="shared" ca="1" si="226"/>
        <v>18.604651162790699</v>
      </c>
      <c r="L442" s="556"/>
      <c r="M442" s="556"/>
      <c r="N442" s="556"/>
      <c r="O442" s="556"/>
      <c r="P442" s="556"/>
      <c r="Q442" s="541"/>
      <c r="R442" s="541"/>
      <c r="S442" s="541"/>
      <c r="T442" s="541"/>
      <c r="U442" s="541"/>
      <c r="V442" s="541"/>
      <c r="W442" s="541"/>
      <c r="X442" s="541"/>
      <c r="Y442" s="541"/>
      <c r="Z442" s="541"/>
    </row>
    <row r="443" spans="1:26" ht="19.5">
      <c r="A443" s="557"/>
      <c r="B443" s="558"/>
      <c r="C443" s="559"/>
      <c r="D443" s="559"/>
      <c r="E443" s="559"/>
      <c r="F443" s="559"/>
      <c r="G443" s="560"/>
      <c r="H443" s="531" t="s">
        <v>46</v>
      </c>
      <c r="I443" s="532">
        <f t="shared" ref="I443:J443" ca="1" si="228">I462</f>
        <v>2205</v>
      </c>
      <c r="J443" s="532">
        <f t="shared" ca="1" si="228"/>
        <v>575</v>
      </c>
      <c r="K443" s="533">
        <f t="shared" ca="1" si="226"/>
        <v>26.077097505668934</v>
      </c>
      <c r="L443" s="534"/>
      <c r="M443" s="534"/>
      <c r="N443" s="534"/>
      <c r="O443" s="534"/>
      <c r="P443" s="534"/>
      <c r="Q443" s="541"/>
      <c r="R443" s="541"/>
      <c r="S443" s="541"/>
      <c r="T443" s="541"/>
      <c r="U443" s="541"/>
      <c r="V443" s="541"/>
      <c r="W443" s="541"/>
      <c r="X443" s="541"/>
      <c r="Y443" s="541"/>
      <c r="Z443" s="541"/>
    </row>
    <row r="444" spans="1:26" ht="19.5">
      <c r="A444" s="561"/>
      <c r="B444" s="539"/>
      <c r="C444" s="539" t="s">
        <v>16</v>
      </c>
      <c r="D444" s="811" t="s">
        <v>17</v>
      </c>
      <c r="E444" s="805"/>
      <c r="F444" s="805"/>
      <c r="G444" s="189"/>
      <c r="H444" s="562" t="s">
        <v>12</v>
      </c>
      <c r="I444" s="37"/>
      <c r="J444" s="37"/>
      <c r="K444" s="38"/>
      <c r="L444" s="195">
        <f t="shared" ref="L444:N444" ca="1" si="229">L445+L446</f>
        <v>5795820</v>
      </c>
      <c r="M444" s="195">
        <f t="shared" si="229"/>
        <v>0</v>
      </c>
      <c r="N444" s="195">
        <f t="shared" ca="1" si="229"/>
        <v>138100</v>
      </c>
      <c r="O444" s="195">
        <f t="shared" ref="O444:O449" ca="1" si="230">IF(L444&gt;0,N444*100/L444,0)</f>
        <v>2.3827517072648909</v>
      </c>
      <c r="P444" s="195">
        <f t="shared" ref="P444:P449" si="231">IF(M444&gt;0,N444*100/M444,0)</f>
        <v>0</v>
      </c>
      <c r="Q444" s="541"/>
      <c r="R444" s="541"/>
      <c r="S444" s="541"/>
      <c r="T444" s="541"/>
      <c r="U444" s="541"/>
      <c r="V444" s="541"/>
      <c r="W444" s="541"/>
      <c r="X444" s="541"/>
      <c r="Y444" s="541"/>
      <c r="Z444" s="541"/>
    </row>
    <row r="445" spans="1:26" ht="18.75" hidden="1">
      <c r="A445" s="563"/>
      <c r="B445" s="564"/>
      <c r="C445" s="564"/>
      <c r="D445" s="565"/>
      <c r="E445" s="566" t="s">
        <v>184</v>
      </c>
      <c r="F445" s="564"/>
      <c r="G445" s="567"/>
      <c r="H445" s="165" t="s">
        <v>12</v>
      </c>
      <c r="I445" s="44"/>
      <c r="J445" s="44"/>
      <c r="K445" s="45"/>
      <c r="L445" s="45">
        <f t="shared" ref="L445:N445" si="232">L448+L455</f>
        <v>0</v>
      </c>
      <c r="M445" s="45">
        <f t="shared" si="232"/>
        <v>0</v>
      </c>
      <c r="N445" s="45">
        <f t="shared" si="232"/>
        <v>0</v>
      </c>
      <c r="O445" s="45">
        <f t="shared" si="230"/>
        <v>0</v>
      </c>
      <c r="P445" s="45">
        <f t="shared" si="231"/>
        <v>0</v>
      </c>
      <c r="Q445" s="568"/>
      <c r="R445" s="568"/>
      <c r="S445" s="568"/>
      <c r="T445" s="568"/>
      <c r="U445" s="568"/>
      <c r="V445" s="568"/>
      <c r="W445" s="568"/>
      <c r="X445" s="568"/>
      <c r="Y445" s="568"/>
      <c r="Z445" s="568"/>
    </row>
    <row r="446" spans="1:26" ht="18.75" hidden="1">
      <c r="A446" s="563"/>
      <c r="B446" s="569"/>
      <c r="C446" s="564"/>
      <c r="D446" s="565"/>
      <c r="E446" s="566" t="s">
        <v>185</v>
      </c>
      <c r="F446" s="564"/>
      <c r="G446" s="567"/>
      <c r="H446" s="165" t="s">
        <v>12</v>
      </c>
      <c r="I446" s="44"/>
      <c r="J446" s="44"/>
      <c r="K446" s="45"/>
      <c r="L446" s="45">
        <f t="shared" ref="L446:N446" ca="1" si="233">L449+L456</f>
        <v>5795820</v>
      </c>
      <c r="M446" s="45">
        <f t="shared" si="233"/>
        <v>0</v>
      </c>
      <c r="N446" s="45">
        <f t="shared" ca="1" si="233"/>
        <v>138100</v>
      </c>
      <c r="O446" s="45">
        <f t="shared" ca="1" si="230"/>
        <v>2.3827517072648909</v>
      </c>
      <c r="P446" s="45">
        <f t="shared" si="231"/>
        <v>0</v>
      </c>
      <c r="Q446" s="568"/>
      <c r="R446" s="568"/>
      <c r="S446" s="568"/>
      <c r="T446" s="568"/>
      <c r="U446" s="568"/>
      <c r="V446" s="568"/>
      <c r="W446" s="568"/>
      <c r="X446" s="568"/>
      <c r="Y446" s="568"/>
      <c r="Z446" s="568"/>
    </row>
    <row r="447" spans="1:26" ht="18.75">
      <c r="A447" s="561"/>
      <c r="B447" s="538"/>
      <c r="C447" s="539"/>
      <c r="D447" s="570" t="s">
        <v>20</v>
      </c>
      <c r="E447" s="539"/>
      <c r="F447" s="539"/>
      <c r="G447" s="189"/>
      <c r="H447" s="161" t="s">
        <v>12</v>
      </c>
      <c r="I447" s="162"/>
      <c r="J447" s="162"/>
      <c r="K447" s="163"/>
      <c r="L447" s="38">
        <f t="shared" ref="L447:N447" ca="1" si="234">L448+L449</f>
        <v>5795820</v>
      </c>
      <c r="M447" s="38">
        <f t="shared" si="234"/>
        <v>0</v>
      </c>
      <c r="N447" s="38">
        <f t="shared" ca="1" si="234"/>
        <v>138100</v>
      </c>
      <c r="O447" s="38">
        <f t="shared" ca="1" si="230"/>
        <v>2.3827517072648909</v>
      </c>
      <c r="P447" s="38">
        <f t="shared" si="231"/>
        <v>0</v>
      </c>
      <c r="Q447" s="541"/>
      <c r="R447" s="541"/>
      <c r="S447" s="541"/>
      <c r="T447" s="541"/>
      <c r="U447" s="541"/>
      <c r="V447" s="541"/>
      <c r="W447" s="541"/>
      <c r="X447" s="541"/>
      <c r="Y447" s="541"/>
      <c r="Z447" s="541"/>
    </row>
    <row r="448" spans="1:26" ht="18.75" hidden="1">
      <c r="A448" s="563"/>
      <c r="B448" s="569"/>
      <c r="C448" s="564"/>
      <c r="D448" s="565"/>
      <c r="E448" s="566" t="s">
        <v>184</v>
      </c>
      <c r="F448" s="564"/>
      <c r="G448" s="567"/>
      <c r="H448" s="165" t="s">
        <v>12</v>
      </c>
      <c r="I448" s="44"/>
      <c r="J448" s="44"/>
      <c r="K448" s="45"/>
      <c r="L448" s="93">
        <v>0</v>
      </c>
      <c r="M448" s="93">
        <v>0</v>
      </c>
      <c r="N448" s="93">
        <v>0</v>
      </c>
      <c r="O448" s="45">
        <f t="shared" si="230"/>
        <v>0</v>
      </c>
      <c r="P448" s="45">
        <f t="shared" si="231"/>
        <v>0</v>
      </c>
      <c r="Q448" s="568"/>
      <c r="R448" s="568"/>
      <c r="S448" s="568"/>
      <c r="T448" s="568"/>
      <c r="U448" s="568"/>
      <c r="V448" s="568"/>
      <c r="W448" s="568"/>
      <c r="X448" s="568"/>
      <c r="Y448" s="568"/>
      <c r="Z448" s="568"/>
    </row>
    <row r="449" spans="1:26" ht="18.75" hidden="1">
      <c r="A449" s="563"/>
      <c r="B449" s="569"/>
      <c r="C449" s="564"/>
      <c r="D449" s="565"/>
      <c r="E449" s="566" t="s">
        <v>185</v>
      </c>
      <c r="F449" s="564"/>
      <c r="G449" s="567"/>
      <c r="H449" s="165" t="s">
        <v>12</v>
      </c>
      <c r="I449" s="44"/>
      <c r="J449" s="44"/>
      <c r="K449" s="45"/>
      <c r="L449" s="45">
        <f ca="1">IFERROR(__xludf.DUMMYFUNCTION("IMPORTRANGE(""https://docs.google.com/spreadsheets/d/1KxicF4apzSqm0-jIpmueT4kyZtE-Cwn5zskl7GD4loQ/edit?usp=share_link"",""กำแพงเพชร!l449"")+IMPORTRANGE(""https://docs.google.com/spreadsheets/d/1ZNYWeiFoFA1K1U4xKWqRX29MBvEyRHXORjo734Gnq_c/edit?usp=share_li"&amp;"nk"",""เชียงราย!l449"")
+IMPORTRANGE(""https://docs.google.com/spreadsheets/d/1Jgv0Y7YlHDtsiDawwp-uvifEJ8HVaSn0k2aGHG8-hwM/edit?usp=share_link"",""เชียงใหม่!l449"")+IMPORTRANGE(""https://docs.google.com/spreadsheets/d/1JWG2rZePOz9pe-f-ObA-yDr0VoOX2kSb0qIi"&amp;"x2mTUo8/edit?usp=share_link"",""ตาก!l449"")+IMPORTRANGE(""https://docs.google.com/spreadsheets/d/10nSRjK08hx8Y6HgSOQKNw81lyY46Zc7U_Cj72hBMp9U/edit?usp=share_link"",""นครสวรรค์!l449"")+IMPORTRANGE(""https://docs.google.com/spreadsheets/d/1gFVb7qd7amutrIxAA"&amp;"oM7lcy35hllxznovot8lyOfvDo/edit?usp=share_link"",""น่าน!l449"")+IMPORTRANGE(""https://docs.google.com/spreadsheets/d/1K0Aa9s-6EuHE5M0FG1F9aHLXRCOV917xvycTdLdct0w/edit?usp=share_link"",""พะเยา!l449"")+IMPORTRANGE(""https://docs.google.com/spreadsheets/d/1Y"&amp;"9LPKx95PyL5OKy09d-KbKJSuuEZCFdkhYjwC0XQjBA/edit?usp=share_link"",""พิจิตร!l449"")+IMPORTRANGE(""https://docs.google.com/spreadsheets/d/16OMuOwy2eVqZcYWOouQtTpa8X1L23h4660uVHc0C8os/edit?usp=share_link"",""พิษณุโลก!l449"")+IMPORTRANGE(""https://docs.google."&amp;"com/spreadsheets/d/1GfgTldLG6k77HXaMQzaafODklYuucJZQNs_GAPEfZyY/edit?usp=share_link"",""เพชรบูรณ์!l449"")+IMPORTRANGE(""https://docs.google.com/spreadsheets/d/1gvTMYAnm7v1yG1BKWFtr0DnaTsq59oW9dwWvFgq6hs0/edit?usp=share_link"",""แพร่!l449"")+IMPORTRANGE("""&amp;"https://docs.google.com/spreadsheets/d/1Wbcosgy-Xa1xXUArJSOenub6EfZHUSzc_bpJFWwQUf0/edit?usp=share_link"",""แม่ฮ่องสอน!l449"")+IMPORTRANGE(""https://docs.google.com/spreadsheets/d/1p7ERhsr0qZeSn-KSOdeHS9r0heI-lHtkcn2OH7hP0jQ/edit?usp=share_link"",""ลำปาง!"&amp;"l449"")+IMPORTRANGE(""https://docs.google.com/spreadsheets/d/1-uUXvimVhiU2U0bMN-xi2te0tS4X7DI2GLPnMjzl8cA/edit?usp=share_link"",""ลำพูน!l449"")+IMPORTRANGE(""https://docs.google.com/spreadsheets/d/17HrOaa5pBUI1onckFfumXB8xlg35qb2uBAFfF1D-Myo/edit?usp=shar"&amp;"e_link"",""สุโขทัย!l449"")+IMPORTRANGE(""https://docs.google.com/spreadsheets/d/1ubs5cl16eYL9gHbdHTJtmtYb9MGzHBs7CAphn8kNCgM/edit?usp=share_link"",""อุตรดิตถ์!l449"")+IMPORTRANGE(""https://docs.google.com/spreadsheets/d/1kII0BjS6CtVrBvI8IrytgPdxDrlyQDyigz"&amp;"MsohRtDMs/edit?usp=share_link"",""อุทัยธานี!l449"")
"),5795820)</f>
        <v>5795820</v>
      </c>
      <c r="M449" s="93">
        <v>0</v>
      </c>
      <c r="N449" s="45">
        <f ca="1">N450+N451+N452+N453</f>
        <v>138100</v>
      </c>
      <c r="O449" s="45">
        <f t="shared" ca="1" si="230"/>
        <v>2.3827517072648909</v>
      </c>
      <c r="P449" s="45">
        <f t="shared" si="231"/>
        <v>0</v>
      </c>
      <c r="Q449" s="568"/>
      <c r="R449" s="568"/>
      <c r="S449" s="568"/>
      <c r="T449" s="568"/>
      <c r="U449" s="568"/>
      <c r="V449" s="568"/>
      <c r="W449" s="568"/>
      <c r="X449" s="568"/>
      <c r="Y449" s="568"/>
      <c r="Z449" s="568"/>
    </row>
    <row r="450" spans="1:26" ht="18.75">
      <c r="A450" s="537"/>
      <c r="B450" s="538"/>
      <c r="C450" s="539"/>
      <c r="D450" s="539"/>
      <c r="E450" s="539"/>
      <c r="F450" s="540" t="s">
        <v>186</v>
      </c>
      <c r="G450" s="189"/>
      <c r="H450" s="161" t="s">
        <v>12</v>
      </c>
      <c r="I450" s="37"/>
      <c r="J450" s="37"/>
      <c r="K450" s="38"/>
      <c r="L450" s="38"/>
      <c r="M450" s="38"/>
      <c r="N450" s="282">
        <f ca="1">IFERROR(__xludf.DUMMYFUNCTION("IMPORTRANGE(""https://docs.google.com/spreadsheets/d/1KxicF4apzSqm0-jIpmueT4kyZtE-Cwn5zskl7GD4loQ/edit?usp=share_link"",""กำแพงเพชร!n450"")+IMPORTRANGE(""https://docs.google.com/spreadsheets/d/1ZNYWeiFoFA1K1U4xKWqRX29MBvEyRHXORjo734Gnq_c/edit?usp=share_li"&amp;"nk"",""เชียงราย!n450"")
+IMPORTRANGE(""https://docs.google.com/spreadsheets/d/1Jgv0Y7YlHDtsiDawwp-uvifEJ8HVaSn0k2aGHG8-hwM/edit?usp=share_link"",""เชียงใหม่!n450"")+IMPORTRANGE(""https://docs.google.com/spreadsheets/d/1JWG2rZePOz9pe-f-ObA-yDr0VoOX2kSb0qIi"&amp;"x2mTUo8/edit?usp=share_link"",""ตาก!n450"")+IMPORTRANGE(""https://docs.google.com/spreadsheets/d/10nSRjK08hx8Y6HgSOQKNw81lyY46Zc7U_Cj72hBMp9U/edit?usp=share_link"",""นครสวรรค์!n450"")+IMPORTRANGE(""https://docs.google.com/spreadsheets/d/1gFVb7qd7amutrIxAA"&amp;"oM7lcy35hllxznovot8lyOfvDo/edit?usp=share_link"",""น่าน!n450"")+IMPORTRANGE(""https://docs.google.com/spreadsheets/d/1K0Aa9s-6EuHE5M0FG1F9aHLXRCOV917xvycTdLdct0w/edit?usp=share_link"",""พะเยา!n450"")+IMPORTRANGE(""https://docs.google.com/spreadsheets/d/1Y"&amp;"9LPKx95PyL5OKy09d-KbKJSuuEZCFdkhYjwC0XQjBA/edit?usp=share_link"",""พิจิตร!n450"")+IMPORTRANGE(""https://docs.google.com/spreadsheets/d/16OMuOwy2eVqZcYWOouQtTpa8X1L23h4660uVHc0C8os/edit?usp=share_link"",""พิษณุโลก!n450"")+IMPORTRANGE(""https://docs.google."&amp;"com/spreadsheets/d/1GfgTldLG6k77HXaMQzaafODklYuucJZQNs_GAPEfZyY/edit?usp=share_link"",""เพชรบูรณ์!n450"")+IMPORTRANGE(""https://docs.google.com/spreadsheets/d/1gvTMYAnm7v1yG1BKWFtr0DnaTsq59oW9dwWvFgq6hs0/edit?usp=share_link"",""แพร่!n450"")+IMPORTRANGE("""&amp;"https://docs.google.com/spreadsheets/d/1Wbcosgy-Xa1xXUArJSOenub6EfZHUSzc_bpJFWwQUf0/edit?usp=share_link"",""แม่ฮ่องสอน!n450"")+IMPORTRANGE(""https://docs.google.com/spreadsheets/d/1p7ERhsr0qZeSn-KSOdeHS9r0heI-lHtkcn2OH7hP0jQ/edit?usp=share_link"",""ลำปาง!"&amp;"n450"")+IMPORTRANGE(""https://docs.google.com/spreadsheets/d/1-uUXvimVhiU2U0bMN-xi2te0tS4X7DI2GLPnMjzl8cA/edit?usp=share_link"",""ลำพูน!n450"")+IMPORTRANGE(""https://docs.google.com/spreadsheets/d/17HrOaa5pBUI1onckFfumXB8xlg35qb2uBAFfF1D-Myo/edit?usp=shar"&amp;"e_link"",""สุโขทัย!n450"")+IMPORTRANGE(""https://docs.google.com/spreadsheets/d/1ubs5cl16eYL9gHbdHTJtmtYb9MGzHBs7CAphn8kNCgM/edit?usp=share_link"",""อุตรดิตถ์!n450"")+IMPORTRANGE(""https://docs.google.com/spreadsheets/d/1kII0BjS6CtVrBvI8IrytgPdxDrlyQDyigz"&amp;"MsohRtDMs/edit?usp=share_link"",""อุทัยธานี!n450"")
"),97860)</f>
        <v>97860</v>
      </c>
      <c r="O450" s="38"/>
      <c r="P450" s="38"/>
      <c r="Q450" s="541"/>
      <c r="R450" s="541"/>
      <c r="S450" s="541"/>
      <c r="T450" s="541"/>
      <c r="U450" s="541"/>
      <c r="V450" s="541"/>
      <c r="W450" s="541"/>
      <c r="X450" s="541"/>
      <c r="Y450" s="541"/>
      <c r="Z450" s="541"/>
    </row>
    <row r="451" spans="1:26" ht="18.75">
      <c r="A451" s="537"/>
      <c r="B451" s="538"/>
      <c r="C451" s="539"/>
      <c r="D451" s="539"/>
      <c r="E451" s="539"/>
      <c r="F451" s="540" t="s">
        <v>187</v>
      </c>
      <c r="G451" s="189"/>
      <c r="H451" s="161" t="s">
        <v>12</v>
      </c>
      <c r="I451" s="37"/>
      <c r="J451" s="37"/>
      <c r="K451" s="38"/>
      <c r="L451" s="38"/>
      <c r="M451" s="38"/>
      <c r="N451" s="282">
        <f ca="1">IFERROR(__xludf.DUMMYFUNCTION("IMPORTRANGE(""https://docs.google.com/spreadsheets/d/1KxicF4apzSqm0-jIpmueT4kyZtE-Cwn5zskl7GD4loQ/edit?usp=share_link"",""กำแพงเพชร!n451"")+IMPORTRANGE(""https://docs.google.com/spreadsheets/d/1ZNYWeiFoFA1K1U4xKWqRX29MBvEyRHXORjo734Gnq_c/edit?usp=share_li"&amp;"nk"",""เชียงราย!n451"")
+IMPORTRANGE(""https://docs.google.com/spreadsheets/d/1Jgv0Y7YlHDtsiDawwp-uvifEJ8HVaSn0k2aGHG8-hwM/edit?usp=share_link"",""เชียงใหม่!n451"")+IMPORTRANGE(""https://docs.google.com/spreadsheets/d/1JWG2rZePOz9pe-f-ObA-yDr0VoOX2kSb0qIi"&amp;"x2mTUo8/edit?usp=share_link"",""ตาก!n451"")+IMPORTRANGE(""https://docs.google.com/spreadsheets/d/10nSRjK08hx8Y6HgSOQKNw81lyY46Zc7U_Cj72hBMp9U/edit?usp=share_link"",""นครสวรรค์!n451"")+IMPORTRANGE(""https://docs.google.com/spreadsheets/d/1gFVb7qd7amutrIxAA"&amp;"oM7lcy35hllxznovot8lyOfvDo/edit?usp=share_link"",""น่าน!n451"")+IMPORTRANGE(""https://docs.google.com/spreadsheets/d/1K0Aa9s-6EuHE5M0FG1F9aHLXRCOV917xvycTdLdct0w/edit?usp=share_link"",""พะเยา!n451"")+IMPORTRANGE(""https://docs.google.com/spreadsheets/d/1Y"&amp;"9LPKx95PyL5OKy09d-KbKJSuuEZCFdkhYjwC0XQjBA/edit?usp=share_link"",""พิจิตร!n451"")+IMPORTRANGE(""https://docs.google.com/spreadsheets/d/16OMuOwy2eVqZcYWOouQtTpa8X1L23h4660uVHc0C8os/edit?usp=share_link"",""พิษณุโลก!n451"")+IMPORTRANGE(""https://docs.google."&amp;"com/spreadsheets/d/1GfgTldLG6k77HXaMQzaafODklYuucJZQNs_GAPEfZyY/edit?usp=share_link"",""เพชรบูรณ์!n451"")+IMPORTRANGE(""https://docs.google.com/spreadsheets/d/1gvTMYAnm7v1yG1BKWFtr0DnaTsq59oW9dwWvFgq6hs0/edit?usp=share_link"",""แพร่!n451"")+IMPORTRANGE("""&amp;"https://docs.google.com/spreadsheets/d/1Wbcosgy-Xa1xXUArJSOenub6EfZHUSzc_bpJFWwQUf0/edit?usp=share_link"",""แม่ฮ่องสอน!n451"")+IMPORTRANGE(""https://docs.google.com/spreadsheets/d/1p7ERhsr0qZeSn-KSOdeHS9r0heI-lHtkcn2OH7hP0jQ/edit?usp=share_link"",""ลำปาง!"&amp;"n451"")+IMPORTRANGE(""https://docs.google.com/spreadsheets/d/1-uUXvimVhiU2U0bMN-xi2te0tS4X7DI2GLPnMjzl8cA/edit?usp=share_link"",""ลำพูน!n451"")+IMPORTRANGE(""https://docs.google.com/spreadsheets/d/17HrOaa5pBUI1onckFfumXB8xlg35qb2uBAFfF1D-Myo/edit?usp=shar"&amp;"e_link"",""สุโขทัย!n451"")+IMPORTRANGE(""https://docs.google.com/spreadsheets/d/1ubs5cl16eYL9gHbdHTJtmtYb9MGzHBs7CAphn8kNCgM/edit?usp=share_link"",""อุตรดิตถ์!n451"")+IMPORTRANGE(""https://docs.google.com/spreadsheets/d/1kII0BjS6CtVrBvI8IrytgPdxDrlyQDyigz"&amp;"MsohRtDMs/edit?usp=share_link"",""อุทัยธานี!n451"")
"),0)</f>
        <v>0</v>
      </c>
      <c r="O451" s="38"/>
      <c r="P451" s="38"/>
      <c r="Q451" s="541"/>
      <c r="R451" s="541"/>
      <c r="S451" s="541"/>
      <c r="T451" s="541"/>
      <c r="U451" s="541"/>
      <c r="V451" s="541"/>
      <c r="W451" s="541"/>
      <c r="X451" s="541"/>
      <c r="Y451" s="541"/>
      <c r="Z451" s="541"/>
    </row>
    <row r="452" spans="1:26" ht="18.75">
      <c r="A452" s="537"/>
      <c r="B452" s="538"/>
      <c r="C452" s="538"/>
      <c r="D452" s="538"/>
      <c r="E452" s="538"/>
      <c r="F452" s="540" t="s">
        <v>188</v>
      </c>
      <c r="G452" s="189"/>
      <c r="H452" s="161" t="s">
        <v>12</v>
      </c>
      <c r="I452" s="37"/>
      <c r="J452" s="37"/>
      <c r="K452" s="38"/>
      <c r="L452" s="38"/>
      <c r="M452" s="38"/>
      <c r="N452" s="282">
        <f ca="1">IFERROR(__xludf.DUMMYFUNCTION("IMPORTRANGE(""https://docs.google.com/spreadsheets/d/1KxicF4apzSqm0-jIpmueT4kyZtE-Cwn5zskl7GD4loQ/edit?usp=share_link"",""กำแพงเพชร!n452"")+IMPORTRANGE(""https://docs.google.com/spreadsheets/d/1ZNYWeiFoFA1K1U4xKWqRX29MBvEyRHXORjo734Gnq_c/edit?usp=share_li"&amp;"nk"",""เชียงราย!n452"")
+IMPORTRANGE(""https://docs.google.com/spreadsheets/d/1Jgv0Y7YlHDtsiDawwp-uvifEJ8HVaSn0k2aGHG8-hwM/edit?usp=share_link"",""เชียงใหม่!n452"")+IMPORTRANGE(""https://docs.google.com/spreadsheets/d/1JWG2rZePOz9pe-f-ObA-yDr0VoOX2kSb0qIi"&amp;"x2mTUo8/edit?usp=share_link"",""ตาก!n452"")+IMPORTRANGE(""https://docs.google.com/spreadsheets/d/10nSRjK08hx8Y6HgSOQKNw81lyY46Zc7U_Cj72hBMp9U/edit?usp=share_link"",""นครสวรรค์!n452"")+IMPORTRANGE(""https://docs.google.com/spreadsheets/d/1gFVb7qd7amutrIxAA"&amp;"oM7lcy35hllxznovot8lyOfvDo/edit?usp=share_link"",""น่าน!n452"")+IMPORTRANGE(""https://docs.google.com/spreadsheets/d/1K0Aa9s-6EuHE5M0FG1F9aHLXRCOV917xvycTdLdct0w/edit?usp=share_link"",""พะเยา!n452"")+IMPORTRANGE(""https://docs.google.com/spreadsheets/d/1Y"&amp;"9LPKx95PyL5OKy09d-KbKJSuuEZCFdkhYjwC0XQjBA/edit?usp=share_link"",""พิจิตร!n452"")+IMPORTRANGE(""https://docs.google.com/spreadsheets/d/16OMuOwy2eVqZcYWOouQtTpa8X1L23h4660uVHc0C8os/edit?usp=share_link"",""พิษณุโลก!n452"")+IMPORTRANGE(""https://docs.google."&amp;"com/spreadsheets/d/1GfgTldLG6k77HXaMQzaafODklYuucJZQNs_GAPEfZyY/edit?usp=share_link"",""เพชรบูรณ์!n452"")+IMPORTRANGE(""https://docs.google.com/spreadsheets/d/1gvTMYAnm7v1yG1BKWFtr0DnaTsq59oW9dwWvFgq6hs0/edit?usp=share_link"",""แพร่!n452"")+IMPORTRANGE("""&amp;"https://docs.google.com/spreadsheets/d/1Wbcosgy-Xa1xXUArJSOenub6EfZHUSzc_bpJFWwQUf0/edit?usp=share_link"",""แม่ฮ่องสอน!n452"")+IMPORTRANGE(""https://docs.google.com/spreadsheets/d/1p7ERhsr0qZeSn-KSOdeHS9r0heI-lHtkcn2OH7hP0jQ/edit?usp=share_link"",""ลำปาง!"&amp;"n452"")+IMPORTRANGE(""https://docs.google.com/spreadsheets/d/1-uUXvimVhiU2U0bMN-xi2te0tS4X7DI2GLPnMjzl8cA/edit?usp=share_link"",""ลำพูน!n452"")+IMPORTRANGE(""https://docs.google.com/spreadsheets/d/17HrOaa5pBUI1onckFfumXB8xlg35qb2uBAFfF1D-Myo/edit?usp=shar"&amp;"e_link"",""สุโขทัย!n452"")+IMPORTRANGE(""https://docs.google.com/spreadsheets/d/1ubs5cl16eYL9gHbdHTJtmtYb9MGzHBs7CAphn8kNCgM/edit?usp=share_link"",""อุตรดิตถ์!n452"")+IMPORTRANGE(""https://docs.google.com/spreadsheets/d/1kII0BjS6CtVrBvI8IrytgPdxDrlyQDyigz"&amp;"MsohRtDMs/edit?usp=share_link"",""อุทัยธานี!n452"")
"),39000)</f>
        <v>39000</v>
      </c>
      <c r="O452" s="38"/>
      <c r="P452" s="38"/>
      <c r="Q452" s="541"/>
      <c r="R452" s="541"/>
      <c r="S452" s="541"/>
      <c r="T452" s="541"/>
      <c r="U452" s="541"/>
      <c r="V452" s="541"/>
      <c r="W452" s="541"/>
      <c r="X452" s="541"/>
      <c r="Y452" s="541"/>
      <c r="Z452" s="541"/>
    </row>
    <row r="453" spans="1:26" ht="18.75">
      <c r="A453" s="537"/>
      <c r="B453" s="538"/>
      <c r="C453" s="538"/>
      <c r="D453" s="538"/>
      <c r="E453" s="538"/>
      <c r="F453" s="540" t="s">
        <v>189</v>
      </c>
      <c r="G453" s="189"/>
      <c r="H453" s="161" t="s">
        <v>12</v>
      </c>
      <c r="I453" s="37"/>
      <c r="J453" s="37"/>
      <c r="K453" s="38"/>
      <c r="L453" s="38"/>
      <c r="M453" s="38"/>
      <c r="N453" s="282">
        <f ca="1">IFERROR(__xludf.DUMMYFUNCTION("IMPORTRANGE(""https://docs.google.com/spreadsheets/d/1KxicF4apzSqm0-jIpmueT4kyZtE-Cwn5zskl7GD4loQ/edit?usp=share_link"",""กำแพงเพชร!n453"")+IMPORTRANGE(""https://docs.google.com/spreadsheets/d/1ZNYWeiFoFA1K1U4xKWqRX29MBvEyRHXORjo734Gnq_c/edit?usp=share_li"&amp;"nk"",""เชียงราย!n453"")
+IMPORTRANGE(""https://docs.google.com/spreadsheets/d/1Jgv0Y7YlHDtsiDawwp-uvifEJ8HVaSn0k2aGHG8-hwM/edit?usp=share_link"",""เชียงใหม่!n453"")+IMPORTRANGE(""https://docs.google.com/spreadsheets/d/1JWG2rZePOz9pe-f-ObA-yDr0VoOX2kSb0qIi"&amp;"x2mTUo8/edit?usp=share_link"",""ตาก!n453"")+IMPORTRANGE(""https://docs.google.com/spreadsheets/d/10nSRjK08hx8Y6HgSOQKNw81lyY46Zc7U_Cj72hBMp9U/edit?usp=share_link"",""นครสวรรค์!n453"")+IMPORTRANGE(""https://docs.google.com/spreadsheets/d/1gFVb7qd7amutrIxAA"&amp;"oM7lcy35hllxznovot8lyOfvDo/edit?usp=share_link"",""น่าน!n453"")+IMPORTRANGE(""https://docs.google.com/spreadsheets/d/1K0Aa9s-6EuHE5M0FG1F9aHLXRCOV917xvycTdLdct0w/edit?usp=share_link"",""พะเยา!n453"")+IMPORTRANGE(""https://docs.google.com/spreadsheets/d/1Y"&amp;"9LPKx95PyL5OKy09d-KbKJSuuEZCFdkhYjwC0XQjBA/edit?usp=share_link"",""พิจิตร!n453"")+IMPORTRANGE(""https://docs.google.com/spreadsheets/d/16OMuOwy2eVqZcYWOouQtTpa8X1L23h4660uVHc0C8os/edit?usp=share_link"",""พิษณุโลก!n453"")+IMPORTRANGE(""https://docs.google."&amp;"com/spreadsheets/d/1GfgTldLG6k77HXaMQzaafODklYuucJZQNs_GAPEfZyY/edit?usp=share_link"",""เพชรบูรณ์!n453"")+IMPORTRANGE(""https://docs.google.com/spreadsheets/d/1gvTMYAnm7v1yG1BKWFtr0DnaTsq59oW9dwWvFgq6hs0/edit?usp=share_link"",""แพร่!n453"")+IMPORTRANGE("""&amp;"https://docs.google.com/spreadsheets/d/1Wbcosgy-Xa1xXUArJSOenub6EfZHUSzc_bpJFWwQUf0/edit?usp=share_link"",""แม่ฮ่องสอน!n453"")+IMPORTRANGE(""https://docs.google.com/spreadsheets/d/1p7ERhsr0qZeSn-KSOdeHS9r0heI-lHtkcn2OH7hP0jQ/edit?usp=share_link"",""ลำปาง!"&amp;"n453"")+IMPORTRANGE(""https://docs.google.com/spreadsheets/d/1-uUXvimVhiU2U0bMN-xi2te0tS4X7DI2GLPnMjzl8cA/edit?usp=share_link"",""ลำพูน!n453"")+IMPORTRANGE(""https://docs.google.com/spreadsheets/d/17HrOaa5pBUI1onckFfumXB8xlg35qb2uBAFfF1D-Myo/edit?usp=shar"&amp;"e_link"",""สุโขทัย!n453"")+IMPORTRANGE(""https://docs.google.com/spreadsheets/d/1ubs5cl16eYL9gHbdHTJtmtYb9MGzHBs7CAphn8kNCgM/edit?usp=share_link"",""อุตรดิตถ์!n453"")+IMPORTRANGE(""https://docs.google.com/spreadsheets/d/1kII0BjS6CtVrBvI8IrytgPdxDrlyQDyigz"&amp;"MsohRtDMs/edit?usp=share_link"",""อุทัยธานี!n453"")
"),1240)</f>
        <v>1240</v>
      </c>
      <c r="O453" s="38"/>
      <c r="P453" s="38"/>
      <c r="Q453" s="541"/>
      <c r="R453" s="541"/>
      <c r="S453" s="541"/>
      <c r="T453" s="541"/>
      <c r="U453" s="541"/>
      <c r="V453" s="541"/>
      <c r="W453" s="541"/>
      <c r="X453" s="541"/>
      <c r="Y453" s="541"/>
      <c r="Z453" s="541"/>
    </row>
    <row r="454" spans="1:26" ht="18.75">
      <c r="A454" s="561"/>
      <c r="B454" s="538"/>
      <c r="C454" s="538"/>
      <c r="D454" s="570" t="s">
        <v>21</v>
      </c>
      <c r="E454" s="538"/>
      <c r="F454" s="539"/>
      <c r="G454" s="189"/>
      <c r="H454" s="168" t="s">
        <v>12</v>
      </c>
      <c r="I454" s="162"/>
      <c r="J454" s="162"/>
      <c r="K454" s="163"/>
      <c r="L454" s="38">
        <f t="shared" ref="L454:N454" ca="1" si="235">L455+L456</f>
        <v>0</v>
      </c>
      <c r="M454" s="38">
        <f t="shared" si="235"/>
        <v>0</v>
      </c>
      <c r="N454" s="38">
        <f t="shared" si="235"/>
        <v>0</v>
      </c>
      <c r="O454" s="38">
        <f t="shared" ref="O454:O456" ca="1" si="236">IF(L454&gt;0,N454*100/L454,0)</f>
        <v>0</v>
      </c>
      <c r="P454" s="38">
        <f t="shared" ref="P454:P456" si="237">IF(M454&gt;0,N454*100/M454,0)</f>
        <v>0</v>
      </c>
      <c r="Q454" s="541"/>
      <c r="R454" s="541"/>
      <c r="S454" s="541"/>
      <c r="T454" s="541"/>
      <c r="U454" s="541"/>
      <c r="V454" s="541"/>
      <c r="W454" s="541"/>
      <c r="X454" s="541"/>
      <c r="Y454" s="541"/>
      <c r="Z454" s="541"/>
    </row>
    <row r="455" spans="1:26" ht="18.75" hidden="1">
      <c r="A455" s="563"/>
      <c r="B455" s="569"/>
      <c r="C455" s="569"/>
      <c r="D455" s="569"/>
      <c r="E455" s="571" t="s">
        <v>18</v>
      </c>
      <c r="F455" s="564"/>
      <c r="G455" s="567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45">
        <f t="shared" si="236"/>
        <v>0</v>
      </c>
      <c r="P455" s="45">
        <f t="shared" si="237"/>
        <v>0</v>
      </c>
      <c r="Q455" s="568"/>
      <c r="R455" s="568"/>
      <c r="S455" s="568"/>
      <c r="T455" s="568"/>
      <c r="U455" s="568"/>
      <c r="V455" s="568"/>
      <c r="W455" s="568"/>
      <c r="X455" s="568"/>
      <c r="Y455" s="568"/>
      <c r="Z455" s="568"/>
    </row>
    <row r="456" spans="1:26" ht="18.75" hidden="1">
      <c r="A456" s="563"/>
      <c r="B456" s="569"/>
      <c r="C456" s="569"/>
      <c r="D456" s="569"/>
      <c r="E456" s="571" t="s">
        <v>19</v>
      </c>
      <c r="F456" s="564"/>
      <c r="G456" s="567"/>
      <c r="H456" s="169" t="s">
        <v>12</v>
      </c>
      <c r="I456" s="166"/>
      <c r="J456" s="166"/>
      <c r="K456" s="167"/>
      <c r="L456" s="45">
        <f ca="1">IFERROR(__xludf.DUMMYFUNCTION("IMPORTRANGE(""https://docs.google.com/spreadsheets/d/1KxicF4apzSqm0-jIpmueT4kyZtE-Cwn5zskl7GD4loQ/edit?usp=share_link"",""กำแพงเพชร!l456"")+IMPORTRANGE(""https://docs.google.com/spreadsheets/d/1ZNYWeiFoFA1K1U4xKWqRX29MBvEyRHXORjo734Gnq_c/edit?usp=share_li"&amp;"nk"",""เชียงราย!l456"")
+IMPORTRANGE(""https://docs.google.com/spreadsheets/d/1Jgv0Y7YlHDtsiDawwp-uvifEJ8HVaSn0k2aGHG8-hwM/edit?usp=share_link"",""เชียงใหม่!l456"")+IMPORTRANGE(""https://docs.google.com/spreadsheets/d/1JWG2rZePOz9pe-f-ObA-yDr0VoOX2kSb0qIi"&amp;"x2mTUo8/edit?usp=share_link"",""ตาก!l456"")+IMPORTRANGE(""https://docs.google.com/spreadsheets/d/10nSRjK08hx8Y6HgSOQKNw81lyY46Zc7U_Cj72hBMp9U/edit?usp=share_link"",""นครสวรรค์!l456"")+IMPORTRANGE(""https://docs.google.com/spreadsheets/d/1gFVb7qd7amutrIxAA"&amp;"oM7lcy35hllxznovot8lyOfvDo/edit?usp=share_link"",""น่าน!l456"")+IMPORTRANGE(""https://docs.google.com/spreadsheets/d/1K0Aa9s-6EuHE5M0FG1F9aHLXRCOV917xvycTdLdct0w/edit?usp=share_link"",""พะเยา!l456"")+IMPORTRANGE(""https://docs.google.com/spreadsheets/d/1Y"&amp;"9LPKx95PyL5OKy09d-KbKJSuuEZCFdkhYjwC0XQjBA/edit?usp=share_link"",""พิจิตร!l456"")+IMPORTRANGE(""https://docs.google.com/spreadsheets/d/16OMuOwy2eVqZcYWOouQtTpa8X1L23h4660uVHc0C8os/edit?usp=share_link"",""พิษณุโลก!l456"")+IMPORTRANGE(""https://docs.google."&amp;"com/spreadsheets/d/1GfgTldLG6k77HXaMQzaafODklYuucJZQNs_GAPEfZyY/edit?usp=share_link"",""เพชรบูรณ์!l456"")+IMPORTRANGE(""https://docs.google.com/spreadsheets/d/1gvTMYAnm7v1yG1BKWFtr0DnaTsq59oW9dwWvFgq6hs0/edit?usp=share_link"",""แพร่!l456"")+IMPORTRANGE("""&amp;"https://docs.google.com/spreadsheets/d/1Wbcosgy-Xa1xXUArJSOenub6EfZHUSzc_bpJFWwQUf0/edit?usp=share_link"",""แม่ฮ่องสอน!l456"")+IMPORTRANGE(""https://docs.google.com/spreadsheets/d/1p7ERhsr0qZeSn-KSOdeHS9r0heI-lHtkcn2OH7hP0jQ/edit?usp=share_link"",""ลำปาง!"&amp;"l456"")+IMPORTRANGE(""https://docs.google.com/spreadsheets/d/1-uUXvimVhiU2U0bMN-xi2te0tS4X7DI2GLPnMjzl8cA/edit?usp=share_link"",""ลำพูน!l456"")+IMPORTRANGE(""https://docs.google.com/spreadsheets/d/17HrOaa5pBUI1onckFfumXB8xlg35qb2uBAFfF1D-Myo/edit?usp=shar"&amp;"e_link"",""สุโขทัย!l456"")+IMPORTRANGE(""https://docs.google.com/spreadsheets/d/1ubs5cl16eYL9gHbdHTJtmtYb9MGzHBs7CAphn8kNCgM/edit?usp=share_link"",""อุตรดิตถ์!l456"")+IMPORTRANGE(""https://docs.google.com/spreadsheets/d/1kII0BjS6CtVrBvI8IrytgPdxDrlyQDyigz"&amp;"MsohRtDMs/edit?usp=share_link"",""อุทัยธานี!l456"")
"),0)</f>
        <v>0</v>
      </c>
      <c r="M456" s="93">
        <v>0</v>
      </c>
      <c r="N456" s="93">
        <v>0</v>
      </c>
      <c r="O456" s="45">
        <f t="shared" ca="1" si="236"/>
        <v>0</v>
      </c>
      <c r="P456" s="45">
        <f t="shared" si="237"/>
        <v>0</v>
      </c>
      <c r="Q456" s="568"/>
      <c r="R456" s="568"/>
      <c r="S456" s="568"/>
      <c r="T456" s="568"/>
      <c r="U456" s="568"/>
      <c r="V456" s="568"/>
      <c r="W456" s="568"/>
      <c r="X456" s="568"/>
      <c r="Y456" s="568"/>
      <c r="Z456" s="568"/>
    </row>
    <row r="457" spans="1:26" ht="19.5">
      <c r="A457" s="572"/>
      <c r="B457" s="573"/>
      <c r="C457" s="538" t="s">
        <v>16</v>
      </c>
      <c r="D457" s="574" t="s">
        <v>38</v>
      </c>
      <c r="E457" s="575"/>
      <c r="F457" s="576"/>
      <c r="G457" s="577"/>
      <c r="H457" s="175"/>
      <c r="I457" s="37"/>
      <c r="J457" s="37"/>
      <c r="K457" s="38"/>
      <c r="L457" s="38"/>
      <c r="M457" s="38"/>
      <c r="N457" s="38"/>
      <c r="O457" s="38"/>
      <c r="P457" s="38"/>
      <c r="Q457" s="541"/>
      <c r="R457" s="541"/>
      <c r="S457" s="541"/>
      <c r="T457" s="541"/>
      <c r="U457" s="541"/>
      <c r="V457" s="541"/>
      <c r="W457" s="541"/>
      <c r="X457" s="541"/>
      <c r="Y457" s="541"/>
      <c r="Z457" s="541"/>
    </row>
    <row r="458" spans="1:26" ht="18.75" hidden="1">
      <c r="A458" s="578"/>
      <c r="B458" s="579"/>
      <c r="C458" s="579"/>
      <c r="D458" s="580" t="s">
        <v>200</v>
      </c>
      <c r="E458" s="579"/>
      <c r="F458" s="565"/>
      <c r="G458" s="581"/>
      <c r="H458" s="582" t="s">
        <v>35</v>
      </c>
      <c r="I458" s="583">
        <v>0</v>
      </c>
      <c r="J458" s="583">
        <v>0</v>
      </c>
      <c r="K458" s="45">
        <f>IF(I458&gt;0,J458*100/I458,0)</f>
        <v>0</v>
      </c>
      <c r="L458" s="45"/>
      <c r="M458" s="45"/>
      <c r="N458" s="45"/>
      <c r="O458" s="45"/>
      <c r="P458" s="45"/>
      <c r="Q458" s="568"/>
      <c r="R458" s="568"/>
      <c r="S458" s="568"/>
      <c r="T458" s="568"/>
      <c r="U458" s="568"/>
      <c r="V458" s="568"/>
      <c r="W458" s="568"/>
      <c r="X458" s="568"/>
      <c r="Y458" s="568"/>
      <c r="Z458" s="568"/>
    </row>
    <row r="459" spans="1:26" ht="18.75" hidden="1">
      <c r="A459" s="578"/>
      <c r="B459" s="579"/>
      <c r="C459" s="579"/>
      <c r="D459" s="580" t="s">
        <v>201</v>
      </c>
      <c r="E459" s="579"/>
      <c r="F459" s="565"/>
      <c r="G459" s="581"/>
      <c r="H459" s="582"/>
      <c r="I459" s="44"/>
      <c r="J459" s="44"/>
      <c r="K459" s="45"/>
      <c r="L459" s="45"/>
      <c r="M459" s="45"/>
      <c r="N459" s="45"/>
      <c r="O459" s="45"/>
      <c r="P459" s="45"/>
      <c r="Q459" s="568"/>
      <c r="R459" s="568"/>
      <c r="S459" s="568"/>
      <c r="T459" s="568"/>
      <c r="U459" s="568"/>
      <c r="V459" s="568"/>
      <c r="W459" s="568"/>
      <c r="X459" s="568"/>
      <c r="Y459" s="568"/>
      <c r="Z459" s="568"/>
    </row>
    <row r="460" spans="1:26" ht="18.75">
      <c r="A460" s="572"/>
      <c r="B460" s="573"/>
      <c r="C460" s="573"/>
      <c r="D460" s="584" t="s">
        <v>202</v>
      </c>
      <c r="E460" s="573"/>
      <c r="F460" s="585"/>
      <c r="G460" s="175"/>
      <c r="H460" s="182" t="s">
        <v>35</v>
      </c>
      <c r="I460" s="37">
        <f ca="1">IFERROR(__xludf.DUMMYFUNCTION("IMPORTRANGE(""https://docs.google.com/spreadsheets/d/1KxicF4apzSqm0-jIpmueT4kyZtE-Cwn5zskl7GD4loQ/edit?usp=share_link"",""กำแพงเพชร!I460"")+IMPORTRANGE(""https://docs.google.com/spreadsheets/d/1ZNYWeiFoFA1K1U4xKWqRX29MBvEyRHXORjo734Gnq_c/edit?usp=share_li"&amp;"nk"",""เชียงราย!I460"")
+IMPORTRANGE(""https://docs.google.com/spreadsheets/d/1Jgv0Y7YlHDtsiDawwp-uvifEJ8HVaSn0k2aGHG8-hwM/edit?usp=share_link"",""เชียงใหม่!I460"")+IMPORTRANGE(""https://docs.google.com/spreadsheets/d/1JWG2rZePOz9pe-f-ObA-yDr0VoOX2kSb0qIi"&amp;"x2mTUo8/edit?usp=share_link"",""ตาก!I460"")+IMPORTRANGE(""https://docs.google.com/spreadsheets/d/10nSRjK08hx8Y6HgSOQKNw81lyY46Zc7U_Cj72hBMp9U/edit?usp=share_link"",""นครสวรรค์!I460"")+IMPORTRANGE(""https://docs.google.com/spreadsheets/d/1gFVb7qd7amutrIxAA"&amp;"oM7lcy35hllxznovot8lyOfvDo/edit?usp=share_link"",""น่าน!I460"")+IMPORTRANGE(""https://docs.google.com/spreadsheets/d/1K0Aa9s-6EuHE5M0FG1F9aHLXRCOV917xvycTdLdct0w/edit?usp=share_link"",""พะเยา!I460"")+IMPORTRANGE(""https://docs.google.com/spreadsheets/d/1Y"&amp;"9LPKx95PyL5OKy09d-KbKJSuuEZCFdkhYjwC0XQjBA/edit?usp=share_link"",""พิจิตร!I460"")+IMPORTRANGE(""https://docs.google.com/spreadsheets/d/16OMuOwy2eVqZcYWOouQtTpa8X1L23h4660uVHc0C8os/edit?usp=share_link"",""พิษณุโลก!I460"")+IMPORTRANGE(""https://docs.google."&amp;"com/spreadsheets/d/1GfgTldLG6k77HXaMQzaafODklYuucJZQNs_GAPEfZyY/edit?usp=share_link"",""เพชรบูรณ์!I460"")+IMPORTRANGE(""https://docs.google.com/spreadsheets/d/1gvTMYAnm7v1yG1BKWFtr0DnaTsq59oW9dwWvFgq6hs0/edit?usp=share_link"",""แพร่!I460"")+IMPORTRANGE("""&amp;"https://docs.google.com/spreadsheets/d/1Wbcosgy-Xa1xXUArJSOenub6EfZHUSzc_bpJFWwQUf0/edit?usp=share_link"",""แม่ฮ่องสอน!I460"")+IMPORTRANGE(""https://docs.google.com/spreadsheets/d/1p7ERhsr0qZeSn-KSOdeHS9r0heI-lHtkcn2OH7hP0jQ/edit?usp=share_link"",""ลำปาง!"&amp;"I460"")+IMPORTRANGE(""https://docs.google.com/spreadsheets/d/1-uUXvimVhiU2U0bMN-xi2te0tS4X7DI2GLPnMjzl8cA/edit?usp=share_link"",""ลำพูน!I460"")+IMPORTRANGE(""https://docs.google.com/spreadsheets/d/17HrOaa5pBUI1onckFfumXB8xlg35qb2uBAFfF1D-Myo/edit?usp=shar"&amp;"e_link"",""สุโขทัย!I460"")+IMPORTRANGE(""https://docs.google.com/spreadsheets/d/1ubs5cl16eYL9gHbdHTJtmtYb9MGzHBs7CAphn8kNCgM/edit?usp=share_link"",""อุตรดิตถ์!I460"")+IMPORTRANGE(""https://docs.google.com/spreadsheets/d/1kII0BjS6CtVrBvI8IrytgPdxDrlyQDyigz"&amp;"MsohRtDMs/edit?usp=share_link"",""อุทัยธานี!I460"")
"),860)</f>
        <v>860</v>
      </c>
      <c r="J460" s="183">
        <f ca="1">IFERROR(__xludf.DUMMYFUNCTION("IMPORTRANGE(""https://docs.google.com/spreadsheets/d/1KxicF4apzSqm0-jIpmueT4kyZtE-Cwn5zskl7GD4loQ/edit?usp=share_link"",""กำแพงเพชร!J460"")+IMPORTRANGE(""https://docs.google.com/spreadsheets/d/1ZNYWeiFoFA1K1U4xKWqRX29MBvEyRHXORjo734Gnq_c/edit?usp=share_li"&amp;"nk"",""เชียงราย!J460"")
+IMPORTRANGE(""https://docs.google.com/spreadsheets/d/1Jgv0Y7YlHDtsiDawwp-uvifEJ8HVaSn0k2aGHG8-hwM/edit?usp=share_link"",""เชียงใหม่!J460"")+IMPORTRANGE(""https://docs.google.com/spreadsheets/d/1JWG2rZePOz9pe-f-ObA-yDr0VoOX2kSb0qIi"&amp;"x2mTUo8/edit?usp=share_link"",""ตาก!J460"")+IMPORTRANGE(""https://docs.google.com/spreadsheets/d/10nSRjK08hx8Y6HgSOQKNw81lyY46Zc7U_Cj72hBMp9U/edit?usp=share_link"",""นครสวรรค์!J460"")+IMPORTRANGE(""https://docs.google.com/spreadsheets/d/1gFVb7qd7amutrIxAA"&amp;"oM7lcy35hllxznovot8lyOfvDo/edit?usp=share_link"",""น่าน!J460"")+IMPORTRANGE(""https://docs.google.com/spreadsheets/d/1K0Aa9s-6EuHE5M0FG1F9aHLXRCOV917xvycTdLdct0w/edit?usp=share_link"",""พะเยา!J460"")+IMPORTRANGE(""https://docs.google.com/spreadsheets/d/1Y"&amp;"9LPKx95PyL5OKy09d-KbKJSuuEZCFdkhYjwC0XQjBA/edit?usp=share_link"",""พิจิตร!J460"")+IMPORTRANGE(""https://docs.google.com/spreadsheets/d/16OMuOwy2eVqZcYWOouQtTpa8X1L23h4660uVHc0C8os/edit?usp=share_link"",""พิษณุโลก!J460"")+IMPORTRANGE(""https://docs.google."&amp;"com/spreadsheets/d/1GfgTldLG6k77HXaMQzaafODklYuucJZQNs_GAPEfZyY/edit?usp=share_link"",""เพชรบูรณ์!J460"")+IMPORTRANGE(""https://docs.google.com/spreadsheets/d/1gvTMYAnm7v1yG1BKWFtr0DnaTsq59oW9dwWvFgq6hs0/edit?usp=share_link"",""แพร่!J460"")+IMPORTRANGE("""&amp;"https://docs.google.com/spreadsheets/d/1Wbcosgy-Xa1xXUArJSOenub6EfZHUSzc_bpJFWwQUf0/edit?usp=share_link"",""แม่ฮ่องสอน!J460"")+IMPORTRANGE(""https://docs.google.com/spreadsheets/d/1p7ERhsr0qZeSn-KSOdeHS9r0heI-lHtkcn2OH7hP0jQ/edit?usp=share_link"",""ลำปาง!"&amp;"J460"")+IMPORTRANGE(""https://docs.google.com/spreadsheets/d/1-uUXvimVhiU2U0bMN-xi2te0tS4X7DI2GLPnMjzl8cA/edit?usp=share_link"",""ลำพูน!J460"")+IMPORTRANGE(""https://docs.google.com/spreadsheets/d/17HrOaa5pBUI1onckFfumXB8xlg35qb2uBAFfF1D-Myo/edit?usp=shar"&amp;"e_link"",""สุโขทัย!J460"")+IMPORTRANGE(""https://docs.google.com/spreadsheets/d/1ubs5cl16eYL9gHbdHTJtmtYb9MGzHBs7CAphn8kNCgM/edit?usp=share_link"",""อุตรดิตถ์!J460"")+IMPORTRANGE(""https://docs.google.com/spreadsheets/d/1kII0BjS6CtVrBvI8IrytgPdxDrlyQDyigz"&amp;"MsohRtDMs/edit?usp=share_link"",""อุทัยธานี!J460"")
"),160)</f>
        <v>160</v>
      </c>
      <c r="K460" s="38">
        <f ca="1">IF(I460&gt;0,J460*100/I460,0)</f>
        <v>18.604651162790699</v>
      </c>
      <c r="L460" s="38"/>
      <c r="M460" s="38"/>
      <c r="N460" s="38"/>
      <c r="O460" s="38"/>
      <c r="P460" s="38"/>
      <c r="Q460" s="541"/>
      <c r="R460" s="541"/>
      <c r="S460" s="541"/>
      <c r="T460" s="541"/>
      <c r="U460" s="541"/>
      <c r="V460" s="541"/>
      <c r="W460" s="541"/>
      <c r="X460" s="541"/>
      <c r="Y460" s="541"/>
      <c r="Z460" s="541"/>
    </row>
    <row r="461" spans="1:26" ht="18.75">
      <c r="A461" s="572"/>
      <c r="B461" s="573"/>
      <c r="C461" s="573"/>
      <c r="D461" s="584" t="s">
        <v>203</v>
      </c>
      <c r="E461" s="585"/>
      <c r="F461" s="585"/>
      <c r="G461" s="175"/>
      <c r="H461" s="182"/>
      <c r="I461" s="37"/>
      <c r="J461" s="37"/>
      <c r="K461" s="38"/>
      <c r="L461" s="38"/>
      <c r="M461" s="38"/>
      <c r="N461" s="38"/>
      <c r="O461" s="38"/>
      <c r="P461" s="38"/>
      <c r="Q461" s="541"/>
      <c r="R461" s="541"/>
      <c r="S461" s="541"/>
      <c r="T461" s="541"/>
      <c r="U461" s="541"/>
      <c r="V461" s="541"/>
      <c r="W461" s="541"/>
      <c r="X461" s="541"/>
      <c r="Y461" s="541"/>
      <c r="Z461" s="541"/>
    </row>
    <row r="462" spans="1:26" ht="18.75">
      <c r="A462" s="572"/>
      <c r="B462" s="573"/>
      <c r="C462" s="573"/>
      <c r="D462" s="584" t="s">
        <v>204</v>
      </c>
      <c r="E462" s="585"/>
      <c r="F462" s="585"/>
      <c r="G462" s="175"/>
      <c r="H462" s="182" t="s">
        <v>46</v>
      </c>
      <c r="I462" s="37">
        <f ca="1">IFERROR(__xludf.DUMMYFUNCTION("IMPORTRANGE(""https://docs.google.com/spreadsheets/d/1KxicF4apzSqm0-jIpmueT4kyZtE-Cwn5zskl7GD4loQ/edit?usp=share_link"",""กำแพงเพชร!I462"")+IMPORTRANGE(""https://docs.google.com/spreadsheets/d/1ZNYWeiFoFA1K1U4xKWqRX29MBvEyRHXORjo734Gnq_c/edit?usp=share_li"&amp;"nk"",""เชียงราย!I462"")
+IMPORTRANGE(""https://docs.google.com/spreadsheets/d/1Jgv0Y7YlHDtsiDawwp-uvifEJ8HVaSn0k2aGHG8-hwM/edit?usp=share_link"",""เชียงใหม่!I462"")+IMPORTRANGE(""https://docs.google.com/spreadsheets/d/1JWG2rZePOz9pe-f-ObA-yDr0VoOX2kSb0qIi"&amp;"x2mTUo8/edit?usp=share_link"",""ตาก!I462"")+IMPORTRANGE(""https://docs.google.com/spreadsheets/d/10nSRjK08hx8Y6HgSOQKNw81lyY46Zc7U_Cj72hBMp9U/edit?usp=share_link"",""นครสวรรค์!I462"")+IMPORTRANGE(""https://docs.google.com/spreadsheets/d/1gFVb7qd7amutrIxAA"&amp;"oM7lcy35hllxznovot8lyOfvDo/edit?usp=share_link"",""น่าน!I462"")+IMPORTRANGE(""https://docs.google.com/spreadsheets/d/1K0Aa9s-6EuHE5M0FG1F9aHLXRCOV917xvycTdLdct0w/edit?usp=share_link"",""พะเยา!I462"")+IMPORTRANGE(""https://docs.google.com/spreadsheets/d/1Y"&amp;"9LPKx95PyL5OKy09d-KbKJSuuEZCFdkhYjwC0XQjBA/edit?usp=share_link"",""พิจิตร!I462"")+IMPORTRANGE(""https://docs.google.com/spreadsheets/d/16OMuOwy2eVqZcYWOouQtTpa8X1L23h4660uVHc0C8os/edit?usp=share_link"",""พิษณุโลก!I462"")+IMPORTRANGE(""https://docs.google."&amp;"com/spreadsheets/d/1GfgTldLG6k77HXaMQzaafODklYuucJZQNs_GAPEfZyY/edit?usp=share_link"",""เพชรบูรณ์!I462"")+IMPORTRANGE(""https://docs.google.com/spreadsheets/d/1gvTMYAnm7v1yG1BKWFtr0DnaTsq59oW9dwWvFgq6hs0/edit?usp=share_link"",""แพร่!I462"")+IMPORTRANGE("""&amp;"https://docs.google.com/spreadsheets/d/1Wbcosgy-Xa1xXUArJSOenub6EfZHUSzc_bpJFWwQUf0/edit?usp=share_link"",""แม่ฮ่องสอน!I462"")+IMPORTRANGE(""https://docs.google.com/spreadsheets/d/1p7ERhsr0qZeSn-KSOdeHS9r0heI-lHtkcn2OH7hP0jQ/edit?usp=share_link"",""ลำปาง!"&amp;"I462"")+IMPORTRANGE(""https://docs.google.com/spreadsheets/d/1-uUXvimVhiU2U0bMN-xi2te0tS4X7DI2GLPnMjzl8cA/edit?usp=share_link"",""ลำพูน!I462"")+IMPORTRANGE(""https://docs.google.com/spreadsheets/d/17HrOaa5pBUI1onckFfumXB8xlg35qb2uBAFfF1D-Myo/edit?usp=shar"&amp;"e_link"",""สุโขทัย!I462"")+IMPORTRANGE(""https://docs.google.com/spreadsheets/d/1ubs5cl16eYL9gHbdHTJtmtYb9MGzHBs7CAphn8kNCgM/edit?usp=share_link"",""อุตรดิตถ์!I462"")+IMPORTRANGE(""https://docs.google.com/spreadsheets/d/1kII0BjS6CtVrBvI8IrytgPdxDrlyQDyigz"&amp;"MsohRtDMs/edit?usp=share_link"",""อุทัยธานี!I462"")
"),2205)</f>
        <v>2205</v>
      </c>
      <c r="J462" s="183">
        <f ca="1">IFERROR(__xludf.DUMMYFUNCTION("IMPORTRANGE(""https://docs.google.com/spreadsheets/d/1KxicF4apzSqm0-jIpmueT4kyZtE-Cwn5zskl7GD4loQ/edit?usp=share_link"",""กำแพงเพชร!J462"")+IMPORTRANGE(""https://docs.google.com/spreadsheets/d/1ZNYWeiFoFA1K1U4xKWqRX29MBvEyRHXORjo734Gnq_c/edit?usp=share_li"&amp;"nk"",""เชียงราย!J462"")
+IMPORTRANGE(""https://docs.google.com/spreadsheets/d/1Jgv0Y7YlHDtsiDawwp-uvifEJ8HVaSn0k2aGHG8-hwM/edit?usp=share_link"",""เชียงใหม่!J462"")+IMPORTRANGE(""https://docs.google.com/spreadsheets/d/1JWG2rZePOz9pe-f-ObA-yDr0VoOX2kSb0qIi"&amp;"x2mTUo8/edit?usp=share_link"",""ตาก!J462"")+IMPORTRANGE(""https://docs.google.com/spreadsheets/d/10nSRjK08hx8Y6HgSOQKNw81lyY46Zc7U_Cj72hBMp9U/edit?usp=share_link"",""นครสวรรค์!J462"")+IMPORTRANGE(""https://docs.google.com/spreadsheets/d/1gFVb7qd7amutrIxAA"&amp;"oM7lcy35hllxznovot8lyOfvDo/edit?usp=share_link"",""น่าน!J462"")+IMPORTRANGE(""https://docs.google.com/spreadsheets/d/1K0Aa9s-6EuHE5M0FG1F9aHLXRCOV917xvycTdLdct0w/edit?usp=share_link"",""พะเยา!J462"")+IMPORTRANGE(""https://docs.google.com/spreadsheets/d/1Y"&amp;"9LPKx95PyL5OKy09d-KbKJSuuEZCFdkhYjwC0XQjBA/edit?usp=share_link"",""พิจิตร!J462"")+IMPORTRANGE(""https://docs.google.com/spreadsheets/d/16OMuOwy2eVqZcYWOouQtTpa8X1L23h4660uVHc0C8os/edit?usp=share_link"",""พิษณุโลก!J462"")+IMPORTRANGE(""https://docs.google."&amp;"com/spreadsheets/d/1GfgTldLG6k77HXaMQzaafODklYuucJZQNs_GAPEfZyY/edit?usp=share_link"",""เพชรบูรณ์!J462"")+IMPORTRANGE(""https://docs.google.com/spreadsheets/d/1gvTMYAnm7v1yG1BKWFtr0DnaTsq59oW9dwWvFgq6hs0/edit?usp=share_link"",""แพร่!J462"")+IMPORTRANGE("""&amp;"https://docs.google.com/spreadsheets/d/1Wbcosgy-Xa1xXUArJSOenub6EfZHUSzc_bpJFWwQUf0/edit?usp=share_link"",""แม่ฮ่องสอน!J462"")+IMPORTRANGE(""https://docs.google.com/spreadsheets/d/1p7ERhsr0qZeSn-KSOdeHS9r0heI-lHtkcn2OH7hP0jQ/edit?usp=share_link"",""ลำปาง!"&amp;"J462"")+IMPORTRANGE(""https://docs.google.com/spreadsheets/d/1-uUXvimVhiU2U0bMN-xi2te0tS4X7DI2GLPnMjzl8cA/edit?usp=share_link"",""ลำพูน!J462"")+IMPORTRANGE(""https://docs.google.com/spreadsheets/d/17HrOaa5pBUI1onckFfumXB8xlg35qb2uBAFfF1D-Myo/edit?usp=shar"&amp;"e_link"",""สุโขทัย!J462"")+IMPORTRANGE(""https://docs.google.com/spreadsheets/d/1ubs5cl16eYL9gHbdHTJtmtYb9MGzHBs7CAphn8kNCgM/edit?usp=share_link"",""อุตรดิตถ์!J462"")+IMPORTRANGE(""https://docs.google.com/spreadsheets/d/1kII0BjS6CtVrBvI8IrytgPdxDrlyQDyigz"&amp;"MsohRtDMs/edit?usp=share_link"",""อุทัยธานี!J462"")
"),575)</f>
        <v>575</v>
      </c>
      <c r="K462" s="38">
        <f ca="1">IF(I462&gt;0,J462*100/I462,0)</f>
        <v>26.077097505668934</v>
      </c>
      <c r="L462" s="38"/>
      <c r="M462" s="38"/>
      <c r="N462" s="38"/>
      <c r="O462" s="38"/>
      <c r="P462" s="38"/>
      <c r="Q462" s="541"/>
      <c r="R462" s="541"/>
      <c r="S462" s="541"/>
      <c r="T462" s="541"/>
      <c r="U462" s="541"/>
      <c r="V462" s="541"/>
      <c r="W462" s="541"/>
      <c r="X462" s="541"/>
      <c r="Y462" s="541"/>
      <c r="Z462" s="541"/>
    </row>
    <row r="463" spans="1:26" ht="18.75">
      <c r="A463" s="572"/>
      <c r="B463" s="573"/>
      <c r="C463" s="573"/>
      <c r="D463" s="584" t="s">
        <v>59</v>
      </c>
      <c r="E463" s="585"/>
      <c r="F463" s="539"/>
      <c r="G463" s="189"/>
      <c r="H463" s="182" t="s">
        <v>46</v>
      </c>
      <c r="I463" s="269">
        <f ca="1">IFERROR(__xludf.DUMMYFUNCTION("IMPORTRANGE(""https://docs.google.com/spreadsheets/d/1KxicF4apzSqm0-jIpmueT4kyZtE-Cwn5zskl7GD4loQ/edit?usp=share_link"",""กำแพงเพชร!I463"")+IMPORTRANGE(""https://docs.google.com/spreadsheets/d/1ZNYWeiFoFA1K1U4xKWqRX29MBvEyRHXORjo734Gnq_c/edit?usp=share_li"&amp;"nk"",""เชียงราย!I463"")
+IMPORTRANGE(""https://docs.google.com/spreadsheets/d/1Jgv0Y7YlHDtsiDawwp-uvifEJ8HVaSn0k2aGHG8-hwM/edit?usp=share_link"",""เชียงใหม่!I463"")+IMPORTRANGE(""https://docs.google.com/spreadsheets/d/1JWG2rZePOz9pe-f-ObA-yDr0VoOX2kSb0qIi"&amp;"x2mTUo8/edit?usp=share_link"",""ตาก!I463"")+IMPORTRANGE(""https://docs.google.com/spreadsheets/d/10nSRjK08hx8Y6HgSOQKNw81lyY46Zc7U_Cj72hBMp9U/edit?usp=share_link"",""นครสวรรค์!I463"")+IMPORTRANGE(""https://docs.google.com/spreadsheets/d/1gFVb7qd7amutrIxAA"&amp;"oM7lcy35hllxznovot8lyOfvDo/edit?usp=share_link"",""น่าน!I463"")+IMPORTRANGE(""https://docs.google.com/spreadsheets/d/1K0Aa9s-6EuHE5M0FG1F9aHLXRCOV917xvycTdLdct0w/edit?usp=share_link"",""พะเยา!I463"")+IMPORTRANGE(""https://docs.google.com/spreadsheets/d/1Y"&amp;"9LPKx95PyL5OKy09d-KbKJSuuEZCFdkhYjwC0XQjBA/edit?usp=share_link"",""พิจิตร!I463"")+IMPORTRANGE(""https://docs.google.com/spreadsheets/d/16OMuOwy2eVqZcYWOouQtTpa8X1L23h4660uVHc0C8os/edit?usp=share_link"",""พิษณุโลก!I463"")+IMPORTRANGE(""https://docs.google."&amp;"com/spreadsheets/d/1GfgTldLG6k77HXaMQzaafODklYuucJZQNs_GAPEfZyY/edit?usp=share_link"",""เพชรบูรณ์!I463"")+IMPORTRANGE(""https://docs.google.com/spreadsheets/d/1gvTMYAnm7v1yG1BKWFtr0DnaTsq59oW9dwWvFgq6hs0/edit?usp=share_link"",""แพร่!I463"")+IMPORTRANGE("""&amp;"https://docs.google.com/spreadsheets/d/1Wbcosgy-Xa1xXUArJSOenub6EfZHUSzc_bpJFWwQUf0/edit?usp=share_link"",""แม่ฮ่องสอน!I463"")+IMPORTRANGE(""https://docs.google.com/spreadsheets/d/1p7ERhsr0qZeSn-KSOdeHS9r0heI-lHtkcn2OH7hP0jQ/edit?usp=share_link"",""ลำปาง!"&amp;"I463"")+IMPORTRANGE(""https://docs.google.com/spreadsheets/d/1-uUXvimVhiU2U0bMN-xi2te0tS4X7DI2GLPnMjzl8cA/edit?usp=share_link"",""ลำพูน!I463"")+IMPORTRANGE(""https://docs.google.com/spreadsheets/d/17HrOaa5pBUI1onckFfumXB8xlg35qb2uBAFfF1D-Myo/edit?usp=shar"&amp;"e_link"",""สุโขทัย!I463"")+IMPORTRANGE(""https://docs.google.com/spreadsheets/d/1ubs5cl16eYL9gHbdHTJtmtYb9MGzHBs7CAphn8kNCgM/edit?usp=share_link"",""อุตรดิตถ์!I463"")+IMPORTRANGE(""https://docs.google.com/spreadsheets/d/1kII0BjS6CtVrBvI8IrytgPdxDrlyQDyigz"&amp;"MsohRtDMs/edit?usp=share_link"",""อุทัยธานี!I463"")
"),2205)</f>
        <v>2205</v>
      </c>
      <c r="J463" s="183">
        <f ca="1">IFERROR(__xludf.DUMMYFUNCTION("IMPORTRANGE(""https://docs.google.com/spreadsheets/d/1KxicF4apzSqm0-jIpmueT4kyZtE-Cwn5zskl7GD4loQ/edit?usp=share_link"",""กำแพงเพชร!J463"")+IMPORTRANGE(""https://docs.google.com/spreadsheets/d/1ZNYWeiFoFA1K1U4xKWqRX29MBvEyRHXORjo734Gnq_c/edit?usp=share_li"&amp;"nk"",""เชียงราย!J463"")
+IMPORTRANGE(""https://docs.google.com/spreadsheets/d/1Jgv0Y7YlHDtsiDawwp-uvifEJ8HVaSn0k2aGHG8-hwM/edit?usp=share_link"",""เชียงใหม่!J463"")+IMPORTRANGE(""https://docs.google.com/spreadsheets/d/1JWG2rZePOz9pe-f-ObA-yDr0VoOX2kSb0qIi"&amp;"x2mTUo8/edit?usp=share_link"",""ตาก!J463"")+IMPORTRANGE(""https://docs.google.com/spreadsheets/d/10nSRjK08hx8Y6HgSOQKNw81lyY46Zc7U_Cj72hBMp9U/edit?usp=share_link"",""นครสวรรค์!J463"")+IMPORTRANGE(""https://docs.google.com/spreadsheets/d/1gFVb7qd7amutrIxAA"&amp;"oM7lcy35hllxznovot8lyOfvDo/edit?usp=share_link"",""น่าน!J463"")+IMPORTRANGE(""https://docs.google.com/spreadsheets/d/1K0Aa9s-6EuHE5M0FG1F9aHLXRCOV917xvycTdLdct0w/edit?usp=share_link"",""พะเยา!J463"")+IMPORTRANGE(""https://docs.google.com/spreadsheets/d/1Y"&amp;"9LPKx95PyL5OKy09d-KbKJSuuEZCFdkhYjwC0XQjBA/edit?usp=share_link"",""พิจิตร!J463"")+IMPORTRANGE(""https://docs.google.com/spreadsheets/d/16OMuOwy2eVqZcYWOouQtTpa8X1L23h4660uVHc0C8os/edit?usp=share_link"",""พิษณุโลก!J463"")+IMPORTRANGE(""https://docs.google."&amp;"com/spreadsheets/d/1GfgTldLG6k77HXaMQzaafODklYuucJZQNs_GAPEfZyY/edit?usp=share_link"",""เพชรบูรณ์!J463"")+IMPORTRANGE(""https://docs.google.com/spreadsheets/d/1gvTMYAnm7v1yG1BKWFtr0DnaTsq59oW9dwWvFgq6hs0/edit?usp=share_link"",""แพร่!J463"")+IMPORTRANGE("""&amp;"https://docs.google.com/spreadsheets/d/1Wbcosgy-Xa1xXUArJSOenub6EfZHUSzc_bpJFWwQUf0/edit?usp=share_link"",""แม่ฮ่องสอน!J463"")+IMPORTRANGE(""https://docs.google.com/spreadsheets/d/1p7ERhsr0qZeSn-KSOdeHS9r0heI-lHtkcn2OH7hP0jQ/edit?usp=share_link"",""ลำปาง!"&amp;"J463"")+IMPORTRANGE(""https://docs.google.com/spreadsheets/d/1-uUXvimVhiU2U0bMN-xi2te0tS4X7DI2GLPnMjzl8cA/edit?usp=share_link"",""ลำพูน!J463"")+IMPORTRANGE(""https://docs.google.com/spreadsheets/d/17HrOaa5pBUI1onckFfumXB8xlg35qb2uBAFfF1D-Myo/edit?usp=shar"&amp;"e_link"",""สุโขทัย!J463"")+IMPORTRANGE(""https://docs.google.com/spreadsheets/d/1ubs5cl16eYL9gHbdHTJtmtYb9MGzHBs7CAphn8kNCgM/edit?usp=share_link"",""อุตรดิตถ์!J463"")+IMPORTRANGE(""https://docs.google.com/spreadsheets/d/1kII0BjS6CtVrBvI8IrytgPdxDrlyQDyigz"&amp;"MsohRtDMs/edit?usp=share_link"",""อุทัยธานี!J463"")
"),0)</f>
        <v>0</v>
      </c>
      <c r="K463" s="38"/>
      <c r="L463" s="38"/>
      <c r="M463" s="38"/>
      <c r="N463" s="38"/>
      <c r="O463" s="38"/>
      <c r="P463" s="38"/>
      <c r="Q463" s="541"/>
      <c r="R463" s="541"/>
      <c r="S463" s="541"/>
      <c r="T463" s="541"/>
      <c r="U463" s="541"/>
      <c r="V463" s="541"/>
      <c r="W463" s="541"/>
      <c r="X463" s="541"/>
      <c r="Y463" s="541"/>
      <c r="Z463" s="541"/>
    </row>
    <row r="464" spans="1:26" ht="19.5">
      <c r="A464" s="572"/>
      <c r="B464" s="573"/>
      <c r="C464" s="573"/>
      <c r="D464" s="573"/>
      <c r="E464" s="585"/>
      <c r="F464" s="585"/>
      <c r="G464" s="586"/>
      <c r="H464" s="182" t="s">
        <v>35</v>
      </c>
      <c r="I464" s="269">
        <f ca="1">IFERROR(__xludf.DUMMYFUNCTION("IMPORTRANGE(""https://docs.google.com/spreadsheets/d/1KxicF4apzSqm0-jIpmueT4kyZtE-Cwn5zskl7GD4loQ/edit?usp=share_link"",""กำแพงเพชร!I464"")+IMPORTRANGE(""https://docs.google.com/spreadsheets/d/1ZNYWeiFoFA1K1U4xKWqRX29MBvEyRHXORjo734Gnq_c/edit?usp=share_li"&amp;"nk"",""เชียงราย!I464"")
+IMPORTRANGE(""https://docs.google.com/spreadsheets/d/1Jgv0Y7YlHDtsiDawwp-uvifEJ8HVaSn0k2aGHG8-hwM/edit?usp=share_link"",""เชียงใหม่!I464"")+IMPORTRANGE(""https://docs.google.com/spreadsheets/d/1JWG2rZePOz9pe-f-ObA-yDr0VoOX2kSb0qIi"&amp;"x2mTUo8/edit?usp=share_link"",""ตาก!I464"")+IMPORTRANGE(""https://docs.google.com/spreadsheets/d/10nSRjK08hx8Y6HgSOQKNw81lyY46Zc7U_Cj72hBMp9U/edit?usp=share_link"",""นครสวรรค์!I464"")+IMPORTRANGE(""https://docs.google.com/spreadsheets/d/1gFVb7qd7amutrIxAA"&amp;"oM7lcy35hllxznovot8lyOfvDo/edit?usp=share_link"",""น่าน!I464"")+IMPORTRANGE(""https://docs.google.com/spreadsheets/d/1K0Aa9s-6EuHE5M0FG1F9aHLXRCOV917xvycTdLdct0w/edit?usp=share_link"",""พะเยา!I464"")+IMPORTRANGE(""https://docs.google.com/spreadsheets/d/1Y"&amp;"9LPKx95PyL5OKy09d-KbKJSuuEZCFdkhYjwC0XQjBA/edit?usp=share_link"",""พิจิตร!I464"")+IMPORTRANGE(""https://docs.google.com/spreadsheets/d/16OMuOwy2eVqZcYWOouQtTpa8X1L23h4660uVHc0C8os/edit?usp=share_link"",""พิษณุโลก!I464"")+IMPORTRANGE(""https://docs.google."&amp;"com/spreadsheets/d/1GfgTldLG6k77HXaMQzaafODklYuucJZQNs_GAPEfZyY/edit?usp=share_link"",""เพชรบูรณ์!I464"")+IMPORTRANGE(""https://docs.google.com/spreadsheets/d/1gvTMYAnm7v1yG1BKWFtr0DnaTsq59oW9dwWvFgq6hs0/edit?usp=share_link"",""แพร่!I464"")+IMPORTRANGE("""&amp;"https://docs.google.com/spreadsheets/d/1Wbcosgy-Xa1xXUArJSOenub6EfZHUSzc_bpJFWwQUf0/edit?usp=share_link"",""แม่ฮ่องสอน!I464"")+IMPORTRANGE(""https://docs.google.com/spreadsheets/d/1p7ERhsr0qZeSn-KSOdeHS9r0heI-lHtkcn2OH7hP0jQ/edit?usp=share_link"",""ลำปาง!"&amp;"I464"")+IMPORTRANGE(""https://docs.google.com/spreadsheets/d/1-uUXvimVhiU2U0bMN-xi2te0tS4X7DI2GLPnMjzl8cA/edit?usp=share_link"",""ลำพูน!I464"")+IMPORTRANGE(""https://docs.google.com/spreadsheets/d/17HrOaa5pBUI1onckFfumXB8xlg35qb2uBAFfF1D-Myo/edit?usp=shar"&amp;"e_link"",""สุโขทัย!I464"")+IMPORTRANGE(""https://docs.google.com/spreadsheets/d/1ubs5cl16eYL9gHbdHTJtmtYb9MGzHBs7CAphn8kNCgM/edit?usp=share_link"",""อุตรดิตถ์!I464"")+IMPORTRANGE(""https://docs.google.com/spreadsheets/d/1kII0BjS6CtVrBvI8IrytgPdxDrlyQDyigz"&amp;"MsohRtDMs/edit?usp=share_link"",""อุทัยธานี!I464"")
"),860)</f>
        <v>860</v>
      </c>
      <c r="J464" s="183">
        <f ca="1">IFERROR(__xludf.DUMMYFUNCTION("IMPORTRANGE(""https://docs.google.com/spreadsheets/d/1KxicF4apzSqm0-jIpmueT4kyZtE-Cwn5zskl7GD4loQ/edit?usp=share_link"",""กำแพงเพชร!J464"")+IMPORTRANGE(""https://docs.google.com/spreadsheets/d/1ZNYWeiFoFA1K1U4xKWqRX29MBvEyRHXORjo734Gnq_c/edit?usp=share_li"&amp;"nk"",""เชียงราย!J464"")
+IMPORTRANGE(""https://docs.google.com/spreadsheets/d/1Jgv0Y7YlHDtsiDawwp-uvifEJ8HVaSn0k2aGHG8-hwM/edit?usp=share_link"",""เชียงใหม่!J464"")+IMPORTRANGE(""https://docs.google.com/spreadsheets/d/1JWG2rZePOz9pe-f-ObA-yDr0VoOX2kSb0qIi"&amp;"x2mTUo8/edit?usp=share_link"",""ตาก!J464"")+IMPORTRANGE(""https://docs.google.com/spreadsheets/d/10nSRjK08hx8Y6HgSOQKNw81lyY46Zc7U_Cj72hBMp9U/edit?usp=share_link"",""นครสวรรค์!J464"")+IMPORTRANGE(""https://docs.google.com/spreadsheets/d/1gFVb7qd7amutrIxAA"&amp;"oM7lcy35hllxznovot8lyOfvDo/edit?usp=share_link"",""น่าน!J464"")+IMPORTRANGE(""https://docs.google.com/spreadsheets/d/1K0Aa9s-6EuHE5M0FG1F9aHLXRCOV917xvycTdLdct0w/edit?usp=share_link"",""พะเยา!J464"")+IMPORTRANGE(""https://docs.google.com/spreadsheets/d/1Y"&amp;"9LPKx95PyL5OKy09d-KbKJSuuEZCFdkhYjwC0XQjBA/edit?usp=share_link"",""พิจิตร!J464"")+IMPORTRANGE(""https://docs.google.com/spreadsheets/d/16OMuOwy2eVqZcYWOouQtTpa8X1L23h4660uVHc0C8os/edit?usp=share_link"",""พิษณุโลก!J464"")+IMPORTRANGE(""https://docs.google."&amp;"com/spreadsheets/d/1GfgTldLG6k77HXaMQzaafODklYuucJZQNs_GAPEfZyY/edit?usp=share_link"",""เพชรบูรณ์!J464"")+IMPORTRANGE(""https://docs.google.com/spreadsheets/d/1gvTMYAnm7v1yG1BKWFtr0DnaTsq59oW9dwWvFgq6hs0/edit?usp=share_link"",""แพร่!J464"")+IMPORTRANGE("""&amp;"https://docs.google.com/spreadsheets/d/1Wbcosgy-Xa1xXUArJSOenub6EfZHUSzc_bpJFWwQUf0/edit?usp=share_link"",""แม่ฮ่องสอน!J464"")+IMPORTRANGE(""https://docs.google.com/spreadsheets/d/1p7ERhsr0qZeSn-KSOdeHS9r0heI-lHtkcn2OH7hP0jQ/edit?usp=share_link"",""ลำปาง!"&amp;"J464"")+IMPORTRANGE(""https://docs.google.com/spreadsheets/d/1-uUXvimVhiU2U0bMN-xi2te0tS4X7DI2GLPnMjzl8cA/edit?usp=share_link"",""ลำพูน!J464"")+IMPORTRANGE(""https://docs.google.com/spreadsheets/d/17HrOaa5pBUI1onckFfumXB8xlg35qb2uBAFfF1D-Myo/edit?usp=shar"&amp;"e_link"",""สุโขทัย!J464"")+IMPORTRANGE(""https://docs.google.com/spreadsheets/d/1ubs5cl16eYL9gHbdHTJtmtYb9MGzHBs7CAphn8kNCgM/edit?usp=share_link"",""อุตรดิตถ์!J464"")+IMPORTRANGE(""https://docs.google.com/spreadsheets/d/1kII0BjS6CtVrBvI8IrytgPdxDrlyQDyigz"&amp;"MsohRtDMs/edit?usp=share_link"",""อุทัยธานี!J464"")
"),60)</f>
        <v>60</v>
      </c>
      <c r="K464" s="38"/>
      <c r="L464" s="38"/>
      <c r="M464" s="38"/>
      <c r="N464" s="38"/>
      <c r="O464" s="38"/>
      <c r="P464" s="38"/>
      <c r="Q464" s="541"/>
      <c r="R464" s="541"/>
      <c r="S464" s="541"/>
      <c r="T464" s="541"/>
      <c r="U464" s="541"/>
      <c r="V464" s="541"/>
      <c r="W464" s="541"/>
      <c r="X464" s="541"/>
      <c r="Y464" s="541"/>
      <c r="Z464" s="541"/>
    </row>
    <row r="465" spans="1:26" ht="19.5">
      <c r="A465" s="549">
        <v>3</v>
      </c>
      <c r="B465" s="550" t="s">
        <v>205</v>
      </c>
      <c r="C465" s="551"/>
      <c r="D465" s="551"/>
      <c r="E465" s="551"/>
      <c r="F465" s="551"/>
      <c r="G465" s="552"/>
      <c r="H465" s="553" t="s">
        <v>35</v>
      </c>
      <c r="I465" s="554">
        <f ca="1">IFERROR(__xludf.DUMMYFUNCTION("IMPORTRANGE(""https://docs.google.com/spreadsheets/d/1KxicF4apzSqm0-jIpmueT4kyZtE-Cwn5zskl7GD4loQ/edit?usp=share_link"",""กำแพงเพชร!I465"")+IMPORTRANGE(""https://docs.google.com/spreadsheets/d/1ZNYWeiFoFA1K1U4xKWqRX29MBvEyRHXORjo734Gnq_c/edit?usp=share_li"&amp;"nk"",""เชียงราย!I465"")
+IMPORTRANGE(""https://docs.google.com/spreadsheets/d/1Jgv0Y7YlHDtsiDawwp-uvifEJ8HVaSn0k2aGHG8-hwM/edit?usp=share_link"",""เชียงใหม่!I465"")+IMPORTRANGE(""https://docs.google.com/spreadsheets/d/1JWG2rZePOz9pe-f-ObA-yDr0VoOX2kSb0qIi"&amp;"x2mTUo8/edit?usp=share_link"",""ตาก!I465"")+IMPORTRANGE(""https://docs.google.com/spreadsheets/d/10nSRjK08hx8Y6HgSOQKNw81lyY46Zc7U_Cj72hBMp9U/edit?usp=share_link"",""นครสวรรค์!I465"")+IMPORTRANGE(""https://docs.google.com/spreadsheets/d/1gFVb7qd7amutrIxAA"&amp;"oM7lcy35hllxznovot8lyOfvDo/edit?usp=share_link"",""น่าน!I465"")+IMPORTRANGE(""https://docs.google.com/spreadsheets/d/1K0Aa9s-6EuHE5M0FG1F9aHLXRCOV917xvycTdLdct0w/edit?usp=share_link"",""พะเยา!I465"")+IMPORTRANGE(""https://docs.google.com/spreadsheets/d/1Y"&amp;"9LPKx95PyL5OKy09d-KbKJSuuEZCFdkhYjwC0XQjBA/edit?usp=share_link"",""พิจิตร!I465"")+IMPORTRANGE(""https://docs.google.com/spreadsheets/d/16OMuOwy2eVqZcYWOouQtTpa8X1L23h4660uVHc0C8os/edit?usp=share_link"",""พิษณุโลก!I465"")+IMPORTRANGE(""https://docs.google."&amp;"com/spreadsheets/d/1GfgTldLG6k77HXaMQzaafODklYuucJZQNs_GAPEfZyY/edit?usp=share_link"",""เพชรบูรณ์!I465"")+IMPORTRANGE(""https://docs.google.com/spreadsheets/d/1gvTMYAnm7v1yG1BKWFtr0DnaTsq59oW9dwWvFgq6hs0/edit?usp=share_link"",""แพร่!I465"")+IMPORTRANGE("""&amp;"https://docs.google.com/spreadsheets/d/1Wbcosgy-Xa1xXUArJSOenub6EfZHUSzc_bpJFWwQUf0/edit?usp=share_link"",""แม่ฮ่องสอน!I465"")+IMPORTRANGE(""https://docs.google.com/spreadsheets/d/1p7ERhsr0qZeSn-KSOdeHS9r0heI-lHtkcn2OH7hP0jQ/edit?usp=share_link"",""ลำปาง!"&amp;"I465"")+IMPORTRANGE(""https://docs.google.com/spreadsheets/d/1-uUXvimVhiU2U0bMN-xi2te0tS4X7DI2GLPnMjzl8cA/edit?usp=share_link"",""ลำพูน!I465"")+IMPORTRANGE(""https://docs.google.com/spreadsheets/d/17HrOaa5pBUI1onckFfumXB8xlg35qb2uBAFfF1D-Myo/edit?usp=shar"&amp;"e_link"",""สุโขทัย!I465"")+IMPORTRANGE(""https://docs.google.com/spreadsheets/d/1ubs5cl16eYL9gHbdHTJtmtYb9MGzHBs7CAphn8kNCgM/edit?usp=share_link"",""อุตรดิตถ์!I465"")+IMPORTRANGE(""https://docs.google.com/spreadsheets/d/1kII0BjS6CtVrBvI8IrytgPdxDrlyQDyigz"&amp;"MsohRtDMs/edit?usp=share_link"",""อุทัยธานี!I465"")
"),1327)</f>
        <v>1327</v>
      </c>
      <c r="J465" s="554">
        <f ca="1">J485+J489+J492</f>
        <v>131</v>
      </c>
      <c r="K465" s="555">
        <f t="shared" ref="K465:K466" ca="1" si="238">IF(I465&gt;0,J465*100/I465,0)</f>
        <v>9.8718914845516199</v>
      </c>
      <c r="L465" s="556"/>
      <c r="M465" s="556"/>
      <c r="N465" s="556"/>
      <c r="O465" s="556"/>
      <c r="P465" s="556"/>
      <c r="Q465" s="541"/>
      <c r="R465" s="541"/>
      <c r="S465" s="541"/>
      <c r="T465" s="541"/>
      <c r="U465" s="541"/>
      <c r="V465" s="541"/>
      <c r="W465" s="541"/>
      <c r="X465" s="541"/>
      <c r="Y465" s="541"/>
      <c r="Z465" s="541"/>
    </row>
    <row r="466" spans="1:26" ht="19.5">
      <c r="A466" s="557"/>
      <c r="B466" s="558"/>
      <c r="C466" s="559"/>
      <c r="D466" s="559"/>
      <c r="E466" s="559"/>
      <c r="F466" s="559"/>
      <c r="G466" s="560"/>
      <c r="H466" s="531" t="s">
        <v>46</v>
      </c>
      <c r="I466" s="532">
        <f ca="1">IFERROR(__xludf.DUMMYFUNCTION("IMPORTRANGE(""https://docs.google.com/spreadsheets/d/1KxicF4apzSqm0-jIpmueT4kyZtE-Cwn5zskl7GD4loQ/edit?usp=share_link"",""กำแพงเพชร!I466"")+IMPORTRANGE(""https://docs.google.com/spreadsheets/d/1ZNYWeiFoFA1K1U4xKWqRX29MBvEyRHXORjo734Gnq_c/edit?usp=share_li"&amp;"nk"",""เชียงราย!I466"")
+IMPORTRANGE(""https://docs.google.com/spreadsheets/d/1Jgv0Y7YlHDtsiDawwp-uvifEJ8HVaSn0k2aGHG8-hwM/edit?usp=share_link"",""เชียงใหม่!I466"")+IMPORTRANGE(""https://docs.google.com/spreadsheets/d/1JWG2rZePOz9pe-f-ObA-yDr0VoOX2kSb0qIi"&amp;"x2mTUo8/edit?usp=share_link"",""ตาก!I466"")+IMPORTRANGE(""https://docs.google.com/spreadsheets/d/10nSRjK08hx8Y6HgSOQKNw81lyY46Zc7U_Cj72hBMp9U/edit?usp=share_link"",""นครสวรรค์!I466"")+IMPORTRANGE(""https://docs.google.com/spreadsheets/d/1gFVb7qd7amutrIxAA"&amp;"oM7lcy35hllxznovot8lyOfvDo/edit?usp=share_link"",""น่าน!I466"")+IMPORTRANGE(""https://docs.google.com/spreadsheets/d/1K0Aa9s-6EuHE5M0FG1F9aHLXRCOV917xvycTdLdct0w/edit?usp=share_link"",""พะเยา!I466"")+IMPORTRANGE(""https://docs.google.com/spreadsheets/d/1Y"&amp;"9LPKx95PyL5OKy09d-KbKJSuuEZCFdkhYjwC0XQjBA/edit?usp=share_link"",""พิจิตร!I466"")+IMPORTRANGE(""https://docs.google.com/spreadsheets/d/16OMuOwy2eVqZcYWOouQtTpa8X1L23h4660uVHc0C8os/edit?usp=share_link"",""พิษณุโลก!I466"")+IMPORTRANGE(""https://docs.google."&amp;"com/spreadsheets/d/1GfgTldLG6k77HXaMQzaafODklYuucJZQNs_GAPEfZyY/edit?usp=share_link"",""เพชรบูรณ์!I466"")+IMPORTRANGE(""https://docs.google.com/spreadsheets/d/1gvTMYAnm7v1yG1BKWFtr0DnaTsq59oW9dwWvFgq6hs0/edit?usp=share_link"",""แพร่!I466"")+IMPORTRANGE("""&amp;"https://docs.google.com/spreadsheets/d/1Wbcosgy-Xa1xXUArJSOenub6EfZHUSzc_bpJFWwQUf0/edit?usp=share_link"",""แม่ฮ่องสอน!I466"")+IMPORTRANGE(""https://docs.google.com/spreadsheets/d/1p7ERhsr0qZeSn-KSOdeHS9r0heI-lHtkcn2OH7hP0jQ/edit?usp=share_link"",""ลำปาง!"&amp;"I466"")+IMPORTRANGE(""https://docs.google.com/spreadsheets/d/1-uUXvimVhiU2U0bMN-xi2te0tS4X7DI2GLPnMjzl8cA/edit?usp=share_link"",""ลำพูน!I466"")+IMPORTRANGE(""https://docs.google.com/spreadsheets/d/17HrOaa5pBUI1onckFfumXB8xlg35qb2uBAFfF1D-Myo/edit?usp=shar"&amp;"e_link"",""สุโขทัย!I466"")+IMPORTRANGE(""https://docs.google.com/spreadsheets/d/1ubs5cl16eYL9gHbdHTJtmtYb9MGzHBs7CAphn8kNCgM/edit?usp=share_link"",""อุตรดิตถ์!I466"")+IMPORTRANGE(""https://docs.google.com/spreadsheets/d/1kII0BjS6CtVrBvI8IrytgPdxDrlyQDyigz"&amp;"MsohRtDMs/edit?usp=share_link"",""อุทัยธานี!I466"")
"),13100)</f>
        <v>13100</v>
      </c>
      <c r="J466" s="532">
        <f ca="1">J483+J487</f>
        <v>1170</v>
      </c>
      <c r="K466" s="533">
        <f t="shared" ca="1" si="238"/>
        <v>8.9312977099236637</v>
      </c>
      <c r="L466" s="534"/>
      <c r="M466" s="534"/>
      <c r="N466" s="534"/>
      <c r="O466" s="534"/>
      <c r="P466" s="534"/>
      <c r="Q466" s="541"/>
      <c r="R466" s="541"/>
      <c r="S466" s="541"/>
      <c r="T466" s="541"/>
      <c r="U466" s="541"/>
      <c r="V466" s="541"/>
      <c r="W466" s="541"/>
      <c r="X466" s="541"/>
      <c r="Y466" s="541"/>
      <c r="Z466" s="541"/>
    </row>
    <row r="467" spans="1:26" ht="19.5">
      <c r="A467" s="561"/>
      <c r="B467" s="539"/>
      <c r="C467" s="539" t="s">
        <v>16</v>
      </c>
      <c r="D467" s="811" t="s">
        <v>17</v>
      </c>
      <c r="E467" s="805"/>
      <c r="F467" s="805"/>
      <c r="G467" s="189"/>
      <c r="H467" s="562" t="s">
        <v>12</v>
      </c>
      <c r="I467" s="37"/>
      <c r="J467" s="37"/>
      <c r="K467" s="38"/>
      <c r="L467" s="195">
        <f>M468+M469</f>
        <v>0</v>
      </c>
      <c r="M467" s="195">
        <f t="shared" ref="M467:N467" si="239">M468+M469</f>
        <v>0</v>
      </c>
      <c r="N467" s="195">
        <f t="shared" ca="1" si="239"/>
        <v>86315</v>
      </c>
      <c r="O467" s="195">
        <f t="shared" ref="O467:O469" si="240">IF(M467&gt;0,N467*100/M467,0)</f>
        <v>0</v>
      </c>
      <c r="P467" s="195">
        <f t="shared" ref="P467:P472" si="241">IF(M467&gt;0,N467*100/M467,0)</f>
        <v>0</v>
      </c>
      <c r="Q467" s="541"/>
      <c r="R467" s="541"/>
      <c r="S467" s="541"/>
      <c r="T467" s="541"/>
      <c r="U467" s="541"/>
      <c r="V467" s="541"/>
      <c r="W467" s="541"/>
      <c r="X467" s="541"/>
      <c r="Y467" s="541"/>
      <c r="Z467" s="541"/>
    </row>
    <row r="468" spans="1:26" ht="18.75" hidden="1">
      <c r="A468" s="563"/>
      <c r="B468" s="564"/>
      <c r="C468" s="564"/>
      <c r="D468" s="565"/>
      <c r="E468" s="566" t="s">
        <v>184</v>
      </c>
      <c r="F468" s="564"/>
      <c r="G468" s="567"/>
      <c r="H468" s="165" t="s">
        <v>12</v>
      </c>
      <c r="I468" s="44"/>
      <c r="J468" s="44"/>
      <c r="K468" s="45"/>
      <c r="L468" s="45">
        <f t="shared" ref="L468:N468" si="242">L471+L478</f>
        <v>0</v>
      </c>
      <c r="M468" s="45">
        <f t="shared" si="242"/>
        <v>0</v>
      </c>
      <c r="N468" s="45">
        <f t="shared" si="242"/>
        <v>0</v>
      </c>
      <c r="O468" s="45">
        <f t="shared" si="240"/>
        <v>0</v>
      </c>
      <c r="P468" s="45">
        <f t="shared" si="241"/>
        <v>0</v>
      </c>
      <c r="Q468" s="568"/>
      <c r="R468" s="568"/>
      <c r="S468" s="568"/>
      <c r="T468" s="568"/>
      <c r="U468" s="568"/>
      <c r="V468" s="568"/>
      <c r="W468" s="568"/>
      <c r="X468" s="568"/>
      <c r="Y468" s="568"/>
      <c r="Z468" s="568"/>
    </row>
    <row r="469" spans="1:26" ht="18.75" hidden="1">
      <c r="A469" s="563"/>
      <c r="B469" s="569"/>
      <c r="C469" s="564"/>
      <c r="D469" s="565"/>
      <c r="E469" s="566" t="s">
        <v>185</v>
      </c>
      <c r="F469" s="564"/>
      <c r="G469" s="567"/>
      <c r="H469" s="165" t="s">
        <v>12</v>
      </c>
      <c r="I469" s="44"/>
      <c r="J469" s="44"/>
      <c r="K469" s="45"/>
      <c r="L469" s="45">
        <f t="shared" ref="L469:N469" ca="1" si="243">L472+L479</f>
        <v>11406618</v>
      </c>
      <c r="M469" s="45">
        <f t="shared" si="243"/>
        <v>0</v>
      </c>
      <c r="N469" s="45">
        <f t="shared" ca="1" si="243"/>
        <v>86315</v>
      </c>
      <c r="O469" s="45">
        <f t="shared" si="240"/>
        <v>0</v>
      </c>
      <c r="P469" s="45">
        <f t="shared" si="241"/>
        <v>0</v>
      </c>
      <c r="Q469" s="568"/>
      <c r="R469" s="568"/>
      <c r="S469" s="568"/>
      <c r="T469" s="568"/>
      <c r="U469" s="568"/>
      <c r="V469" s="568"/>
      <c r="W469" s="568"/>
      <c r="X469" s="568"/>
      <c r="Y469" s="568"/>
      <c r="Z469" s="568"/>
    </row>
    <row r="470" spans="1:26" ht="18.75">
      <c r="A470" s="561"/>
      <c r="B470" s="538"/>
      <c r="C470" s="539"/>
      <c r="D470" s="570" t="s">
        <v>20</v>
      </c>
      <c r="E470" s="539"/>
      <c r="F470" s="539"/>
      <c r="G470" s="189"/>
      <c r="H470" s="161" t="s">
        <v>12</v>
      </c>
      <c r="I470" s="162"/>
      <c r="J470" s="162"/>
      <c r="K470" s="163"/>
      <c r="L470" s="38">
        <f t="shared" ref="L470:N470" ca="1" si="244">L471+L472</f>
        <v>11406618</v>
      </c>
      <c r="M470" s="38">
        <f t="shared" si="244"/>
        <v>0</v>
      </c>
      <c r="N470" s="38">
        <f t="shared" ca="1" si="244"/>
        <v>86315</v>
      </c>
      <c r="O470" s="38">
        <f t="shared" ref="O470:O472" ca="1" si="245">IF(L470&gt;0,N470*100/L470,0)</f>
        <v>0.75670983283563975</v>
      </c>
      <c r="P470" s="38">
        <f t="shared" si="241"/>
        <v>0</v>
      </c>
      <c r="Q470" s="541"/>
      <c r="R470" s="541"/>
      <c r="S470" s="541"/>
      <c r="T470" s="541"/>
      <c r="U470" s="541"/>
      <c r="V470" s="541"/>
      <c r="W470" s="541"/>
      <c r="X470" s="541"/>
      <c r="Y470" s="541"/>
      <c r="Z470" s="541"/>
    </row>
    <row r="471" spans="1:26" ht="18.75" hidden="1">
      <c r="A471" s="563"/>
      <c r="B471" s="569"/>
      <c r="C471" s="564"/>
      <c r="D471" s="565"/>
      <c r="E471" s="566" t="s">
        <v>184</v>
      </c>
      <c r="F471" s="564"/>
      <c r="G471" s="567"/>
      <c r="H471" s="165" t="s">
        <v>12</v>
      </c>
      <c r="I471" s="44"/>
      <c r="J471" s="44"/>
      <c r="K471" s="45"/>
      <c r="L471" s="93">
        <v>0</v>
      </c>
      <c r="M471" s="93">
        <v>0</v>
      </c>
      <c r="N471" s="93">
        <v>0</v>
      </c>
      <c r="O471" s="45">
        <f t="shared" si="245"/>
        <v>0</v>
      </c>
      <c r="P471" s="45">
        <f t="shared" si="241"/>
        <v>0</v>
      </c>
      <c r="Q471" s="568"/>
      <c r="R471" s="568"/>
      <c r="S471" s="568"/>
      <c r="T471" s="568"/>
      <c r="U471" s="568"/>
      <c r="V471" s="568"/>
      <c r="W471" s="568"/>
      <c r="X471" s="568"/>
      <c r="Y471" s="568"/>
      <c r="Z471" s="568"/>
    </row>
    <row r="472" spans="1:26" ht="18.75" hidden="1">
      <c r="A472" s="563"/>
      <c r="B472" s="569"/>
      <c r="C472" s="564"/>
      <c r="D472" s="565"/>
      <c r="E472" s="566" t="s">
        <v>185</v>
      </c>
      <c r="F472" s="564"/>
      <c r="G472" s="567"/>
      <c r="H472" s="165" t="s">
        <v>12</v>
      </c>
      <c r="I472" s="44"/>
      <c r="J472" s="44"/>
      <c r="K472" s="45"/>
      <c r="L472" s="45">
        <f ca="1">IFERROR(__xludf.DUMMYFUNCTION("IMPORTRANGE(""https://docs.google.com/spreadsheets/d/1KxicF4apzSqm0-jIpmueT4kyZtE-Cwn5zskl7GD4loQ/edit?usp=share_link"",""กำแพงเพชร!l472"")+IMPORTRANGE(""https://docs.google.com/spreadsheets/d/1ZNYWeiFoFA1K1U4xKWqRX29MBvEyRHXORjo734Gnq_c/edit?usp=share_li"&amp;"nk"",""เชียงราย!l472"")
+IMPORTRANGE(""https://docs.google.com/spreadsheets/d/1Jgv0Y7YlHDtsiDawwp-uvifEJ8HVaSn0k2aGHG8-hwM/edit?usp=share_link"",""เชียงใหม่!l472"")+IMPORTRANGE(""https://docs.google.com/spreadsheets/d/1JWG2rZePOz9pe-f-ObA-yDr0VoOX2kSb0qIi"&amp;"x2mTUo8/edit?usp=share_link"",""ตาก!l472"")+IMPORTRANGE(""https://docs.google.com/spreadsheets/d/10nSRjK08hx8Y6HgSOQKNw81lyY46Zc7U_Cj72hBMp9U/edit?usp=share_link"",""นครสวรรค์!l472"")+IMPORTRANGE(""https://docs.google.com/spreadsheets/d/1gFVb7qd7amutrIxAA"&amp;"oM7lcy35hllxznovot8lyOfvDo/edit?usp=share_link"",""น่าน!l472"")+IMPORTRANGE(""https://docs.google.com/spreadsheets/d/1K0Aa9s-6EuHE5M0FG1F9aHLXRCOV917xvycTdLdct0w/edit?usp=share_link"",""พะเยา!l472"")+IMPORTRANGE(""https://docs.google.com/spreadsheets/d/1Y"&amp;"9LPKx95PyL5OKy09d-KbKJSuuEZCFdkhYjwC0XQjBA/edit?usp=share_link"",""พิจิตร!l472"")+IMPORTRANGE(""https://docs.google.com/spreadsheets/d/16OMuOwy2eVqZcYWOouQtTpa8X1L23h4660uVHc0C8os/edit?usp=share_link"",""พิษณุโลก!l472"")+IMPORTRANGE(""https://docs.google."&amp;"com/spreadsheets/d/1GfgTldLG6k77HXaMQzaafODklYuucJZQNs_GAPEfZyY/edit?usp=share_link"",""เพชรบูรณ์!l472"")+IMPORTRANGE(""https://docs.google.com/spreadsheets/d/1gvTMYAnm7v1yG1BKWFtr0DnaTsq59oW9dwWvFgq6hs0/edit?usp=share_link"",""แพร่!l472"")+IMPORTRANGE("""&amp;"https://docs.google.com/spreadsheets/d/1Wbcosgy-Xa1xXUArJSOenub6EfZHUSzc_bpJFWwQUf0/edit?usp=share_link"",""แม่ฮ่องสอน!l472"")+IMPORTRANGE(""https://docs.google.com/spreadsheets/d/1p7ERhsr0qZeSn-KSOdeHS9r0heI-lHtkcn2OH7hP0jQ/edit?usp=share_link"",""ลำปาง!"&amp;"l472"")+IMPORTRANGE(""https://docs.google.com/spreadsheets/d/1-uUXvimVhiU2U0bMN-xi2te0tS4X7DI2GLPnMjzl8cA/edit?usp=share_link"",""ลำพูน!l472"")+IMPORTRANGE(""https://docs.google.com/spreadsheets/d/17HrOaa5pBUI1onckFfumXB8xlg35qb2uBAFfF1D-Myo/edit?usp=shar"&amp;"e_link"",""สุโขทัย!l472"")+IMPORTRANGE(""https://docs.google.com/spreadsheets/d/1ubs5cl16eYL9gHbdHTJtmtYb9MGzHBs7CAphn8kNCgM/edit?usp=share_link"",""อุตรดิตถ์!l472"")+IMPORTRANGE(""https://docs.google.com/spreadsheets/d/1kII0BjS6CtVrBvI8IrytgPdxDrlyQDyigz"&amp;"MsohRtDMs/edit?usp=share_link"",""อุทัยธานี!l472"")
"),11406618)</f>
        <v>11406618</v>
      </c>
      <c r="M472" s="93">
        <v>0</v>
      </c>
      <c r="N472" s="45">
        <f ca="1">N473+N474+N475+N476</f>
        <v>86315</v>
      </c>
      <c r="O472" s="45">
        <f t="shared" ca="1" si="245"/>
        <v>0.75670983283563975</v>
      </c>
      <c r="P472" s="45">
        <f t="shared" si="241"/>
        <v>0</v>
      </c>
      <c r="Q472" s="568"/>
      <c r="R472" s="568"/>
      <c r="S472" s="568"/>
      <c r="T472" s="568"/>
      <c r="U472" s="568"/>
      <c r="V472" s="568"/>
      <c r="W472" s="568"/>
      <c r="X472" s="568"/>
      <c r="Y472" s="568"/>
      <c r="Z472" s="568"/>
    </row>
    <row r="473" spans="1:26" ht="18.75">
      <c r="A473" s="537"/>
      <c r="B473" s="538"/>
      <c r="C473" s="539"/>
      <c r="D473" s="539"/>
      <c r="E473" s="539"/>
      <c r="F473" s="540" t="s">
        <v>186</v>
      </c>
      <c r="G473" s="189"/>
      <c r="H473" s="161" t="s">
        <v>12</v>
      </c>
      <c r="I473" s="37"/>
      <c r="J473" s="37"/>
      <c r="K473" s="38"/>
      <c r="L473" s="38"/>
      <c r="M473" s="38"/>
      <c r="N473" s="282">
        <f ca="1">IFERROR(__xludf.DUMMYFUNCTION("IMPORTRANGE(""https://docs.google.com/spreadsheets/d/1KxicF4apzSqm0-jIpmueT4kyZtE-Cwn5zskl7GD4loQ/edit?usp=share_link"",""กำแพงเพชร!n473"")+IMPORTRANGE(""https://docs.google.com/spreadsheets/d/1ZNYWeiFoFA1K1U4xKWqRX29MBvEyRHXORjo734Gnq_c/edit?usp=share_li"&amp;"nk"",""เชียงราย!n473"")
+IMPORTRANGE(""https://docs.google.com/spreadsheets/d/1Jgv0Y7YlHDtsiDawwp-uvifEJ8HVaSn0k2aGHG8-hwM/edit?usp=share_link"",""เชียงใหม่!n473"")+IMPORTRANGE(""https://docs.google.com/spreadsheets/d/1JWG2rZePOz9pe-f-ObA-yDr0VoOX2kSb0qIi"&amp;"x2mTUo8/edit?usp=share_link"",""ตาก!n473"")+IMPORTRANGE(""https://docs.google.com/spreadsheets/d/10nSRjK08hx8Y6HgSOQKNw81lyY46Zc7U_Cj72hBMp9U/edit?usp=share_link"",""นครสวรรค์!n473"")+IMPORTRANGE(""https://docs.google.com/spreadsheets/d/1gFVb7qd7amutrIxAA"&amp;"oM7lcy35hllxznovot8lyOfvDo/edit?usp=share_link"",""น่าน!n473"")+IMPORTRANGE(""https://docs.google.com/spreadsheets/d/1K0Aa9s-6EuHE5M0FG1F9aHLXRCOV917xvycTdLdct0w/edit?usp=share_link"",""พะเยา!n473"")+IMPORTRANGE(""https://docs.google.com/spreadsheets/d/1Y"&amp;"9LPKx95PyL5OKy09d-KbKJSuuEZCFdkhYjwC0XQjBA/edit?usp=share_link"",""พิจิตร!n473"")+IMPORTRANGE(""https://docs.google.com/spreadsheets/d/16OMuOwy2eVqZcYWOouQtTpa8X1L23h4660uVHc0C8os/edit?usp=share_link"",""พิษณุโลก!n473"")+IMPORTRANGE(""https://docs.google."&amp;"com/spreadsheets/d/1GfgTldLG6k77HXaMQzaafODklYuucJZQNs_GAPEfZyY/edit?usp=share_link"",""เพชรบูรณ์!n473"")+IMPORTRANGE(""https://docs.google.com/spreadsheets/d/1gvTMYAnm7v1yG1BKWFtr0DnaTsq59oW9dwWvFgq6hs0/edit?usp=share_link"",""แพร่!n473"")+IMPORTRANGE("""&amp;"https://docs.google.com/spreadsheets/d/1Wbcosgy-Xa1xXUArJSOenub6EfZHUSzc_bpJFWwQUf0/edit?usp=share_link"",""แม่ฮ่องสอน!n473"")+IMPORTRANGE(""https://docs.google.com/spreadsheets/d/1p7ERhsr0qZeSn-KSOdeHS9r0heI-lHtkcn2OH7hP0jQ/edit?usp=share_link"",""ลำปาง!"&amp;"n473"")+IMPORTRANGE(""https://docs.google.com/spreadsheets/d/1-uUXvimVhiU2U0bMN-xi2te0tS4X7DI2GLPnMjzl8cA/edit?usp=share_link"",""ลำพูน!n473"")+IMPORTRANGE(""https://docs.google.com/spreadsheets/d/17HrOaa5pBUI1onckFfumXB8xlg35qb2uBAFfF1D-Myo/edit?usp=shar"&amp;"e_link"",""สุโขทัย!n473"")+IMPORTRANGE(""https://docs.google.com/spreadsheets/d/1ubs5cl16eYL9gHbdHTJtmtYb9MGzHBs7CAphn8kNCgM/edit?usp=share_link"",""อุตรดิตถ์!n473"")+IMPORTRANGE(""https://docs.google.com/spreadsheets/d/1kII0BjS6CtVrBvI8IrytgPdxDrlyQDyigz"&amp;"MsohRtDMs/edit?usp=share_link"",""อุทัยธานี!n473"")
"),68120)</f>
        <v>68120</v>
      </c>
      <c r="O473" s="38"/>
      <c r="P473" s="38"/>
      <c r="Q473" s="541"/>
      <c r="R473" s="541"/>
      <c r="S473" s="541"/>
      <c r="T473" s="541"/>
      <c r="U473" s="541"/>
      <c r="V473" s="541"/>
      <c r="W473" s="541"/>
      <c r="X473" s="541"/>
      <c r="Y473" s="541"/>
      <c r="Z473" s="541"/>
    </row>
    <row r="474" spans="1:26" ht="18.75">
      <c r="A474" s="537"/>
      <c r="B474" s="538"/>
      <c r="C474" s="539"/>
      <c r="D474" s="539"/>
      <c r="E474" s="539"/>
      <c r="F474" s="540" t="s">
        <v>187</v>
      </c>
      <c r="G474" s="189"/>
      <c r="H474" s="161" t="s">
        <v>12</v>
      </c>
      <c r="I474" s="37"/>
      <c r="J474" s="37"/>
      <c r="K474" s="38"/>
      <c r="L474" s="38"/>
      <c r="M474" s="38"/>
      <c r="N474" s="282">
        <f ca="1">IFERROR(__xludf.DUMMYFUNCTION("IMPORTRANGE(""https://docs.google.com/spreadsheets/d/1KxicF4apzSqm0-jIpmueT4kyZtE-Cwn5zskl7GD4loQ/edit?usp=share_link"",""กำแพงเพชร!n474"")+IMPORTRANGE(""https://docs.google.com/spreadsheets/d/1ZNYWeiFoFA1K1U4xKWqRX29MBvEyRHXORjo734Gnq_c/edit?usp=share_li"&amp;"nk"",""เชียงราย!n474"")
+IMPORTRANGE(""https://docs.google.com/spreadsheets/d/1Jgv0Y7YlHDtsiDawwp-uvifEJ8HVaSn0k2aGHG8-hwM/edit?usp=share_link"",""เชียงใหม่!n474"")+IMPORTRANGE(""https://docs.google.com/spreadsheets/d/1JWG2rZePOz9pe-f-ObA-yDr0VoOX2kSb0qIi"&amp;"x2mTUo8/edit?usp=share_link"",""ตาก!n474"")+IMPORTRANGE(""https://docs.google.com/spreadsheets/d/10nSRjK08hx8Y6HgSOQKNw81lyY46Zc7U_Cj72hBMp9U/edit?usp=share_link"",""นครสวรรค์!n474"")+IMPORTRANGE(""https://docs.google.com/spreadsheets/d/1gFVb7qd7amutrIxAA"&amp;"oM7lcy35hllxznovot8lyOfvDo/edit?usp=share_link"",""น่าน!n474"")+IMPORTRANGE(""https://docs.google.com/spreadsheets/d/1K0Aa9s-6EuHE5M0FG1F9aHLXRCOV917xvycTdLdct0w/edit?usp=share_link"",""พะเยา!n474"")+IMPORTRANGE(""https://docs.google.com/spreadsheets/d/1Y"&amp;"9LPKx95PyL5OKy09d-KbKJSuuEZCFdkhYjwC0XQjBA/edit?usp=share_link"",""พิจิตร!n474"")+IMPORTRANGE(""https://docs.google.com/spreadsheets/d/16OMuOwy2eVqZcYWOouQtTpa8X1L23h4660uVHc0C8os/edit?usp=share_link"",""พิษณุโลก!n474"")+IMPORTRANGE(""https://docs.google."&amp;"com/spreadsheets/d/1GfgTldLG6k77HXaMQzaafODklYuucJZQNs_GAPEfZyY/edit?usp=share_link"",""เพชรบูรณ์!n474"")+IMPORTRANGE(""https://docs.google.com/spreadsheets/d/1gvTMYAnm7v1yG1BKWFtr0DnaTsq59oW9dwWvFgq6hs0/edit?usp=share_link"",""แพร่!n474"")+IMPORTRANGE("""&amp;"https://docs.google.com/spreadsheets/d/1Wbcosgy-Xa1xXUArJSOenub6EfZHUSzc_bpJFWwQUf0/edit?usp=share_link"",""แม่ฮ่องสอน!n474"")+IMPORTRANGE(""https://docs.google.com/spreadsheets/d/1p7ERhsr0qZeSn-KSOdeHS9r0heI-lHtkcn2OH7hP0jQ/edit?usp=share_link"",""ลำปาง!"&amp;"n474"")+IMPORTRANGE(""https://docs.google.com/spreadsheets/d/1-uUXvimVhiU2U0bMN-xi2te0tS4X7DI2GLPnMjzl8cA/edit?usp=share_link"",""ลำพูน!n474"")+IMPORTRANGE(""https://docs.google.com/spreadsheets/d/17HrOaa5pBUI1onckFfumXB8xlg35qb2uBAFfF1D-Myo/edit?usp=shar"&amp;"e_link"",""สุโขทัย!n474"")+IMPORTRANGE(""https://docs.google.com/spreadsheets/d/1ubs5cl16eYL9gHbdHTJtmtYb9MGzHBs7CAphn8kNCgM/edit?usp=share_link"",""อุตรดิตถ์!n474"")+IMPORTRANGE(""https://docs.google.com/spreadsheets/d/1kII0BjS6CtVrBvI8IrytgPdxDrlyQDyigz"&amp;"MsohRtDMs/edit?usp=share_link"",""อุทัยธานี!n474"")
"),0)</f>
        <v>0</v>
      </c>
      <c r="O474" s="38"/>
      <c r="P474" s="38"/>
      <c r="Q474" s="541"/>
      <c r="R474" s="541"/>
      <c r="S474" s="541"/>
      <c r="T474" s="541"/>
      <c r="U474" s="541"/>
      <c r="V474" s="541"/>
      <c r="W474" s="541"/>
      <c r="X474" s="541"/>
      <c r="Y474" s="541"/>
      <c r="Z474" s="541"/>
    </row>
    <row r="475" spans="1:26" ht="18.75">
      <c r="A475" s="537"/>
      <c r="B475" s="538"/>
      <c r="C475" s="538"/>
      <c r="D475" s="538"/>
      <c r="E475" s="538"/>
      <c r="F475" s="540" t="s">
        <v>188</v>
      </c>
      <c r="G475" s="189"/>
      <c r="H475" s="161" t="s">
        <v>12</v>
      </c>
      <c r="I475" s="37"/>
      <c r="J475" s="37"/>
      <c r="K475" s="38"/>
      <c r="L475" s="38"/>
      <c r="M475" s="38"/>
      <c r="N475" s="282">
        <f ca="1">IFERROR(__xludf.DUMMYFUNCTION("IMPORTRANGE(""https://docs.google.com/spreadsheets/d/1KxicF4apzSqm0-jIpmueT4kyZtE-Cwn5zskl7GD4loQ/edit?usp=share_link"",""กำแพงเพชร!n475"")+IMPORTRANGE(""https://docs.google.com/spreadsheets/d/1ZNYWeiFoFA1K1U4xKWqRX29MBvEyRHXORjo734Gnq_c/edit?usp=share_li"&amp;"nk"",""เชียงราย!n475"")
+IMPORTRANGE(""https://docs.google.com/spreadsheets/d/1Jgv0Y7YlHDtsiDawwp-uvifEJ8HVaSn0k2aGHG8-hwM/edit?usp=share_link"",""เชียงใหม่!n475"")+IMPORTRANGE(""https://docs.google.com/spreadsheets/d/1JWG2rZePOz9pe-f-ObA-yDr0VoOX2kSb0qIi"&amp;"x2mTUo8/edit?usp=share_link"",""ตาก!n475"")+IMPORTRANGE(""https://docs.google.com/spreadsheets/d/10nSRjK08hx8Y6HgSOQKNw81lyY46Zc7U_Cj72hBMp9U/edit?usp=share_link"",""นครสวรรค์!n475"")+IMPORTRANGE(""https://docs.google.com/spreadsheets/d/1gFVb7qd7amutrIxAA"&amp;"oM7lcy35hllxznovot8lyOfvDo/edit?usp=share_link"",""น่าน!n475"")+IMPORTRANGE(""https://docs.google.com/spreadsheets/d/1K0Aa9s-6EuHE5M0FG1F9aHLXRCOV917xvycTdLdct0w/edit?usp=share_link"",""พะเยา!n475"")+IMPORTRANGE(""https://docs.google.com/spreadsheets/d/1Y"&amp;"9LPKx95PyL5OKy09d-KbKJSuuEZCFdkhYjwC0XQjBA/edit?usp=share_link"",""พิจิตร!n475"")+IMPORTRANGE(""https://docs.google.com/spreadsheets/d/16OMuOwy2eVqZcYWOouQtTpa8X1L23h4660uVHc0C8os/edit?usp=share_link"",""พิษณุโลก!n475"")+IMPORTRANGE(""https://docs.google."&amp;"com/spreadsheets/d/1GfgTldLG6k77HXaMQzaafODklYuucJZQNs_GAPEfZyY/edit?usp=share_link"",""เพชรบูรณ์!n475"")+IMPORTRANGE(""https://docs.google.com/spreadsheets/d/1gvTMYAnm7v1yG1BKWFtr0DnaTsq59oW9dwWvFgq6hs0/edit?usp=share_link"",""แพร่!n475"")+IMPORTRANGE("""&amp;"https://docs.google.com/spreadsheets/d/1Wbcosgy-Xa1xXUArJSOenub6EfZHUSzc_bpJFWwQUf0/edit?usp=share_link"",""แม่ฮ่องสอน!n475"")+IMPORTRANGE(""https://docs.google.com/spreadsheets/d/1p7ERhsr0qZeSn-KSOdeHS9r0heI-lHtkcn2OH7hP0jQ/edit?usp=share_link"",""ลำปาง!"&amp;"n475"")+IMPORTRANGE(""https://docs.google.com/spreadsheets/d/1-uUXvimVhiU2U0bMN-xi2te0tS4X7DI2GLPnMjzl8cA/edit?usp=share_link"",""ลำพูน!n475"")+IMPORTRANGE(""https://docs.google.com/spreadsheets/d/17HrOaa5pBUI1onckFfumXB8xlg35qb2uBAFfF1D-Myo/edit?usp=shar"&amp;"e_link"",""สุโขทัย!n475"")+IMPORTRANGE(""https://docs.google.com/spreadsheets/d/1ubs5cl16eYL9gHbdHTJtmtYb9MGzHBs7CAphn8kNCgM/edit?usp=share_link"",""อุตรดิตถ์!n475"")+IMPORTRANGE(""https://docs.google.com/spreadsheets/d/1kII0BjS6CtVrBvI8IrytgPdxDrlyQDyigz"&amp;"MsohRtDMs/edit?usp=share_link"",""อุทัยธานี!n475"")
"),13000)</f>
        <v>13000</v>
      </c>
      <c r="O475" s="38"/>
      <c r="P475" s="38"/>
      <c r="Q475" s="541"/>
      <c r="R475" s="541"/>
      <c r="S475" s="541"/>
      <c r="T475" s="541"/>
      <c r="U475" s="541"/>
      <c r="V475" s="541"/>
      <c r="W475" s="541"/>
      <c r="X475" s="541"/>
      <c r="Y475" s="541"/>
      <c r="Z475" s="541"/>
    </row>
    <row r="476" spans="1:26" ht="18.75">
      <c r="A476" s="537"/>
      <c r="B476" s="538"/>
      <c r="C476" s="538"/>
      <c r="D476" s="538"/>
      <c r="E476" s="538"/>
      <c r="F476" s="540" t="s">
        <v>189</v>
      </c>
      <c r="G476" s="189"/>
      <c r="H476" s="161" t="s">
        <v>12</v>
      </c>
      <c r="I476" s="37"/>
      <c r="J476" s="37"/>
      <c r="K476" s="38"/>
      <c r="L476" s="38"/>
      <c r="M476" s="38"/>
      <c r="N476" s="282">
        <f ca="1">IFERROR(__xludf.DUMMYFUNCTION("IMPORTRANGE(""https://docs.google.com/spreadsheets/d/1KxicF4apzSqm0-jIpmueT4kyZtE-Cwn5zskl7GD4loQ/edit?usp=share_link"",""กำแพงเพชร!n476"")+IMPORTRANGE(""https://docs.google.com/spreadsheets/d/1ZNYWeiFoFA1K1U4xKWqRX29MBvEyRHXORjo734Gnq_c/edit?usp=share_li"&amp;"nk"",""เชียงราย!n476"")
+IMPORTRANGE(""https://docs.google.com/spreadsheets/d/1Jgv0Y7YlHDtsiDawwp-uvifEJ8HVaSn0k2aGHG8-hwM/edit?usp=share_link"",""เชียงใหม่!n476"")+IMPORTRANGE(""https://docs.google.com/spreadsheets/d/1JWG2rZePOz9pe-f-ObA-yDr0VoOX2kSb0qIi"&amp;"x2mTUo8/edit?usp=share_link"",""ตาก!n476"")+IMPORTRANGE(""https://docs.google.com/spreadsheets/d/10nSRjK08hx8Y6HgSOQKNw81lyY46Zc7U_Cj72hBMp9U/edit?usp=share_link"",""นครสวรรค์!n476"")+IMPORTRANGE(""https://docs.google.com/spreadsheets/d/1gFVb7qd7amutrIxAA"&amp;"oM7lcy35hllxznovot8lyOfvDo/edit?usp=share_link"",""น่าน!n476"")+IMPORTRANGE(""https://docs.google.com/spreadsheets/d/1K0Aa9s-6EuHE5M0FG1F9aHLXRCOV917xvycTdLdct0w/edit?usp=share_link"",""พะเยา!n476"")+IMPORTRANGE(""https://docs.google.com/spreadsheets/d/1Y"&amp;"9LPKx95PyL5OKy09d-KbKJSuuEZCFdkhYjwC0XQjBA/edit?usp=share_link"",""พิจิตร!n476"")+IMPORTRANGE(""https://docs.google.com/spreadsheets/d/16OMuOwy2eVqZcYWOouQtTpa8X1L23h4660uVHc0C8os/edit?usp=share_link"",""พิษณุโลก!n476"")+IMPORTRANGE(""https://docs.google."&amp;"com/spreadsheets/d/1GfgTldLG6k77HXaMQzaafODklYuucJZQNs_GAPEfZyY/edit?usp=share_link"",""เพชรบูรณ์!n476"")+IMPORTRANGE(""https://docs.google.com/spreadsheets/d/1gvTMYAnm7v1yG1BKWFtr0DnaTsq59oW9dwWvFgq6hs0/edit?usp=share_link"",""แพร่!n476"")+IMPORTRANGE("""&amp;"https://docs.google.com/spreadsheets/d/1Wbcosgy-Xa1xXUArJSOenub6EfZHUSzc_bpJFWwQUf0/edit?usp=share_link"",""แม่ฮ่องสอน!n476"")+IMPORTRANGE(""https://docs.google.com/spreadsheets/d/1p7ERhsr0qZeSn-KSOdeHS9r0heI-lHtkcn2OH7hP0jQ/edit?usp=share_link"",""ลำปาง!"&amp;"n476"")+IMPORTRANGE(""https://docs.google.com/spreadsheets/d/1-uUXvimVhiU2U0bMN-xi2te0tS4X7DI2GLPnMjzl8cA/edit?usp=share_link"",""ลำพูน!n476"")+IMPORTRANGE(""https://docs.google.com/spreadsheets/d/17HrOaa5pBUI1onckFfumXB8xlg35qb2uBAFfF1D-Myo/edit?usp=shar"&amp;"e_link"",""สุโขทัย!n476"")+IMPORTRANGE(""https://docs.google.com/spreadsheets/d/1ubs5cl16eYL9gHbdHTJtmtYb9MGzHBs7CAphn8kNCgM/edit?usp=share_link"",""อุตรดิตถ์!n476"")+IMPORTRANGE(""https://docs.google.com/spreadsheets/d/1kII0BjS6CtVrBvI8IrytgPdxDrlyQDyigz"&amp;"MsohRtDMs/edit?usp=share_link"",""อุทัยธานี!n476"")
"),5195)</f>
        <v>5195</v>
      </c>
      <c r="O476" s="38"/>
      <c r="P476" s="38"/>
      <c r="Q476" s="541"/>
      <c r="R476" s="541"/>
      <c r="S476" s="541"/>
      <c r="T476" s="541"/>
      <c r="U476" s="541"/>
      <c r="V476" s="541"/>
      <c r="W476" s="541"/>
      <c r="X476" s="541"/>
      <c r="Y476" s="541"/>
      <c r="Z476" s="541"/>
    </row>
    <row r="477" spans="1:26" ht="18.75">
      <c r="A477" s="561"/>
      <c r="B477" s="538"/>
      <c r="C477" s="538"/>
      <c r="D477" s="570" t="s">
        <v>21</v>
      </c>
      <c r="E477" s="538"/>
      <c r="F477" s="538"/>
      <c r="G477" s="189"/>
      <c r="H477" s="168" t="s">
        <v>12</v>
      </c>
      <c r="I477" s="162"/>
      <c r="J477" s="162"/>
      <c r="K477" s="163"/>
      <c r="L477" s="38">
        <f t="shared" ref="L477:N477" ca="1" si="246">L478+L479</f>
        <v>0</v>
      </c>
      <c r="M477" s="38">
        <f t="shared" si="246"/>
        <v>0</v>
      </c>
      <c r="N477" s="38">
        <f t="shared" si="246"/>
        <v>0</v>
      </c>
      <c r="O477" s="38">
        <f t="shared" ref="O477:O479" ca="1" si="247">IF(L477&gt;0,N477*100/L477,0)</f>
        <v>0</v>
      </c>
      <c r="P477" s="38">
        <f t="shared" ref="P477:P479" si="248">IF(M477&gt;0,N477*100/M477,0)</f>
        <v>0</v>
      </c>
      <c r="Q477" s="541"/>
      <c r="R477" s="541"/>
      <c r="S477" s="541"/>
      <c r="T477" s="541"/>
      <c r="U477" s="541"/>
      <c r="V477" s="541"/>
      <c r="W477" s="541"/>
      <c r="X477" s="541"/>
      <c r="Y477" s="541"/>
      <c r="Z477" s="541"/>
    </row>
    <row r="478" spans="1:26" ht="18.75" hidden="1">
      <c r="A478" s="563"/>
      <c r="B478" s="569"/>
      <c r="C478" s="569"/>
      <c r="D478" s="569"/>
      <c r="E478" s="571" t="s">
        <v>18</v>
      </c>
      <c r="F478" s="569"/>
      <c r="G478" s="567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45">
        <f t="shared" si="247"/>
        <v>0</v>
      </c>
      <c r="P478" s="45">
        <f t="shared" si="248"/>
        <v>0</v>
      </c>
      <c r="Q478" s="568"/>
      <c r="R478" s="568"/>
      <c r="S478" s="568"/>
      <c r="T478" s="568"/>
      <c r="U478" s="568"/>
      <c r="V478" s="568"/>
      <c r="W478" s="568"/>
      <c r="X478" s="568"/>
      <c r="Y478" s="568"/>
      <c r="Z478" s="568"/>
    </row>
    <row r="479" spans="1:26" ht="18.75" hidden="1">
      <c r="A479" s="563"/>
      <c r="B479" s="569"/>
      <c r="C479" s="569"/>
      <c r="D479" s="569"/>
      <c r="E479" s="571" t="s">
        <v>19</v>
      </c>
      <c r="F479" s="569"/>
      <c r="G479" s="567"/>
      <c r="H479" s="169" t="s">
        <v>12</v>
      </c>
      <c r="I479" s="166"/>
      <c r="J479" s="166"/>
      <c r="K479" s="167"/>
      <c r="L479" s="45">
        <f ca="1">IFERROR(__xludf.DUMMYFUNCTION("IMPORTRANGE(""https://docs.google.com/spreadsheets/d/1KxicF4apzSqm0-jIpmueT4kyZtE-Cwn5zskl7GD4loQ/edit?usp=share_link"",""กำแพงเพชร!l479"")+IMPORTRANGE(""https://docs.google.com/spreadsheets/d/1ZNYWeiFoFA1K1U4xKWqRX29MBvEyRHXORjo734Gnq_c/edit?usp=share_li"&amp;"nk"",""เชียงราย!l479"")
+IMPORTRANGE(""https://docs.google.com/spreadsheets/d/1Jgv0Y7YlHDtsiDawwp-uvifEJ8HVaSn0k2aGHG8-hwM/edit?usp=share_link"",""เชียงใหม่!l479"")+IMPORTRANGE(""https://docs.google.com/spreadsheets/d/1JWG2rZePOz9pe-f-ObA-yDr0VoOX2kSb0qIi"&amp;"x2mTUo8/edit?usp=share_link"",""ตาก!l479"")+IMPORTRANGE(""https://docs.google.com/spreadsheets/d/10nSRjK08hx8Y6HgSOQKNw81lyY46Zc7U_Cj72hBMp9U/edit?usp=share_link"",""นครสวรรค์!l479"")+IMPORTRANGE(""https://docs.google.com/spreadsheets/d/1gFVb7qd7amutrIxAA"&amp;"oM7lcy35hllxznovot8lyOfvDo/edit?usp=share_link"",""น่าน!l479"")+IMPORTRANGE(""https://docs.google.com/spreadsheets/d/1K0Aa9s-6EuHE5M0FG1F9aHLXRCOV917xvycTdLdct0w/edit?usp=share_link"",""พะเยา!l479"")+IMPORTRANGE(""https://docs.google.com/spreadsheets/d/1Y"&amp;"9LPKx95PyL5OKy09d-KbKJSuuEZCFdkhYjwC0XQjBA/edit?usp=share_link"",""พิจิตร!l479"")+IMPORTRANGE(""https://docs.google.com/spreadsheets/d/16OMuOwy2eVqZcYWOouQtTpa8X1L23h4660uVHc0C8os/edit?usp=share_link"",""พิษณุโลก!l479"")+IMPORTRANGE(""https://docs.google."&amp;"com/spreadsheets/d/1GfgTldLG6k77HXaMQzaafODklYuucJZQNs_GAPEfZyY/edit?usp=share_link"",""เพชรบูรณ์!l479"")+IMPORTRANGE(""https://docs.google.com/spreadsheets/d/1gvTMYAnm7v1yG1BKWFtr0DnaTsq59oW9dwWvFgq6hs0/edit?usp=share_link"",""แพร่!l479"")+IMPORTRANGE("""&amp;"https://docs.google.com/spreadsheets/d/1Wbcosgy-Xa1xXUArJSOenub6EfZHUSzc_bpJFWwQUf0/edit?usp=share_link"",""แม่ฮ่องสอน!l479"")+IMPORTRANGE(""https://docs.google.com/spreadsheets/d/1p7ERhsr0qZeSn-KSOdeHS9r0heI-lHtkcn2OH7hP0jQ/edit?usp=share_link"",""ลำปาง!"&amp;"l479"")+IMPORTRANGE(""https://docs.google.com/spreadsheets/d/1-uUXvimVhiU2U0bMN-xi2te0tS4X7DI2GLPnMjzl8cA/edit?usp=share_link"",""ลำพูน!l479"")+IMPORTRANGE(""https://docs.google.com/spreadsheets/d/17HrOaa5pBUI1onckFfumXB8xlg35qb2uBAFfF1D-Myo/edit?usp=shar"&amp;"e_link"",""สุโขทัย!l479"")+IMPORTRANGE(""https://docs.google.com/spreadsheets/d/1ubs5cl16eYL9gHbdHTJtmtYb9MGzHBs7CAphn8kNCgM/edit?usp=share_link"",""อุตรดิตถ์!l479"")+IMPORTRANGE(""https://docs.google.com/spreadsheets/d/1kII0BjS6CtVrBvI8IrytgPdxDrlyQDyigz"&amp;"MsohRtDMs/edit?usp=share_link"",""อุทัยธานี!l479"")
"),0)</f>
        <v>0</v>
      </c>
      <c r="M479" s="93">
        <v>0</v>
      </c>
      <c r="N479" s="93">
        <v>0</v>
      </c>
      <c r="O479" s="45">
        <f t="shared" ca="1" si="247"/>
        <v>0</v>
      </c>
      <c r="P479" s="45">
        <f t="shared" si="248"/>
        <v>0</v>
      </c>
      <c r="Q479" s="568"/>
      <c r="R479" s="568"/>
      <c r="S479" s="568"/>
      <c r="T479" s="568"/>
      <c r="U479" s="568"/>
      <c r="V479" s="568"/>
      <c r="W479" s="568"/>
      <c r="X479" s="568"/>
      <c r="Y479" s="568"/>
      <c r="Z479" s="568"/>
    </row>
    <row r="480" spans="1:26" ht="19.5">
      <c r="A480" s="572"/>
      <c r="B480" s="573"/>
      <c r="C480" s="538" t="s">
        <v>16</v>
      </c>
      <c r="D480" s="587" t="s">
        <v>38</v>
      </c>
      <c r="E480" s="575"/>
      <c r="F480" s="576"/>
      <c r="G480" s="577"/>
      <c r="H480" s="175"/>
      <c r="I480" s="37"/>
      <c r="J480" s="37"/>
      <c r="K480" s="38"/>
      <c r="L480" s="38"/>
      <c r="M480" s="38"/>
      <c r="N480" s="38"/>
      <c r="O480" s="38"/>
      <c r="P480" s="38"/>
      <c r="Q480" s="541"/>
      <c r="R480" s="541"/>
      <c r="S480" s="541"/>
      <c r="T480" s="541"/>
      <c r="U480" s="541"/>
      <c r="V480" s="541"/>
      <c r="W480" s="541"/>
      <c r="X480" s="541"/>
      <c r="Y480" s="541"/>
      <c r="Z480" s="541"/>
    </row>
    <row r="481" spans="1:26" ht="19.5">
      <c r="A481" s="572"/>
      <c r="B481" s="573"/>
      <c r="C481" s="573"/>
      <c r="D481" s="588" t="s">
        <v>206</v>
      </c>
      <c r="E481" s="573"/>
      <c r="F481" s="573"/>
      <c r="G481" s="175"/>
      <c r="H481" s="189"/>
      <c r="I481" s="37"/>
      <c r="J481" s="37"/>
      <c r="K481" s="38"/>
      <c r="L481" s="38"/>
      <c r="M481" s="38"/>
      <c r="N481" s="38"/>
      <c r="O481" s="38"/>
      <c r="P481" s="38"/>
      <c r="Q481" s="541"/>
      <c r="R481" s="541"/>
      <c r="S481" s="541"/>
      <c r="T481" s="541"/>
      <c r="U481" s="541"/>
      <c r="V481" s="541"/>
      <c r="W481" s="541"/>
      <c r="X481" s="541"/>
      <c r="Y481" s="541"/>
      <c r="Z481" s="541"/>
    </row>
    <row r="482" spans="1:26" ht="18.75">
      <c r="A482" s="572"/>
      <c r="B482" s="573"/>
      <c r="C482" s="573"/>
      <c r="D482" s="573"/>
      <c r="E482" s="584" t="s">
        <v>207</v>
      </c>
      <c r="F482" s="573"/>
      <c r="G482" s="175"/>
      <c r="H482" s="189"/>
      <c r="I482" s="37"/>
      <c r="J482" s="37"/>
      <c r="K482" s="38"/>
      <c r="L482" s="38"/>
      <c r="M482" s="38"/>
      <c r="N482" s="38"/>
      <c r="O482" s="38"/>
      <c r="P482" s="38"/>
      <c r="Q482" s="541"/>
      <c r="R482" s="541"/>
      <c r="S482" s="541"/>
      <c r="T482" s="541"/>
      <c r="U482" s="541"/>
      <c r="V482" s="541"/>
      <c r="W482" s="541"/>
      <c r="X482" s="541"/>
      <c r="Y482" s="541"/>
      <c r="Z482" s="541"/>
    </row>
    <row r="483" spans="1:26" ht="18.75">
      <c r="A483" s="572"/>
      <c r="B483" s="573"/>
      <c r="C483" s="573"/>
      <c r="D483" s="573"/>
      <c r="E483" s="573"/>
      <c r="F483" s="584" t="s">
        <v>208</v>
      </c>
      <c r="G483" s="175"/>
      <c r="H483" s="36" t="s">
        <v>46</v>
      </c>
      <c r="I483" s="37">
        <f ca="1">IFERROR(__xludf.DUMMYFUNCTION("IMPORTRANGE(""https://docs.google.com/spreadsheets/d/1KxicF4apzSqm0-jIpmueT4kyZtE-Cwn5zskl7GD4loQ/edit?usp=share_link"",""กำแพงเพชร!I483"")+IMPORTRANGE(""https://docs.google.com/spreadsheets/d/1ZNYWeiFoFA1K1U4xKWqRX29MBvEyRHXORjo734Gnq_c/edit?usp=share_li"&amp;"nk"",""เชียงราย!I483"")
+IMPORTRANGE(""https://docs.google.com/spreadsheets/d/1Jgv0Y7YlHDtsiDawwp-uvifEJ8HVaSn0k2aGHG8-hwM/edit?usp=share_link"",""เชียงใหม่!I483"")+IMPORTRANGE(""https://docs.google.com/spreadsheets/d/1JWG2rZePOz9pe-f-ObA-yDr0VoOX2kSb0qIi"&amp;"x2mTUo8/edit?usp=share_link"",""ตาก!I483"")+IMPORTRANGE(""https://docs.google.com/spreadsheets/d/10nSRjK08hx8Y6HgSOQKNw81lyY46Zc7U_Cj72hBMp9U/edit?usp=share_link"",""นครสวรรค์!I483"")+IMPORTRANGE(""https://docs.google.com/spreadsheets/d/1gFVb7qd7amutrIxAA"&amp;"oM7lcy35hllxznovot8lyOfvDo/edit?usp=share_link"",""น่าน!I483"")+IMPORTRANGE(""https://docs.google.com/spreadsheets/d/1K0Aa9s-6EuHE5M0FG1F9aHLXRCOV917xvycTdLdct0w/edit?usp=share_link"",""พะเยา!I483"")+IMPORTRANGE(""https://docs.google.com/spreadsheets/d/1Y"&amp;"9LPKx95PyL5OKy09d-KbKJSuuEZCFdkhYjwC0XQjBA/edit?usp=share_link"",""พิจิตร!I483"")+IMPORTRANGE(""https://docs.google.com/spreadsheets/d/16OMuOwy2eVqZcYWOouQtTpa8X1L23h4660uVHc0C8os/edit?usp=share_link"",""พิษณุโลก!I483"")+IMPORTRANGE(""https://docs.google."&amp;"com/spreadsheets/d/1GfgTldLG6k77HXaMQzaafODklYuucJZQNs_GAPEfZyY/edit?usp=share_link"",""เพชรบูรณ์!I483"")+IMPORTRANGE(""https://docs.google.com/spreadsheets/d/1gvTMYAnm7v1yG1BKWFtr0DnaTsq59oW9dwWvFgq6hs0/edit?usp=share_link"",""แพร่!I483"")+IMPORTRANGE("""&amp;"https://docs.google.com/spreadsheets/d/1Wbcosgy-Xa1xXUArJSOenub6EfZHUSzc_bpJFWwQUf0/edit?usp=share_link"",""แม่ฮ่องสอน!I483"")+IMPORTRANGE(""https://docs.google.com/spreadsheets/d/1p7ERhsr0qZeSn-KSOdeHS9r0heI-lHtkcn2OH7hP0jQ/edit?usp=share_link"",""ลำปาง!"&amp;"I483"")+IMPORTRANGE(""https://docs.google.com/spreadsheets/d/1-uUXvimVhiU2U0bMN-xi2te0tS4X7DI2GLPnMjzl8cA/edit?usp=share_link"",""ลำพูน!I483"")+IMPORTRANGE(""https://docs.google.com/spreadsheets/d/17HrOaa5pBUI1onckFfumXB8xlg35qb2uBAFfF1D-Myo/edit?usp=shar"&amp;"e_link"",""สุโขทัย!I483"")+IMPORTRANGE(""https://docs.google.com/spreadsheets/d/1ubs5cl16eYL9gHbdHTJtmtYb9MGzHBs7CAphn8kNCgM/edit?usp=share_link"",""อุตรดิตถ์!I483"")+IMPORTRANGE(""https://docs.google.com/spreadsheets/d/1kII0BjS6CtVrBvI8IrytgPdxDrlyQDyigz"&amp;"MsohRtDMs/edit?usp=share_link"",""อุทัยธานี!I483"")
"),11790)</f>
        <v>11790</v>
      </c>
      <c r="J483" s="183">
        <f ca="1">IFERROR(__xludf.DUMMYFUNCTION("IMPORTRANGE(""https://docs.google.com/spreadsheets/d/1KxicF4apzSqm0-jIpmueT4kyZtE-Cwn5zskl7GD4loQ/edit?usp=share_link"",""กำแพงเพชร!J483"")+IMPORTRANGE(""https://docs.google.com/spreadsheets/d/1ZNYWeiFoFA1K1U4xKWqRX29MBvEyRHXORjo734Gnq_c/edit?usp=share_li"&amp;"nk"",""เชียงราย!J483"")
+IMPORTRANGE(""https://docs.google.com/spreadsheets/d/1Jgv0Y7YlHDtsiDawwp-uvifEJ8HVaSn0k2aGHG8-hwM/edit?usp=share_link"",""เชียงใหม่!J483"")+IMPORTRANGE(""https://docs.google.com/spreadsheets/d/1JWG2rZePOz9pe-f-ObA-yDr0VoOX2kSb0qIi"&amp;"x2mTUo8/edit?usp=share_link"",""ตาก!J483"")+IMPORTRANGE(""https://docs.google.com/spreadsheets/d/10nSRjK08hx8Y6HgSOQKNw81lyY46Zc7U_Cj72hBMp9U/edit?usp=share_link"",""นครสวรรค์!J483"")+IMPORTRANGE(""https://docs.google.com/spreadsheets/d/1gFVb7qd7amutrIxAA"&amp;"oM7lcy35hllxznovot8lyOfvDo/edit?usp=share_link"",""น่าน!J483"")+IMPORTRANGE(""https://docs.google.com/spreadsheets/d/1K0Aa9s-6EuHE5M0FG1F9aHLXRCOV917xvycTdLdct0w/edit?usp=share_link"",""พะเยา!J483"")+IMPORTRANGE(""https://docs.google.com/spreadsheets/d/1Y"&amp;"9LPKx95PyL5OKy09d-KbKJSuuEZCFdkhYjwC0XQjBA/edit?usp=share_link"",""พิจิตร!J483"")+IMPORTRANGE(""https://docs.google.com/spreadsheets/d/16OMuOwy2eVqZcYWOouQtTpa8X1L23h4660uVHc0C8os/edit?usp=share_link"",""พิษณุโลก!J483"")+IMPORTRANGE(""https://docs.google."&amp;"com/spreadsheets/d/1GfgTldLG6k77HXaMQzaafODklYuucJZQNs_GAPEfZyY/edit?usp=share_link"",""เพชรบูรณ์!J483"")+IMPORTRANGE(""https://docs.google.com/spreadsheets/d/1gvTMYAnm7v1yG1BKWFtr0DnaTsq59oW9dwWvFgq6hs0/edit?usp=share_link"",""แพร่!J483"")+IMPORTRANGE("""&amp;"https://docs.google.com/spreadsheets/d/1Wbcosgy-Xa1xXUArJSOenub6EfZHUSzc_bpJFWwQUf0/edit?usp=share_link"",""แม่ฮ่องสอน!J483"")+IMPORTRANGE(""https://docs.google.com/spreadsheets/d/1p7ERhsr0qZeSn-KSOdeHS9r0heI-lHtkcn2OH7hP0jQ/edit?usp=share_link"",""ลำปาง!"&amp;"J483"")+IMPORTRANGE(""https://docs.google.com/spreadsheets/d/1-uUXvimVhiU2U0bMN-xi2te0tS4X7DI2GLPnMjzl8cA/edit?usp=share_link"",""ลำพูน!J483"")+IMPORTRANGE(""https://docs.google.com/spreadsheets/d/17HrOaa5pBUI1onckFfumXB8xlg35qb2uBAFfF1D-Myo/edit?usp=shar"&amp;"e_link"",""สุโขทัย!J483"")+IMPORTRANGE(""https://docs.google.com/spreadsheets/d/1ubs5cl16eYL9gHbdHTJtmtYb9MGzHBs7CAphn8kNCgM/edit?usp=share_link"",""อุตรดิตถ์!J483"")+IMPORTRANGE(""https://docs.google.com/spreadsheets/d/1kII0BjS6CtVrBvI8IrytgPdxDrlyQDyigz"&amp;"MsohRtDMs/edit?usp=share_link"",""อุทัยธานี!J483"")
"),1170)</f>
        <v>1170</v>
      </c>
      <c r="K483" s="38">
        <f ca="1">IF(I483&gt;0,J483*100/I483,0)</f>
        <v>9.9236641221374047</v>
      </c>
      <c r="L483" s="38"/>
      <c r="M483" s="38"/>
      <c r="N483" s="38"/>
      <c r="O483" s="38"/>
      <c r="P483" s="38"/>
      <c r="Q483" s="541"/>
      <c r="R483" s="541"/>
      <c r="S483" s="541"/>
      <c r="T483" s="541"/>
      <c r="U483" s="541"/>
      <c r="V483" s="541"/>
      <c r="W483" s="541"/>
      <c r="X483" s="541"/>
      <c r="Y483" s="541"/>
      <c r="Z483" s="541"/>
    </row>
    <row r="484" spans="1:26" ht="18.75">
      <c r="A484" s="572"/>
      <c r="B484" s="573"/>
      <c r="C484" s="573"/>
      <c r="D484" s="573"/>
      <c r="E484" s="573"/>
      <c r="F484" s="584" t="s">
        <v>209</v>
      </c>
      <c r="G484" s="175"/>
      <c r="H484" s="36" t="s">
        <v>35</v>
      </c>
      <c r="I484" s="37"/>
      <c r="J484" s="183">
        <f ca="1">IFERROR(__xludf.DUMMYFUNCTION("IMPORTRANGE(""https://docs.google.com/spreadsheets/d/1KxicF4apzSqm0-jIpmueT4kyZtE-Cwn5zskl7GD4loQ/edit?usp=share_link"",""กำแพงเพชร!J484"")+IMPORTRANGE(""https://docs.google.com/spreadsheets/d/1ZNYWeiFoFA1K1U4xKWqRX29MBvEyRHXORjo734Gnq_c/edit?usp=share_li"&amp;"nk"",""เชียงราย!J484"")
+IMPORTRANGE(""https://docs.google.com/spreadsheets/d/1Jgv0Y7YlHDtsiDawwp-uvifEJ8HVaSn0k2aGHG8-hwM/edit?usp=share_link"",""เชียงใหม่!J484"")+IMPORTRANGE(""https://docs.google.com/spreadsheets/d/1JWG2rZePOz9pe-f-ObA-yDr0VoOX2kSb0qIi"&amp;"x2mTUo8/edit?usp=share_link"",""ตาก!J484"")+IMPORTRANGE(""https://docs.google.com/spreadsheets/d/10nSRjK08hx8Y6HgSOQKNw81lyY46Zc7U_Cj72hBMp9U/edit?usp=share_link"",""นครสวรรค์!J484"")+IMPORTRANGE(""https://docs.google.com/spreadsheets/d/1gFVb7qd7amutrIxAA"&amp;"oM7lcy35hllxznovot8lyOfvDo/edit?usp=share_link"",""น่าน!J484"")+IMPORTRANGE(""https://docs.google.com/spreadsheets/d/1K0Aa9s-6EuHE5M0FG1F9aHLXRCOV917xvycTdLdct0w/edit?usp=share_link"",""พะเยา!J484"")+IMPORTRANGE(""https://docs.google.com/spreadsheets/d/1Y"&amp;"9LPKx95PyL5OKy09d-KbKJSuuEZCFdkhYjwC0XQjBA/edit?usp=share_link"",""พิจิตร!J484"")+IMPORTRANGE(""https://docs.google.com/spreadsheets/d/16OMuOwy2eVqZcYWOouQtTpa8X1L23h4660uVHc0C8os/edit?usp=share_link"",""พิษณุโลก!J484"")+IMPORTRANGE(""https://docs.google."&amp;"com/spreadsheets/d/1GfgTldLG6k77HXaMQzaafODklYuucJZQNs_GAPEfZyY/edit?usp=share_link"",""เพชรบูรณ์!J484"")+IMPORTRANGE(""https://docs.google.com/spreadsheets/d/1gvTMYAnm7v1yG1BKWFtr0DnaTsq59oW9dwWvFgq6hs0/edit?usp=share_link"",""แพร่!J484"")+IMPORTRANGE("""&amp;"https://docs.google.com/spreadsheets/d/1Wbcosgy-Xa1xXUArJSOenub6EfZHUSzc_bpJFWwQUf0/edit?usp=share_link"",""แม่ฮ่องสอน!J484"")+IMPORTRANGE(""https://docs.google.com/spreadsheets/d/1p7ERhsr0qZeSn-KSOdeHS9r0heI-lHtkcn2OH7hP0jQ/edit?usp=share_link"",""ลำปาง!"&amp;"J484"")+IMPORTRANGE(""https://docs.google.com/spreadsheets/d/1-uUXvimVhiU2U0bMN-xi2te0tS4X7DI2GLPnMjzl8cA/edit?usp=share_link"",""ลำพูน!J484"")+IMPORTRANGE(""https://docs.google.com/spreadsheets/d/17HrOaa5pBUI1onckFfumXB8xlg35qb2uBAFfF1D-Myo/edit?usp=shar"&amp;"e_link"",""สุโขทัย!J484"")+IMPORTRANGE(""https://docs.google.com/spreadsheets/d/1ubs5cl16eYL9gHbdHTJtmtYb9MGzHBs7CAphn8kNCgM/edit?usp=share_link"",""อุตรดิตถ์!J484"")+IMPORTRANGE(""https://docs.google.com/spreadsheets/d/1kII0BjS6CtVrBvI8IrytgPdxDrlyQDyigz"&amp;"MsohRtDMs/edit?usp=share_link"",""อุทัยธานี!J484"")
"),0)</f>
        <v>0</v>
      </c>
      <c r="K484" s="38"/>
      <c r="L484" s="38"/>
      <c r="M484" s="38"/>
      <c r="N484" s="38"/>
      <c r="O484" s="38"/>
      <c r="P484" s="38"/>
      <c r="Q484" s="541"/>
      <c r="R484" s="541"/>
      <c r="S484" s="541"/>
      <c r="T484" s="541"/>
      <c r="U484" s="541"/>
      <c r="V484" s="541"/>
      <c r="W484" s="541"/>
      <c r="X484" s="541"/>
      <c r="Y484" s="541"/>
      <c r="Z484" s="541"/>
    </row>
    <row r="485" spans="1:26" ht="18.75">
      <c r="A485" s="572"/>
      <c r="B485" s="573"/>
      <c r="C485" s="573"/>
      <c r="D485" s="573"/>
      <c r="E485" s="573"/>
      <c r="F485" s="584" t="s">
        <v>210</v>
      </c>
      <c r="G485" s="175"/>
      <c r="H485" s="36" t="s">
        <v>35</v>
      </c>
      <c r="I485" s="37">
        <f ca="1">IFERROR(__xludf.DUMMYFUNCTION("IMPORTRANGE(""https://docs.google.com/spreadsheets/d/1KxicF4apzSqm0-jIpmueT4kyZtE-Cwn5zskl7GD4loQ/edit?usp=share_link"",""กำแพงเพชร!I485"")+IMPORTRANGE(""https://docs.google.com/spreadsheets/d/1ZNYWeiFoFA1K1U4xKWqRX29MBvEyRHXORjo734Gnq_c/edit?usp=share_li"&amp;"nk"",""เชียงราย!I485"")
+IMPORTRANGE(""https://docs.google.com/spreadsheets/d/1Jgv0Y7YlHDtsiDawwp-uvifEJ8HVaSn0k2aGHG8-hwM/edit?usp=share_link"",""เชียงใหม่!I485"")+IMPORTRANGE(""https://docs.google.com/spreadsheets/d/1JWG2rZePOz9pe-f-ObA-yDr0VoOX2kSb0qIi"&amp;"x2mTUo8/edit?usp=share_link"",""ตาก!I485"")+IMPORTRANGE(""https://docs.google.com/spreadsheets/d/10nSRjK08hx8Y6HgSOQKNw81lyY46Zc7U_Cj72hBMp9U/edit?usp=share_link"",""นครสวรรค์!I485"")+IMPORTRANGE(""https://docs.google.com/spreadsheets/d/1gFVb7qd7amutrIxAA"&amp;"oM7lcy35hllxznovot8lyOfvDo/edit?usp=share_link"",""น่าน!I485"")+IMPORTRANGE(""https://docs.google.com/spreadsheets/d/1K0Aa9s-6EuHE5M0FG1F9aHLXRCOV917xvycTdLdct0w/edit?usp=share_link"",""พะเยา!I485"")+IMPORTRANGE(""https://docs.google.com/spreadsheets/d/1Y"&amp;"9LPKx95PyL5OKy09d-KbKJSuuEZCFdkhYjwC0XQjBA/edit?usp=share_link"",""พิจิตร!I485"")+IMPORTRANGE(""https://docs.google.com/spreadsheets/d/16OMuOwy2eVqZcYWOouQtTpa8X1L23h4660uVHc0C8os/edit?usp=share_link"",""พิษณุโลก!I485"")+IMPORTRANGE(""https://docs.google."&amp;"com/spreadsheets/d/1GfgTldLG6k77HXaMQzaafODklYuucJZQNs_GAPEfZyY/edit?usp=share_link"",""เพชรบูรณ์!I485"")+IMPORTRANGE(""https://docs.google.com/spreadsheets/d/1gvTMYAnm7v1yG1BKWFtr0DnaTsq59oW9dwWvFgq6hs0/edit?usp=share_link"",""แพร่!I485"")+IMPORTRANGE("""&amp;"https://docs.google.com/spreadsheets/d/1Wbcosgy-Xa1xXUArJSOenub6EfZHUSzc_bpJFWwQUf0/edit?usp=share_link"",""แม่ฮ่องสอน!I485"")+IMPORTRANGE(""https://docs.google.com/spreadsheets/d/1p7ERhsr0qZeSn-KSOdeHS9r0heI-lHtkcn2OH7hP0jQ/edit?usp=share_link"",""ลำปาง!"&amp;"I485"")+IMPORTRANGE(""https://docs.google.com/spreadsheets/d/1-uUXvimVhiU2U0bMN-xi2te0tS4X7DI2GLPnMjzl8cA/edit?usp=share_link"",""ลำพูน!I485"")+IMPORTRANGE(""https://docs.google.com/spreadsheets/d/17HrOaa5pBUI1onckFfumXB8xlg35qb2uBAFfF1D-Myo/edit?usp=shar"&amp;"e_link"",""สุโขทัย!I485"")+IMPORTRANGE(""https://docs.google.com/spreadsheets/d/1ubs5cl16eYL9gHbdHTJtmtYb9MGzHBs7CAphn8kNCgM/edit?usp=share_link"",""อุตรดิตถ์!I485"")+IMPORTRANGE(""https://docs.google.com/spreadsheets/d/1kII0BjS6CtVrBvI8IrytgPdxDrlyQDyigz"&amp;"MsohRtDMs/edit?usp=share_link"",""อุทัยธานี!I485"")
"),1179)</f>
        <v>1179</v>
      </c>
      <c r="J485" s="183">
        <f ca="1">IFERROR(__xludf.DUMMYFUNCTION("IMPORTRANGE(""https://docs.google.com/spreadsheets/d/1KxicF4apzSqm0-jIpmueT4kyZtE-Cwn5zskl7GD4loQ/edit?usp=share_link"",""กำแพงเพชร!J485"")+IMPORTRANGE(""https://docs.google.com/spreadsheets/d/1ZNYWeiFoFA1K1U4xKWqRX29MBvEyRHXORjo734Gnq_c/edit?usp=share_li"&amp;"nk"",""เชียงราย!J485"")
+IMPORTRANGE(""https://docs.google.com/spreadsheets/d/1Jgv0Y7YlHDtsiDawwp-uvifEJ8HVaSn0k2aGHG8-hwM/edit?usp=share_link"",""เชียงใหม่!J485"")+IMPORTRANGE(""https://docs.google.com/spreadsheets/d/1JWG2rZePOz9pe-f-ObA-yDr0VoOX2kSb0qIi"&amp;"x2mTUo8/edit?usp=share_link"",""ตาก!J485"")+IMPORTRANGE(""https://docs.google.com/spreadsheets/d/10nSRjK08hx8Y6HgSOQKNw81lyY46Zc7U_Cj72hBMp9U/edit?usp=share_link"",""นครสวรรค์!J485"")+IMPORTRANGE(""https://docs.google.com/spreadsheets/d/1gFVb7qd7amutrIxAA"&amp;"oM7lcy35hllxznovot8lyOfvDo/edit?usp=share_link"",""น่าน!J485"")+IMPORTRANGE(""https://docs.google.com/spreadsheets/d/1K0Aa9s-6EuHE5M0FG1F9aHLXRCOV917xvycTdLdct0w/edit?usp=share_link"",""พะเยา!J485"")+IMPORTRANGE(""https://docs.google.com/spreadsheets/d/1Y"&amp;"9LPKx95PyL5OKy09d-KbKJSuuEZCFdkhYjwC0XQjBA/edit?usp=share_link"",""พิจิตร!J485"")+IMPORTRANGE(""https://docs.google.com/spreadsheets/d/16OMuOwy2eVqZcYWOouQtTpa8X1L23h4660uVHc0C8os/edit?usp=share_link"",""พิษณุโลก!J485"")+IMPORTRANGE(""https://docs.google."&amp;"com/spreadsheets/d/1GfgTldLG6k77HXaMQzaafODklYuucJZQNs_GAPEfZyY/edit?usp=share_link"",""เพชรบูรณ์!J485"")+IMPORTRANGE(""https://docs.google.com/spreadsheets/d/1gvTMYAnm7v1yG1BKWFtr0DnaTsq59oW9dwWvFgq6hs0/edit?usp=share_link"",""แพร่!J485"")+IMPORTRANGE("""&amp;"https://docs.google.com/spreadsheets/d/1Wbcosgy-Xa1xXUArJSOenub6EfZHUSzc_bpJFWwQUf0/edit?usp=share_link"",""แม่ฮ่องสอน!J485"")+IMPORTRANGE(""https://docs.google.com/spreadsheets/d/1p7ERhsr0qZeSn-KSOdeHS9r0heI-lHtkcn2OH7hP0jQ/edit?usp=share_link"",""ลำปาง!"&amp;"J485"")+IMPORTRANGE(""https://docs.google.com/spreadsheets/d/1-uUXvimVhiU2U0bMN-xi2te0tS4X7DI2GLPnMjzl8cA/edit?usp=share_link"",""ลำพูน!J485"")+IMPORTRANGE(""https://docs.google.com/spreadsheets/d/17HrOaa5pBUI1onckFfumXB8xlg35qb2uBAFfF1D-Myo/edit?usp=shar"&amp;"e_link"",""สุโขทัย!J485"")+IMPORTRANGE(""https://docs.google.com/spreadsheets/d/1ubs5cl16eYL9gHbdHTJtmtYb9MGzHBs7CAphn8kNCgM/edit?usp=share_link"",""อุตรดิตถ์!J485"")+IMPORTRANGE(""https://docs.google.com/spreadsheets/d/1kII0BjS6CtVrBvI8IrytgPdxDrlyQDyigz"&amp;"MsohRtDMs/edit?usp=share_link"",""อุทัยธานี!J485"")
"),117)</f>
        <v>117</v>
      </c>
      <c r="K485" s="38">
        <f ca="1">IF(I485&gt;0,J485*100/I485,0)</f>
        <v>9.9236641221374047</v>
      </c>
      <c r="L485" s="38"/>
      <c r="M485" s="38"/>
      <c r="N485" s="38"/>
      <c r="O485" s="38"/>
      <c r="P485" s="38"/>
      <c r="Q485" s="541"/>
      <c r="R485" s="541"/>
      <c r="S485" s="541"/>
      <c r="T485" s="541"/>
      <c r="U485" s="541"/>
      <c r="V485" s="541"/>
      <c r="W485" s="541"/>
      <c r="X485" s="541"/>
      <c r="Y485" s="541"/>
      <c r="Z485" s="541"/>
    </row>
    <row r="486" spans="1:26" ht="18.75">
      <c r="A486" s="572"/>
      <c r="B486" s="573"/>
      <c r="C486" s="573"/>
      <c r="D486" s="573"/>
      <c r="E486" s="584" t="s">
        <v>62</v>
      </c>
      <c r="F486" s="573"/>
      <c r="G486" s="175"/>
      <c r="H486" s="36"/>
      <c r="I486" s="37"/>
      <c r="J486" s="37"/>
      <c r="K486" s="38"/>
      <c r="L486" s="38"/>
      <c r="M486" s="38"/>
      <c r="N486" s="38"/>
      <c r="O486" s="38"/>
      <c r="P486" s="38"/>
      <c r="Q486" s="541"/>
      <c r="R486" s="541"/>
      <c r="S486" s="541"/>
      <c r="T486" s="541"/>
      <c r="U486" s="541"/>
      <c r="V486" s="541"/>
      <c r="W486" s="541"/>
      <c r="X486" s="541"/>
      <c r="Y486" s="541"/>
      <c r="Z486" s="541"/>
    </row>
    <row r="487" spans="1:26" ht="18.75">
      <c r="A487" s="572"/>
      <c r="B487" s="573"/>
      <c r="C487" s="573"/>
      <c r="D487" s="573"/>
      <c r="E487" s="573"/>
      <c r="F487" s="584" t="s">
        <v>208</v>
      </c>
      <c r="G487" s="175"/>
      <c r="H487" s="36" t="s">
        <v>46</v>
      </c>
      <c r="I487" s="37">
        <f ca="1">IFERROR(__xludf.DUMMYFUNCTION("IMPORTRANGE(""https://docs.google.com/spreadsheets/d/1KxicF4apzSqm0-jIpmueT4kyZtE-Cwn5zskl7GD4loQ/edit?usp=share_link"",""กำแพงเพชร!I487"")+IMPORTRANGE(""https://docs.google.com/spreadsheets/d/1ZNYWeiFoFA1K1U4xKWqRX29MBvEyRHXORjo734Gnq_c/edit?usp=share_li"&amp;"nk"",""เชียงราย!I487"")
+IMPORTRANGE(""https://docs.google.com/spreadsheets/d/1Jgv0Y7YlHDtsiDawwp-uvifEJ8HVaSn0k2aGHG8-hwM/edit?usp=share_link"",""เชียงใหม่!I487"")+IMPORTRANGE(""https://docs.google.com/spreadsheets/d/1JWG2rZePOz9pe-f-ObA-yDr0VoOX2kSb0qIi"&amp;"x2mTUo8/edit?usp=share_link"",""ตาก!I487"")+IMPORTRANGE(""https://docs.google.com/spreadsheets/d/10nSRjK08hx8Y6HgSOQKNw81lyY46Zc7U_Cj72hBMp9U/edit?usp=share_link"",""นครสวรรค์!I487"")+IMPORTRANGE(""https://docs.google.com/spreadsheets/d/1gFVb7qd7amutrIxAA"&amp;"oM7lcy35hllxznovot8lyOfvDo/edit?usp=share_link"",""น่าน!I487"")+IMPORTRANGE(""https://docs.google.com/spreadsheets/d/1K0Aa9s-6EuHE5M0FG1F9aHLXRCOV917xvycTdLdct0w/edit?usp=share_link"",""พะเยา!I487"")+IMPORTRANGE(""https://docs.google.com/spreadsheets/d/1Y"&amp;"9LPKx95PyL5OKy09d-KbKJSuuEZCFdkhYjwC0XQjBA/edit?usp=share_link"",""พิจิตร!I487"")+IMPORTRANGE(""https://docs.google.com/spreadsheets/d/16OMuOwy2eVqZcYWOouQtTpa8X1L23h4660uVHc0C8os/edit?usp=share_link"",""พิษณุโลก!I487"")+IMPORTRANGE(""https://docs.google."&amp;"com/spreadsheets/d/1GfgTldLG6k77HXaMQzaafODklYuucJZQNs_GAPEfZyY/edit?usp=share_link"",""เพชรบูรณ์!I487"")+IMPORTRANGE(""https://docs.google.com/spreadsheets/d/1gvTMYAnm7v1yG1BKWFtr0DnaTsq59oW9dwWvFgq6hs0/edit?usp=share_link"",""แพร่!I487"")+IMPORTRANGE("""&amp;"https://docs.google.com/spreadsheets/d/1Wbcosgy-Xa1xXUArJSOenub6EfZHUSzc_bpJFWwQUf0/edit?usp=share_link"",""แม่ฮ่องสอน!I487"")+IMPORTRANGE(""https://docs.google.com/spreadsheets/d/1p7ERhsr0qZeSn-KSOdeHS9r0heI-lHtkcn2OH7hP0jQ/edit?usp=share_link"",""ลำปาง!"&amp;"I487"")+IMPORTRANGE(""https://docs.google.com/spreadsheets/d/1-uUXvimVhiU2U0bMN-xi2te0tS4X7DI2GLPnMjzl8cA/edit?usp=share_link"",""ลำพูน!I487"")+IMPORTRANGE(""https://docs.google.com/spreadsheets/d/17HrOaa5pBUI1onckFfumXB8xlg35qb2uBAFfF1D-Myo/edit?usp=shar"&amp;"e_link"",""สุโขทัย!I487"")+IMPORTRANGE(""https://docs.google.com/spreadsheets/d/1ubs5cl16eYL9gHbdHTJtmtYb9MGzHBs7CAphn8kNCgM/edit?usp=share_link"",""อุตรดิตถ์!I487"")+IMPORTRANGE(""https://docs.google.com/spreadsheets/d/1kII0BjS6CtVrBvI8IrytgPdxDrlyQDyigz"&amp;"MsohRtDMs/edit?usp=share_link"",""อุทัยธานี!I487"")
"),1310)</f>
        <v>1310</v>
      </c>
      <c r="J487" s="183">
        <f ca="1">IFERROR(__xludf.DUMMYFUNCTION("IMPORTRANGE(""https://docs.google.com/spreadsheets/d/1KxicF4apzSqm0-jIpmueT4kyZtE-Cwn5zskl7GD4loQ/edit?usp=share_link"",""กำแพงเพชร!J487"")+IMPORTRANGE(""https://docs.google.com/spreadsheets/d/1ZNYWeiFoFA1K1U4xKWqRX29MBvEyRHXORjo734Gnq_c/edit?usp=share_li"&amp;"nk"",""เชียงราย!J487"")
+IMPORTRANGE(""https://docs.google.com/spreadsheets/d/1Jgv0Y7YlHDtsiDawwp-uvifEJ8HVaSn0k2aGHG8-hwM/edit?usp=share_link"",""เชียงใหม่!J487"")+IMPORTRANGE(""https://docs.google.com/spreadsheets/d/1JWG2rZePOz9pe-f-ObA-yDr0VoOX2kSb0qIi"&amp;"x2mTUo8/edit?usp=share_link"",""ตาก!J487"")+IMPORTRANGE(""https://docs.google.com/spreadsheets/d/10nSRjK08hx8Y6HgSOQKNw81lyY46Zc7U_Cj72hBMp9U/edit?usp=share_link"",""นครสวรรค์!J487"")+IMPORTRANGE(""https://docs.google.com/spreadsheets/d/1gFVb7qd7amutrIxAA"&amp;"oM7lcy35hllxznovot8lyOfvDo/edit?usp=share_link"",""น่าน!J487"")+IMPORTRANGE(""https://docs.google.com/spreadsheets/d/1K0Aa9s-6EuHE5M0FG1F9aHLXRCOV917xvycTdLdct0w/edit?usp=share_link"",""พะเยา!J487"")+IMPORTRANGE(""https://docs.google.com/spreadsheets/d/1Y"&amp;"9LPKx95PyL5OKy09d-KbKJSuuEZCFdkhYjwC0XQjBA/edit?usp=share_link"",""พิจิตร!J487"")+IMPORTRANGE(""https://docs.google.com/spreadsheets/d/16OMuOwy2eVqZcYWOouQtTpa8X1L23h4660uVHc0C8os/edit?usp=share_link"",""พิษณุโลก!J487"")+IMPORTRANGE(""https://docs.google."&amp;"com/spreadsheets/d/1GfgTldLG6k77HXaMQzaafODklYuucJZQNs_GAPEfZyY/edit?usp=share_link"",""เพชรบูรณ์!J487"")+IMPORTRANGE(""https://docs.google.com/spreadsheets/d/1gvTMYAnm7v1yG1BKWFtr0DnaTsq59oW9dwWvFgq6hs0/edit?usp=share_link"",""แพร่!J487"")+IMPORTRANGE("""&amp;"https://docs.google.com/spreadsheets/d/1Wbcosgy-Xa1xXUArJSOenub6EfZHUSzc_bpJFWwQUf0/edit?usp=share_link"",""แม่ฮ่องสอน!J487"")+IMPORTRANGE(""https://docs.google.com/spreadsheets/d/1p7ERhsr0qZeSn-KSOdeHS9r0heI-lHtkcn2OH7hP0jQ/edit?usp=share_link"",""ลำปาง!"&amp;"J487"")+IMPORTRANGE(""https://docs.google.com/spreadsheets/d/1-uUXvimVhiU2U0bMN-xi2te0tS4X7DI2GLPnMjzl8cA/edit?usp=share_link"",""ลำพูน!J487"")+IMPORTRANGE(""https://docs.google.com/spreadsheets/d/17HrOaa5pBUI1onckFfumXB8xlg35qb2uBAFfF1D-Myo/edit?usp=shar"&amp;"e_link"",""สุโขทัย!J487"")+IMPORTRANGE(""https://docs.google.com/spreadsheets/d/1ubs5cl16eYL9gHbdHTJtmtYb9MGzHBs7CAphn8kNCgM/edit?usp=share_link"",""อุตรดิตถ์!J487"")+IMPORTRANGE(""https://docs.google.com/spreadsheets/d/1kII0BjS6CtVrBvI8IrytgPdxDrlyQDyigz"&amp;"MsohRtDMs/edit?usp=share_link"",""อุทัยธานี!J487"")
"),0)</f>
        <v>0</v>
      </c>
      <c r="K487" s="38">
        <f ca="1">IF(I487&gt;0,J487*100/I487,0)</f>
        <v>0</v>
      </c>
      <c r="L487" s="38"/>
      <c r="M487" s="38"/>
      <c r="N487" s="38"/>
      <c r="O487" s="38"/>
      <c r="P487" s="38"/>
      <c r="Q487" s="541"/>
      <c r="R487" s="541"/>
      <c r="S487" s="541"/>
      <c r="T487" s="541"/>
      <c r="U487" s="541"/>
      <c r="V487" s="541"/>
      <c r="W487" s="541"/>
      <c r="X487" s="541"/>
      <c r="Y487" s="541"/>
      <c r="Z487" s="541"/>
    </row>
    <row r="488" spans="1:26" ht="18.75">
      <c r="A488" s="572"/>
      <c r="B488" s="573"/>
      <c r="C488" s="573"/>
      <c r="D488" s="573"/>
      <c r="E488" s="573"/>
      <c r="F488" s="584" t="s">
        <v>211</v>
      </c>
      <c r="G488" s="175"/>
      <c r="H488" s="36" t="s">
        <v>35</v>
      </c>
      <c r="I488" s="37"/>
      <c r="J488" s="183">
        <f ca="1">IFERROR(__xludf.DUMMYFUNCTION("IMPORTRANGE(""https://docs.google.com/spreadsheets/d/1KxicF4apzSqm0-jIpmueT4kyZtE-Cwn5zskl7GD4loQ/edit?usp=share_link"",""กำแพงเพชร!J488"")+IMPORTRANGE(""https://docs.google.com/spreadsheets/d/1ZNYWeiFoFA1K1U4xKWqRX29MBvEyRHXORjo734Gnq_c/edit?usp=share_li"&amp;"nk"",""เชียงราย!J488"")
+IMPORTRANGE(""https://docs.google.com/spreadsheets/d/1Jgv0Y7YlHDtsiDawwp-uvifEJ8HVaSn0k2aGHG8-hwM/edit?usp=share_link"",""เชียงใหม่!J488"")+IMPORTRANGE(""https://docs.google.com/spreadsheets/d/1JWG2rZePOz9pe-f-ObA-yDr0VoOX2kSb0qIi"&amp;"x2mTUo8/edit?usp=share_link"",""ตาก!J488"")+IMPORTRANGE(""https://docs.google.com/spreadsheets/d/10nSRjK08hx8Y6HgSOQKNw81lyY46Zc7U_Cj72hBMp9U/edit?usp=share_link"",""นครสวรรค์!J488"")+IMPORTRANGE(""https://docs.google.com/spreadsheets/d/1gFVb7qd7amutrIxAA"&amp;"oM7lcy35hllxznovot8lyOfvDo/edit?usp=share_link"",""น่าน!J488"")+IMPORTRANGE(""https://docs.google.com/spreadsheets/d/1K0Aa9s-6EuHE5M0FG1F9aHLXRCOV917xvycTdLdct0w/edit?usp=share_link"",""พะเยา!J488"")+IMPORTRANGE(""https://docs.google.com/spreadsheets/d/1Y"&amp;"9LPKx95PyL5OKy09d-KbKJSuuEZCFdkhYjwC0XQjBA/edit?usp=share_link"",""พิจิตร!J488"")+IMPORTRANGE(""https://docs.google.com/spreadsheets/d/16OMuOwy2eVqZcYWOouQtTpa8X1L23h4660uVHc0C8os/edit?usp=share_link"",""พิษณุโลก!J488"")+IMPORTRANGE(""https://docs.google."&amp;"com/spreadsheets/d/1GfgTldLG6k77HXaMQzaafODklYuucJZQNs_GAPEfZyY/edit?usp=share_link"",""เพชรบูรณ์!J488"")+IMPORTRANGE(""https://docs.google.com/spreadsheets/d/1gvTMYAnm7v1yG1BKWFtr0DnaTsq59oW9dwWvFgq6hs0/edit?usp=share_link"",""แพร่!J488"")+IMPORTRANGE("""&amp;"https://docs.google.com/spreadsheets/d/1Wbcosgy-Xa1xXUArJSOenub6EfZHUSzc_bpJFWwQUf0/edit?usp=share_link"",""แม่ฮ่องสอน!J488"")+IMPORTRANGE(""https://docs.google.com/spreadsheets/d/1p7ERhsr0qZeSn-KSOdeHS9r0heI-lHtkcn2OH7hP0jQ/edit?usp=share_link"",""ลำปาง!"&amp;"J488"")+IMPORTRANGE(""https://docs.google.com/spreadsheets/d/1-uUXvimVhiU2U0bMN-xi2te0tS4X7DI2GLPnMjzl8cA/edit?usp=share_link"",""ลำพูน!J488"")+IMPORTRANGE(""https://docs.google.com/spreadsheets/d/17HrOaa5pBUI1onckFfumXB8xlg35qb2uBAFfF1D-Myo/edit?usp=shar"&amp;"e_link"",""สุโขทัย!J488"")+IMPORTRANGE(""https://docs.google.com/spreadsheets/d/1ubs5cl16eYL9gHbdHTJtmtYb9MGzHBs7CAphn8kNCgM/edit?usp=share_link"",""อุตรดิตถ์!J488"")+IMPORTRANGE(""https://docs.google.com/spreadsheets/d/1kII0BjS6CtVrBvI8IrytgPdxDrlyQDyigz"&amp;"MsohRtDMs/edit?usp=share_link"",""อุทัยธานี!J488"")
"),0)</f>
        <v>0</v>
      </c>
      <c r="K488" s="38"/>
      <c r="L488" s="38"/>
      <c r="M488" s="38"/>
      <c r="N488" s="38"/>
      <c r="O488" s="38"/>
      <c r="P488" s="38"/>
      <c r="Q488" s="541"/>
      <c r="R488" s="541"/>
      <c r="S488" s="541"/>
      <c r="T488" s="541"/>
      <c r="U488" s="541"/>
      <c r="V488" s="541"/>
      <c r="W488" s="541"/>
      <c r="X488" s="541"/>
      <c r="Y488" s="541"/>
      <c r="Z488" s="541"/>
    </row>
    <row r="489" spans="1:26" ht="18.75">
      <c r="A489" s="572"/>
      <c r="B489" s="573"/>
      <c r="C489" s="573"/>
      <c r="D489" s="573"/>
      <c r="E489" s="573"/>
      <c r="F489" s="584" t="s">
        <v>212</v>
      </c>
      <c r="G489" s="175"/>
      <c r="H489" s="589" t="s">
        <v>35</v>
      </c>
      <c r="I489" s="37">
        <f ca="1">IFERROR(__xludf.DUMMYFUNCTION("IMPORTRANGE(""https://docs.google.com/spreadsheets/d/1KxicF4apzSqm0-jIpmueT4kyZtE-Cwn5zskl7GD4loQ/edit?usp=share_link"",""กำแพงเพชร!I489"")+IMPORTRANGE(""https://docs.google.com/spreadsheets/d/1ZNYWeiFoFA1K1U4xKWqRX29MBvEyRHXORjo734Gnq_c/edit?usp=share_li"&amp;"nk"",""เชียงราย!I489"")
+IMPORTRANGE(""https://docs.google.com/spreadsheets/d/1Jgv0Y7YlHDtsiDawwp-uvifEJ8HVaSn0k2aGHG8-hwM/edit?usp=share_link"",""เชียงใหม่!I489"")+IMPORTRANGE(""https://docs.google.com/spreadsheets/d/1JWG2rZePOz9pe-f-ObA-yDr0VoOX2kSb0qIi"&amp;"x2mTUo8/edit?usp=share_link"",""ตาก!I489"")+IMPORTRANGE(""https://docs.google.com/spreadsheets/d/10nSRjK08hx8Y6HgSOQKNw81lyY46Zc7U_Cj72hBMp9U/edit?usp=share_link"",""นครสวรรค์!I489"")+IMPORTRANGE(""https://docs.google.com/spreadsheets/d/1gFVb7qd7amutrIxAA"&amp;"oM7lcy35hllxznovot8lyOfvDo/edit?usp=share_link"",""น่าน!I489"")+IMPORTRANGE(""https://docs.google.com/spreadsheets/d/1K0Aa9s-6EuHE5M0FG1F9aHLXRCOV917xvycTdLdct0w/edit?usp=share_link"",""พะเยา!I489"")+IMPORTRANGE(""https://docs.google.com/spreadsheets/d/1Y"&amp;"9LPKx95PyL5OKy09d-KbKJSuuEZCFdkhYjwC0XQjBA/edit?usp=share_link"",""พิจิตร!I489"")+IMPORTRANGE(""https://docs.google.com/spreadsheets/d/16OMuOwy2eVqZcYWOouQtTpa8X1L23h4660uVHc0C8os/edit?usp=share_link"",""พิษณุโลก!I489"")+IMPORTRANGE(""https://docs.google."&amp;"com/spreadsheets/d/1GfgTldLG6k77HXaMQzaafODklYuucJZQNs_GAPEfZyY/edit?usp=share_link"",""เพชรบูรณ์!I489"")+IMPORTRANGE(""https://docs.google.com/spreadsheets/d/1gvTMYAnm7v1yG1BKWFtr0DnaTsq59oW9dwWvFgq6hs0/edit?usp=share_link"",""แพร่!I489"")+IMPORTRANGE("""&amp;"https://docs.google.com/spreadsheets/d/1Wbcosgy-Xa1xXUArJSOenub6EfZHUSzc_bpJFWwQUf0/edit?usp=share_link"",""แม่ฮ่องสอน!I489"")+IMPORTRANGE(""https://docs.google.com/spreadsheets/d/1p7ERhsr0qZeSn-KSOdeHS9r0heI-lHtkcn2OH7hP0jQ/edit?usp=share_link"",""ลำปาง!"&amp;"I489"")+IMPORTRANGE(""https://docs.google.com/spreadsheets/d/1-uUXvimVhiU2U0bMN-xi2te0tS4X7DI2GLPnMjzl8cA/edit?usp=share_link"",""ลำพูน!I489"")+IMPORTRANGE(""https://docs.google.com/spreadsheets/d/17HrOaa5pBUI1onckFfumXB8xlg35qb2uBAFfF1D-Myo/edit?usp=shar"&amp;"e_link"",""สุโขทัย!I489"")+IMPORTRANGE(""https://docs.google.com/spreadsheets/d/1ubs5cl16eYL9gHbdHTJtmtYb9MGzHBs7CAphn8kNCgM/edit?usp=share_link"",""อุตรดิตถ์!I489"")+IMPORTRANGE(""https://docs.google.com/spreadsheets/d/1kII0BjS6CtVrBvI8IrytgPdxDrlyQDyigz"&amp;"MsohRtDMs/edit?usp=share_link"",""อุทัยธานี!I489"")
"),131)</f>
        <v>131</v>
      </c>
      <c r="J489" s="183">
        <f ca="1">IFERROR(__xludf.DUMMYFUNCTION("IMPORTRANGE(""https://docs.google.com/spreadsheets/d/1KxicF4apzSqm0-jIpmueT4kyZtE-Cwn5zskl7GD4loQ/edit?usp=share_link"",""กำแพงเพชร!J489"")+IMPORTRANGE(""https://docs.google.com/spreadsheets/d/1ZNYWeiFoFA1K1U4xKWqRX29MBvEyRHXORjo734Gnq_c/edit?usp=share_li"&amp;"nk"",""เชียงราย!J489"")
+IMPORTRANGE(""https://docs.google.com/spreadsheets/d/1Jgv0Y7YlHDtsiDawwp-uvifEJ8HVaSn0k2aGHG8-hwM/edit?usp=share_link"",""เชียงใหม่!J489"")+IMPORTRANGE(""https://docs.google.com/spreadsheets/d/1JWG2rZePOz9pe-f-ObA-yDr0VoOX2kSb0qIi"&amp;"x2mTUo8/edit?usp=share_link"",""ตาก!J489"")+IMPORTRANGE(""https://docs.google.com/spreadsheets/d/10nSRjK08hx8Y6HgSOQKNw81lyY46Zc7U_Cj72hBMp9U/edit?usp=share_link"",""นครสวรรค์!J489"")+IMPORTRANGE(""https://docs.google.com/spreadsheets/d/1gFVb7qd7amutrIxAA"&amp;"oM7lcy35hllxznovot8lyOfvDo/edit?usp=share_link"",""น่าน!J489"")+IMPORTRANGE(""https://docs.google.com/spreadsheets/d/1K0Aa9s-6EuHE5M0FG1F9aHLXRCOV917xvycTdLdct0w/edit?usp=share_link"",""พะเยา!J489"")+IMPORTRANGE(""https://docs.google.com/spreadsheets/d/1Y"&amp;"9LPKx95PyL5OKy09d-KbKJSuuEZCFdkhYjwC0XQjBA/edit?usp=share_link"",""พิจิตร!J489"")+IMPORTRANGE(""https://docs.google.com/spreadsheets/d/16OMuOwy2eVqZcYWOouQtTpa8X1L23h4660uVHc0C8os/edit?usp=share_link"",""พิษณุโลก!J489"")+IMPORTRANGE(""https://docs.google."&amp;"com/spreadsheets/d/1GfgTldLG6k77HXaMQzaafODklYuucJZQNs_GAPEfZyY/edit?usp=share_link"",""เพชรบูรณ์!J489"")+IMPORTRANGE(""https://docs.google.com/spreadsheets/d/1gvTMYAnm7v1yG1BKWFtr0DnaTsq59oW9dwWvFgq6hs0/edit?usp=share_link"",""แพร่!J489"")+IMPORTRANGE("""&amp;"https://docs.google.com/spreadsheets/d/1Wbcosgy-Xa1xXUArJSOenub6EfZHUSzc_bpJFWwQUf0/edit?usp=share_link"",""แม่ฮ่องสอน!J489"")+IMPORTRANGE(""https://docs.google.com/spreadsheets/d/1p7ERhsr0qZeSn-KSOdeHS9r0heI-lHtkcn2OH7hP0jQ/edit?usp=share_link"",""ลำปาง!"&amp;"J489"")+IMPORTRANGE(""https://docs.google.com/spreadsheets/d/1-uUXvimVhiU2U0bMN-xi2te0tS4X7DI2GLPnMjzl8cA/edit?usp=share_link"",""ลำพูน!J489"")+IMPORTRANGE(""https://docs.google.com/spreadsheets/d/17HrOaa5pBUI1onckFfumXB8xlg35qb2uBAFfF1D-Myo/edit?usp=shar"&amp;"e_link"",""สุโขทัย!J489"")+IMPORTRANGE(""https://docs.google.com/spreadsheets/d/1ubs5cl16eYL9gHbdHTJtmtYb9MGzHBs7CAphn8kNCgM/edit?usp=share_link"",""อุตรดิตถ์!J489"")+IMPORTRANGE(""https://docs.google.com/spreadsheets/d/1kII0BjS6CtVrBvI8IrytgPdxDrlyQDyigz"&amp;"MsohRtDMs/edit?usp=share_link"",""อุทัยธานี!J489"")
"),13)</f>
        <v>13</v>
      </c>
      <c r="K489" s="38">
        <f ca="1">IF(I489&gt;0,J489*100/I489,0)</f>
        <v>9.9236641221374047</v>
      </c>
      <c r="L489" s="38"/>
      <c r="M489" s="38"/>
      <c r="N489" s="38"/>
      <c r="O489" s="38"/>
      <c r="P489" s="38"/>
      <c r="Q489" s="541"/>
      <c r="R489" s="541"/>
      <c r="S489" s="541"/>
      <c r="T489" s="541"/>
      <c r="U489" s="541"/>
      <c r="V489" s="541"/>
      <c r="W489" s="541"/>
      <c r="X489" s="541"/>
      <c r="Y489" s="541"/>
      <c r="Z489" s="541"/>
    </row>
    <row r="490" spans="1:26" ht="18.75">
      <c r="A490" s="572"/>
      <c r="B490" s="573"/>
      <c r="C490" s="573"/>
      <c r="D490" s="573"/>
      <c r="E490" s="584" t="s">
        <v>63</v>
      </c>
      <c r="F490" s="590"/>
      <c r="G490" s="175"/>
      <c r="H490" s="589"/>
      <c r="I490" s="37"/>
      <c r="J490" s="37"/>
      <c r="K490" s="38"/>
      <c r="L490" s="38"/>
      <c r="M490" s="38"/>
      <c r="N490" s="38"/>
      <c r="O490" s="38"/>
      <c r="P490" s="38"/>
      <c r="Q490" s="541"/>
      <c r="R490" s="541"/>
      <c r="S490" s="541"/>
      <c r="T490" s="541"/>
      <c r="U490" s="541"/>
      <c r="V490" s="541"/>
      <c r="W490" s="541"/>
      <c r="X490" s="541"/>
      <c r="Y490" s="541"/>
      <c r="Z490" s="541"/>
    </row>
    <row r="491" spans="1:26" ht="18.75">
      <c r="A491" s="572"/>
      <c r="B491" s="573"/>
      <c r="C491" s="573"/>
      <c r="D491" s="573"/>
      <c r="E491" s="573"/>
      <c r="F491" s="584" t="s">
        <v>213</v>
      </c>
      <c r="G491" s="175"/>
      <c r="H491" s="36" t="s">
        <v>35</v>
      </c>
      <c r="I491" s="37"/>
      <c r="J491" s="183">
        <f ca="1">IFERROR(__xludf.DUMMYFUNCTION("IMPORTRANGE(""https://docs.google.com/spreadsheets/d/1KxicF4apzSqm0-jIpmueT4kyZtE-Cwn5zskl7GD4loQ/edit?usp=share_link"",""กำแพงเพชร!J491"")+IMPORTRANGE(""https://docs.google.com/spreadsheets/d/1ZNYWeiFoFA1K1U4xKWqRX29MBvEyRHXORjo734Gnq_c/edit?usp=share_li"&amp;"nk"",""เชียงราย!J491"")
+IMPORTRANGE(""https://docs.google.com/spreadsheets/d/1Jgv0Y7YlHDtsiDawwp-uvifEJ8HVaSn0k2aGHG8-hwM/edit?usp=share_link"",""เชียงใหม่!J491"")+IMPORTRANGE(""https://docs.google.com/spreadsheets/d/1JWG2rZePOz9pe-f-ObA-yDr0VoOX2kSb0qIi"&amp;"x2mTUo8/edit?usp=share_link"",""ตาก!J491"")+IMPORTRANGE(""https://docs.google.com/spreadsheets/d/10nSRjK08hx8Y6HgSOQKNw81lyY46Zc7U_Cj72hBMp9U/edit?usp=share_link"",""นครสวรรค์!J491"")+IMPORTRANGE(""https://docs.google.com/spreadsheets/d/1gFVb7qd7amutrIxAA"&amp;"oM7lcy35hllxznovot8lyOfvDo/edit?usp=share_link"",""น่าน!J491"")+IMPORTRANGE(""https://docs.google.com/spreadsheets/d/1K0Aa9s-6EuHE5M0FG1F9aHLXRCOV917xvycTdLdct0w/edit?usp=share_link"",""พะเยา!J491"")+IMPORTRANGE(""https://docs.google.com/spreadsheets/d/1Y"&amp;"9LPKx95PyL5OKy09d-KbKJSuuEZCFdkhYjwC0XQjBA/edit?usp=share_link"",""พิจิตร!J491"")+IMPORTRANGE(""https://docs.google.com/spreadsheets/d/16OMuOwy2eVqZcYWOouQtTpa8X1L23h4660uVHc0C8os/edit?usp=share_link"",""พิษณุโลก!J491"")+IMPORTRANGE(""https://docs.google."&amp;"com/spreadsheets/d/1GfgTldLG6k77HXaMQzaafODklYuucJZQNs_GAPEfZyY/edit?usp=share_link"",""เพชรบูรณ์!J491"")+IMPORTRANGE(""https://docs.google.com/spreadsheets/d/1gvTMYAnm7v1yG1BKWFtr0DnaTsq59oW9dwWvFgq6hs0/edit?usp=share_link"",""แพร่!J491"")+IMPORTRANGE("""&amp;"https://docs.google.com/spreadsheets/d/1Wbcosgy-Xa1xXUArJSOenub6EfZHUSzc_bpJFWwQUf0/edit?usp=share_link"",""แม่ฮ่องสอน!J491"")+IMPORTRANGE(""https://docs.google.com/spreadsheets/d/1p7ERhsr0qZeSn-KSOdeHS9r0heI-lHtkcn2OH7hP0jQ/edit?usp=share_link"",""ลำปาง!"&amp;"J491"")+IMPORTRANGE(""https://docs.google.com/spreadsheets/d/1-uUXvimVhiU2U0bMN-xi2te0tS4X7DI2GLPnMjzl8cA/edit?usp=share_link"",""ลำพูน!J491"")+IMPORTRANGE(""https://docs.google.com/spreadsheets/d/17HrOaa5pBUI1onckFfumXB8xlg35qb2uBAFfF1D-Myo/edit?usp=shar"&amp;"e_link"",""สุโขทัย!J491"")+IMPORTRANGE(""https://docs.google.com/spreadsheets/d/1ubs5cl16eYL9gHbdHTJtmtYb9MGzHBs7CAphn8kNCgM/edit?usp=share_link"",""อุตรดิตถ์!J491"")+IMPORTRANGE(""https://docs.google.com/spreadsheets/d/1kII0BjS6CtVrBvI8IrytgPdxDrlyQDyigz"&amp;"MsohRtDMs/edit?usp=share_link"",""อุทัยธานี!J491"")
"),0)</f>
        <v>0</v>
      </c>
      <c r="K491" s="38"/>
      <c r="L491" s="38"/>
      <c r="M491" s="38"/>
      <c r="N491" s="38"/>
      <c r="O491" s="38"/>
      <c r="P491" s="38"/>
      <c r="Q491" s="541"/>
      <c r="R491" s="541"/>
      <c r="S491" s="541"/>
      <c r="T491" s="541"/>
      <c r="U491" s="541"/>
      <c r="V491" s="541"/>
      <c r="W491" s="541"/>
      <c r="X491" s="541"/>
      <c r="Y491" s="541"/>
      <c r="Z491" s="541"/>
    </row>
    <row r="492" spans="1:26" ht="18.75">
      <c r="A492" s="572"/>
      <c r="B492" s="573"/>
      <c r="C492" s="573"/>
      <c r="D492" s="573"/>
      <c r="E492" s="573"/>
      <c r="F492" s="584" t="s">
        <v>214</v>
      </c>
      <c r="G492" s="175"/>
      <c r="H492" s="36" t="s">
        <v>35</v>
      </c>
      <c r="I492" s="37">
        <f ca="1">IFERROR(__xludf.DUMMYFUNCTION("IMPORTRANGE(""https://docs.google.com/spreadsheets/d/1KxicF4apzSqm0-jIpmueT4kyZtE-Cwn5zskl7GD4loQ/edit?usp=share_link"",""กำแพงเพชร!I492"")+IMPORTRANGE(""https://docs.google.com/spreadsheets/d/1ZNYWeiFoFA1K1U4xKWqRX29MBvEyRHXORjo734Gnq_c/edit?usp=share_li"&amp;"nk"",""เชียงราย!I492"")
+IMPORTRANGE(""https://docs.google.com/spreadsheets/d/1Jgv0Y7YlHDtsiDawwp-uvifEJ8HVaSn0k2aGHG8-hwM/edit?usp=share_link"",""เชียงใหม่!I492"")+IMPORTRANGE(""https://docs.google.com/spreadsheets/d/1JWG2rZePOz9pe-f-ObA-yDr0VoOX2kSb0qIi"&amp;"x2mTUo8/edit?usp=share_link"",""ตาก!I492"")+IMPORTRANGE(""https://docs.google.com/spreadsheets/d/10nSRjK08hx8Y6HgSOQKNw81lyY46Zc7U_Cj72hBMp9U/edit?usp=share_link"",""นครสวรรค์!I492"")+IMPORTRANGE(""https://docs.google.com/spreadsheets/d/1gFVb7qd7amutrIxAA"&amp;"oM7lcy35hllxznovot8lyOfvDo/edit?usp=share_link"",""น่าน!I492"")+IMPORTRANGE(""https://docs.google.com/spreadsheets/d/1K0Aa9s-6EuHE5M0FG1F9aHLXRCOV917xvycTdLdct0w/edit?usp=share_link"",""พะเยา!I492"")+IMPORTRANGE(""https://docs.google.com/spreadsheets/d/1Y"&amp;"9LPKx95PyL5OKy09d-KbKJSuuEZCFdkhYjwC0XQjBA/edit?usp=share_link"",""พิจิตร!I492"")+IMPORTRANGE(""https://docs.google.com/spreadsheets/d/16OMuOwy2eVqZcYWOouQtTpa8X1L23h4660uVHc0C8os/edit?usp=share_link"",""พิษณุโลก!I492"")+IMPORTRANGE(""https://docs.google."&amp;"com/spreadsheets/d/1GfgTldLG6k77HXaMQzaafODklYuucJZQNs_GAPEfZyY/edit?usp=share_link"",""เพชรบูรณ์!I492"")+IMPORTRANGE(""https://docs.google.com/spreadsheets/d/1gvTMYAnm7v1yG1BKWFtr0DnaTsq59oW9dwWvFgq6hs0/edit?usp=share_link"",""แพร่!I492"")+IMPORTRANGE("""&amp;"https://docs.google.com/spreadsheets/d/1Wbcosgy-Xa1xXUArJSOenub6EfZHUSzc_bpJFWwQUf0/edit?usp=share_link"",""แม่ฮ่องสอน!I492"")+IMPORTRANGE(""https://docs.google.com/spreadsheets/d/1p7ERhsr0qZeSn-KSOdeHS9r0heI-lHtkcn2OH7hP0jQ/edit?usp=share_link"",""ลำปาง!"&amp;"I492"")+IMPORTRANGE(""https://docs.google.com/spreadsheets/d/1-uUXvimVhiU2U0bMN-xi2te0tS4X7DI2GLPnMjzl8cA/edit?usp=share_link"",""ลำพูน!I492"")+IMPORTRANGE(""https://docs.google.com/spreadsheets/d/17HrOaa5pBUI1onckFfumXB8xlg35qb2uBAFfF1D-Myo/edit?usp=shar"&amp;"e_link"",""สุโขทัย!I492"")+IMPORTRANGE(""https://docs.google.com/spreadsheets/d/1ubs5cl16eYL9gHbdHTJtmtYb9MGzHBs7CAphn8kNCgM/edit?usp=share_link"",""อุตรดิตถ์!I492"")+IMPORTRANGE(""https://docs.google.com/spreadsheets/d/1kII0BjS6CtVrBvI8IrytgPdxDrlyQDyigz"&amp;"MsohRtDMs/edit?usp=share_link"",""อุทัยธานี!I492"")
"),17)</f>
        <v>17</v>
      </c>
      <c r="J492" s="183">
        <f ca="1">IFERROR(__xludf.DUMMYFUNCTION("IMPORTRANGE(""https://docs.google.com/spreadsheets/d/1KxicF4apzSqm0-jIpmueT4kyZtE-Cwn5zskl7GD4loQ/edit?usp=share_link"",""กำแพงเพชร!J492"")+IMPORTRANGE(""https://docs.google.com/spreadsheets/d/1ZNYWeiFoFA1K1U4xKWqRX29MBvEyRHXORjo734Gnq_c/edit?usp=share_li"&amp;"nk"",""เชียงราย!J492"")
+IMPORTRANGE(""https://docs.google.com/spreadsheets/d/1Jgv0Y7YlHDtsiDawwp-uvifEJ8HVaSn0k2aGHG8-hwM/edit?usp=share_link"",""เชียงใหม่!J492"")+IMPORTRANGE(""https://docs.google.com/spreadsheets/d/1JWG2rZePOz9pe-f-ObA-yDr0VoOX2kSb0qIi"&amp;"x2mTUo8/edit?usp=share_link"",""ตาก!J492"")+IMPORTRANGE(""https://docs.google.com/spreadsheets/d/10nSRjK08hx8Y6HgSOQKNw81lyY46Zc7U_Cj72hBMp9U/edit?usp=share_link"",""นครสวรรค์!J492"")+IMPORTRANGE(""https://docs.google.com/spreadsheets/d/1gFVb7qd7amutrIxAA"&amp;"oM7lcy35hllxznovot8lyOfvDo/edit?usp=share_link"",""น่าน!J492"")+IMPORTRANGE(""https://docs.google.com/spreadsheets/d/1K0Aa9s-6EuHE5M0FG1F9aHLXRCOV917xvycTdLdct0w/edit?usp=share_link"",""พะเยา!J492"")+IMPORTRANGE(""https://docs.google.com/spreadsheets/d/1Y"&amp;"9LPKx95PyL5OKy09d-KbKJSuuEZCFdkhYjwC0XQjBA/edit?usp=share_link"",""พิจิตร!J492"")+IMPORTRANGE(""https://docs.google.com/spreadsheets/d/16OMuOwy2eVqZcYWOouQtTpa8X1L23h4660uVHc0C8os/edit?usp=share_link"",""พิษณุโลก!J492"")+IMPORTRANGE(""https://docs.google."&amp;"com/spreadsheets/d/1GfgTldLG6k77HXaMQzaafODklYuucJZQNs_GAPEfZyY/edit?usp=share_link"",""เพชรบูรณ์!J492"")+IMPORTRANGE(""https://docs.google.com/spreadsheets/d/1gvTMYAnm7v1yG1BKWFtr0DnaTsq59oW9dwWvFgq6hs0/edit?usp=share_link"",""แพร่!J492"")+IMPORTRANGE("""&amp;"https://docs.google.com/spreadsheets/d/1Wbcosgy-Xa1xXUArJSOenub6EfZHUSzc_bpJFWwQUf0/edit?usp=share_link"",""แม่ฮ่องสอน!J492"")+IMPORTRANGE(""https://docs.google.com/spreadsheets/d/1p7ERhsr0qZeSn-KSOdeHS9r0heI-lHtkcn2OH7hP0jQ/edit?usp=share_link"",""ลำปาง!"&amp;"J492"")+IMPORTRANGE(""https://docs.google.com/spreadsheets/d/1-uUXvimVhiU2U0bMN-xi2te0tS4X7DI2GLPnMjzl8cA/edit?usp=share_link"",""ลำพูน!J492"")+IMPORTRANGE(""https://docs.google.com/spreadsheets/d/17HrOaa5pBUI1onckFfumXB8xlg35qb2uBAFfF1D-Myo/edit?usp=shar"&amp;"e_link"",""สุโขทัย!J492"")+IMPORTRANGE(""https://docs.google.com/spreadsheets/d/1ubs5cl16eYL9gHbdHTJtmtYb9MGzHBs7CAphn8kNCgM/edit?usp=share_link"",""อุตรดิตถ์!J492"")+IMPORTRANGE(""https://docs.google.com/spreadsheets/d/1kII0BjS6CtVrBvI8IrytgPdxDrlyQDyigz"&amp;"MsohRtDMs/edit?usp=share_link"",""อุทัยธานี!J492"")
"),1)</f>
        <v>1</v>
      </c>
      <c r="K492" s="38">
        <f ca="1">IF(I492&gt;0,J492*100/I492,0)</f>
        <v>5.882352941176471</v>
      </c>
      <c r="L492" s="38"/>
      <c r="M492" s="38"/>
      <c r="N492" s="38"/>
      <c r="O492" s="38"/>
      <c r="P492" s="38"/>
      <c r="Q492" s="541"/>
      <c r="R492" s="541"/>
      <c r="S492" s="541"/>
      <c r="T492" s="541"/>
      <c r="U492" s="541"/>
      <c r="V492" s="541"/>
      <c r="W492" s="541"/>
      <c r="X492" s="541"/>
      <c r="Y492" s="541"/>
      <c r="Z492" s="541"/>
    </row>
    <row r="493" spans="1:26" ht="19.5">
      <c r="A493" s="572"/>
      <c r="B493" s="573"/>
      <c r="C493" s="573"/>
      <c r="D493" s="591" t="s">
        <v>59</v>
      </c>
      <c r="E493" s="573"/>
      <c r="F493" s="585"/>
      <c r="G493" s="175"/>
      <c r="H493" s="189"/>
      <c r="I493" s="37"/>
      <c r="J493" s="37"/>
      <c r="K493" s="38"/>
      <c r="L493" s="38"/>
      <c r="M493" s="38"/>
      <c r="N493" s="38"/>
      <c r="O493" s="38"/>
      <c r="P493" s="38"/>
      <c r="Q493" s="541"/>
      <c r="R493" s="541"/>
      <c r="S493" s="541"/>
      <c r="T493" s="541"/>
      <c r="U493" s="541"/>
      <c r="V493" s="541"/>
      <c r="W493" s="541"/>
      <c r="X493" s="541"/>
      <c r="Y493" s="541"/>
      <c r="Z493" s="541"/>
    </row>
    <row r="494" spans="1:26" ht="18.75">
      <c r="A494" s="572"/>
      <c r="B494" s="573"/>
      <c r="C494" s="573"/>
      <c r="D494" s="573"/>
      <c r="E494" s="584" t="s">
        <v>207</v>
      </c>
      <c r="F494" s="585"/>
      <c r="G494" s="175"/>
      <c r="H494" s="189"/>
      <c r="I494" s="37"/>
      <c r="J494" s="37"/>
      <c r="K494" s="38"/>
      <c r="L494" s="38"/>
      <c r="M494" s="38"/>
      <c r="N494" s="38"/>
      <c r="O494" s="38"/>
      <c r="P494" s="38"/>
      <c r="Q494" s="541"/>
      <c r="R494" s="541"/>
      <c r="S494" s="541"/>
      <c r="T494" s="541"/>
      <c r="U494" s="541"/>
      <c r="V494" s="541"/>
      <c r="W494" s="541"/>
      <c r="X494" s="541"/>
      <c r="Y494" s="541"/>
      <c r="Z494" s="541"/>
    </row>
    <row r="495" spans="1:26" ht="18.75">
      <c r="A495" s="572"/>
      <c r="B495" s="573"/>
      <c r="C495" s="573"/>
      <c r="D495" s="573"/>
      <c r="E495" s="573"/>
      <c r="F495" s="187" t="s">
        <v>215</v>
      </c>
      <c r="G495" s="175"/>
      <c r="H495" s="36" t="s">
        <v>46</v>
      </c>
      <c r="I495" s="37">
        <f ca="1">IFERROR(__xludf.DUMMYFUNCTION("IMPORTRANGE(""https://docs.google.com/spreadsheets/d/1KxicF4apzSqm0-jIpmueT4kyZtE-Cwn5zskl7GD4loQ/edit?usp=share_link"",""กำแพงเพชร!I495"")+IMPORTRANGE(""https://docs.google.com/spreadsheets/d/1ZNYWeiFoFA1K1U4xKWqRX29MBvEyRHXORjo734Gnq_c/edit?usp=share_li"&amp;"nk"",""เชียงราย!I495"")
+IMPORTRANGE(""https://docs.google.com/spreadsheets/d/1Jgv0Y7YlHDtsiDawwp-uvifEJ8HVaSn0k2aGHG8-hwM/edit?usp=share_link"",""เชียงใหม่!I495"")+IMPORTRANGE(""https://docs.google.com/spreadsheets/d/1JWG2rZePOz9pe-f-ObA-yDr0VoOX2kSb0qIi"&amp;"x2mTUo8/edit?usp=share_link"",""ตาก!I495"")+IMPORTRANGE(""https://docs.google.com/spreadsheets/d/10nSRjK08hx8Y6HgSOQKNw81lyY46Zc7U_Cj72hBMp9U/edit?usp=share_link"",""นครสวรรค์!I495"")+IMPORTRANGE(""https://docs.google.com/spreadsheets/d/1gFVb7qd7amutrIxAA"&amp;"oM7lcy35hllxznovot8lyOfvDo/edit?usp=share_link"",""น่าน!I495"")+IMPORTRANGE(""https://docs.google.com/spreadsheets/d/1K0Aa9s-6EuHE5M0FG1F9aHLXRCOV917xvycTdLdct0w/edit?usp=share_link"",""พะเยา!I495"")+IMPORTRANGE(""https://docs.google.com/spreadsheets/d/1Y"&amp;"9LPKx95PyL5OKy09d-KbKJSuuEZCFdkhYjwC0XQjBA/edit?usp=share_link"",""พิจิตร!I495"")+IMPORTRANGE(""https://docs.google.com/spreadsheets/d/16OMuOwy2eVqZcYWOouQtTpa8X1L23h4660uVHc0C8os/edit?usp=share_link"",""พิษณุโลก!I495"")+IMPORTRANGE(""https://docs.google."&amp;"com/spreadsheets/d/1GfgTldLG6k77HXaMQzaafODklYuucJZQNs_GAPEfZyY/edit?usp=share_link"",""เพชรบูรณ์!I495"")+IMPORTRANGE(""https://docs.google.com/spreadsheets/d/1gvTMYAnm7v1yG1BKWFtr0DnaTsq59oW9dwWvFgq6hs0/edit?usp=share_link"",""แพร่!I495"")+IMPORTRANGE("""&amp;"https://docs.google.com/spreadsheets/d/1Wbcosgy-Xa1xXUArJSOenub6EfZHUSzc_bpJFWwQUf0/edit?usp=share_link"",""แม่ฮ่องสอน!I495"")+IMPORTRANGE(""https://docs.google.com/spreadsheets/d/1p7ERhsr0qZeSn-KSOdeHS9r0heI-lHtkcn2OH7hP0jQ/edit?usp=share_link"",""ลำปาง!"&amp;"I495"")+IMPORTRANGE(""https://docs.google.com/spreadsheets/d/1-uUXvimVhiU2U0bMN-xi2te0tS4X7DI2GLPnMjzl8cA/edit?usp=share_link"",""ลำพูน!I495"")+IMPORTRANGE(""https://docs.google.com/spreadsheets/d/17HrOaa5pBUI1onckFfumXB8xlg35qb2uBAFfF1D-Myo/edit?usp=shar"&amp;"e_link"",""สุโขทัย!I495"")+IMPORTRANGE(""https://docs.google.com/spreadsheets/d/1ubs5cl16eYL9gHbdHTJtmtYb9MGzHBs7CAphn8kNCgM/edit?usp=share_link"",""อุตรดิตถ์!I495"")+IMPORTRANGE(""https://docs.google.com/spreadsheets/d/1kII0BjS6CtVrBvI8IrytgPdxDrlyQDyigz"&amp;"MsohRtDMs/edit?usp=share_link"",""อุทัยธานี!I495"")
"),11790)</f>
        <v>11790</v>
      </c>
      <c r="J495" s="183">
        <f ca="1">IFERROR(__xludf.DUMMYFUNCTION("IMPORTRANGE(""https://docs.google.com/spreadsheets/d/1KxicF4apzSqm0-jIpmueT4kyZtE-Cwn5zskl7GD4loQ/edit?usp=share_link"",""กำแพงเพชร!J495"")+IMPORTRANGE(""https://docs.google.com/spreadsheets/d/1ZNYWeiFoFA1K1U4xKWqRX29MBvEyRHXORjo734Gnq_c/edit?usp=share_li"&amp;"nk"",""เชียงราย!J495"")
+IMPORTRANGE(""https://docs.google.com/spreadsheets/d/1Jgv0Y7YlHDtsiDawwp-uvifEJ8HVaSn0k2aGHG8-hwM/edit?usp=share_link"",""เชียงใหม่!J495"")+IMPORTRANGE(""https://docs.google.com/spreadsheets/d/1JWG2rZePOz9pe-f-ObA-yDr0VoOX2kSb0qIi"&amp;"x2mTUo8/edit?usp=share_link"",""ตาก!J495"")+IMPORTRANGE(""https://docs.google.com/spreadsheets/d/10nSRjK08hx8Y6HgSOQKNw81lyY46Zc7U_Cj72hBMp9U/edit?usp=share_link"",""นครสวรรค์!J495"")+IMPORTRANGE(""https://docs.google.com/spreadsheets/d/1gFVb7qd7amutrIxAA"&amp;"oM7lcy35hllxznovot8lyOfvDo/edit?usp=share_link"",""น่าน!J495"")+IMPORTRANGE(""https://docs.google.com/spreadsheets/d/1K0Aa9s-6EuHE5M0FG1F9aHLXRCOV917xvycTdLdct0w/edit?usp=share_link"",""พะเยา!J495"")+IMPORTRANGE(""https://docs.google.com/spreadsheets/d/1Y"&amp;"9LPKx95PyL5OKy09d-KbKJSuuEZCFdkhYjwC0XQjBA/edit?usp=share_link"",""พิจิตร!J495"")+IMPORTRANGE(""https://docs.google.com/spreadsheets/d/16OMuOwy2eVqZcYWOouQtTpa8X1L23h4660uVHc0C8os/edit?usp=share_link"",""พิษณุโลก!J495"")+IMPORTRANGE(""https://docs.google."&amp;"com/spreadsheets/d/1GfgTldLG6k77HXaMQzaafODklYuucJZQNs_GAPEfZyY/edit?usp=share_link"",""เพชรบูรณ์!J495"")+IMPORTRANGE(""https://docs.google.com/spreadsheets/d/1gvTMYAnm7v1yG1BKWFtr0DnaTsq59oW9dwWvFgq6hs0/edit?usp=share_link"",""แพร่!J495"")+IMPORTRANGE("""&amp;"https://docs.google.com/spreadsheets/d/1Wbcosgy-Xa1xXUArJSOenub6EfZHUSzc_bpJFWwQUf0/edit?usp=share_link"",""แม่ฮ่องสอน!J495"")+IMPORTRANGE(""https://docs.google.com/spreadsheets/d/1p7ERhsr0qZeSn-KSOdeHS9r0heI-lHtkcn2OH7hP0jQ/edit?usp=share_link"",""ลำปาง!"&amp;"J495"")+IMPORTRANGE(""https://docs.google.com/spreadsheets/d/1-uUXvimVhiU2U0bMN-xi2te0tS4X7DI2GLPnMjzl8cA/edit?usp=share_link"",""ลำพูน!J495"")+IMPORTRANGE(""https://docs.google.com/spreadsheets/d/17HrOaa5pBUI1onckFfumXB8xlg35qb2uBAFfF1D-Myo/edit?usp=shar"&amp;"e_link"",""สุโขทัย!J495"")+IMPORTRANGE(""https://docs.google.com/spreadsheets/d/1ubs5cl16eYL9gHbdHTJtmtYb9MGzHBs7CAphn8kNCgM/edit?usp=share_link"",""อุตรดิตถ์!J495"")+IMPORTRANGE(""https://docs.google.com/spreadsheets/d/1kII0BjS6CtVrBvI8IrytgPdxDrlyQDyigz"&amp;"MsohRtDMs/edit?usp=share_link"",""อุทัยธานี!J495"")
"),0)</f>
        <v>0</v>
      </c>
      <c r="K495" s="38">
        <f ca="1">IF(I495&gt;0,J495*100/I495,0)</f>
        <v>0</v>
      </c>
      <c r="L495" s="38"/>
      <c r="M495" s="38"/>
      <c r="N495" s="38"/>
      <c r="O495" s="38"/>
      <c r="P495" s="38"/>
      <c r="Q495" s="541"/>
      <c r="R495" s="541"/>
      <c r="S495" s="541"/>
      <c r="T495" s="541"/>
      <c r="U495" s="541"/>
      <c r="V495" s="541"/>
      <c r="W495" s="541"/>
      <c r="X495" s="541"/>
      <c r="Y495" s="541"/>
      <c r="Z495" s="541"/>
    </row>
    <row r="496" spans="1:26" ht="18.75">
      <c r="A496" s="572"/>
      <c r="B496" s="573"/>
      <c r="C496" s="573"/>
      <c r="D496" s="573"/>
      <c r="E496" s="573"/>
      <c r="F496" s="187" t="s">
        <v>216</v>
      </c>
      <c r="G496" s="175"/>
      <c r="H496" s="36" t="s">
        <v>46</v>
      </c>
      <c r="I496" s="37"/>
      <c r="J496" s="183">
        <f ca="1">IFERROR(__xludf.DUMMYFUNCTION("IMPORTRANGE(""https://docs.google.com/spreadsheets/d/1KxicF4apzSqm0-jIpmueT4kyZtE-Cwn5zskl7GD4loQ/edit?usp=share_link"",""กำแพงเพชร!J496"")+IMPORTRANGE(""https://docs.google.com/spreadsheets/d/1ZNYWeiFoFA1K1U4xKWqRX29MBvEyRHXORjo734Gnq_c/edit?usp=share_li"&amp;"nk"",""เชียงราย!J496"")
+IMPORTRANGE(""https://docs.google.com/spreadsheets/d/1Jgv0Y7YlHDtsiDawwp-uvifEJ8HVaSn0k2aGHG8-hwM/edit?usp=share_link"",""เชียงใหม่!J496"")+IMPORTRANGE(""https://docs.google.com/spreadsheets/d/1JWG2rZePOz9pe-f-ObA-yDr0VoOX2kSb0qIi"&amp;"x2mTUo8/edit?usp=share_link"",""ตาก!J496"")+IMPORTRANGE(""https://docs.google.com/spreadsheets/d/10nSRjK08hx8Y6HgSOQKNw81lyY46Zc7U_Cj72hBMp9U/edit?usp=share_link"",""นครสวรรค์!J496"")+IMPORTRANGE(""https://docs.google.com/spreadsheets/d/1gFVb7qd7amutrIxAA"&amp;"oM7lcy35hllxznovot8lyOfvDo/edit?usp=share_link"",""น่าน!J496"")+IMPORTRANGE(""https://docs.google.com/spreadsheets/d/1K0Aa9s-6EuHE5M0FG1F9aHLXRCOV917xvycTdLdct0w/edit?usp=share_link"",""พะเยา!J496"")+IMPORTRANGE(""https://docs.google.com/spreadsheets/d/1Y"&amp;"9LPKx95PyL5OKy09d-KbKJSuuEZCFdkhYjwC0XQjBA/edit?usp=share_link"",""พิจิตร!J496"")+IMPORTRANGE(""https://docs.google.com/spreadsheets/d/16OMuOwy2eVqZcYWOouQtTpa8X1L23h4660uVHc0C8os/edit?usp=share_link"",""พิษณุโลก!J496"")+IMPORTRANGE(""https://docs.google."&amp;"com/spreadsheets/d/1GfgTldLG6k77HXaMQzaafODklYuucJZQNs_GAPEfZyY/edit?usp=share_link"",""เพชรบูรณ์!J496"")+IMPORTRANGE(""https://docs.google.com/spreadsheets/d/1gvTMYAnm7v1yG1BKWFtr0DnaTsq59oW9dwWvFgq6hs0/edit?usp=share_link"",""แพร่!J496"")+IMPORTRANGE("""&amp;"https://docs.google.com/spreadsheets/d/1Wbcosgy-Xa1xXUArJSOenub6EfZHUSzc_bpJFWwQUf0/edit?usp=share_link"",""แม่ฮ่องสอน!J496"")+IMPORTRANGE(""https://docs.google.com/spreadsheets/d/1p7ERhsr0qZeSn-KSOdeHS9r0heI-lHtkcn2OH7hP0jQ/edit?usp=share_link"",""ลำปาง!"&amp;"J496"")+IMPORTRANGE(""https://docs.google.com/spreadsheets/d/1-uUXvimVhiU2U0bMN-xi2te0tS4X7DI2GLPnMjzl8cA/edit?usp=share_link"",""ลำพูน!J496"")+IMPORTRANGE(""https://docs.google.com/spreadsheets/d/17HrOaa5pBUI1onckFfumXB8xlg35qb2uBAFfF1D-Myo/edit?usp=shar"&amp;"e_link"",""สุโขทัย!J496"")+IMPORTRANGE(""https://docs.google.com/spreadsheets/d/1ubs5cl16eYL9gHbdHTJtmtYb9MGzHBs7CAphn8kNCgM/edit?usp=share_link"",""อุตรดิตถ์!J496"")+IMPORTRANGE(""https://docs.google.com/spreadsheets/d/1kII0BjS6CtVrBvI8IrytgPdxDrlyQDyigz"&amp;"MsohRtDMs/edit?usp=share_link"",""อุทัยธานี!J496"")
"),0)</f>
        <v>0</v>
      </c>
      <c r="K496" s="38"/>
      <c r="L496" s="38"/>
      <c r="M496" s="38"/>
      <c r="N496" s="38"/>
      <c r="O496" s="38"/>
      <c r="P496" s="38"/>
      <c r="Q496" s="541"/>
      <c r="R496" s="541"/>
      <c r="S496" s="541"/>
      <c r="T496" s="541"/>
      <c r="U496" s="541"/>
      <c r="V496" s="541"/>
      <c r="W496" s="541"/>
      <c r="X496" s="541"/>
      <c r="Y496" s="541"/>
      <c r="Z496" s="541"/>
    </row>
    <row r="497" spans="1:26" ht="18.75">
      <c r="A497" s="572"/>
      <c r="B497" s="573"/>
      <c r="C497" s="573"/>
      <c r="D497" s="573"/>
      <c r="E497" s="584" t="s">
        <v>62</v>
      </c>
      <c r="F497" s="585"/>
      <c r="G497" s="175"/>
      <c r="H497" s="189"/>
      <c r="I497" s="37"/>
      <c r="J497" s="37"/>
      <c r="K497" s="38"/>
      <c r="L497" s="38"/>
      <c r="M497" s="38"/>
      <c r="N497" s="38"/>
      <c r="O497" s="38"/>
      <c r="P497" s="38"/>
      <c r="Q497" s="541"/>
      <c r="R497" s="541"/>
      <c r="S497" s="541"/>
      <c r="T497" s="541"/>
      <c r="U497" s="541"/>
      <c r="V497" s="541"/>
      <c r="W497" s="541"/>
      <c r="X497" s="541"/>
      <c r="Y497" s="541"/>
      <c r="Z497" s="541"/>
    </row>
    <row r="498" spans="1:26" ht="18.75">
      <c r="A498" s="572"/>
      <c r="B498" s="573"/>
      <c r="C498" s="573"/>
      <c r="D498" s="573"/>
      <c r="E498" s="585"/>
      <c r="F498" s="592" t="s">
        <v>217</v>
      </c>
      <c r="G498" s="175"/>
      <c r="H498" s="36" t="s">
        <v>46</v>
      </c>
      <c r="I498" s="37">
        <f ca="1">IFERROR(__xludf.DUMMYFUNCTION("IMPORTRANGE(""https://docs.google.com/spreadsheets/d/1KxicF4apzSqm0-jIpmueT4kyZtE-Cwn5zskl7GD4loQ/edit?usp=share_link"",""กำแพงเพชร!I498"")+IMPORTRANGE(""https://docs.google.com/spreadsheets/d/1ZNYWeiFoFA1K1U4xKWqRX29MBvEyRHXORjo734Gnq_c/edit?usp=share_li"&amp;"nk"",""เชียงราย!I498"")
+IMPORTRANGE(""https://docs.google.com/spreadsheets/d/1Jgv0Y7YlHDtsiDawwp-uvifEJ8HVaSn0k2aGHG8-hwM/edit?usp=share_link"",""เชียงใหม่!I498"")+IMPORTRANGE(""https://docs.google.com/spreadsheets/d/1JWG2rZePOz9pe-f-ObA-yDr0VoOX2kSb0qIi"&amp;"x2mTUo8/edit?usp=share_link"",""ตาก!I498"")+IMPORTRANGE(""https://docs.google.com/spreadsheets/d/10nSRjK08hx8Y6HgSOQKNw81lyY46Zc7U_Cj72hBMp9U/edit?usp=share_link"",""นครสวรรค์!I498"")+IMPORTRANGE(""https://docs.google.com/spreadsheets/d/1gFVb7qd7amutrIxAA"&amp;"oM7lcy35hllxznovot8lyOfvDo/edit?usp=share_link"",""น่าน!I498"")+IMPORTRANGE(""https://docs.google.com/spreadsheets/d/1K0Aa9s-6EuHE5M0FG1F9aHLXRCOV917xvycTdLdct0w/edit?usp=share_link"",""พะเยา!I498"")+IMPORTRANGE(""https://docs.google.com/spreadsheets/d/1Y"&amp;"9LPKx95PyL5OKy09d-KbKJSuuEZCFdkhYjwC0XQjBA/edit?usp=share_link"",""พิจิตร!I498"")+IMPORTRANGE(""https://docs.google.com/spreadsheets/d/16OMuOwy2eVqZcYWOouQtTpa8X1L23h4660uVHc0C8os/edit?usp=share_link"",""พิษณุโลก!I498"")+IMPORTRANGE(""https://docs.google."&amp;"com/spreadsheets/d/1GfgTldLG6k77HXaMQzaafODklYuucJZQNs_GAPEfZyY/edit?usp=share_link"",""เพชรบูรณ์!I498"")+IMPORTRANGE(""https://docs.google.com/spreadsheets/d/1gvTMYAnm7v1yG1BKWFtr0DnaTsq59oW9dwWvFgq6hs0/edit?usp=share_link"",""แพร่!I498"")+IMPORTRANGE("""&amp;"https://docs.google.com/spreadsheets/d/1Wbcosgy-Xa1xXUArJSOenub6EfZHUSzc_bpJFWwQUf0/edit?usp=share_link"",""แม่ฮ่องสอน!I498"")+IMPORTRANGE(""https://docs.google.com/spreadsheets/d/1p7ERhsr0qZeSn-KSOdeHS9r0heI-lHtkcn2OH7hP0jQ/edit?usp=share_link"",""ลำปาง!"&amp;"I498"")+IMPORTRANGE(""https://docs.google.com/spreadsheets/d/1-uUXvimVhiU2U0bMN-xi2te0tS4X7DI2GLPnMjzl8cA/edit?usp=share_link"",""ลำพูน!I498"")+IMPORTRANGE(""https://docs.google.com/spreadsheets/d/17HrOaa5pBUI1onckFfumXB8xlg35qb2uBAFfF1D-Myo/edit?usp=shar"&amp;"e_link"",""สุโขทัย!I498"")+IMPORTRANGE(""https://docs.google.com/spreadsheets/d/1ubs5cl16eYL9gHbdHTJtmtYb9MGzHBs7CAphn8kNCgM/edit?usp=share_link"",""อุตรดิตถ์!I498"")+IMPORTRANGE(""https://docs.google.com/spreadsheets/d/1kII0BjS6CtVrBvI8IrytgPdxDrlyQDyigz"&amp;"MsohRtDMs/edit?usp=share_link"",""อุทัยธานี!I498"")
"),1310)</f>
        <v>1310</v>
      </c>
      <c r="J498" s="183">
        <f ca="1">IFERROR(__xludf.DUMMYFUNCTION("IMPORTRANGE(""https://docs.google.com/spreadsheets/d/1KxicF4apzSqm0-jIpmueT4kyZtE-Cwn5zskl7GD4loQ/edit?usp=share_link"",""กำแพงเพชร!J498"")+IMPORTRANGE(""https://docs.google.com/spreadsheets/d/1ZNYWeiFoFA1K1U4xKWqRX29MBvEyRHXORjo734Gnq_c/edit?usp=share_li"&amp;"nk"",""เชียงราย!J498"")
+IMPORTRANGE(""https://docs.google.com/spreadsheets/d/1Jgv0Y7YlHDtsiDawwp-uvifEJ8HVaSn0k2aGHG8-hwM/edit?usp=share_link"",""เชียงใหม่!J498"")+IMPORTRANGE(""https://docs.google.com/spreadsheets/d/1JWG2rZePOz9pe-f-ObA-yDr0VoOX2kSb0qIi"&amp;"x2mTUo8/edit?usp=share_link"",""ตาก!J498"")+IMPORTRANGE(""https://docs.google.com/spreadsheets/d/10nSRjK08hx8Y6HgSOQKNw81lyY46Zc7U_Cj72hBMp9U/edit?usp=share_link"",""นครสวรรค์!J498"")+IMPORTRANGE(""https://docs.google.com/spreadsheets/d/1gFVb7qd7amutrIxAA"&amp;"oM7lcy35hllxznovot8lyOfvDo/edit?usp=share_link"",""น่าน!J498"")+IMPORTRANGE(""https://docs.google.com/spreadsheets/d/1K0Aa9s-6EuHE5M0FG1F9aHLXRCOV917xvycTdLdct0w/edit?usp=share_link"",""พะเยา!J498"")+IMPORTRANGE(""https://docs.google.com/spreadsheets/d/1Y"&amp;"9LPKx95PyL5OKy09d-KbKJSuuEZCFdkhYjwC0XQjBA/edit?usp=share_link"",""พิจิตร!J498"")+IMPORTRANGE(""https://docs.google.com/spreadsheets/d/16OMuOwy2eVqZcYWOouQtTpa8X1L23h4660uVHc0C8os/edit?usp=share_link"",""พิษณุโลก!J498"")+IMPORTRANGE(""https://docs.google."&amp;"com/spreadsheets/d/1GfgTldLG6k77HXaMQzaafODklYuucJZQNs_GAPEfZyY/edit?usp=share_link"",""เพชรบูรณ์!J498"")+IMPORTRANGE(""https://docs.google.com/spreadsheets/d/1gvTMYAnm7v1yG1BKWFtr0DnaTsq59oW9dwWvFgq6hs0/edit?usp=share_link"",""แพร่!J498"")+IMPORTRANGE("""&amp;"https://docs.google.com/spreadsheets/d/1Wbcosgy-Xa1xXUArJSOenub6EfZHUSzc_bpJFWwQUf0/edit?usp=share_link"",""แม่ฮ่องสอน!J498"")+IMPORTRANGE(""https://docs.google.com/spreadsheets/d/1p7ERhsr0qZeSn-KSOdeHS9r0heI-lHtkcn2OH7hP0jQ/edit?usp=share_link"",""ลำปาง!"&amp;"J498"")+IMPORTRANGE(""https://docs.google.com/spreadsheets/d/1-uUXvimVhiU2U0bMN-xi2te0tS4X7DI2GLPnMjzl8cA/edit?usp=share_link"",""ลำพูน!J498"")+IMPORTRANGE(""https://docs.google.com/spreadsheets/d/17HrOaa5pBUI1onckFfumXB8xlg35qb2uBAFfF1D-Myo/edit?usp=shar"&amp;"e_link"",""สุโขทัย!J498"")+IMPORTRANGE(""https://docs.google.com/spreadsheets/d/1ubs5cl16eYL9gHbdHTJtmtYb9MGzHBs7CAphn8kNCgM/edit?usp=share_link"",""อุตรดิตถ์!J498"")+IMPORTRANGE(""https://docs.google.com/spreadsheets/d/1kII0BjS6CtVrBvI8IrytgPdxDrlyQDyigz"&amp;"MsohRtDMs/edit?usp=share_link"",""อุทัยธานี!J498"")
"),0)</f>
        <v>0</v>
      </c>
      <c r="K498" s="38">
        <f ca="1">IF(I498&gt;0,J498*100/I498,0)</f>
        <v>0</v>
      </c>
      <c r="L498" s="38"/>
      <c r="M498" s="38"/>
      <c r="N498" s="38"/>
      <c r="O498" s="38"/>
      <c r="P498" s="38"/>
      <c r="Q498" s="541"/>
      <c r="R498" s="541"/>
      <c r="S498" s="541"/>
      <c r="T498" s="541"/>
      <c r="U498" s="541"/>
      <c r="V498" s="541"/>
      <c r="W498" s="541"/>
      <c r="X498" s="541"/>
      <c r="Y498" s="541"/>
      <c r="Z498" s="541"/>
    </row>
    <row r="499" spans="1:26" ht="18.75">
      <c r="A499" s="572"/>
      <c r="B499" s="573"/>
      <c r="C499" s="573"/>
      <c r="D499" s="573"/>
      <c r="E499" s="585"/>
      <c r="F499" s="592" t="s">
        <v>218</v>
      </c>
      <c r="G499" s="175"/>
      <c r="H499" s="36" t="s">
        <v>46</v>
      </c>
      <c r="I499" s="37"/>
      <c r="J499" s="183">
        <f ca="1">IFERROR(__xludf.DUMMYFUNCTION("IMPORTRANGE(""https://docs.google.com/spreadsheets/d/1KxicF4apzSqm0-jIpmueT4kyZtE-Cwn5zskl7GD4loQ/edit?usp=share_link"",""กำแพงเพชร!J499"")+IMPORTRANGE(""https://docs.google.com/spreadsheets/d/1ZNYWeiFoFA1K1U4xKWqRX29MBvEyRHXORjo734Gnq_c/edit?usp=share_li"&amp;"nk"",""เชียงราย!J499"")
+IMPORTRANGE(""https://docs.google.com/spreadsheets/d/1Jgv0Y7YlHDtsiDawwp-uvifEJ8HVaSn0k2aGHG8-hwM/edit?usp=share_link"",""เชียงใหม่!J499"")+IMPORTRANGE(""https://docs.google.com/spreadsheets/d/1JWG2rZePOz9pe-f-ObA-yDr0VoOX2kSb0qIi"&amp;"x2mTUo8/edit?usp=share_link"",""ตาก!J499"")+IMPORTRANGE(""https://docs.google.com/spreadsheets/d/10nSRjK08hx8Y6HgSOQKNw81lyY46Zc7U_Cj72hBMp9U/edit?usp=share_link"",""นครสวรรค์!J499"")+IMPORTRANGE(""https://docs.google.com/spreadsheets/d/1gFVb7qd7amutrIxAA"&amp;"oM7lcy35hllxznovot8lyOfvDo/edit?usp=share_link"",""น่าน!J499"")+IMPORTRANGE(""https://docs.google.com/spreadsheets/d/1K0Aa9s-6EuHE5M0FG1F9aHLXRCOV917xvycTdLdct0w/edit?usp=share_link"",""พะเยา!J499"")+IMPORTRANGE(""https://docs.google.com/spreadsheets/d/1Y"&amp;"9LPKx95PyL5OKy09d-KbKJSuuEZCFdkhYjwC0XQjBA/edit?usp=share_link"",""พิจิตร!J499"")+IMPORTRANGE(""https://docs.google.com/spreadsheets/d/16OMuOwy2eVqZcYWOouQtTpa8X1L23h4660uVHc0C8os/edit?usp=share_link"",""พิษณุโลก!J499"")+IMPORTRANGE(""https://docs.google."&amp;"com/spreadsheets/d/1GfgTldLG6k77HXaMQzaafODklYuucJZQNs_GAPEfZyY/edit?usp=share_link"",""เพชรบูรณ์!J499"")+IMPORTRANGE(""https://docs.google.com/spreadsheets/d/1gvTMYAnm7v1yG1BKWFtr0DnaTsq59oW9dwWvFgq6hs0/edit?usp=share_link"",""แพร่!J499"")+IMPORTRANGE("""&amp;"https://docs.google.com/spreadsheets/d/1Wbcosgy-Xa1xXUArJSOenub6EfZHUSzc_bpJFWwQUf0/edit?usp=share_link"",""แม่ฮ่องสอน!J499"")+IMPORTRANGE(""https://docs.google.com/spreadsheets/d/1p7ERhsr0qZeSn-KSOdeHS9r0heI-lHtkcn2OH7hP0jQ/edit?usp=share_link"",""ลำปาง!"&amp;"J499"")+IMPORTRANGE(""https://docs.google.com/spreadsheets/d/1-uUXvimVhiU2U0bMN-xi2te0tS4X7DI2GLPnMjzl8cA/edit?usp=share_link"",""ลำพูน!J499"")+IMPORTRANGE(""https://docs.google.com/spreadsheets/d/17HrOaa5pBUI1onckFfumXB8xlg35qb2uBAFfF1D-Myo/edit?usp=shar"&amp;"e_link"",""สุโขทัย!J499"")+IMPORTRANGE(""https://docs.google.com/spreadsheets/d/1ubs5cl16eYL9gHbdHTJtmtYb9MGzHBs7CAphn8kNCgM/edit?usp=share_link"",""อุตรดิตถ์!J499"")+IMPORTRANGE(""https://docs.google.com/spreadsheets/d/1kII0BjS6CtVrBvI8IrytgPdxDrlyQDyigz"&amp;"MsohRtDMs/edit?usp=share_link"",""อุทัยธานี!J499"")
"),0)</f>
        <v>0</v>
      </c>
      <c r="K499" s="38"/>
      <c r="L499" s="38"/>
      <c r="M499" s="38"/>
      <c r="N499" s="38"/>
      <c r="O499" s="38"/>
      <c r="P499" s="38"/>
      <c r="Q499" s="541"/>
      <c r="R499" s="541"/>
      <c r="S499" s="541"/>
      <c r="T499" s="541"/>
      <c r="U499" s="541"/>
      <c r="V499" s="541"/>
      <c r="W499" s="541"/>
      <c r="X499" s="541"/>
      <c r="Y499" s="541"/>
      <c r="Z499" s="541"/>
    </row>
    <row r="500" spans="1:26" ht="19.5" hidden="1">
      <c r="A500" s="593">
        <v>4</v>
      </c>
      <c r="B500" s="594" t="s">
        <v>219</v>
      </c>
      <c r="C500" s="595"/>
      <c r="D500" s="596"/>
      <c r="E500" s="596"/>
      <c r="F500" s="596"/>
      <c r="G500" s="597"/>
      <c r="H500" s="598" t="s">
        <v>109</v>
      </c>
      <c r="I500" s="599"/>
      <c r="J500" s="599">
        <f t="shared" ref="J500:J501" si="249">J516</f>
        <v>0</v>
      </c>
      <c r="K500" s="600">
        <f t="shared" ref="K500:K501" si="250">IF(I500&gt;0,J500*100/I500,0)</f>
        <v>0</v>
      </c>
      <c r="L500" s="601"/>
      <c r="M500" s="601"/>
      <c r="N500" s="601"/>
      <c r="O500" s="601"/>
      <c r="P500" s="601"/>
      <c r="Q500" s="568"/>
      <c r="R500" s="568"/>
      <c r="S500" s="568"/>
      <c r="T500" s="568"/>
      <c r="U500" s="568"/>
      <c r="V500" s="568"/>
      <c r="W500" s="568"/>
      <c r="X500" s="568"/>
      <c r="Y500" s="568"/>
      <c r="Z500" s="568"/>
    </row>
    <row r="501" spans="1:26" ht="19.5" hidden="1">
      <c r="A501" s="602"/>
      <c r="B501" s="603" t="s">
        <v>220</v>
      </c>
      <c r="C501" s="604"/>
      <c r="D501" s="605"/>
      <c r="E501" s="605"/>
      <c r="F501" s="605"/>
      <c r="G501" s="606"/>
      <c r="H501" s="607" t="s">
        <v>35</v>
      </c>
      <c r="I501" s="608"/>
      <c r="J501" s="608">
        <f t="shared" si="249"/>
        <v>0</v>
      </c>
      <c r="K501" s="609">
        <f t="shared" si="250"/>
        <v>0</v>
      </c>
      <c r="L501" s="610"/>
      <c r="M501" s="610"/>
      <c r="N501" s="610"/>
      <c r="O501" s="610"/>
      <c r="P501" s="610"/>
      <c r="Q501" s="568"/>
      <c r="R501" s="568"/>
      <c r="S501" s="568"/>
      <c r="T501" s="568"/>
      <c r="U501" s="568"/>
      <c r="V501" s="568"/>
      <c r="W501" s="568"/>
      <c r="X501" s="568"/>
      <c r="Y501" s="568"/>
      <c r="Z501" s="568"/>
    </row>
    <row r="502" spans="1:26" ht="19.5" hidden="1">
      <c r="A502" s="563"/>
      <c r="B502" s="564"/>
      <c r="C502" s="564" t="s">
        <v>16</v>
      </c>
      <c r="D502" s="812" t="s">
        <v>17</v>
      </c>
      <c r="E502" s="805"/>
      <c r="F502" s="805"/>
      <c r="G502" s="567"/>
      <c r="H502" s="612" t="s">
        <v>12</v>
      </c>
      <c r="I502" s="44"/>
      <c r="J502" s="44"/>
      <c r="K502" s="45"/>
      <c r="L502" s="613">
        <f t="shared" ref="L502:N502" si="251">L503+L504</f>
        <v>0</v>
      </c>
      <c r="M502" s="613">
        <f t="shared" si="251"/>
        <v>0</v>
      </c>
      <c r="N502" s="613">
        <f t="shared" si="251"/>
        <v>0</v>
      </c>
      <c r="O502" s="613">
        <f t="shared" ref="O502:O507" si="252">IF(L502&gt;0,N502*100/L502,0)</f>
        <v>0</v>
      </c>
      <c r="P502" s="613">
        <f t="shared" ref="P502:P507" si="253">IF(M502&gt;0,N502*100/M502,0)</f>
        <v>0</v>
      </c>
      <c r="Q502" s="568"/>
      <c r="R502" s="568"/>
      <c r="S502" s="568"/>
      <c r="T502" s="568"/>
      <c r="U502" s="568"/>
      <c r="V502" s="568"/>
      <c r="W502" s="568"/>
      <c r="X502" s="568"/>
      <c r="Y502" s="568"/>
      <c r="Z502" s="568"/>
    </row>
    <row r="503" spans="1:26" ht="18.75" hidden="1">
      <c r="A503" s="563"/>
      <c r="B503" s="564"/>
      <c r="C503" s="564"/>
      <c r="D503" s="565"/>
      <c r="E503" s="566" t="s">
        <v>184</v>
      </c>
      <c r="F503" s="564"/>
      <c r="G503" s="567"/>
      <c r="H503" s="165" t="s">
        <v>12</v>
      </c>
      <c r="I503" s="44"/>
      <c r="J503" s="44"/>
      <c r="K503" s="45"/>
      <c r="L503" s="45">
        <f t="shared" ref="L503:N503" si="254">L506+L513</f>
        <v>0</v>
      </c>
      <c r="M503" s="45">
        <f t="shared" si="254"/>
        <v>0</v>
      </c>
      <c r="N503" s="45">
        <f t="shared" si="254"/>
        <v>0</v>
      </c>
      <c r="O503" s="45">
        <f t="shared" si="252"/>
        <v>0</v>
      </c>
      <c r="P503" s="45">
        <f t="shared" si="253"/>
        <v>0</v>
      </c>
      <c r="Q503" s="568"/>
      <c r="R503" s="568"/>
      <c r="S503" s="568"/>
      <c r="T503" s="568"/>
      <c r="U503" s="568"/>
      <c r="V503" s="568"/>
      <c r="W503" s="568"/>
      <c r="X503" s="568"/>
      <c r="Y503" s="568"/>
      <c r="Z503" s="568"/>
    </row>
    <row r="504" spans="1:26" ht="18.75" hidden="1">
      <c r="A504" s="563"/>
      <c r="B504" s="569"/>
      <c r="C504" s="564"/>
      <c r="D504" s="565"/>
      <c r="E504" s="566" t="s">
        <v>185</v>
      </c>
      <c r="F504" s="564"/>
      <c r="G504" s="567"/>
      <c r="H504" s="165" t="s">
        <v>12</v>
      </c>
      <c r="I504" s="44"/>
      <c r="J504" s="44"/>
      <c r="K504" s="45"/>
      <c r="L504" s="45">
        <f t="shared" ref="L504:N504" si="255">L507+L514</f>
        <v>0</v>
      </c>
      <c r="M504" s="45">
        <f t="shared" si="255"/>
        <v>0</v>
      </c>
      <c r="N504" s="45">
        <f t="shared" si="255"/>
        <v>0</v>
      </c>
      <c r="O504" s="45">
        <f t="shared" si="252"/>
        <v>0</v>
      </c>
      <c r="P504" s="45">
        <f t="shared" si="253"/>
        <v>0</v>
      </c>
      <c r="Q504" s="568"/>
      <c r="R504" s="568"/>
      <c r="S504" s="568"/>
      <c r="T504" s="568"/>
      <c r="U504" s="568"/>
      <c r="V504" s="568"/>
      <c r="W504" s="568"/>
      <c r="X504" s="568"/>
      <c r="Y504" s="568"/>
      <c r="Z504" s="568"/>
    </row>
    <row r="505" spans="1:26" ht="18.75" hidden="1">
      <c r="A505" s="563"/>
      <c r="B505" s="569"/>
      <c r="C505" s="564"/>
      <c r="D505" s="614" t="s">
        <v>20</v>
      </c>
      <c r="E505" s="564"/>
      <c r="F505" s="564"/>
      <c r="G505" s="567"/>
      <c r="H505" s="165" t="s">
        <v>12</v>
      </c>
      <c r="I505" s="166"/>
      <c r="J505" s="166"/>
      <c r="K505" s="167"/>
      <c r="L505" s="45">
        <f t="shared" ref="L505:N505" si="256">L506+L507</f>
        <v>0</v>
      </c>
      <c r="M505" s="45">
        <f t="shared" si="256"/>
        <v>0</v>
      </c>
      <c r="N505" s="45">
        <f t="shared" si="256"/>
        <v>0</v>
      </c>
      <c r="O505" s="45">
        <f t="shared" si="252"/>
        <v>0</v>
      </c>
      <c r="P505" s="45">
        <f t="shared" si="253"/>
        <v>0</v>
      </c>
      <c r="Q505" s="568"/>
      <c r="R505" s="568"/>
      <c r="S505" s="568"/>
      <c r="T505" s="568"/>
      <c r="U505" s="568"/>
      <c r="V505" s="568"/>
      <c r="W505" s="568"/>
      <c r="X505" s="568"/>
      <c r="Y505" s="568"/>
      <c r="Z505" s="568"/>
    </row>
    <row r="506" spans="1:26" ht="18.75" hidden="1">
      <c r="A506" s="563"/>
      <c r="B506" s="569"/>
      <c r="C506" s="564"/>
      <c r="D506" s="565"/>
      <c r="E506" s="566" t="s">
        <v>184</v>
      </c>
      <c r="F506" s="564"/>
      <c r="G506" s="567"/>
      <c r="H506" s="165" t="s">
        <v>12</v>
      </c>
      <c r="I506" s="44"/>
      <c r="J506" s="44"/>
      <c r="K506" s="45"/>
      <c r="L506" s="93">
        <v>0</v>
      </c>
      <c r="M506" s="93">
        <v>0</v>
      </c>
      <c r="N506" s="93">
        <v>0</v>
      </c>
      <c r="O506" s="45">
        <f t="shared" si="252"/>
        <v>0</v>
      </c>
      <c r="P506" s="45">
        <f t="shared" si="253"/>
        <v>0</v>
      </c>
      <c r="Q506" s="568"/>
      <c r="R506" s="568"/>
      <c r="S506" s="568"/>
      <c r="T506" s="568"/>
      <c r="U506" s="568"/>
      <c r="V506" s="568"/>
      <c r="W506" s="568"/>
      <c r="X506" s="568"/>
      <c r="Y506" s="568"/>
      <c r="Z506" s="568"/>
    </row>
    <row r="507" spans="1:26" ht="18.75" hidden="1">
      <c r="A507" s="563"/>
      <c r="B507" s="569"/>
      <c r="C507" s="564"/>
      <c r="D507" s="565"/>
      <c r="E507" s="566" t="s">
        <v>185</v>
      </c>
      <c r="F507" s="564"/>
      <c r="G507" s="567"/>
      <c r="H507" s="165" t="s">
        <v>12</v>
      </c>
      <c r="I507" s="44"/>
      <c r="J507" s="44"/>
      <c r="K507" s="45"/>
      <c r="L507" s="93">
        <v>0</v>
      </c>
      <c r="M507" s="93">
        <v>0</v>
      </c>
      <c r="N507" s="45">
        <f>N508+N509+N510+N511</f>
        <v>0</v>
      </c>
      <c r="O507" s="45">
        <f t="shared" si="252"/>
        <v>0</v>
      </c>
      <c r="P507" s="45">
        <f t="shared" si="253"/>
        <v>0</v>
      </c>
      <c r="Q507" s="568"/>
      <c r="R507" s="568"/>
      <c r="S507" s="568"/>
      <c r="T507" s="568"/>
      <c r="U507" s="568"/>
      <c r="V507" s="568"/>
      <c r="W507" s="568"/>
      <c r="X507" s="568"/>
      <c r="Y507" s="568"/>
      <c r="Z507" s="568"/>
    </row>
    <row r="508" spans="1:26" ht="18.75" hidden="1">
      <c r="A508" s="615"/>
      <c r="B508" s="569"/>
      <c r="C508" s="564"/>
      <c r="D508" s="564"/>
      <c r="E508" s="564"/>
      <c r="F508" s="566" t="s">
        <v>186</v>
      </c>
      <c r="G508" s="567"/>
      <c r="H508" s="165" t="s">
        <v>12</v>
      </c>
      <c r="I508" s="44"/>
      <c r="J508" s="44"/>
      <c r="K508" s="45"/>
      <c r="L508" s="45"/>
      <c r="M508" s="45"/>
      <c r="N508" s="93">
        <v>0</v>
      </c>
      <c r="O508" s="45"/>
      <c r="P508" s="45"/>
      <c r="Q508" s="568"/>
      <c r="R508" s="568"/>
      <c r="S508" s="568"/>
      <c r="T508" s="568"/>
      <c r="U508" s="568"/>
      <c r="V508" s="568"/>
      <c r="W508" s="568"/>
      <c r="X508" s="568"/>
      <c r="Y508" s="568"/>
      <c r="Z508" s="568"/>
    </row>
    <row r="509" spans="1:26" ht="18.75" hidden="1">
      <c r="A509" s="615"/>
      <c r="B509" s="569"/>
      <c r="C509" s="564"/>
      <c r="D509" s="564"/>
      <c r="E509" s="564"/>
      <c r="F509" s="566" t="s">
        <v>187</v>
      </c>
      <c r="G509" s="567"/>
      <c r="H509" s="165" t="s">
        <v>12</v>
      </c>
      <c r="I509" s="44"/>
      <c r="J509" s="44"/>
      <c r="K509" s="45"/>
      <c r="L509" s="45"/>
      <c r="M509" s="45"/>
      <c r="N509" s="93">
        <v>0</v>
      </c>
      <c r="O509" s="45"/>
      <c r="P509" s="45"/>
      <c r="Q509" s="568"/>
      <c r="R509" s="568"/>
      <c r="S509" s="568"/>
      <c r="T509" s="568"/>
      <c r="U509" s="568"/>
      <c r="V509" s="568"/>
      <c r="W509" s="568"/>
      <c r="X509" s="568"/>
      <c r="Y509" s="568"/>
      <c r="Z509" s="568"/>
    </row>
    <row r="510" spans="1:26" ht="18.75" hidden="1">
      <c r="A510" s="615"/>
      <c r="B510" s="569"/>
      <c r="C510" s="569"/>
      <c r="D510" s="569"/>
      <c r="E510" s="564"/>
      <c r="F510" s="566" t="s">
        <v>188</v>
      </c>
      <c r="G510" s="567"/>
      <c r="H510" s="165" t="s">
        <v>12</v>
      </c>
      <c r="I510" s="44"/>
      <c r="J510" s="44"/>
      <c r="K510" s="45"/>
      <c r="L510" s="45"/>
      <c r="M510" s="45"/>
      <c r="N510" s="93">
        <v>0</v>
      </c>
      <c r="O510" s="45"/>
      <c r="P510" s="45"/>
      <c r="Q510" s="568"/>
      <c r="R510" s="568"/>
      <c r="S510" s="568"/>
      <c r="T510" s="568"/>
      <c r="U510" s="568"/>
      <c r="V510" s="568"/>
      <c r="W510" s="568"/>
      <c r="X510" s="568"/>
      <c r="Y510" s="568"/>
      <c r="Z510" s="568"/>
    </row>
    <row r="511" spans="1:26" ht="18.75" hidden="1">
      <c r="A511" s="615"/>
      <c r="B511" s="569"/>
      <c r="C511" s="569"/>
      <c r="D511" s="569"/>
      <c r="E511" s="564"/>
      <c r="F511" s="566" t="s">
        <v>189</v>
      </c>
      <c r="G511" s="567"/>
      <c r="H511" s="165" t="s">
        <v>12</v>
      </c>
      <c r="I511" s="44"/>
      <c r="J511" s="44"/>
      <c r="K511" s="45"/>
      <c r="L511" s="45"/>
      <c r="M511" s="45"/>
      <c r="N511" s="93">
        <v>0</v>
      </c>
      <c r="O511" s="45"/>
      <c r="P511" s="45"/>
      <c r="Q511" s="568"/>
      <c r="R511" s="568"/>
      <c r="S511" s="568"/>
      <c r="T511" s="568"/>
      <c r="U511" s="568"/>
      <c r="V511" s="568"/>
      <c r="W511" s="568"/>
      <c r="X511" s="568"/>
      <c r="Y511" s="568"/>
      <c r="Z511" s="568"/>
    </row>
    <row r="512" spans="1:26" ht="18.75" hidden="1">
      <c r="A512" s="563"/>
      <c r="B512" s="569"/>
      <c r="C512" s="569"/>
      <c r="D512" s="614" t="s">
        <v>21</v>
      </c>
      <c r="E512" s="569"/>
      <c r="F512" s="564"/>
      <c r="G512" s="567"/>
      <c r="H512" s="169" t="s">
        <v>12</v>
      </c>
      <c r="I512" s="166"/>
      <c r="J512" s="166"/>
      <c r="K512" s="167"/>
      <c r="L512" s="45">
        <f t="shared" ref="L512:N512" si="257">L513+L514</f>
        <v>0</v>
      </c>
      <c r="M512" s="45">
        <f t="shared" si="257"/>
        <v>0</v>
      </c>
      <c r="N512" s="45">
        <f t="shared" si="257"/>
        <v>0</v>
      </c>
      <c r="O512" s="45">
        <f t="shared" ref="O512:O514" si="258">IF(L512&gt;0,N512*100/L512,0)</f>
        <v>0</v>
      </c>
      <c r="P512" s="45">
        <f t="shared" ref="P512:P514" si="259">IF(M512&gt;0,N512*100/M512,0)</f>
        <v>0</v>
      </c>
      <c r="Q512" s="568"/>
      <c r="R512" s="568"/>
      <c r="S512" s="568"/>
      <c r="T512" s="568"/>
      <c r="U512" s="568"/>
      <c r="V512" s="568"/>
      <c r="W512" s="568"/>
      <c r="X512" s="568"/>
      <c r="Y512" s="568"/>
      <c r="Z512" s="568"/>
    </row>
    <row r="513" spans="1:26" ht="18.75" hidden="1">
      <c r="A513" s="563"/>
      <c r="B513" s="569"/>
      <c r="C513" s="569"/>
      <c r="D513" s="569"/>
      <c r="E513" s="571" t="s">
        <v>18</v>
      </c>
      <c r="F513" s="564"/>
      <c r="G513" s="567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45">
        <f t="shared" si="258"/>
        <v>0</v>
      </c>
      <c r="P513" s="45">
        <f t="shared" si="259"/>
        <v>0</v>
      </c>
      <c r="Q513" s="568"/>
      <c r="R513" s="568"/>
      <c r="S513" s="568"/>
      <c r="T513" s="568"/>
      <c r="U513" s="568"/>
      <c r="V513" s="568"/>
      <c r="W513" s="568"/>
      <c r="X513" s="568"/>
      <c r="Y513" s="568"/>
      <c r="Z513" s="568"/>
    </row>
    <row r="514" spans="1:26" ht="18.75" hidden="1">
      <c r="A514" s="563"/>
      <c r="B514" s="569"/>
      <c r="C514" s="569"/>
      <c r="D514" s="564"/>
      <c r="E514" s="571" t="s">
        <v>19</v>
      </c>
      <c r="F514" s="564"/>
      <c r="G514" s="567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45">
        <f t="shared" si="258"/>
        <v>0</v>
      </c>
      <c r="P514" s="45">
        <f t="shared" si="259"/>
        <v>0</v>
      </c>
      <c r="Q514" s="568"/>
      <c r="R514" s="568"/>
      <c r="S514" s="568"/>
      <c r="T514" s="568"/>
      <c r="U514" s="568"/>
      <c r="V514" s="568"/>
      <c r="W514" s="568"/>
      <c r="X514" s="568"/>
      <c r="Y514" s="568"/>
      <c r="Z514" s="568"/>
    </row>
    <row r="515" spans="1:26" ht="19.5" hidden="1">
      <c r="A515" s="578"/>
      <c r="B515" s="579"/>
      <c r="C515" s="569" t="s">
        <v>16</v>
      </c>
      <c r="D515" s="616" t="s">
        <v>38</v>
      </c>
      <c r="E515" s="617"/>
      <c r="F515" s="617"/>
      <c r="G515" s="618"/>
      <c r="H515" s="581"/>
      <c r="I515" s="166"/>
      <c r="J515" s="166"/>
      <c r="K515" s="167"/>
      <c r="L515" s="167"/>
      <c r="M515" s="167"/>
      <c r="N515" s="167"/>
      <c r="O515" s="167"/>
      <c r="P515" s="167"/>
      <c r="Q515" s="568"/>
      <c r="R515" s="568"/>
      <c r="S515" s="568"/>
      <c r="T515" s="568"/>
      <c r="U515" s="568"/>
      <c r="V515" s="568"/>
      <c r="W515" s="568"/>
      <c r="X515" s="568"/>
      <c r="Y515" s="568"/>
      <c r="Z515" s="568"/>
    </row>
    <row r="516" spans="1:26" ht="18.75" hidden="1">
      <c r="A516" s="578"/>
      <c r="B516" s="579"/>
      <c r="C516" s="579"/>
      <c r="D516" s="580" t="s">
        <v>221</v>
      </c>
      <c r="E516" s="565"/>
      <c r="F516" s="565"/>
      <c r="G516" s="581"/>
      <c r="H516" s="619" t="s">
        <v>109</v>
      </c>
      <c r="I516" s="44"/>
      <c r="J516" s="583">
        <v>0</v>
      </c>
      <c r="K516" s="167">
        <f t="shared" ref="K516:K517" si="260">IF(I516&gt;0,J516*100/I516,0)</f>
        <v>0</v>
      </c>
      <c r="L516" s="167"/>
      <c r="M516" s="167"/>
      <c r="N516" s="167"/>
      <c r="O516" s="167"/>
      <c r="P516" s="167"/>
      <c r="Q516" s="568"/>
      <c r="R516" s="568"/>
      <c r="S516" s="568"/>
      <c r="T516" s="568"/>
      <c r="U516" s="568"/>
      <c r="V516" s="568"/>
      <c r="W516" s="568"/>
      <c r="X516" s="568"/>
      <c r="Y516" s="568"/>
      <c r="Z516" s="568"/>
    </row>
    <row r="517" spans="1:26" ht="19.5" hidden="1">
      <c r="A517" s="578"/>
      <c r="B517" s="579"/>
      <c r="C517" s="579"/>
      <c r="D517" s="580" t="s">
        <v>222</v>
      </c>
      <c r="E517" s="565"/>
      <c r="F517" s="565"/>
      <c r="G517" s="581"/>
      <c r="H517" s="620" t="s">
        <v>35</v>
      </c>
      <c r="I517" s="621"/>
      <c r="J517" s="621">
        <f>J518+J519</f>
        <v>0</v>
      </c>
      <c r="K517" s="622">
        <f t="shared" si="260"/>
        <v>0</v>
      </c>
      <c r="L517" s="167"/>
      <c r="M517" s="167"/>
      <c r="N517" s="167"/>
      <c r="O517" s="167"/>
      <c r="P517" s="167"/>
      <c r="Q517" s="568"/>
      <c r="R517" s="568"/>
      <c r="S517" s="568"/>
      <c r="T517" s="568"/>
      <c r="U517" s="568"/>
      <c r="V517" s="568"/>
      <c r="W517" s="568"/>
      <c r="X517" s="568"/>
      <c r="Y517" s="568"/>
      <c r="Z517" s="568"/>
    </row>
    <row r="518" spans="1:26" ht="18.75" hidden="1">
      <c r="A518" s="578"/>
      <c r="B518" s="579"/>
      <c r="C518" s="579"/>
      <c r="D518" s="579"/>
      <c r="E518" s="580" t="s">
        <v>223</v>
      </c>
      <c r="F518" s="565"/>
      <c r="G518" s="581"/>
      <c r="H518" s="582" t="s">
        <v>35</v>
      </c>
      <c r="I518" s="44"/>
      <c r="J518" s="44"/>
      <c r="K518" s="167"/>
      <c r="L518" s="167"/>
      <c r="M518" s="167"/>
      <c r="N518" s="167"/>
      <c r="O518" s="167"/>
      <c r="P518" s="167"/>
      <c r="Q518" s="568"/>
      <c r="R518" s="568"/>
      <c r="S518" s="568"/>
      <c r="T518" s="568"/>
      <c r="U518" s="568"/>
      <c r="V518" s="568"/>
      <c r="W518" s="568"/>
      <c r="X518" s="568"/>
      <c r="Y518" s="568"/>
      <c r="Z518" s="568"/>
    </row>
    <row r="519" spans="1:26" ht="18.75" hidden="1">
      <c r="A519" s="578"/>
      <c r="B519" s="579"/>
      <c r="C519" s="579"/>
      <c r="D519" s="579"/>
      <c r="E519" s="580" t="s">
        <v>224</v>
      </c>
      <c r="F519" s="565"/>
      <c r="G519" s="581"/>
      <c r="H519" s="619" t="s">
        <v>35</v>
      </c>
      <c r="I519" s="44"/>
      <c r="J519" s="44"/>
      <c r="K519" s="167"/>
      <c r="L519" s="167"/>
      <c r="M519" s="167"/>
      <c r="N519" s="167"/>
      <c r="O519" s="167"/>
      <c r="P519" s="167"/>
      <c r="Q519" s="568"/>
      <c r="R519" s="568"/>
      <c r="S519" s="568"/>
      <c r="T519" s="568"/>
      <c r="U519" s="568"/>
      <c r="V519" s="568"/>
      <c r="W519" s="568"/>
      <c r="X519" s="568"/>
      <c r="Y519" s="568"/>
      <c r="Z519" s="568"/>
    </row>
    <row r="520" spans="1:26" ht="19.5">
      <c r="A520" s="623" t="s">
        <v>137</v>
      </c>
      <c r="B520" s="624"/>
      <c r="C520" s="624"/>
      <c r="D520" s="625"/>
      <c r="E520" s="625"/>
      <c r="F520" s="625"/>
      <c r="G520" s="626"/>
      <c r="H520" s="627"/>
      <c r="I520" s="628"/>
      <c r="J520" s="628"/>
      <c r="K520" s="629"/>
      <c r="L520" s="629"/>
      <c r="M520" s="629"/>
      <c r="N520" s="629"/>
      <c r="O520" s="629"/>
      <c r="P520" s="629"/>
    </row>
    <row r="521" spans="1:26" ht="19.5">
      <c r="A521" s="630">
        <v>5</v>
      </c>
      <c r="B521" s="631" t="s">
        <v>225</v>
      </c>
      <c r="C521" s="632"/>
      <c r="D521" s="633"/>
      <c r="E521" s="633"/>
      <c r="F521" s="633"/>
      <c r="G521" s="633"/>
      <c r="H521" s="634"/>
      <c r="I521" s="635"/>
      <c r="J521" s="635"/>
      <c r="K521" s="636"/>
      <c r="L521" s="636"/>
      <c r="M521" s="636"/>
      <c r="N521" s="636"/>
      <c r="O521" s="636"/>
      <c r="P521" s="636"/>
      <c r="Q521" s="541"/>
      <c r="R521" s="541"/>
      <c r="S521" s="541"/>
      <c r="T521" s="541"/>
      <c r="U521" s="541"/>
      <c r="V521" s="541"/>
      <c r="W521" s="541"/>
      <c r="X521" s="541"/>
      <c r="Y521" s="541"/>
      <c r="Z521" s="541"/>
    </row>
    <row r="522" spans="1:26" ht="19.5">
      <c r="A522" s="637"/>
      <c r="B522" s="638" t="s">
        <v>226</v>
      </c>
      <c r="C522" s="639"/>
      <c r="D522" s="639"/>
      <c r="E522" s="639"/>
      <c r="F522" s="639"/>
      <c r="G522" s="640"/>
      <c r="H522" s="641" t="s">
        <v>35</v>
      </c>
      <c r="I522" s="642">
        <f t="shared" ref="I522:J522" ca="1" si="261">I537</f>
        <v>80</v>
      </c>
      <c r="J522" s="642">
        <f t="shared" ca="1" si="261"/>
        <v>0</v>
      </c>
      <c r="K522" s="643">
        <f ca="1">IF(I522&gt;0,J522*100/I522,0)</f>
        <v>0</v>
      </c>
      <c r="L522" s="644"/>
      <c r="M522" s="644"/>
      <c r="N522" s="644"/>
      <c r="O522" s="644"/>
      <c r="P522" s="644"/>
      <c r="Q522" s="541"/>
      <c r="R522" s="541"/>
      <c r="S522" s="541"/>
      <c r="T522" s="541"/>
      <c r="U522" s="541"/>
      <c r="V522" s="541"/>
      <c r="W522" s="541"/>
      <c r="X522" s="541"/>
      <c r="Y522" s="541"/>
      <c r="Z522" s="541"/>
    </row>
    <row r="523" spans="1:26" ht="19.5">
      <c r="A523" s="561"/>
      <c r="B523" s="539"/>
      <c r="C523" s="539" t="s">
        <v>16</v>
      </c>
      <c r="D523" s="811" t="s">
        <v>17</v>
      </c>
      <c r="E523" s="805"/>
      <c r="F523" s="805"/>
      <c r="G523" s="189"/>
      <c r="H523" s="562" t="s">
        <v>12</v>
      </c>
      <c r="I523" s="37"/>
      <c r="J523" s="37"/>
      <c r="K523" s="38"/>
      <c r="L523" s="195">
        <f t="shared" ref="L523:N523" ca="1" si="262">L524+L525</f>
        <v>652760</v>
      </c>
      <c r="M523" s="195">
        <f t="shared" si="262"/>
        <v>0</v>
      </c>
      <c r="N523" s="195">
        <f t="shared" ca="1" si="262"/>
        <v>0</v>
      </c>
      <c r="O523" s="195">
        <f t="shared" ref="O523:O528" ca="1" si="263">IF(L523&gt;0,N523*100/L523,0)</f>
        <v>0</v>
      </c>
      <c r="P523" s="195">
        <f t="shared" ref="P523:P528" si="264">IF(M523&gt;0,N523*100/M523,0)</f>
        <v>0</v>
      </c>
      <c r="Q523" s="541"/>
      <c r="R523" s="541"/>
      <c r="S523" s="541"/>
      <c r="T523" s="541"/>
      <c r="U523" s="541"/>
      <c r="V523" s="541"/>
      <c r="W523" s="541"/>
      <c r="X523" s="541"/>
      <c r="Y523" s="541"/>
      <c r="Z523" s="541"/>
    </row>
    <row r="524" spans="1:26" ht="18.75" hidden="1">
      <c r="A524" s="563"/>
      <c r="B524" s="564"/>
      <c r="C524" s="564"/>
      <c r="D524" s="565"/>
      <c r="E524" s="566" t="s">
        <v>184</v>
      </c>
      <c r="F524" s="564"/>
      <c r="G524" s="567"/>
      <c r="H524" s="165" t="s">
        <v>12</v>
      </c>
      <c r="I524" s="44"/>
      <c r="J524" s="44"/>
      <c r="K524" s="45"/>
      <c r="L524" s="45">
        <f t="shared" ref="L524:N524" si="265">L527+L534</f>
        <v>0</v>
      </c>
      <c r="M524" s="45">
        <f t="shared" si="265"/>
        <v>0</v>
      </c>
      <c r="N524" s="45">
        <f t="shared" si="265"/>
        <v>0</v>
      </c>
      <c r="O524" s="45">
        <f t="shared" si="263"/>
        <v>0</v>
      </c>
      <c r="P524" s="45">
        <f t="shared" si="264"/>
        <v>0</v>
      </c>
      <c r="Q524" s="568"/>
      <c r="R524" s="568"/>
      <c r="S524" s="568"/>
      <c r="T524" s="568"/>
      <c r="U524" s="568"/>
      <c r="V524" s="568"/>
      <c r="W524" s="568"/>
      <c r="X524" s="568"/>
      <c r="Y524" s="568"/>
      <c r="Z524" s="568"/>
    </row>
    <row r="525" spans="1:26" ht="18.75" hidden="1">
      <c r="A525" s="563"/>
      <c r="B525" s="569"/>
      <c r="C525" s="564"/>
      <c r="D525" s="565"/>
      <c r="E525" s="566" t="s">
        <v>185</v>
      </c>
      <c r="F525" s="564"/>
      <c r="G525" s="567"/>
      <c r="H525" s="165" t="s">
        <v>12</v>
      </c>
      <c r="I525" s="44"/>
      <c r="J525" s="44"/>
      <c r="K525" s="45"/>
      <c r="L525" s="45">
        <f t="shared" ref="L525:N525" ca="1" si="266">L528+L535</f>
        <v>652760</v>
      </c>
      <c r="M525" s="45">
        <f t="shared" si="266"/>
        <v>0</v>
      </c>
      <c r="N525" s="45">
        <f t="shared" ca="1" si="266"/>
        <v>0</v>
      </c>
      <c r="O525" s="45">
        <f t="shared" ca="1" si="263"/>
        <v>0</v>
      </c>
      <c r="P525" s="45">
        <f t="shared" si="264"/>
        <v>0</v>
      </c>
      <c r="Q525" s="568"/>
      <c r="R525" s="568"/>
      <c r="S525" s="568"/>
      <c r="T525" s="568"/>
      <c r="U525" s="568"/>
      <c r="V525" s="568"/>
      <c r="W525" s="568"/>
      <c r="X525" s="568"/>
      <c r="Y525" s="568"/>
      <c r="Z525" s="568"/>
    </row>
    <row r="526" spans="1:26" ht="18.75">
      <c r="A526" s="561"/>
      <c r="B526" s="538"/>
      <c r="C526" s="539"/>
      <c r="D526" s="570" t="s">
        <v>20</v>
      </c>
      <c r="E526" s="539"/>
      <c r="F526" s="539"/>
      <c r="G526" s="189"/>
      <c r="H526" s="161" t="s">
        <v>12</v>
      </c>
      <c r="I526" s="162"/>
      <c r="J526" s="162"/>
      <c r="K526" s="163"/>
      <c r="L526" s="38">
        <f t="shared" ref="L526:N526" ca="1" si="267">L527+L528</f>
        <v>652760</v>
      </c>
      <c r="M526" s="38">
        <f t="shared" si="267"/>
        <v>0</v>
      </c>
      <c r="N526" s="38">
        <f t="shared" ca="1" si="267"/>
        <v>0</v>
      </c>
      <c r="O526" s="38">
        <f t="shared" ca="1" si="263"/>
        <v>0</v>
      </c>
      <c r="P526" s="38">
        <f t="shared" si="264"/>
        <v>0</v>
      </c>
      <c r="Q526" s="541"/>
      <c r="R526" s="541"/>
      <c r="S526" s="541"/>
      <c r="T526" s="541"/>
      <c r="U526" s="541"/>
      <c r="V526" s="541"/>
      <c r="W526" s="541"/>
      <c r="X526" s="541"/>
      <c r="Y526" s="541"/>
      <c r="Z526" s="541"/>
    </row>
    <row r="527" spans="1:26" ht="18.75" hidden="1">
      <c r="A527" s="563"/>
      <c r="B527" s="569"/>
      <c r="C527" s="564"/>
      <c r="D527" s="565"/>
      <c r="E527" s="566" t="s">
        <v>184</v>
      </c>
      <c r="F527" s="564"/>
      <c r="G527" s="567"/>
      <c r="H527" s="165" t="s">
        <v>12</v>
      </c>
      <c r="I527" s="44"/>
      <c r="J527" s="44"/>
      <c r="K527" s="45"/>
      <c r="L527" s="93">
        <v>0</v>
      </c>
      <c r="M527" s="93">
        <v>0</v>
      </c>
      <c r="N527" s="93">
        <v>0</v>
      </c>
      <c r="O527" s="45">
        <f t="shared" si="263"/>
        <v>0</v>
      </c>
      <c r="P527" s="45">
        <f t="shared" si="264"/>
        <v>0</v>
      </c>
      <c r="Q527" s="568"/>
      <c r="R527" s="568"/>
      <c r="S527" s="568"/>
      <c r="T527" s="568"/>
      <c r="U527" s="568"/>
      <c r="V527" s="568"/>
      <c r="W527" s="568"/>
      <c r="X527" s="568"/>
      <c r="Y527" s="568"/>
      <c r="Z527" s="568"/>
    </row>
    <row r="528" spans="1:26" ht="18.75" hidden="1">
      <c r="A528" s="563"/>
      <c r="B528" s="569"/>
      <c r="C528" s="564"/>
      <c r="D528" s="565"/>
      <c r="E528" s="566" t="s">
        <v>185</v>
      </c>
      <c r="F528" s="564"/>
      <c r="G528" s="567"/>
      <c r="H528" s="165" t="s">
        <v>12</v>
      </c>
      <c r="I528" s="44"/>
      <c r="J528" s="44"/>
      <c r="K528" s="45"/>
      <c r="L528" s="45">
        <f ca="1">IFERROR(__xludf.DUMMYFUNCTION("IMPORTRANGE(""https://docs.google.com/spreadsheets/d/1KxicF4apzSqm0-jIpmueT4kyZtE-Cwn5zskl7GD4loQ/edit?usp=share_link"",""กำแพงเพชร!l528"")+IMPORTRANGE(""https://docs.google.com/spreadsheets/d/1ZNYWeiFoFA1K1U4xKWqRX29MBvEyRHXORjo734Gnq_c/edit?usp=share_li"&amp;"nk"",""เชียงราย!l528"")
+IMPORTRANGE(""https://docs.google.com/spreadsheets/d/1Jgv0Y7YlHDtsiDawwp-uvifEJ8HVaSn0k2aGHG8-hwM/edit?usp=share_link"",""เชียงใหม่!l528"")+IMPORTRANGE(""https://docs.google.com/spreadsheets/d/1JWG2rZePOz9pe-f-ObA-yDr0VoOX2kSb0qIi"&amp;"x2mTUo8/edit?usp=share_link"",""ตาก!l528"")+IMPORTRANGE(""https://docs.google.com/spreadsheets/d/10nSRjK08hx8Y6HgSOQKNw81lyY46Zc7U_Cj72hBMp9U/edit?usp=share_link"",""นครสวรรค์!l528"")+IMPORTRANGE(""https://docs.google.com/spreadsheets/d/1gFVb7qd7amutrIxAA"&amp;"oM7lcy35hllxznovot8lyOfvDo/edit?usp=share_link"",""น่าน!l528"")+IMPORTRANGE(""https://docs.google.com/spreadsheets/d/1K0Aa9s-6EuHE5M0FG1F9aHLXRCOV917xvycTdLdct0w/edit?usp=share_link"",""พะเยา!l528"")+IMPORTRANGE(""https://docs.google.com/spreadsheets/d/1Y"&amp;"9LPKx95PyL5OKy09d-KbKJSuuEZCFdkhYjwC0XQjBA/edit?usp=share_link"",""พิจิตร!l528"")+IMPORTRANGE(""https://docs.google.com/spreadsheets/d/16OMuOwy2eVqZcYWOouQtTpa8X1L23h4660uVHc0C8os/edit?usp=share_link"",""พิษณุโลก!l528"")+IMPORTRANGE(""https://docs.google."&amp;"com/spreadsheets/d/1GfgTldLG6k77HXaMQzaafODklYuucJZQNs_GAPEfZyY/edit?usp=share_link"",""เพชรบูรณ์!l528"")+IMPORTRANGE(""https://docs.google.com/spreadsheets/d/1gvTMYAnm7v1yG1BKWFtr0DnaTsq59oW9dwWvFgq6hs0/edit?usp=share_link"",""แพร่!l528"")+IMPORTRANGE("""&amp;"https://docs.google.com/spreadsheets/d/1Wbcosgy-Xa1xXUArJSOenub6EfZHUSzc_bpJFWwQUf0/edit?usp=share_link"",""แม่ฮ่องสอน!l528"")+IMPORTRANGE(""https://docs.google.com/spreadsheets/d/1p7ERhsr0qZeSn-KSOdeHS9r0heI-lHtkcn2OH7hP0jQ/edit?usp=share_link"",""ลำปาง!"&amp;"l528"")+IMPORTRANGE(""https://docs.google.com/spreadsheets/d/1-uUXvimVhiU2U0bMN-xi2te0tS4X7DI2GLPnMjzl8cA/edit?usp=share_link"",""ลำพูน!l528"")+IMPORTRANGE(""https://docs.google.com/spreadsheets/d/17HrOaa5pBUI1onckFfumXB8xlg35qb2uBAFfF1D-Myo/edit?usp=shar"&amp;"e_link"",""สุโขทัย!l528"")+IMPORTRANGE(""https://docs.google.com/spreadsheets/d/1ubs5cl16eYL9gHbdHTJtmtYb9MGzHBs7CAphn8kNCgM/edit?usp=share_link"",""อุตรดิตถ์!l528"")+IMPORTRANGE(""https://docs.google.com/spreadsheets/d/1kII0BjS6CtVrBvI8IrytgPdxDrlyQDyigz"&amp;"MsohRtDMs/edit?usp=share_link"",""อุทัยธานี!l528"")
"),652760)</f>
        <v>652760</v>
      </c>
      <c r="M528" s="93">
        <v>0</v>
      </c>
      <c r="N528" s="45">
        <f ca="1">N529+N530+N531+N532</f>
        <v>0</v>
      </c>
      <c r="O528" s="45">
        <f t="shared" ca="1" si="263"/>
        <v>0</v>
      </c>
      <c r="P528" s="45">
        <f t="shared" si="264"/>
        <v>0</v>
      </c>
      <c r="Q528" s="568"/>
      <c r="R528" s="568"/>
      <c r="S528" s="568"/>
      <c r="T528" s="568"/>
      <c r="U528" s="568"/>
      <c r="V528" s="568"/>
      <c r="W528" s="568"/>
      <c r="X528" s="568"/>
      <c r="Y528" s="568"/>
      <c r="Z528" s="568"/>
    </row>
    <row r="529" spans="1:26" ht="18.75">
      <c r="A529" s="537"/>
      <c r="B529" s="538"/>
      <c r="C529" s="539"/>
      <c r="D529" s="539"/>
      <c r="E529" s="539"/>
      <c r="F529" s="540" t="s">
        <v>186</v>
      </c>
      <c r="G529" s="189"/>
      <c r="H529" s="161" t="s">
        <v>12</v>
      </c>
      <c r="I529" s="37"/>
      <c r="J529" s="37"/>
      <c r="K529" s="38"/>
      <c r="L529" s="38"/>
      <c r="M529" s="38"/>
      <c r="N529" s="282">
        <f ca="1">IFERROR(__xludf.DUMMYFUNCTION("IMPORTRANGE(""https://docs.google.com/spreadsheets/d/1KxicF4apzSqm0-jIpmueT4kyZtE-Cwn5zskl7GD4loQ/edit?usp=share_link"",""กำแพงเพชร!n529"")+IMPORTRANGE(""https://docs.google.com/spreadsheets/d/1ZNYWeiFoFA1K1U4xKWqRX29MBvEyRHXORjo734Gnq_c/edit?usp=share_li"&amp;"nk"",""เชียงราย!n529"")
+IMPORTRANGE(""https://docs.google.com/spreadsheets/d/1Jgv0Y7YlHDtsiDawwp-uvifEJ8HVaSn0k2aGHG8-hwM/edit?usp=share_link"",""เชียงใหม่!n529"")+IMPORTRANGE(""https://docs.google.com/spreadsheets/d/1JWG2rZePOz9pe-f-ObA-yDr0VoOX2kSb0qIi"&amp;"x2mTUo8/edit?usp=share_link"",""ตาก!n529"")+IMPORTRANGE(""https://docs.google.com/spreadsheets/d/10nSRjK08hx8Y6HgSOQKNw81lyY46Zc7U_Cj72hBMp9U/edit?usp=share_link"",""นครสวรรค์!n529"")+IMPORTRANGE(""https://docs.google.com/spreadsheets/d/1gFVb7qd7amutrIxAA"&amp;"oM7lcy35hllxznovot8lyOfvDo/edit?usp=share_link"",""น่าน!n529"")+IMPORTRANGE(""https://docs.google.com/spreadsheets/d/1K0Aa9s-6EuHE5M0FG1F9aHLXRCOV917xvycTdLdct0w/edit?usp=share_link"",""พะเยา!n529"")+IMPORTRANGE(""https://docs.google.com/spreadsheets/d/1Y"&amp;"9LPKx95PyL5OKy09d-KbKJSuuEZCFdkhYjwC0XQjBA/edit?usp=share_link"",""พิจิตร!n529"")+IMPORTRANGE(""https://docs.google.com/spreadsheets/d/16OMuOwy2eVqZcYWOouQtTpa8X1L23h4660uVHc0C8os/edit?usp=share_link"",""พิษณุโลก!n529"")+IMPORTRANGE(""https://docs.google."&amp;"com/spreadsheets/d/1GfgTldLG6k77HXaMQzaafODklYuucJZQNs_GAPEfZyY/edit?usp=share_link"",""เพชรบูรณ์!n529"")+IMPORTRANGE(""https://docs.google.com/spreadsheets/d/1gvTMYAnm7v1yG1BKWFtr0DnaTsq59oW9dwWvFgq6hs0/edit?usp=share_link"",""แพร่!n529"")+IMPORTRANGE("""&amp;"https://docs.google.com/spreadsheets/d/1Wbcosgy-Xa1xXUArJSOenub6EfZHUSzc_bpJFWwQUf0/edit?usp=share_link"",""แม่ฮ่องสอน!n529"")+IMPORTRANGE(""https://docs.google.com/spreadsheets/d/1p7ERhsr0qZeSn-KSOdeHS9r0heI-lHtkcn2OH7hP0jQ/edit?usp=share_link"",""ลำปาง!"&amp;"n529"")+IMPORTRANGE(""https://docs.google.com/spreadsheets/d/1-uUXvimVhiU2U0bMN-xi2te0tS4X7DI2GLPnMjzl8cA/edit?usp=share_link"",""ลำพูน!n529"")+IMPORTRANGE(""https://docs.google.com/spreadsheets/d/17HrOaa5pBUI1onckFfumXB8xlg35qb2uBAFfF1D-Myo/edit?usp=shar"&amp;"e_link"",""สุโขทัย!n529"")+IMPORTRANGE(""https://docs.google.com/spreadsheets/d/1ubs5cl16eYL9gHbdHTJtmtYb9MGzHBs7CAphn8kNCgM/edit?usp=share_link"",""อุตรดิตถ์!n529"")+IMPORTRANGE(""https://docs.google.com/spreadsheets/d/1kII0BjS6CtVrBvI8IrytgPdxDrlyQDyigz"&amp;"MsohRtDMs/edit?usp=share_link"",""อุทัยธานี!n529"")
"),0)</f>
        <v>0</v>
      </c>
      <c r="O529" s="38"/>
      <c r="P529" s="38"/>
      <c r="Q529" s="541"/>
      <c r="R529" s="541"/>
      <c r="S529" s="541"/>
      <c r="T529" s="541"/>
      <c r="U529" s="541"/>
      <c r="V529" s="541"/>
      <c r="W529" s="541"/>
      <c r="X529" s="541"/>
      <c r="Y529" s="541"/>
      <c r="Z529" s="541"/>
    </row>
    <row r="530" spans="1:26" ht="18.75">
      <c r="A530" s="537"/>
      <c r="B530" s="538"/>
      <c r="C530" s="539"/>
      <c r="D530" s="539"/>
      <c r="E530" s="539"/>
      <c r="F530" s="540" t="s">
        <v>187</v>
      </c>
      <c r="G530" s="189"/>
      <c r="H530" s="161" t="s">
        <v>12</v>
      </c>
      <c r="I530" s="37"/>
      <c r="J530" s="37"/>
      <c r="K530" s="38"/>
      <c r="L530" s="38"/>
      <c r="M530" s="38"/>
      <c r="N530" s="282">
        <f ca="1">IFERROR(__xludf.DUMMYFUNCTION("IMPORTRANGE(""https://docs.google.com/spreadsheets/d/1KxicF4apzSqm0-jIpmueT4kyZtE-Cwn5zskl7GD4loQ/edit?usp=share_link"",""กำแพงเพชร!n530"")+IMPORTRANGE(""https://docs.google.com/spreadsheets/d/1ZNYWeiFoFA1K1U4xKWqRX29MBvEyRHXORjo734Gnq_c/edit?usp=share_li"&amp;"nk"",""เชียงราย!n530"")
+IMPORTRANGE(""https://docs.google.com/spreadsheets/d/1Jgv0Y7YlHDtsiDawwp-uvifEJ8HVaSn0k2aGHG8-hwM/edit?usp=share_link"",""เชียงใหม่!n530"")+IMPORTRANGE(""https://docs.google.com/spreadsheets/d/1JWG2rZePOz9pe-f-ObA-yDr0VoOX2kSb0qIi"&amp;"x2mTUo8/edit?usp=share_link"",""ตาก!n530"")+IMPORTRANGE(""https://docs.google.com/spreadsheets/d/10nSRjK08hx8Y6HgSOQKNw81lyY46Zc7U_Cj72hBMp9U/edit?usp=share_link"",""นครสวรรค์!n530"")+IMPORTRANGE(""https://docs.google.com/spreadsheets/d/1gFVb7qd7amutrIxAA"&amp;"oM7lcy35hllxznovot8lyOfvDo/edit?usp=share_link"",""น่าน!n530"")+IMPORTRANGE(""https://docs.google.com/spreadsheets/d/1K0Aa9s-6EuHE5M0FG1F9aHLXRCOV917xvycTdLdct0w/edit?usp=share_link"",""พะเยา!n530"")+IMPORTRANGE(""https://docs.google.com/spreadsheets/d/1Y"&amp;"9LPKx95PyL5OKy09d-KbKJSuuEZCFdkhYjwC0XQjBA/edit?usp=share_link"",""พิจิตร!n530"")+IMPORTRANGE(""https://docs.google.com/spreadsheets/d/16OMuOwy2eVqZcYWOouQtTpa8X1L23h4660uVHc0C8os/edit?usp=share_link"",""พิษณุโลก!n530"")+IMPORTRANGE(""https://docs.google."&amp;"com/spreadsheets/d/1GfgTldLG6k77HXaMQzaafODklYuucJZQNs_GAPEfZyY/edit?usp=share_link"",""เพชรบูรณ์!n530"")+IMPORTRANGE(""https://docs.google.com/spreadsheets/d/1gvTMYAnm7v1yG1BKWFtr0DnaTsq59oW9dwWvFgq6hs0/edit?usp=share_link"",""แพร่!n530"")+IMPORTRANGE("""&amp;"https://docs.google.com/spreadsheets/d/1Wbcosgy-Xa1xXUArJSOenub6EfZHUSzc_bpJFWwQUf0/edit?usp=share_link"",""แม่ฮ่องสอน!n530"")+IMPORTRANGE(""https://docs.google.com/spreadsheets/d/1p7ERhsr0qZeSn-KSOdeHS9r0heI-lHtkcn2OH7hP0jQ/edit?usp=share_link"",""ลำปาง!"&amp;"n530"")+IMPORTRANGE(""https://docs.google.com/spreadsheets/d/1-uUXvimVhiU2U0bMN-xi2te0tS4X7DI2GLPnMjzl8cA/edit?usp=share_link"",""ลำพูน!n530"")+IMPORTRANGE(""https://docs.google.com/spreadsheets/d/17HrOaa5pBUI1onckFfumXB8xlg35qb2uBAFfF1D-Myo/edit?usp=shar"&amp;"e_link"",""สุโขทัย!n530"")+IMPORTRANGE(""https://docs.google.com/spreadsheets/d/1ubs5cl16eYL9gHbdHTJtmtYb9MGzHBs7CAphn8kNCgM/edit?usp=share_link"",""อุตรดิตถ์!n530"")+IMPORTRANGE(""https://docs.google.com/spreadsheets/d/1kII0BjS6CtVrBvI8IrytgPdxDrlyQDyigz"&amp;"MsohRtDMs/edit?usp=share_link"",""อุทัยธานี!n530"")
"),0)</f>
        <v>0</v>
      </c>
      <c r="O530" s="38"/>
      <c r="P530" s="38"/>
      <c r="Q530" s="541"/>
      <c r="R530" s="541"/>
      <c r="S530" s="541"/>
      <c r="T530" s="541"/>
      <c r="U530" s="541"/>
      <c r="V530" s="541"/>
      <c r="W530" s="541"/>
      <c r="X530" s="541"/>
      <c r="Y530" s="541"/>
      <c r="Z530" s="541"/>
    </row>
    <row r="531" spans="1:26" ht="18.75">
      <c r="A531" s="537"/>
      <c r="B531" s="538"/>
      <c r="C531" s="539"/>
      <c r="D531" s="539"/>
      <c r="E531" s="539"/>
      <c r="F531" s="540" t="s">
        <v>188</v>
      </c>
      <c r="G531" s="189"/>
      <c r="H531" s="161" t="s">
        <v>12</v>
      </c>
      <c r="I531" s="37"/>
      <c r="J531" s="37"/>
      <c r="K531" s="38"/>
      <c r="L531" s="38"/>
      <c r="M531" s="38"/>
      <c r="N531" s="282">
        <f ca="1">IFERROR(__xludf.DUMMYFUNCTION("IMPORTRANGE(""https://docs.google.com/spreadsheets/d/1KxicF4apzSqm0-jIpmueT4kyZtE-Cwn5zskl7GD4loQ/edit?usp=share_link"",""กำแพงเพชร!n531"")+IMPORTRANGE(""https://docs.google.com/spreadsheets/d/1ZNYWeiFoFA1K1U4xKWqRX29MBvEyRHXORjo734Gnq_c/edit?usp=share_li"&amp;"nk"",""เชียงราย!n531"")
+IMPORTRANGE(""https://docs.google.com/spreadsheets/d/1Jgv0Y7YlHDtsiDawwp-uvifEJ8HVaSn0k2aGHG8-hwM/edit?usp=share_link"",""เชียงใหม่!n531"")+IMPORTRANGE(""https://docs.google.com/spreadsheets/d/1JWG2rZePOz9pe-f-ObA-yDr0VoOX2kSb0qIi"&amp;"x2mTUo8/edit?usp=share_link"",""ตาก!n531"")+IMPORTRANGE(""https://docs.google.com/spreadsheets/d/10nSRjK08hx8Y6HgSOQKNw81lyY46Zc7U_Cj72hBMp9U/edit?usp=share_link"",""นครสวรรค์!n531"")+IMPORTRANGE(""https://docs.google.com/spreadsheets/d/1gFVb7qd7amutrIxAA"&amp;"oM7lcy35hllxznovot8lyOfvDo/edit?usp=share_link"",""น่าน!n531"")+IMPORTRANGE(""https://docs.google.com/spreadsheets/d/1K0Aa9s-6EuHE5M0FG1F9aHLXRCOV917xvycTdLdct0w/edit?usp=share_link"",""พะเยา!n531"")+IMPORTRANGE(""https://docs.google.com/spreadsheets/d/1Y"&amp;"9LPKx95PyL5OKy09d-KbKJSuuEZCFdkhYjwC0XQjBA/edit?usp=share_link"",""พิจิตร!n531"")+IMPORTRANGE(""https://docs.google.com/spreadsheets/d/16OMuOwy2eVqZcYWOouQtTpa8X1L23h4660uVHc0C8os/edit?usp=share_link"",""พิษณุโลก!n531"")+IMPORTRANGE(""https://docs.google."&amp;"com/spreadsheets/d/1GfgTldLG6k77HXaMQzaafODklYuucJZQNs_GAPEfZyY/edit?usp=share_link"",""เพชรบูรณ์!n531"")+IMPORTRANGE(""https://docs.google.com/spreadsheets/d/1gvTMYAnm7v1yG1BKWFtr0DnaTsq59oW9dwWvFgq6hs0/edit?usp=share_link"",""แพร่!n531"")+IMPORTRANGE("""&amp;"https://docs.google.com/spreadsheets/d/1Wbcosgy-Xa1xXUArJSOenub6EfZHUSzc_bpJFWwQUf0/edit?usp=share_link"",""แม่ฮ่องสอน!n531"")+IMPORTRANGE(""https://docs.google.com/spreadsheets/d/1p7ERhsr0qZeSn-KSOdeHS9r0heI-lHtkcn2OH7hP0jQ/edit?usp=share_link"",""ลำปาง!"&amp;"n531"")+IMPORTRANGE(""https://docs.google.com/spreadsheets/d/1-uUXvimVhiU2U0bMN-xi2te0tS4X7DI2GLPnMjzl8cA/edit?usp=share_link"",""ลำพูน!n531"")+IMPORTRANGE(""https://docs.google.com/spreadsheets/d/17HrOaa5pBUI1onckFfumXB8xlg35qb2uBAFfF1D-Myo/edit?usp=shar"&amp;"e_link"",""สุโขทัย!n531"")+IMPORTRANGE(""https://docs.google.com/spreadsheets/d/1ubs5cl16eYL9gHbdHTJtmtYb9MGzHBs7CAphn8kNCgM/edit?usp=share_link"",""อุตรดิตถ์!n531"")+IMPORTRANGE(""https://docs.google.com/spreadsheets/d/1kII0BjS6CtVrBvI8IrytgPdxDrlyQDyigz"&amp;"MsohRtDMs/edit?usp=share_link"",""อุทัยธานี!n531"")
"),0)</f>
        <v>0</v>
      </c>
      <c r="O531" s="38"/>
      <c r="P531" s="38"/>
      <c r="Q531" s="541"/>
      <c r="R531" s="541"/>
      <c r="S531" s="541"/>
      <c r="T531" s="541"/>
      <c r="U531" s="541"/>
      <c r="V531" s="541"/>
      <c r="W531" s="541"/>
      <c r="X531" s="541"/>
      <c r="Y531" s="541"/>
      <c r="Z531" s="541"/>
    </row>
    <row r="532" spans="1:26" ht="18.75">
      <c r="A532" s="537"/>
      <c r="B532" s="538"/>
      <c r="C532" s="539"/>
      <c r="D532" s="539"/>
      <c r="E532" s="539"/>
      <c r="F532" s="540" t="s">
        <v>189</v>
      </c>
      <c r="G532" s="189"/>
      <c r="H532" s="161" t="s">
        <v>12</v>
      </c>
      <c r="I532" s="37"/>
      <c r="J532" s="37"/>
      <c r="K532" s="38"/>
      <c r="L532" s="38"/>
      <c r="M532" s="38"/>
      <c r="N532" s="282">
        <f ca="1">IFERROR(__xludf.DUMMYFUNCTION("IMPORTRANGE(""https://docs.google.com/spreadsheets/d/1KxicF4apzSqm0-jIpmueT4kyZtE-Cwn5zskl7GD4loQ/edit?usp=share_link"",""กำแพงเพชร!n532"")+IMPORTRANGE(""https://docs.google.com/spreadsheets/d/1ZNYWeiFoFA1K1U4xKWqRX29MBvEyRHXORjo734Gnq_c/edit?usp=share_li"&amp;"nk"",""เชียงราย!n532"")
+IMPORTRANGE(""https://docs.google.com/spreadsheets/d/1Jgv0Y7YlHDtsiDawwp-uvifEJ8HVaSn0k2aGHG8-hwM/edit?usp=share_link"",""เชียงใหม่!n532"")+IMPORTRANGE(""https://docs.google.com/spreadsheets/d/1JWG2rZePOz9pe-f-ObA-yDr0VoOX2kSb0qIi"&amp;"x2mTUo8/edit?usp=share_link"",""ตาก!n532"")+IMPORTRANGE(""https://docs.google.com/spreadsheets/d/10nSRjK08hx8Y6HgSOQKNw81lyY46Zc7U_Cj72hBMp9U/edit?usp=share_link"",""นครสวรรค์!n532"")+IMPORTRANGE(""https://docs.google.com/spreadsheets/d/1gFVb7qd7amutrIxAA"&amp;"oM7lcy35hllxznovot8lyOfvDo/edit?usp=share_link"",""น่าน!n532"")+IMPORTRANGE(""https://docs.google.com/spreadsheets/d/1K0Aa9s-6EuHE5M0FG1F9aHLXRCOV917xvycTdLdct0w/edit?usp=share_link"",""พะเยา!n532"")+IMPORTRANGE(""https://docs.google.com/spreadsheets/d/1Y"&amp;"9LPKx95PyL5OKy09d-KbKJSuuEZCFdkhYjwC0XQjBA/edit?usp=share_link"",""พิจิตร!n532"")+IMPORTRANGE(""https://docs.google.com/spreadsheets/d/16OMuOwy2eVqZcYWOouQtTpa8X1L23h4660uVHc0C8os/edit?usp=share_link"",""พิษณุโลก!n532"")+IMPORTRANGE(""https://docs.google."&amp;"com/spreadsheets/d/1GfgTldLG6k77HXaMQzaafODklYuucJZQNs_GAPEfZyY/edit?usp=share_link"",""เพชรบูรณ์!n532"")+IMPORTRANGE(""https://docs.google.com/spreadsheets/d/1gvTMYAnm7v1yG1BKWFtr0DnaTsq59oW9dwWvFgq6hs0/edit?usp=share_link"",""แพร่!n532"")+IMPORTRANGE("""&amp;"https://docs.google.com/spreadsheets/d/1Wbcosgy-Xa1xXUArJSOenub6EfZHUSzc_bpJFWwQUf0/edit?usp=share_link"",""แม่ฮ่องสอน!n532"")+IMPORTRANGE(""https://docs.google.com/spreadsheets/d/1p7ERhsr0qZeSn-KSOdeHS9r0heI-lHtkcn2OH7hP0jQ/edit?usp=share_link"",""ลำปาง!"&amp;"n532"")+IMPORTRANGE(""https://docs.google.com/spreadsheets/d/1-uUXvimVhiU2U0bMN-xi2te0tS4X7DI2GLPnMjzl8cA/edit?usp=share_link"",""ลำพูน!n532"")+IMPORTRANGE(""https://docs.google.com/spreadsheets/d/17HrOaa5pBUI1onckFfumXB8xlg35qb2uBAFfF1D-Myo/edit?usp=shar"&amp;"e_link"",""สุโขทัย!n532"")+IMPORTRANGE(""https://docs.google.com/spreadsheets/d/1ubs5cl16eYL9gHbdHTJtmtYb9MGzHBs7CAphn8kNCgM/edit?usp=share_link"",""อุตรดิตถ์!n532"")+IMPORTRANGE(""https://docs.google.com/spreadsheets/d/1kII0BjS6CtVrBvI8IrytgPdxDrlyQDyigz"&amp;"MsohRtDMs/edit?usp=share_link"",""อุทัยธานี!n532"")
"),0)</f>
        <v>0</v>
      </c>
      <c r="O532" s="38"/>
      <c r="P532" s="38"/>
      <c r="Q532" s="541"/>
      <c r="R532" s="541"/>
      <c r="S532" s="541"/>
      <c r="T532" s="541"/>
      <c r="U532" s="541"/>
      <c r="V532" s="541"/>
      <c r="W532" s="541"/>
      <c r="X532" s="541"/>
      <c r="Y532" s="541"/>
      <c r="Z532" s="541"/>
    </row>
    <row r="533" spans="1:26" ht="18.75">
      <c r="A533" s="561"/>
      <c r="B533" s="538"/>
      <c r="C533" s="539"/>
      <c r="D533" s="570" t="s">
        <v>21</v>
      </c>
      <c r="E533" s="539"/>
      <c r="F533" s="539"/>
      <c r="G533" s="189"/>
      <c r="H533" s="168" t="s">
        <v>12</v>
      </c>
      <c r="I533" s="162"/>
      <c r="J533" s="162"/>
      <c r="K533" s="163"/>
      <c r="L533" s="38">
        <f t="shared" ref="L533:N533" ca="1" si="268">L534+L535</f>
        <v>0</v>
      </c>
      <c r="M533" s="38">
        <f t="shared" si="268"/>
        <v>0</v>
      </c>
      <c r="N533" s="38">
        <f t="shared" si="268"/>
        <v>0</v>
      </c>
      <c r="O533" s="38">
        <f t="shared" ref="O533:O535" ca="1" si="269">IF(L533&gt;0,N533*100/L533,0)</f>
        <v>0</v>
      </c>
      <c r="P533" s="38">
        <f t="shared" ref="P533:P535" si="270">IF(M533&gt;0,N533*100/M533,0)</f>
        <v>0</v>
      </c>
      <c r="Q533" s="541"/>
      <c r="R533" s="541"/>
      <c r="S533" s="541"/>
      <c r="T533" s="541"/>
      <c r="U533" s="541"/>
      <c r="V533" s="541"/>
      <c r="W533" s="541"/>
      <c r="X533" s="541"/>
      <c r="Y533" s="541"/>
      <c r="Z533" s="541"/>
    </row>
    <row r="534" spans="1:26" ht="18.75" hidden="1">
      <c r="A534" s="563"/>
      <c r="B534" s="569"/>
      <c r="C534" s="564"/>
      <c r="D534" s="564"/>
      <c r="E534" s="566" t="s">
        <v>18</v>
      </c>
      <c r="F534" s="564"/>
      <c r="G534" s="567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45">
        <f t="shared" si="269"/>
        <v>0</v>
      </c>
      <c r="P534" s="45">
        <f t="shared" si="270"/>
        <v>0</v>
      </c>
      <c r="Q534" s="568"/>
      <c r="R534" s="568"/>
      <c r="S534" s="568"/>
      <c r="T534" s="568"/>
      <c r="U534" s="568"/>
      <c r="V534" s="568"/>
      <c r="W534" s="568"/>
      <c r="X534" s="568"/>
      <c r="Y534" s="568"/>
      <c r="Z534" s="568"/>
    </row>
    <row r="535" spans="1:26" ht="18.75" hidden="1">
      <c r="A535" s="563"/>
      <c r="B535" s="569"/>
      <c r="C535" s="564"/>
      <c r="D535" s="564"/>
      <c r="E535" s="566" t="s">
        <v>19</v>
      </c>
      <c r="F535" s="564"/>
      <c r="G535" s="567"/>
      <c r="H535" s="169" t="s">
        <v>12</v>
      </c>
      <c r="I535" s="166"/>
      <c r="J535" s="166"/>
      <c r="K535" s="167"/>
      <c r="L535" s="45">
        <f ca="1">IFERROR(__xludf.DUMMYFUNCTION("IMPORTRANGE(""https://docs.google.com/spreadsheets/d/1KxicF4apzSqm0-jIpmueT4kyZtE-Cwn5zskl7GD4loQ/edit?usp=share_link"",""กำแพงเพชร!l535"")+IMPORTRANGE(""https://docs.google.com/spreadsheets/d/1ZNYWeiFoFA1K1U4xKWqRX29MBvEyRHXORjo734Gnq_c/edit?usp=share_li"&amp;"nk"",""เชียงราย!l535"")
+IMPORTRANGE(""https://docs.google.com/spreadsheets/d/1Jgv0Y7YlHDtsiDawwp-uvifEJ8HVaSn0k2aGHG8-hwM/edit?usp=share_link"",""เชียงใหม่!l535"")+IMPORTRANGE(""https://docs.google.com/spreadsheets/d/1JWG2rZePOz9pe-f-ObA-yDr0VoOX2kSb0qIi"&amp;"x2mTUo8/edit?usp=share_link"",""ตาก!l535"")+IMPORTRANGE(""https://docs.google.com/spreadsheets/d/10nSRjK08hx8Y6HgSOQKNw81lyY46Zc7U_Cj72hBMp9U/edit?usp=share_link"",""นครสวรรค์!l535"")+IMPORTRANGE(""https://docs.google.com/spreadsheets/d/1gFVb7qd7amutrIxAA"&amp;"oM7lcy35hllxznovot8lyOfvDo/edit?usp=share_link"",""น่าน!l535"")+IMPORTRANGE(""https://docs.google.com/spreadsheets/d/1K0Aa9s-6EuHE5M0FG1F9aHLXRCOV917xvycTdLdct0w/edit?usp=share_link"",""พะเยา!l535"")+IMPORTRANGE(""https://docs.google.com/spreadsheets/d/1Y"&amp;"9LPKx95PyL5OKy09d-KbKJSuuEZCFdkhYjwC0XQjBA/edit?usp=share_link"",""พิจิตร!l535"")+IMPORTRANGE(""https://docs.google.com/spreadsheets/d/16OMuOwy2eVqZcYWOouQtTpa8X1L23h4660uVHc0C8os/edit?usp=share_link"",""พิษณุโลก!l535"")+IMPORTRANGE(""https://docs.google."&amp;"com/spreadsheets/d/1GfgTldLG6k77HXaMQzaafODklYuucJZQNs_GAPEfZyY/edit?usp=share_link"",""เพชรบูรณ์!l535"")+IMPORTRANGE(""https://docs.google.com/spreadsheets/d/1gvTMYAnm7v1yG1BKWFtr0DnaTsq59oW9dwWvFgq6hs0/edit?usp=share_link"",""แพร่!l535"")+IMPORTRANGE("""&amp;"https://docs.google.com/spreadsheets/d/1Wbcosgy-Xa1xXUArJSOenub6EfZHUSzc_bpJFWwQUf0/edit?usp=share_link"",""แม่ฮ่องสอน!l535"")+IMPORTRANGE(""https://docs.google.com/spreadsheets/d/1p7ERhsr0qZeSn-KSOdeHS9r0heI-lHtkcn2OH7hP0jQ/edit?usp=share_link"",""ลำปาง!"&amp;"l535"")+IMPORTRANGE(""https://docs.google.com/spreadsheets/d/1-uUXvimVhiU2U0bMN-xi2te0tS4X7DI2GLPnMjzl8cA/edit?usp=share_link"",""ลำพูน!l535"")+IMPORTRANGE(""https://docs.google.com/spreadsheets/d/17HrOaa5pBUI1onckFfumXB8xlg35qb2uBAFfF1D-Myo/edit?usp=shar"&amp;"e_link"",""สุโขทัย!l535"")+IMPORTRANGE(""https://docs.google.com/spreadsheets/d/1ubs5cl16eYL9gHbdHTJtmtYb9MGzHBs7CAphn8kNCgM/edit?usp=share_link"",""อุตรดิตถ์!l535"")+IMPORTRANGE(""https://docs.google.com/spreadsheets/d/1kII0BjS6CtVrBvI8IrytgPdxDrlyQDyigz"&amp;"MsohRtDMs/edit?usp=share_link"",""อุทัยธานี!l535"")
"),0)</f>
        <v>0</v>
      </c>
      <c r="M535" s="93">
        <v>0</v>
      </c>
      <c r="N535" s="93">
        <v>0</v>
      </c>
      <c r="O535" s="45">
        <f t="shared" ca="1" si="269"/>
        <v>0</v>
      </c>
      <c r="P535" s="45">
        <f t="shared" si="270"/>
        <v>0</v>
      </c>
      <c r="Q535" s="568"/>
      <c r="R535" s="568"/>
      <c r="S535" s="568"/>
      <c r="T535" s="568"/>
      <c r="U535" s="568"/>
      <c r="V535" s="568"/>
      <c r="W535" s="568"/>
      <c r="X535" s="568"/>
      <c r="Y535" s="568"/>
      <c r="Z535" s="568"/>
    </row>
    <row r="536" spans="1:26" ht="19.5">
      <c r="A536" s="572"/>
      <c r="B536" s="573"/>
      <c r="C536" s="539" t="s">
        <v>16</v>
      </c>
      <c r="D536" s="645" t="s">
        <v>38</v>
      </c>
      <c r="E536" s="576"/>
      <c r="F536" s="576"/>
      <c r="G536" s="577"/>
      <c r="H536" s="175"/>
      <c r="I536" s="162"/>
      <c r="J536" s="162"/>
      <c r="K536" s="163"/>
      <c r="L536" s="163"/>
      <c r="M536" s="163"/>
      <c r="N536" s="163"/>
      <c r="O536" s="163"/>
      <c r="P536" s="163"/>
      <c r="Q536" s="541"/>
      <c r="R536" s="541"/>
      <c r="S536" s="541"/>
      <c r="T536" s="541"/>
      <c r="U536" s="541"/>
      <c r="V536" s="541"/>
      <c r="W536" s="541"/>
      <c r="X536" s="541"/>
      <c r="Y536" s="541"/>
      <c r="Z536" s="541"/>
    </row>
    <row r="537" spans="1:26" ht="19.5">
      <c r="A537" s="537"/>
      <c r="B537" s="538"/>
      <c r="C537" s="539"/>
      <c r="D537" s="646" t="s">
        <v>227</v>
      </c>
      <c r="E537" s="539"/>
      <c r="F537" s="539"/>
      <c r="G537" s="189"/>
      <c r="H537" s="36" t="s">
        <v>35</v>
      </c>
      <c r="I537" s="647">
        <f ca="1">IFERROR(__xludf.DUMMYFUNCTION("IMPORTRANGE(""https://docs.google.com/spreadsheets/d/1KxicF4apzSqm0-jIpmueT4kyZtE-Cwn5zskl7GD4loQ/edit?usp=share_link"",""กำแพงเพชร!I537"")+IMPORTRANGE(""https://docs.google.com/spreadsheets/d/1ZNYWeiFoFA1K1U4xKWqRX29MBvEyRHXORjo734Gnq_c/edit?usp=share_li"&amp;"nk"",""เชียงราย!I537"")
+IMPORTRANGE(""https://docs.google.com/spreadsheets/d/1Jgv0Y7YlHDtsiDawwp-uvifEJ8HVaSn0k2aGHG8-hwM/edit?usp=share_link"",""เชียงใหม่!I537"")+IMPORTRANGE(""https://docs.google.com/spreadsheets/d/1JWG2rZePOz9pe-f-ObA-yDr0VoOX2kSb0qIi"&amp;"x2mTUo8/edit?usp=share_link"",""ตาก!I537"")+IMPORTRANGE(""https://docs.google.com/spreadsheets/d/10nSRjK08hx8Y6HgSOQKNw81lyY46Zc7U_Cj72hBMp9U/edit?usp=share_link"",""นครสวรรค์!I537"")+IMPORTRANGE(""https://docs.google.com/spreadsheets/d/1gFVb7qd7amutrIxAA"&amp;"oM7lcy35hllxznovot8lyOfvDo/edit?usp=share_link"",""น่าน!I537"")+IMPORTRANGE(""https://docs.google.com/spreadsheets/d/1K0Aa9s-6EuHE5M0FG1F9aHLXRCOV917xvycTdLdct0w/edit?usp=share_link"",""พะเยา!I537"")+IMPORTRANGE(""https://docs.google.com/spreadsheets/d/1Y"&amp;"9LPKx95PyL5OKy09d-KbKJSuuEZCFdkhYjwC0XQjBA/edit?usp=share_link"",""พิจิตร!I537"")+IMPORTRANGE(""https://docs.google.com/spreadsheets/d/16OMuOwy2eVqZcYWOouQtTpa8X1L23h4660uVHc0C8os/edit?usp=share_link"",""พิษณุโลก!I537"")+IMPORTRANGE(""https://docs.google."&amp;"com/spreadsheets/d/1GfgTldLG6k77HXaMQzaafODklYuucJZQNs_GAPEfZyY/edit?usp=share_link"",""เพชรบูรณ์!I537"")+IMPORTRANGE(""https://docs.google.com/spreadsheets/d/1gvTMYAnm7v1yG1BKWFtr0DnaTsq59oW9dwWvFgq6hs0/edit?usp=share_link"",""แพร่!I537"")+IMPORTRANGE("""&amp;"https://docs.google.com/spreadsheets/d/1Wbcosgy-Xa1xXUArJSOenub6EfZHUSzc_bpJFWwQUf0/edit?usp=share_link"",""แม่ฮ่องสอน!I537"")+IMPORTRANGE(""https://docs.google.com/spreadsheets/d/1p7ERhsr0qZeSn-KSOdeHS9r0heI-lHtkcn2OH7hP0jQ/edit?usp=share_link"",""ลำปาง!"&amp;"I537"")+IMPORTRANGE(""https://docs.google.com/spreadsheets/d/1-uUXvimVhiU2U0bMN-xi2te0tS4X7DI2GLPnMjzl8cA/edit?usp=share_link"",""ลำพูน!I537"")+IMPORTRANGE(""https://docs.google.com/spreadsheets/d/17HrOaa5pBUI1onckFfumXB8xlg35qb2uBAFfF1D-Myo/edit?usp=shar"&amp;"e_link"",""สุโขทัย!I537"")+IMPORTRANGE(""https://docs.google.com/spreadsheets/d/1ubs5cl16eYL9gHbdHTJtmtYb9MGzHBs7CAphn8kNCgM/edit?usp=share_link"",""อุตรดิตถ์!I537"")+IMPORTRANGE(""https://docs.google.com/spreadsheets/d/1kII0BjS6CtVrBvI8IrytgPdxDrlyQDyigz"&amp;"MsohRtDMs/edit?usp=share_link"",""อุทัยธานี!I537"")
"),80)</f>
        <v>80</v>
      </c>
      <c r="J537" s="194">
        <f ca="1">IF(AND(J538=I538,J539=I539,J540=I540,J541=I541),I537,0)</f>
        <v>0</v>
      </c>
      <c r="K537" s="38">
        <f t="shared" ref="K537:K543" ca="1" si="271">IF(I537&gt;0,J537*100/I537,0)</f>
        <v>0</v>
      </c>
      <c r="L537" s="38"/>
      <c r="M537" s="38"/>
      <c r="N537" s="38"/>
      <c r="O537" s="38"/>
      <c r="P537" s="38"/>
      <c r="Q537" s="648"/>
      <c r="R537" s="648"/>
      <c r="S537" s="648"/>
      <c r="T537" s="648"/>
      <c r="U537" s="648"/>
      <c r="V537" s="648"/>
      <c r="W537" s="648"/>
      <c r="X537" s="648"/>
      <c r="Y537" s="648"/>
      <c r="Z537" s="648"/>
    </row>
    <row r="538" spans="1:26" ht="18.75">
      <c r="A538" s="537"/>
      <c r="B538" s="538"/>
      <c r="C538" s="539"/>
      <c r="D538" s="540"/>
      <c r="E538" s="649" t="s">
        <v>228</v>
      </c>
      <c r="F538" s="539"/>
      <c r="G538" s="189"/>
      <c r="H538" s="36" t="s">
        <v>35</v>
      </c>
      <c r="I538" s="269">
        <f ca="1">IFERROR(__xludf.DUMMYFUNCTION("IMPORTRANGE(""https://docs.google.com/spreadsheets/d/1KxicF4apzSqm0-jIpmueT4kyZtE-Cwn5zskl7GD4loQ/edit?usp=share_link"",""กำแพงเพชร!I538"")+IMPORTRANGE(""https://docs.google.com/spreadsheets/d/1ZNYWeiFoFA1K1U4xKWqRX29MBvEyRHXORjo734Gnq_c/edit?usp=share_li"&amp;"nk"",""เชียงราย!I538"")
+IMPORTRANGE(""https://docs.google.com/spreadsheets/d/1Jgv0Y7YlHDtsiDawwp-uvifEJ8HVaSn0k2aGHG8-hwM/edit?usp=share_link"",""เชียงใหม่!I538"")+IMPORTRANGE(""https://docs.google.com/spreadsheets/d/1JWG2rZePOz9pe-f-ObA-yDr0VoOX2kSb0qIi"&amp;"x2mTUo8/edit?usp=share_link"",""ตาก!I538"")+IMPORTRANGE(""https://docs.google.com/spreadsheets/d/10nSRjK08hx8Y6HgSOQKNw81lyY46Zc7U_Cj72hBMp9U/edit?usp=share_link"",""นครสวรรค์!I538"")+IMPORTRANGE(""https://docs.google.com/spreadsheets/d/1gFVb7qd7amutrIxAA"&amp;"oM7lcy35hllxznovot8lyOfvDo/edit?usp=share_link"",""น่าน!I538"")+IMPORTRANGE(""https://docs.google.com/spreadsheets/d/1K0Aa9s-6EuHE5M0FG1F9aHLXRCOV917xvycTdLdct0w/edit?usp=share_link"",""พะเยา!I538"")+IMPORTRANGE(""https://docs.google.com/spreadsheets/d/1Y"&amp;"9LPKx95PyL5OKy09d-KbKJSuuEZCFdkhYjwC0XQjBA/edit?usp=share_link"",""พิจิตร!I538"")+IMPORTRANGE(""https://docs.google.com/spreadsheets/d/16OMuOwy2eVqZcYWOouQtTpa8X1L23h4660uVHc0C8os/edit?usp=share_link"",""พิษณุโลก!I538"")+IMPORTRANGE(""https://docs.google."&amp;"com/spreadsheets/d/1GfgTldLG6k77HXaMQzaafODklYuucJZQNs_GAPEfZyY/edit?usp=share_link"",""เพชรบูรณ์!I538"")+IMPORTRANGE(""https://docs.google.com/spreadsheets/d/1gvTMYAnm7v1yG1BKWFtr0DnaTsq59oW9dwWvFgq6hs0/edit?usp=share_link"",""แพร่!I538"")+IMPORTRANGE("""&amp;"https://docs.google.com/spreadsheets/d/1Wbcosgy-Xa1xXUArJSOenub6EfZHUSzc_bpJFWwQUf0/edit?usp=share_link"",""แม่ฮ่องสอน!I538"")+IMPORTRANGE(""https://docs.google.com/spreadsheets/d/1p7ERhsr0qZeSn-KSOdeHS9r0heI-lHtkcn2OH7hP0jQ/edit?usp=share_link"",""ลำปาง!"&amp;"I538"")+IMPORTRANGE(""https://docs.google.com/spreadsheets/d/1-uUXvimVhiU2U0bMN-xi2te0tS4X7DI2GLPnMjzl8cA/edit?usp=share_link"",""ลำพูน!I538"")+IMPORTRANGE(""https://docs.google.com/spreadsheets/d/17HrOaa5pBUI1onckFfumXB8xlg35qb2uBAFfF1D-Myo/edit?usp=shar"&amp;"e_link"",""สุโขทัย!I538"")+IMPORTRANGE(""https://docs.google.com/spreadsheets/d/1ubs5cl16eYL9gHbdHTJtmtYb9MGzHBs7CAphn8kNCgM/edit?usp=share_link"",""อุตรดิตถ์!I538"")+IMPORTRANGE(""https://docs.google.com/spreadsheets/d/1kII0BjS6CtVrBvI8IrytgPdxDrlyQDyigz"&amp;"MsohRtDMs/edit?usp=share_link"",""อุทัยธานี!I538"")
"),80)</f>
        <v>80</v>
      </c>
      <c r="J538" s="183">
        <f ca="1">IFERROR(__xludf.DUMMYFUNCTION("IMPORTRANGE(""https://docs.google.com/spreadsheets/d/1KxicF4apzSqm0-jIpmueT4kyZtE-Cwn5zskl7GD4loQ/edit?usp=share_link"",""กำแพงเพชร!J538"")+IMPORTRANGE(""https://docs.google.com/spreadsheets/d/1ZNYWeiFoFA1K1U4xKWqRX29MBvEyRHXORjo734Gnq_c/edit?usp=share_li"&amp;"nk"",""เชียงราย!J538"")
+IMPORTRANGE(""https://docs.google.com/spreadsheets/d/1Jgv0Y7YlHDtsiDawwp-uvifEJ8HVaSn0k2aGHG8-hwM/edit?usp=share_link"",""เชียงใหม่!J538"")+IMPORTRANGE(""https://docs.google.com/spreadsheets/d/1JWG2rZePOz9pe-f-ObA-yDr0VoOX2kSb0qIi"&amp;"x2mTUo8/edit?usp=share_link"",""ตาก!J538"")+IMPORTRANGE(""https://docs.google.com/spreadsheets/d/10nSRjK08hx8Y6HgSOQKNw81lyY46Zc7U_Cj72hBMp9U/edit?usp=share_link"",""นครสวรรค์!J538"")+IMPORTRANGE(""https://docs.google.com/spreadsheets/d/1gFVb7qd7amutrIxAA"&amp;"oM7lcy35hllxznovot8lyOfvDo/edit?usp=share_link"",""น่าน!J538"")+IMPORTRANGE(""https://docs.google.com/spreadsheets/d/1K0Aa9s-6EuHE5M0FG1F9aHLXRCOV917xvycTdLdct0w/edit?usp=share_link"",""พะเยา!J538"")+IMPORTRANGE(""https://docs.google.com/spreadsheets/d/1Y"&amp;"9LPKx95PyL5OKy09d-KbKJSuuEZCFdkhYjwC0XQjBA/edit?usp=share_link"",""พิจิตร!J538"")+IMPORTRANGE(""https://docs.google.com/spreadsheets/d/16OMuOwy2eVqZcYWOouQtTpa8X1L23h4660uVHc0C8os/edit?usp=share_link"",""พิษณุโลก!J538"")+IMPORTRANGE(""https://docs.google."&amp;"com/spreadsheets/d/1GfgTldLG6k77HXaMQzaafODklYuucJZQNs_GAPEfZyY/edit?usp=share_link"",""เพชรบูรณ์!J538"")+IMPORTRANGE(""https://docs.google.com/spreadsheets/d/1gvTMYAnm7v1yG1BKWFtr0DnaTsq59oW9dwWvFgq6hs0/edit?usp=share_link"",""แพร่!J538"")+IMPORTRANGE("""&amp;"https://docs.google.com/spreadsheets/d/1Wbcosgy-Xa1xXUArJSOenub6EfZHUSzc_bpJFWwQUf0/edit?usp=share_link"",""แม่ฮ่องสอน!J538"")+IMPORTRANGE(""https://docs.google.com/spreadsheets/d/1p7ERhsr0qZeSn-KSOdeHS9r0heI-lHtkcn2OH7hP0jQ/edit?usp=share_link"",""ลำปาง!"&amp;"J538"")+IMPORTRANGE(""https://docs.google.com/spreadsheets/d/1-uUXvimVhiU2U0bMN-xi2te0tS4X7DI2GLPnMjzl8cA/edit?usp=share_link"",""ลำพูน!J538"")+IMPORTRANGE(""https://docs.google.com/spreadsheets/d/17HrOaa5pBUI1onckFfumXB8xlg35qb2uBAFfF1D-Myo/edit?usp=shar"&amp;"e_link"",""สุโขทัย!J538"")+IMPORTRANGE(""https://docs.google.com/spreadsheets/d/1ubs5cl16eYL9gHbdHTJtmtYb9MGzHBs7CAphn8kNCgM/edit?usp=share_link"",""อุตรดิตถ์!J538"")+IMPORTRANGE(""https://docs.google.com/spreadsheets/d/1kII0BjS6CtVrBvI8IrytgPdxDrlyQDyigz"&amp;"MsohRtDMs/edit?usp=share_link"",""อุทัยธานี!J538"")
"),40)</f>
        <v>40</v>
      </c>
      <c r="K538" s="38">
        <f t="shared" ca="1" si="271"/>
        <v>50</v>
      </c>
      <c r="L538" s="38"/>
      <c r="M538" s="38"/>
      <c r="N538" s="38"/>
      <c r="O538" s="38"/>
      <c r="P538" s="38"/>
      <c r="Q538" s="648"/>
      <c r="R538" s="648"/>
      <c r="S538" s="648"/>
      <c r="T538" s="648"/>
      <c r="U538" s="648"/>
      <c r="V538" s="648"/>
      <c r="W538" s="648"/>
      <c r="X538" s="648"/>
      <c r="Y538" s="648"/>
      <c r="Z538" s="648"/>
    </row>
    <row r="539" spans="1:26" ht="18.75">
      <c r="A539" s="537"/>
      <c r="B539" s="538"/>
      <c r="C539" s="539"/>
      <c r="D539" s="540"/>
      <c r="E539" s="649" t="s">
        <v>229</v>
      </c>
      <c r="F539" s="539"/>
      <c r="G539" s="189"/>
      <c r="H539" s="36" t="s">
        <v>35</v>
      </c>
      <c r="I539" s="269">
        <f ca="1">IFERROR(__xludf.DUMMYFUNCTION("IMPORTRANGE(""https://docs.google.com/spreadsheets/d/1KxicF4apzSqm0-jIpmueT4kyZtE-Cwn5zskl7GD4loQ/edit?usp=share_link"",""กำแพงเพชร!I539"")+IMPORTRANGE(""https://docs.google.com/spreadsheets/d/1ZNYWeiFoFA1K1U4xKWqRX29MBvEyRHXORjo734Gnq_c/edit?usp=share_li"&amp;"nk"",""เชียงราย!I539"")
+IMPORTRANGE(""https://docs.google.com/spreadsheets/d/1Jgv0Y7YlHDtsiDawwp-uvifEJ8HVaSn0k2aGHG8-hwM/edit?usp=share_link"",""เชียงใหม่!I539"")+IMPORTRANGE(""https://docs.google.com/spreadsheets/d/1JWG2rZePOz9pe-f-ObA-yDr0VoOX2kSb0qIi"&amp;"x2mTUo8/edit?usp=share_link"",""ตาก!I539"")+IMPORTRANGE(""https://docs.google.com/spreadsheets/d/10nSRjK08hx8Y6HgSOQKNw81lyY46Zc7U_Cj72hBMp9U/edit?usp=share_link"",""นครสวรรค์!I539"")+IMPORTRANGE(""https://docs.google.com/spreadsheets/d/1gFVb7qd7amutrIxAA"&amp;"oM7lcy35hllxznovot8lyOfvDo/edit?usp=share_link"",""น่าน!I539"")+IMPORTRANGE(""https://docs.google.com/spreadsheets/d/1K0Aa9s-6EuHE5M0FG1F9aHLXRCOV917xvycTdLdct0w/edit?usp=share_link"",""พะเยา!I539"")+IMPORTRANGE(""https://docs.google.com/spreadsheets/d/1Y"&amp;"9LPKx95PyL5OKy09d-KbKJSuuEZCFdkhYjwC0XQjBA/edit?usp=share_link"",""พิจิตร!I539"")+IMPORTRANGE(""https://docs.google.com/spreadsheets/d/16OMuOwy2eVqZcYWOouQtTpa8X1L23h4660uVHc0C8os/edit?usp=share_link"",""พิษณุโลก!I539"")+IMPORTRANGE(""https://docs.google."&amp;"com/spreadsheets/d/1GfgTldLG6k77HXaMQzaafODklYuucJZQNs_GAPEfZyY/edit?usp=share_link"",""เพชรบูรณ์!I539"")+IMPORTRANGE(""https://docs.google.com/spreadsheets/d/1gvTMYAnm7v1yG1BKWFtr0DnaTsq59oW9dwWvFgq6hs0/edit?usp=share_link"",""แพร่!I539"")+IMPORTRANGE("""&amp;"https://docs.google.com/spreadsheets/d/1Wbcosgy-Xa1xXUArJSOenub6EfZHUSzc_bpJFWwQUf0/edit?usp=share_link"",""แม่ฮ่องสอน!I539"")+IMPORTRANGE(""https://docs.google.com/spreadsheets/d/1p7ERhsr0qZeSn-KSOdeHS9r0heI-lHtkcn2OH7hP0jQ/edit?usp=share_link"",""ลำปาง!"&amp;"I539"")+IMPORTRANGE(""https://docs.google.com/spreadsheets/d/1-uUXvimVhiU2U0bMN-xi2te0tS4X7DI2GLPnMjzl8cA/edit?usp=share_link"",""ลำพูน!I539"")+IMPORTRANGE(""https://docs.google.com/spreadsheets/d/17HrOaa5pBUI1onckFfumXB8xlg35qb2uBAFfF1D-Myo/edit?usp=shar"&amp;"e_link"",""สุโขทัย!I539"")+IMPORTRANGE(""https://docs.google.com/spreadsheets/d/1ubs5cl16eYL9gHbdHTJtmtYb9MGzHBs7CAphn8kNCgM/edit?usp=share_link"",""อุตรดิตถ์!I539"")+IMPORTRANGE(""https://docs.google.com/spreadsheets/d/1kII0BjS6CtVrBvI8IrytgPdxDrlyQDyigz"&amp;"MsohRtDMs/edit?usp=share_link"",""อุทัยธานี!I539"")
"),0)</f>
        <v>0</v>
      </c>
      <c r="J539" s="183">
        <f ca="1">IFERROR(__xludf.DUMMYFUNCTION("IMPORTRANGE(""https://docs.google.com/spreadsheets/d/1KxicF4apzSqm0-jIpmueT4kyZtE-Cwn5zskl7GD4loQ/edit?usp=share_link"",""กำแพงเพชร!J539"")+IMPORTRANGE(""https://docs.google.com/spreadsheets/d/1ZNYWeiFoFA1K1U4xKWqRX29MBvEyRHXORjo734Gnq_c/edit?usp=share_li"&amp;"nk"",""เชียงราย!J539"")
+IMPORTRANGE(""https://docs.google.com/spreadsheets/d/1Jgv0Y7YlHDtsiDawwp-uvifEJ8HVaSn0k2aGHG8-hwM/edit?usp=share_link"",""เชียงใหม่!J539"")+IMPORTRANGE(""https://docs.google.com/spreadsheets/d/1JWG2rZePOz9pe-f-ObA-yDr0VoOX2kSb0qIi"&amp;"x2mTUo8/edit?usp=share_link"",""ตาก!J539"")+IMPORTRANGE(""https://docs.google.com/spreadsheets/d/10nSRjK08hx8Y6HgSOQKNw81lyY46Zc7U_Cj72hBMp9U/edit?usp=share_link"",""นครสวรรค์!J539"")+IMPORTRANGE(""https://docs.google.com/spreadsheets/d/1gFVb7qd7amutrIxAA"&amp;"oM7lcy35hllxznovot8lyOfvDo/edit?usp=share_link"",""น่าน!J539"")+IMPORTRANGE(""https://docs.google.com/spreadsheets/d/1K0Aa9s-6EuHE5M0FG1F9aHLXRCOV917xvycTdLdct0w/edit?usp=share_link"",""พะเยา!J539"")+IMPORTRANGE(""https://docs.google.com/spreadsheets/d/1Y"&amp;"9LPKx95PyL5OKy09d-KbKJSuuEZCFdkhYjwC0XQjBA/edit?usp=share_link"",""พิจิตร!J539"")+IMPORTRANGE(""https://docs.google.com/spreadsheets/d/16OMuOwy2eVqZcYWOouQtTpa8X1L23h4660uVHc0C8os/edit?usp=share_link"",""พิษณุโลก!J539"")+IMPORTRANGE(""https://docs.google."&amp;"com/spreadsheets/d/1GfgTldLG6k77HXaMQzaafODklYuucJZQNs_GAPEfZyY/edit?usp=share_link"",""เพชรบูรณ์!J539"")+IMPORTRANGE(""https://docs.google.com/spreadsheets/d/1gvTMYAnm7v1yG1BKWFtr0DnaTsq59oW9dwWvFgq6hs0/edit?usp=share_link"",""แพร่!J539"")+IMPORTRANGE("""&amp;"https://docs.google.com/spreadsheets/d/1Wbcosgy-Xa1xXUArJSOenub6EfZHUSzc_bpJFWwQUf0/edit?usp=share_link"",""แม่ฮ่องสอน!J539"")+IMPORTRANGE(""https://docs.google.com/spreadsheets/d/1p7ERhsr0qZeSn-KSOdeHS9r0heI-lHtkcn2OH7hP0jQ/edit?usp=share_link"",""ลำปาง!"&amp;"J539"")+IMPORTRANGE(""https://docs.google.com/spreadsheets/d/1-uUXvimVhiU2U0bMN-xi2te0tS4X7DI2GLPnMjzl8cA/edit?usp=share_link"",""ลำพูน!J539"")+IMPORTRANGE(""https://docs.google.com/spreadsheets/d/17HrOaa5pBUI1onckFfumXB8xlg35qb2uBAFfF1D-Myo/edit?usp=shar"&amp;"e_link"",""สุโขทัย!J539"")+IMPORTRANGE(""https://docs.google.com/spreadsheets/d/1ubs5cl16eYL9gHbdHTJtmtYb9MGzHBs7CAphn8kNCgM/edit?usp=share_link"",""อุตรดิตถ์!J539"")+IMPORTRANGE(""https://docs.google.com/spreadsheets/d/1kII0BjS6CtVrBvI8IrytgPdxDrlyQDyigz"&amp;"MsohRtDMs/edit?usp=share_link"",""อุทัยธานี!J539"")
"),0)</f>
        <v>0</v>
      </c>
      <c r="K539" s="38">
        <f t="shared" ca="1" si="271"/>
        <v>0</v>
      </c>
      <c r="L539" s="38"/>
      <c r="M539" s="38"/>
      <c r="N539" s="38"/>
      <c r="O539" s="38"/>
      <c r="P539" s="38"/>
      <c r="Q539" s="648"/>
      <c r="R539" s="648"/>
      <c r="S539" s="648"/>
      <c r="T539" s="648"/>
      <c r="U539" s="648"/>
      <c r="V539" s="648"/>
      <c r="W539" s="648"/>
      <c r="X539" s="648"/>
      <c r="Y539" s="648"/>
      <c r="Z539" s="648"/>
    </row>
    <row r="540" spans="1:26" ht="18.75">
      <c r="A540" s="537"/>
      <c r="B540" s="538"/>
      <c r="C540" s="539"/>
      <c r="D540" s="540"/>
      <c r="E540" s="649" t="s">
        <v>230</v>
      </c>
      <c r="F540" s="539"/>
      <c r="G540" s="189"/>
      <c r="H540" s="36" t="s">
        <v>35</v>
      </c>
      <c r="I540" s="269">
        <f ca="1">IFERROR(__xludf.DUMMYFUNCTION("IMPORTRANGE(""https://docs.google.com/spreadsheets/d/1KxicF4apzSqm0-jIpmueT4kyZtE-Cwn5zskl7GD4loQ/edit?usp=share_link"",""กำแพงเพชร!I540"")+IMPORTRANGE(""https://docs.google.com/spreadsheets/d/1ZNYWeiFoFA1K1U4xKWqRX29MBvEyRHXORjo734Gnq_c/edit?usp=share_li"&amp;"nk"",""เชียงราย!I540"")
+IMPORTRANGE(""https://docs.google.com/spreadsheets/d/1Jgv0Y7YlHDtsiDawwp-uvifEJ8HVaSn0k2aGHG8-hwM/edit?usp=share_link"",""เชียงใหม่!I540"")+IMPORTRANGE(""https://docs.google.com/spreadsheets/d/1JWG2rZePOz9pe-f-ObA-yDr0VoOX2kSb0qIi"&amp;"x2mTUo8/edit?usp=share_link"",""ตาก!I540"")+IMPORTRANGE(""https://docs.google.com/spreadsheets/d/10nSRjK08hx8Y6HgSOQKNw81lyY46Zc7U_Cj72hBMp9U/edit?usp=share_link"",""นครสวรรค์!I540"")+IMPORTRANGE(""https://docs.google.com/spreadsheets/d/1gFVb7qd7amutrIxAA"&amp;"oM7lcy35hllxznovot8lyOfvDo/edit?usp=share_link"",""น่าน!I540"")+IMPORTRANGE(""https://docs.google.com/spreadsheets/d/1K0Aa9s-6EuHE5M0FG1F9aHLXRCOV917xvycTdLdct0w/edit?usp=share_link"",""พะเยา!I540"")+IMPORTRANGE(""https://docs.google.com/spreadsheets/d/1Y"&amp;"9LPKx95PyL5OKy09d-KbKJSuuEZCFdkhYjwC0XQjBA/edit?usp=share_link"",""พิจิตร!I540"")+IMPORTRANGE(""https://docs.google.com/spreadsheets/d/16OMuOwy2eVqZcYWOouQtTpa8X1L23h4660uVHc0C8os/edit?usp=share_link"",""พิษณุโลก!I540"")+IMPORTRANGE(""https://docs.google."&amp;"com/spreadsheets/d/1GfgTldLG6k77HXaMQzaafODklYuucJZQNs_GAPEfZyY/edit?usp=share_link"",""เพชรบูรณ์!I540"")+IMPORTRANGE(""https://docs.google.com/spreadsheets/d/1gvTMYAnm7v1yG1BKWFtr0DnaTsq59oW9dwWvFgq6hs0/edit?usp=share_link"",""แพร่!I540"")+IMPORTRANGE("""&amp;"https://docs.google.com/spreadsheets/d/1Wbcosgy-Xa1xXUArJSOenub6EfZHUSzc_bpJFWwQUf0/edit?usp=share_link"",""แม่ฮ่องสอน!I540"")+IMPORTRANGE(""https://docs.google.com/spreadsheets/d/1p7ERhsr0qZeSn-KSOdeHS9r0heI-lHtkcn2OH7hP0jQ/edit?usp=share_link"",""ลำปาง!"&amp;"I540"")+IMPORTRANGE(""https://docs.google.com/spreadsheets/d/1-uUXvimVhiU2U0bMN-xi2te0tS4X7DI2GLPnMjzl8cA/edit?usp=share_link"",""ลำพูน!I540"")+IMPORTRANGE(""https://docs.google.com/spreadsheets/d/17HrOaa5pBUI1onckFfumXB8xlg35qb2uBAFfF1D-Myo/edit?usp=shar"&amp;"e_link"",""สุโขทัย!I540"")+IMPORTRANGE(""https://docs.google.com/spreadsheets/d/1ubs5cl16eYL9gHbdHTJtmtYb9MGzHBs7CAphn8kNCgM/edit?usp=share_link"",""อุตรดิตถ์!I540"")+IMPORTRANGE(""https://docs.google.com/spreadsheets/d/1kII0BjS6CtVrBvI8IrytgPdxDrlyQDyigz"&amp;"MsohRtDMs/edit?usp=share_link"",""อุทัยธานี!I540"")
"),0)</f>
        <v>0</v>
      </c>
      <c r="J540" s="183">
        <f ca="1">IFERROR(__xludf.DUMMYFUNCTION("IMPORTRANGE(""https://docs.google.com/spreadsheets/d/1KxicF4apzSqm0-jIpmueT4kyZtE-Cwn5zskl7GD4loQ/edit?usp=share_link"",""กำแพงเพชร!J540"")+IMPORTRANGE(""https://docs.google.com/spreadsheets/d/1ZNYWeiFoFA1K1U4xKWqRX29MBvEyRHXORjo734Gnq_c/edit?usp=share_li"&amp;"nk"",""เชียงราย!J540"")
+IMPORTRANGE(""https://docs.google.com/spreadsheets/d/1Jgv0Y7YlHDtsiDawwp-uvifEJ8HVaSn0k2aGHG8-hwM/edit?usp=share_link"",""เชียงใหม่!J540"")+IMPORTRANGE(""https://docs.google.com/spreadsheets/d/1JWG2rZePOz9pe-f-ObA-yDr0VoOX2kSb0qIi"&amp;"x2mTUo8/edit?usp=share_link"",""ตาก!J540"")+IMPORTRANGE(""https://docs.google.com/spreadsheets/d/10nSRjK08hx8Y6HgSOQKNw81lyY46Zc7U_Cj72hBMp9U/edit?usp=share_link"",""นครสวรรค์!J540"")+IMPORTRANGE(""https://docs.google.com/spreadsheets/d/1gFVb7qd7amutrIxAA"&amp;"oM7lcy35hllxznovot8lyOfvDo/edit?usp=share_link"",""น่าน!J540"")+IMPORTRANGE(""https://docs.google.com/spreadsheets/d/1K0Aa9s-6EuHE5M0FG1F9aHLXRCOV917xvycTdLdct0w/edit?usp=share_link"",""พะเยา!J540"")+IMPORTRANGE(""https://docs.google.com/spreadsheets/d/1Y"&amp;"9LPKx95PyL5OKy09d-KbKJSuuEZCFdkhYjwC0XQjBA/edit?usp=share_link"",""พิจิตร!J540"")+IMPORTRANGE(""https://docs.google.com/spreadsheets/d/16OMuOwy2eVqZcYWOouQtTpa8X1L23h4660uVHc0C8os/edit?usp=share_link"",""พิษณุโลก!J540"")+IMPORTRANGE(""https://docs.google."&amp;"com/spreadsheets/d/1GfgTldLG6k77HXaMQzaafODklYuucJZQNs_GAPEfZyY/edit?usp=share_link"",""เพชรบูรณ์!J540"")+IMPORTRANGE(""https://docs.google.com/spreadsheets/d/1gvTMYAnm7v1yG1BKWFtr0DnaTsq59oW9dwWvFgq6hs0/edit?usp=share_link"",""แพร่!J540"")+IMPORTRANGE("""&amp;"https://docs.google.com/spreadsheets/d/1Wbcosgy-Xa1xXUArJSOenub6EfZHUSzc_bpJFWwQUf0/edit?usp=share_link"",""แม่ฮ่องสอน!J540"")+IMPORTRANGE(""https://docs.google.com/spreadsheets/d/1p7ERhsr0qZeSn-KSOdeHS9r0heI-lHtkcn2OH7hP0jQ/edit?usp=share_link"",""ลำปาง!"&amp;"J540"")+IMPORTRANGE(""https://docs.google.com/spreadsheets/d/1-uUXvimVhiU2U0bMN-xi2te0tS4X7DI2GLPnMjzl8cA/edit?usp=share_link"",""ลำพูน!J540"")+IMPORTRANGE(""https://docs.google.com/spreadsheets/d/17HrOaa5pBUI1onckFfumXB8xlg35qb2uBAFfF1D-Myo/edit?usp=shar"&amp;"e_link"",""สุโขทัย!J540"")+IMPORTRANGE(""https://docs.google.com/spreadsheets/d/1ubs5cl16eYL9gHbdHTJtmtYb9MGzHBs7CAphn8kNCgM/edit?usp=share_link"",""อุตรดิตถ์!J540"")+IMPORTRANGE(""https://docs.google.com/spreadsheets/d/1kII0BjS6CtVrBvI8IrytgPdxDrlyQDyigz"&amp;"MsohRtDMs/edit?usp=share_link"",""อุทัยธานี!J540"")
"),0)</f>
        <v>0</v>
      </c>
      <c r="K540" s="38">
        <f t="shared" ca="1" si="271"/>
        <v>0</v>
      </c>
      <c r="L540" s="38"/>
      <c r="M540" s="38"/>
      <c r="N540" s="38"/>
      <c r="O540" s="38"/>
      <c r="P540" s="38"/>
      <c r="Q540" s="648"/>
      <c r="R540" s="648"/>
      <c r="S540" s="648"/>
      <c r="T540" s="648"/>
      <c r="U540" s="648"/>
      <c r="V540" s="648"/>
      <c r="W540" s="648"/>
      <c r="X540" s="648"/>
      <c r="Y540" s="648"/>
      <c r="Z540" s="648"/>
    </row>
    <row r="541" spans="1:26" ht="18.75">
      <c r="A541" s="537"/>
      <c r="B541" s="538"/>
      <c r="C541" s="539"/>
      <c r="D541" s="540"/>
      <c r="E541" s="650" t="s">
        <v>231</v>
      </c>
      <c r="F541" s="539"/>
      <c r="G541" s="189"/>
      <c r="H541" s="36" t="s">
        <v>35</v>
      </c>
      <c r="I541" s="269">
        <f ca="1">IFERROR(__xludf.DUMMYFUNCTION("IMPORTRANGE(""https://docs.google.com/spreadsheets/d/1KxicF4apzSqm0-jIpmueT4kyZtE-Cwn5zskl7GD4loQ/edit?usp=share_link"",""กำแพงเพชร!I541"")+IMPORTRANGE(""https://docs.google.com/spreadsheets/d/1ZNYWeiFoFA1K1U4xKWqRX29MBvEyRHXORjo734Gnq_c/edit?usp=share_li"&amp;"nk"",""เชียงราย!I541"")
+IMPORTRANGE(""https://docs.google.com/spreadsheets/d/1Jgv0Y7YlHDtsiDawwp-uvifEJ8HVaSn0k2aGHG8-hwM/edit?usp=share_link"",""เชียงใหม่!I541"")+IMPORTRANGE(""https://docs.google.com/spreadsheets/d/1JWG2rZePOz9pe-f-ObA-yDr0VoOX2kSb0qIi"&amp;"x2mTUo8/edit?usp=share_link"",""ตาก!I541"")+IMPORTRANGE(""https://docs.google.com/spreadsheets/d/10nSRjK08hx8Y6HgSOQKNw81lyY46Zc7U_Cj72hBMp9U/edit?usp=share_link"",""นครสวรรค์!I541"")+IMPORTRANGE(""https://docs.google.com/spreadsheets/d/1gFVb7qd7amutrIxAA"&amp;"oM7lcy35hllxznovot8lyOfvDo/edit?usp=share_link"",""น่าน!I541"")+IMPORTRANGE(""https://docs.google.com/spreadsheets/d/1K0Aa9s-6EuHE5M0FG1F9aHLXRCOV917xvycTdLdct0w/edit?usp=share_link"",""พะเยา!I541"")+IMPORTRANGE(""https://docs.google.com/spreadsheets/d/1Y"&amp;"9LPKx95PyL5OKy09d-KbKJSuuEZCFdkhYjwC0XQjBA/edit?usp=share_link"",""พิจิตร!I541"")+IMPORTRANGE(""https://docs.google.com/spreadsheets/d/16OMuOwy2eVqZcYWOouQtTpa8X1L23h4660uVHc0C8os/edit?usp=share_link"",""พิษณุโลก!I541"")+IMPORTRANGE(""https://docs.google."&amp;"com/spreadsheets/d/1GfgTldLG6k77HXaMQzaafODklYuucJZQNs_GAPEfZyY/edit?usp=share_link"",""เพชรบูรณ์!I541"")+IMPORTRANGE(""https://docs.google.com/spreadsheets/d/1gvTMYAnm7v1yG1BKWFtr0DnaTsq59oW9dwWvFgq6hs0/edit?usp=share_link"",""แพร่!I541"")+IMPORTRANGE("""&amp;"https://docs.google.com/spreadsheets/d/1Wbcosgy-Xa1xXUArJSOenub6EfZHUSzc_bpJFWwQUf0/edit?usp=share_link"",""แม่ฮ่องสอน!I541"")+IMPORTRANGE(""https://docs.google.com/spreadsheets/d/1p7ERhsr0qZeSn-KSOdeHS9r0heI-lHtkcn2OH7hP0jQ/edit?usp=share_link"",""ลำปาง!"&amp;"I541"")+IMPORTRANGE(""https://docs.google.com/spreadsheets/d/1-uUXvimVhiU2U0bMN-xi2te0tS4X7DI2GLPnMjzl8cA/edit?usp=share_link"",""ลำพูน!I541"")+IMPORTRANGE(""https://docs.google.com/spreadsheets/d/17HrOaa5pBUI1onckFfumXB8xlg35qb2uBAFfF1D-Myo/edit?usp=shar"&amp;"e_link"",""สุโขทัย!I541"")+IMPORTRANGE(""https://docs.google.com/spreadsheets/d/1ubs5cl16eYL9gHbdHTJtmtYb9MGzHBs7CAphn8kNCgM/edit?usp=share_link"",""อุตรดิตถ์!I541"")+IMPORTRANGE(""https://docs.google.com/spreadsheets/d/1kII0BjS6CtVrBvI8IrytgPdxDrlyQDyigz"&amp;"MsohRtDMs/edit?usp=share_link"",""อุทัยธานี!I541"")
"),80)</f>
        <v>80</v>
      </c>
      <c r="J541" s="183">
        <f ca="1">IFERROR(__xludf.DUMMYFUNCTION("IMPORTRANGE(""https://docs.google.com/spreadsheets/d/1KxicF4apzSqm0-jIpmueT4kyZtE-Cwn5zskl7GD4loQ/edit?usp=share_link"",""กำแพงเพชร!J541"")+IMPORTRANGE(""https://docs.google.com/spreadsheets/d/1ZNYWeiFoFA1K1U4xKWqRX29MBvEyRHXORjo734Gnq_c/edit?usp=share_li"&amp;"nk"",""เชียงราย!J541"")
+IMPORTRANGE(""https://docs.google.com/spreadsheets/d/1Jgv0Y7YlHDtsiDawwp-uvifEJ8HVaSn0k2aGHG8-hwM/edit?usp=share_link"",""เชียงใหม่!J541"")+IMPORTRANGE(""https://docs.google.com/spreadsheets/d/1JWG2rZePOz9pe-f-ObA-yDr0VoOX2kSb0qIi"&amp;"x2mTUo8/edit?usp=share_link"",""ตาก!J541"")+IMPORTRANGE(""https://docs.google.com/spreadsheets/d/10nSRjK08hx8Y6HgSOQKNw81lyY46Zc7U_Cj72hBMp9U/edit?usp=share_link"",""นครสวรรค์!J541"")+IMPORTRANGE(""https://docs.google.com/spreadsheets/d/1gFVb7qd7amutrIxAA"&amp;"oM7lcy35hllxznovot8lyOfvDo/edit?usp=share_link"",""น่าน!J541"")+IMPORTRANGE(""https://docs.google.com/spreadsheets/d/1K0Aa9s-6EuHE5M0FG1F9aHLXRCOV917xvycTdLdct0w/edit?usp=share_link"",""พะเยา!J541"")+IMPORTRANGE(""https://docs.google.com/spreadsheets/d/1Y"&amp;"9LPKx95PyL5OKy09d-KbKJSuuEZCFdkhYjwC0XQjBA/edit?usp=share_link"",""พิจิตร!J541"")+IMPORTRANGE(""https://docs.google.com/spreadsheets/d/16OMuOwy2eVqZcYWOouQtTpa8X1L23h4660uVHc0C8os/edit?usp=share_link"",""พิษณุโลก!J541"")+IMPORTRANGE(""https://docs.google."&amp;"com/spreadsheets/d/1GfgTldLG6k77HXaMQzaafODklYuucJZQNs_GAPEfZyY/edit?usp=share_link"",""เพชรบูรณ์!J541"")+IMPORTRANGE(""https://docs.google.com/spreadsheets/d/1gvTMYAnm7v1yG1BKWFtr0DnaTsq59oW9dwWvFgq6hs0/edit?usp=share_link"",""แพร่!J541"")+IMPORTRANGE("""&amp;"https://docs.google.com/spreadsheets/d/1Wbcosgy-Xa1xXUArJSOenub6EfZHUSzc_bpJFWwQUf0/edit?usp=share_link"",""แม่ฮ่องสอน!J541"")+IMPORTRANGE(""https://docs.google.com/spreadsheets/d/1p7ERhsr0qZeSn-KSOdeHS9r0heI-lHtkcn2OH7hP0jQ/edit?usp=share_link"",""ลำปาง!"&amp;"J541"")+IMPORTRANGE(""https://docs.google.com/spreadsheets/d/1-uUXvimVhiU2U0bMN-xi2te0tS4X7DI2GLPnMjzl8cA/edit?usp=share_link"",""ลำพูน!J541"")+IMPORTRANGE(""https://docs.google.com/spreadsheets/d/17HrOaa5pBUI1onckFfumXB8xlg35qb2uBAFfF1D-Myo/edit?usp=shar"&amp;"e_link"",""สุโขทัย!J541"")+IMPORTRANGE(""https://docs.google.com/spreadsheets/d/1ubs5cl16eYL9gHbdHTJtmtYb9MGzHBs7CAphn8kNCgM/edit?usp=share_link"",""อุตรดิตถ์!J541"")+IMPORTRANGE(""https://docs.google.com/spreadsheets/d/1kII0BjS6CtVrBvI8IrytgPdxDrlyQDyigz"&amp;"MsohRtDMs/edit?usp=share_link"",""อุทัยธานี!J541"")
"),0)</f>
        <v>0</v>
      </c>
      <c r="K541" s="38">
        <f t="shared" ca="1" si="271"/>
        <v>0</v>
      </c>
      <c r="L541" s="38"/>
      <c r="M541" s="38"/>
      <c r="N541" s="38"/>
      <c r="O541" s="38"/>
      <c r="P541" s="38"/>
      <c r="Q541" s="648"/>
      <c r="R541" s="648"/>
      <c r="S541" s="648"/>
      <c r="T541" s="648"/>
      <c r="U541" s="648"/>
      <c r="V541" s="648"/>
      <c r="W541" s="648"/>
      <c r="X541" s="648"/>
      <c r="Y541" s="648"/>
      <c r="Z541" s="648"/>
    </row>
    <row r="542" spans="1:26" ht="18.75">
      <c r="A542" s="537"/>
      <c r="B542" s="538"/>
      <c r="C542" s="539"/>
      <c r="D542" s="540" t="s">
        <v>59</v>
      </c>
      <c r="E542" s="539"/>
      <c r="F542" s="539"/>
      <c r="G542" s="189"/>
      <c r="H542" s="36" t="s">
        <v>35</v>
      </c>
      <c r="I542" s="37">
        <f ca="1">IFERROR(__xludf.DUMMYFUNCTION("IMPORTRANGE(""https://docs.google.com/spreadsheets/d/1KxicF4apzSqm0-jIpmueT4kyZtE-Cwn5zskl7GD4loQ/edit?usp=share_link"",""กำแพงเพชร!I542"")+IMPORTRANGE(""https://docs.google.com/spreadsheets/d/1ZNYWeiFoFA1K1U4xKWqRX29MBvEyRHXORjo734Gnq_c/edit?usp=share_li"&amp;"nk"",""เชียงราย!I542"")
+IMPORTRANGE(""https://docs.google.com/spreadsheets/d/1Jgv0Y7YlHDtsiDawwp-uvifEJ8HVaSn0k2aGHG8-hwM/edit?usp=share_link"",""เชียงใหม่!I542"")+IMPORTRANGE(""https://docs.google.com/spreadsheets/d/1JWG2rZePOz9pe-f-ObA-yDr0VoOX2kSb0qIi"&amp;"x2mTUo8/edit?usp=share_link"",""ตาก!I542"")+IMPORTRANGE(""https://docs.google.com/spreadsheets/d/10nSRjK08hx8Y6HgSOQKNw81lyY46Zc7U_Cj72hBMp9U/edit?usp=share_link"",""นครสวรรค์!I542"")+IMPORTRANGE(""https://docs.google.com/spreadsheets/d/1gFVb7qd7amutrIxAA"&amp;"oM7lcy35hllxznovot8lyOfvDo/edit?usp=share_link"",""น่าน!I542"")+IMPORTRANGE(""https://docs.google.com/spreadsheets/d/1K0Aa9s-6EuHE5M0FG1F9aHLXRCOV917xvycTdLdct0w/edit?usp=share_link"",""พะเยา!I542"")+IMPORTRANGE(""https://docs.google.com/spreadsheets/d/1Y"&amp;"9LPKx95PyL5OKy09d-KbKJSuuEZCFdkhYjwC0XQjBA/edit?usp=share_link"",""พิจิตร!I542"")+IMPORTRANGE(""https://docs.google.com/spreadsheets/d/16OMuOwy2eVqZcYWOouQtTpa8X1L23h4660uVHc0C8os/edit?usp=share_link"",""พิษณุโลก!I542"")+IMPORTRANGE(""https://docs.google."&amp;"com/spreadsheets/d/1GfgTldLG6k77HXaMQzaafODklYuucJZQNs_GAPEfZyY/edit?usp=share_link"",""เพชรบูรณ์!I542"")+IMPORTRANGE(""https://docs.google.com/spreadsheets/d/1gvTMYAnm7v1yG1BKWFtr0DnaTsq59oW9dwWvFgq6hs0/edit?usp=share_link"",""แพร่!I542"")+IMPORTRANGE("""&amp;"https://docs.google.com/spreadsheets/d/1Wbcosgy-Xa1xXUArJSOenub6EfZHUSzc_bpJFWwQUf0/edit?usp=share_link"",""แม่ฮ่องสอน!I542"")+IMPORTRANGE(""https://docs.google.com/spreadsheets/d/1p7ERhsr0qZeSn-KSOdeHS9r0heI-lHtkcn2OH7hP0jQ/edit?usp=share_link"",""ลำปาง!"&amp;"I542"")+IMPORTRANGE(""https://docs.google.com/spreadsheets/d/1-uUXvimVhiU2U0bMN-xi2te0tS4X7DI2GLPnMjzl8cA/edit?usp=share_link"",""ลำพูน!I542"")+IMPORTRANGE(""https://docs.google.com/spreadsheets/d/17HrOaa5pBUI1onckFfumXB8xlg35qb2uBAFfF1D-Myo/edit?usp=shar"&amp;"e_link"",""สุโขทัย!I542"")+IMPORTRANGE(""https://docs.google.com/spreadsheets/d/1ubs5cl16eYL9gHbdHTJtmtYb9MGzHBs7CAphn8kNCgM/edit?usp=share_link"",""อุตรดิตถ์!I542"")+IMPORTRANGE(""https://docs.google.com/spreadsheets/d/1kII0BjS6CtVrBvI8IrytgPdxDrlyQDyigz"&amp;"MsohRtDMs/edit?usp=share_link"",""อุทัยธานี!I542"")
"),80)</f>
        <v>80</v>
      </c>
      <c r="J542" s="183">
        <f ca="1">IFERROR(__xludf.DUMMYFUNCTION("IMPORTRANGE(""https://docs.google.com/spreadsheets/d/1KxicF4apzSqm0-jIpmueT4kyZtE-Cwn5zskl7GD4loQ/edit?usp=share_link"",""กำแพงเพชร!J542"")+IMPORTRANGE(""https://docs.google.com/spreadsheets/d/1ZNYWeiFoFA1K1U4xKWqRX29MBvEyRHXORjo734Gnq_c/edit?usp=share_li"&amp;"nk"",""เชียงราย!J542"")
+IMPORTRANGE(""https://docs.google.com/spreadsheets/d/1Jgv0Y7YlHDtsiDawwp-uvifEJ8HVaSn0k2aGHG8-hwM/edit?usp=share_link"",""เชียงใหม่!J542"")+IMPORTRANGE(""https://docs.google.com/spreadsheets/d/1JWG2rZePOz9pe-f-ObA-yDr0VoOX2kSb0qIi"&amp;"x2mTUo8/edit?usp=share_link"",""ตาก!J542"")+IMPORTRANGE(""https://docs.google.com/spreadsheets/d/10nSRjK08hx8Y6HgSOQKNw81lyY46Zc7U_Cj72hBMp9U/edit?usp=share_link"",""นครสวรรค์!J542"")+IMPORTRANGE(""https://docs.google.com/spreadsheets/d/1gFVb7qd7amutrIxAA"&amp;"oM7lcy35hllxznovot8lyOfvDo/edit?usp=share_link"",""น่าน!J542"")+IMPORTRANGE(""https://docs.google.com/spreadsheets/d/1K0Aa9s-6EuHE5M0FG1F9aHLXRCOV917xvycTdLdct0w/edit?usp=share_link"",""พะเยา!J542"")+IMPORTRANGE(""https://docs.google.com/spreadsheets/d/1Y"&amp;"9LPKx95PyL5OKy09d-KbKJSuuEZCFdkhYjwC0XQjBA/edit?usp=share_link"",""พิจิตร!J542"")+IMPORTRANGE(""https://docs.google.com/spreadsheets/d/16OMuOwy2eVqZcYWOouQtTpa8X1L23h4660uVHc0C8os/edit?usp=share_link"",""พิษณุโลก!J542"")+IMPORTRANGE(""https://docs.google."&amp;"com/spreadsheets/d/1GfgTldLG6k77HXaMQzaafODklYuucJZQNs_GAPEfZyY/edit?usp=share_link"",""เพชรบูรณ์!J542"")+IMPORTRANGE(""https://docs.google.com/spreadsheets/d/1gvTMYAnm7v1yG1BKWFtr0DnaTsq59oW9dwWvFgq6hs0/edit?usp=share_link"",""แพร่!J542"")+IMPORTRANGE("""&amp;"https://docs.google.com/spreadsheets/d/1Wbcosgy-Xa1xXUArJSOenub6EfZHUSzc_bpJFWwQUf0/edit?usp=share_link"",""แม่ฮ่องสอน!J542"")+IMPORTRANGE(""https://docs.google.com/spreadsheets/d/1p7ERhsr0qZeSn-KSOdeHS9r0heI-lHtkcn2OH7hP0jQ/edit?usp=share_link"",""ลำปาง!"&amp;"J542"")+IMPORTRANGE(""https://docs.google.com/spreadsheets/d/1-uUXvimVhiU2U0bMN-xi2te0tS4X7DI2GLPnMjzl8cA/edit?usp=share_link"",""ลำพูน!J542"")+IMPORTRANGE(""https://docs.google.com/spreadsheets/d/17HrOaa5pBUI1onckFfumXB8xlg35qb2uBAFfF1D-Myo/edit?usp=shar"&amp;"e_link"",""สุโขทัย!J542"")+IMPORTRANGE(""https://docs.google.com/spreadsheets/d/1ubs5cl16eYL9gHbdHTJtmtYb9MGzHBs7CAphn8kNCgM/edit?usp=share_link"",""อุตรดิตถ์!J542"")+IMPORTRANGE(""https://docs.google.com/spreadsheets/d/1kII0BjS6CtVrBvI8IrytgPdxDrlyQDyigz"&amp;"MsohRtDMs/edit?usp=share_link"",""อุทัยธานี!J542"")
"),0)</f>
        <v>0</v>
      </c>
      <c r="K542" s="38">
        <f t="shared" ca="1" si="271"/>
        <v>0</v>
      </c>
      <c r="L542" s="38"/>
      <c r="M542" s="38"/>
      <c r="N542" s="38"/>
      <c r="O542" s="38"/>
      <c r="P542" s="38"/>
      <c r="Q542" s="648"/>
      <c r="R542" s="648"/>
      <c r="S542" s="648"/>
      <c r="T542" s="648"/>
      <c r="U542" s="648"/>
      <c r="V542" s="648"/>
      <c r="W542" s="648"/>
      <c r="X542" s="648"/>
      <c r="Y542" s="648"/>
      <c r="Z542" s="648"/>
    </row>
    <row r="543" spans="1:26" ht="19.5">
      <c r="A543" s="630">
        <v>6</v>
      </c>
      <c r="B543" s="651" t="s">
        <v>232</v>
      </c>
      <c r="C543" s="633"/>
      <c r="D543" s="633"/>
      <c r="E543" s="633"/>
      <c r="F543" s="633"/>
      <c r="G543" s="634"/>
      <c r="H543" s="652" t="s">
        <v>46</v>
      </c>
      <c r="I543" s="653">
        <f t="shared" ref="I543:J543" ca="1" si="272">I559</f>
        <v>789391</v>
      </c>
      <c r="J543" s="653">
        <f t="shared" ca="1" si="272"/>
        <v>0</v>
      </c>
      <c r="K543" s="654">
        <f t="shared" ca="1" si="271"/>
        <v>0</v>
      </c>
      <c r="L543" s="636"/>
      <c r="M543" s="636"/>
      <c r="N543" s="636"/>
      <c r="O543" s="636"/>
      <c r="P543" s="636"/>
      <c r="Q543" s="541"/>
      <c r="R543" s="541"/>
      <c r="S543" s="541"/>
      <c r="T543" s="541"/>
      <c r="U543" s="541"/>
      <c r="V543" s="541"/>
      <c r="W543" s="541"/>
      <c r="X543" s="541"/>
      <c r="Y543" s="541"/>
      <c r="Z543" s="541"/>
    </row>
    <row r="544" spans="1:26" ht="19.5">
      <c r="A544" s="655"/>
      <c r="B544" s="656"/>
      <c r="C544" s="656" t="s">
        <v>16</v>
      </c>
      <c r="D544" s="813" t="s">
        <v>17</v>
      </c>
      <c r="E544" s="810"/>
      <c r="F544" s="810"/>
      <c r="G544" s="657"/>
      <c r="H544" s="274" t="s">
        <v>12</v>
      </c>
      <c r="I544" s="153"/>
      <c r="J544" s="153"/>
      <c r="K544" s="154"/>
      <c r="L544" s="155">
        <f t="shared" ref="L544:N544" ca="1" si="273">L545+L546</f>
        <v>7224770</v>
      </c>
      <c r="M544" s="155">
        <f t="shared" si="273"/>
        <v>0</v>
      </c>
      <c r="N544" s="155">
        <f t="shared" ca="1" si="273"/>
        <v>96030.2</v>
      </c>
      <c r="O544" s="155">
        <f t="shared" ref="O544:O549" ca="1" si="274">IF(L544&gt;0,N544*100/L544,0)</f>
        <v>1.329180029260447</v>
      </c>
      <c r="P544" s="155">
        <f t="shared" ref="P544:P549" si="275">IF(M544&gt;0,N544*100/M544,0)</f>
        <v>0</v>
      </c>
      <c r="Q544" s="541"/>
      <c r="R544" s="541"/>
      <c r="S544" s="541"/>
      <c r="T544" s="541"/>
      <c r="U544" s="541"/>
      <c r="V544" s="541"/>
      <c r="W544" s="541"/>
      <c r="X544" s="541"/>
      <c r="Y544" s="541"/>
      <c r="Z544" s="541"/>
    </row>
    <row r="545" spans="1:26" ht="18.75" hidden="1">
      <c r="A545" s="563"/>
      <c r="B545" s="564"/>
      <c r="C545" s="564"/>
      <c r="D545" s="564"/>
      <c r="E545" s="566" t="s">
        <v>184</v>
      </c>
      <c r="F545" s="564"/>
      <c r="G545" s="567"/>
      <c r="H545" s="165" t="s">
        <v>12</v>
      </c>
      <c r="I545" s="44"/>
      <c r="J545" s="44"/>
      <c r="K545" s="45"/>
      <c r="L545" s="45">
        <f t="shared" ref="L545:L546" si="276">L548+L556</f>
        <v>0</v>
      </c>
      <c r="M545" s="45">
        <f t="shared" ref="M545:N545" si="277">M548+M555</f>
        <v>0</v>
      </c>
      <c r="N545" s="45">
        <f t="shared" si="277"/>
        <v>0</v>
      </c>
      <c r="O545" s="45">
        <f t="shared" si="274"/>
        <v>0</v>
      </c>
      <c r="P545" s="45">
        <f t="shared" si="275"/>
        <v>0</v>
      </c>
      <c r="Q545" s="568"/>
      <c r="R545" s="568"/>
      <c r="S545" s="568"/>
      <c r="T545" s="568"/>
      <c r="U545" s="568"/>
      <c r="V545" s="568"/>
      <c r="W545" s="568"/>
      <c r="X545" s="568"/>
      <c r="Y545" s="568"/>
      <c r="Z545" s="568"/>
    </row>
    <row r="546" spans="1:26" ht="18.75" hidden="1">
      <c r="A546" s="563"/>
      <c r="B546" s="569"/>
      <c r="C546" s="564"/>
      <c r="D546" s="564"/>
      <c r="E546" s="566" t="s">
        <v>185</v>
      </c>
      <c r="F546" s="564"/>
      <c r="G546" s="567"/>
      <c r="H546" s="165" t="s">
        <v>12</v>
      </c>
      <c r="I546" s="44"/>
      <c r="J546" s="44"/>
      <c r="K546" s="45"/>
      <c r="L546" s="45">
        <f t="shared" ca="1" si="276"/>
        <v>7224770</v>
      </c>
      <c r="M546" s="45">
        <f t="shared" ref="M546:N546" si="278">M549+M556</f>
        <v>0</v>
      </c>
      <c r="N546" s="45">
        <f t="shared" ca="1" si="278"/>
        <v>96030.2</v>
      </c>
      <c r="O546" s="45">
        <f t="shared" ca="1" si="274"/>
        <v>1.329180029260447</v>
      </c>
      <c r="P546" s="45">
        <f t="shared" si="275"/>
        <v>0</v>
      </c>
      <c r="Q546" s="568"/>
      <c r="R546" s="568"/>
      <c r="S546" s="568"/>
      <c r="T546" s="568"/>
      <c r="U546" s="568"/>
      <c r="V546" s="568"/>
      <c r="W546" s="568"/>
      <c r="X546" s="568"/>
      <c r="Y546" s="568"/>
      <c r="Z546" s="568"/>
    </row>
    <row r="547" spans="1:26" ht="18.75">
      <c r="A547" s="561"/>
      <c r="B547" s="538"/>
      <c r="C547" s="539"/>
      <c r="D547" s="570" t="s">
        <v>20</v>
      </c>
      <c r="E547" s="539"/>
      <c r="F547" s="539"/>
      <c r="G547" s="189"/>
      <c r="H547" s="161" t="s">
        <v>12</v>
      </c>
      <c r="I547" s="162"/>
      <c r="J547" s="162"/>
      <c r="K547" s="163"/>
      <c r="L547" s="38">
        <f t="shared" ref="L547:N547" ca="1" si="279">L548+L549</f>
        <v>7224770</v>
      </c>
      <c r="M547" s="38">
        <f t="shared" si="279"/>
        <v>0</v>
      </c>
      <c r="N547" s="38">
        <f t="shared" ca="1" si="279"/>
        <v>96030.2</v>
      </c>
      <c r="O547" s="38">
        <f t="shared" ca="1" si="274"/>
        <v>1.329180029260447</v>
      </c>
      <c r="P547" s="38">
        <f t="shared" si="275"/>
        <v>0</v>
      </c>
      <c r="Q547" s="541"/>
      <c r="R547" s="541"/>
      <c r="S547" s="541"/>
      <c r="T547" s="541"/>
      <c r="U547" s="541"/>
      <c r="V547" s="541"/>
      <c r="W547" s="541"/>
      <c r="X547" s="541"/>
      <c r="Y547" s="541"/>
      <c r="Z547" s="541"/>
    </row>
    <row r="548" spans="1:26" ht="18.75" hidden="1">
      <c r="A548" s="563"/>
      <c r="B548" s="569"/>
      <c r="C548" s="564"/>
      <c r="D548" s="565"/>
      <c r="E548" s="566" t="s">
        <v>184</v>
      </c>
      <c r="F548" s="564"/>
      <c r="G548" s="567"/>
      <c r="H548" s="165" t="s">
        <v>12</v>
      </c>
      <c r="I548" s="44"/>
      <c r="J548" s="44"/>
      <c r="K548" s="45"/>
      <c r="L548" s="93">
        <v>0</v>
      </c>
      <c r="M548" s="93">
        <v>0</v>
      </c>
      <c r="N548" s="93">
        <v>0</v>
      </c>
      <c r="O548" s="45">
        <f t="shared" si="274"/>
        <v>0</v>
      </c>
      <c r="P548" s="45">
        <f t="shared" si="275"/>
        <v>0</v>
      </c>
      <c r="Q548" s="568"/>
      <c r="R548" s="568"/>
      <c r="S548" s="568"/>
      <c r="T548" s="568"/>
      <c r="U548" s="568"/>
      <c r="V548" s="568"/>
      <c r="W548" s="568"/>
      <c r="X548" s="568"/>
      <c r="Y548" s="568"/>
      <c r="Z548" s="568"/>
    </row>
    <row r="549" spans="1:26" ht="18.75" hidden="1">
      <c r="A549" s="563"/>
      <c r="B549" s="569"/>
      <c r="C549" s="564"/>
      <c r="D549" s="565"/>
      <c r="E549" s="566" t="s">
        <v>185</v>
      </c>
      <c r="F549" s="564"/>
      <c r="G549" s="567"/>
      <c r="H549" s="165" t="s">
        <v>12</v>
      </c>
      <c r="I549" s="44"/>
      <c r="J549" s="44"/>
      <c r="K549" s="45"/>
      <c r="L549" s="45">
        <f ca="1">IFERROR(__xludf.DUMMYFUNCTION("IMPORTRANGE(""https://docs.google.com/spreadsheets/d/1KxicF4apzSqm0-jIpmueT4kyZtE-Cwn5zskl7GD4loQ/edit?usp=share_link"",""กำแพงเพชร!l549"")+IMPORTRANGE(""https://docs.google.com/spreadsheets/d/1ZNYWeiFoFA1K1U4xKWqRX29MBvEyRHXORjo734Gnq_c/edit?usp=share_li"&amp;"nk"",""เชียงราย!l549"")
+IMPORTRANGE(""https://docs.google.com/spreadsheets/d/1Jgv0Y7YlHDtsiDawwp-uvifEJ8HVaSn0k2aGHG8-hwM/edit?usp=share_link"",""เชียงใหม่!l549"")+IMPORTRANGE(""https://docs.google.com/spreadsheets/d/1JWG2rZePOz9pe-f-ObA-yDr0VoOX2kSb0qIi"&amp;"x2mTUo8/edit?usp=share_link"",""ตาก!l549"")+IMPORTRANGE(""https://docs.google.com/spreadsheets/d/10nSRjK08hx8Y6HgSOQKNw81lyY46Zc7U_Cj72hBMp9U/edit?usp=share_link"",""นครสวรรค์!l549"")+IMPORTRANGE(""https://docs.google.com/spreadsheets/d/1gFVb7qd7amutrIxAA"&amp;"oM7lcy35hllxznovot8lyOfvDo/edit?usp=share_link"",""น่าน!l549"")+IMPORTRANGE(""https://docs.google.com/spreadsheets/d/1K0Aa9s-6EuHE5M0FG1F9aHLXRCOV917xvycTdLdct0w/edit?usp=share_link"",""พะเยา!l549"")+IMPORTRANGE(""https://docs.google.com/spreadsheets/d/1Y"&amp;"9LPKx95PyL5OKy09d-KbKJSuuEZCFdkhYjwC0XQjBA/edit?usp=share_link"",""พิจิตร!l549"")+IMPORTRANGE(""https://docs.google.com/spreadsheets/d/16OMuOwy2eVqZcYWOouQtTpa8X1L23h4660uVHc0C8os/edit?usp=share_link"",""พิษณุโลก!l549"")+IMPORTRANGE(""https://docs.google."&amp;"com/spreadsheets/d/1GfgTldLG6k77HXaMQzaafODklYuucJZQNs_GAPEfZyY/edit?usp=share_link"",""เพชรบูรณ์!l549"")+IMPORTRANGE(""https://docs.google.com/spreadsheets/d/1gvTMYAnm7v1yG1BKWFtr0DnaTsq59oW9dwWvFgq6hs0/edit?usp=share_link"",""แพร่!l549"")+IMPORTRANGE("""&amp;"https://docs.google.com/spreadsheets/d/1Wbcosgy-Xa1xXUArJSOenub6EfZHUSzc_bpJFWwQUf0/edit?usp=share_link"",""แม่ฮ่องสอน!l549"")+IMPORTRANGE(""https://docs.google.com/spreadsheets/d/1p7ERhsr0qZeSn-KSOdeHS9r0heI-lHtkcn2OH7hP0jQ/edit?usp=share_link"",""ลำปาง!"&amp;"l549"")+IMPORTRANGE(""https://docs.google.com/spreadsheets/d/1-uUXvimVhiU2U0bMN-xi2te0tS4X7DI2GLPnMjzl8cA/edit?usp=share_link"",""ลำพูน!l549"")+IMPORTRANGE(""https://docs.google.com/spreadsheets/d/17HrOaa5pBUI1onckFfumXB8xlg35qb2uBAFfF1D-Myo/edit?usp=shar"&amp;"e_link"",""สุโขทัย!l549"")+IMPORTRANGE(""https://docs.google.com/spreadsheets/d/1ubs5cl16eYL9gHbdHTJtmtYb9MGzHBs7CAphn8kNCgM/edit?usp=share_link"",""อุตรดิตถ์!l549"")+IMPORTRANGE(""https://docs.google.com/spreadsheets/d/1kII0BjS6CtVrBvI8IrytgPdxDrlyQDyigz"&amp;"MsohRtDMs/edit?usp=share_link"",""อุทัยธานี!l549"")
"),7224770)</f>
        <v>7224770</v>
      </c>
      <c r="M549" s="93">
        <v>0</v>
      </c>
      <c r="N549" s="45">
        <f ca="1">N550+N551+N552+N553+N554</f>
        <v>96030.2</v>
      </c>
      <c r="O549" s="45">
        <f t="shared" ca="1" si="274"/>
        <v>1.329180029260447</v>
      </c>
      <c r="P549" s="45">
        <f t="shared" si="275"/>
        <v>0</v>
      </c>
      <c r="Q549" s="568"/>
      <c r="R549" s="568"/>
      <c r="S549" s="568"/>
      <c r="T549" s="568"/>
      <c r="U549" s="568"/>
      <c r="V549" s="568"/>
      <c r="W549" s="568"/>
      <c r="X549" s="568"/>
      <c r="Y549" s="568"/>
      <c r="Z549" s="568"/>
    </row>
    <row r="550" spans="1:26" ht="18.75">
      <c r="A550" s="537"/>
      <c r="B550" s="538"/>
      <c r="C550" s="539"/>
      <c r="D550" s="539"/>
      <c r="E550" s="539"/>
      <c r="F550" s="540" t="s">
        <v>186</v>
      </c>
      <c r="G550" s="189"/>
      <c r="H550" s="161" t="s">
        <v>12</v>
      </c>
      <c r="I550" s="37"/>
      <c r="J550" s="37"/>
      <c r="K550" s="38"/>
      <c r="L550" s="38"/>
      <c r="M550" s="38"/>
      <c r="N550" s="282">
        <f ca="1">IFERROR(__xludf.DUMMYFUNCTION("IMPORTRANGE(""https://docs.google.com/spreadsheets/d/1KxicF4apzSqm0-jIpmueT4kyZtE-Cwn5zskl7GD4loQ/edit?usp=share_link"",""กำแพงเพชร!n550"")+IMPORTRANGE(""https://docs.google.com/spreadsheets/d/1ZNYWeiFoFA1K1U4xKWqRX29MBvEyRHXORjo734Gnq_c/edit?usp=share_li"&amp;"nk"",""เชียงราย!n550"")
+IMPORTRANGE(""https://docs.google.com/spreadsheets/d/1Jgv0Y7YlHDtsiDawwp-uvifEJ8HVaSn0k2aGHG8-hwM/edit?usp=share_link"",""เชียงใหม่!n550"")+IMPORTRANGE(""https://docs.google.com/spreadsheets/d/1JWG2rZePOz9pe-f-ObA-yDr0VoOX2kSb0qIi"&amp;"x2mTUo8/edit?usp=share_link"",""ตาก!n550"")+IMPORTRANGE(""https://docs.google.com/spreadsheets/d/10nSRjK08hx8Y6HgSOQKNw81lyY46Zc7U_Cj72hBMp9U/edit?usp=share_link"",""นครสวรรค์!n550"")+IMPORTRANGE(""https://docs.google.com/spreadsheets/d/1gFVb7qd7amutrIxAA"&amp;"oM7lcy35hllxznovot8lyOfvDo/edit?usp=share_link"",""น่าน!n550"")+IMPORTRANGE(""https://docs.google.com/spreadsheets/d/1K0Aa9s-6EuHE5M0FG1F9aHLXRCOV917xvycTdLdct0w/edit?usp=share_link"",""พะเยา!n550"")+IMPORTRANGE(""https://docs.google.com/spreadsheets/d/1Y"&amp;"9LPKx95PyL5OKy09d-KbKJSuuEZCFdkhYjwC0XQjBA/edit?usp=share_link"",""พิจิตร!n550"")+IMPORTRANGE(""https://docs.google.com/spreadsheets/d/16OMuOwy2eVqZcYWOouQtTpa8X1L23h4660uVHc0C8os/edit?usp=share_link"",""พิษณุโลก!n550"")+IMPORTRANGE(""https://docs.google."&amp;"com/spreadsheets/d/1GfgTldLG6k77HXaMQzaafODklYuucJZQNs_GAPEfZyY/edit?usp=share_link"",""เพชรบูรณ์!n550"")+IMPORTRANGE(""https://docs.google.com/spreadsheets/d/1gvTMYAnm7v1yG1BKWFtr0DnaTsq59oW9dwWvFgq6hs0/edit?usp=share_link"",""แพร่!n550"")+IMPORTRANGE("""&amp;"https://docs.google.com/spreadsheets/d/1Wbcosgy-Xa1xXUArJSOenub6EfZHUSzc_bpJFWwQUf0/edit?usp=share_link"",""แม่ฮ่องสอน!n550"")+IMPORTRANGE(""https://docs.google.com/spreadsheets/d/1p7ERhsr0qZeSn-KSOdeHS9r0heI-lHtkcn2OH7hP0jQ/edit?usp=share_link"",""ลำปาง!"&amp;"n550"")+IMPORTRANGE(""https://docs.google.com/spreadsheets/d/1-uUXvimVhiU2U0bMN-xi2te0tS4X7DI2GLPnMjzl8cA/edit?usp=share_link"",""ลำพูน!n550"")+IMPORTRANGE(""https://docs.google.com/spreadsheets/d/17HrOaa5pBUI1onckFfumXB8xlg35qb2uBAFfF1D-Myo/edit?usp=shar"&amp;"e_link"",""สุโขทัย!n550"")+IMPORTRANGE(""https://docs.google.com/spreadsheets/d/1ubs5cl16eYL9gHbdHTJtmtYb9MGzHBs7CAphn8kNCgM/edit?usp=share_link"",""อุตรดิตถ์!n550"")+IMPORTRANGE(""https://docs.google.com/spreadsheets/d/1kII0BjS6CtVrBvI8IrytgPdxDrlyQDyigz"&amp;"MsohRtDMs/edit?usp=share_link"",""อุทัยธานี!n550"")
"),0)</f>
        <v>0</v>
      </c>
      <c r="O550" s="38"/>
      <c r="P550" s="38"/>
      <c r="Q550" s="541"/>
      <c r="R550" s="541"/>
      <c r="S550" s="541"/>
      <c r="T550" s="541"/>
      <c r="U550" s="541"/>
      <c r="V550" s="541"/>
      <c r="W550" s="541"/>
      <c r="X550" s="541"/>
      <c r="Y550" s="541"/>
      <c r="Z550" s="541"/>
    </row>
    <row r="551" spans="1:26" ht="18.75">
      <c r="A551" s="537"/>
      <c r="B551" s="538"/>
      <c r="C551" s="538"/>
      <c r="D551" s="538"/>
      <c r="E551" s="539"/>
      <c r="F551" s="540" t="s">
        <v>187</v>
      </c>
      <c r="G551" s="189"/>
      <c r="H551" s="161" t="s">
        <v>12</v>
      </c>
      <c r="I551" s="37"/>
      <c r="J551" s="37"/>
      <c r="K551" s="38"/>
      <c r="L551" s="38"/>
      <c r="M551" s="38"/>
      <c r="N551" s="282">
        <f ca="1">IFERROR(__xludf.DUMMYFUNCTION("IMPORTRANGE(""https://docs.google.com/spreadsheets/d/1KxicF4apzSqm0-jIpmueT4kyZtE-Cwn5zskl7GD4loQ/edit?usp=share_link"",""กำแพงเพชร!n551"")+IMPORTRANGE(""https://docs.google.com/spreadsheets/d/1ZNYWeiFoFA1K1U4xKWqRX29MBvEyRHXORjo734Gnq_c/edit?usp=share_li"&amp;"nk"",""เชียงราย!n551"")
+IMPORTRANGE(""https://docs.google.com/spreadsheets/d/1Jgv0Y7YlHDtsiDawwp-uvifEJ8HVaSn0k2aGHG8-hwM/edit?usp=share_link"",""เชียงใหม่!n551"")+IMPORTRANGE(""https://docs.google.com/spreadsheets/d/1JWG2rZePOz9pe-f-ObA-yDr0VoOX2kSb0qIi"&amp;"x2mTUo8/edit?usp=share_link"",""ตาก!n551"")+IMPORTRANGE(""https://docs.google.com/spreadsheets/d/10nSRjK08hx8Y6HgSOQKNw81lyY46Zc7U_Cj72hBMp9U/edit?usp=share_link"",""นครสวรรค์!n551"")+IMPORTRANGE(""https://docs.google.com/spreadsheets/d/1gFVb7qd7amutrIxAA"&amp;"oM7lcy35hllxznovot8lyOfvDo/edit?usp=share_link"",""น่าน!n551"")+IMPORTRANGE(""https://docs.google.com/spreadsheets/d/1K0Aa9s-6EuHE5M0FG1F9aHLXRCOV917xvycTdLdct0w/edit?usp=share_link"",""พะเยา!n551"")+IMPORTRANGE(""https://docs.google.com/spreadsheets/d/1Y"&amp;"9LPKx95PyL5OKy09d-KbKJSuuEZCFdkhYjwC0XQjBA/edit?usp=share_link"",""พิจิตร!n551"")+IMPORTRANGE(""https://docs.google.com/spreadsheets/d/16OMuOwy2eVqZcYWOouQtTpa8X1L23h4660uVHc0C8os/edit?usp=share_link"",""พิษณุโลก!n551"")+IMPORTRANGE(""https://docs.google."&amp;"com/spreadsheets/d/1GfgTldLG6k77HXaMQzaafODklYuucJZQNs_GAPEfZyY/edit?usp=share_link"",""เพชรบูรณ์!n551"")+IMPORTRANGE(""https://docs.google.com/spreadsheets/d/1gvTMYAnm7v1yG1BKWFtr0DnaTsq59oW9dwWvFgq6hs0/edit?usp=share_link"",""แพร่!n551"")+IMPORTRANGE("""&amp;"https://docs.google.com/spreadsheets/d/1Wbcosgy-Xa1xXUArJSOenub6EfZHUSzc_bpJFWwQUf0/edit?usp=share_link"",""แม่ฮ่องสอน!n551"")+IMPORTRANGE(""https://docs.google.com/spreadsheets/d/1p7ERhsr0qZeSn-KSOdeHS9r0heI-lHtkcn2OH7hP0jQ/edit?usp=share_link"",""ลำปาง!"&amp;"n551"")+IMPORTRANGE(""https://docs.google.com/spreadsheets/d/1-uUXvimVhiU2U0bMN-xi2te0tS4X7DI2GLPnMjzl8cA/edit?usp=share_link"",""ลำพูน!n551"")+IMPORTRANGE(""https://docs.google.com/spreadsheets/d/17HrOaa5pBUI1onckFfumXB8xlg35qb2uBAFfF1D-Myo/edit?usp=shar"&amp;"e_link"",""สุโขทัย!n551"")+IMPORTRANGE(""https://docs.google.com/spreadsheets/d/1ubs5cl16eYL9gHbdHTJtmtYb9MGzHBs7CAphn8kNCgM/edit?usp=share_link"",""อุตรดิตถ์!n551"")+IMPORTRANGE(""https://docs.google.com/spreadsheets/d/1kII0BjS6CtVrBvI8IrytgPdxDrlyQDyigz"&amp;"MsohRtDMs/edit?usp=share_link"",""อุทัยธานี!n551"")
"),0)</f>
        <v>0</v>
      </c>
      <c r="O551" s="38"/>
      <c r="P551" s="38"/>
      <c r="Q551" s="541"/>
      <c r="R551" s="541"/>
      <c r="S551" s="541"/>
      <c r="T551" s="541"/>
      <c r="U551" s="541"/>
      <c r="V551" s="541"/>
      <c r="W551" s="541"/>
      <c r="X551" s="541"/>
      <c r="Y551" s="541"/>
      <c r="Z551" s="541"/>
    </row>
    <row r="552" spans="1:26" ht="18.75">
      <c r="A552" s="537"/>
      <c r="B552" s="538"/>
      <c r="C552" s="539"/>
      <c r="D552" s="539"/>
      <c r="E552" s="539"/>
      <c r="F552" s="540" t="s">
        <v>188</v>
      </c>
      <c r="G552" s="189"/>
      <c r="H552" s="161" t="s">
        <v>12</v>
      </c>
      <c r="I552" s="37"/>
      <c r="J552" s="37"/>
      <c r="K552" s="38"/>
      <c r="L552" s="38"/>
      <c r="M552" s="38"/>
      <c r="N552" s="282">
        <f ca="1">IFERROR(__xludf.DUMMYFUNCTION("IMPORTRANGE(""https://docs.google.com/spreadsheets/d/1KxicF4apzSqm0-jIpmueT4kyZtE-Cwn5zskl7GD4loQ/edit?usp=share_link"",""กำแพงเพชร!n552"")+IMPORTRANGE(""https://docs.google.com/spreadsheets/d/1ZNYWeiFoFA1K1U4xKWqRX29MBvEyRHXORjo734Gnq_c/edit?usp=share_li"&amp;"nk"",""เชียงราย!n552"")
+IMPORTRANGE(""https://docs.google.com/spreadsheets/d/1Jgv0Y7YlHDtsiDawwp-uvifEJ8HVaSn0k2aGHG8-hwM/edit?usp=share_link"",""เชียงใหม่!n552"")+IMPORTRANGE(""https://docs.google.com/spreadsheets/d/1JWG2rZePOz9pe-f-ObA-yDr0VoOX2kSb0qIi"&amp;"x2mTUo8/edit?usp=share_link"",""ตาก!n552"")+IMPORTRANGE(""https://docs.google.com/spreadsheets/d/10nSRjK08hx8Y6HgSOQKNw81lyY46Zc7U_Cj72hBMp9U/edit?usp=share_link"",""นครสวรรค์!n552"")+IMPORTRANGE(""https://docs.google.com/spreadsheets/d/1gFVb7qd7amutrIxAA"&amp;"oM7lcy35hllxznovot8lyOfvDo/edit?usp=share_link"",""น่าน!n552"")+IMPORTRANGE(""https://docs.google.com/spreadsheets/d/1K0Aa9s-6EuHE5M0FG1F9aHLXRCOV917xvycTdLdct0w/edit?usp=share_link"",""พะเยา!n552"")+IMPORTRANGE(""https://docs.google.com/spreadsheets/d/1Y"&amp;"9LPKx95PyL5OKy09d-KbKJSuuEZCFdkhYjwC0XQjBA/edit?usp=share_link"",""พิจิตร!n552"")+IMPORTRANGE(""https://docs.google.com/spreadsheets/d/16OMuOwy2eVqZcYWOouQtTpa8X1L23h4660uVHc0C8os/edit?usp=share_link"",""พิษณุโลก!n552"")+IMPORTRANGE(""https://docs.google."&amp;"com/spreadsheets/d/1GfgTldLG6k77HXaMQzaafODklYuucJZQNs_GAPEfZyY/edit?usp=share_link"",""เพชรบูรณ์!n552"")+IMPORTRANGE(""https://docs.google.com/spreadsheets/d/1gvTMYAnm7v1yG1BKWFtr0DnaTsq59oW9dwWvFgq6hs0/edit?usp=share_link"",""แพร่!n552"")+IMPORTRANGE("""&amp;"https://docs.google.com/spreadsheets/d/1Wbcosgy-Xa1xXUArJSOenub6EfZHUSzc_bpJFWwQUf0/edit?usp=share_link"",""แม่ฮ่องสอน!n552"")+IMPORTRANGE(""https://docs.google.com/spreadsheets/d/1p7ERhsr0qZeSn-KSOdeHS9r0heI-lHtkcn2OH7hP0jQ/edit?usp=share_link"",""ลำปาง!"&amp;"n552"")+IMPORTRANGE(""https://docs.google.com/spreadsheets/d/1-uUXvimVhiU2U0bMN-xi2te0tS4X7DI2GLPnMjzl8cA/edit?usp=share_link"",""ลำพูน!n552"")+IMPORTRANGE(""https://docs.google.com/spreadsheets/d/17HrOaa5pBUI1onckFfumXB8xlg35qb2uBAFfF1D-Myo/edit?usp=shar"&amp;"e_link"",""สุโขทัย!n552"")+IMPORTRANGE(""https://docs.google.com/spreadsheets/d/1ubs5cl16eYL9gHbdHTJtmtYb9MGzHBs7CAphn8kNCgM/edit?usp=share_link"",""อุตรดิตถ์!n552"")+IMPORTRANGE(""https://docs.google.com/spreadsheets/d/1kII0BjS6CtVrBvI8IrytgPdxDrlyQDyigz"&amp;"MsohRtDMs/edit?usp=share_link"",""อุทัยธานี!n552"")
"),65000)</f>
        <v>65000</v>
      </c>
      <c r="O552" s="38"/>
      <c r="P552" s="38"/>
      <c r="Q552" s="541"/>
      <c r="R552" s="541"/>
      <c r="S552" s="541"/>
      <c r="T552" s="541"/>
      <c r="U552" s="541"/>
      <c r="V552" s="541"/>
      <c r="W552" s="541"/>
      <c r="X552" s="541"/>
      <c r="Y552" s="541"/>
      <c r="Z552" s="541"/>
    </row>
    <row r="553" spans="1:26" ht="18.75">
      <c r="A553" s="537"/>
      <c r="B553" s="538"/>
      <c r="C553" s="538"/>
      <c r="D553" s="538"/>
      <c r="E553" s="539"/>
      <c r="F553" s="540" t="s">
        <v>189</v>
      </c>
      <c r="G553" s="189"/>
      <c r="H553" s="161" t="s">
        <v>12</v>
      </c>
      <c r="I553" s="37"/>
      <c r="J553" s="37"/>
      <c r="K553" s="38"/>
      <c r="L553" s="38"/>
      <c r="M553" s="38"/>
      <c r="N553" s="282">
        <f ca="1">IFERROR(__xludf.DUMMYFUNCTION("IMPORTRANGE(""https://docs.google.com/spreadsheets/d/1KxicF4apzSqm0-jIpmueT4kyZtE-Cwn5zskl7GD4loQ/edit?usp=share_link"",""กำแพงเพชร!n553"")+IMPORTRANGE(""https://docs.google.com/spreadsheets/d/1ZNYWeiFoFA1K1U4xKWqRX29MBvEyRHXORjo734Gnq_c/edit?usp=share_li"&amp;"nk"",""เชียงราย!n553"")
+IMPORTRANGE(""https://docs.google.com/spreadsheets/d/1Jgv0Y7YlHDtsiDawwp-uvifEJ8HVaSn0k2aGHG8-hwM/edit?usp=share_link"",""เชียงใหม่!n553"")+IMPORTRANGE(""https://docs.google.com/spreadsheets/d/1JWG2rZePOz9pe-f-ObA-yDr0VoOX2kSb0qIi"&amp;"x2mTUo8/edit?usp=share_link"",""ตาก!n553"")+IMPORTRANGE(""https://docs.google.com/spreadsheets/d/10nSRjK08hx8Y6HgSOQKNw81lyY46Zc7U_Cj72hBMp9U/edit?usp=share_link"",""นครสวรรค์!n553"")+IMPORTRANGE(""https://docs.google.com/spreadsheets/d/1gFVb7qd7amutrIxAA"&amp;"oM7lcy35hllxznovot8lyOfvDo/edit?usp=share_link"",""น่าน!n553"")+IMPORTRANGE(""https://docs.google.com/spreadsheets/d/1K0Aa9s-6EuHE5M0FG1F9aHLXRCOV917xvycTdLdct0w/edit?usp=share_link"",""พะเยา!n553"")+IMPORTRANGE(""https://docs.google.com/spreadsheets/d/1Y"&amp;"9LPKx95PyL5OKy09d-KbKJSuuEZCFdkhYjwC0XQjBA/edit?usp=share_link"",""พิจิตร!n553"")+IMPORTRANGE(""https://docs.google.com/spreadsheets/d/16OMuOwy2eVqZcYWOouQtTpa8X1L23h4660uVHc0C8os/edit?usp=share_link"",""พิษณุโลก!n553"")+IMPORTRANGE(""https://docs.google."&amp;"com/spreadsheets/d/1GfgTldLG6k77HXaMQzaafODklYuucJZQNs_GAPEfZyY/edit?usp=share_link"",""เพชรบูรณ์!n553"")+IMPORTRANGE(""https://docs.google.com/spreadsheets/d/1gvTMYAnm7v1yG1BKWFtr0DnaTsq59oW9dwWvFgq6hs0/edit?usp=share_link"",""แพร่!n553"")+IMPORTRANGE("""&amp;"https://docs.google.com/spreadsheets/d/1Wbcosgy-Xa1xXUArJSOenub6EfZHUSzc_bpJFWwQUf0/edit?usp=share_link"",""แม่ฮ่องสอน!n553"")+IMPORTRANGE(""https://docs.google.com/spreadsheets/d/1p7ERhsr0qZeSn-KSOdeHS9r0heI-lHtkcn2OH7hP0jQ/edit?usp=share_link"",""ลำปาง!"&amp;"n553"")+IMPORTRANGE(""https://docs.google.com/spreadsheets/d/1-uUXvimVhiU2U0bMN-xi2te0tS4X7DI2GLPnMjzl8cA/edit?usp=share_link"",""ลำพูน!n553"")+IMPORTRANGE(""https://docs.google.com/spreadsheets/d/17HrOaa5pBUI1onckFfumXB8xlg35qb2uBAFfF1D-Myo/edit?usp=shar"&amp;"e_link"",""สุโขทัย!n553"")+IMPORTRANGE(""https://docs.google.com/spreadsheets/d/1ubs5cl16eYL9gHbdHTJtmtYb9MGzHBs7CAphn8kNCgM/edit?usp=share_link"",""อุตรดิตถ์!n553"")+IMPORTRANGE(""https://docs.google.com/spreadsheets/d/1kII0BjS6CtVrBvI8IrytgPdxDrlyQDyigz"&amp;"MsohRtDMs/edit?usp=share_link"",""อุทัยธานี!n553"")
"),31030.2)</f>
        <v>31030.2</v>
      </c>
      <c r="O553" s="38"/>
      <c r="P553" s="38"/>
      <c r="Q553" s="541"/>
      <c r="R553" s="541"/>
      <c r="S553" s="541"/>
      <c r="T553" s="541"/>
      <c r="U553" s="541"/>
      <c r="V553" s="541"/>
      <c r="W553" s="541"/>
      <c r="X553" s="541"/>
      <c r="Y553" s="541"/>
      <c r="Z553" s="541"/>
    </row>
    <row r="554" spans="1:26" ht="18.75">
      <c r="A554" s="537"/>
      <c r="B554" s="538"/>
      <c r="C554" s="538"/>
      <c r="D554" s="538"/>
      <c r="E554" s="539"/>
      <c r="F554" s="540" t="s">
        <v>233</v>
      </c>
      <c r="G554" s="189"/>
      <c r="H554" s="161" t="s">
        <v>12</v>
      </c>
      <c r="I554" s="37"/>
      <c r="J554" s="37"/>
      <c r="K554" s="38"/>
      <c r="L554" s="38"/>
      <c r="M554" s="38"/>
      <c r="N554" s="282">
        <f ca="1">IFERROR(__xludf.DUMMYFUNCTION("IMPORTRANGE(""https://docs.google.com/spreadsheets/d/1KxicF4apzSqm0-jIpmueT4kyZtE-Cwn5zskl7GD4loQ/edit?usp=share_link"",""กำแพงเพชร!n554"")+IMPORTRANGE(""https://docs.google.com/spreadsheets/d/1ZNYWeiFoFA1K1U4xKWqRX29MBvEyRHXORjo734Gnq_c/edit?usp=share_li"&amp;"nk"",""เชียงราย!n554"")
+IMPORTRANGE(""https://docs.google.com/spreadsheets/d/1Jgv0Y7YlHDtsiDawwp-uvifEJ8HVaSn0k2aGHG8-hwM/edit?usp=share_link"",""เชียงใหม่!n554"")+IMPORTRANGE(""https://docs.google.com/spreadsheets/d/1JWG2rZePOz9pe-f-ObA-yDr0VoOX2kSb0qIi"&amp;"x2mTUo8/edit?usp=share_link"",""ตาก!n554"")+IMPORTRANGE(""https://docs.google.com/spreadsheets/d/10nSRjK08hx8Y6HgSOQKNw81lyY46Zc7U_Cj72hBMp9U/edit?usp=share_link"",""นครสวรรค์!n554"")+IMPORTRANGE(""https://docs.google.com/spreadsheets/d/1gFVb7qd7amutrIxAA"&amp;"oM7lcy35hllxznovot8lyOfvDo/edit?usp=share_link"",""น่าน!n554"")+IMPORTRANGE(""https://docs.google.com/spreadsheets/d/1K0Aa9s-6EuHE5M0FG1F9aHLXRCOV917xvycTdLdct0w/edit?usp=share_link"",""พะเยา!n554"")+IMPORTRANGE(""https://docs.google.com/spreadsheets/d/1Y"&amp;"9LPKx95PyL5OKy09d-KbKJSuuEZCFdkhYjwC0XQjBA/edit?usp=share_link"",""พิจิตร!n554"")+IMPORTRANGE(""https://docs.google.com/spreadsheets/d/16OMuOwy2eVqZcYWOouQtTpa8X1L23h4660uVHc0C8os/edit?usp=share_link"",""พิษณุโลก!n554"")+IMPORTRANGE(""https://docs.google."&amp;"com/spreadsheets/d/1GfgTldLG6k77HXaMQzaafODklYuucJZQNs_GAPEfZyY/edit?usp=share_link"",""เพชรบูรณ์!n554"")+IMPORTRANGE(""https://docs.google.com/spreadsheets/d/1gvTMYAnm7v1yG1BKWFtr0DnaTsq59oW9dwWvFgq6hs0/edit?usp=share_link"",""แพร่!n554"")+IMPORTRANGE("""&amp;"https://docs.google.com/spreadsheets/d/1Wbcosgy-Xa1xXUArJSOenub6EfZHUSzc_bpJFWwQUf0/edit?usp=share_link"",""แม่ฮ่องสอน!n554"")+IMPORTRANGE(""https://docs.google.com/spreadsheets/d/1p7ERhsr0qZeSn-KSOdeHS9r0heI-lHtkcn2OH7hP0jQ/edit?usp=share_link"",""ลำปาง!"&amp;"n554"")+IMPORTRANGE(""https://docs.google.com/spreadsheets/d/1-uUXvimVhiU2U0bMN-xi2te0tS4X7DI2GLPnMjzl8cA/edit?usp=share_link"",""ลำพูน!n554"")+IMPORTRANGE(""https://docs.google.com/spreadsheets/d/17HrOaa5pBUI1onckFfumXB8xlg35qb2uBAFfF1D-Myo/edit?usp=shar"&amp;"e_link"",""สุโขทัย!n554"")+IMPORTRANGE(""https://docs.google.com/spreadsheets/d/1ubs5cl16eYL9gHbdHTJtmtYb9MGzHBs7CAphn8kNCgM/edit?usp=share_link"",""อุตรดิตถ์!n554"")+IMPORTRANGE(""https://docs.google.com/spreadsheets/d/1kII0BjS6CtVrBvI8IrytgPdxDrlyQDyigz"&amp;"MsohRtDMs/edit?usp=share_link"",""อุทัยธานี!n554"")
"),0)</f>
        <v>0</v>
      </c>
      <c r="O554" s="38"/>
      <c r="P554" s="38"/>
      <c r="Q554" s="541"/>
      <c r="R554" s="541"/>
      <c r="S554" s="541"/>
      <c r="T554" s="541"/>
      <c r="U554" s="541"/>
      <c r="V554" s="541"/>
      <c r="W554" s="541"/>
      <c r="X554" s="541"/>
      <c r="Y554" s="541"/>
      <c r="Z554" s="541"/>
    </row>
    <row r="555" spans="1:26" ht="18.75">
      <c r="A555" s="561"/>
      <c r="B555" s="538"/>
      <c r="C555" s="538"/>
      <c r="D555" s="570" t="s">
        <v>21</v>
      </c>
      <c r="E555" s="539"/>
      <c r="F555" s="539"/>
      <c r="G555" s="189"/>
      <c r="H555" s="168" t="s">
        <v>12</v>
      </c>
      <c r="I555" s="162"/>
      <c r="J555" s="162"/>
      <c r="K555" s="163"/>
      <c r="L555" s="38">
        <f t="shared" ref="L555:N555" ca="1" si="280">L556+L557</f>
        <v>0</v>
      </c>
      <c r="M555" s="38">
        <f t="shared" si="280"/>
        <v>0</v>
      </c>
      <c r="N555" s="38">
        <f t="shared" si="280"/>
        <v>0</v>
      </c>
      <c r="O555" s="38">
        <f t="shared" ref="O555:O557" ca="1" si="281">IF(L555&gt;0,N555*100/L555,0)</f>
        <v>0</v>
      </c>
      <c r="P555" s="38">
        <f t="shared" ref="P555:P557" si="282">IF(M555&gt;0,N555*100/M555,0)</f>
        <v>0</v>
      </c>
      <c r="Q555" s="541"/>
      <c r="R555" s="541"/>
      <c r="S555" s="541"/>
      <c r="T555" s="541"/>
      <c r="U555" s="541"/>
      <c r="V555" s="541"/>
      <c r="W555" s="541"/>
      <c r="X555" s="541"/>
      <c r="Y555" s="541"/>
      <c r="Z555" s="541"/>
    </row>
    <row r="556" spans="1:26" ht="18.75" hidden="1">
      <c r="A556" s="563"/>
      <c r="B556" s="569"/>
      <c r="C556" s="569"/>
      <c r="D556" s="564"/>
      <c r="E556" s="566" t="s">
        <v>18</v>
      </c>
      <c r="F556" s="564"/>
      <c r="G556" s="567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45">
        <f t="shared" si="281"/>
        <v>0</v>
      </c>
      <c r="P556" s="45">
        <f t="shared" si="282"/>
        <v>0</v>
      </c>
      <c r="Q556" s="568"/>
      <c r="R556" s="568"/>
      <c r="S556" s="568"/>
      <c r="T556" s="568"/>
      <c r="U556" s="568"/>
      <c r="V556" s="568"/>
      <c r="W556" s="568"/>
      <c r="X556" s="568"/>
      <c r="Y556" s="568"/>
      <c r="Z556" s="568"/>
    </row>
    <row r="557" spans="1:26" ht="18.75" hidden="1">
      <c r="A557" s="563"/>
      <c r="B557" s="569"/>
      <c r="C557" s="569"/>
      <c r="D557" s="564"/>
      <c r="E557" s="566" t="s">
        <v>19</v>
      </c>
      <c r="F557" s="564"/>
      <c r="G557" s="567"/>
      <c r="H557" s="169" t="s">
        <v>12</v>
      </c>
      <c r="I557" s="166"/>
      <c r="J557" s="166"/>
      <c r="K557" s="167"/>
      <c r="L557" s="45">
        <f ca="1">IFERROR(__xludf.DUMMYFUNCTION("IMPORTRANGE(""https://docs.google.com/spreadsheets/d/1KxicF4apzSqm0-jIpmueT4kyZtE-Cwn5zskl7GD4loQ/edit?usp=share_link"",""กำแพงเพชร!l557"")+IMPORTRANGE(""https://docs.google.com/spreadsheets/d/1ZNYWeiFoFA1K1U4xKWqRX29MBvEyRHXORjo734Gnq_c/edit?usp=share_li"&amp;"nk"",""เชียงราย!l557"")
+IMPORTRANGE(""https://docs.google.com/spreadsheets/d/1Jgv0Y7YlHDtsiDawwp-uvifEJ8HVaSn0k2aGHG8-hwM/edit?usp=share_link"",""เชียงใหม่!l557"")+IMPORTRANGE(""https://docs.google.com/spreadsheets/d/1JWG2rZePOz9pe-f-ObA-yDr0VoOX2kSb0qIi"&amp;"x2mTUo8/edit?usp=share_link"",""ตาก!l557"")+IMPORTRANGE(""https://docs.google.com/spreadsheets/d/10nSRjK08hx8Y6HgSOQKNw81lyY46Zc7U_Cj72hBMp9U/edit?usp=share_link"",""นครสวรรค์!l557"")+IMPORTRANGE(""https://docs.google.com/spreadsheets/d/1gFVb7qd7amutrIxAA"&amp;"oM7lcy35hllxznovot8lyOfvDo/edit?usp=share_link"",""น่าน!l557"")+IMPORTRANGE(""https://docs.google.com/spreadsheets/d/1K0Aa9s-6EuHE5M0FG1F9aHLXRCOV917xvycTdLdct0w/edit?usp=share_link"",""พะเยา!l557"")+IMPORTRANGE(""https://docs.google.com/spreadsheets/d/1Y"&amp;"9LPKx95PyL5OKy09d-KbKJSuuEZCFdkhYjwC0XQjBA/edit?usp=share_link"",""พิจิตร!l557"")+IMPORTRANGE(""https://docs.google.com/spreadsheets/d/16OMuOwy2eVqZcYWOouQtTpa8X1L23h4660uVHc0C8os/edit?usp=share_link"",""พิษณุโลก!l557"")+IMPORTRANGE(""https://docs.google."&amp;"com/spreadsheets/d/1GfgTldLG6k77HXaMQzaafODklYuucJZQNs_GAPEfZyY/edit?usp=share_link"",""เพชรบูรณ์!l557"")+IMPORTRANGE(""https://docs.google.com/spreadsheets/d/1gvTMYAnm7v1yG1BKWFtr0DnaTsq59oW9dwWvFgq6hs0/edit?usp=share_link"",""แพร่!l557"")+IMPORTRANGE("""&amp;"https://docs.google.com/spreadsheets/d/1Wbcosgy-Xa1xXUArJSOenub6EfZHUSzc_bpJFWwQUf0/edit?usp=share_link"",""แม่ฮ่องสอน!l557"")+IMPORTRANGE(""https://docs.google.com/spreadsheets/d/1p7ERhsr0qZeSn-KSOdeHS9r0heI-lHtkcn2OH7hP0jQ/edit?usp=share_link"",""ลำปาง!"&amp;"l557"")+IMPORTRANGE(""https://docs.google.com/spreadsheets/d/1-uUXvimVhiU2U0bMN-xi2te0tS4X7DI2GLPnMjzl8cA/edit?usp=share_link"",""ลำพูน!l557"")+IMPORTRANGE(""https://docs.google.com/spreadsheets/d/17HrOaa5pBUI1onckFfumXB8xlg35qb2uBAFfF1D-Myo/edit?usp=shar"&amp;"e_link"",""สุโขทัย!l557"")+IMPORTRANGE(""https://docs.google.com/spreadsheets/d/1ubs5cl16eYL9gHbdHTJtmtYb9MGzHBs7CAphn8kNCgM/edit?usp=share_link"",""อุตรดิตถ์!l557"")+IMPORTRANGE(""https://docs.google.com/spreadsheets/d/1kII0BjS6CtVrBvI8IrytgPdxDrlyQDyigz"&amp;"MsohRtDMs/edit?usp=share_link"",""อุทัยธานี!l557"")
"),0)</f>
        <v>0</v>
      </c>
      <c r="M557" s="93">
        <v>0</v>
      </c>
      <c r="N557" s="93">
        <v>0</v>
      </c>
      <c r="O557" s="45">
        <f t="shared" ca="1" si="281"/>
        <v>0</v>
      </c>
      <c r="P557" s="45">
        <f t="shared" si="282"/>
        <v>0</v>
      </c>
      <c r="Q557" s="568"/>
      <c r="R557" s="568"/>
      <c r="S557" s="568"/>
      <c r="T557" s="568"/>
      <c r="U557" s="568"/>
      <c r="V557" s="568"/>
      <c r="W557" s="568"/>
      <c r="X557" s="568"/>
      <c r="Y557" s="568"/>
      <c r="Z557" s="568"/>
    </row>
    <row r="558" spans="1:26" ht="19.5">
      <c r="A558" s="572"/>
      <c r="B558" s="573"/>
      <c r="C558" s="538" t="s">
        <v>16</v>
      </c>
      <c r="D558" s="645" t="s">
        <v>38</v>
      </c>
      <c r="E558" s="576"/>
      <c r="F558" s="576"/>
      <c r="G558" s="577"/>
      <c r="H558" s="175"/>
      <c r="I558" s="162"/>
      <c r="J558" s="162"/>
      <c r="K558" s="163"/>
      <c r="L558" s="163"/>
      <c r="M558" s="163"/>
      <c r="N558" s="163"/>
      <c r="O558" s="163"/>
      <c r="P558" s="163"/>
      <c r="Q558" s="541"/>
      <c r="R558" s="541"/>
      <c r="S558" s="541"/>
      <c r="T558" s="541"/>
      <c r="U558" s="541"/>
      <c r="V558" s="541"/>
      <c r="W558" s="541"/>
      <c r="X558" s="541"/>
      <c r="Y558" s="541"/>
      <c r="Z558" s="541"/>
    </row>
    <row r="559" spans="1:26" ht="19.5">
      <c r="A559" s="658"/>
      <c r="B559" s="659" t="s">
        <v>234</v>
      </c>
      <c r="C559" s="660"/>
      <c r="D559" s="660"/>
      <c r="E559" s="639"/>
      <c r="F559" s="639"/>
      <c r="G559" s="640"/>
      <c r="H559" s="661" t="s">
        <v>46</v>
      </c>
      <c r="I559" s="642">
        <f t="shared" ref="I559:J559" ca="1" si="283">I576</f>
        <v>789391</v>
      </c>
      <c r="J559" s="642">
        <f t="shared" ca="1" si="283"/>
        <v>0</v>
      </c>
      <c r="K559" s="643">
        <f t="shared" ref="K559:K561" ca="1" si="284">IF(I559&gt;0,J559*100/I559,0)</f>
        <v>0</v>
      </c>
      <c r="L559" s="644"/>
      <c r="M559" s="644"/>
      <c r="N559" s="644"/>
      <c r="O559" s="644"/>
      <c r="P559" s="644"/>
      <c r="Q559" s="541"/>
      <c r="R559" s="541"/>
      <c r="S559" s="541"/>
      <c r="T559" s="541"/>
      <c r="U559" s="541"/>
      <c r="V559" s="541"/>
      <c r="W559" s="541"/>
      <c r="X559" s="541"/>
      <c r="Y559" s="541"/>
      <c r="Z559" s="541"/>
    </row>
    <row r="560" spans="1:26" ht="19.5">
      <c r="A560" s="572"/>
      <c r="B560" s="573"/>
      <c r="C560" s="588" t="s">
        <v>235</v>
      </c>
      <c r="D560" s="573"/>
      <c r="E560" s="585"/>
      <c r="F560" s="585"/>
      <c r="G560" s="175"/>
      <c r="H560" s="192" t="s">
        <v>46</v>
      </c>
      <c r="I560" s="193">
        <f ca="1">IFERROR(__xludf.DUMMYFUNCTION("IMPORTRANGE(""https://docs.google.com/spreadsheets/d/1KxicF4apzSqm0-jIpmueT4kyZtE-Cwn5zskl7GD4loQ/edit?usp=share_link"",""กำแพงเพชร!I560"")+IMPORTRANGE(""https://docs.google.com/spreadsheets/d/1ZNYWeiFoFA1K1U4xKWqRX29MBvEyRHXORjo734Gnq_c/edit?usp=share_li"&amp;"nk"",""เชียงราย!I560"")
+IMPORTRANGE(""https://docs.google.com/spreadsheets/d/1Jgv0Y7YlHDtsiDawwp-uvifEJ8HVaSn0k2aGHG8-hwM/edit?usp=share_link"",""เชียงใหม่!I560"")+IMPORTRANGE(""https://docs.google.com/spreadsheets/d/1JWG2rZePOz9pe-f-ObA-yDr0VoOX2kSb0qIi"&amp;"x2mTUo8/edit?usp=share_link"",""ตาก!I560"")+IMPORTRANGE(""https://docs.google.com/spreadsheets/d/10nSRjK08hx8Y6HgSOQKNw81lyY46Zc7U_Cj72hBMp9U/edit?usp=share_link"",""นครสวรรค์!I560"")+IMPORTRANGE(""https://docs.google.com/spreadsheets/d/1gFVb7qd7amutrIxAA"&amp;"oM7lcy35hllxznovot8lyOfvDo/edit?usp=share_link"",""น่าน!I560"")+IMPORTRANGE(""https://docs.google.com/spreadsheets/d/1K0Aa9s-6EuHE5M0FG1F9aHLXRCOV917xvycTdLdct0w/edit?usp=share_link"",""พะเยา!I560"")+IMPORTRANGE(""https://docs.google.com/spreadsheets/d/1Y"&amp;"9LPKx95PyL5OKy09d-KbKJSuuEZCFdkhYjwC0XQjBA/edit?usp=share_link"",""พิจิตร!I560"")+IMPORTRANGE(""https://docs.google.com/spreadsheets/d/16OMuOwy2eVqZcYWOouQtTpa8X1L23h4660uVHc0C8os/edit?usp=share_link"",""พิษณุโลก!I560"")+IMPORTRANGE(""https://docs.google."&amp;"com/spreadsheets/d/1GfgTldLG6k77HXaMQzaafODklYuucJZQNs_GAPEfZyY/edit?usp=share_link"",""เพชรบูรณ์!I560"")+IMPORTRANGE(""https://docs.google.com/spreadsheets/d/1gvTMYAnm7v1yG1BKWFtr0DnaTsq59oW9dwWvFgq6hs0/edit?usp=share_link"",""แพร่!I560"")+IMPORTRANGE("""&amp;"https://docs.google.com/spreadsheets/d/1Wbcosgy-Xa1xXUArJSOenub6EfZHUSzc_bpJFWwQUf0/edit?usp=share_link"",""แม่ฮ่องสอน!I560"")+IMPORTRANGE(""https://docs.google.com/spreadsheets/d/1p7ERhsr0qZeSn-KSOdeHS9r0heI-lHtkcn2OH7hP0jQ/edit?usp=share_link"",""ลำปาง!"&amp;"I560"")+IMPORTRANGE(""https://docs.google.com/spreadsheets/d/1-uUXvimVhiU2U0bMN-xi2te0tS4X7DI2GLPnMjzl8cA/edit?usp=share_link"",""ลำพูน!I560"")+IMPORTRANGE(""https://docs.google.com/spreadsheets/d/17HrOaa5pBUI1onckFfumXB8xlg35qb2uBAFfF1D-Myo/edit?usp=shar"&amp;"e_link"",""สุโขทัย!I560"")+IMPORTRANGE(""https://docs.google.com/spreadsheets/d/1ubs5cl16eYL9gHbdHTJtmtYb9MGzHBs7CAphn8kNCgM/edit?usp=share_link"",""อุตรดิตถ์!I560"")+IMPORTRANGE(""https://docs.google.com/spreadsheets/d/1kII0BjS6CtVrBvI8IrytgPdxDrlyQDyigz"&amp;"MsohRtDMs/edit?usp=share_link"",""อุทัยธานี!I560"")
"),789391)</f>
        <v>789391</v>
      </c>
      <c r="J560" s="193">
        <f t="shared" ref="J560:J561" ca="1" si="285">J562+J564+J566</f>
        <v>7474</v>
      </c>
      <c r="K560" s="379">
        <f t="shared" ca="1" si="284"/>
        <v>0.94680582879713604</v>
      </c>
      <c r="L560" s="163"/>
      <c r="M560" s="163"/>
      <c r="N560" s="163"/>
      <c r="O560" s="163"/>
      <c r="P560" s="163"/>
      <c r="Q560" s="541"/>
      <c r="R560" s="541"/>
      <c r="S560" s="541"/>
      <c r="T560" s="541"/>
      <c r="U560" s="541"/>
      <c r="V560" s="541"/>
      <c r="W560" s="541"/>
      <c r="X560" s="541"/>
      <c r="Y560" s="541"/>
      <c r="Z560" s="541"/>
    </row>
    <row r="561" spans="1:26" ht="19.5">
      <c r="A561" s="572"/>
      <c r="B561" s="573"/>
      <c r="C561" s="573"/>
      <c r="D561" s="585"/>
      <c r="E561" s="585"/>
      <c r="F561" s="585"/>
      <c r="G561" s="175"/>
      <c r="H561" s="192" t="s">
        <v>34</v>
      </c>
      <c r="I561" s="193">
        <f ca="1">IFERROR(__xludf.DUMMYFUNCTION("IMPORTRANGE(""https://docs.google.com/spreadsheets/d/1KxicF4apzSqm0-jIpmueT4kyZtE-Cwn5zskl7GD4loQ/edit?usp=share_link"",""กำแพงเพชร!I561"")+IMPORTRANGE(""https://docs.google.com/spreadsheets/d/1ZNYWeiFoFA1K1U4xKWqRX29MBvEyRHXORjo734Gnq_c/edit?usp=share_li"&amp;"nk"",""เชียงราย!I561"")
+IMPORTRANGE(""https://docs.google.com/spreadsheets/d/1Jgv0Y7YlHDtsiDawwp-uvifEJ8HVaSn0k2aGHG8-hwM/edit?usp=share_link"",""เชียงใหม่!I561"")+IMPORTRANGE(""https://docs.google.com/spreadsheets/d/1JWG2rZePOz9pe-f-ObA-yDr0VoOX2kSb0qIi"&amp;"x2mTUo8/edit?usp=share_link"",""ตาก!I561"")+IMPORTRANGE(""https://docs.google.com/spreadsheets/d/10nSRjK08hx8Y6HgSOQKNw81lyY46Zc7U_Cj72hBMp9U/edit?usp=share_link"",""นครสวรรค์!I561"")+IMPORTRANGE(""https://docs.google.com/spreadsheets/d/1gFVb7qd7amutrIxAA"&amp;"oM7lcy35hllxznovot8lyOfvDo/edit?usp=share_link"",""น่าน!I561"")+IMPORTRANGE(""https://docs.google.com/spreadsheets/d/1K0Aa9s-6EuHE5M0FG1F9aHLXRCOV917xvycTdLdct0w/edit?usp=share_link"",""พะเยา!I561"")+IMPORTRANGE(""https://docs.google.com/spreadsheets/d/1Y"&amp;"9LPKx95PyL5OKy09d-KbKJSuuEZCFdkhYjwC0XQjBA/edit?usp=share_link"",""พิจิตร!I561"")+IMPORTRANGE(""https://docs.google.com/spreadsheets/d/16OMuOwy2eVqZcYWOouQtTpa8X1L23h4660uVHc0C8os/edit?usp=share_link"",""พิษณุโลก!I561"")+IMPORTRANGE(""https://docs.google."&amp;"com/spreadsheets/d/1GfgTldLG6k77HXaMQzaafODklYuucJZQNs_GAPEfZyY/edit?usp=share_link"",""เพชรบูรณ์!I561"")+IMPORTRANGE(""https://docs.google.com/spreadsheets/d/1gvTMYAnm7v1yG1BKWFtr0DnaTsq59oW9dwWvFgq6hs0/edit?usp=share_link"",""แพร่!I561"")+IMPORTRANGE("""&amp;"https://docs.google.com/spreadsheets/d/1Wbcosgy-Xa1xXUArJSOenub6EfZHUSzc_bpJFWwQUf0/edit?usp=share_link"",""แม่ฮ่องสอน!I561"")+IMPORTRANGE(""https://docs.google.com/spreadsheets/d/1p7ERhsr0qZeSn-KSOdeHS9r0heI-lHtkcn2OH7hP0jQ/edit?usp=share_link"",""ลำปาง!"&amp;"I561"")+IMPORTRANGE(""https://docs.google.com/spreadsheets/d/1-uUXvimVhiU2U0bMN-xi2te0tS4X7DI2GLPnMjzl8cA/edit?usp=share_link"",""ลำพูน!I561"")+IMPORTRANGE(""https://docs.google.com/spreadsheets/d/17HrOaa5pBUI1onckFfumXB8xlg35qb2uBAFfF1D-Myo/edit?usp=shar"&amp;"e_link"",""สุโขทัย!I561"")+IMPORTRANGE(""https://docs.google.com/spreadsheets/d/1ubs5cl16eYL9gHbdHTJtmtYb9MGzHBs7CAphn8kNCgM/edit?usp=share_link"",""อุตรดิตถ์!I561"")+IMPORTRANGE(""https://docs.google.com/spreadsheets/d/1kII0BjS6CtVrBvI8IrytgPdxDrlyQDyigz"&amp;"MsohRtDMs/edit?usp=share_link"",""อุทัยธานี!I561"")
"),94109)</f>
        <v>94109</v>
      </c>
      <c r="J561" s="193">
        <f t="shared" ca="1" si="285"/>
        <v>932</v>
      </c>
      <c r="K561" s="379">
        <f t="shared" ca="1" si="284"/>
        <v>0.99034098757823374</v>
      </c>
      <c r="L561" s="163"/>
      <c r="M561" s="163"/>
      <c r="N561" s="163"/>
      <c r="O561" s="163"/>
      <c r="P561" s="163"/>
      <c r="Q561" s="541"/>
      <c r="R561" s="541"/>
      <c r="S561" s="541"/>
      <c r="T561" s="541"/>
      <c r="U561" s="541"/>
      <c r="V561" s="541"/>
      <c r="W561" s="541"/>
      <c r="X561" s="541"/>
      <c r="Y561" s="541"/>
      <c r="Z561" s="541"/>
    </row>
    <row r="562" spans="1:26" ht="18.75">
      <c r="A562" s="572"/>
      <c r="B562" s="573"/>
      <c r="C562" s="573"/>
      <c r="D562" s="187" t="s">
        <v>236</v>
      </c>
      <c r="E562" s="585"/>
      <c r="F562" s="585"/>
      <c r="G562" s="175"/>
      <c r="H562" s="182" t="s">
        <v>46</v>
      </c>
      <c r="I562" s="162"/>
      <c r="J562" s="183">
        <f ca="1">IFERROR(__xludf.DUMMYFUNCTION("IMPORTRANGE(""https://docs.google.com/spreadsheets/d/1KxicF4apzSqm0-jIpmueT4kyZtE-Cwn5zskl7GD4loQ/edit?usp=share_link"",""กำแพงเพชร!J562"")+IMPORTRANGE(""https://docs.google.com/spreadsheets/d/1ZNYWeiFoFA1K1U4xKWqRX29MBvEyRHXORjo734Gnq_c/edit?usp=share_li"&amp;"nk"",""เชียงราย!J562"")
+IMPORTRANGE(""https://docs.google.com/spreadsheets/d/1Jgv0Y7YlHDtsiDawwp-uvifEJ8HVaSn0k2aGHG8-hwM/edit?usp=share_link"",""เชียงใหม่!J562"")+IMPORTRANGE(""https://docs.google.com/spreadsheets/d/1JWG2rZePOz9pe-f-ObA-yDr0VoOX2kSb0qIi"&amp;"x2mTUo8/edit?usp=share_link"",""ตาก!J562"")+IMPORTRANGE(""https://docs.google.com/spreadsheets/d/10nSRjK08hx8Y6HgSOQKNw81lyY46Zc7U_Cj72hBMp9U/edit?usp=share_link"",""นครสวรรค์!J562"")+IMPORTRANGE(""https://docs.google.com/spreadsheets/d/1gFVb7qd7amutrIxAA"&amp;"oM7lcy35hllxznovot8lyOfvDo/edit?usp=share_link"",""น่าน!J562"")+IMPORTRANGE(""https://docs.google.com/spreadsheets/d/1K0Aa9s-6EuHE5M0FG1F9aHLXRCOV917xvycTdLdct0w/edit?usp=share_link"",""พะเยา!J562"")+IMPORTRANGE(""https://docs.google.com/spreadsheets/d/1Y"&amp;"9LPKx95PyL5OKy09d-KbKJSuuEZCFdkhYjwC0XQjBA/edit?usp=share_link"",""พิจิตร!J562"")+IMPORTRANGE(""https://docs.google.com/spreadsheets/d/16OMuOwy2eVqZcYWOouQtTpa8X1L23h4660uVHc0C8os/edit?usp=share_link"",""พิษณุโลก!J562"")+IMPORTRANGE(""https://docs.google."&amp;"com/spreadsheets/d/1GfgTldLG6k77HXaMQzaafODklYuucJZQNs_GAPEfZyY/edit?usp=share_link"",""เพชรบูรณ์!J562"")+IMPORTRANGE(""https://docs.google.com/spreadsheets/d/1gvTMYAnm7v1yG1BKWFtr0DnaTsq59oW9dwWvFgq6hs0/edit?usp=share_link"",""แพร่!J562"")+IMPORTRANGE("""&amp;"https://docs.google.com/spreadsheets/d/1Wbcosgy-Xa1xXUArJSOenub6EfZHUSzc_bpJFWwQUf0/edit?usp=share_link"",""แม่ฮ่องสอน!J562"")+IMPORTRANGE(""https://docs.google.com/spreadsheets/d/1p7ERhsr0qZeSn-KSOdeHS9r0heI-lHtkcn2OH7hP0jQ/edit?usp=share_link"",""ลำปาง!"&amp;"J562"")+IMPORTRANGE(""https://docs.google.com/spreadsheets/d/1-uUXvimVhiU2U0bMN-xi2te0tS4X7DI2GLPnMjzl8cA/edit?usp=share_link"",""ลำพูน!J562"")+IMPORTRANGE(""https://docs.google.com/spreadsheets/d/17HrOaa5pBUI1onckFfumXB8xlg35qb2uBAFfF1D-Myo/edit?usp=shar"&amp;"e_link"",""สุโขทัย!J562"")+IMPORTRANGE(""https://docs.google.com/spreadsheets/d/1ubs5cl16eYL9gHbdHTJtmtYb9MGzHBs7CAphn8kNCgM/edit?usp=share_link"",""อุตรดิตถ์!J562"")+IMPORTRANGE(""https://docs.google.com/spreadsheets/d/1kII0BjS6CtVrBvI8IrytgPdxDrlyQDyigz"&amp;"MsohRtDMs/edit?usp=share_link"",""อุทัยธานี!J562"")
"),6418)</f>
        <v>6418</v>
      </c>
      <c r="K562" s="163"/>
      <c r="L562" s="163"/>
      <c r="M562" s="163"/>
      <c r="N562" s="163"/>
      <c r="O562" s="163"/>
      <c r="P562" s="163"/>
      <c r="Q562" s="541"/>
      <c r="R562" s="541"/>
      <c r="S562" s="541"/>
      <c r="T562" s="541"/>
      <c r="U562" s="541"/>
      <c r="V562" s="541"/>
      <c r="W562" s="541"/>
      <c r="X562" s="541"/>
      <c r="Y562" s="541"/>
      <c r="Z562" s="541"/>
    </row>
    <row r="563" spans="1:26" ht="18.75">
      <c r="A563" s="572"/>
      <c r="B563" s="573"/>
      <c r="C563" s="573"/>
      <c r="D563" s="573"/>
      <c r="E563" s="585"/>
      <c r="F563" s="585"/>
      <c r="G563" s="175"/>
      <c r="H563" s="182" t="s">
        <v>34</v>
      </c>
      <c r="I563" s="162"/>
      <c r="J563" s="183">
        <f ca="1">IFERROR(__xludf.DUMMYFUNCTION("IMPORTRANGE(""https://docs.google.com/spreadsheets/d/1KxicF4apzSqm0-jIpmueT4kyZtE-Cwn5zskl7GD4loQ/edit?usp=share_link"",""กำแพงเพชร!J563"")+IMPORTRANGE(""https://docs.google.com/spreadsheets/d/1ZNYWeiFoFA1K1U4xKWqRX29MBvEyRHXORjo734Gnq_c/edit?usp=share_li"&amp;"nk"",""เชียงราย!J563"")
+IMPORTRANGE(""https://docs.google.com/spreadsheets/d/1Jgv0Y7YlHDtsiDawwp-uvifEJ8HVaSn0k2aGHG8-hwM/edit?usp=share_link"",""เชียงใหม่!J563"")+IMPORTRANGE(""https://docs.google.com/spreadsheets/d/1JWG2rZePOz9pe-f-ObA-yDr0VoOX2kSb0qIi"&amp;"x2mTUo8/edit?usp=share_link"",""ตาก!J563"")+IMPORTRANGE(""https://docs.google.com/spreadsheets/d/10nSRjK08hx8Y6HgSOQKNw81lyY46Zc7U_Cj72hBMp9U/edit?usp=share_link"",""นครสวรรค์!J563"")+IMPORTRANGE(""https://docs.google.com/spreadsheets/d/1gFVb7qd7amutrIxAA"&amp;"oM7lcy35hllxznovot8lyOfvDo/edit?usp=share_link"",""น่าน!J563"")+IMPORTRANGE(""https://docs.google.com/spreadsheets/d/1K0Aa9s-6EuHE5M0FG1F9aHLXRCOV917xvycTdLdct0w/edit?usp=share_link"",""พะเยา!J563"")+IMPORTRANGE(""https://docs.google.com/spreadsheets/d/1Y"&amp;"9LPKx95PyL5OKy09d-KbKJSuuEZCFdkhYjwC0XQjBA/edit?usp=share_link"",""พิจิตร!J563"")+IMPORTRANGE(""https://docs.google.com/spreadsheets/d/16OMuOwy2eVqZcYWOouQtTpa8X1L23h4660uVHc0C8os/edit?usp=share_link"",""พิษณุโลก!J563"")+IMPORTRANGE(""https://docs.google."&amp;"com/spreadsheets/d/1GfgTldLG6k77HXaMQzaafODklYuucJZQNs_GAPEfZyY/edit?usp=share_link"",""เพชรบูรณ์!J563"")+IMPORTRANGE(""https://docs.google.com/spreadsheets/d/1gvTMYAnm7v1yG1BKWFtr0DnaTsq59oW9dwWvFgq6hs0/edit?usp=share_link"",""แพร่!J563"")+IMPORTRANGE("""&amp;"https://docs.google.com/spreadsheets/d/1Wbcosgy-Xa1xXUArJSOenub6EfZHUSzc_bpJFWwQUf0/edit?usp=share_link"",""แม่ฮ่องสอน!J563"")+IMPORTRANGE(""https://docs.google.com/spreadsheets/d/1p7ERhsr0qZeSn-KSOdeHS9r0heI-lHtkcn2OH7hP0jQ/edit?usp=share_link"",""ลำปาง!"&amp;"J563"")+IMPORTRANGE(""https://docs.google.com/spreadsheets/d/1-uUXvimVhiU2U0bMN-xi2te0tS4X7DI2GLPnMjzl8cA/edit?usp=share_link"",""ลำพูน!J563"")+IMPORTRANGE(""https://docs.google.com/spreadsheets/d/17HrOaa5pBUI1onckFfumXB8xlg35qb2uBAFfF1D-Myo/edit?usp=shar"&amp;"e_link"",""สุโขทัย!J563"")+IMPORTRANGE(""https://docs.google.com/spreadsheets/d/1ubs5cl16eYL9gHbdHTJtmtYb9MGzHBs7CAphn8kNCgM/edit?usp=share_link"",""อุตรดิตถ์!J563"")+IMPORTRANGE(""https://docs.google.com/spreadsheets/d/1kII0BjS6CtVrBvI8IrytgPdxDrlyQDyigz"&amp;"MsohRtDMs/edit?usp=share_link"",""อุทัยธานี!J563"")
"),857)</f>
        <v>857</v>
      </c>
      <c r="K563" s="163"/>
      <c r="L563" s="163"/>
      <c r="M563" s="163"/>
      <c r="N563" s="163"/>
      <c r="O563" s="163"/>
      <c r="P563" s="163"/>
      <c r="Q563" s="541"/>
      <c r="R563" s="541"/>
      <c r="S563" s="541"/>
      <c r="T563" s="541"/>
      <c r="U563" s="541"/>
      <c r="V563" s="541"/>
      <c r="W563" s="541"/>
      <c r="X563" s="541"/>
      <c r="Y563" s="541"/>
      <c r="Z563" s="541"/>
    </row>
    <row r="564" spans="1:26" ht="18.75">
      <c r="A564" s="572"/>
      <c r="B564" s="573"/>
      <c r="C564" s="573"/>
      <c r="D564" s="187" t="s">
        <v>237</v>
      </c>
      <c r="E564" s="585"/>
      <c r="F564" s="585"/>
      <c r="G564" s="175"/>
      <c r="H564" s="182" t="s">
        <v>46</v>
      </c>
      <c r="I564" s="162"/>
      <c r="J564" s="183">
        <f ca="1">IFERROR(__xludf.DUMMYFUNCTION("IMPORTRANGE(""https://docs.google.com/spreadsheets/d/1KxicF4apzSqm0-jIpmueT4kyZtE-Cwn5zskl7GD4loQ/edit?usp=share_link"",""กำแพงเพชร!J564"")+IMPORTRANGE(""https://docs.google.com/spreadsheets/d/1ZNYWeiFoFA1K1U4xKWqRX29MBvEyRHXORjo734Gnq_c/edit?usp=share_li"&amp;"nk"",""เชียงราย!J564"")
+IMPORTRANGE(""https://docs.google.com/spreadsheets/d/1Jgv0Y7YlHDtsiDawwp-uvifEJ8HVaSn0k2aGHG8-hwM/edit?usp=share_link"",""เชียงใหม่!J564"")+IMPORTRANGE(""https://docs.google.com/spreadsheets/d/1JWG2rZePOz9pe-f-ObA-yDr0VoOX2kSb0qIi"&amp;"x2mTUo8/edit?usp=share_link"",""ตาก!J564"")+IMPORTRANGE(""https://docs.google.com/spreadsheets/d/10nSRjK08hx8Y6HgSOQKNw81lyY46Zc7U_Cj72hBMp9U/edit?usp=share_link"",""นครสวรรค์!J564"")+IMPORTRANGE(""https://docs.google.com/spreadsheets/d/1gFVb7qd7amutrIxAA"&amp;"oM7lcy35hllxznovot8lyOfvDo/edit?usp=share_link"",""น่าน!J564"")+IMPORTRANGE(""https://docs.google.com/spreadsheets/d/1K0Aa9s-6EuHE5M0FG1F9aHLXRCOV917xvycTdLdct0w/edit?usp=share_link"",""พะเยา!J564"")+IMPORTRANGE(""https://docs.google.com/spreadsheets/d/1Y"&amp;"9LPKx95PyL5OKy09d-KbKJSuuEZCFdkhYjwC0XQjBA/edit?usp=share_link"",""พิจิตร!J564"")+IMPORTRANGE(""https://docs.google.com/spreadsheets/d/16OMuOwy2eVqZcYWOouQtTpa8X1L23h4660uVHc0C8os/edit?usp=share_link"",""พิษณุโลก!J564"")+IMPORTRANGE(""https://docs.google."&amp;"com/spreadsheets/d/1GfgTldLG6k77HXaMQzaafODklYuucJZQNs_GAPEfZyY/edit?usp=share_link"",""เพชรบูรณ์!J564"")+IMPORTRANGE(""https://docs.google.com/spreadsheets/d/1gvTMYAnm7v1yG1BKWFtr0DnaTsq59oW9dwWvFgq6hs0/edit?usp=share_link"",""แพร่!J564"")+IMPORTRANGE("""&amp;"https://docs.google.com/spreadsheets/d/1Wbcosgy-Xa1xXUArJSOenub6EfZHUSzc_bpJFWwQUf0/edit?usp=share_link"",""แม่ฮ่องสอน!J564"")+IMPORTRANGE(""https://docs.google.com/spreadsheets/d/1p7ERhsr0qZeSn-KSOdeHS9r0heI-lHtkcn2OH7hP0jQ/edit?usp=share_link"",""ลำปาง!"&amp;"J564"")+IMPORTRANGE(""https://docs.google.com/spreadsheets/d/1-uUXvimVhiU2U0bMN-xi2te0tS4X7DI2GLPnMjzl8cA/edit?usp=share_link"",""ลำพูน!J564"")+IMPORTRANGE(""https://docs.google.com/spreadsheets/d/17HrOaa5pBUI1onckFfumXB8xlg35qb2uBAFfF1D-Myo/edit?usp=shar"&amp;"e_link"",""สุโขทัย!J564"")+IMPORTRANGE(""https://docs.google.com/spreadsheets/d/1ubs5cl16eYL9gHbdHTJtmtYb9MGzHBs7CAphn8kNCgM/edit?usp=share_link"",""อุตรดิตถ์!J564"")+IMPORTRANGE(""https://docs.google.com/spreadsheets/d/1kII0BjS6CtVrBvI8IrytgPdxDrlyQDyigz"&amp;"MsohRtDMs/edit?usp=share_link"",""อุทัยธานี!J564"")
"),833)</f>
        <v>833</v>
      </c>
      <c r="K564" s="163"/>
      <c r="L564" s="163"/>
      <c r="M564" s="163"/>
      <c r="N564" s="163"/>
      <c r="O564" s="163"/>
      <c r="P564" s="163"/>
      <c r="Q564" s="541"/>
      <c r="R564" s="541"/>
      <c r="S564" s="541"/>
      <c r="T564" s="541"/>
      <c r="U564" s="541"/>
      <c r="V564" s="541"/>
      <c r="W564" s="541"/>
      <c r="X564" s="541"/>
      <c r="Y564" s="541"/>
      <c r="Z564" s="541"/>
    </row>
    <row r="565" spans="1:26" ht="18.75">
      <c r="A565" s="572"/>
      <c r="B565" s="573"/>
      <c r="C565" s="573"/>
      <c r="D565" s="585"/>
      <c r="E565" s="585"/>
      <c r="F565" s="585"/>
      <c r="G565" s="175"/>
      <c r="H565" s="182" t="s">
        <v>34</v>
      </c>
      <c r="I565" s="162"/>
      <c r="J565" s="183">
        <f ca="1">IFERROR(__xludf.DUMMYFUNCTION("IMPORTRANGE(""https://docs.google.com/spreadsheets/d/1KxicF4apzSqm0-jIpmueT4kyZtE-Cwn5zskl7GD4loQ/edit?usp=share_link"",""กำแพงเพชร!J565"")+IMPORTRANGE(""https://docs.google.com/spreadsheets/d/1ZNYWeiFoFA1K1U4xKWqRX29MBvEyRHXORjo734Gnq_c/edit?usp=share_li"&amp;"nk"",""เชียงราย!J565"")
+IMPORTRANGE(""https://docs.google.com/spreadsheets/d/1Jgv0Y7YlHDtsiDawwp-uvifEJ8HVaSn0k2aGHG8-hwM/edit?usp=share_link"",""เชียงใหม่!J565"")+IMPORTRANGE(""https://docs.google.com/spreadsheets/d/1JWG2rZePOz9pe-f-ObA-yDr0VoOX2kSb0qIi"&amp;"x2mTUo8/edit?usp=share_link"",""ตาก!J565"")+IMPORTRANGE(""https://docs.google.com/spreadsheets/d/10nSRjK08hx8Y6HgSOQKNw81lyY46Zc7U_Cj72hBMp9U/edit?usp=share_link"",""นครสวรรค์!J565"")+IMPORTRANGE(""https://docs.google.com/spreadsheets/d/1gFVb7qd7amutrIxAA"&amp;"oM7lcy35hllxznovot8lyOfvDo/edit?usp=share_link"",""น่าน!J565"")+IMPORTRANGE(""https://docs.google.com/spreadsheets/d/1K0Aa9s-6EuHE5M0FG1F9aHLXRCOV917xvycTdLdct0w/edit?usp=share_link"",""พะเยา!J565"")+IMPORTRANGE(""https://docs.google.com/spreadsheets/d/1Y"&amp;"9LPKx95PyL5OKy09d-KbKJSuuEZCFdkhYjwC0XQjBA/edit?usp=share_link"",""พิจิตร!J565"")+IMPORTRANGE(""https://docs.google.com/spreadsheets/d/16OMuOwy2eVqZcYWOouQtTpa8X1L23h4660uVHc0C8os/edit?usp=share_link"",""พิษณุโลก!J565"")+IMPORTRANGE(""https://docs.google."&amp;"com/spreadsheets/d/1GfgTldLG6k77HXaMQzaafODklYuucJZQNs_GAPEfZyY/edit?usp=share_link"",""เพชรบูรณ์!J565"")+IMPORTRANGE(""https://docs.google.com/spreadsheets/d/1gvTMYAnm7v1yG1BKWFtr0DnaTsq59oW9dwWvFgq6hs0/edit?usp=share_link"",""แพร่!J565"")+IMPORTRANGE("""&amp;"https://docs.google.com/spreadsheets/d/1Wbcosgy-Xa1xXUArJSOenub6EfZHUSzc_bpJFWwQUf0/edit?usp=share_link"",""แม่ฮ่องสอน!J565"")+IMPORTRANGE(""https://docs.google.com/spreadsheets/d/1p7ERhsr0qZeSn-KSOdeHS9r0heI-lHtkcn2OH7hP0jQ/edit?usp=share_link"",""ลำปาง!"&amp;"J565"")+IMPORTRANGE(""https://docs.google.com/spreadsheets/d/1-uUXvimVhiU2U0bMN-xi2te0tS4X7DI2GLPnMjzl8cA/edit?usp=share_link"",""ลำพูน!J565"")+IMPORTRANGE(""https://docs.google.com/spreadsheets/d/17HrOaa5pBUI1onckFfumXB8xlg35qb2uBAFfF1D-Myo/edit?usp=shar"&amp;"e_link"",""สุโขทัย!J565"")+IMPORTRANGE(""https://docs.google.com/spreadsheets/d/1ubs5cl16eYL9gHbdHTJtmtYb9MGzHBs7CAphn8kNCgM/edit?usp=share_link"",""อุตรดิตถ์!J565"")+IMPORTRANGE(""https://docs.google.com/spreadsheets/d/1kII0BjS6CtVrBvI8IrytgPdxDrlyQDyigz"&amp;"MsohRtDMs/edit?usp=share_link"",""อุทัยธานี!J565"")
"),57)</f>
        <v>57</v>
      </c>
      <c r="K565" s="163"/>
      <c r="L565" s="163"/>
      <c r="M565" s="163"/>
      <c r="N565" s="163"/>
      <c r="O565" s="163"/>
      <c r="P565" s="163"/>
      <c r="Q565" s="541"/>
      <c r="R565" s="541"/>
      <c r="S565" s="541"/>
      <c r="T565" s="541"/>
      <c r="U565" s="541"/>
      <c r="V565" s="541"/>
      <c r="W565" s="541"/>
      <c r="X565" s="541"/>
      <c r="Y565" s="541"/>
      <c r="Z565" s="541"/>
    </row>
    <row r="566" spans="1:26" ht="18.75">
      <c r="A566" s="572"/>
      <c r="B566" s="573"/>
      <c r="C566" s="573"/>
      <c r="D566" s="187" t="s">
        <v>238</v>
      </c>
      <c r="E566" s="585"/>
      <c r="F566" s="585"/>
      <c r="G566" s="175"/>
      <c r="H566" s="182" t="s">
        <v>46</v>
      </c>
      <c r="I566" s="162"/>
      <c r="J566" s="183">
        <f ca="1">IFERROR(__xludf.DUMMYFUNCTION("IMPORTRANGE(""https://docs.google.com/spreadsheets/d/1KxicF4apzSqm0-jIpmueT4kyZtE-Cwn5zskl7GD4loQ/edit?usp=share_link"",""กำแพงเพชร!J566"")+IMPORTRANGE(""https://docs.google.com/spreadsheets/d/1ZNYWeiFoFA1K1U4xKWqRX29MBvEyRHXORjo734Gnq_c/edit?usp=share_li"&amp;"nk"",""เชียงราย!J566"")
+IMPORTRANGE(""https://docs.google.com/spreadsheets/d/1Jgv0Y7YlHDtsiDawwp-uvifEJ8HVaSn0k2aGHG8-hwM/edit?usp=share_link"",""เชียงใหม่!J566"")+IMPORTRANGE(""https://docs.google.com/spreadsheets/d/1JWG2rZePOz9pe-f-ObA-yDr0VoOX2kSb0qIi"&amp;"x2mTUo8/edit?usp=share_link"",""ตาก!J566"")+IMPORTRANGE(""https://docs.google.com/spreadsheets/d/10nSRjK08hx8Y6HgSOQKNw81lyY46Zc7U_Cj72hBMp9U/edit?usp=share_link"",""นครสวรรค์!J566"")+IMPORTRANGE(""https://docs.google.com/spreadsheets/d/1gFVb7qd7amutrIxAA"&amp;"oM7lcy35hllxznovot8lyOfvDo/edit?usp=share_link"",""น่าน!J566"")+IMPORTRANGE(""https://docs.google.com/spreadsheets/d/1K0Aa9s-6EuHE5M0FG1F9aHLXRCOV917xvycTdLdct0w/edit?usp=share_link"",""พะเยา!J566"")+IMPORTRANGE(""https://docs.google.com/spreadsheets/d/1Y"&amp;"9LPKx95PyL5OKy09d-KbKJSuuEZCFdkhYjwC0XQjBA/edit?usp=share_link"",""พิจิตร!J566"")+IMPORTRANGE(""https://docs.google.com/spreadsheets/d/16OMuOwy2eVqZcYWOouQtTpa8X1L23h4660uVHc0C8os/edit?usp=share_link"",""พิษณุโลก!J566"")+IMPORTRANGE(""https://docs.google."&amp;"com/spreadsheets/d/1GfgTldLG6k77HXaMQzaafODklYuucJZQNs_GAPEfZyY/edit?usp=share_link"",""เพชรบูรณ์!J566"")+IMPORTRANGE(""https://docs.google.com/spreadsheets/d/1gvTMYAnm7v1yG1BKWFtr0DnaTsq59oW9dwWvFgq6hs0/edit?usp=share_link"",""แพร่!J566"")+IMPORTRANGE("""&amp;"https://docs.google.com/spreadsheets/d/1Wbcosgy-Xa1xXUArJSOenub6EfZHUSzc_bpJFWwQUf0/edit?usp=share_link"",""แม่ฮ่องสอน!J566"")+IMPORTRANGE(""https://docs.google.com/spreadsheets/d/1p7ERhsr0qZeSn-KSOdeHS9r0heI-lHtkcn2OH7hP0jQ/edit?usp=share_link"",""ลำปาง!"&amp;"J566"")+IMPORTRANGE(""https://docs.google.com/spreadsheets/d/1-uUXvimVhiU2U0bMN-xi2te0tS4X7DI2GLPnMjzl8cA/edit?usp=share_link"",""ลำพูน!J566"")+IMPORTRANGE(""https://docs.google.com/spreadsheets/d/17HrOaa5pBUI1onckFfumXB8xlg35qb2uBAFfF1D-Myo/edit?usp=shar"&amp;"e_link"",""สุโขทัย!J566"")+IMPORTRANGE(""https://docs.google.com/spreadsheets/d/1ubs5cl16eYL9gHbdHTJtmtYb9MGzHBs7CAphn8kNCgM/edit?usp=share_link"",""อุตรดิตถ์!J566"")+IMPORTRANGE(""https://docs.google.com/spreadsheets/d/1kII0BjS6CtVrBvI8IrytgPdxDrlyQDyigz"&amp;"MsohRtDMs/edit?usp=share_link"",""อุทัยธานี!J566"")
"),223)</f>
        <v>223</v>
      </c>
      <c r="K566" s="163"/>
      <c r="L566" s="163"/>
      <c r="M566" s="163"/>
      <c r="N566" s="163"/>
      <c r="O566" s="163"/>
      <c r="P566" s="163"/>
      <c r="Q566" s="541"/>
      <c r="R566" s="541"/>
      <c r="S566" s="541"/>
      <c r="T566" s="541"/>
      <c r="U566" s="541"/>
      <c r="V566" s="541"/>
      <c r="W566" s="541"/>
      <c r="X566" s="541"/>
      <c r="Y566" s="541"/>
      <c r="Z566" s="541"/>
    </row>
    <row r="567" spans="1:26" ht="18.75">
      <c r="A567" s="572"/>
      <c r="B567" s="573"/>
      <c r="C567" s="573"/>
      <c r="D567" s="585"/>
      <c r="E567" s="585"/>
      <c r="F567" s="585"/>
      <c r="G567" s="175"/>
      <c r="H567" s="182" t="s">
        <v>34</v>
      </c>
      <c r="I567" s="162"/>
      <c r="J567" s="183">
        <f ca="1">IFERROR(__xludf.DUMMYFUNCTION("IMPORTRANGE(""https://docs.google.com/spreadsheets/d/1KxicF4apzSqm0-jIpmueT4kyZtE-Cwn5zskl7GD4loQ/edit?usp=share_link"",""กำแพงเพชร!J567"")+IMPORTRANGE(""https://docs.google.com/spreadsheets/d/1ZNYWeiFoFA1K1U4xKWqRX29MBvEyRHXORjo734Gnq_c/edit?usp=share_li"&amp;"nk"",""เชียงราย!J567"")
+IMPORTRANGE(""https://docs.google.com/spreadsheets/d/1Jgv0Y7YlHDtsiDawwp-uvifEJ8HVaSn0k2aGHG8-hwM/edit?usp=share_link"",""เชียงใหม่!J567"")+IMPORTRANGE(""https://docs.google.com/spreadsheets/d/1JWG2rZePOz9pe-f-ObA-yDr0VoOX2kSb0qIi"&amp;"x2mTUo8/edit?usp=share_link"",""ตาก!J567"")+IMPORTRANGE(""https://docs.google.com/spreadsheets/d/10nSRjK08hx8Y6HgSOQKNw81lyY46Zc7U_Cj72hBMp9U/edit?usp=share_link"",""นครสวรรค์!J567"")+IMPORTRANGE(""https://docs.google.com/spreadsheets/d/1gFVb7qd7amutrIxAA"&amp;"oM7lcy35hllxznovot8lyOfvDo/edit?usp=share_link"",""น่าน!J567"")+IMPORTRANGE(""https://docs.google.com/spreadsheets/d/1K0Aa9s-6EuHE5M0FG1F9aHLXRCOV917xvycTdLdct0w/edit?usp=share_link"",""พะเยา!J567"")+IMPORTRANGE(""https://docs.google.com/spreadsheets/d/1Y"&amp;"9LPKx95PyL5OKy09d-KbKJSuuEZCFdkhYjwC0XQjBA/edit?usp=share_link"",""พิจิตร!J567"")+IMPORTRANGE(""https://docs.google.com/spreadsheets/d/16OMuOwy2eVqZcYWOouQtTpa8X1L23h4660uVHc0C8os/edit?usp=share_link"",""พิษณุโลก!J567"")+IMPORTRANGE(""https://docs.google."&amp;"com/spreadsheets/d/1GfgTldLG6k77HXaMQzaafODklYuucJZQNs_GAPEfZyY/edit?usp=share_link"",""เพชรบูรณ์!J567"")+IMPORTRANGE(""https://docs.google.com/spreadsheets/d/1gvTMYAnm7v1yG1BKWFtr0DnaTsq59oW9dwWvFgq6hs0/edit?usp=share_link"",""แพร่!J567"")+IMPORTRANGE("""&amp;"https://docs.google.com/spreadsheets/d/1Wbcosgy-Xa1xXUArJSOenub6EfZHUSzc_bpJFWwQUf0/edit?usp=share_link"",""แม่ฮ่องสอน!J567"")+IMPORTRANGE(""https://docs.google.com/spreadsheets/d/1p7ERhsr0qZeSn-KSOdeHS9r0heI-lHtkcn2OH7hP0jQ/edit?usp=share_link"",""ลำปาง!"&amp;"J567"")+IMPORTRANGE(""https://docs.google.com/spreadsheets/d/1-uUXvimVhiU2U0bMN-xi2te0tS4X7DI2GLPnMjzl8cA/edit?usp=share_link"",""ลำพูน!J567"")+IMPORTRANGE(""https://docs.google.com/spreadsheets/d/17HrOaa5pBUI1onckFfumXB8xlg35qb2uBAFfF1D-Myo/edit?usp=shar"&amp;"e_link"",""สุโขทัย!J567"")+IMPORTRANGE(""https://docs.google.com/spreadsheets/d/1ubs5cl16eYL9gHbdHTJtmtYb9MGzHBs7CAphn8kNCgM/edit?usp=share_link"",""อุตรดิตถ์!J567"")+IMPORTRANGE(""https://docs.google.com/spreadsheets/d/1kII0BjS6CtVrBvI8IrytgPdxDrlyQDyigz"&amp;"MsohRtDMs/edit?usp=share_link"",""อุทัยธานี!J567"")
"),18)</f>
        <v>18</v>
      </c>
      <c r="K567" s="163"/>
      <c r="L567" s="163"/>
      <c r="M567" s="163"/>
      <c r="N567" s="163"/>
      <c r="O567" s="163"/>
      <c r="P567" s="163"/>
      <c r="Q567" s="541"/>
      <c r="R567" s="541"/>
      <c r="S567" s="541"/>
      <c r="T567" s="541"/>
      <c r="U567" s="541"/>
      <c r="V567" s="541"/>
      <c r="W567" s="541"/>
      <c r="X567" s="541"/>
      <c r="Y567" s="541"/>
      <c r="Z567" s="541"/>
    </row>
    <row r="568" spans="1:26" ht="19.5">
      <c r="A568" s="572"/>
      <c r="B568" s="573"/>
      <c r="C568" s="588" t="s">
        <v>239</v>
      </c>
      <c r="D568" s="585"/>
      <c r="E568" s="585"/>
      <c r="F568" s="585"/>
      <c r="G568" s="175"/>
      <c r="H568" s="192" t="s">
        <v>46</v>
      </c>
      <c r="I568" s="193">
        <f ca="1">IFERROR(__xludf.DUMMYFUNCTION("IMPORTRANGE(""https://docs.google.com/spreadsheets/d/1KxicF4apzSqm0-jIpmueT4kyZtE-Cwn5zskl7GD4loQ/edit?usp=share_link"",""กำแพงเพชร!I568"")+IMPORTRANGE(""https://docs.google.com/spreadsheets/d/1ZNYWeiFoFA1K1U4xKWqRX29MBvEyRHXORjo734Gnq_c/edit?usp=share_li"&amp;"nk"",""เชียงราย!I568"")
+IMPORTRANGE(""https://docs.google.com/spreadsheets/d/1Jgv0Y7YlHDtsiDawwp-uvifEJ8HVaSn0k2aGHG8-hwM/edit?usp=share_link"",""เชียงใหม่!I568"")+IMPORTRANGE(""https://docs.google.com/spreadsheets/d/1JWG2rZePOz9pe-f-ObA-yDr0VoOX2kSb0qIi"&amp;"x2mTUo8/edit?usp=share_link"",""ตาก!I568"")+IMPORTRANGE(""https://docs.google.com/spreadsheets/d/10nSRjK08hx8Y6HgSOQKNw81lyY46Zc7U_Cj72hBMp9U/edit?usp=share_link"",""นครสวรรค์!I568"")+IMPORTRANGE(""https://docs.google.com/spreadsheets/d/1gFVb7qd7amutrIxAA"&amp;"oM7lcy35hllxznovot8lyOfvDo/edit?usp=share_link"",""น่าน!I568"")+IMPORTRANGE(""https://docs.google.com/spreadsheets/d/1K0Aa9s-6EuHE5M0FG1F9aHLXRCOV917xvycTdLdct0w/edit?usp=share_link"",""พะเยา!I568"")+IMPORTRANGE(""https://docs.google.com/spreadsheets/d/1Y"&amp;"9LPKx95PyL5OKy09d-KbKJSuuEZCFdkhYjwC0XQjBA/edit?usp=share_link"",""พิจิตร!I568"")+IMPORTRANGE(""https://docs.google.com/spreadsheets/d/16OMuOwy2eVqZcYWOouQtTpa8X1L23h4660uVHc0C8os/edit?usp=share_link"",""พิษณุโลก!I568"")+IMPORTRANGE(""https://docs.google."&amp;"com/spreadsheets/d/1GfgTldLG6k77HXaMQzaafODklYuucJZQNs_GAPEfZyY/edit?usp=share_link"",""เพชรบูรณ์!I568"")+IMPORTRANGE(""https://docs.google.com/spreadsheets/d/1gvTMYAnm7v1yG1BKWFtr0DnaTsq59oW9dwWvFgq6hs0/edit?usp=share_link"",""แพร่!I568"")+IMPORTRANGE("""&amp;"https://docs.google.com/spreadsheets/d/1Wbcosgy-Xa1xXUArJSOenub6EfZHUSzc_bpJFWwQUf0/edit?usp=share_link"",""แม่ฮ่องสอน!I568"")+IMPORTRANGE(""https://docs.google.com/spreadsheets/d/1p7ERhsr0qZeSn-KSOdeHS9r0heI-lHtkcn2OH7hP0jQ/edit?usp=share_link"",""ลำปาง!"&amp;"I568"")+IMPORTRANGE(""https://docs.google.com/spreadsheets/d/1-uUXvimVhiU2U0bMN-xi2te0tS4X7DI2GLPnMjzl8cA/edit?usp=share_link"",""ลำพูน!I568"")+IMPORTRANGE(""https://docs.google.com/spreadsheets/d/17HrOaa5pBUI1onckFfumXB8xlg35qb2uBAFfF1D-Myo/edit?usp=shar"&amp;"e_link"",""สุโขทัย!I568"")+IMPORTRANGE(""https://docs.google.com/spreadsheets/d/1ubs5cl16eYL9gHbdHTJtmtYb9MGzHBs7CAphn8kNCgM/edit?usp=share_link"",""อุตรดิตถ์!I568"")+IMPORTRANGE(""https://docs.google.com/spreadsheets/d/1kII0BjS6CtVrBvI8IrytgPdxDrlyQDyigz"&amp;"MsohRtDMs/edit?usp=share_link"",""อุทัยธานี!I568"")
"),789391)</f>
        <v>789391</v>
      </c>
      <c r="J568" s="194">
        <f t="shared" ref="J568:J569" ca="1" si="286">J570+J572+J574</f>
        <v>0</v>
      </c>
      <c r="K568" s="379">
        <f t="shared" ref="K568:K569" ca="1" si="287">IF(I568&gt;0,J568*100/I568,0)</f>
        <v>0</v>
      </c>
      <c r="L568" s="163"/>
      <c r="M568" s="163"/>
      <c r="N568" s="163"/>
      <c r="O568" s="163"/>
      <c r="P568" s="163"/>
      <c r="Q568" s="541"/>
      <c r="R568" s="541"/>
      <c r="S568" s="541"/>
      <c r="T568" s="541"/>
      <c r="U568" s="541"/>
      <c r="V568" s="541"/>
      <c r="W568" s="541"/>
      <c r="X568" s="541"/>
      <c r="Y568" s="541"/>
      <c r="Z568" s="541"/>
    </row>
    <row r="569" spans="1:26" ht="19.5">
      <c r="A569" s="572"/>
      <c r="B569" s="573"/>
      <c r="C569" s="573"/>
      <c r="D569" s="573"/>
      <c r="E569" s="585"/>
      <c r="F569" s="585"/>
      <c r="G569" s="175"/>
      <c r="H569" s="192" t="s">
        <v>34</v>
      </c>
      <c r="I569" s="193">
        <f ca="1">IFERROR(__xludf.DUMMYFUNCTION("IMPORTRANGE(""https://docs.google.com/spreadsheets/d/1KxicF4apzSqm0-jIpmueT4kyZtE-Cwn5zskl7GD4loQ/edit?usp=share_link"",""กำแพงเพชร!I569"")+IMPORTRANGE(""https://docs.google.com/spreadsheets/d/1ZNYWeiFoFA1K1U4xKWqRX29MBvEyRHXORjo734Gnq_c/edit?usp=share_li"&amp;"nk"",""เชียงราย!I569"")
+IMPORTRANGE(""https://docs.google.com/spreadsheets/d/1Jgv0Y7YlHDtsiDawwp-uvifEJ8HVaSn0k2aGHG8-hwM/edit?usp=share_link"",""เชียงใหม่!I569"")+IMPORTRANGE(""https://docs.google.com/spreadsheets/d/1JWG2rZePOz9pe-f-ObA-yDr0VoOX2kSb0qIi"&amp;"x2mTUo8/edit?usp=share_link"",""ตาก!I569"")+IMPORTRANGE(""https://docs.google.com/spreadsheets/d/10nSRjK08hx8Y6HgSOQKNw81lyY46Zc7U_Cj72hBMp9U/edit?usp=share_link"",""นครสวรรค์!I569"")+IMPORTRANGE(""https://docs.google.com/spreadsheets/d/1gFVb7qd7amutrIxAA"&amp;"oM7lcy35hllxznovot8lyOfvDo/edit?usp=share_link"",""น่าน!I569"")+IMPORTRANGE(""https://docs.google.com/spreadsheets/d/1K0Aa9s-6EuHE5M0FG1F9aHLXRCOV917xvycTdLdct0w/edit?usp=share_link"",""พะเยา!I569"")+IMPORTRANGE(""https://docs.google.com/spreadsheets/d/1Y"&amp;"9LPKx95PyL5OKy09d-KbKJSuuEZCFdkhYjwC0XQjBA/edit?usp=share_link"",""พิจิตร!I569"")+IMPORTRANGE(""https://docs.google.com/spreadsheets/d/16OMuOwy2eVqZcYWOouQtTpa8X1L23h4660uVHc0C8os/edit?usp=share_link"",""พิษณุโลก!I569"")+IMPORTRANGE(""https://docs.google."&amp;"com/spreadsheets/d/1GfgTldLG6k77HXaMQzaafODklYuucJZQNs_GAPEfZyY/edit?usp=share_link"",""เพชรบูรณ์!I569"")+IMPORTRANGE(""https://docs.google.com/spreadsheets/d/1gvTMYAnm7v1yG1BKWFtr0DnaTsq59oW9dwWvFgq6hs0/edit?usp=share_link"",""แพร่!I569"")+IMPORTRANGE("""&amp;"https://docs.google.com/spreadsheets/d/1Wbcosgy-Xa1xXUArJSOenub6EfZHUSzc_bpJFWwQUf0/edit?usp=share_link"",""แม่ฮ่องสอน!I569"")+IMPORTRANGE(""https://docs.google.com/spreadsheets/d/1p7ERhsr0qZeSn-KSOdeHS9r0heI-lHtkcn2OH7hP0jQ/edit?usp=share_link"",""ลำปาง!"&amp;"I569"")+IMPORTRANGE(""https://docs.google.com/spreadsheets/d/1-uUXvimVhiU2U0bMN-xi2te0tS4X7DI2GLPnMjzl8cA/edit?usp=share_link"",""ลำพูน!I569"")+IMPORTRANGE(""https://docs.google.com/spreadsheets/d/17HrOaa5pBUI1onckFfumXB8xlg35qb2uBAFfF1D-Myo/edit?usp=shar"&amp;"e_link"",""สุโขทัย!I569"")+IMPORTRANGE(""https://docs.google.com/spreadsheets/d/1ubs5cl16eYL9gHbdHTJtmtYb9MGzHBs7CAphn8kNCgM/edit?usp=share_link"",""อุตรดิตถ์!I569"")+IMPORTRANGE(""https://docs.google.com/spreadsheets/d/1kII0BjS6CtVrBvI8IrytgPdxDrlyQDyigz"&amp;"MsohRtDMs/edit?usp=share_link"",""อุทัยธานี!I569"")
"),94109)</f>
        <v>94109</v>
      </c>
      <c r="J569" s="194">
        <f t="shared" ca="1" si="286"/>
        <v>0</v>
      </c>
      <c r="K569" s="379">
        <f t="shared" ca="1" si="287"/>
        <v>0</v>
      </c>
      <c r="L569" s="163"/>
      <c r="M569" s="163"/>
      <c r="N569" s="163"/>
      <c r="O569" s="163"/>
      <c r="P569" s="163"/>
      <c r="Q569" s="541"/>
      <c r="R569" s="541"/>
      <c r="S569" s="541"/>
      <c r="T569" s="541"/>
      <c r="U569" s="541"/>
      <c r="V569" s="541"/>
      <c r="W569" s="541"/>
      <c r="X569" s="541"/>
      <c r="Y569" s="541"/>
      <c r="Z569" s="541"/>
    </row>
    <row r="570" spans="1:26" ht="18.75">
      <c r="A570" s="572"/>
      <c r="B570" s="573"/>
      <c r="C570" s="573"/>
      <c r="D570" s="187" t="s">
        <v>240</v>
      </c>
      <c r="E570" s="573"/>
      <c r="F570" s="585"/>
      <c r="G570" s="175"/>
      <c r="H570" s="182" t="s">
        <v>46</v>
      </c>
      <c r="I570" s="162"/>
      <c r="J570" s="183">
        <f ca="1">IFERROR(__xludf.DUMMYFUNCTION("IMPORTRANGE(""https://docs.google.com/spreadsheets/d/1KxicF4apzSqm0-jIpmueT4kyZtE-Cwn5zskl7GD4loQ/edit?usp=share_link"",""กำแพงเพชร!J570"")+IMPORTRANGE(""https://docs.google.com/spreadsheets/d/1ZNYWeiFoFA1K1U4xKWqRX29MBvEyRHXORjo734Gnq_c/edit?usp=share_li"&amp;"nk"",""เชียงราย!J570"")
+IMPORTRANGE(""https://docs.google.com/spreadsheets/d/1Jgv0Y7YlHDtsiDawwp-uvifEJ8HVaSn0k2aGHG8-hwM/edit?usp=share_link"",""เชียงใหม่!J570"")+IMPORTRANGE(""https://docs.google.com/spreadsheets/d/1JWG2rZePOz9pe-f-ObA-yDr0VoOX2kSb0qIi"&amp;"x2mTUo8/edit?usp=share_link"",""ตาก!J570"")+IMPORTRANGE(""https://docs.google.com/spreadsheets/d/10nSRjK08hx8Y6HgSOQKNw81lyY46Zc7U_Cj72hBMp9U/edit?usp=share_link"",""นครสวรรค์!J570"")+IMPORTRANGE(""https://docs.google.com/spreadsheets/d/1gFVb7qd7amutrIxAA"&amp;"oM7lcy35hllxznovot8lyOfvDo/edit?usp=share_link"",""น่าน!J570"")+IMPORTRANGE(""https://docs.google.com/spreadsheets/d/1K0Aa9s-6EuHE5M0FG1F9aHLXRCOV917xvycTdLdct0w/edit?usp=share_link"",""พะเยา!J570"")+IMPORTRANGE(""https://docs.google.com/spreadsheets/d/1Y"&amp;"9LPKx95PyL5OKy09d-KbKJSuuEZCFdkhYjwC0XQjBA/edit?usp=share_link"",""พิจิตร!J570"")+IMPORTRANGE(""https://docs.google.com/spreadsheets/d/16OMuOwy2eVqZcYWOouQtTpa8X1L23h4660uVHc0C8os/edit?usp=share_link"",""พิษณุโลก!J570"")+IMPORTRANGE(""https://docs.google."&amp;"com/spreadsheets/d/1GfgTldLG6k77HXaMQzaafODklYuucJZQNs_GAPEfZyY/edit?usp=share_link"",""เพชรบูรณ์!J570"")+IMPORTRANGE(""https://docs.google.com/spreadsheets/d/1gvTMYAnm7v1yG1BKWFtr0DnaTsq59oW9dwWvFgq6hs0/edit?usp=share_link"",""แพร่!J570"")+IMPORTRANGE("""&amp;"https://docs.google.com/spreadsheets/d/1Wbcosgy-Xa1xXUArJSOenub6EfZHUSzc_bpJFWwQUf0/edit?usp=share_link"",""แม่ฮ่องสอน!J570"")+IMPORTRANGE(""https://docs.google.com/spreadsheets/d/1p7ERhsr0qZeSn-KSOdeHS9r0heI-lHtkcn2OH7hP0jQ/edit?usp=share_link"",""ลำปาง!"&amp;"J570"")+IMPORTRANGE(""https://docs.google.com/spreadsheets/d/1-uUXvimVhiU2U0bMN-xi2te0tS4X7DI2GLPnMjzl8cA/edit?usp=share_link"",""ลำพูน!J570"")+IMPORTRANGE(""https://docs.google.com/spreadsheets/d/17HrOaa5pBUI1onckFfumXB8xlg35qb2uBAFfF1D-Myo/edit?usp=shar"&amp;"e_link"",""สุโขทัย!J570"")+IMPORTRANGE(""https://docs.google.com/spreadsheets/d/1ubs5cl16eYL9gHbdHTJtmtYb9MGzHBs7CAphn8kNCgM/edit?usp=share_link"",""อุตรดิตถ์!J570"")+IMPORTRANGE(""https://docs.google.com/spreadsheets/d/1kII0BjS6CtVrBvI8IrytgPdxDrlyQDyigz"&amp;"MsohRtDMs/edit?usp=share_link"",""อุทัยธานี!J570"")
"),0)</f>
        <v>0</v>
      </c>
      <c r="K570" s="163"/>
      <c r="L570" s="163"/>
      <c r="M570" s="163"/>
      <c r="N570" s="163"/>
      <c r="O570" s="163"/>
      <c r="P570" s="163"/>
      <c r="Q570" s="541"/>
      <c r="R570" s="541"/>
      <c r="S570" s="541"/>
      <c r="T570" s="541"/>
      <c r="U570" s="541"/>
      <c r="V570" s="541"/>
      <c r="W570" s="541"/>
      <c r="X570" s="541"/>
      <c r="Y570" s="541"/>
      <c r="Z570" s="541"/>
    </row>
    <row r="571" spans="1:26" ht="18.75">
      <c r="A571" s="572"/>
      <c r="B571" s="573"/>
      <c r="C571" s="573"/>
      <c r="D571" s="573"/>
      <c r="E571" s="585"/>
      <c r="F571" s="585"/>
      <c r="G571" s="175"/>
      <c r="H571" s="182" t="s">
        <v>34</v>
      </c>
      <c r="I571" s="162"/>
      <c r="J571" s="183">
        <f ca="1">IFERROR(__xludf.DUMMYFUNCTION("IMPORTRANGE(""https://docs.google.com/spreadsheets/d/1KxicF4apzSqm0-jIpmueT4kyZtE-Cwn5zskl7GD4loQ/edit?usp=share_link"",""กำแพงเพชร!J571"")+IMPORTRANGE(""https://docs.google.com/spreadsheets/d/1ZNYWeiFoFA1K1U4xKWqRX29MBvEyRHXORjo734Gnq_c/edit?usp=share_li"&amp;"nk"",""เชียงราย!J571"")
+IMPORTRANGE(""https://docs.google.com/spreadsheets/d/1Jgv0Y7YlHDtsiDawwp-uvifEJ8HVaSn0k2aGHG8-hwM/edit?usp=share_link"",""เชียงใหม่!J571"")+IMPORTRANGE(""https://docs.google.com/spreadsheets/d/1JWG2rZePOz9pe-f-ObA-yDr0VoOX2kSb0qIi"&amp;"x2mTUo8/edit?usp=share_link"",""ตาก!J571"")+IMPORTRANGE(""https://docs.google.com/spreadsheets/d/10nSRjK08hx8Y6HgSOQKNw81lyY46Zc7U_Cj72hBMp9U/edit?usp=share_link"",""นครสวรรค์!J571"")+IMPORTRANGE(""https://docs.google.com/spreadsheets/d/1gFVb7qd7amutrIxAA"&amp;"oM7lcy35hllxznovot8lyOfvDo/edit?usp=share_link"",""น่าน!J571"")+IMPORTRANGE(""https://docs.google.com/spreadsheets/d/1K0Aa9s-6EuHE5M0FG1F9aHLXRCOV917xvycTdLdct0w/edit?usp=share_link"",""พะเยา!J571"")+IMPORTRANGE(""https://docs.google.com/spreadsheets/d/1Y"&amp;"9LPKx95PyL5OKy09d-KbKJSuuEZCFdkhYjwC0XQjBA/edit?usp=share_link"",""พิจิตร!J571"")+IMPORTRANGE(""https://docs.google.com/spreadsheets/d/16OMuOwy2eVqZcYWOouQtTpa8X1L23h4660uVHc0C8os/edit?usp=share_link"",""พิษณุโลก!J571"")+IMPORTRANGE(""https://docs.google."&amp;"com/spreadsheets/d/1GfgTldLG6k77HXaMQzaafODklYuucJZQNs_GAPEfZyY/edit?usp=share_link"",""เพชรบูรณ์!J571"")+IMPORTRANGE(""https://docs.google.com/spreadsheets/d/1gvTMYAnm7v1yG1BKWFtr0DnaTsq59oW9dwWvFgq6hs0/edit?usp=share_link"",""แพร่!J571"")+IMPORTRANGE("""&amp;"https://docs.google.com/spreadsheets/d/1Wbcosgy-Xa1xXUArJSOenub6EfZHUSzc_bpJFWwQUf0/edit?usp=share_link"",""แม่ฮ่องสอน!J571"")+IMPORTRANGE(""https://docs.google.com/spreadsheets/d/1p7ERhsr0qZeSn-KSOdeHS9r0heI-lHtkcn2OH7hP0jQ/edit?usp=share_link"",""ลำปาง!"&amp;"J571"")+IMPORTRANGE(""https://docs.google.com/spreadsheets/d/1-uUXvimVhiU2U0bMN-xi2te0tS4X7DI2GLPnMjzl8cA/edit?usp=share_link"",""ลำพูน!J571"")+IMPORTRANGE(""https://docs.google.com/spreadsheets/d/17HrOaa5pBUI1onckFfumXB8xlg35qb2uBAFfF1D-Myo/edit?usp=shar"&amp;"e_link"",""สุโขทัย!J571"")+IMPORTRANGE(""https://docs.google.com/spreadsheets/d/1ubs5cl16eYL9gHbdHTJtmtYb9MGzHBs7CAphn8kNCgM/edit?usp=share_link"",""อุตรดิตถ์!J571"")+IMPORTRANGE(""https://docs.google.com/spreadsheets/d/1kII0BjS6CtVrBvI8IrytgPdxDrlyQDyigz"&amp;"MsohRtDMs/edit?usp=share_link"",""อุทัยธานี!J571"")
"),0)</f>
        <v>0</v>
      </c>
      <c r="K571" s="163"/>
      <c r="L571" s="163"/>
      <c r="M571" s="163"/>
      <c r="N571" s="163"/>
      <c r="O571" s="163"/>
      <c r="P571" s="163"/>
      <c r="Q571" s="541"/>
      <c r="R571" s="541"/>
      <c r="S571" s="541"/>
      <c r="T571" s="541"/>
      <c r="U571" s="541"/>
      <c r="V571" s="541"/>
      <c r="W571" s="541"/>
      <c r="X571" s="541"/>
      <c r="Y571" s="541"/>
      <c r="Z571" s="541"/>
    </row>
    <row r="572" spans="1:26" ht="18.75">
      <c r="A572" s="572"/>
      <c r="B572" s="573"/>
      <c r="C572" s="573"/>
      <c r="D572" s="187" t="s">
        <v>241</v>
      </c>
      <c r="E572" s="585"/>
      <c r="F572" s="585"/>
      <c r="G572" s="175"/>
      <c r="H572" s="182" t="s">
        <v>46</v>
      </c>
      <c r="I572" s="162"/>
      <c r="J572" s="183">
        <f ca="1">IFERROR(__xludf.DUMMYFUNCTION("IMPORTRANGE(""https://docs.google.com/spreadsheets/d/1KxicF4apzSqm0-jIpmueT4kyZtE-Cwn5zskl7GD4loQ/edit?usp=share_link"",""กำแพงเพชร!J572"")+IMPORTRANGE(""https://docs.google.com/spreadsheets/d/1ZNYWeiFoFA1K1U4xKWqRX29MBvEyRHXORjo734Gnq_c/edit?usp=share_li"&amp;"nk"",""เชียงราย!J572"")
+IMPORTRANGE(""https://docs.google.com/spreadsheets/d/1Jgv0Y7YlHDtsiDawwp-uvifEJ8HVaSn0k2aGHG8-hwM/edit?usp=share_link"",""เชียงใหม่!J572"")+IMPORTRANGE(""https://docs.google.com/spreadsheets/d/1JWG2rZePOz9pe-f-ObA-yDr0VoOX2kSb0qIi"&amp;"x2mTUo8/edit?usp=share_link"",""ตาก!J572"")+IMPORTRANGE(""https://docs.google.com/spreadsheets/d/10nSRjK08hx8Y6HgSOQKNw81lyY46Zc7U_Cj72hBMp9U/edit?usp=share_link"",""นครสวรรค์!J572"")+IMPORTRANGE(""https://docs.google.com/spreadsheets/d/1gFVb7qd7amutrIxAA"&amp;"oM7lcy35hllxznovot8lyOfvDo/edit?usp=share_link"",""น่าน!J572"")+IMPORTRANGE(""https://docs.google.com/spreadsheets/d/1K0Aa9s-6EuHE5M0FG1F9aHLXRCOV917xvycTdLdct0w/edit?usp=share_link"",""พะเยา!J572"")+IMPORTRANGE(""https://docs.google.com/spreadsheets/d/1Y"&amp;"9LPKx95PyL5OKy09d-KbKJSuuEZCFdkhYjwC0XQjBA/edit?usp=share_link"",""พิจิตร!J572"")+IMPORTRANGE(""https://docs.google.com/spreadsheets/d/16OMuOwy2eVqZcYWOouQtTpa8X1L23h4660uVHc0C8os/edit?usp=share_link"",""พิษณุโลก!J572"")+IMPORTRANGE(""https://docs.google."&amp;"com/spreadsheets/d/1GfgTldLG6k77HXaMQzaafODklYuucJZQNs_GAPEfZyY/edit?usp=share_link"",""เพชรบูรณ์!J572"")+IMPORTRANGE(""https://docs.google.com/spreadsheets/d/1gvTMYAnm7v1yG1BKWFtr0DnaTsq59oW9dwWvFgq6hs0/edit?usp=share_link"",""แพร่!J572"")+IMPORTRANGE("""&amp;"https://docs.google.com/spreadsheets/d/1Wbcosgy-Xa1xXUArJSOenub6EfZHUSzc_bpJFWwQUf0/edit?usp=share_link"",""แม่ฮ่องสอน!J572"")+IMPORTRANGE(""https://docs.google.com/spreadsheets/d/1p7ERhsr0qZeSn-KSOdeHS9r0heI-lHtkcn2OH7hP0jQ/edit?usp=share_link"",""ลำปาง!"&amp;"J572"")+IMPORTRANGE(""https://docs.google.com/spreadsheets/d/1-uUXvimVhiU2U0bMN-xi2te0tS4X7DI2GLPnMjzl8cA/edit?usp=share_link"",""ลำพูน!J572"")+IMPORTRANGE(""https://docs.google.com/spreadsheets/d/17HrOaa5pBUI1onckFfumXB8xlg35qb2uBAFfF1D-Myo/edit?usp=shar"&amp;"e_link"",""สุโขทัย!J572"")+IMPORTRANGE(""https://docs.google.com/spreadsheets/d/1ubs5cl16eYL9gHbdHTJtmtYb9MGzHBs7CAphn8kNCgM/edit?usp=share_link"",""อุตรดิตถ์!J572"")+IMPORTRANGE(""https://docs.google.com/spreadsheets/d/1kII0BjS6CtVrBvI8IrytgPdxDrlyQDyigz"&amp;"MsohRtDMs/edit?usp=share_link"",""อุทัยธานี!J572"")
"),0)</f>
        <v>0</v>
      </c>
      <c r="K572" s="163"/>
      <c r="L572" s="163"/>
      <c r="M572" s="163"/>
      <c r="N572" s="163"/>
      <c r="O572" s="163"/>
      <c r="P572" s="163"/>
      <c r="Q572" s="541"/>
      <c r="R572" s="541"/>
      <c r="S572" s="541"/>
      <c r="T572" s="541"/>
      <c r="U572" s="541"/>
      <c r="V572" s="541"/>
      <c r="W572" s="541"/>
      <c r="X572" s="541"/>
      <c r="Y572" s="541"/>
      <c r="Z572" s="541"/>
    </row>
    <row r="573" spans="1:26" ht="18.75">
      <c r="A573" s="572"/>
      <c r="B573" s="573"/>
      <c r="C573" s="573"/>
      <c r="D573" s="585"/>
      <c r="E573" s="585"/>
      <c r="F573" s="585"/>
      <c r="G573" s="175"/>
      <c r="H573" s="182" t="s">
        <v>34</v>
      </c>
      <c r="I573" s="162"/>
      <c r="J573" s="183">
        <f ca="1">IFERROR(__xludf.DUMMYFUNCTION("IMPORTRANGE(""https://docs.google.com/spreadsheets/d/1KxicF4apzSqm0-jIpmueT4kyZtE-Cwn5zskl7GD4loQ/edit?usp=share_link"",""กำแพงเพชร!J573"")+IMPORTRANGE(""https://docs.google.com/spreadsheets/d/1ZNYWeiFoFA1K1U4xKWqRX29MBvEyRHXORjo734Gnq_c/edit?usp=share_li"&amp;"nk"",""เชียงราย!J573"")
+IMPORTRANGE(""https://docs.google.com/spreadsheets/d/1Jgv0Y7YlHDtsiDawwp-uvifEJ8HVaSn0k2aGHG8-hwM/edit?usp=share_link"",""เชียงใหม่!J573"")+IMPORTRANGE(""https://docs.google.com/spreadsheets/d/1JWG2rZePOz9pe-f-ObA-yDr0VoOX2kSb0qIi"&amp;"x2mTUo8/edit?usp=share_link"",""ตาก!J573"")+IMPORTRANGE(""https://docs.google.com/spreadsheets/d/10nSRjK08hx8Y6HgSOQKNw81lyY46Zc7U_Cj72hBMp9U/edit?usp=share_link"",""นครสวรรค์!J573"")+IMPORTRANGE(""https://docs.google.com/spreadsheets/d/1gFVb7qd7amutrIxAA"&amp;"oM7lcy35hllxznovot8lyOfvDo/edit?usp=share_link"",""น่าน!J573"")+IMPORTRANGE(""https://docs.google.com/spreadsheets/d/1K0Aa9s-6EuHE5M0FG1F9aHLXRCOV917xvycTdLdct0w/edit?usp=share_link"",""พะเยา!J573"")+IMPORTRANGE(""https://docs.google.com/spreadsheets/d/1Y"&amp;"9LPKx95PyL5OKy09d-KbKJSuuEZCFdkhYjwC0XQjBA/edit?usp=share_link"",""พิจิตร!J573"")+IMPORTRANGE(""https://docs.google.com/spreadsheets/d/16OMuOwy2eVqZcYWOouQtTpa8X1L23h4660uVHc0C8os/edit?usp=share_link"",""พิษณุโลก!J573"")+IMPORTRANGE(""https://docs.google."&amp;"com/spreadsheets/d/1GfgTldLG6k77HXaMQzaafODklYuucJZQNs_GAPEfZyY/edit?usp=share_link"",""เพชรบูรณ์!J573"")+IMPORTRANGE(""https://docs.google.com/spreadsheets/d/1gvTMYAnm7v1yG1BKWFtr0DnaTsq59oW9dwWvFgq6hs0/edit?usp=share_link"",""แพร่!J573"")+IMPORTRANGE("""&amp;"https://docs.google.com/spreadsheets/d/1Wbcosgy-Xa1xXUArJSOenub6EfZHUSzc_bpJFWwQUf0/edit?usp=share_link"",""แม่ฮ่องสอน!J573"")+IMPORTRANGE(""https://docs.google.com/spreadsheets/d/1p7ERhsr0qZeSn-KSOdeHS9r0heI-lHtkcn2OH7hP0jQ/edit?usp=share_link"",""ลำปาง!"&amp;"J573"")+IMPORTRANGE(""https://docs.google.com/spreadsheets/d/1-uUXvimVhiU2U0bMN-xi2te0tS4X7DI2GLPnMjzl8cA/edit?usp=share_link"",""ลำพูน!J573"")+IMPORTRANGE(""https://docs.google.com/spreadsheets/d/17HrOaa5pBUI1onckFfumXB8xlg35qb2uBAFfF1D-Myo/edit?usp=shar"&amp;"e_link"",""สุโขทัย!J573"")+IMPORTRANGE(""https://docs.google.com/spreadsheets/d/1ubs5cl16eYL9gHbdHTJtmtYb9MGzHBs7CAphn8kNCgM/edit?usp=share_link"",""อุตรดิตถ์!J573"")+IMPORTRANGE(""https://docs.google.com/spreadsheets/d/1kII0BjS6CtVrBvI8IrytgPdxDrlyQDyigz"&amp;"MsohRtDMs/edit?usp=share_link"",""อุทัยธานี!J573"")
"),0)</f>
        <v>0</v>
      </c>
      <c r="K573" s="163"/>
      <c r="L573" s="163"/>
      <c r="M573" s="163"/>
      <c r="N573" s="163"/>
      <c r="O573" s="163"/>
      <c r="P573" s="163"/>
      <c r="Q573" s="541"/>
      <c r="R573" s="541"/>
      <c r="S573" s="541"/>
      <c r="T573" s="541"/>
      <c r="U573" s="541"/>
      <c r="V573" s="541"/>
      <c r="W573" s="541"/>
      <c r="X573" s="541"/>
      <c r="Y573" s="541"/>
      <c r="Z573" s="541"/>
    </row>
    <row r="574" spans="1:26" ht="18.75">
      <c r="A574" s="572"/>
      <c r="B574" s="573"/>
      <c r="C574" s="573"/>
      <c r="D574" s="187" t="s">
        <v>242</v>
      </c>
      <c r="E574" s="585"/>
      <c r="F574" s="585"/>
      <c r="G574" s="175"/>
      <c r="H574" s="182" t="s">
        <v>46</v>
      </c>
      <c r="I574" s="162"/>
      <c r="J574" s="183">
        <f ca="1">IFERROR(__xludf.DUMMYFUNCTION("IMPORTRANGE(""https://docs.google.com/spreadsheets/d/1KxicF4apzSqm0-jIpmueT4kyZtE-Cwn5zskl7GD4loQ/edit?usp=share_link"",""กำแพงเพชร!J574"")+IMPORTRANGE(""https://docs.google.com/spreadsheets/d/1ZNYWeiFoFA1K1U4xKWqRX29MBvEyRHXORjo734Gnq_c/edit?usp=share_li"&amp;"nk"",""เชียงราย!J574"")
+IMPORTRANGE(""https://docs.google.com/spreadsheets/d/1Jgv0Y7YlHDtsiDawwp-uvifEJ8HVaSn0k2aGHG8-hwM/edit?usp=share_link"",""เชียงใหม่!J574"")+IMPORTRANGE(""https://docs.google.com/spreadsheets/d/1JWG2rZePOz9pe-f-ObA-yDr0VoOX2kSb0qIi"&amp;"x2mTUo8/edit?usp=share_link"",""ตาก!J574"")+IMPORTRANGE(""https://docs.google.com/spreadsheets/d/10nSRjK08hx8Y6HgSOQKNw81lyY46Zc7U_Cj72hBMp9U/edit?usp=share_link"",""นครสวรรค์!J574"")+IMPORTRANGE(""https://docs.google.com/spreadsheets/d/1gFVb7qd7amutrIxAA"&amp;"oM7lcy35hllxznovot8lyOfvDo/edit?usp=share_link"",""น่าน!J574"")+IMPORTRANGE(""https://docs.google.com/spreadsheets/d/1K0Aa9s-6EuHE5M0FG1F9aHLXRCOV917xvycTdLdct0w/edit?usp=share_link"",""พะเยา!J574"")+IMPORTRANGE(""https://docs.google.com/spreadsheets/d/1Y"&amp;"9LPKx95PyL5OKy09d-KbKJSuuEZCFdkhYjwC0XQjBA/edit?usp=share_link"",""พิจิตร!J574"")+IMPORTRANGE(""https://docs.google.com/spreadsheets/d/16OMuOwy2eVqZcYWOouQtTpa8X1L23h4660uVHc0C8os/edit?usp=share_link"",""พิษณุโลก!J574"")+IMPORTRANGE(""https://docs.google."&amp;"com/spreadsheets/d/1GfgTldLG6k77HXaMQzaafODklYuucJZQNs_GAPEfZyY/edit?usp=share_link"",""เพชรบูรณ์!J574"")+IMPORTRANGE(""https://docs.google.com/spreadsheets/d/1gvTMYAnm7v1yG1BKWFtr0DnaTsq59oW9dwWvFgq6hs0/edit?usp=share_link"",""แพร่!J574"")+IMPORTRANGE("""&amp;"https://docs.google.com/spreadsheets/d/1Wbcosgy-Xa1xXUArJSOenub6EfZHUSzc_bpJFWwQUf0/edit?usp=share_link"",""แม่ฮ่องสอน!J574"")+IMPORTRANGE(""https://docs.google.com/spreadsheets/d/1p7ERhsr0qZeSn-KSOdeHS9r0heI-lHtkcn2OH7hP0jQ/edit?usp=share_link"",""ลำปาง!"&amp;"J574"")+IMPORTRANGE(""https://docs.google.com/spreadsheets/d/1-uUXvimVhiU2U0bMN-xi2te0tS4X7DI2GLPnMjzl8cA/edit?usp=share_link"",""ลำพูน!J574"")+IMPORTRANGE(""https://docs.google.com/spreadsheets/d/17HrOaa5pBUI1onckFfumXB8xlg35qb2uBAFfF1D-Myo/edit?usp=shar"&amp;"e_link"",""สุโขทัย!J574"")+IMPORTRANGE(""https://docs.google.com/spreadsheets/d/1ubs5cl16eYL9gHbdHTJtmtYb9MGzHBs7CAphn8kNCgM/edit?usp=share_link"",""อุตรดิตถ์!J574"")+IMPORTRANGE(""https://docs.google.com/spreadsheets/d/1kII0BjS6CtVrBvI8IrytgPdxDrlyQDyigz"&amp;"MsohRtDMs/edit?usp=share_link"",""อุทัยธานี!J574"")
"),0)</f>
        <v>0</v>
      </c>
      <c r="K574" s="163"/>
      <c r="L574" s="163"/>
      <c r="M574" s="163"/>
      <c r="N574" s="163"/>
      <c r="O574" s="163"/>
      <c r="P574" s="163"/>
      <c r="Q574" s="541"/>
      <c r="R574" s="541"/>
      <c r="S574" s="541"/>
      <c r="T574" s="541"/>
      <c r="U574" s="541"/>
      <c r="V574" s="541"/>
      <c r="W574" s="541"/>
      <c r="X574" s="541"/>
      <c r="Y574" s="541"/>
      <c r="Z574" s="541"/>
    </row>
    <row r="575" spans="1:26" ht="18.75">
      <c r="A575" s="572"/>
      <c r="B575" s="573"/>
      <c r="C575" s="573"/>
      <c r="D575" s="573"/>
      <c r="E575" s="585"/>
      <c r="F575" s="585"/>
      <c r="G575" s="175"/>
      <c r="H575" s="182" t="s">
        <v>34</v>
      </c>
      <c r="I575" s="162"/>
      <c r="J575" s="183">
        <f ca="1">IFERROR(__xludf.DUMMYFUNCTION("IMPORTRANGE(""https://docs.google.com/spreadsheets/d/1KxicF4apzSqm0-jIpmueT4kyZtE-Cwn5zskl7GD4loQ/edit?usp=share_link"",""กำแพงเพชร!J575"")+IMPORTRANGE(""https://docs.google.com/spreadsheets/d/1ZNYWeiFoFA1K1U4xKWqRX29MBvEyRHXORjo734Gnq_c/edit?usp=share_li"&amp;"nk"",""เชียงราย!J575"")
+IMPORTRANGE(""https://docs.google.com/spreadsheets/d/1Jgv0Y7YlHDtsiDawwp-uvifEJ8HVaSn0k2aGHG8-hwM/edit?usp=share_link"",""เชียงใหม่!J575"")+IMPORTRANGE(""https://docs.google.com/spreadsheets/d/1JWG2rZePOz9pe-f-ObA-yDr0VoOX2kSb0qIi"&amp;"x2mTUo8/edit?usp=share_link"",""ตาก!J575"")+IMPORTRANGE(""https://docs.google.com/spreadsheets/d/10nSRjK08hx8Y6HgSOQKNw81lyY46Zc7U_Cj72hBMp9U/edit?usp=share_link"",""นครสวรรค์!J575"")+IMPORTRANGE(""https://docs.google.com/spreadsheets/d/1gFVb7qd7amutrIxAA"&amp;"oM7lcy35hllxznovot8lyOfvDo/edit?usp=share_link"",""น่าน!J575"")+IMPORTRANGE(""https://docs.google.com/spreadsheets/d/1K0Aa9s-6EuHE5M0FG1F9aHLXRCOV917xvycTdLdct0w/edit?usp=share_link"",""พะเยา!J575"")+IMPORTRANGE(""https://docs.google.com/spreadsheets/d/1Y"&amp;"9LPKx95PyL5OKy09d-KbKJSuuEZCFdkhYjwC0XQjBA/edit?usp=share_link"",""พิจิตร!J575"")+IMPORTRANGE(""https://docs.google.com/spreadsheets/d/16OMuOwy2eVqZcYWOouQtTpa8X1L23h4660uVHc0C8os/edit?usp=share_link"",""พิษณุโลก!J575"")+IMPORTRANGE(""https://docs.google."&amp;"com/spreadsheets/d/1GfgTldLG6k77HXaMQzaafODklYuucJZQNs_GAPEfZyY/edit?usp=share_link"",""เพชรบูรณ์!J575"")+IMPORTRANGE(""https://docs.google.com/spreadsheets/d/1gvTMYAnm7v1yG1BKWFtr0DnaTsq59oW9dwWvFgq6hs0/edit?usp=share_link"",""แพร่!J575"")+IMPORTRANGE("""&amp;"https://docs.google.com/spreadsheets/d/1Wbcosgy-Xa1xXUArJSOenub6EfZHUSzc_bpJFWwQUf0/edit?usp=share_link"",""แม่ฮ่องสอน!J575"")+IMPORTRANGE(""https://docs.google.com/spreadsheets/d/1p7ERhsr0qZeSn-KSOdeHS9r0heI-lHtkcn2OH7hP0jQ/edit?usp=share_link"",""ลำปาง!"&amp;"J575"")+IMPORTRANGE(""https://docs.google.com/spreadsheets/d/1-uUXvimVhiU2U0bMN-xi2te0tS4X7DI2GLPnMjzl8cA/edit?usp=share_link"",""ลำพูน!J575"")+IMPORTRANGE(""https://docs.google.com/spreadsheets/d/17HrOaa5pBUI1onckFfumXB8xlg35qb2uBAFfF1D-Myo/edit?usp=shar"&amp;"e_link"",""สุโขทัย!J575"")+IMPORTRANGE(""https://docs.google.com/spreadsheets/d/1ubs5cl16eYL9gHbdHTJtmtYb9MGzHBs7CAphn8kNCgM/edit?usp=share_link"",""อุตรดิตถ์!J575"")+IMPORTRANGE(""https://docs.google.com/spreadsheets/d/1kII0BjS6CtVrBvI8IrytgPdxDrlyQDyigz"&amp;"MsohRtDMs/edit?usp=share_link"",""อุทัยธานี!J575"")
"),0)</f>
        <v>0</v>
      </c>
      <c r="K575" s="163"/>
      <c r="L575" s="163"/>
      <c r="M575" s="163"/>
      <c r="N575" s="163"/>
      <c r="O575" s="163"/>
      <c r="P575" s="163"/>
      <c r="Q575" s="541"/>
      <c r="R575" s="541"/>
      <c r="S575" s="541"/>
      <c r="T575" s="541"/>
      <c r="U575" s="541"/>
      <c r="V575" s="541"/>
      <c r="W575" s="541"/>
      <c r="X575" s="541"/>
      <c r="Y575" s="541"/>
      <c r="Z575" s="541"/>
    </row>
    <row r="576" spans="1:26" ht="19.5">
      <c r="A576" s="572"/>
      <c r="B576" s="573"/>
      <c r="C576" s="588" t="s">
        <v>243</v>
      </c>
      <c r="D576" s="573"/>
      <c r="E576" s="573"/>
      <c r="F576" s="585"/>
      <c r="G576" s="175"/>
      <c r="H576" s="192" t="s">
        <v>46</v>
      </c>
      <c r="I576" s="193">
        <f ca="1">IFERROR(__xludf.DUMMYFUNCTION("IMPORTRANGE(""https://docs.google.com/spreadsheets/d/1KxicF4apzSqm0-jIpmueT4kyZtE-Cwn5zskl7GD4loQ/edit?usp=share_link"",""กำแพงเพชร!I576"")+IMPORTRANGE(""https://docs.google.com/spreadsheets/d/1ZNYWeiFoFA1K1U4xKWqRX29MBvEyRHXORjo734Gnq_c/edit?usp=share_li"&amp;"nk"",""เชียงราย!I576"")
+IMPORTRANGE(""https://docs.google.com/spreadsheets/d/1Jgv0Y7YlHDtsiDawwp-uvifEJ8HVaSn0k2aGHG8-hwM/edit?usp=share_link"",""เชียงใหม่!I576"")+IMPORTRANGE(""https://docs.google.com/spreadsheets/d/1JWG2rZePOz9pe-f-ObA-yDr0VoOX2kSb0qIi"&amp;"x2mTUo8/edit?usp=share_link"",""ตาก!I576"")+IMPORTRANGE(""https://docs.google.com/spreadsheets/d/10nSRjK08hx8Y6HgSOQKNw81lyY46Zc7U_Cj72hBMp9U/edit?usp=share_link"",""นครสวรรค์!I576"")+IMPORTRANGE(""https://docs.google.com/spreadsheets/d/1gFVb7qd7amutrIxAA"&amp;"oM7lcy35hllxznovot8lyOfvDo/edit?usp=share_link"",""น่าน!I576"")+IMPORTRANGE(""https://docs.google.com/spreadsheets/d/1K0Aa9s-6EuHE5M0FG1F9aHLXRCOV917xvycTdLdct0w/edit?usp=share_link"",""พะเยา!I576"")+IMPORTRANGE(""https://docs.google.com/spreadsheets/d/1Y"&amp;"9LPKx95PyL5OKy09d-KbKJSuuEZCFdkhYjwC0XQjBA/edit?usp=share_link"",""พิจิตร!I576"")+IMPORTRANGE(""https://docs.google.com/spreadsheets/d/16OMuOwy2eVqZcYWOouQtTpa8X1L23h4660uVHc0C8os/edit?usp=share_link"",""พิษณุโลก!I576"")+IMPORTRANGE(""https://docs.google."&amp;"com/spreadsheets/d/1GfgTldLG6k77HXaMQzaafODklYuucJZQNs_GAPEfZyY/edit?usp=share_link"",""เพชรบูรณ์!I576"")+IMPORTRANGE(""https://docs.google.com/spreadsheets/d/1gvTMYAnm7v1yG1BKWFtr0DnaTsq59oW9dwWvFgq6hs0/edit?usp=share_link"",""แพร่!I576"")+IMPORTRANGE("""&amp;"https://docs.google.com/spreadsheets/d/1Wbcosgy-Xa1xXUArJSOenub6EfZHUSzc_bpJFWwQUf0/edit?usp=share_link"",""แม่ฮ่องสอน!I576"")+IMPORTRANGE(""https://docs.google.com/spreadsheets/d/1p7ERhsr0qZeSn-KSOdeHS9r0heI-lHtkcn2OH7hP0jQ/edit?usp=share_link"",""ลำปาง!"&amp;"I576"")+IMPORTRANGE(""https://docs.google.com/spreadsheets/d/1-uUXvimVhiU2U0bMN-xi2te0tS4X7DI2GLPnMjzl8cA/edit?usp=share_link"",""ลำพูน!I576"")+IMPORTRANGE(""https://docs.google.com/spreadsheets/d/17HrOaa5pBUI1onckFfumXB8xlg35qb2uBAFfF1D-Myo/edit?usp=shar"&amp;"e_link"",""สุโขทัย!I576"")+IMPORTRANGE(""https://docs.google.com/spreadsheets/d/1ubs5cl16eYL9gHbdHTJtmtYb9MGzHBs7CAphn8kNCgM/edit?usp=share_link"",""อุตรดิตถ์!I576"")+IMPORTRANGE(""https://docs.google.com/spreadsheets/d/1kII0BjS6CtVrBvI8IrytgPdxDrlyQDyigz"&amp;"MsohRtDMs/edit?usp=share_link"",""อุทัยธานี!I576"")
"),789391)</f>
        <v>789391</v>
      </c>
      <c r="J576" s="194">
        <f t="shared" ref="J576:J577" ca="1" si="288">J578+J580+J582+J588+J590</f>
        <v>0</v>
      </c>
      <c r="K576" s="379">
        <f t="shared" ref="K576:K577" ca="1" si="289">IF(I576&gt;0,J576*100/I576,0)</f>
        <v>0</v>
      </c>
      <c r="L576" s="163"/>
      <c r="M576" s="163"/>
      <c r="N576" s="163"/>
      <c r="O576" s="163"/>
      <c r="P576" s="163"/>
      <c r="Q576" s="541"/>
      <c r="R576" s="541"/>
      <c r="S576" s="541"/>
      <c r="T576" s="541"/>
      <c r="U576" s="541"/>
      <c r="V576" s="541"/>
      <c r="W576" s="541"/>
      <c r="X576" s="541"/>
      <c r="Y576" s="541"/>
      <c r="Z576" s="541"/>
    </row>
    <row r="577" spans="1:26" ht="19.5">
      <c r="A577" s="572"/>
      <c r="B577" s="573"/>
      <c r="C577" s="573"/>
      <c r="D577" s="573"/>
      <c r="E577" s="585"/>
      <c r="F577" s="585"/>
      <c r="G577" s="175"/>
      <c r="H577" s="192" t="s">
        <v>34</v>
      </c>
      <c r="I577" s="193">
        <f ca="1">IFERROR(__xludf.DUMMYFUNCTION("IMPORTRANGE(""https://docs.google.com/spreadsheets/d/1KxicF4apzSqm0-jIpmueT4kyZtE-Cwn5zskl7GD4loQ/edit?usp=share_link"",""กำแพงเพชร!I577"")+IMPORTRANGE(""https://docs.google.com/spreadsheets/d/1ZNYWeiFoFA1K1U4xKWqRX29MBvEyRHXORjo734Gnq_c/edit?usp=share_li"&amp;"nk"",""เชียงราย!I577"")
+IMPORTRANGE(""https://docs.google.com/spreadsheets/d/1Jgv0Y7YlHDtsiDawwp-uvifEJ8HVaSn0k2aGHG8-hwM/edit?usp=share_link"",""เชียงใหม่!I577"")+IMPORTRANGE(""https://docs.google.com/spreadsheets/d/1JWG2rZePOz9pe-f-ObA-yDr0VoOX2kSb0qIi"&amp;"x2mTUo8/edit?usp=share_link"",""ตาก!I577"")+IMPORTRANGE(""https://docs.google.com/spreadsheets/d/10nSRjK08hx8Y6HgSOQKNw81lyY46Zc7U_Cj72hBMp9U/edit?usp=share_link"",""นครสวรรค์!I577"")+IMPORTRANGE(""https://docs.google.com/spreadsheets/d/1gFVb7qd7amutrIxAA"&amp;"oM7lcy35hllxznovot8lyOfvDo/edit?usp=share_link"",""น่าน!I577"")+IMPORTRANGE(""https://docs.google.com/spreadsheets/d/1K0Aa9s-6EuHE5M0FG1F9aHLXRCOV917xvycTdLdct0w/edit?usp=share_link"",""พะเยา!I577"")+IMPORTRANGE(""https://docs.google.com/spreadsheets/d/1Y"&amp;"9LPKx95PyL5OKy09d-KbKJSuuEZCFdkhYjwC0XQjBA/edit?usp=share_link"",""พิจิตร!I577"")+IMPORTRANGE(""https://docs.google.com/spreadsheets/d/16OMuOwy2eVqZcYWOouQtTpa8X1L23h4660uVHc0C8os/edit?usp=share_link"",""พิษณุโลก!I577"")+IMPORTRANGE(""https://docs.google."&amp;"com/spreadsheets/d/1GfgTldLG6k77HXaMQzaafODklYuucJZQNs_GAPEfZyY/edit?usp=share_link"",""เพชรบูรณ์!I577"")+IMPORTRANGE(""https://docs.google.com/spreadsheets/d/1gvTMYAnm7v1yG1BKWFtr0DnaTsq59oW9dwWvFgq6hs0/edit?usp=share_link"",""แพร่!I577"")+IMPORTRANGE("""&amp;"https://docs.google.com/spreadsheets/d/1Wbcosgy-Xa1xXUArJSOenub6EfZHUSzc_bpJFWwQUf0/edit?usp=share_link"",""แม่ฮ่องสอน!I577"")+IMPORTRANGE(""https://docs.google.com/spreadsheets/d/1p7ERhsr0qZeSn-KSOdeHS9r0heI-lHtkcn2OH7hP0jQ/edit?usp=share_link"",""ลำปาง!"&amp;"I577"")+IMPORTRANGE(""https://docs.google.com/spreadsheets/d/1-uUXvimVhiU2U0bMN-xi2te0tS4X7DI2GLPnMjzl8cA/edit?usp=share_link"",""ลำพูน!I577"")+IMPORTRANGE(""https://docs.google.com/spreadsheets/d/17HrOaa5pBUI1onckFfumXB8xlg35qb2uBAFfF1D-Myo/edit?usp=shar"&amp;"e_link"",""สุโขทัย!I577"")+IMPORTRANGE(""https://docs.google.com/spreadsheets/d/1ubs5cl16eYL9gHbdHTJtmtYb9MGzHBs7CAphn8kNCgM/edit?usp=share_link"",""อุตรดิตถ์!I577"")+IMPORTRANGE(""https://docs.google.com/spreadsheets/d/1kII0BjS6CtVrBvI8IrytgPdxDrlyQDyigz"&amp;"MsohRtDMs/edit?usp=share_link"",""อุทัยธานี!I577"")
"),94109)</f>
        <v>94109</v>
      </c>
      <c r="J577" s="194">
        <f t="shared" ca="1" si="288"/>
        <v>0</v>
      </c>
      <c r="K577" s="379">
        <f t="shared" ca="1" si="289"/>
        <v>0</v>
      </c>
      <c r="L577" s="163"/>
      <c r="M577" s="163"/>
      <c r="N577" s="163"/>
      <c r="O577" s="163"/>
      <c r="P577" s="163"/>
      <c r="Q577" s="541"/>
      <c r="R577" s="541"/>
      <c r="S577" s="541"/>
      <c r="T577" s="541"/>
      <c r="U577" s="541"/>
      <c r="V577" s="541"/>
      <c r="W577" s="541"/>
      <c r="X577" s="541"/>
      <c r="Y577" s="541"/>
      <c r="Z577" s="541"/>
    </row>
    <row r="578" spans="1:26" ht="18.75">
      <c r="A578" s="572"/>
      <c r="B578" s="573"/>
      <c r="C578" s="573"/>
      <c r="D578" s="187" t="s">
        <v>244</v>
      </c>
      <c r="E578" s="585"/>
      <c r="F578" s="585"/>
      <c r="G578" s="175"/>
      <c r="H578" s="182" t="s">
        <v>46</v>
      </c>
      <c r="I578" s="162"/>
      <c r="J578" s="183">
        <f ca="1">IFERROR(__xludf.DUMMYFUNCTION("IMPORTRANGE(""https://docs.google.com/spreadsheets/d/1KxicF4apzSqm0-jIpmueT4kyZtE-Cwn5zskl7GD4loQ/edit?usp=share_link"",""กำแพงเพชร!J578"")+IMPORTRANGE(""https://docs.google.com/spreadsheets/d/1ZNYWeiFoFA1K1U4xKWqRX29MBvEyRHXORjo734Gnq_c/edit?usp=share_li"&amp;"nk"",""เชียงราย!J578"")
+IMPORTRANGE(""https://docs.google.com/spreadsheets/d/1Jgv0Y7YlHDtsiDawwp-uvifEJ8HVaSn0k2aGHG8-hwM/edit?usp=share_link"",""เชียงใหม่!J578"")+IMPORTRANGE(""https://docs.google.com/spreadsheets/d/1JWG2rZePOz9pe-f-ObA-yDr0VoOX2kSb0qIi"&amp;"x2mTUo8/edit?usp=share_link"",""ตาก!J578"")+IMPORTRANGE(""https://docs.google.com/spreadsheets/d/10nSRjK08hx8Y6HgSOQKNw81lyY46Zc7U_Cj72hBMp9U/edit?usp=share_link"",""นครสวรรค์!J578"")+IMPORTRANGE(""https://docs.google.com/spreadsheets/d/1gFVb7qd7amutrIxAA"&amp;"oM7lcy35hllxznovot8lyOfvDo/edit?usp=share_link"",""น่าน!J578"")+IMPORTRANGE(""https://docs.google.com/spreadsheets/d/1K0Aa9s-6EuHE5M0FG1F9aHLXRCOV917xvycTdLdct0w/edit?usp=share_link"",""พะเยา!J578"")+IMPORTRANGE(""https://docs.google.com/spreadsheets/d/1Y"&amp;"9LPKx95PyL5OKy09d-KbKJSuuEZCFdkhYjwC0XQjBA/edit?usp=share_link"",""พิจิตร!J578"")+IMPORTRANGE(""https://docs.google.com/spreadsheets/d/16OMuOwy2eVqZcYWOouQtTpa8X1L23h4660uVHc0C8os/edit?usp=share_link"",""พิษณุโลก!J578"")+IMPORTRANGE(""https://docs.google."&amp;"com/spreadsheets/d/1GfgTldLG6k77HXaMQzaafODklYuucJZQNs_GAPEfZyY/edit?usp=share_link"",""เพชรบูรณ์!J578"")+IMPORTRANGE(""https://docs.google.com/spreadsheets/d/1gvTMYAnm7v1yG1BKWFtr0DnaTsq59oW9dwWvFgq6hs0/edit?usp=share_link"",""แพร่!J578"")+IMPORTRANGE("""&amp;"https://docs.google.com/spreadsheets/d/1Wbcosgy-Xa1xXUArJSOenub6EfZHUSzc_bpJFWwQUf0/edit?usp=share_link"",""แม่ฮ่องสอน!J578"")+IMPORTRANGE(""https://docs.google.com/spreadsheets/d/1p7ERhsr0qZeSn-KSOdeHS9r0heI-lHtkcn2OH7hP0jQ/edit?usp=share_link"",""ลำปาง!"&amp;"J578"")+IMPORTRANGE(""https://docs.google.com/spreadsheets/d/1-uUXvimVhiU2U0bMN-xi2te0tS4X7DI2GLPnMjzl8cA/edit?usp=share_link"",""ลำพูน!J578"")+IMPORTRANGE(""https://docs.google.com/spreadsheets/d/17HrOaa5pBUI1onckFfumXB8xlg35qb2uBAFfF1D-Myo/edit?usp=shar"&amp;"e_link"",""สุโขทัย!J578"")+IMPORTRANGE(""https://docs.google.com/spreadsheets/d/1ubs5cl16eYL9gHbdHTJtmtYb9MGzHBs7CAphn8kNCgM/edit?usp=share_link"",""อุตรดิตถ์!J578"")+IMPORTRANGE(""https://docs.google.com/spreadsheets/d/1kII0BjS6CtVrBvI8IrytgPdxDrlyQDyigz"&amp;"MsohRtDMs/edit?usp=share_link"",""อุทัยธานี!J578"")
"),0)</f>
        <v>0</v>
      </c>
      <c r="K578" s="163"/>
      <c r="L578" s="163"/>
      <c r="M578" s="163"/>
      <c r="N578" s="163"/>
      <c r="O578" s="163"/>
      <c r="P578" s="163"/>
      <c r="Q578" s="541"/>
      <c r="R578" s="541"/>
      <c r="S578" s="541"/>
      <c r="T578" s="541"/>
      <c r="U578" s="541"/>
      <c r="V578" s="541"/>
      <c r="W578" s="541"/>
      <c r="X578" s="541"/>
      <c r="Y578" s="541"/>
      <c r="Z578" s="541"/>
    </row>
    <row r="579" spans="1:26" ht="18.75">
      <c r="A579" s="572"/>
      <c r="B579" s="573"/>
      <c r="C579" s="573"/>
      <c r="D579" s="573"/>
      <c r="E579" s="585"/>
      <c r="F579" s="585"/>
      <c r="G579" s="175"/>
      <c r="H579" s="182" t="s">
        <v>34</v>
      </c>
      <c r="I579" s="162"/>
      <c r="J579" s="183">
        <f ca="1">IFERROR(__xludf.DUMMYFUNCTION("IMPORTRANGE(""https://docs.google.com/spreadsheets/d/1KxicF4apzSqm0-jIpmueT4kyZtE-Cwn5zskl7GD4loQ/edit?usp=share_link"",""กำแพงเพชร!J579"")+IMPORTRANGE(""https://docs.google.com/spreadsheets/d/1ZNYWeiFoFA1K1U4xKWqRX29MBvEyRHXORjo734Gnq_c/edit?usp=share_li"&amp;"nk"",""เชียงราย!J579"")
+IMPORTRANGE(""https://docs.google.com/spreadsheets/d/1Jgv0Y7YlHDtsiDawwp-uvifEJ8HVaSn0k2aGHG8-hwM/edit?usp=share_link"",""เชียงใหม่!J579"")+IMPORTRANGE(""https://docs.google.com/spreadsheets/d/1JWG2rZePOz9pe-f-ObA-yDr0VoOX2kSb0qIi"&amp;"x2mTUo8/edit?usp=share_link"",""ตาก!J579"")+IMPORTRANGE(""https://docs.google.com/spreadsheets/d/10nSRjK08hx8Y6HgSOQKNw81lyY46Zc7U_Cj72hBMp9U/edit?usp=share_link"",""นครสวรรค์!J579"")+IMPORTRANGE(""https://docs.google.com/spreadsheets/d/1gFVb7qd7amutrIxAA"&amp;"oM7lcy35hllxznovot8lyOfvDo/edit?usp=share_link"",""น่าน!J579"")+IMPORTRANGE(""https://docs.google.com/spreadsheets/d/1K0Aa9s-6EuHE5M0FG1F9aHLXRCOV917xvycTdLdct0w/edit?usp=share_link"",""พะเยา!J579"")+IMPORTRANGE(""https://docs.google.com/spreadsheets/d/1Y"&amp;"9LPKx95PyL5OKy09d-KbKJSuuEZCFdkhYjwC0XQjBA/edit?usp=share_link"",""พิจิตร!J579"")+IMPORTRANGE(""https://docs.google.com/spreadsheets/d/16OMuOwy2eVqZcYWOouQtTpa8X1L23h4660uVHc0C8os/edit?usp=share_link"",""พิษณุโลก!J579"")+IMPORTRANGE(""https://docs.google."&amp;"com/spreadsheets/d/1GfgTldLG6k77HXaMQzaafODklYuucJZQNs_GAPEfZyY/edit?usp=share_link"",""เพชรบูรณ์!J579"")+IMPORTRANGE(""https://docs.google.com/spreadsheets/d/1gvTMYAnm7v1yG1BKWFtr0DnaTsq59oW9dwWvFgq6hs0/edit?usp=share_link"",""แพร่!J579"")+IMPORTRANGE("""&amp;"https://docs.google.com/spreadsheets/d/1Wbcosgy-Xa1xXUArJSOenub6EfZHUSzc_bpJFWwQUf0/edit?usp=share_link"",""แม่ฮ่องสอน!J579"")+IMPORTRANGE(""https://docs.google.com/spreadsheets/d/1p7ERhsr0qZeSn-KSOdeHS9r0heI-lHtkcn2OH7hP0jQ/edit?usp=share_link"",""ลำปาง!"&amp;"J579"")+IMPORTRANGE(""https://docs.google.com/spreadsheets/d/1-uUXvimVhiU2U0bMN-xi2te0tS4X7DI2GLPnMjzl8cA/edit?usp=share_link"",""ลำพูน!J579"")+IMPORTRANGE(""https://docs.google.com/spreadsheets/d/17HrOaa5pBUI1onckFfumXB8xlg35qb2uBAFfF1D-Myo/edit?usp=shar"&amp;"e_link"",""สุโขทัย!J579"")+IMPORTRANGE(""https://docs.google.com/spreadsheets/d/1ubs5cl16eYL9gHbdHTJtmtYb9MGzHBs7CAphn8kNCgM/edit?usp=share_link"",""อุตรดิตถ์!J579"")+IMPORTRANGE(""https://docs.google.com/spreadsheets/d/1kII0BjS6CtVrBvI8IrytgPdxDrlyQDyigz"&amp;"MsohRtDMs/edit?usp=share_link"",""อุทัยธานี!J579"")
"),0)</f>
        <v>0</v>
      </c>
      <c r="K579" s="163"/>
      <c r="L579" s="163"/>
      <c r="M579" s="163"/>
      <c r="N579" s="163"/>
      <c r="O579" s="163"/>
      <c r="P579" s="163"/>
      <c r="Q579" s="541"/>
      <c r="R579" s="541"/>
      <c r="S579" s="541"/>
      <c r="T579" s="541"/>
      <c r="U579" s="541"/>
      <c r="V579" s="541"/>
      <c r="W579" s="541"/>
      <c r="X579" s="541"/>
      <c r="Y579" s="541"/>
      <c r="Z579" s="541"/>
    </row>
    <row r="580" spans="1:26" ht="18.75">
      <c r="A580" s="572"/>
      <c r="B580" s="573"/>
      <c r="C580" s="573"/>
      <c r="D580" s="187" t="s">
        <v>245</v>
      </c>
      <c r="E580" s="585"/>
      <c r="F580" s="585"/>
      <c r="G580" s="175"/>
      <c r="H580" s="182" t="s">
        <v>46</v>
      </c>
      <c r="I580" s="162"/>
      <c r="J580" s="183">
        <f ca="1">IFERROR(__xludf.DUMMYFUNCTION("IMPORTRANGE(""https://docs.google.com/spreadsheets/d/1KxicF4apzSqm0-jIpmueT4kyZtE-Cwn5zskl7GD4loQ/edit?usp=share_link"",""กำแพงเพชร!J580"")+IMPORTRANGE(""https://docs.google.com/spreadsheets/d/1ZNYWeiFoFA1K1U4xKWqRX29MBvEyRHXORjo734Gnq_c/edit?usp=share_li"&amp;"nk"",""เชียงราย!J580"")
+IMPORTRANGE(""https://docs.google.com/spreadsheets/d/1Jgv0Y7YlHDtsiDawwp-uvifEJ8HVaSn0k2aGHG8-hwM/edit?usp=share_link"",""เชียงใหม่!J580"")+IMPORTRANGE(""https://docs.google.com/spreadsheets/d/1JWG2rZePOz9pe-f-ObA-yDr0VoOX2kSb0qIi"&amp;"x2mTUo8/edit?usp=share_link"",""ตาก!J580"")+IMPORTRANGE(""https://docs.google.com/spreadsheets/d/10nSRjK08hx8Y6HgSOQKNw81lyY46Zc7U_Cj72hBMp9U/edit?usp=share_link"",""นครสวรรค์!J580"")+IMPORTRANGE(""https://docs.google.com/spreadsheets/d/1gFVb7qd7amutrIxAA"&amp;"oM7lcy35hllxznovot8lyOfvDo/edit?usp=share_link"",""น่าน!J580"")+IMPORTRANGE(""https://docs.google.com/spreadsheets/d/1K0Aa9s-6EuHE5M0FG1F9aHLXRCOV917xvycTdLdct0w/edit?usp=share_link"",""พะเยา!J580"")+IMPORTRANGE(""https://docs.google.com/spreadsheets/d/1Y"&amp;"9LPKx95PyL5OKy09d-KbKJSuuEZCFdkhYjwC0XQjBA/edit?usp=share_link"",""พิจิตร!J580"")+IMPORTRANGE(""https://docs.google.com/spreadsheets/d/16OMuOwy2eVqZcYWOouQtTpa8X1L23h4660uVHc0C8os/edit?usp=share_link"",""พิษณุโลก!J580"")+IMPORTRANGE(""https://docs.google."&amp;"com/spreadsheets/d/1GfgTldLG6k77HXaMQzaafODklYuucJZQNs_GAPEfZyY/edit?usp=share_link"",""เพชรบูรณ์!J580"")+IMPORTRANGE(""https://docs.google.com/spreadsheets/d/1gvTMYAnm7v1yG1BKWFtr0DnaTsq59oW9dwWvFgq6hs0/edit?usp=share_link"",""แพร่!J580"")+IMPORTRANGE("""&amp;"https://docs.google.com/spreadsheets/d/1Wbcosgy-Xa1xXUArJSOenub6EfZHUSzc_bpJFWwQUf0/edit?usp=share_link"",""แม่ฮ่องสอน!J580"")+IMPORTRANGE(""https://docs.google.com/spreadsheets/d/1p7ERhsr0qZeSn-KSOdeHS9r0heI-lHtkcn2OH7hP0jQ/edit?usp=share_link"",""ลำปาง!"&amp;"J580"")+IMPORTRANGE(""https://docs.google.com/spreadsheets/d/1-uUXvimVhiU2U0bMN-xi2te0tS4X7DI2GLPnMjzl8cA/edit?usp=share_link"",""ลำพูน!J580"")+IMPORTRANGE(""https://docs.google.com/spreadsheets/d/17HrOaa5pBUI1onckFfumXB8xlg35qb2uBAFfF1D-Myo/edit?usp=shar"&amp;"e_link"",""สุโขทัย!J580"")+IMPORTRANGE(""https://docs.google.com/spreadsheets/d/1ubs5cl16eYL9gHbdHTJtmtYb9MGzHBs7CAphn8kNCgM/edit?usp=share_link"",""อุตรดิตถ์!J580"")+IMPORTRANGE(""https://docs.google.com/spreadsheets/d/1kII0BjS6CtVrBvI8IrytgPdxDrlyQDyigz"&amp;"MsohRtDMs/edit?usp=share_link"",""อุทัยธานี!J580"")
"),0)</f>
        <v>0</v>
      </c>
      <c r="K580" s="163"/>
      <c r="L580" s="163"/>
      <c r="M580" s="163"/>
      <c r="N580" s="163"/>
      <c r="O580" s="163"/>
      <c r="P580" s="163"/>
      <c r="Q580" s="541"/>
      <c r="R580" s="541"/>
      <c r="S580" s="541"/>
      <c r="T580" s="541"/>
      <c r="U580" s="541"/>
      <c r="V580" s="541"/>
      <c r="W580" s="541"/>
      <c r="X580" s="541"/>
      <c r="Y580" s="541"/>
      <c r="Z580" s="541"/>
    </row>
    <row r="581" spans="1:26" ht="18.75">
      <c r="A581" s="572"/>
      <c r="B581" s="573"/>
      <c r="C581" s="573"/>
      <c r="D581" s="573"/>
      <c r="E581" s="585"/>
      <c r="F581" s="585"/>
      <c r="G581" s="175"/>
      <c r="H581" s="182" t="s">
        <v>34</v>
      </c>
      <c r="I581" s="162"/>
      <c r="J581" s="183">
        <f ca="1">IFERROR(__xludf.DUMMYFUNCTION("IMPORTRANGE(""https://docs.google.com/spreadsheets/d/1KxicF4apzSqm0-jIpmueT4kyZtE-Cwn5zskl7GD4loQ/edit?usp=share_link"",""กำแพงเพชร!J581"")+IMPORTRANGE(""https://docs.google.com/spreadsheets/d/1ZNYWeiFoFA1K1U4xKWqRX29MBvEyRHXORjo734Gnq_c/edit?usp=share_li"&amp;"nk"",""เชียงราย!J581"")
+IMPORTRANGE(""https://docs.google.com/spreadsheets/d/1Jgv0Y7YlHDtsiDawwp-uvifEJ8HVaSn0k2aGHG8-hwM/edit?usp=share_link"",""เชียงใหม่!J581"")+IMPORTRANGE(""https://docs.google.com/spreadsheets/d/1JWG2rZePOz9pe-f-ObA-yDr0VoOX2kSb0qIi"&amp;"x2mTUo8/edit?usp=share_link"",""ตาก!J581"")+IMPORTRANGE(""https://docs.google.com/spreadsheets/d/10nSRjK08hx8Y6HgSOQKNw81lyY46Zc7U_Cj72hBMp9U/edit?usp=share_link"",""นครสวรรค์!J581"")+IMPORTRANGE(""https://docs.google.com/spreadsheets/d/1gFVb7qd7amutrIxAA"&amp;"oM7lcy35hllxznovot8lyOfvDo/edit?usp=share_link"",""น่าน!J581"")+IMPORTRANGE(""https://docs.google.com/spreadsheets/d/1K0Aa9s-6EuHE5M0FG1F9aHLXRCOV917xvycTdLdct0w/edit?usp=share_link"",""พะเยา!J581"")+IMPORTRANGE(""https://docs.google.com/spreadsheets/d/1Y"&amp;"9LPKx95PyL5OKy09d-KbKJSuuEZCFdkhYjwC0XQjBA/edit?usp=share_link"",""พิจิตร!J581"")+IMPORTRANGE(""https://docs.google.com/spreadsheets/d/16OMuOwy2eVqZcYWOouQtTpa8X1L23h4660uVHc0C8os/edit?usp=share_link"",""พิษณุโลก!J581"")+IMPORTRANGE(""https://docs.google."&amp;"com/spreadsheets/d/1GfgTldLG6k77HXaMQzaafODklYuucJZQNs_GAPEfZyY/edit?usp=share_link"",""เพชรบูรณ์!J581"")+IMPORTRANGE(""https://docs.google.com/spreadsheets/d/1gvTMYAnm7v1yG1BKWFtr0DnaTsq59oW9dwWvFgq6hs0/edit?usp=share_link"",""แพร่!J581"")+IMPORTRANGE("""&amp;"https://docs.google.com/spreadsheets/d/1Wbcosgy-Xa1xXUArJSOenub6EfZHUSzc_bpJFWwQUf0/edit?usp=share_link"",""แม่ฮ่องสอน!J581"")+IMPORTRANGE(""https://docs.google.com/spreadsheets/d/1p7ERhsr0qZeSn-KSOdeHS9r0heI-lHtkcn2OH7hP0jQ/edit?usp=share_link"",""ลำปาง!"&amp;"J581"")+IMPORTRANGE(""https://docs.google.com/spreadsheets/d/1-uUXvimVhiU2U0bMN-xi2te0tS4X7DI2GLPnMjzl8cA/edit?usp=share_link"",""ลำพูน!J581"")+IMPORTRANGE(""https://docs.google.com/spreadsheets/d/17HrOaa5pBUI1onckFfumXB8xlg35qb2uBAFfF1D-Myo/edit?usp=shar"&amp;"e_link"",""สุโขทัย!J581"")+IMPORTRANGE(""https://docs.google.com/spreadsheets/d/1ubs5cl16eYL9gHbdHTJtmtYb9MGzHBs7CAphn8kNCgM/edit?usp=share_link"",""อุตรดิตถ์!J581"")+IMPORTRANGE(""https://docs.google.com/spreadsheets/d/1kII0BjS6CtVrBvI8IrytgPdxDrlyQDyigz"&amp;"MsohRtDMs/edit?usp=share_link"",""อุทัยธานี!J581"")
"),0)</f>
        <v>0</v>
      </c>
      <c r="K581" s="163"/>
      <c r="L581" s="163"/>
      <c r="M581" s="163"/>
      <c r="N581" s="163"/>
      <c r="O581" s="163"/>
      <c r="P581" s="163"/>
      <c r="Q581" s="541"/>
      <c r="R581" s="541"/>
      <c r="S581" s="541"/>
      <c r="T581" s="541"/>
      <c r="U581" s="541"/>
      <c r="V581" s="541"/>
      <c r="W581" s="541"/>
      <c r="X581" s="541"/>
      <c r="Y581" s="541"/>
      <c r="Z581" s="541"/>
    </row>
    <row r="582" spans="1:26" ht="19.5">
      <c r="A582" s="572"/>
      <c r="B582" s="573"/>
      <c r="C582" s="573"/>
      <c r="D582" s="187" t="s">
        <v>246</v>
      </c>
      <c r="E582" s="585"/>
      <c r="F582" s="585"/>
      <c r="G582" s="175"/>
      <c r="H582" s="182" t="s">
        <v>46</v>
      </c>
      <c r="I582" s="162"/>
      <c r="J582" s="194">
        <f t="shared" ref="J582:J583" ca="1" si="290">J584+J586</f>
        <v>0</v>
      </c>
      <c r="K582" s="379"/>
      <c r="L582" s="163"/>
      <c r="M582" s="163"/>
      <c r="N582" s="163"/>
      <c r="O582" s="163"/>
      <c r="P582" s="163"/>
      <c r="Q582" s="541"/>
      <c r="R582" s="541"/>
      <c r="S582" s="541"/>
      <c r="T582" s="541"/>
      <c r="U582" s="541"/>
      <c r="V582" s="541"/>
      <c r="W582" s="541"/>
      <c r="X582" s="541"/>
      <c r="Y582" s="541"/>
      <c r="Z582" s="541"/>
    </row>
    <row r="583" spans="1:26" ht="19.5">
      <c r="A583" s="572"/>
      <c r="B583" s="573"/>
      <c r="C583" s="573"/>
      <c r="D583" s="573"/>
      <c r="E583" s="585"/>
      <c r="F583" s="585"/>
      <c r="G583" s="175"/>
      <c r="H583" s="182" t="s">
        <v>34</v>
      </c>
      <c r="I583" s="162"/>
      <c r="J583" s="194">
        <f t="shared" ca="1" si="290"/>
        <v>0</v>
      </c>
      <c r="K583" s="379"/>
      <c r="L583" s="163"/>
      <c r="M583" s="163"/>
      <c r="N583" s="163"/>
      <c r="O583" s="163"/>
      <c r="P583" s="163"/>
      <c r="Q583" s="541"/>
      <c r="R583" s="541"/>
      <c r="S583" s="541"/>
      <c r="T583" s="541"/>
      <c r="U583" s="541"/>
      <c r="V583" s="541"/>
      <c r="W583" s="541"/>
      <c r="X583" s="541"/>
      <c r="Y583" s="541"/>
      <c r="Z583" s="541"/>
    </row>
    <row r="584" spans="1:26" ht="18.75">
      <c r="A584" s="572"/>
      <c r="B584" s="573"/>
      <c r="C584" s="573"/>
      <c r="D584" s="573"/>
      <c r="E584" s="187" t="s">
        <v>247</v>
      </c>
      <c r="F584" s="585"/>
      <c r="G584" s="175"/>
      <c r="H584" s="182" t="s">
        <v>46</v>
      </c>
      <c r="I584" s="162"/>
      <c r="J584" s="183">
        <f ca="1">IFERROR(__xludf.DUMMYFUNCTION("IMPORTRANGE(""https://docs.google.com/spreadsheets/d/1KxicF4apzSqm0-jIpmueT4kyZtE-Cwn5zskl7GD4loQ/edit?usp=share_link"",""กำแพงเพชร!J584"")+IMPORTRANGE(""https://docs.google.com/spreadsheets/d/1ZNYWeiFoFA1K1U4xKWqRX29MBvEyRHXORjo734Gnq_c/edit?usp=share_li"&amp;"nk"",""เชียงราย!J584"")
+IMPORTRANGE(""https://docs.google.com/spreadsheets/d/1Jgv0Y7YlHDtsiDawwp-uvifEJ8HVaSn0k2aGHG8-hwM/edit?usp=share_link"",""เชียงใหม่!J584"")+IMPORTRANGE(""https://docs.google.com/spreadsheets/d/1JWG2rZePOz9pe-f-ObA-yDr0VoOX2kSb0qIi"&amp;"x2mTUo8/edit?usp=share_link"",""ตาก!J584"")+IMPORTRANGE(""https://docs.google.com/spreadsheets/d/10nSRjK08hx8Y6HgSOQKNw81lyY46Zc7U_Cj72hBMp9U/edit?usp=share_link"",""นครสวรรค์!J584"")+IMPORTRANGE(""https://docs.google.com/spreadsheets/d/1gFVb7qd7amutrIxAA"&amp;"oM7lcy35hllxznovot8lyOfvDo/edit?usp=share_link"",""น่าน!J584"")+IMPORTRANGE(""https://docs.google.com/spreadsheets/d/1K0Aa9s-6EuHE5M0FG1F9aHLXRCOV917xvycTdLdct0w/edit?usp=share_link"",""พะเยา!J584"")+IMPORTRANGE(""https://docs.google.com/spreadsheets/d/1Y"&amp;"9LPKx95PyL5OKy09d-KbKJSuuEZCFdkhYjwC0XQjBA/edit?usp=share_link"",""พิจิตร!J584"")+IMPORTRANGE(""https://docs.google.com/spreadsheets/d/16OMuOwy2eVqZcYWOouQtTpa8X1L23h4660uVHc0C8os/edit?usp=share_link"",""พิษณุโลก!J584"")+IMPORTRANGE(""https://docs.google."&amp;"com/spreadsheets/d/1GfgTldLG6k77HXaMQzaafODklYuucJZQNs_GAPEfZyY/edit?usp=share_link"",""เพชรบูรณ์!J584"")+IMPORTRANGE(""https://docs.google.com/spreadsheets/d/1gvTMYAnm7v1yG1BKWFtr0DnaTsq59oW9dwWvFgq6hs0/edit?usp=share_link"",""แพร่!J584"")+IMPORTRANGE("""&amp;"https://docs.google.com/spreadsheets/d/1Wbcosgy-Xa1xXUArJSOenub6EfZHUSzc_bpJFWwQUf0/edit?usp=share_link"",""แม่ฮ่องสอน!J584"")+IMPORTRANGE(""https://docs.google.com/spreadsheets/d/1p7ERhsr0qZeSn-KSOdeHS9r0heI-lHtkcn2OH7hP0jQ/edit?usp=share_link"",""ลำปาง!"&amp;"J584"")+IMPORTRANGE(""https://docs.google.com/spreadsheets/d/1-uUXvimVhiU2U0bMN-xi2te0tS4X7DI2GLPnMjzl8cA/edit?usp=share_link"",""ลำพูน!J584"")+IMPORTRANGE(""https://docs.google.com/spreadsheets/d/17HrOaa5pBUI1onckFfumXB8xlg35qb2uBAFfF1D-Myo/edit?usp=shar"&amp;"e_link"",""สุโขทัย!J584"")+IMPORTRANGE(""https://docs.google.com/spreadsheets/d/1ubs5cl16eYL9gHbdHTJtmtYb9MGzHBs7CAphn8kNCgM/edit?usp=share_link"",""อุตรดิตถ์!J584"")+IMPORTRANGE(""https://docs.google.com/spreadsheets/d/1kII0BjS6CtVrBvI8IrytgPdxDrlyQDyigz"&amp;"MsohRtDMs/edit?usp=share_link"",""อุทัยธานี!J584"")
"),0)</f>
        <v>0</v>
      </c>
      <c r="K584" s="163"/>
      <c r="L584" s="163"/>
      <c r="M584" s="163"/>
      <c r="N584" s="163"/>
      <c r="O584" s="163"/>
      <c r="P584" s="163"/>
      <c r="Q584" s="541"/>
      <c r="R584" s="541"/>
      <c r="S584" s="541"/>
      <c r="T584" s="541"/>
      <c r="U584" s="541"/>
      <c r="V584" s="541"/>
      <c r="W584" s="541"/>
      <c r="X584" s="541"/>
      <c r="Y584" s="541"/>
      <c r="Z584" s="541"/>
    </row>
    <row r="585" spans="1:26" ht="18.75">
      <c r="A585" s="572"/>
      <c r="B585" s="573"/>
      <c r="C585" s="573"/>
      <c r="D585" s="573"/>
      <c r="E585" s="585"/>
      <c r="F585" s="585"/>
      <c r="G585" s="175"/>
      <c r="H585" s="182" t="s">
        <v>34</v>
      </c>
      <c r="I585" s="162"/>
      <c r="J585" s="183">
        <f ca="1">IFERROR(__xludf.DUMMYFUNCTION("IMPORTRANGE(""https://docs.google.com/spreadsheets/d/1KxicF4apzSqm0-jIpmueT4kyZtE-Cwn5zskl7GD4loQ/edit?usp=share_link"",""กำแพงเพชร!J585"")+IMPORTRANGE(""https://docs.google.com/spreadsheets/d/1ZNYWeiFoFA1K1U4xKWqRX29MBvEyRHXORjo734Gnq_c/edit?usp=share_li"&amp;"nk"",""เชียงราย!J585"")
+IMPORTRANGE(""https://docs.google.com/spreadsheets/d/1Jgv0Y7YlHDtsiDawwp-uvifEJ8HVaSn0k2aGHG8-hwM/edit?usp=share_link"",""เชียงใหม่!J585"")+IMPORTRANGE(""https://docs.google.com/spreadsheets/d/1JWG2rZePOz9pe-f-ObA-yDr0VoOX2kSb0qIi"&amp;"x2mTUo8/edit?usp=share_link"",""ตาก!J585"")+IMPORTRANGE(""https://docs.google.com/spreadsheets/d/10nSRjK08hx8Y6HgSOQKNw81lyY46Zc7U_Cj72hBMp9U/edit?usp=share_link"",""นครสวรรค์!J585"")+IMPORTRANGE(""https://docs.google.com/spreadsheets/d/1gFVb7qd7amutrIxAA"&amp;"oM7lcy35hllxznovot8lyOfvDo/edit?usp=share_link"",""น่าน!J585"")+IMPORTRANGE(""https://docs.google.com/spreadsheets/d/1K0Aa9s-6EuHE5M0FG1F9aHLXRCOV917xvycTdLdct0w/edit?usp=share_link"",""พะเยา!J585"")+IMPORTRANGE(""https://docs.google.com/spreadsheets/d/1Y"&amp;"9LPKx95PyL5OKy09d-KbKJSuuEZCFdkhYjwC0XQjBA/edit?usp=share_link"",""พิจิตร!J585"")+IMPORTRANGE(""https://docs.google.com/spreadsheets/d/16OMuOwy2eVqZcYWOouQtTpa8X1L23h4660uVHc0C8os/edit?usp=share_link"",""พิษณุโลก!J585"")+IMPORTRANGE(""https://docs.google."&amp;"com/spreadsheets/d/1GfgTldLG6k77HXaMQzaafODklYuucJZQNs_GAPEfZyY/edit?usp=share_link"",""เพชรบูรณ์!J585"")+IMPORTRANGE(""https://docs.google.com/spreadsheets/d/1gvTMYAnm7v1yG1BKWFtr0DnaTsq59oW9dwWvFgq6hs0/edit?usp=share_link"",""แพร่!J585"")+IMPORTRANGE("""&amp;"https://docs.google.com/spreadsheets/d/1Wbcosgy-Xa1xXUArJSOenub6EfZHUSzc_bpJFWwQUf0/edit?usp=share_link"",""แม่ฮ่องสอน!J585"")+IMPORTRANGE(""https://docs.google.com/spreadsheets/d/1p7ERhsr0qZeSn-KSOdeHS9r0heI-lHtkcn2OH7hP0jQ/edit?usp=share_link"",""ลำปาง!"&amp;"J585"")+IMPORTRANGE(""https://docs.google.com/spreadsheets/d/1-uUXvimVhiU2U0bMN-xi2te0tS4X7DI2GLPnMjzl8cA/edit?usp=share_link"",""ลำพูน!J585"")+IMPORTRANGE(""https://docs.google.com/spreadsheets/d/17HrOaa5pBUI1onckFfumXB8xlg35qb2uBAFfF1D-Myo/edit?usp=shar"&amp;"e_link"",""สุโขทัย!J585"")+IMPORTRANGE(""https://docs.google.com/spreadsheets/d/1ubs5cl16eYL9gHbdHTJtmtYb9MGzHBs7CAphn8kNCgM/edit?usp=share_link"",""อุตรดิตถ์!J585"")+IMPORTRANGE(""https://docs.google.com/spreadsheets/d/1kII0BjS6CtVrBvI8IrytgPdxDrlyQDyigz"&amp;"MsohRtDMs/edit?usp=share_link"",""อุทัยธานี!J585"")
"),0)</f>
        <v>0</v>
      </c>
      <c r="K585" s="163"/>
      <c r="L585" s="163"/>
      <c r="M585" s="163"/>
      <c r="N585" s="163"/>
      <c r="O585" s="163"/>
      <c r="P585" s="163"/>
      <c r="Q585" s="541"/>
      <c r="R585" s="541"/>
      <c r="S585" s="541"/>
      <c r="T585" s="541"/>
      <c r="U585" s="541"/>
      <c r="V585" s="541"/>
      <c r="W585" s="541"/>
      <c r="X585" s="541"/>
      <c r="Y585" s="541"/>
      <c r="Z585" s="541"/>
    </row>
    <row r="586" spans="1:26" ht="18.75">
      <c r="A586" s="572"/>
      <c r="B586" s="573"/>
      <c r="C586" s="573"/>
      <c r="D586" s="573"/>
      <c r="E586" s="187" t="s">
        <v>248</v>
      </c>
      <c r="F586" s="585"/>
      <c r="G586" s="175"/>
      <c r="H586" s="182" t="s">
        <v>46</v>
      </c>
      <c r="I586" s="162"/>
      <c r="J586" s="183">
        <f ca="1">IFERROR(__xludf.DUMMYFUNCTION("IMPORTRANGE(""https://docs.google.com/spreadsheets/d/1KxicF4apzSqm0-jIpmueT4kyZtE-Cwn5zskl7GD4loQ/edit?usp=share_link"",""กำแพงเพชร!J586"")+IMPORTRANGE(""https://docs.google.com/spreadsheets/d/1ZNYWeiFoFA1K1U4xKWqRX29MBvEyRHXORjo734Gnq_c/edit?usp=share_li"&amp;"nk"",""เชียงราย!J586"")
+IMPORTRANGE(""https://docs.google.com/spreadsheets/d/1Jgv0Y7YlHDtsiDawwp-uvifEJ8HVaSn0k2aGHG8-hwM/edit?usp=share_link"",""เชียงใหม่!J586"")+IMPORTRANGE(""https://docs.google.com/spreadsheets/d/1JWG2rZePOz9pe-f-ObA-yDr0VoOX2kSb0qIi"&amp;"x2mTUo8/edit?usp=share_link"",""ตาก!J586"")+IMPORTRANGE(""https://docs.google.com/spreadsheets/d/10nSRjK08hx8Y6HgSOQKNw81lyY46Zc7U_Cj72hBMp9U/edit?usp=share_link"",""นครสวรรค์!J586"")+IMPORTRANGE(""https://docs.google.com/spreadsheets/d/1gFVb7qd7amutrIxAA"&amp;"oM7lcy35hllxznovot8lyOfvDo/edit?usp=share_link"",""น่าน!J586"")+IMPORTRANGE(""https://docs.google.com/spreadsheets/d/1K0Aa9s-6EuHE5M0FG1F9aHLXRCOV917xvycTdLdct0w/edit?usp=share_link"",""พะเยา!J586"")+IMPORTRANGE(""https://docs.google.com/spreadsheets/d/1Y"&amp;"9LPKx95PyL5OKy09d-KbKJSuuEZCFdkhYjwC0XQjBA/edit?usp=share_link"",""พิจิตร!J586"")+IMPORTRANGE(""https://docs.google.com/spreadsheets/d/16OMuOwy2eVqZcYWOouQtTpa8X1L23h4660uVHc0C8os/edit?usp=share_link"",""พิษณุโลก!J586"")+IMPORTRANGE(""https://docs.google."&amp;"com/spreadsheets/d/1GfgTldLG6k77HXaMQzaafODklYuucJZQNs_GAPEfZyY/edit?usp=share_link"",""เพชรบูรณ์!J586"")+IMPORTRANGE(""https://docs.google.com/spreadsheets/d/1gvTMYAnm7v1yG1BKWFtr0DnaTsq59oW9dwWvFgq6hs0/edit?usp=share_link"",""แพร่!J586"")+IMPORTRANGE("""&amp;"https://docs.google.com/spreadsheets/d/1Wbcosgy-Xa1xXUArJSOenub6EfZHUSzc_bpJFWwQUf0/edit?usp=share_link"",""แม่ฮ่องสอน!J586"")+IMPORTRANGE(""https://docs.google.com/spreadsheets/d/1p7ERhsr0qZeSn-KSOdeHS9r0heI-lHtkcn2OH7hP0jQ/edit?usp=share_link"",""ลำปาง!"&amp;"J586"")+IMPORTRANGE(""https://docs.google.com/spreadsheets/d/1-uUXvimVhiU2U0bMN-xi2te0tS4X7DI2GLPnMjzl8cA/edit?usp=share_link"",""ลำพูน!J586"")+IMPORTRANGE(""https://docs.google.com/spreadsheets/d/17HrOaa5pBUI1onckFfumXB8xlg35qb2uBAFfF1D-Myo/edit?usp=shar"&amp;"e_link"",""สุโขทัย!J586"")+IMPORTRANGE(""https://docs.google.com/spreadsheets/d/1ubs5cl16eYL9gHbdHTJtmtYb9MGzHBs7CAphn8kNCgM/edit?usp=share_link"",""อุตรดิตถ์!J586"")+IMPORTRANGE(""https://docs.google.com/spreadsheets/d/1kII0BjS6CtVrBvI8IrytgPdxDrlyQDyigz"&amp;"MsohRtDMs/edit?usp=share_link"",""อุทัยธานี!J586"")
"),0)</f>
        <v>0</v>
      </c>
      <c r="K586" s="163"/>
      <c r="L586" s="163"/>
      <c r="M586" s="163"/>
      <c r="N586" s="163"/>
      <c r="O586" s="163"/>
      <c r="P586" s="163"/>
      <c r="Q586" s="541"/>
      <c r="R586" s="541"/>
      <c r="S586" s="541"/>
      <c r="T586" s="541"/>
      <c r="U586" s="541"/>
      <c r="V586" s="541"/>
      <c r="W586" s="541"/>
      <c r="X586" s="541"/>
      <c r="Y586" s="541"/>
      <c r="Z586" s="541"/>
    </row>
    <row r="587" spans="1:26" ht="18.75">
      <c r="A587" s="572"/>
      <c r="B587" s="573"/>
      <c r="C587" s="573"/>
      <c r="D587" s="573"/>
      <c r="E587" s="573"/>
      <c r="F587" s="585"/>
      <c r="G587" s="175"/>
      <c r="H587" s="182" t="s">
        <v>34</v>
      </c>
      <c r="I587" s="162"/>
      <c r="J587" s="183">
        <f ca="1">IFERROR(__xludf.DUMMYFUNCTION("IMPORTRANGE(""https://docs.google.com/spreadsheets/d/1KxicF4apzSqm0-jIpmueT4kyZtE-Cwn5zskl7GD4loQ/edit?usp=share_link"",""กำแพงเพชร!J587"")+IMPORTRANGE(""https://docs.google.com/spreadsheets/d/1ZNYWeiFoFA1K1U4xKWqRX29MBvEyRHXORjo734Gnq_c/edit?usp=share_li"&amp;"nk"",""เชียงราย!J587"")
+IMPORTRANGE(""https://docs.google.com/spreadsheets/d/1Jgv0Y7YlHDtsiDawwp-uvifEJ8HVaSn0k2aGHG8-hwM/edit?usp=share_link"",""เชียงใหม่!J587"")+IMPORTRANGE(""https://docs.google.com/spreadsheets/d/1JWG2rZePOz9pe-f-ObA-yDr0VoOX2kSb0qIi"&amp;"x2mTUo8/edit?usp=share_link"",""ตาก!J587"")+IMPORTRANGE(""https://docs.google.com/spreadsheets/d/10nSRjK08hx8Y6HgSOQKNw81lyY46Zc7U_Cj72hBMp9U/edit?usp=share_link"",""นครสวรรค์!J587"")+IMPORTRANGE(""https://docs.google.com/spreadsheets/d/1gFVb7qd7amutrIxAA"&amp;"oM7lcy35hllxznovot8lyOfvDo/edit?usp=share_link"",""น่าน!J587"")+IMPORTRANGE(""https://docs.google.com/spreadsheets/d/1K0Aa9s-6EuHE5M0FG1F9aHLXRCOV917xvycTdLdct0w/edit?usp=share_link"",""พะเยา!J587"")+IMPORTRANGE(""https://docs.google.com/spreadsheets/d/1Y"&amp;"9LPKx95PyL5OKy09d-KbKJSuuEZCFdkhYjwC0XQjBA/edit?usp=share_link"",""พิจิตร!J587"")+IMPORTRANGE(""https://docs.google.com/spreadsheets/d/16OMuOwy2eVqZcYWOouQtTpa8X1L23h4660uVHc0C8os/edit?usp=share_link"",""พิษณุโลก!J587"")+IMPORTRANGE(""https://docs.google."&amp;"com/spreadsheets/d/1GfgTldLG6k77HXaMQzaafODklYuucJZQNs_GAPEfZyY/edit?usp=share_link"",""เพชรบูรณ์!J587"")+IMPORTRANGE(""https://docs.google.com/spreadsheets/d/1gvTMYAnm7v1yG1BKWFtr0DnaTsq59oW9dwWvFgq6hs0/edit?usp=share_link"",""แพร่!J587"")+IMPORTRANGE("""&amp;"https://docs.google.com/spreadsheets/d/1Wbcosgy-Xa1xXUArJSOenub6EfZHUSzc_bpJFWwQUf0/edit?usp=share_link"",""แม่ฮ่องสอน!J587"")+IMPORTRANGE(""https://docs.google.com/spreadsheets/d/1p7ERhsr0qZeSn-KSOdeHS9r0heI-lHtkcn2OH7hP0jQ/edit?usp=share_link"",""ลำปาง!"&amp;"J587"")+IMPORTRANGE(""https://docs.google.com/spreadsheets/d/1-uUXvimVhiU2U0bMN-xi2te0tS4X7DI2GLPnMjzl8cA/edit?usp=share_link"",""ลำพูน!J587"")+IMPORTRANGE(""https://docs.google.com/spreadsheets/d/17HrOaa5pBUI1onckFfumXB8xlg35qb2uBAFfF1D-Myo/edit?usp=shar"&amp;"e_link"",""สุโขทัย!J587"")+IMPORTRANGE(""https://docs.google.com/spreadsheets/d/1ubs5cl16eYL9gHbdHTJtmtYb9MGzHBs7CAphn8kNCgM/edit?usp=share_link"",""อุตรดิตถ์!J587"")+IMPORTRANGE(""https://docs.google.com/spreadsheets/d/1kII0BjS6CtVrBvI8IrytgPdxDrlyQDyigz"&amp;"MsohRtDMs/edit?usp=share_link"",""อุทัยธานี!J587"")
"),0)</f>
        <v>0</v>
      </c>
      <c r="K587" s="163"/>
      <c r="L587" s="163"/>
      <c r="M587" s="163"/>
      <c r="N587" s="163"/>
      <c r="O587" s="163"/>
      <c r="P587" s="163"/>
      <c r="Q587" s="541"/>
      <c r="R587" s="541"/>
      <c r="S587" s="541"/>
      <c r="T587" s="541"/>
      <c r="U587" s="541"/>
      <c r="V587" s="541"/>
      <c r="W587" s="541"/>
      <c r="X587" s="541"/>
      <c r="Y587" s="541"/>
      <c r="Z587" s="541"/>
    </row>
    <row r="588" spans="1:26" ht="18.75">
      <c r="A588" s="572"/>
      <c r="B588" s="573"/>
      <c r="C588" s="573"/>
      <c r="D588" s="187" t="s">
        <v>249</v>
      </c>
      <c r="E588" s="585"/>
      <c r="F588" s="585"/>
      <c r="G588" s="175"/>
      <c r="H588" s="182" t="s">
        <v>46</v>
      </c>
      <c r="I588" s="162"/>
      <c r="J588" s="183">
        <f ca="1">IFERROR(__xludf.DUMMYFUNCTION("IMPORTRANGE(""https://docs.google.com/spreadsheets/d/1KxicF4apzSqm0-jIpmueT4kyZtE-Cwn5zskl7GD4loQ/edit?usp=share_link"",""กำแพงเพชร!J588"")+IMPORTRANGE(""https://docs.google.com/spreadsheets/d/1ZNYWeiFoFA1K1U4xKWqRX29MBvEyRHXORjo734Gnq_c/edit?usp=share_li"&amp;"nk"",""เชียงราย!J588"")
+IMPORTRANGE(""https://docs.google.com/spreadsheets/d/1Jgv0Y7YlHDtsiDawwp-uvifEJ8HVaSn0k2aGHG8-hwM/edit?usp=share_link"",""เชียงใหม่!J588"")+IMPORTRANGE(""https://docs.google.com/spreadsheets/d/1JWG2rZePOz9pe-f-ObA-yDr0VoOX2kSb0qIi"&amp;"x2mTUo8/edit?usp=share_link"",""ตาก!J588"")+IMPORTRANGE(""https://docs.google.com/spreadsheets/d/10nSRjK08hx8Y6HgSOQKNw81lyY46Zc7U_Cj72hBMp9U/edit?usp=share_link"",""นครสวรรค์!J588"")+IMPORTRANGE(""https://docs.google.com/spreadsheets/d/1gFVb7qd7amutrIxAA"&amp;"oM7lcy35hllxznovot8lyOfvDo/edit?usp=share_link"",""น่าน!J588"")+IMPORTRANGE(""https://docs.google.com/spreadsheets/d/1K0Aa9s-6EuHE5M0FG1F9aHLXRCOV917xvycTdLdct0w/edit?usp=share_link"",""พะเยา!J588"")+IMPORTRANGE(""https://docs.google.com/spreadsheets/d/1Y"&amp;"9LPKx95PyL5OKy09d-KbKJSuuEZCFdkhYjwC0XQjBA/edit?usp=share_link"",""พิจิตร!J588"")+IMPORTRANGE(""https://docs.google.com/spreadsheets/d/16OMuOwy2eVqZcYWOouQtTpa8X1L23h4660uVHc0C8os/edit?usp=share_link"",""พิษณุโลก!J588"")+IMPORTRANGE(""https://docs.google."&amp;"com/spreadsheets/d/1GfgTldLG6k77HXaMQzaafODklYuucJZQNs_GAPEfZyY/edit?usp=share_link"",""เพชรบูรณ์!J588"")+IMPORTRANGE(""https://docs.google.com/spreadsheets/d/1gvTMYAnm7v1yG1BKWFtr0DnaTsq59oW9dwWvFgq6hs0/edit?usp=share_link"",""แพร่!J588"")+IMPORTRANGE("""&amp;"https://docs.google.com/spreadsheets/d/1Wbcosgy-Xa1xXUArJSOenub6EfZHUSzc_bpJFWwQUf0/edit?usp=share_link"",""แม่ฮ่องสอน!J588"")+IMPORTRANGE(""https://docs.google.com/spreadsheets/d/1p7ERhsr0qZeSn-KSOdeHS9r0heI-lHtkcn2OH7hP0jQ/edit?usp=share_link"",""ลำปาง!"&amp;"J588"")+IMPORTRANGE(""https://docs.google.com/spreadsheets/d/1-uUXvimVhiU2U0bMN-xi2te0tS4X7DI2GLPnMjzl8cA/edit?usp=share_link"",""ลำพูน!J588"")+IMPORTRANGE(""https://docs.google.com/spreadsheets/d/17HrOaa5pBUI1onckFfumXB8xlg35qb2uBAFfF1D-Myo/edit?usp=shar"&amp;"e_link"",""สุโขทัย!J588"")+IMPORTRANGE(""https://docs.google.com/spreadsheets/d/1ubs5cl16eYL9gHbdHTJtmtYb9MGzHBs7CAphn8kNCgM/edit?usp=share_link"",""อุตรดิตถ์!J588"")+IMPORTRANGE(""https://docs.google.com/spreadsheets/d/1kII0BjS6CtVrBvI8IrytgPdxDrlyQDyigz"&amp;"MsohRtDMs/edit?usp=share_link"",""อุทัยธานี!J588"")
"),0)</f>
        <v>0</v>
      </c>
      <c r="K588" s="163"/>
      <c r="L588" s="163"/>
      <c r="M588" s="163"/>
      <c r="N588" s="163"/>
      <c r="O588" s="163"/>
      <c r="P588" s="163"/>
      <c r="Q588" s="541"/>
      <c r="R588" s="541"/>
      <c r="S588" s="541"/>
      <c r="T588" s="541"/>
      <c r="U588" s="541"/>
      <c r="V588" s="541"/>
      <c r="W588" s="541"/>
      <c r="X588" s="541"/>
      <c r="Y588" s="541"/>
      <c r="Z588" s="541"/>
    </row>
    <row r="589" spans="1:26" ht="18.75">
      <c r="A589" s="572"/>
      <c r="B589" s="573"/>
      <c r="C589" s="573"/>
      <c r="D589" s="573"/>
      <c r="E589" s="573"/>
      <c r="F589" s="585"/>
      <c r="G589" s="175"/>
      <c r="H589" s="182" t="s">
        <v>34</v>
      </c>
      <c r="I589" s="162"/>
      <c r="J589" s="183">
        <f ca="1">IFERROR(__xludf.DUMMYFUNCTION("IMPORTRANGE(""https://docs.google.com/spreadsheets/d/1KxicF4apzSqm0-jIpmueT4kyZtE-Cwn5zskl7GD4loQ/edit?usp=share_link"",""กำแพงเพชร!J589"")+IMPORTRANGE(""https://docs.google.com/spreadsheets/d/1ZNYWeiFoFA1K1U4xKWqRX29MBvEyRHXORjo734Gnq_c/edit?usp=share_li"&amp;"nk"",""เชียงราย!J589"")
+IMPORTRANGE(""https://docs.google.com/spreadsheets/d/1Jgv0Y7YlHDtsiDawwp-uvifEJ8HVaSn0k2aGHG8-hwM/edit?usp=share_link"",""เชียงใหม่!J589"")+IMPORTRANGE(""https://docs.google.com/spreadsheets/d/1JWG2rZePOz9pe-f-ObA-yDr0VoOX2kSb0qIi"&amp;"x2mTUo8/edit?usp=share_link"",""ตาก!J589"")+IMPORTRANGE(""https://docs.google.com/spreadsheets/d/10nSRjK08hx8Y6HgSOQKNw81lyY46Zc7U_Cj72hBMp9U/edit?usp=share_link"",""นครสวรรค์!J589"")+IMPORTRANGE(""https://docs.google.com/spreadsheets/d/1gFVb7qd7amutrIxAA"&amp;"oM7lcy35hllxznovot8lyOfvDo/edit?usp=share_link"",""น่าน!J589"")+IMPORTRANGE(""https://docs.google.com/spreadsheets/d/1K0Aa9s-6EuHE5M0FG1F9aHLXRCOV917xvycTdLdct0w/edit?usp=share_link"",""พะเยา!J589"")+IMPORTRANGE(""https://docs.google.com/spreadsheets/d/1Y"&amp;"9LPKx95PyL5OKy09d-KbKJSuuEZCFdkhYjwC0XQjBA/edit?usp=share_link"",""พิจิตร!J589"")+IMPORTRANGE(""https://docs.google.com/spreadsheets/d/16OMuOwy2eVqZcYWOouQtTpa8X1L23h4660uVHc0C8os/edit?usp=share_link"",""พิษณุโลก!J589"")+IMPORTRANGE(""https://docs.google."&amp;"com/spreadsheets/d/1GfgTldLG6k77HXaMQzaafODklYuucJZQNs_GAPEfZyY/edit?usp=share_link"",""เพชรบูรณ์!J589"")+IMPORTRANGE(""https://docs.google.com/spreadsheets/d/1gvTMYAnm7v1yG1BKWFtr0DnaTsq59oW9dwWvFgq6hs0/edit?usp=share_link"",""แพร่!J589"")+IMPORTRANGE("""&amp;"https://docs.google.com/spreadsheets/d/1Wbcosgy-Xa1xXUArJSOenub6EfZHUSzc_bpJFWwQUf0/edit?usp=share_link"",""แม่ฮ่องสอน!J589"")+IMPORTRANGE(""https://docs.google.com/spreadsheets/d/1p7ERhsr0qZeSn-KSOdeHS9r0heI-lHtkcn2OH7hP0jQ/edit?usp=share_link"",""ลำปาง!"&amp;"J589"")+IMPORTRANGE(""https://docs.google.com/spreadsheets/d/1-uUXvimVhiU2U0bMN-xi2te0tS4X7DI2GLPnMjzl8cA/edit?usp=share_link"",""ลำพูน!J589"")+IMPORTRANGE(""https://docs.google.com/spreadsheets/d/17HrOaa5pBUI1onckFfumXB8xlg35qb2uBAFfF1D-Myo/edit?usp=shar"&amp;"e_link"",""สุโขทัย!J589"")+IMPORTRANGE(""https://docs.google.com/spreadsheets/d/1ubs5cl16eYL9gHbdHTJtmtYb9MGzHBs7CAphn8kNCgM/edit?usp=share_link"",""อุตรดิตถ์!J589"")+IMPORTRANGE(""https://docs.google.com/spreadsheets/d/1kII0BjS6CtVrBvI8IrytgPdxDrlyQDyigz"&amp;"MsohRtDMs/edit?usp=share_link"",""อุทัยธานี!J589"")
"),0)</f>
        <v>0</v>
      </c>
      <c r="K589" s="163"/>
      <c r="L589" s="163"/>
      <c r="M589" s="163"/>
      <c r="N589" s="163"/>
      <c r="O589" s="163"/>
      <c r="P589" s="163"/>
      <c r="Q589" s="541"/>
      <c r="R589" s="541"/>
      <c r="S589" s="541"/>
      <c r="T589" s="541"/>
      <c r="U589" s="541"/>
      <c r="V589" s="541"/>
      <c r="W589" s="541"/>
      <c r="X589" s="541"/>
      <c r="Y589" s="541"/>
      <c r="Z589" s="541"/>
    </row>
    <row r="590" spans="1:26" ht="18.75">
      <c r="A590" s="572"/>
      <c r="B590" s="573"/>
      <c r="C590" s="573"/>
      <c r="D590" s="187" t="s">
        <v>250</v>
      </c>
      <c r="E590" s="585"/>
      <c r="F590" s="585"/>
      <c r="G590" s="175"/>
      <c r="H590" s="182" t="s">
        <v>46</v>
      </c>
      <c r="I590" s="162"/>
      <c r="J590" s="183">
        <f ca="1">IFERROR(__xludf.DUMMYFUNCTION("IMPORTRANGE(""https://docs.google.com/spreadsheets/d/1KxicF4apzSqm0-jIpmueT4kyZtE-Cwn5zskl7GD4loQ/edit?usp=share_link"",""กำแพงเพชร!J590"")+IMPORTRANGE(""https://docs.google.com/spreadsheets/d/1ZNYWeiFoFA1K1U4xKWqRX29MBvEyRHXORjo734Gnq_c/edit?usp=share_li"&amp;"nk"",""เชียงราย!J590"")
+IMPORTRANGE(""https://docs.google.com/spreadsheets/d/1Jgv0Y7YlHDtsiDawwp-uvifEJ8HVaSn0k2aGHG8-hwM/edit?usp=share_link"",""เชียงใหม่!J590"")+IMPORTRANGE(""https://docs.google.com/spreadsheets/d/1JWG2rZePOz9pe-f-ObA-yDr0VoOX2kSb0qIi"&amp;"x2mTUo8/edit?usp=share_link"",""ตาก!J590"")+IMPORTRANGE(""https://docs.google.com/spreadsheets/d/10nSRjK08hx8Y6HgSOQKNw81lyY46Zc7U_Cj72hBMp9U/edit?usp=share_link"",""นครสวรรค์!J590"")+IMPORTRANGE(""https://docs.google.com/spreadsheets/d/1gFVb7qd7amutrIxAA"&amp;"oM7lcy35hllxznovot8lyOfvDo/edit?usp=share_link"",""น่าน!J590"")+IMPORTRANGE(""https://docs.google.com/spreadsheets/d/1K0Aa9s-6EuHE5M0FG1F9aHLXRCOV917xvycTdLdct0w/edit?usp=share_link"",""พะเยา!J590"")+IMPORTRANGE(""https://docs.google.com/spreadsheets/d/1Y"&amp;"9LPKx95PyL5OKy09d-KbKJSuuEZCFdkhYjwC0XQjBA/edit?usp=share_link"",""พิจิตร!J590"")+IMPORTRANGE(""https://docs.google.com/spreadsheets/d/16OMuOwy2eVqZcYWOouQtTpa8X1L23h4660uVHc0C8os/edit?usp=share_link"",""พิษณุโลก!J590"")+IMPORTRANGE(""https://docs.google."&amp;"com/spreadsheets/d/1GfgTldLG6k77HXaMQzaafODklYuucJZQNs_GAPEfZyY/edit?usp=share_link"",""เพชรบูรณ์!J590"")+IMPORTRANGE(""https://docs.google.com/spreadsheets/d/1gvTMYAnm7v1yG1BKWFtr0DnaTsq59oW9dwWvFgq6hs0/edit?usp=share_link"",""แพร่!J590"")+IMPORTRANGE("""&amp;"https://docs.google.com/spreadsheets/d/1Wbcosgy-Xa1xXUArJSOenub6EfZHUSzc_bpJFWwQUf0/edit?usp=share_link"",""แม่ฮ่องสอน!J590"")+IMPORTRANGE(""https://docs.google.com/spreadsheets/d/1p7ERhsr0qZeSn-KSOdeHS9r0heI-lHtkcn2OH7hP0jQ/edit?usp=share_link"",""ลำปาง!"&amp;"J590"")+IMPORTRANGE(""https://docs.google.com/spreadsheets/d/1-uUXvimVhiU2U0bMN-xi2te0tS4X7DI2GLPnMjzl8cA/edit?usp=share_link"",""ลำพูน!J590"")+IMPORTRANGE(""https://docs.google.com/spreadsheets/d/17HrOaa5pBUI1onckFfumXB8xlg35qb2uBAFfF1D-Myo/edit?usp=shar"&amp;"e_link"",""สุโขทัย!J590"")+IMPORTRANGE(""https://docs.google.com/spreadsheets/d/1ubs5cl16eYL9gHbdHTJtmtYb9MGzHBs7CAphn8kNCgM/edit?usp=share_link"",""อุตรดิตถ์!J590"")+IMPORTRANGE(""https://docs.google.com/spreadsheets/d/1kII0BjS6CtVrBvI8IrytgPdxDrlyQDyigz"&amp;"MsohRtDMs/edit?usp=share_link"",""อุทัยธานี!J590"")
"),0)</f>
        <v>0</v>
      </c>
      <c r="K590" s="163"/>
      <c r="L590" s="163"/>
      <c r="M590" s="163"/>
      <c r="N590" s="163"/>
      <c r="O590" s="163"/>
      <c r="P590" s="163"/>
      <c r="Q590" s="541"/>
      <c r="R590" s="541"/>
      <c r="S590" s="541"/>
      <c r="T590" s="541"/>
      <c r="U590" s="541"/>
      <c r="V590" s="541"/>
      <c r="W590" s="541"/>
      <c r="X590" s="541"/>
      <c r="Y590" s="541"/>
      <c r="Z590" s="541"/>
    </row>
    <row r="591" spans="1:26" ht="18.75">
      <c r="A591" s="662"/>
      <c r="B591" s="663"/>
      <c r="C591" s="663"/>
      <c r="D591" s="663"/>
      <c r="E591" s="541"/>
      <c r="F591" s="541"/>
      <c r="G591" s="664"/>
      <c r="H591" s="665" t="s">
        <v>34</v>
      </c>
      <c r="I591" s="666"/>
      <c r="J591" s="667">
        <f ca="1">IFERROR(__xludf.DUMMYFUNCTION("IMPORTRANGE(""https://docs.google.com/spreadsheets/d/1KxicF4apzSqm0-jIpmueT4kyZtE-Cwn5zskl7GD4loQ/edit?usp=share_link"",""กำแพงเพชร!J591"")+IMPORTRANGE(""https://docs.google.com/spreadsheets/d/1ZNYWeiFoFA1K1U4xKWqRX29MBvEyRHXORjo734Gnq_c/edit?usp=share_li"&amp;"nk"",""เชียงราย!J591"")
+IMPORTRANGE(""https://docs.google.com/spreadsheets/d/1Jgv0Y7YlHDtsiDawwp-uvifEJ8HVaSn0k2aGHG8-hwM/edit?usp=share_link"",""เชียงใหม่!J591"")+IMPORTRANGE(""https://docs.google.com/spreadsheets/d/1JWG2rZePOz9pe-f-ObA-yDr0VoOX2kSb0qIi"&amp;"x2mTUo8/edit?usp=share_link"",""ตาก!J591"")+IMPORTRANGE(""https://docs.google.com/spreadsheets/d/10nSRjK08hx8Y6HgSOQKNw81lyY46Zc7U_Cj72hBMp9U/edit?usp=share_link"",""นครสวรรค์!J591"")+IMPORTRANGE(""https://docs.google.com/spreadsheets/d/1gFVb7qd7amutrIxAA"&amp;"oM7lcy35hllxznovot8lyOfvDo/edit?usp=share_link"",""น่าน!J591"")+IMPORTRANGE(""https://docs.google.com/spreadsheets/d/1K0Aa9s-6EuHE5M0FG1F9aHLXRCOV917xvycTdLdct0w/edit?usp=share_link"",""พะเยา!J591"")+IMPORTRANGE(""https://docs.google.com/spreadsheets/d/1Y"&amp;"9LPKx95PyL5OKy09d-KbKJSuuEZCFdkhYjwC0XQjBA/edit?usp=share_link"",""พิจิตร!J591"")+IMPORTRANGE(""https://docs.google.com/spreadsheets/d/16OMuOwy2eVqZcYWOouQtTpa8X1L23h4660uVHc0C8os/edit?usp=share_link"",""พิษณุโลก!J591"")+IMPORTRANGE(""https://docs.google."&amp;"com/spreadsheets/d/1GfgTldLG6k77HXaMQzaafODklYuucJZQNs_GAPEfZyY/edit?usp=share_link"",""เพชรบูรณ์!J591"")+IMPORTRANGE(""https://docs.google.com/spreadsheets/d/1gvTMYAnm7v1yG1BKWFtr0DnaTsq59oW9dwWvFgq6hs0/edit?usp=share_link"",""แพร่!J591"")+IMPORTRANGE("""&amp;"https://docs.google.com/spreadsheets/d/1Wbcosgy-Xa1xXUArJSOenub6EfZHUSzc_bpJFWwQUf0/edit?usp=share_link"",""แม่ฮ่องสอน!J591"")+IMPORTRANGE(""https://docs.google.com/spreadsheets/d/1p7ERhsr0qZeSn-KSOdeHS9r0heI-lHtkcn2OH7hP0jQ/edit?usp=share_link"",""ลำปาง!"&amp;"J591"")+IMPORTRANGE(""https://docs.google.com/spreadsheets/d/1-uUXvimVhiU2U0bMN-xi2te0tS4X7DI2GLPnMjzl8cA/edit?usp=share_link"",""ลำพูน!J591"")+IMPORTRANGE(""https://docs.google.com/spreadsheets/d/17HrOaa5pBUI1onckFfumXB8xlg35qb2uBAFfF1D-Myo/edit?usp=shar"&amp;"e_link"",""สุโขทัย!J591"")+IMPORTRANGE(""https://docs.google.com/spreadsheets/d/1ubs5cl16eYL9gHbdHTJtmtYb9MGzHBs7CAphn8kNCgM/edit?usp=share_link"",""อุตรดิตถ์!J591"")+IMPORTRANGE(""https://docs.google.com/spreadsheets/d/1kII0BjS6CtVrBvI8IrytgPdxDrlyQDyigz"&amp;"MsohRtDMs/edit?usp=share_link"",""อุทัยธานี!J591"")
"),0)</f>
        <v>0</v>
      </c>
      <c r="K591" s="668"/>
      <c r="L591" s="668"/>
      <c r="M591" s="668"/>
      <c r="N591" s="668"/>
      <c r="O591" s="668"/>
      <c r="P591" s="668"/>
      <c r="Q591" s="541"/>
      <c r="R591" s="541"/>
      <c r="S591" s="541"/>
      <c r="T591" s="541"/>
      <c r="U591" s="541"/>
      <c r="V591" s="541"/>
      <c r="W591" s="541"/>
      <c r="X591" s="541"/>
      <c r="Y591" s="541"/>
      <c r="Z591" s="541"/>
    </row>
    <row r="592" spans="1:26" ht="19.5">
      <c r="A592" s="658"/>
      <c r="B592" s="659" t="s">
        <v>251</v>
      </c>
      <c r="C592" s="660"/>
      <c r="D592" s="660"/>
      <c r="E592" s="639"/>
      <c r="F592" s="639"/>
      <c r="G592" s="640"/>
      <c r="H592" s="661" t="s">
        <v>46</v>
      </c>
      <c r="I592" s="642">
        <f t="shared" ref="I592:J592" ca="1" si="291">I593</f>
        <v>46959</v>
      </c>
      <c r="J592" s="642">
        <f t="shared" ca="1" si="291"/>
        <v>0</v>
      </c>
      <c r="K592" s="643">
        <f t="shared" ref="K592:K594" ca="1" si="292">IF(I592&gt;0,J592*100/I592,0)</f>
        <v>0</v>
      </c>
      <c r="L592" s="644"/>
      <c r="M592" s="644"/>
      <c r="N592" s="644"/>
      <c r="O592" s="644"/>
      <c r="P592" s="644"/>
      <c r="Q592" s="541"/>
      <c r="R592" s="541"/>
      <c r="S592" s="541"/>
      <c r="T592" s="541"/>
      <c r="U592" s="541"/>
      <c r="V592" s="541"/>
      <c r="W592" s="541"/>
      <c r="X592" s="541"/>
      <c r="Y592" s="541"/>
      <c r="Z592" s="541"/>
    </row>
    <row r="593" spans="1:26" ht="19.5">
      <c r="A593" s="572"/>
      <c r="B593" s="573"/>
      <c r="C593" s="588" t="s">
        <v>252</v>
      </c>
      <c r="D593" s="573"/>
      <c r="E593" s="573"/>
      <c r="F593" s="585"/>
      <c r="G593" s="175"/>
      <c r="H593" s="192" t="s">
        <v>46</v>
      </c>
      <c r="I593" s="193">
        <f ca="1">IFERROR(__xludf.DUMMYFUNCTION("IMPORTRANGE(""https://docs.google.com/spreadsheets/d/1KxicF4apzSqm0-jIpmueT4kyZtE-Cwn5zskl7GD4loQ/edit?usp=share_link"",""กำแพงเพชร!I593"")+IMPORTRANGE(""https://docs.google.com/spreadsheets/d/1ZNYWeiFoFA1K1U4xKWqRX29MBvEyRHXORjo734Gnq_c/edit?usp=share_li"&amp;"nk"",""เชียงราย!I593"")
+IMPORTRANGE(""https://docs.google.com/spreadsheets/d/1Jgv0Y7YlHDtsiDawwp-uvifEJ8HVaSn0k2aGHG8-hwM/edit?usp=share_link"",""เชียงใหม่!I593"")+IMPORTRANGE(""https://docs.google.com/spreadsheets/d/1JWG2rZePOz9pe-f-ObA-yDr0VoOX2kSb0qIi"&amp;"x2mTUo8/edit?usp=share_link"",""ตาก!I593"")+IMPORTRANGE(""https://docs.google.com/spreadsheets/d/10nSRjK08hx8Y6HgSOQKNw81lyY46Zc7U_Cj72hBMp9U/edit?usp=share_link"",""นครสวรรค์!I593"")+IMPORTRANGE(""https://docs.google.com/spreadsheets/d/1gFVb7qd7amutrIxAA"&amp;"oM7lcy35hllxznovot8lyOfvDo/edit?usp=share_link"",""น่าน!I593"")+IMPORTRANGE(""https://docs.google.com/spreadsheets/d/1K0Aa9s-6EuHE5M0FG1F9aHLXRCOV917xvycTdLdct0w/edit?usp=share_link"",""พะเยา!I593"")+IMPORTRANGE(""https://docs.google.com/spreadsheets/d/1Y"&amp;"9LPKx95PyL5OKy09d-KbKJSuuEZCFdkhYjwC0XQjBA/edit?usp=share_link"",""พิจิตร!I593"")+IMPORTRANGE(""https://docs.google.com/spreadsheets/d/16OMuOwy2eVqZcYWOouQtTpa8X1L23h4660uVHc0C8os/edit?usp=share_link"",""พิษณุโลก!I593"")+IMPORTRANGE(""https://docs.google."&amp;"com/spreadsheets/d/1GfgTldLG6k77HXaMQzaafODklYuucJZQNs_GAPEfZyY/edit?usp=share_link"",""เพชรบูรณ์!I593"")+IMPORTRANGE(""https://docs.google.com/spreadsheets/d/1gvTMYAnm7v1yG1BKWFtr0DnaTsq59oW9dwWvFgq6hs0/edit?usp=share_link"",""แพร่!I593"")+IMPORTRANGE("""&amp;"https://docs.google.com/spreadsheets/d/1Wbcosgy-Xa1xXUArJSOenub6EfZHUSzc_bpJFWwQUf0/edit?usp=share_link"",""แม่ฮ่องสอน!I593"")+IMPORTRANGE(""https://docs.google.com/spreadsheets/d/1p7ERhsr0qZeSn-KSOdeHS9r0heI-lHtkcn2OH7hP0jQ/edit?usp=share_link"",""ลำปาง!"&amp;"I593"")+IMPORTRANGE(""https://docs.google.com/spreadsheets/d/1-uUXvimVhiU2U0bMN-xi2te0tS4X7DI2GLPnMjzl8cA/edit?usp=share_link"",""ลำพูน!I593"")+IMPORTRANGE(""https://docs.google.com/spreadsheets/d/17HrOaa5pBUI1onckFfumXB8xlg35qb2uBAFfF1D-Myo/edit?usp=shar"&amp;"e_link"",""สุโขทัย!I593"")+IMPORTRANGE(""https://docs.google.com/spreadsheets/d/1ubs5cl16eYL9gHbdHTJtmtYb9MGzHBs7CAphn8kNCgM/edit?usp=share_link"",""อุตรดิตถ์!I593"")+IMPORTRANGE(""https://docs.google.com/spreadsheets/d/1kII0BjS6CtVrBvI8IrytgPdxDrlyQDyigz"&amp;"MsohRtDMs/edit?usp=share_link"",""อุทัยธานี!I593"")
"),46959)</f>
        <v>46959</v>
      </c>
      <c r="J593" s="193">
        <f t="shared" ref="J593:J594" ca="1" si="293">J595+J603+J609</f>
        <v>0</v>
      </c>
      <c r="K593" s="379">
        <f t="shared" ca="1" si="292"/>
        <v>0</v>
      </c>
      <c r="L593" s="163"/>
      <c r="M593" s="163"/>
      <c r="N593" s="163"/>
      <c r="O593" s="163"/>
      <c r="P593" s="163"/>
      <c r="Q593" s="541"/>
      <c r="R593" s="541"/>
      <c r="S593" s="541"/>
      <c r="T593" s="541"/>
      <c r="U593" s="541"/>
      <c r="V593" s="541"/>
      <c r="W593" s="541"/>
      <c r="X593" s="541"/>
      <c r="Y593" s="541"/>
      <c r="Z593" s="541"/>
    </row>
    <row r="594" spans="1:26" ht="19.5">
      <c r="A594" s="572"/>
      <c r="B594" s="573"/>
      <c r="C594" s="573"/>
      <c r="D594" s="573"/>
      <c r="E594" s="585"/>
      <c r="F594" s="585"/>
      <c r="G594" s="175"/>
      <c r="H594" s="192" t="s">
        <v>34</v>
      </c>
      <c r="I594" s="193">
        <f ca="1">IFERROR(__xludf.DUMMYFUNCTION("IMPORTRANGE(""https://docs.google.com/spreadsheets/d/1KxicF4apzSqm0-jIpmueT4kyZtE-Cwn5zskl7GD4loQ/edit?usp=share_link"",""กำแพงเพชร!I594"")+IMPORTRANGE(""https://docs.google.com/spreadsheets/d/1ZNYWeiFoFA1K1U4xKWqRX29MBvEyRHXORjo734Gnq_c/edit?usp=share_li"&amp;"nk"",""เชียงราย!I594"")
+IMPORTRANGE(""https://docs.google.com/spreadsheets/d/1Jgv0Y7YlHDtsiDawwp-uvifEJ8HVaSn0k2aGHG8-hwM/edit?usp=share_link"",""เชียงใหม่!I594"")+IMPORTRANGE(""https://docs.google.com/spreadsheets/d/1JWG2rZePOz9pe-f-ObA-yDr0VoOX2kSb0qIi"&amp;"x2mTUo8/edit?usp=share_link"",""ตาก!I594"")+IMPORTRANGE(""https://docs.google.com/spreadsheets/d/10nSRjK08hx8Y6HgSOQKNw81lyY46Zc7U_Cj72hBMp9U/edit?usp=share_link"",""นครสวรรค์!I594"")+IMPORTRANGE(""https://docs.google.com/spreadsheets/d/1gFVb7qd7amutrIxAA"&amp;"oM7lcy35hllxznovot8lyOfvDo/edit?usp=share_link"",""น่าน!I594"")+IMPORTRANGE(""https://docs.google.com/spreadsheets/d/1K0Aa9s-6EuHE5M0FG1F9aHLXRCOV917xvycTdLdct0w/edit?usp=share_link"",""พะเยา!I594"")+IMPORTRANGE(""https://docs.google.com/spreadsheets/d/1Y"&amp;"9LPKx95PyL5OKy09d-KbKJSuuEZCFdkhYjwC0XQjBA/edit?usp=share_link"",""พิจิตร!I594"")+IMPORTRANGE(""https://docs.google.com/spreadsheets/d/16OMuOwy2eVqZcYWOouQtTpa8X1L23h4660uVHc0C8os/edit?usp=share_link"",""พิษณุโลก!I594"")+IMPORTRANGE(""https://docs.google."&amp;"com/spreadsheets/d/1GfgTldLG6k77HXaMQzaafODklYuucJZQNs_GAPEfZyY/edit?usp=share_link"",""เพชรบูรณ์!I594"")+IMPORTRANGE(""https://docs.google.com/spreadsheets/d/1gvTMYAnm7v1yG1BKWFtr0DnaTsq59oW9dwWvFgq6hs0/edit?usp=share_link"",""แพร่!I594"")+IMPORTRANGE("""&amp;"https://docs.google.com/spreadsheets/d/1Wbcosgy-Xa1xXUArJSOenub6EfZHUSzc_bpJFWwQUf0/edit?usp=share_link"",""แม่ฮ่องสอน!I594"")+IMPORTRANGE(""https://docs.google.com/spreadsheets/d/1p7ERhsr0qZeSn-KSOdeHS9r0heI-lHtkcn2OH7hP0jQ/edit?usp=share_link"",""ลำปาง!"&amp;"I594"")+IMPORTRANGE(""https://docs.google.com/spreadsheets/d/1-uUXvimVhiU2U0bMN-xi2te0tS4X7DI2GLPnMjzl8cA/edit?usp=share_link"",""ลำพูน!I594"")+IMPORTRANGE(""https://docs.google.com/spreadsheets/d/17HrOaa5pBUI1onckFfumXB8xlg35qb2uBAFfF1D-Myo/edit?usp=shar"&amp;"e_link"",""สุโขทัย!I594"")+IMPORTRANGE(""https://docs.google.com/spreadsheets/d/1ubs5cl16eYL9gHbdHTJtmtYb9MGzHBs7CAphn8kNCgM/edit?usp=share_link"",""อุตรดิตถ์!I594"")+IMPORTRANGE(""https://docs.google.com/spreadsheets/d/1kII0BjS6CtVrBvI8IrytgPdxDrlyQDyigz"&amp;"MsohRtDMs/edit?usp=share_link"",""อุทัยธานี!I594"")
"),4494)</f>
        <v>4494</v>
      </c>
      <c r="J594" s="193">
        <f t="shared" ca="1" si="293"/>
        <v>0</v>
      </c>
      <c r="K594" s="379">
        <f t="shared" ca="1" si="292"/>
        <v>0</v>
      </c>
      <c r="L594" s="163"/>
      <c r="M594" s="163"/>
      <c r="N594" s="163"/>
      <c r="O594" s="163"/>
      <c r="P594" s="163"/>
      <c r="Q594" s="541"/>
      <c r="R594" s="541"/>
      <c r="S594" s="541"/>
      <c r="T594" s="541"/>
      <c r="U594" s="541"/>
      <c r="V594" s="541"/>
      <c r="W594" s="541"/>
      <c r="X594" s="541"/>
      <c r="Y594" s="541"/>
      <c r="Z594" s="541"/>
    </row>
    <row r="595" spans="1:26" ht="18.75">
      <c r="A595" s="572"/>
      <c r="B595" s="573"/>
      <c r="C595" s="584" t="s">
        <v>253</v>
      </c>
      <c r="D595" s="573"/>
      <c r="E595" s="573"/>
      <c r="F595" s="585"/>
      <c r="G595" s="175"/>
      <c r="H595" s="182" t="s">
        <v>46</v>
      </c>
      <c r="I595" s="162"/>
      <c r="J595" s="162">
        <f t="shared" ref="J595:J596" ca="1" si="294">J597+J599</f>
        <v>0</v>
      </c>
      <c r="K595" s="163"/>
      <c r="L595" s="163"/>
      <c r="M595" s="163"/>
      <c r="N595" s="163"/>
      <c r="O595" s="163"/>
      <c r="P595" s="163"/>
      <c r="Q595" s="541"/>
      <c r="R595" s="541"/>
      <c r="S595" s="541"/>
      <c r="T595" s="541"/>
      <c r="U595" s="541"/>
      <c r="V595" s="541"/>
      <c r="W595" s="541"/>
      <c r="X595" s="541"/>
      <c r="Y595" s="541"/>
      <c r="Z595" s="541"/>
    </row>
    <row r="596" spans="1:26" ht="18.75">
      <c r="A596" s="572"/>
      <c r="B596" s="573"/>
      <c r="C596" s="573"/>
      <c r="D596" s="573"/>
      <c r="E596" s="585"/>
      <c r="F596" s="585"/>
      <c r="G596" s="175"/>
      <c r="H596" s="182" t="s">
        <v>34</v>
      </c>
      <c r="I596" s="162"/>
      <c r="J596" s="162">
        <f t="shared" ca="1" si="294"/>
        <v>0</v>
      </c>
      <c r="K596" s="163"/>
      <c r="L596" s="163"/>
      <c r="M596" s="163"/>
      <c r="N596" s="163"/>
      <c r="O596" s="163"/>
      <c r="P596" s="163"/>
      <c r="Q596" s="541"/>
      <c r="R596" s="541"/>
      <c r="S596" s="541"/>
      <c r="T596" s="541"/>
      <c r="U596" s="541"/>
      <c r="V596" s="541"/>
      <c r="W596" s="541"/>
      <c r="X596" s="541"/>
      <c r="Y596" s="541"/>
      <c r="Z596" s="541"/>
    </row>
    <row r="597" spans="1:26" ht="18.75">
      <c r="A597" s="572"/>
      <c r="B597" s="573"/>
      <c r="C597" s="573"/>
      <c r="D597" s="262" t="s">
        <v>254</v>
      </c>
      <c r="E597" s="585"/>
      <c r="F597" s="585"/>
      <c r="G597" s="175"/>
      <c r="H597" s="182" t="s">
        <v>46</v>
      </c>
      <c r="I597" s="162"/>
      <c r="J597" s="183">
        <f ca="1">IFERROR(__xludf.DUMMYFUNCTION("IMPORTRANGE(""https://docs.google.com/spreadsheets/d/1KxicF4apzSqm0-jIpmueT4kyZtE-Cwn5zskl7GD4loQ/edit?usp=share_link"",""กำแพงเพชร!J597"")+IMPORTRANGE(""https://docs.google.com/spreadsheets/d/1ZNYWeiFoFA1K1U4xKWqRX29MBvEyRHXORjo734Gnq_c/edit?usp=share_li"&amp;"nk"",""เชียงราย!J597"")
+IMPORTRANGE(""https://docs.google.com/spreadsheets/d/1Jgv0Y7YlHDtsiDawwp-uvifEJ8HVaSn0k2aGHG8-hwM/edit?usp=share_link"",""เชียงใหม่!J597"")+IMPORTRANGE(""https://docs.google.com/spreadsheets/d/1JWG2rZePOz9pe-f-ObA-yDr0VoOX2kSb0qIi"&amp;"x2mTUo8/edit?usp=share_link"",""ตาก!J597"")+IMPORTRANGE(""https://docs.google.com/spreadsheets/d/10nSRjK08hx8Y6HgSOQKNw81lyY46Zc7U_Cj72hBMp9U/edit?usp=share_link"",""นครสวรรค์!J597"")+IMPORTRANGE(""https://docs.google.com/spreadsheets/d/1gFVb7qd7amutrIxAA"&amp;"oM7lcy35hllxznovot8lyOfvDo/edit?usp=share_link"",""น่าน!J597"")+IMPORTRANGE(""https://docs.google.com/spreadsheets/d/1K0Aa9s-6EuHE5M0FG1F9aHLXRCOV917xvycTdLdct0w/edit?usp=share_link"",""พะเยา!J597"")+IMPORTRANGE(""https://docs.google.com/spreadsheets/d/1Y"&amp;"9LPKx95PyL5OKy09d-KbKJSuuEZCFdkhYjwC0XQjBA/edit?usp=share_link"",""พิจิตร!J597"")+IMPORTRANGE(""https://docs.google.com/spreadsheets/d/16OMuOwy2eVqZcYWOouQtTpa8X1L23h4660uVHc0C8os/edit?usp=share_link"",""พิษณุโลก!J597"")+IMPORTRANGE(""https://docs.google."&amp;"com/spreadsheets/d/1GfgTldLG6k77HXaMQzaafODklYuucJZQNs_GAPEfZyY/edit?usp=share_link"",""เพชรบูรณ์!J597"")+IMPORTRANGE(""https://docs.google.com/spreadsheets/d/1gvTMYAnm7v1yG1BKWFtr0DnaTsq59oW9dwWvFgq6hs0/edit?usp=share_link"",""แพร่!J597"")+IMPORTRANGE("""&amp;"https://docs.google.com/spreadsheets/d/1Wbcosgy-Xa1xXUArJSOenub6EfZHUSzc_bpJFWwQUf0/edit?usp=share_link"",""แม่ฮ่องสอน!J597"")+IMPORTRANGE(""https://docs.google.com/spreadsheets/d/1p7ERhsr0qZeSn-KSOdeHS9r0heI-lHtkcn2OH7hP0jQ/edit?usp=share_link"",""ลำปาง!"&amp;"J597"")+IMPORTRANGE(""https://docs.google.com/spreadsheets/d/1-uUXvimVhiU2U0bMN-xi2te0tS4X7DI2GLPnMjzl8cA/edit?usp=share_link"",""ลำพูน!J597"")+IMPORTRANGE(""https://docs.google.com/spreadsheets/d/17HrOaa5pBUI1onckFfumXB8xlg35qb2uBAFfF1D-Myo/edit?usp=shar"&amp;"e_link"",""สุโขทัย!J597"")+IMPORTRANGE(""https://docs.google.com/spreadsheets/d/1ubs5cl16eYL9gHbdHTJtmtYb9MGzHBs7CAphn8kNCgM/edit?usp=share_link"",""อุตรดิตถ์!J597"")+IMPORTRANGE(""https://docs.google.com/spreadsheets/d/1kII0BjS6CtVrBvI8IrytgPdxDrlyQDyigz"&amp;"MsohRtDMs/edit?usp=share_link"",""อุทัยธานี!J597"")
"),0)</f>
        <v>0</v>
      </c>
      <c r="K597" s="163"/>
      <c r="L597" s="163"/>
      <c r="M597" s="163"/>
      <c r="N597" s="163"/>
      <c r="O597" s="163"/>
      <c r="P597" s="163"/>
      <c r="Q597" s="541"/>
      <c r="R597" s="541"/>
      <c r="S597" s="541"/>
      <c r="T597" s="541"/>
      <c r="U597" s="541"/>
      <c r="V597" s="541"/>
      <c r="W597" s="541"/>
      <c r="X597" s="541"/>
      <c r="Y597" s="541"/>
      <c r="Z597" s="541"/>
    </row>
    <row r="598" spans="1:26" ht="18.75">
      <c r="A598" s="572"/>
      <c r="B598" s="573"/>
      <c r="C598" s="573"/>
      <c r="D598" s="573"/>
      <c r="E598" s="585"/>
      <c r="F598" s="585"/>
      <c r="G598" s="175"/>
      <c r="H598" s="182" t="s">
        <v>34</v>
      </c>
      <c r="I598" s="37"/>
      <c r="J598" s="183">
        <f ca="1">IFERROR(__xludf.DUMMYFUNCTION("IMPORTRANGE(""https://docs.google.com/spreadsheets/d/1KxicF4apzSqm0-jIpmueT4kyZtE-Cwn5zskl7GD4loQ/edit?usp=share_link"",""กำแพงเพชร!J598"")+IMPORTRANGE(""https://docs.google.com/spreadsheets/d/1ZNYWeiFoFA1K1U4xKWqRX29MBvEyRHXORjo734Gnq_c/edit?usp=share_li"&amp;"nk"",""เชียงราย!J598"")
+IMPORTRANGE(""https://docs.google.com/spreadsheets/d/1Jgv0Y7YlHDtsiDawwp-uvifEJ8HVaSn0k2aGHG8-hwM/edit?usp=share_link"",""เชียงใหม่!J598"")+IMPORTRANGE(""https://docs.google.com/spreadsheets/d/1JWG2rZePOz9pe-f-ObA-yDr0VoOX2kSb0qIi"&amp;"x2mTUo8/edit?usp=share_link"",""ตาก!J598"")+IMPORTRANGE(""https://docs.google.com/spreadsheets/d/10nSRjK08hx8Y6HgSOQKNw81lyY46Zc7U_Cj72hBMp9U/edit?usp=share_link"",""นครสวรรค์!J598"")+IMPORTRANGE(""https://docs.google.com/spreadsheets/d/1gFVb7qd7amutrIxAA"&amp;"oM7lcy35hllxznovot8lyOfvDo/edit?usp=share_link"",""น่าน!J598"")+IMPORTRANGE(""https://docs.google.com/spreadsheets/d/1K0Aa9s-6EuHE5M0FG1F9aHLXRCOV917xvycTdLdct0w/edit?usp=share_link"",""พะเยา!J598"")+IMPORTRANGE(""https://docs.google.com/spreadsheets/d/1Y"&amp;"9LPKx95PyL5OKy09d-KbKJSuuEZCFdkhYjwC0XQjBA/edit?usp=share_link"",""พิจิตร!J598"")+IMPORTRANGE(""https://docs.google.com/spreadsheets/d/16OMuOwy2eVqZcYWOouQtTpa8X1L23h4660uVHc0C8os/edit?usp=share_link"",""พิษณุโลก!J598"")+IMPORTRANGE(""https://docs.google."&amp;"com/spreadsheets/d/1GfgTldLG6k77HXaMQzaafODklYuucJZQNs_GAPEfZyY/edit?usp=share_link"",""เพชรบูรณ์!J598"")+IMPORTRANGE(""https://docs.google.com/spreadsheets/d/1gvTMYAnm7v1yG1BKWFtr0DnaTsq59oW9dwWvFgq6hs0/edit?usp=share_link"",""แพร่!J598"")+IMPORTRANGE("""&amp;"https://docs.google.com/spreadsheets/d/1Wbcosgy-Xa1xXUArJSOenub6EfZHUSzc_bpJFWwQUf0/edit?usp=share_link"",""แม่ฮ่องสอน!J598"")+IMPORTRANGE(""https://docs.google.com/spreadsheets/d/1p7ERhsr0qZeSn-KSOdeHS9r0heI-lHtkcn2OH7hP0jQ/edit?usp=share_link"",""ลำปาง!"&amp;"J598"")+IMPORTRANGE(""https://docs.google.com/spreadsheets/d/1-uUXvimVhiU2U0bMN-xi2te0tS4X7DI2GLPnMjzl8cA/edit?usp=share_link"",""ลำพูน!J598"")+IMPORTRANGE(""https://docs.google.com/spreadsheets/d/17HrOaa5pBUI1onckFfumXB8xlg35qb2uBAFfF1D-Myo/edit?usp=shar"&amp;"e_link"",""สุโขทัย!J598"")+IMPORTRANGE(""https://docs.google.com/spreadsheets/d/1ubs5cl16eYL9gHbdHTJtmtYb9MGzHBs7CAphn8kNCgM/edit?usp=share_link"",""อุตรดิตถ์!J598"")+IMPORTRANGE(""https://docs.google.com/spreadsheets/d/1kII0BjS6CtVrBvI8IrytgPdxDrlyQDyigz"&amp;"MsohRtDMs/edit?usp=share_link"",""อุทัยธานี!J598"")
"),0)</f>
        <v>0</v>
      </c>
      <c r="K598" s="163"/>
      <c r="L598" s="163"/>
      <c r="M598" s="163"/>
      <c r="N598" s="163"/>
      <c r="O598" s="163"/>
      <c r="P598" s="163"/>
      <c r="Q598" s="541"/>
      <c r="R598" s="541"/>
      <c r="S598" s="541"/>
      <c r="T598" s="541"/>
      <c r="U598" s="541"/>
      <c r="V598" s="541"/>
      <c r="W598" s="541"/>
      <c r="X598" s="541"/>
      <c r="Y598" s="541"/>
      <c r="Z598" s="541"/>
    </row>
    <row r="599" spans="1:26" ht="18.75">
      <c r="A599" s="572"/>
      <c r="B599" s="573"/>
      <c r="C599" s="573"/>
      <c r="D599" s="262" t="s">
        <v>255</v>
      </c>
      <c r="E599" s="585"/>
      <c r="F599" s="585"/>
      <c r="G599" s="175"/>
      <c r="H599" s="182" t="s">
        <v>46</v>
      </c>
      <c r="I599" s="37"/>
      <c r="J599" s="183">
        <f ca="1">IFERROR(__xludf.DUMMYFUNCTION("IMPORTRANGE(""https://docs.google.com/spreadsheets/d/1KxicF4apzSqm0-jIpmueT4kyZtE-Cwn5zskl7GD4loQ/edit?usp=share_link"",""กำแพงเพชร!J599"")+IMPORTRANGE(""https://docs.google.com/spreadsheets/d/1ZNYWeiFoFA1K1U4xKWqRX29MBvEyRHXORjo734Gnq_c/edit?usp=share_li"&amp;"nk"",""เชียงราย!J599"")
+IMPORTRANGE(""https://docs.google.com/spreadsheets/d/1Jgv0Y7YlHDtsiDawwp-uvifEJ8HVaSn0k2aGHG8-hwM/edit?usp=share_link"",""เชียงใหม่!J599"")+IMPORTRANGE(""https://docs.google.com/spreadsheets/d/1JWG2rZePOz9pe-f-ObA-yDr0VoOX2kSb0qIi"&amp;"x2mTUo8/edit?usp=share_link"",""ตาก!J599"")+IMPORTRANGE(""https://docs.google.com/spreadsheets/d/10nSRjK08hx8Y6HgSOQKNw81lyY46Zc7U_Cj72hBMp9U/edit?usp=share_link"",""นครสวรรค์!J599"")+IMPORTRANGE(""https://docs.google.com/spreadsheets/d/1gFVb7qd7amutrIxAA"&amp;"oM7lcy35hllxznovot8lyOfvDo/edit?usp=share_link"",""น่าน!J599"")+IMPORTRANGE(""https://docs.google.com/spreadsheets/d/1K0Aa9s-6EuHE5M0FG1F9aHLXRCOV917xvycTdLdct0w/edit?usp=share_link"",""พะเยา!J599"")+IMPORTRANGE(""https://docs.google.com/spreadsheets/d/1Y"&amp;"9LPKx95PyL5OKy09d-KbKJSuuEZCFdkhYjwC0XQjBA/edit?usp=share_link"",""พิจิตร!J599"")+IMPORTRANGE(""https://docs.google.com/spreadsheets/d/16OMuOwy2eVqZcYWOouQtTpa8X1L23h4660uVHc0C8os/edit?usp=share_link"",""พิษณุโลก!J599"")+IMPORTRANGE(""https://docs.google."&amp;"com/spreadsheets/d/1GfgTldLG6k77HXaMQzaafODklYuucJZQNs_GAPEfZyY/edit?usp=share_link"",""เพชรบูรณ์!J599"")+IMPORTRANGE(""https://docs.google.com/spreadsheets/d/1gvTMYAnm7v1yG1BKWFtr0DnaTsq59oW9dwWvFgq6hs0/edit?usp=share_link"",""แพร่!J599"")+IMPORTRANGE("""&amp;"https://docs.google.com/spreadsheets/d/1Wbcosgy-Xa1xXUArJSOenub6EfZHUSzc_bpJFWwQUf0/edit?usp=share_link"",""แม่ฮ่องสอน!J599"")+IMPORTRANGE(""https://docs.google.com/spreadsheets/d/1p7ERhsr0qZeSn-KSOdeHS9r0heI-lHtkcn2OH7hP0jQ/edit?usp=share_link"",""ลำปาง!"&amp;"J599"")+IMPORTRANGE(""https://docs.google.com/spreadsheets/d/1-uUXvimVhiU2U0bMN-xi2te0tS4X7DI2GLPnMjzl8cA/edit?usp=share_link"",""ลำพูน!J599"")+IMPORTRANGE(""https://docs.google.com/spreadsheets/d/17HrOaa5pBUI1onckFfumXB8xlg35qb2uBAFfF1D-Myo/edit?usp=shar"&amp;"e_link"",""สุโขทัย!J599"")+IMPORTRANGE(""https://docs.google.com/spreadsheets/d/1ubs5cl16eYL9gHbdHTJtmtYb9MGzHBs7CAphn8kNCgM/edit?usp=share_link"",""อุตรดิตถ์!J599"")+IMPORTRANGE(""https://docs.google.com/spreadsheets/d/1kII0BjS6CtVrBvI8IrytgPdxDrlyQDyigz"&amp;"MsohRtDMs/edit?usp=share_link"",""อุทัยธานี!J599"")
"),0)</f>
        <v>0</v>
      </c>
      <c r="K599" s="163"/>
      <c r="L599" s="163"/>
      <c r="M599" s="163"/>
      <c r="N599" s="163"/>
      <c r="O599" s="163"/>
      <c r="P599" s="163"/>
      <c r="Q599" s="541"/>
      <c r="R599" s="541"/>
      <c r="S599" s="541"/>
      <c r="T599" s="541"/>
      <c r="U599" s="541"/>
      <c r="V599" s="541"/>
      <c r="W599" s="541"/>
      <c r="X599" s="541"/>
      <c r="Y599" s="541"/>
      <c r="Z599" s="541"/>
    </row>
    <row r="600" spans="1:26" ht="18.75">
      <c r="A600" s="572"/>
      <c r="B600" s="573"/>
      <c r="C600" s="573"/>
      <c r="D600" s="573"/>
      <c r="E600" s="585"/>
      <c r="F600" s="585"/>
      <c r="G600" s="175"/>
      <c r="H600" s="182" t="s">
        <v>34</v>
      </c>
      <c r="I600" s="37"/>
      <c r="J600" s="183">
        <f ca="1">IFERROR(__xludf.DUMMYFUNCTION("IMPORTRANGE(""https://docs.google.com/spreadsheets/d/1KxicF4apzSqm0-jIpmueT4kyZtE-Cwn5zskl7GD4loQ/edit?usp=share_link"",""กำแพงเพชร!J600"")+IMPORTRANGE(""https://docs.google.com/spreadsheets/d/1ZNYWeiFoFA1K1U4xKWqRX29MBvEyRHXORjo734Gnq_c/edit?usp=share_li"&amp;"nk"",""เชียงราย!J600"")
+IMPORTRANGE(""https://docs.google.com/spreadsheets/d/1Jgv0Y7YlHDtsiDawwp-uvifEJ8HVaSn0k2aGHG8-hwM/edit?usp=share_link"",""เชียงใหม่!J600"")+IMPORTRANGE(""https://docs.google.com/spreadsheets/d/1JWG2rZePOz9pe-f-ObA-yDr0VoOX2kSb0qIi"&amp;"x2mTUo8/edit?usp=share_link"",""ตาก!J600"")+IMPORTRANGE(""https://docs.google.com/spreadsheets/d/10nSRjK08hx8Y6HgSOQKNw81lyY46Zc7U_Cj72hBMp9U/edit?usp=share_link"",""นครสวรรค์!J600"")+IMPORTRANGE(""https://docs.google.com/spreadsheets/d/1gFVb7qd7amutrIxAA"&amp;"oM7lcy35hllxznovot8lyOfvDo/edit?usp=share_link"",""น่าน!J600"")+IMPORTRANGE(""https://docs.google.com/spreadsheets/d/1K0Aa9s-6EuHE5M0FG1F9aHLXRCOV917xvycTdLdct0w/edit?usp=share_link"",""พะเยา!J600"")+IMPORTRANGE(""https://docs.google.com/spreadsheets/d/1Y"&amp;"9LPKx95PyL5OKy09d-KbKJSuuEZCFdkhYjwC0XQjBA/edit?usp=share_link"",""พิจิตร!J600"")+IMPORTRANGE(""https://docs.google.com/spreadsheets/d/16OMuOwy2eVqZcYWOouQtTpa8X1L23h4660uVHc0C8os/edit?usp=share_link"",""พิษณุโลก!J600"")+IMPORTRANGE(""https://docs.google."&amp;"com/spreadsheets/d/1GfgTldLG6k77HXaMQzaafODklYuucJZQNs_GAPEfZyY/edit?usp=share_link"",""เพชรบูรณ์!J600"")+IMPORTRANGE(""https://docs.google.com/spreadsheets/d/1gvTMYAnm7v1yG1BKWFtr0DnaTsq59oW9dwWvFgq6hs0/edit?usp=share_link"",""แพร่!J600"")+IMPORTRANGE("""&amp;"https://docs.google.com/spreadsheets/d/1Wbcosgy-Xa1xXUArJSOenub6EfZHUSzc_bpJFWwQUf0/edit?usp=share_link"",""แม่ฮ่องสอน!J600"")+IMPORTRANGE(""https://docs.google.com/spreadsheets/d/1p7ERhsr0qZeSn-KSOdeHS9r0heI-lHtkcn2OH7hP0jQ/edit?usp=share_link"",""ลำปาง!"&amp;"J600"")+IMPORTRANGE(""https://docs.google.com/spreadsheets/d/1-uUXvimVhiU2U0bMN-xi2te0tS4X7DI2GLPnMjzl8cA/edit?usp=share_link"",""ลำพูน!J600"")+IMPORTRANGE(""https://docs.google.com/spreadsheets/d/17HrOaa5pBUI1onckFfumXB8xlg35qb2uBAFfF1D-Myo/edit?usp=shar"&amp;"e_link"",""สุโขทัย!J600"")+IMPORTRANGE(""https://docs.google.com/spreadsheets/d/1ubs5cl16eYL9gHbdHTJtmtYb9MGzHBs7CAphn8kNCgM/edit?usp=share_link"",""อุตรดิตถ์!J600"")+IMPORTRANGE(""https://docs.google.com/spreadsheets/d/1kII0BjS6CtVrBvI8IrytgPdxDrlyQDyigz"&amp;"MsohRtDMs/edit?usp=share_link"",""อุทัยธานี!J600"")
"),0)</f>
        <v>0</v>
      </c>
      <c r="K600" s="163"/>
      <c r="L600" s="163"/>
      <c r="M600" s="163"/>
      <c r="N600" s="163"/>
      <c r="O600" s="163"/>
      <c r="P600" s="163"/>
      <c r="Q600" s="541"/>
      <c r="R600" s="541"/>
      <c r="S600" s="541"/>
      <c r="T600" s="541"/>
      <c r="U600" s="541"/>
      <c r="V600" s="541"/>
      <c r="W600" s="541"/>
      <c r="X600" s="541"/>
      <c r="Y600" s="541"/>
      <c r="Z600" s="541"/>
    </row>
    <row r="601" spans="1:26" ht="18.75">
      <c r="A601" s="572"/>
      <c r="B601" s="573"/>
      <c r="C601" s="573"/>
      <c r="D601" s="262" t="s">
        <v>256</v>
      </c>
      <c r="E601" s="585"/>
      <c r="F601" s="585"/>
      <c r="G601" s="175"/>
      <c r="H601" s="182" t="s">
        <v>46</v>
      </c>
      <c r="I601" s="37"/>
      <c r="J601" s="183">
        <f ca="1">IFERROR(__xludf.DUMMYFUNCTION("IMPORTRANGE(""https://docs.google.com/spreadsheets/d/1KxicF4apzSqm0-jIpmueT4kyZtE-Cwn5zskl7GD4loQ/edit?usp=share_link"",""กำแพงเพชร!J601"")+IMPORTRANGE(""https://docs.google.com/spreadsheets/d/1ZNYWeiFoFA1K1U4xKWqRX29MBvEyRHXORjo734Gnq_c/edit?usp=share_li"&amp;"nk"",""เชียงราย!J601"")
+IMPORTRANGE(""https://docs.google.com/spreadsheets/d/1Jgv0Y7YlHDtsiDawwp-uvifEJ8HVaSn0k2aGHG8-hwM/edit?usp=share_link"",""เชียงใหม่!J601"")+IMPORTRANGE(""https://docs.google.com/spreadsheets/d/1JWG2rZePOz9pe-f-ObA-yDr0VoOX2kSb0qIi"&amp;"x2mTUo8/edit?usp=share_link"",""ตาก!J601"")+IMPORTRANGE(""https://docs.google.com/spreadsheets/d/10nSRjK08hx8Y6HgSOQKNw81lyY46Zc7U_Cj72hBMp9U/edit?usp=share_link"",""นครสวรรค์!J601"")+IMPORTRANGE(""https://docs.google.com/spreadsheets/d/1gFVb7qd7amutrIxAA"&amp;"oM7lcy35hllxznovot8lyOfvDo/edit?usp=share_link"",""น่าน!J601"")+IMPORTRANGE(""https://docs.google.com/spreadsheets/d/1K0Aa9s-6EuHE5M0FG1F9aHLXRCOV917xvycTdLdct0w/edit?usp=share_link"",""พะเยา!J601"")+IMPORTRANGE(""https://docs.google.com/spreadsheets/d/1Y"&amp;"9LPKx95PyL5OKy09d-KbKJSuuEZCFdkhYjwC0XQjBA/edit?usp=share_link"",""พิจิตร!J601"")+IMPORTRANGE(""https://docs.google.com/spreadsheets/d/16OMuOwy2eVqZcYWOouQtTpa8X1L23h4660uVHc0C8os/edit?usp=share_link"",""พิษณุโลก!J601"")+IMPORTRANGE(""https://docs.google."&amp;"com/spreadsheets/d/1GfgTldLG6k77HXaMQzaafODklYuucJZQNs_GAPEfZyY/edit?usp=share_link"",""เพชรบูรณ์!J601"")+IMPORTRANGE(""https://docs.google.com/spreadsheets/d/1gvTMYAnm7v1yG1BKWFtr0DnaTsq59oW9dwWvFgq6hs0/edit?usp=share_link"",""แพร่!J601"")+IMPORTRANGE("""&amp;"https://docs.google.com/spreadsheets/d/1Wbcosgy-Xa1xXUArJSOenub6EfZHUSzc_bpJFWwQUf0/edit?usp=share_link"",""แม่ฮ่องสอน!J601"")+IMPORTRANGE(""https://docs.google.com/spreadsheets/d/1p7ERhsr0qZeSn-KSOdeHS9r0heI-lHtkcn2OH7hP0jQ/edit?usp=share_link"",""ลำปาง!"&amp;"J601"")+IMPORTRANGE(""https://docs.google.com/spreadsheets/d/1-uUXvimVhiU2U0bMN-xi2te0tS4X7DI2GLPnMjzl8cA/edit?usp=share_link"",""ลำพูน!J601"")+IMPORTRANGE(""https://docs.google.com/spreadsheets/d/17HrOaa5pBUI1onckFfumXB8xlg35qb2uBAFfF1D-Myo/edit?usp=shar"&amp;"e_link"",""สุโขทัย!J601"")+IMPORTRANGE(""https://docs.google.com/spreadsheets/d/1ubs5cl16eYL9gHbdHTJtmtYb9MGzHBs7CAphn8kNCgM/edit?usp=share_link"",""อุตรดิตถ์!J601"")+IMPORTRANGE(""https://docs.google.com/spreadsheets/d/1kII0BjS6CtVrBvI8IrytgPdxDrlyQDyigz"&amp;"MsohRtDMs/edit?usp=share_link"",""อุทัยธานี!J601"")
"),0)</f>
        <v>0</v>
      </c>
      <c r="K601" s="163"/>
      <c r="L601" s="163"/>
      <c r="M601" s="163"/>
      <c r="N601" s="163"/>
      <c r="O601" s="163"/>
      <c r="P601" s="163"/>
      <c r="Q601" s="541"/>
      <c r="R601" s="541"/>
      <c r="S601" s="541"/>
      <c r="T601" s="541"/>
      <c r="U601" s="541"/>
      <c r="V601" s="541"/>
      <c r="W601" s="541"/>
      <c r="X601" s="541"/>
      <c r="Y601" s="541"/>
      <c r="Z601" s="541"/>
    </row>
    <row r="602" spans="1:26" ht="18.75">
      <c r="A602" s="572"/>
      <c r="B602" s="573"/>
      <c r="C602" s="573"/>
      <c r="D602" s="573"/>
      <c r="E602" s="585"/>
      <c r="F602" s="585"/>
      <c r="G602" s="175"/>
      <c r="H602" s="182" t="s">
        <v>34</v>
      </c>
      <c r="I602" s="37"/>
      <c r="J602" s="183">
        <f ca="1">IFERROR(__xludf.DUMMYFUNCTION("IMPORTRANGE(""https://docs.google.com/spreadsheets/d/1KxicF4apzSqm0-jIpmueT4kyZtE-Cwn5zskl7GD4loQ/edit?usp=share_link"",""กำแพงเพชร!J602"")+IMPORTRANGE(""https://docs.google.com/spreadsheets/d/1ZNYWeiFoFA1K1U4xKWqRX29MBvEyRHXORjo734Gnq_c/edit?usp=share_li"&amp;"nk"",""เชียงราย!J602"")
+IMPORTRANGE(""https://docs.google.com/spreadsheets/d/1Jgv0Y7YlHDtsiDawwp-uvifEJ8HVaSn0k2aGHG8-hwM/edit?usp=share_link"",""เชียงใหม่!J602"")+IMPORTRANGE(""https://docs.google.com/spreadsheets/d/1JWG2rZePOz9pe-f-ObA-yDr0VoOX2kSb0qIi"&amp;"x2mTUo8/edit?usp=share_link"",""ตาก!J602"")+IMPORTRANGE(""https://docs.google.com/spreadsheets/d/10nSRjK08hx8Y6HgSOQKNw81lyY46Zc7U_Cj72hBMp9U/edit?usp=share_link"",""นครสวรรค์!J602"")+IMPORTRANGE(""https://docs.google.com/spreadsheets/d/1gFVb7qd7amutrIxAA"&amp;"oM7lcy35hllxznovot8lyOfvDo/edit?usp=share_link"",""น่าน!J602"")+IMPORTRANGE(""https://docs.google.com/spreadsheets/d/1K0Aa9s-6EuHE5M0FG1F9aHLXRCOV917xvycTdLdct0w/edit?usp=share_link"",""พะเยา!J602"")+IMPORTRANGE(""https://docs.google.com/spreadsheets/d/1Y"&amp;"9LPKx95PyL5OKy09d-KbKJSuuEZCFdkhYjwC0XQjBA/edit?usp=share_link"",""พิจิตร!J602"")+IMPORTRANGE(""https://docs.google.com/spreadsheets/d/16OMuOwy2eVqZcYWOouQtTpa8X1L23h4660uVHc0C8os/edit?usp=share_link"",""พิษณุโลก!J602"")+IMPORTRANGE(""https://docs.google."&amp;"com/spreadsheets/d/1GfgTldLG6k77HXaMQzaafODklYuucJZQNs_GAPEfZyY/edit?usp=share_link"",""เพชรบูรณ์!J602"")+IMPORTRANGE(""https://docs.google.com/spreadsheets/d/1gvTMYAnm7v1yG1BKWFtr0DnaTsq59oW9dwWvFgq6hs0/edit?usp=share_link"",""แพร่!J602"")+IMPORTRANGE("""&amp;"https://docs.google.com/spreadsheets/d/1Wbcosgy-Xa1xXUArJSOenub6EfZHUSzc_bpJFWwQUf0/edit?usp=share_link"",""แม่ฮ่องสอน!J602"")+IMPORTRANGE(""https://docs.google.com/spreadsheets/d/1p7ERhsr0qZeSn-KSOdeHS9r0heI-lHtkcn2OH7hP0jQ/edit?usp=share_link"",""ลำปาง!"&amp;"J602"")+IMPORTRANGE(""https://docs.google.com/spreadsheets/d/1-uUXvimVhiU2U0bMN-xi2te0tS4X7DI2GLPnMjzl8cA/edit?usp=share_link"",""ลำพูน!J602"")+IMPORTRANGE(""https://docs.google.com/spreadsheets/d/17HrOaa5pBUI1onckFfumXB8xlg35qb2uBAFfF1D-Myo/edit?usp=shar"&amp;"e_link"",""สุโขทัย!J602"")+IMPORTRANGE(""https://docs.google.com/spreadsheets/d/1ubs5cl16eYL9gHbdHTJtmtYb9MGzHBs7CAphn8kNCgM/edit?usp=share_link"",""อุตรดิตถ์!J602"")+IMPORTRANGE(""https://docs.google.com/spreadsheets/d/1kII0BjS6CtVrBvI8IrytgPdxDrlyQDyigz"&amp;"MsohRtDMs/edit?usp=share_link"",""อุทัยธานี!J602"")
"),0)</f>
        <v>0</v>
      </c>
      <c r="K602" s="163"/>
      <c r="L602" s="163"/>
      <c r="M602" s="163"/>
      <c r="N602" s="163"/>
      <c r="O602" s="163"/>
      <c r="P602" s="163"/>
      <c r="Q602" s="541"/>
      <c r="R602" s="541"/>
      <c r="S602" s="541"/>
      <c r="T602" s="541"/>
      <c r="U602" s="541"/>
      <c r="V602" s="541"/>
      <c r="W602" s="541"/>
      <c r="X602" s="541"/>
      <c r="Y602" s="541"/>
      <c r="Z602" s="541"/>
    </row>
    <row r="603" spans="1:26" ht="18.75">
      <c r="A603" s="572"/>
      <c r="B603" s="573"/>
      <c r="C603" s="669" t="s">
        <v>257</v>
      </c>
      <c r="D603" s="573"/>
      <c r="E603" s="573"/>
      <c r="F603" s="585"/>
      <c r="G603" s="175"/>
      <c r="H603" s="182" t="s">
        <v>46</v>
      </c>
      <c r="I603" s="37"/>
      <c r="J603" s="37">
        <f t="shared" ref="J603:J604" ca="1" si="295">J605+J607</f>
        <v>0</v>
      </c>
      <c r="K603" s="163"/>
      <c r="L603" s="163"/>
      <c r="M603" s="163"/>
      <c r="N603" s="163"/>
      <c r="O603" s="163"/>
      <c r="P603" s="163"/>
      <c r="Q603" s="541"/>
      <c r="R603" s="541"/>
      <c r="S603" s="541"/>
      <c r="T603" s="541"/>
      <c r="U603" s="541"/>
      <c r="V603" s="541"/>
      <c r="W603" s="541"/>
      <c r="X603" s="541"/>
      <c r="Y603" s="541"/>
      <c r="Z603" s="541"/>
    </row>
    <row r="604" spans="1:26" ht="18.75">
      <c r="A604" s="572"/>
      <c r="B604" s="573"/>
      <c r="C604" s="573"/>
      <c r="D604" s="573"/>
      <c r="E604" s="585"/>
      <c r="F604" s="585"/>
      <c r="G604" s="175"/>
      <c r="H604" s="182" t="s">
        <v>34</v>
      </c>
      <c r="I604" s="37"/>
      <c r="J604" s="37">
        <f t="shared" ca="1" si="295"/>
        <v>0</v>
      </c>
      <c r="K604" s="163"/>
      <c r="L604" s="163"/>
      <c r="M604" s="163"/>
      <c r="N604" s="163"/>
      <c r="O604" s="163"/>
      <c r="P604" s="163"/>
      <c r="Q604" s="541"/>
      <c r="R604" s="541"/>
      <c r="S604" s="541"/>
      <c r="T604" s="541"/>
      <c r="U604" s="541"/>
      <c r="V604" s="541"/>
      <c r="W604" s="541"/>
      <c r="X604" s="541"/>
      <c r="Y604" s="541"/>
      <c r="Z604" s="541"/>
    </row>
    <row r="605" spans="1:26" ht="18.75">
      <c r="A605" s="572"/>
      <c r="B605" s="573"/>
      <c r="C605" s="573"/>
      <c r="D605" s="669" t="s">
        <v>258</v>
      </c>
      <c r="E605" s="585"/>
      <c r="F605" s="585"/>
      <c r="G605" s="175"/>
      <c r="H605" s="182" t="s">
        <v>46</v>
      </c>
      <c r="I605" s="37"/>
      <c r="J605" s="183">
        <f ca="1">IFERROR(__xludf.DUMMYFUNCTION("IMPORTRANGE(""https://docs.google.com/spreadsheets/d/1KxicF4apzSqm0-jIpmueT4kyZtE-Cwn5zskl7GD4loQ/edit?usp=share_link"",""กำแพงเพชร!J605"")+IMPORTRANGE(""https://docs.google.com/spreadsheets/d/1ZNYWeiFoFA1K1U4xKWqRX29MBvEyRHXORjo734Gnq_c/edit?usp=share_li"&amp;"nk"",""เชียงราย!J605"")
+IMPORTRANGE(""https://docs.google.com/spreadsheets/d/1Jgv0Y7YlHDtsiDawwp-uvifEJ8HVaSn0k2aGHG8-hwM/edit?usp=share_link"",""เชียงใหม่!J605"")+IMPORTRANGE(""https://docs.google.com/spreadsheets/d/1JWG2rZePOz9pe-f-ObA-yDr0VoOX2kSb0qIi"&amp;"x2mTUo8/edit?usp=share_link"",""ตาก!J605"")+IMPORTRANGE(""https://docs.google.com/spreadsheets/d/10nSRjK08hx8Y6HgSOQKNw81lyY46Zc7U_Cj72hBMp9U/edit?usp=share_link"",""นครสวรรค์!J605"")+IMPORTRANGE(""https://docs.google.com/spreadsheets/d/1gFVb7qd7amutrIxAA"&amp;"oM7lcy35hllxznovot8lyOfvDo/edit?usp=share_link"",""น่าน!J605"")+IMPORTRANGE(""https://docs.google.com/spreadsheets/d/1K0Aa9s-6EuHE5M0FG1F9aHLXRCOV917xvycTdLdct0w/edit?usp=share_link"",""พะเยา!J605"")+IMPORTRANGE(""https://docs.google.com/spreadsheets/d/1Y"&amp;"9LPKx95PyL5OKy09d-KbKJSuuEZCFdkhYjwC0XQjBA/edit?usp=share_link"",""พิจิตร!J605"")+IMPORTRANGE(""https://docs.google.com/spreadsheets/d/16OMuOwy2eVqZcYWOouQtTpa8X1L23h4660uVHc0C8os/edit?usp=share_link"",""พิษณุโลก!J605"")+IMPORTRANGE(""https://docs.google."&amp;"com/spreadsheets/d/1GfgTldLG6k77HXaMQzaafODklYuucJZQNs_GAPEfZyY/edit?usp=share_link"",""เพชรบูรณ์!J605"")+IMPORTRANGE(""https://docs.google.com/spreadsheets/d/1gvTMYAnm7v1yG1BKWFtr0DnaTsq59oW9dwWvFgq6hs0/edit?usp=share_link"",""แพร่!J605"")+IMPORTRANGE("""&amp;"https://docs.google.com/spreadsheets/d/1Wbcosgy-Xa1xXUArJSOenub6EfZHUSzc_bpJFWwQUf0/edit?usp=share_link"",""แม่ฮ่องสอน!J605"")+IMPORTRANGE(""https://docs.google.com/spreadsheets/d/1p7ERhsr0qZeSn-KSOdeHS9r0heI-lHtkcn2OH7hP0jQ/edit?usp=share_link"",""ลำปาง!"&amp;"J605"")+IMPORTRANGE(""https://docs.google.com/spreadsheets/d/1-uUXvimVhiU2U0bMN-xi2te0tS4X7DI2GLPnMjzl8cA/edit?usp=share_link"",""ลำพูน!J605"")+IMPORTRANGE(""https://docs.google.com/spreadsheets/d/17HrOaa5pBUI1onckFfumXB8xlg35qb2uBAFfF1D-Myo/edit?usp=shar"&amp;"e_link"",""สุโขทัย!J605"")+IMPORTRANGE(""https://docs.google.com/spreadsheets/d/1ubs5cl16eYL9gHbdHTJtmtYb9MGzHBs7CAphn8kNCgM/edit?usp=share_link"",""อุตรดิตถ์!J605"")+IMPORTRANGE(""https://docs.google.com/spreadsheets/d/1kII0BjS6CtVrBvI8IrytgPdxDrlyQDyigz"&amp;"MsohRtDMs/edit?usp=share_link"",""อุทัยธานี!J605"")
"),0)</f>
        <v>0</v>
      </c>
      <c r="K605" s="163"/>
      <c r="L605" s="163"/>
      <c r="M605" s="163"/>
      <c r="N605" s="163"/>
      <c r="O605" s="163"/>
      <c r="P605" s="163"/>
      <c r="Q605" s="541"/>
      <c r="R605" s="541"/>
      <c r="S605" s="541"/>
      <c r="T605" s="541"/>
      <c r="U605" s="541"/>
      <c r="V605" s="541"/>
      <c r="W605" s="541"/>
      <c r="X605" s="541"/>
      <c r="Y605" s="541"/>
      <c r="Z605" s="541"/>
    </row>
    <row r="606" spans="1:26" ht="18.75">
      <c r="A606" s="572"/>
      <c r="B606" s="573"/>
      <c r="C606" s="573"/>
      <c r="D606" s="573"/>
      <c r="E606" s="573"/>
      <c r="F606" s="585"/>
      <c r="G606" s="175"/>
      <c r="H606" s="182" t="s">
        <v>34</v>
      </c>
      <c r="I606" s="37"/>
      <c r="J606" s="183">
        <f ca="1">IFERROR(__xludf.DUMMYFUNCTION("IMPORTRANGE(""https://docs.google.com/spreadsheets/d/1KxicF4apzSqm0-jIpmueT4kyZtE-Cwn5zskl7GD4loQ/edit?usp=share_link"",""กำแพงเพชร!J606"")+IMPORTRANGE(""https://docs.google.com/spreadsheets/d/1ZNYWeiFoFA1K1U4xKWqRX29MBvEyRHXORjo734Gnq_c/edit?usp=share_li"&amp;"nk"",""เชียงราย!J606"")
+IMPORTRANGE(""https://docs.google.com/spreadsheets/d/1Jgv0Y7YlHDtsiDawwp-uvifEJ8HVaSn0k2aGHG8-hwM/edit?usp=share_link"",""เชียงใหม่!J606"")+IMPORTRANGE(""https://docs.google.com/spreadsheets/d/1JWG2rZePOz9pe-f-ObA-yDr0VoOX2kSb0qIi"&amp;"x2mTUo8/edit?usp=share_link"",""ตาก!J606"")+IMPORTRANGE(""https://docs.google.com/spreadsheets/d/10nSRjK08hx8Y6HgSOQKNw81lyY46Zc7U_Cj72hBMp9U/edit?usp=share_link"",""นครสวรรค์!J606"")+IMPORTRANGE(""https://docs.google.com/spreadsheets/d/1gFVb7qd7amutrIxAA"&amp;"oM7lcy35hllxznovot8lyOfvDo/edit?usp=share_link"",""น่าน!J606"")+IMPORTRANGE(""https://docs.google.com/spreadsheets/d/1K0Aa9s-6EuHE5M0FG1F9aHLXRCOV917xvycTdLdct0w/edit?usp=share_link"",""พะเยา!J606"")+IMPORTRANGE(""https://docs.google.com/spreadsheets/d/1Y"&amp;"9LPKx95PyL5OKy09d-KbKJSuuEZCFdkhYjwC0XQjBA/edit?usp=share_link"",""พิจิตร!J606"")+IMPORTRANGE(""https://docs.google.com/spreadsheets/d/16OMuOwy2eVqZcYWOouQtTpa8X1L23h4660uVHc0C8os/edit?usp=share_link"",""พิษณุโลก!J606"")+IMPORTRANGE(""https://docs.google."&amp;"com/spreadsheets/d/1GfgTldLG6k77HXaMQzaafODklYuucJZQNs_GAPEfZyY/edit?usp=share_link"",""เพชรบูรณ์!J606"")+IMPORTRANGE(""https://docs.google.com/spreadsheets/d/1gvTMYAnm7v1yG1BKWFtr0DnaTsq59oW9dwWvFgq6hs0/edit?usp=share_link"",""แพร่!J606"")+IMPORTRANGE("""&amp;"https://docs.google.com/spreadsheets/d/1Wbcosgy-Xa1xXUArJSOenub6EfZHUSzc_bpJFWwQUf0/edit?usp=share_link"",""แม่ฮ่องสอน!J606"")+IMPORTRANGE(""https://docs.google.com/spreadsheets/d/1p7ERhsr0qZeSn-KSOdeHS9r0heI-lHtkcn2OH7hP0jQ/edit?usp=share_link"",""ลำปาง!"&amp;"J606"")+IMPORTRANGE(""https://docs.google.com/spreadsheets/d/1-uUXvimVhiU2U0bMN-xi2te0tS4X7DI2GLPnMjzl8cA/edit?usp=share_link"",""ลำพูน!J606"")+IMPORTRANGE(""https://docs.google.com/spreadsheets/d/17HrOaa5pBUI1onckFfumXB8xlg35qb2uBAFfF1D-Myo/edit?usp=shar"&amp;"e_link"",""สุโขทัย!J606"")+IMPORTRANGE(""https://docs.google.com/spreadsheets/d/1ubs5cl16eYL9gHbdHTJtmtYb9MGzHBs7CAphn8kNCgM/edit?usp=share_link"",""อุตรดิตถ์!J606"")+IMPORTRANGE(""https://docs.google.com/spreadsheets/d/1kII0BjS6CtVrBvI8IrytgPdxDrlyQDyigz"&amp;"MsohRtDMs/edit?usp=share_link"",""อุทัยธานี!J606"")
"),0)</f>
        <v>0</v>
      </c>
      <c r="K606" s="163"/>
      <c r="L606" s="163"/>
      <c r="M606" s="163"/>
      <c r="N606" s="163"/>
      <c r="O606" s="163"/>
      <c r="P606" s="163"/>
      <c r="Q606" s="541"/>
      <c r="R606" s="541"/>
      <c r="S606" s="541"/>
      <c r="T606" s="541"/>
      <c r="U606" s="541"/>
      <c r="V606" s="541"/>
      <c r="W606" s="541"/>
      <c r="X606" s="541"/>
      <c r="Y606" s="541"/>
      <c r="Z606" s="541"/>
    </row>
    <row r="607" spans="1:26" ht="18.75">
      <c r="A607" s="572"/>
      <c r="B607" s="573"/>
      <c r="C607" s="573"/>
      <c r="D607" s="669" t="s">
        <v>259</v>
      </c>
      <c r="E607" s="573"/>
      <c r="F607" s="585"/>
      <c r="G607" s="175"/>
      <c r="H607" s="182" t="s">
        <v>46</v>
      </c>
      <c r="I607" s="37"/>
      <c r="J607" s="183">
        <f ca="1">IFERROR(__xludf.DUMMYFUNCTION("IMPORTRANGE(""https://docs.google.com/spreadsheets/d/1KxicF4apzSqm0-jIpmueT4kyZtE-Cwn5zskl7GD4loQ/edit?usp=share_link"",""กำแพงเพชร!J607"")+IMPORTRANGE(""https://docs.google.com/spreadsheets/d/1ZNYWeiFoFA1K1U4xKWqRX29MBvEyRHXORjo734Gnq_c/edit?usp=share_li"&amp;"nk"",""เชียงราย!J607"")
+IMPORTRANGE(""https://docs.google.com/spreadsheets/d/1Jgv0Y7YlHDtsiDawwp-uvifEJ8HVaSn0k2aGHG8-hwM/edit?usp=share_link"",""เชียงใหม่!J607"")+IMPORTRANGE(""https://docs.google.com/spreadsheets/d/1JWG2rZePOz9pe-f-ObA-yDr0VoOX2kSb0qIi"&amp;"x2mTUo8/edit?usp=share_link"",""ตาก!J607"")+IMPORTRANGE(""https://docs.google.com/spreadsheets/d/10nSRjK08hx8Y6HgSOQKNw81lyY46Zc7U_Cj72hBMp9U/edit?usp=share_link"",""นครสวรรค์!J607"")+IMPORTRANGE(""https://docs.google.com/spreadsheets/d/1gFVb7qd7amutrIxAA"&amp;"oM7lcy35hllxznovot8lyOfvDo/edit?usp=share_link"",""น่าน!J607"")+IMPORTRANGE(""https://docs.google.com/spreadsheets/d/1K0Aa9s-6EuHE5M0FG1F9aHLXRCOV917xvycTdLdct0w/edit?usp=share_link"",""พะเยา!J607"")+IMPORTRANGE(""https://docs.google.com/spreadsheets/d/1Y"&amp;"9LPKx95PyL5OKy09d-KbKJSuuEZCFdkhYjwC0XQjBA/edit?usp=share_link"",""พิจิตร!J607"")+IMPORTRANGE(""https://docs.google.com/spreadsheets/d/16OMuOwy2eVqZcYWOouQtTpa8X1L23h4660uVHc0C8os/edit?usp=share_link"",""พิษณุโลก!J607"")+IMPORTRANGE(""https://docs.google."&amp;"com/spreadsheets/d/1GfgTldLG6k77HXaMQzaafODklYuucJZQNs_GAPEfZyY/edit?usp=share_link"",""เพชรบูรณ์!J607"")+IMPORTRANGE(""https://docs.google.com/spreadsheets/d/1gvTMYAnm7v1yG1BKWFtr0DnaTsq59oW9dwWvFgq6hs0/edit?usp=share_link"",""แพร่!J607"")+IMPORTRANGE("""&amp;"https://docs.google.com/spreadsheets/d/1Wbcosgy-Xa1xXUArJSOenub6EfZHUSzc_bpJFWwQUf0/edit?usp=share_link"",""แม่ฮ่องสอน!J607"")+IMPORTRANGE(""https://docs.google.com/spreadsheets/d/1p7ERhsr0qZeSn-KSOdeHS9r0heI-lHtkcn2OH7hP0jQ/edit?usp=share_link"",""ลำปาง!"&amp;"J607"")+IMPORTRANGE(""https://docs.google.com/spreadsheets/d/1-uUXvimVhiU2U0bMN-xi2te0tS4X7DI2GLPnMjzl8cA/edit?usp=share_link"",""ลำพูน!J607"")+IMPORTRANGE(""https://docs.google.com/spreadsheets/d/17HrOaa5pBUI1onckFfumXB8xlg35qb2uBAFfF1D-Myo/edit?usp=shar"&amp;"e_link"",""สุโขทัย!J607"")+IMPORTRANGE(""https://docs.google.com/spreadsheets/d/1ubs5cl16eYL9gHbdHTJtmtYb9MGzHBs7CAphn8kNCgM/edit?usp=share_link"",""อุตรดิตถ์!J607"")+IMPORTRANGE(""https://docs.google.com/spreadsheets/d/1kII0BjS6CtVrBvI8IrytgPdxDrlyQDyigz"&amp;"MsohRtDMs/edit?usp=share_link"",""อุทัยธานี!J607"")
"),0)</f>
        <v>0</v>
      </c>
      <c r="K607" s="163"/>
      <c r="L607" s="163"/>
      <c r="M607" s="163"/>
      <c r="N607" s="163"/>
      <c r="O607" s="163"/>
      <c r="P607" s="163"/>
      <c r="Q607" s="541"/>
      <c r="R607" s="541"/>
      <c r="S607" s="541"/>
      <c r="T607" s="541"/>
      <c r="U607" s="541"/>
      <c r="V607" s="541"/>
      <c r="W607" s="541"/>
      <c r="X607" s="541"/>
      <c r="Y607" s="541"/>
      <c r="Z607" s="541"/>
    </row>
    <row r="608" spans="1:26" ht="18.75">
      <c r="A608" s="572"/>
      <c r="B608" s="573"/>
      <c r="C608" s="573"/>
      <c r="D608" s="573"/>
      <c r="E608" s="585"/>
      <c r="F608" s="585"/>
      <c r="G608" s="175"/>
      <c r="H608" s="182" t="s">
        <v>34</v>
      </c>
      <c r="I608" s="37"/>
      <c r="J608" s="183">
        <f ca="1">IFERROR(__xludf.DUMMYFUNCTION("IMPORTRANGE(""https://docs.google.com/spreadsheets/d/1KxicF4apzSqm0-jIpmueT4kyZtE-Cwn5zskl7GD4loQ/edit?usp=share_link"",""กำแพงเพชร!J608"")+IMPORTRANGE(""https://docs.google.com/spreadsheets/d/1ZNYWeiFoFA1K1U4xKWqRX29MBvEyRHXORjo734Gnq_c/edit?usp=share_li"&amp;"nk"",""เชียงราย!J608"")
+IMPORTRANGE(""https://docs.google.com/spreadsheets/d/1Jgv0Y7YlHDtsiDawwp-uvifEJ8HVaSn0k2aGHG8-hwM/edit?usp=share_link"",""เชียงใหม่!J608"")+IMPORTRANGE(""https://docs.google.com/spreadsheets/d/1JWG2rZePOz9pe-f-ObA-yDr0VoOX2kSb0qIi"&amp;"x2mTUo8/edit?usp=share_link"",""ตาก!J608"")+IMPORTRANGE(""https://docs.google.com/spreadsheets/d/10nSRjK08hx8Y6HgSOQKNw81lyY46Zc7U_Cj72hBMp9U/edit?usp=share_link"",""นครสวรรค์!J608"")+IMPORTRANGE(""https://docs.google.com/spreadsheets/d/1gFVb7qd7amutrIxAA"&amp;"oM7lcy35hllxznovot8lyOfvDo/edit?usp=share_link"",""น่าน!J608"")+IMPORTRANGE(""https://docs.google.com/spreadsheets/d/1K0Aa9s-6EuHE5M0FG1F9aHLXRCOV917xvycTdLdct0w/edit?usp=share_link"",""พะเยา!J608"")+IMPORTRANGE(""https://docs.google.com/spreadsheets/d/1Y"&amp;"9LPKx95PyL5OKy09d-KbKJSuuEZCFdkhYjwC0XQjBA/edit?usp=share_link"",""พิจิตร!J608"")+IMPORTRANGE(""https://docs.google.com/spreadsheets/d/16OMuOwy2eVqZcYWOouQtTpa8X1L23h4660uVHc0C8os/edit?usp=share_link"",""พิษณุโลก!J608"")+IMPORTRANGE(""https://docs.google."&amp;"com/spreadsheets/d/1GfgTldLG6k77HXaMQzaafODklYuucJZQNs_GAPEfZyY/edit?usp=share_link"",""เพชรบูรณ์!J608"")+IMPORTRANGE(""https://docs.google.com/spreadsheets/d/1gvTMYAnm7v1yG1BKWFtr0DnaTsq59oW9dwWvFgq6hs0/edit?usp=share_link"",""แพร่!J608"")+IMPORTRANGE("""&amp;"https://docs.google.com/spreadsheets/d/1Wbcosgy-Xa1xXUArJSOenub6EfZHUSzc_bpJFWwQUf0/edit?usp=share_link"",""แม่ฮ่องสอน!J608"")+IMPORTRANGE(""https://docs.google.com/spreadsheets/d/1p7ERhsr0qZeSn-KSOdeHS9r0heI-lHtkcn2OH7hP0jQ/edit?usp=share_link"",""ลำปาง!"&amp;"J608"")+IMPORTRANGE(""https://docs.google.com/spreadsheets/d/1-uUXvimVhiU2U0bMN-xi2te0tS4X7DI2GLPnMjzl8cA/edit?usp=share_link"",""ลำพูน!J608"")+IMPORTRANGE(""https://docs.google.com/spreadsheets/d/17HrOaa5pBUI1onckFfumXB8xlg35qb2uBAFfF1D-Myo/edit?usp=shar"&amp;"e_link"",""สุโขทัย!J608"")+IMPORTRANGE(""https://docs.google.com/spreadsheets/d/1ubs5cl16eYL9gHbdHTJtmtYb9MGzHBs7CAphn8kNCgM/edit?usp=share_link"",""อุตรดิตถ์!J608"")+IMPORTRANGE(""https://docs.google.com/spreadsheets/d/1kII0BjS6CtVrBvI8IrytgPdxDrlyQDyigz"&amp;"MsohRtDMs/edit?usp=share_link"",""อุทัยธานี!J608"")
"),0)</f>
        <v>0</v>
      </c>
      <c r="K608" s="163"/>
      <c r="L608" s="163"/>
      <c r="M608" s="163"/>
      <c r="N608" s="163"/>
      <c r="O608" s="163"/>
      <c r="P608" s="163"/>
      <c r="Q608" s="541"/>
      <c r="R608" s="541"/>
      <c r="S608" s="541"/>
      <c r="T608" s="541"/>
      <c r="U608" s="541"/>
      <c r="V608" s="541"/>
      <c r="W608" s="541"/>
      <c r="X608" s="541"/>
      <c r="Y608" s="541"/>
      <c r="Z608" s="541"/>
    </row>
    <row r="609" spans="1:26" ht="18.75">
      <c r="A609" s="572"/>
      <c r="B609" s="573"/>
      <c r="C609" s="584" t="s">
        <v>260</v>
      </c>
      <c r="D609" s="573"/>
      <c r="E609" s="573"/>
      <c r="F609" s="585"/>
      <c r="G609" s="175"/>
      <c r="H609" s="182" t="s">
        <v>46</v>
      </c>
      <c r="I609" s="37"/>
      <c r="J609" s="183">
        <f ca="1">IFERROR(__xludf.DUMMYFUNCTION("IMPORTRANGE(""https://docs.google.com/spreadsheets/d/1KxicF4apzSqm0-jIpmueT4kyZtE-Cwn5zskl7GD4loQ/edit?usp=share_link"",""กำแพงเพชร!J609"")+IMPORTRANGE(""https://docs.google.com/spreadsheets/d/1ZNYWeiFoFA1K1U4xKWqRX29MBvEyRHXORjo734Gnq_c/edit?usp=share_li"&amp;"nk"",""เชียงราย!J609"")
+IMPORTRANGE(""https://docs.google.com/spreadsheets/d/1Jgv0Y7YlHDtsiDawwp-uvifEJ8HVaSn0k2aGHG8-hwM/edit?usp=share_link"",""เชียงใหม่!J609"")+IMPORTRANGE(""https://docs.google.com/spreadsheets/d/1JWG2rZePOz9pe-f-ObA-yDr0VoOX2kSb0qIi"&amp;"x2mTUo8/edit?usp=share_link"",""ตาก!J609"")+IMPORTRANGE(""https://docs.google.com/spreadsheets/d/10nSRjK08hx8Y6HgSOQKNw81lyY46Zc7U_Cj72hBMp9U/edit?usp=share_link"",""นครสวรรค์!J609"")+IMPORTRANGE(""https://docs.google.com/spreadsheets/d/1gFVb7qd7amutrIxAA"&amp;"oM7lcy35hllxznovot8lyOfvDo/edit?usp=share_link"",""น่าน!J609"")+IMPORTRANGE(""https://docs.google.com/spreadsheets/d/1K0Aa9s-6EuHE5M0FG1F9aHLXRCOV917xvycTdLdct0w/edit?usp=share_link"",""พะเยา!J609"")+IMPORTRANGE(""https://docs.google.com/spreadsheets/d/1Y"&amp;"9LPKx95PyL5OKy09d-KbKJSuuEZCFdkhYjwC0XQjBA/edit?usp=share_link"",""พิจิตร!J609"")+IMPORTRANGE(""https://docs.google.com/spreadsheets/d/16OMuOwy2eVqZcYWOouQtTpa8X1L23h4660uVHc0C8os/edit?usp=share_link"",""พิษณุโลก!J609"")+IMPORTRANGE(""https://docs.google."&amp;"com/spreadsheets/d/1GfgTldLG6k77HXaMQzaafODklYuucJZQNs_GAPEfZyY/edit?usp=share_link"",""เพชรบูรณ์!J609"")+IMPORTRANGE(""https://docs.google.com/spreadsheets/d/1gvTMYAnm7v1yG1BKWFtr0DnaTsq59oW9dwWvFgq6hs0/edit?usp=share_link"",""แพร่!J609"")+IMPORTRANGE("""&amp;"https://docs.google.com/spreadsheets/d/1Wbcosgy-Xa1xXUArJSOenub6EfZHUSzc_bpJFWwQUf0/edit?usp=share_link"",""แม่ฮ่องสอน!J609"")+IMPORTRANGE(""https://docs.google.com/spreadsheets/d/1p7ERhsr0qZeSn-KSOdeHS9r0heI-lHtkcn2OH7hP0jQ/edit?usp=share_link"",""ลำปาง!"&amp;"J609"")+IMPORTRANGE(""https://docs.google.com/spreadsheets/d/1-uUXvimVhiU2U0bMN-xi2te0tS4X7DI2GLPnMjzl8cA/edit?usp=share_link"",""ลำพูน!J609"")+IMPORTRANGE(""https://docs.google.com/spreadsheets/d/17HrOaa5pBUI1onckFfumXB8xlg35qb2uBAFfF1D-Myo/edit?usp=shar"&amp;"e_link"",""สุโขทัย!J609"")+IMPORTRANGE(""https://docs.google.com/spreadsheets/d/1ubs5cl16eYL9gHbdHTJtmtYb9MGzHBs7CAphn8kNCgM/edit?usp=share_link"",""อุตรดิตถ์!J609"")+IMPORTRANGE(""https://docs.google.com/spreadsheets/d/1kII0BjS6CtVrBvI8IrytgPdxDrlyQDyigz"&amp;"MsohRtDMs/edit?usp=share_link"",""อุทัยธานี!J609"")
"),0)</f>
        <v>0</v>
      </c>
      <c r="K609" s="163"/>
      <c r="L609" s="163"/>
      <c r="M609" s="163"/>
      <c r="N609" s="163"/>
      <c r="O609" s="163"/>
      <c r="P609" s="163"/>
      <c r="Q609" s="541"/>
      <c r="R609" s="541"/>
      <c r="S609" s="541"/>
      <c r="T609" s="541"/>
      <c r="U609" s="541"/>
      <c r="V609" s="541"/>
      <c r="W609" s="541"/>
      <c r="X609" s="541"/>
      <c r="Y609" s="541"/>
      <c r="Z609" s="541"/>
    </row>
    <row r="610" spans="1:26" ht="18.75">
      <c r="A610" s="572"/>
      <c r="B610" s="573"/>
      <c r="C610" s="573"/>
      <c r="D610" s="573"/>
      <c r="E610" s="585"/>
      <c r="F610" s="585"/>
      <c r="G610" s="175"/>
      <c r="H610" s="182" t="s">
        <v>34</v>
      </c>
      <c r="I610" s="37"/>
      <c r="J610" s="183">
        <f ca="1">IFERROR(__xludf.DUMMYFUNCTION("IMPORTRANGE(""https://docs.google.com/spreadsheets/d/1KxicF4apzSqm0-jIpmueT4kyZtE-Cwn5zskl7GD4loQ/edit?usp=share_link"",""กำแพงเพชร!J610"")+IMPORTRANGE(""https://docs.google.com/spreadsheets/d/1ZNYWeiFoFA1K1U4xKWqRX29MBvEyRHXORjo734Gnq_c/edit?usp=share_li"&amp;"nk"",""เชียงราย!J610"")
+IMPORTRANGE(""https://docs.google.com/spreadsheets/d/1Jgv0Y7YlHDtsiDawwp-uvifEJ8HVaSn0k2aGHG8-hwM/edit?usp=share_link"",""เชียงใหม่!J610"")+IMPORTRANGE(""https://docs.google.com/spreadsheets/d/1JWG2rZePOz9pe-f-ObA-yDr0VoOX2kSb0qIi"&amp;"x2mTUo8/edit?usp=share_link"",""ตาก!J610"")+IMPORTRANGE(""https://docs.google.com/spreadsheets/d/10nSRjK08hx8Y6HgSOQKNw81lyY46Zc7U_Cj72hBMp9U/edit?usp=share_link"",""นครสวรรค์!J610"")+IMPORTRANGE(""https://docs.google.com/spreadsheets/d/1gFVb7qd7amutrIxAA"&amp;"oM7lcy35hllxznovot8lyOfvDo/edit?usp=share_link"",""น่าน!J610"")+IMPORTRANGE(""https://docs.google.com/spreadsheets/d/1K0Aa9s-6EuHE5M0FG1F9aHLXRCOV917xvycTdLdct0w/edit?usp=share_link"",""พะเยา!J610"")+IMPORTRANGE(""https://docs.google.com/spreadsheets/d/1Y"&amp;"9LPKx95PyL5OKy09d-KbKJSuuEZCFdkhYjwC0XQjBA/edit?usp=share_link"",""พิจิตร!J610"")+IMPORTRANGE(""https://docs.google.com/spreadsheets/d/16OMuOwy2eVqZcYWOouQtTpa8X1L23h4660uVHc0C8os/edit?usp=share_link"",""พิษณุโลก!J610"")+IMPORTRANGE(""https://docs.google."&amp;"com/spreadsheets/d/1GfgTldLG6k77HXaMQzaafODklYuucJZQNs_GAPEfZyY/edit?usp=share_link"",""เพชรบูรณ์!J610"")+IMPORTRANGE(""https://docs.google.com/spreadsheets/d/1gvTMYAnm7v1yG1BKWFtr0DnaTsq59oW9dwWvFgq6hs0/edit?usp=share_link"",""แพร่!J610"")+IMPORTRANGE("""&amp;"https://docs.google.com/spreadsheets/d/1Wbcosgy-Xa1xXUArJSOenub6EfZHUSzc_bpJFWwQUf0/edit?usp=share_link"",""แม่ฮ่องสอน!J610"")+IMPORTRANGE(""https://docs.google.com/spreadsheets/d/1p7ERhsr0qZeSn-KSOdeHS9r0heI-lHtkcn2OH7hP0jQ/edit?usp=share_link"",""ลำปาง!"&amp;"J610"")+IMPORTRANGE(""https://docs.google.com/spreadsheets/d/1-uUXvimVhiU2U0bMN-xi2te0tS4X7DI2GLPnMjzl8cA/edit?usp=share_link"",""ลำพูน!J610"")+IMPORTRANGE(""https://docs.google.com/spreadsheets/d/17HrOaa5pBUI1onckFfumXB8xlg35qb2uBAFfF1D-Myo/edit?usp=shar"&amp;"e_link"",""สุโขทัย!J610"")+IMPORTRANGE(""https://docs.google.com/spreadsheets/d/1ubs5cl16eYL9gHbdHTJtmtYb9MGzHBs7CAphn8kNCgM/edit?usp=share_link"",""อุตรดิตถ์!J610"")+IMPORTRANGE(""https://docs.google.com/spreadsheets/d/1kII0BjS6CtVrBvI8IrytgPdxDrlyQDyigz"&amp;"MsohRtDMs/edit?usp=share_link"",""อุทัยธานี!J610"")
"),0)</f>
        <v>0</v>
      </c>
      <c r="K610" s="163"/>
      <c r="L610" s="163"/>
      <c r="M610" s="163"/>
      <c r="N610" s="163"/>
      <c r="O610" s="163"/>
      <c r="P610" s="163"/>
      <c r="Q610" s="541"/>
      <c r="R610" s="541"/>
      <c r="S610" s="541"/>
      <c r="T610" s="541"/>
      <c r="U610" s="541"/>
      <c r="V610" s="541"/>
      <c r="W610" s="541"/>
      <c r="X610" s="541"/>
      <c r="Y610" s="541"/>
      <c r="Z610" s="541"/>
    </row>
    <row r="611" spans="1:26" ht="19.5">
      <c r="A611" s="658"/>
      <c r="B611" s="670" t="s">
        <v>261</v>
      </c>
      <c r="C611" s="660"/>
      <c r="D611" s="660"/>
      <c r="E611" s="639"/>
      <c r="F611" s="639"/>
      <c r="G611" s="640"/>
      <c r="H611" s="671" t="s">
        <v>46</v>
      </c>
      <c r="I611" s="672">
        <v>0</v>
      </c>
      <c r="J611" s="642">
        <f>J614+J616</f>
        <v>0</v>
      </c>
      <c r="K611" s="643">
        <f t="shared" ref="K611:K613" si="296">IF(I611&gt;0,J611*100/I611,0)</f>
        <v>0</v>
      </c>
      <c r="L611" s="644"/>
      <c r="M611" s="644"/>
      <c r="N611" s="644"/>
      <c r="O611" s="644"/>
      <c r="P611" s="644"/>
      <c r="Q611" s="541"/>
      <c r="R611" s="541"/>
      <c r="S611" s="541"/>
      <c r="T611" s="541"/>
      <c r="U611" s="541"/>
      <c r="V611" s="541"/>
      <c r="W611" s="541"/>
      <c r="X611" s="541"/>
      <c r="Y611" s="541"/>
      <c r="Z611" s="541"/>
    </row>
    <row r="612" spans="1:26" ht="19.5" hidden="1">
      <c r="A612" s="673"/>
      <c r="B612" s="674"/>
      <c r="C612" s="675" t="s">
        <v>262</v>
      </c>
      <c r="D612" s="674"/>
      <c r="E612" s="674"/>
      <c r="F612" s="676"/>
      <c r="G612" s="677"/>
      <c r="H612" s="678" t="s">
        <v>46</v>
      </c>
      <c r="I612" s="679">
        <v>0</v>
      </c>
      <c r="J612" s="680">
        <f t="shared" ref="J612:J613" si="297">J614+J616</f>
        <v>0</v>
      </c>
      <c r="K612" s="681">
        <f t="shared" si="296"/>
        <v>0</v>
      </c>
      <c r="L612" s="682"/>
      <c r="M612" s="682"/>
      <c r="N612" s="682"/>
      <c r="O612" s="682"/>
      <c r="P612" s="682"/>
      <c r="Q612" s="568"/>
      <c r="R612" s="568"/>
      <c r="S612" s="568"/>
      <c r="T612" s="568"/>
      <c r="U612" s="568"/>
      <c r="V612" s="568"/>
      <c r="W612" s="568"/>
      <c r="X612" s="568"/>
      <c r="Y612" s="568"/>
      <c r="Z612" s="568"/>
    </row>
    <row r="613" spans="1:26" ht="19.5" hidden="1">
      <c r="A613" s="673"/>
      <c r="B613" s="674"/>
      <c r="C613" s="683" t="s">
        <v>263</v>
      </c>
      <c r="D613" s="674"/>
      <c r="E613" s="674"/>
      <c r="F613" s="676"/>
      <c r="G613" s="677"/>
      <c r="H613" s="678" t="s">
        <v>34</v>
      </c>
      <c r="I613" s="679">
        <v>0</v>
      </c>
      <c r="J613" s="680">
        <f t="shared" si="297"/>
        <v>0</v>
      </c>
      <c r="K613" s="681">
        <f t="shared" si="296"/>
        <v>0</v>
      </c>
      <c r="L613" s="682"/>
      <c r="M613" s="682"/>
      <c r="N613" s="682"/>
      <c r="O613" s="682"/>
      <c r="P613" s="682"/>
      <c r="Q613" s="568"/>
      <c r="R613" s="568"/>
      <c r="S613" s="568"/>
      <c r="T613" s="568"/>
      <c r="U613" s="568"/>
      <c r="V613" s="568"/>
      <c r="W613" s="568"/>
      <c r="X613" s="568"/>
      <c r="Y613" s="568"/>
      <c r="Z613" s="568"/>
    </row>
    <row r="614" spans="1:26" ht="18.75" hidden="1">
      <c r="A614" s="578"/>
      <c r="B614" s="579"/>
      <c r="C614" s="579"/>
      <c r="D614" s="684" t="s">
        <v>264</v>
      </c>
      <c r="E614" s="579"/>
      <c r="F614" s="565"/>
      <c r="G614" s="581"/>
      <c r="H614" s="582" t="s">
        <v>46</v>
      </c>
      <c r="I614" s="44"/>
      <c r="J614" s="583">
        <v>0</v>
      </c>
      <c r="K614" s="167"/>
      <c r="L614" s="167"/>
      <c r="M614" s="167"/>
      <c r="N614" s="167"/>
      <c r="O614" s="167"/>
      <c r="P614" s="167"/>
      <c r="Q614" s="568"/>
      <c r="R614" s="568"/>
      <c r="S614" s="568"/>
      <c r="T614" s="568"/>
      <c r="U614" s="568"/>
      <c r="V614" s="568"/>
      <c r="W614" s="568"/>
      <c r="X614" s="568"/>
      <c r="Y614" s="568"/>
      <c r="Z614" s="568"/>
    </row>
    <row r="615" spans="1:26" ht="18.75" hidden="1">
      <c r="A615" s="578"/>
      <c r="B615" s="579"/>
      <c r="C615" s="579"/>
      <c r="D615" s="579"/>
      <c r="E615" s="579"/>
      <c r="F615" s="565"/>
      <c r="G615" s="581"/>
      <c r="H615" s="582" t="s">
        <v>34</v>
      </c>
      <c r="I615" s="44"/>
      <c r="J615" s="583">
        <v>0</v>
      </c>
      <c r="K615" s="167"/>
      <c r="L615" s="167"/>
      <c r="M615" s="167"/>
      <c r="N615" s="167"/>
      <c r="O615" s="167"/>
      <c r="P615" s="167"/>
      <c r="Q615" s="568"/>
      <c r="R615" s="568"/>
      <c r="S615" s="568"/>
      <c r="T615" s="568"/>
      <c r="U615" s="568"/>
      <c r="V615" s="568"/>
      <c r="W615" s="568"/>
      <c r="X615" s="568"/>
      <c r="Y615" s="568"/>
      <c r="Z615" s="568"/>
    </row>
    <row r="616" spans="1:26" ht="18.75" hidden="1">
      <c r="A616" s="578"/>
      <c r="B616" s="579"/>
      <c r="C616" s="579"/>
      <c r="D616" s="685" t="s">
        <v>264</v>
      </c>
      <c r="E616" s="565"/>
      <c r="F616" s="565"/>
      <c r="G616" s="581"/>
      <c r="H616" s="582" t="s">
        <v>46</v>
      </c>
      <c r="I616" s="44"/>
      <c r="J616" s="583">
        <v>0</v>
      </c>
      <c r="K616" s="167"/>
      <c r="L616" s="167"/>
      <c r="M616" s="167"/>
      <c r="N616" s="167"/>
      <c r="O616" s="167"/>
      <c r="P616" s="167"/>
      <c r="Q616" s="568"/>
      <c r="R616" s="568"/>
      <c r="S616" s="568"/>
      <c r="T616" s="568"/>
      <c r="U616" s="568"/>
      <c r="V616" s="568"/>
      <c r="W616" s="568"/>
      <c r="X616" s="568"/>
      <c r="Y616" s="568"/>
      <c r="Z616" s="568"/>
    </row>
    <row r="617" spans="1:26" ht="18.75" hidden="1">
      <c r="A617" s="578"/>
      <c r="B617" s="579"/>
      <c r="C617" s="579"/>
      <c r="D617" s="579"/>
      <c r="E617" s="565"/>
      <c r="F617" s="565"/>
      <c r="G617" s="581"/>
      <c r="H617" s="582" t="s">
        <v>34</v>
      </c>
      <c r="I617" s="44"/>
      <c r="J617" s="583">
        <v>0</v>
      </c>
      <c r="K617" s="167"/>
      <c r="L617" s="167"/>
      <c r="M617" s="167"/>
      <c r="N617" s="167"/>
      <c r="O617" s="167"/>
      <c r="P617" s="167"/>
      <c r="Q617" s="568"/>
      <c r="R617" s="568"/>
      <c r="S617" s="568"/>
      <c r="T617" s="568"/>
      <c r="U617" s="568"/>
      <c r="V617" s="568"/>
      <c r="W617" s="568"/>
      <c r="X617" s="568"/>
      <c r="Y617" s="568"/>
      <c r="Z617" s="568"/>
    </row>
    <row r="618" spans="1:26" ht="18.75" hidden="1">
      <c r="A618" s="578"/>
      <c r="B618" s="579"/>
      <c r="C618" s="579"/>
      <c r="D618" s="685" t="s">
        <v>265</v>
      </c>
      <c r="E618" s="565"/>
      <c r="F618" s="565"/>
      <c r="G618" s="581"/>
      <c r="H618" s="582" t="s">
        <v>46</v>
      </c>
      <c r="I618" s="44"/>
      <c r="J618" s="583">
        <v>0</v>
      </c>
      <c r="K618" s="167"/>
      <c r="L618" s="167"/>
      <c r="M618" s="167"/>
      <c r="N618" s="167"/>
      <c r="O618" s="167"/>
      <c r="P618" s="167"/>
      <c r="Q618" s="568"/>
      <c r="R618" s="568"/>
      <c r="S618" s="568"/>
      <c r="T618" s="568"/>
      <c r="U618" s="568"/>
      <c r="V618" s="568"/>
      <c r="W618" s="568"/>
      <c r="X618" s="568"/>
      <c r="Y618" s="568"/>
      <c r="Z618" s="568"/>
    </row>
    <row r="619" spans="1:26" ht="18.75" hidden="1">
      <c r="A619" s="578"/>
      <c r="B619" s="579"/>
      <c r="C619" s="579"/>
      <c r="D619" s="579"/>
      <c r="E619" s="565"/>
      <c r="F619" s="565"/>
      <c r="G619" s="581"/>
      <c r="H619" s="582" t="s">
        <v>34</v>
      </c>
      <c r="I619" s="44"/>
      <c r="J619" s="583">
        <v>0</v>
      </c>
      <c r="K619" s="167"/>
      <c r="L619" s="167"/>
      <c r="M619" s="167"/>
      <c r="N619" s="167"/>
      <c r="O619" s="167"/>
      <c r="P619" s="167"/>
      <c r="Q619" s="568"/>
      <c r="R619" s="568"/>
      <c r="S619" s="568"/>
      <c r="T619" s="568"/>
      <c r="U619" s="568"/>
      <c r="V619" s="568"/>
      <c r="W619" s="568"/>
      <c r="X619" s="568"/>
      <c r="Y619" s="568"/>
      <c r="Z619" s="568"/>
    </row>
    <row r="620" spans="1:26" ht="19.5">
      <c r="A620" s="686"/>
      <c r="B620" s="687"/>
      <c r="C620" s="688" t="s">
        <v>266</v>
      </c>
      <c r="D620" s="687"/>
      <c r="E620" s="687"/>
      <c r="F620" s="689"/>
      <c r="G620" s="690"/>
      <c r="H620" s="691" t="s">
        <v>46</v>
      </c>
      <c r="I620" s="692">
        <f ca="1">IFERROR(__xludf.DUMMYFUNCTION("IMPORTRANGE(""https://docs.google.com/spreadsheets/d/1KxicF4apzSqm0-jIpmueT4kyZtE-Cwn5zskl7GD4loQ/edit?usp=share_link"",""กำแพงเพชร!I620"")+IMPORTRANGE(""https://docs.google.com/spreadsheets/d/1ZNYWeiFoFA1K1U4xKWqRX29MBvEyRHXORjo734Gnq_c/edit?usp=share_li"&amp;"nk"",""เชียงราย!I620"")
+IMPORTRANGE(""https://docs.google.com/spreadsheets/d/1Jgv0Y7YlHDtsiDawwp-uvifEJ8HVaSn0k2aGHG8-hwM/edit?usp=share_link"",""เชียงใหม่!I620"")+IMPORTRANGE(""https://docs.google.com/spreadsheets/d/1JWG2rZePOz9pe-f-ObA-yDr0VoOX2kSb0qIi"&amp;"x2mTUo8/edit?usp=share_link"",""ตาก!I620"")+IMPORTRANGE(""https://docs.google.com/spreadsheets/d/10nSRjK08hx8Y6HgSOQKNw81lyY46Zc7U_Cj72hBMp9U/edit?usp=share_link"",""นครสวรรค์!I620"")+IMPORTRANGE(""https://docs.google.com/spreadsheets/d/1gFVb7qd7amutrIxAA"&amp;"oM7lcy35hllxznovot8lyOfvDo/edit?usp=share_link"",""น่าน!I620"")+IMPORTRANGE(""https://docs.google.com/spreadsheets/d/1K0Aa9s-6EuHE5M0FG1F9aHLXRCOV917xvycTdLdct0w/edit?usp=share_link"",""พะเยา!I620"")+IMPORTRANGE(""https://docs.google.com/spreadsheets/d/1Y"&amp;"9LPKx95PyL5OKy09d-KbKJSuuEZCFdkhYjwC0XQjBA/edit?usp=share_link"",""พิจิตร!I620"")+IMPORTRANGE(""https://docs.google.com/spreadsheets/d/16OMuOwy2eVqZcYWOouQtTpa8X1L23h4660uVHc0C8os/edit?usp=share_link"",""พิษณุโลก!I620"")+IMPORTRANGE(""https://docs.google."&amp;"com/spreadsheets/d/1GfgTldLG6k77HXaMQzaafODklYuucJZQNs_GAPEfZyY/edit?usp=share_link"",""เพชรบูรณ์!I620"")+IMPORTRANGE(""https://docs.google.com/spreadsheets/d/1gvTMYAnm7v1yG1BKWFtr0DnaTsq59oW9dwWvFgq6hs0/edit?usp=share_link"",""แพร่!I620"")+IMPORTRANGE("""&amp;"https://docs.google.com/spreadsheets/d/1Wbcosgy-Xa1xXUArJSOenub6EfZHUSzc_bpJFWwQUf0/edit?usp=share_link"",""แม่ฮ่องสอน!I620"")+IMPORTRANGE(""https://docs.google.com/spreadsheets/d/1p7ERhsr0qZeSn-KSOdeHS9r0heI-lHtkcn2OH7hP0jQ/edit?usp=share_link"",""ลำปาง!"&amp;"I620"")+IMPORTRANGE(""https://docs.google.com/spreadsheets/d/1-uUXvimVhiU2U0bMN-xi2te0tS4X7DI2GLPnMjzl8cA/edit?usp=share_link"",""ลำพูน!I620"")+IMPORTRANGE(""https://docs.google.com/spreadsheets/d/17HrOaa5pBUI1onckFfumXB8xlg35qb2uBAFfF1D-Myo/edit?usp=shar"&amp;"e_link"",""สุโขทัย!I620"")+IMPORTRANGE(""https://docs.google.com/spreadsheets/d/1ubs5cl16eYL9gHbdHTJtmtYb9MGzHBs7CAphn8kNCgM/edit?usp=share_link"",""อุตรดิตถ์!I620"")+IMPORTRANGE(""https://docs.google.com/spreadsheets/d/1kII0BjS6CtVrBvI8IrytgPdxDrlyQDyigz"&amp;"MsohRtDMs/edit?usp=share_link"",""อุทัยธานี!I620"")
"),0)</f>
        <v>0</v>
      </c>
      <c r="J620" s="692">
        <f t="shared" ref="J620:J621" ca="1" si="298">J622+J624+J626</f>
        <v>0</v>
      </c>
      <c r="K620" s="693">
        <f t="shared" ref="K620:K621" ca="1" si="299">IF(I620&gt;0,J620*100/I620,0)</f>
        <v>0</v>
      </c>
      <c r="L620" s="694"/>
      <c r="M620" s="694"/>
      <c r="N620" s="694"/>
      <c r="O620" s="694"/>
      <c r="P620" s="694"/>
      <c r="Q620" s="541"/>
      <c r="R620" s="541"/>
      <c r="S620" s="541"/>
      <c r="T620" s="541"/>
      <c r="U620" s="541"/>
      <c r="V620" s="541"/>
      <c r="W620" s="541"/>
      <c r="X620" s="541"/>
      <c r="Y620" s="541"/>
      <c r="Z620" s="541"/>
    </row>
    <row r="621" spans="1:26" ht="19.5">
      <c r="A621" s="686"/>
      <c r="B621" s="687"/>
      <c r="C621" s="695" t="s">
        <v>267</v>
      </c>
      <c r="D621" s="687"/>
      <c r="E621" s="687"/>
      <c r="F621" s="689"/>
      <c r="G621" s="690"/>
      <c r="H621" s="691" t="s">
        <v>34</v>
      </c>
      <c r="I621" s="692">
        <f ca="1">IFERROR(__xludf.DUMMYFUNCTION("IMPORTRANGE(""https://docs.google.com/spreadsheets/d/1KxicF4apzSqm0-jIpmueT4kyZtE-Cwn5zskl7GD4loQ/edit?usp=share_link"",""กำแพงเพชร!I621"")+IMPORTRANGE(""https://docs.google.com/spreadsheets/d/1ZNYWeiFoFA1K1U4xKWqRX29MBvEyRHXORjo734Gnq_c/edit?usp=share_li"&amp;"nk"",""เชียงราย!I621"")
+IMPORTRANGE(""https://docs.google.com/spreadsheets/d/1Jgv0Y7YlHDtsiDawwp-uvifEJ8HVaSn0k2aGHG8-hwM/edit?usp=share_link"",""เชียงใหม่!I621"")+IMPORTRANGE(""https://docs.google.com/spreadsheets/d/1JWG2rZePOz9pe-f-ObA-yDr0VoOX2kSb0qIi"&amp;"x2mTUo8/edit?usp=share_link"",""ตาก!I621"")+IMPORTRANGE(""https://docs.google.com/spreadsheets/d/10nSRjK08hx8Y6HgSOQKNw81lyY46Zc7U_Cj72hBMp9U/edit?usp=share_link"",""นครสวรรค์!I621"")+IMPORTRANGE(""https://docs.google.com/spreadsheets/d/1gFVb7qd7amutrIxAA"&amp;"oM7lcy35hllxznovot8lyOfvDo/edit?usp=share_link"",""น่าน!I621"")+IMPORTRANGE(""https://docs.google.com/spreadsheets/d/1K0Aa9s-6EuHE5M0FG1F9aHLXRCOV917xvycTdLdct0w/edit?usp=share_link"",""พะเยา!I621"")+IMPORTRANGE(""https://docs.google.com/spreadsheets/d/1Y"&amp;"9LPKx95PyL5OKy09d-KbKJSuuEZCFdkhYjwC0XQjBA/edit?usp=share_link"",""พิจิตร!I621"")+IMPORTRANGE(""https://docs.google.com/spreadsheets/d/16OMuOwy2eVqZcYWOouQtTpa8X1L23h4660uVHc0C8os/edit?usp=share_link"",""พิษณุโลก!I621"")+IMPORTRANGE(""https://docs.google."&amp;"com/spreadsheets/d/1GfgTldLG6k77HXaMQzaafODklYuucJZQNs_GAPEfZyY/edit?usp=share_link"",""เพชรบูรณ์!I621"")+IMPORTRANGE(""https://docs.google.com/spreadsheets/d/1gvTMYAnm7v1yG1BKWFtr0DnaTsq59oW9dwWvFgq6hs0/edit?usp=share_link"",""แพร่!I621"")+IMPORTRANGE("""&amp;"https://docs.google.com/spreadsheets/d/1Wbcosgy-Xa1xXUArJSOenub6EfZHUSzc_bpJFWwQUf0/edit?usp=share_link"",""แม่ฮ่องสอน!I621"")+IMPORTRANGE(""https://docs.google.com/spreadsheets/d/1p7ERhsr0qZeSn-KSOdeHS9r0heI-lHtkcn2OH7hP0jQ/edit?usp=share_link"",""ลำปาง!"&amp;"I621"")+IMPORTRANGE(""https://docs.google.com/spreadsheets/d/1-uUXvimVhiU2U0bMN-xi2te0tS4X7DI2GLPnMjzl8cA/edit?usp=share_link"",""ลำพูน!I621"")+IMPORTRANGE(""https://docs.google.com/spreadsheets/d/17HrOaa5pBUI1onckFfumXB8xlg35qb2uBAFfF1D-Myo/edit?usp=shar"&amp;"e_link"",""สุโขทัย!I621"")+IMPORTRANGE(""https://docs.google.com/spreadsheets/d/1ubs5cl16eYL9gHbdHTJtmtYb9MGzHBs7CAphn8kNCgM/edit?usp=share_link"",""อุตรดิตถ์!I621"")+IMPORTRANGE(""https://docs.google.com/spreadsheets/d/1kII0BjS6CtVrBvI8IrytgPdxDrlyQDyigz"&amp;"MsohRtDMs/edit?usp=share_link"",""อุทัยธานี!I621"")
"),0)</f>
        <v>0</v>
      </c>
      <c r="J621" s="692">
        <f t="shared" ca="1" si="298"/>
        <v>0</v>
      </c>
      <c r="K621" s="693">
        <f t="shared" ca="1" si="299"/>
        <v>0</v>
      </c>
      <c r="L621" s="694"/>
      <c r="M621" s="694"/>
      <c r="N621" s="694"/>
      <c r="O621" s="694"/>
      <c r="P621" s="694"/>
      <c r="Q621" s="541"/>
      <c r="R621" s="541"/>
      <c r="S621" s="541"/>
      <c r="T621" s="541"/>
      <c r="U621" s="541"/>
      <c r="V621" s="541"/>
      <c r="W621" s="541"/>
      <c r="X621" s="541"/>
      <c r="Y621" s="541"/>
      <c r="Z621" s="541"/>
    </row>
    <row r="622" spans="1:26" ht="18.75">
      <c r="A622" s="572"/>
      <c r="B622" s="573"/>
      <c r="C622" s="573"/>
      <c r="D622" s="262" t="s">
        <v>268</v>
      </c>
      <c r="E622" s="585"/>
      <c r="F622" s="585"/>
      <c r="G622" s="175"/>
      <c r="H622" s="182" t="s">
        <v>46</v>
      </c>
      <c r="I622" s="37"/>
      <c r="J622" s="183">
        <f ca="1">IFERROR(__xludf.DUMMYFUNCTION("IMPORTRANGE(""https://docs.google.com/spreadsheets/d/1KxicF4apzSqm0-jIpmueT4kyZtE-Cwn5zskl7GD4loQ/edit?usp=share_link"",""กำแพงเพชร!J622"")+IMPORTRANGE(""https://docs.google.com/spreadsheets/d/1ZNYWeiFoFA1K1U4xKWqRX29MBvEyRHXORjo734Gnq_c/edit?usp=share_li"&amp;"nk"",""เชียงราย!J622"")
+IMPORTRANGE(""https://docs.google.com/spreadsheets/d/1Jgv0Y7YlHDtsiDawwp-uvifEJ8HVaSn0k2aGHG8-hwM/edit?usp=share_link"",""เชียงใหม่!J622"")+IMPORTRANGE(""https://docs.google.com/spreadsheets/d/1JWG2rZePOz9pe-f-ObA-yDr0VoOX2kSb0qIi"&amp;"x2mTUo8/edit?usp=share_link"",""ตาก!J622"")+IMPORTRANGE(""https://docs.google.com/spreadsheets/d/10nSRjK08hx8Y6HgSOQKNw81lyY46Zc7U_Cj72hBMp9U/edit?usp=share_link"",""นครสวรรค์!J622"")+IMPORTRANGE(""https://docs.google.com/spreadsheets/d/1gFVb7qd7amutrIxAA"&amp;"oM7lcy35hllxznovot8lyOfvDo/edit?usp=share_link"",""น่าน!J622"")+IMPORTRANGE(""https://docs.google.com/spreadsheets/d/1K0Aa9s-6EuHE5M0FG1F9aHLXRCOV917xvycTdLdct0w/edit?usp=share_link"",""พะเยา!J622"")+IMPORTRANGE(""https://docs.google.com/spreadsheets/d/1Y"&amp;"9LPKx95PyL5OKy09d-KbKJSuuEZCFdkhYjwC0XQjBA/edit?usp=share_link"",""พิจิตร!J622"")+IMPORTRANGE(""https://docs.google.com/spreadsheets/d/16OMuOwy2eVqZcYWOouQtTpa8X1L23h4660uVHc0C8os/edit?usp=share_link"",""พิษณุโลก!J622"")+IMPORTRANGE(""https://docs.google."&amp;"com/spreadsheets/d/1GfgTldLG6k77HXaMQzaafODklYuucJZQNs_GAPEfZyY/edit?usp=share_link"",""เพชรบูรณ์!J622"")+IMPORTRANGE(""https://docs.google.com/spreadsheets/d/1gvTMYAnm7v1yG1BKWFtr0DnaTsq59oW9dwWvFgq6hs0/edit?usp=share_link"",""แพร่!J622"")+IMPORTRANGE("""&amp;"https://docs.google.com/spreadsheets/d/1Wbcosgy-Xa1xXUArJSOenub6EfZHUSzc_bpJFWwQUf0/edit?usp=share_link"",""แม่ฮ่องสอน!J622"")+IMPORTRANGE(""https://docs.google.com/spreadsheets/d/1p7ERhsr0qZeSn-KSOdeHS9r0heI-lHtkcn2OH7hP0jQ/edit?usp=share_link"",""ลำปาง!"&amp;"J622"")+IMPORTRANGE(""https://docs.google.com/spreadsheets/d/1-uUXvimVhiU2U0bMN-xi2te0tS4X7DI2GLPnMjzl8cA/edit?usp=share_link"",""ลำพูน!J622"")+IMPORTRANGE(""https://docs.google.com/spreadsheets/d/17HrOaa5pBUI1onckFfumXB8xlg35qb2uBAFfF1D-Myo/edit?usp=shar"&amp;"e_link"",""สุโขทัย!J622"")+IMPORTRANGE(""https://docs.google.com/spreadsheets/d/1ubs5cl16eYL9gHbdHTJtmtYb9MGzHBs7CAphn8kNCgM/edit?usp=share_link"",""อุตรดิตถ์!J622"")+IMPORTRANGE(""https://docs.google.com/spreadsheets/d/1kII0BjS6CtVrBvI8IrytgPdxDrlyQDyigz"&amp;"MsohRtDMs/edit?usp=share_link"",""อุทัยธานี!J622"")
"),0)</f>
        <v>0</v>
      </c>
      <c r="K622" s="163"/>
      <c r="L622" s="163"/>
      <c r="M622" s="163"/>
      <c r="N622" s="163"/>
      <c r="O622" s="163"/>
      <c r="P622" s="163"/>
      <c r="Q622" s="541"/>
      <c r="R622" s="541"/>
      <c r="S622" s="541"/>
      <c r="T622" s="541"/>
      <c r="U622" s="541"/>
      <c r="V622" s="541"/>
      <c r="W622" s="541"/>
      <c r="X622" s="541"/>
      <c r="Y622" s="541"/>
      <c r="Z622" s="541"/>
    </row>
    <row r="623" spans="1:26" ht="18.75">
      <c r="A623" s="572"/>
      <c r="B623" s="573"/>
      <c r="C623" s="573"/>
      <c r="D623" s="573"/>
      <c r="E623" s="585"/>
      <c r="F623" s="585"/>
      <c r="G623" s="175"/>
      <c r="H623" s="182" t="s">
        <v>34</v>
      </c>
      <c r="I623" s="37"/>
      <c r="J623" s="183">
        <f ca="1">IFERROR(__xludf.DUMMYFUNCTION("IMPORTRANGE(""https://docs.google.com/spreadsheets/d/1KxicF4apzSqm0-jIpmueT4kyZtE-Cwn5zskl7GD4loQ/edit?usp=share_link"",""กำแพงเพชร!J623"")+IMPORTRANGE(""https://docs.google.com/spreadsheets/d/1ZNYWeiFoFA1K1U4xKWqRX29MBvEyRHXORjo734Gnq_c/edit?usp=share_li"&amp;"nk"",""เชียงราย!J623"")
+IMPORTRANGE(""https://docs.google.com/spreadsheets/d/1Jgv0Y7YlHDtsiDawwp-uvifEJ8HVaSn0k2aGHG8-hwM/edit?usp=share_link"",""เชียงใหม่!J623"")+IMPORTRANGE(""https://docs.google.com/spreadsheets/d/1JWG2rZePOz9pe-f-ObA-yDr0VoOX2kSb0qIi"&amp;"x2mTUo8/edit?usp=share_link"",""ตาก!J623"")+IMPORTRANGE(""https://docs.google.com/spreadsheets/d/10nSRjK08hx8Y6HgSOQKNw81lyY46Zc7U_Cj72hBMp9U/edit?usp=share_link"",""นครสวรรค์!J623"")+IMPORTRANGE(""https://docs.google.com/spreadsheets/d/1gFVb7qd7amutrIxAA"&amp;"oM7lcy35hllxznovot8lyOfvDo/edit?usp=share_link"",""น่าน!J623"")+IMPORTRANGE(""https://docs.google.com/spreadsheets/d/1K0Aa9s-6EuHE5M0FG1F9aHLXRCOV917xvycTdLdct0w/edit?usp=share_link"",""พะเยา!J623"")+IMPORTRANGE(""https://docs.google.com/spreadsheets/d/1Y"&amp;"9LPKx95PyL5OKy09d-KbKJSuuEZCFdkhYjwC0XQjBA/edit?usp=share_link"",""พิจิตร!J623"")+IMPORTRANGE(""https://docs.google.com/spreadsheets/d/16OMuOwy2eVqZcYWOouQtTpa8X1L23h4660uVHc0C8os/edit?usp=share_link"",""พิษณุโลก!J623"")+IMPORTRANGE(""https://docs.google."&amp;"com/spreadsheets/d/1GfgTldLG6k77HXaMQzaafODklYuucJZQNs_GAPEfZyY/edit?usp=share_link"",""เพชรบูรณ์!J623"")+IMPORTRANGE(""https://docs.google.com/spreadsheets/d/1gvTMYAnm7v1yG1BKWFtr0DnaTsq59oW9dwWvFgq6hs0/edit?usp=share_link"",""แพร่!J623"")+IMPORTRANGE("""&amp;"https://docs.google.com/spreadsheets/d/1Wbcosgy-Xa1xXUArJSOenub6EfZHUSzc_bpJFWwQUf0/edit?usp=share_link"",""แม่ฮ่องสอน!J623"")+IMPORTRANGE(""https://docs.google.com/spreadsheets/d/1p7ERhsr0qZeSn-KSOdeHS9r0heI-lHtkcn2OH7hP0jQ/edit?usp=share_link"",""ลำปาง!"&amp;"J623"")+IMPORTRANGE(""https://docs.google.com/spreadsheets/d/1-uUXvimVhiU2U0bMN-xi2te0tS4X7DI2GLPnMjzl8cA/edit?usp=share_link"",""ลำพูน!J623"")+IMPORTRANGE(""https://docs.google.com/spreadsheets/d/17HrOaa5pBUI1onckFfumXB8xlg35qb2uBAFfF1D-Myo/edit?usp=shar"&amp;"e_link"",""สุโขทัย!J623"")+IMPORTRANGE(""https://docs.google.com/spreadsheets/d/1ubs5cl16eYL9gHbdHTJtmtYb9MGzHBs7CAphn8kNCgM/edit?usp=share_link"",""อุตรดิตถ์!J623"")+IMPORTRANGE(""https://docs.google.com/spreadsheets/d/1kII0BjS6CtVrBvI8IrytgPdxDrlyQDyigz"&amp;"MsohRtDMs/edit?usp=share_link"",""อุทัยธานี!J623"")
"),0)</f>
        <v>0</v>
      </c>
      <c r="K623" s="163"/>
      <c r="L623" s="163"/>
      <c r="M623" s="163"/>
      <c r="N623" s="163"/>
      <c r="O623" s="163"/>
      <c r="P623" s="163"/>
      <c r="Q623" s="541"/>
      <c r="R623" s="541"/>
      <c r="S623" s="541"/>
      <c r="T623" s="541"/>
      <c r="U623" s="541"/>
      <c r="V623" s="541"/>
      <c r="W623" s="541"/>
      <c r="X623" s="541"/>
      <c r="Y623" s="541"/>
      <c r="Z623" s="541"/>
    </row>
    <row r="624" spans="1:26" ht="18.75">
      <c r="A624" s="572"/>
      <c r="B624" s="573"/>
      <c r="C624" s="573"/>
      <c r="D624" s="262" t="s">
        <v>264</v>
      </c>
      <c r="E624" s="585"/>
      <c r="F624" s="585"/>
      <c r="G624" s="175"/>
      <c r="H624" s="182" t="s">
        <v>46</v>
      </c>
      <c r="I624" s="37"/>
      <c r="J624" s="183">
        <f ca="1">IFERROR(__xludf.DUMMYFUNCTION("IMPORTRANGE(""https://docs.google.com/spreadsheets/d/1KxicF4apzSqm0-jIpmueT4kyZtE-Cwn5zskl7GD4loQ/edit?usp=share_link"",""กำแพงเพชร!J624"")+IMPORTRANGE(""https://docs.google.com/spreadsheets/d/1ZNYWeiFoFA1K1U4xKWqRX29MBvEyRHXORjo734Gnq_c/edit?usp=share_li"&amp;"nk"",""เชียงราย!J624"")
+IMPORTRANGE(""https://docs.google.com/spreadsheets/d/1Jgv0Y7YlHDtsiDawwp-uvifEJ8HVaSn0k2aGHG8-hwM/edit?usp=share_link"",""เชียงใหม่!J624"")+IMPORTRANGE(""https://docs.google.com/spreadsheets/d/1JWG2rZePOz9pe-f-ObA-yDr0VoOX2kSb0qIi"&amp;"x2mTUo8/edit?usp=share_link"",""ตาก!J624"")+IMPORTRANGE(""https://docs.google.com/spreadsheets/d/10nSRjK08hx8Y6HgSOQKNw81lyY46Zc7U_Cj72hBMp9U/edit?usp=share_link"",""นครสวรรค์!J624"")+IMPORTRANGE(""https://docs.google.com/spreadsheets/d/1gFVb7qd7amutrIxAA"&amp;"oM7lcy35hllxznovot8lyOfvDo/edit?usp=share_link"",""น่าน!J624"")+IMPORTRANGE(""https://docs.google.com/spreadsheets/d/1K0Aa9s-6EuHE5M0FG1F9aHLXRCOV917xvycTdLdct0w/edit?usp=share_link"",""พะเยา!J624"")+IMPORTRANGE(""https://docs.google.com/spreadsheets/d/1Y"&amp;"9LPKx95PyL5OKy09d-KbKJSuuEZCFdkhYjwC0XQjBA/edit?usp=share_link"",""พิจิตร!J624"")+IMPORTRANGE(""https://docs.google.com/spreadsheets/d/16OMuOwy2eVqZcYWOouQtTpa8X1L23h4660uVHc0C8os/edit?usp=share_link"",""พิษณุโลก!J624"")+IMPORTRANGE(""https://docs.google."&amp;"com/spreadsheets/d/1GfgTldLG6k77HXaMQzaafODklYuucJZQNs_GAPEfZyY/edit?usp=share_link"",""เพชรบูรณ์!J624"")+IMPORTRANGE(""https://docs.google.com/spreadsheets/d/1gvTMYAnm7v1yG1BKWFtr0DnaTsq59oW9dwWvFgq6hs0/edit?usp=share_link"",""แพร่!J624"")+IMPORTRANGE("""&amp;"https://docs.google.com/spreadsheets/d/1Wbcosgy-Xa1xXUArJSOenub6EfZHUSzc_bpJFWwQUf0/edit?usp=share_link"",""แม่ฮ่องสอน!J624"")+IMPORTRANGE(""https://docs.google.com/spreadsheets/d/1p7ERhsr0qZeSn-KSOdeHS9r0heI-lHtkcn2OH7hP0jQ/edit?usp=share_link"",""ลำปาง!"&amp;"J624"")+IMPORTRANGE(""https://docs.google.com/spreadsheets/d/1-uUXvimVhiU2U0bMN-xi2te0tS4X7DI2GLPnMjzl8cA/edit?usp=share_link"",""ลำพูน!J624"")+IMPORTRANGE(""https://docs.google.com/spreadsheets/d/17HrOaa5pBUI1onckFfumXB8xlg35qb2uBAFfF1D-Myo/edit?usp=shar"&amp;"e_link"",""สุโขทัย!J624"")+IMPORTRANGE(""https://docs.google.com/spreadsheets/d/1ubs5cl16eYL9gHbdHTJtmtYb9MGzHBs7CAphn8kNCgM/edit?usp=share_link"",""อุตรดิตถ์!J624"")+IMPORTRANGE(""https://docs.google.com/spreadsheets/d/1kII0BjS6CtVrBvI8IrytgPdxDrlyQDyigz"&amp;"MsohRtDMs/edit?usp=share_link"",""อุทัยธานี!J624"")
"),0)</f>
        <v>0</v>
      </c>
      <c r="K624" s="163"/>
      <c r="L624" s="163"/>
      <c r="M624" s="163"/>
      <c r="N624" s="163"/>
      <c r="O624" s="163"/>
      <c r="P624" s="163"/>
      <c r="Q624" s="541"/>
      <c r="R624" s="541"/>
      <c r="S624" s="541"/>
      <c r="T624" s="541"/>
      <c r="U624" s="541"/>
      <c r="V624" s="541"/>
      <c r="W624" s="541"/>
      <c r="X624" s="541"/>
      <c r="Y624" s="541"/>
      <c r="Z624" s="541"/>
    </row>
    <row r="625" spans="1:26" ht="18.75">
      <c r="A625" s="572"/>
      <c r="B625" s="573"/>
      <c r="C625" s="573"/>
      <c r="D625" s="573"/>
      <c r="E625" s="585"/>
      <c r="F625" s="585"/>
      <c r="G625" s="175"/>
      <c r="H625" s="182" t="s">
        <v>34</v>
      </c>
      <c r="I625" s="37"/>
      <c r="J625" s="183">
        <f ca="1">IFERROR(__xludf.DUMMYFUNCTION("IMPORTRANGE(""https://docs.google.com/spreadsheets/d/1KxicF4apzSqm0-jIpmueT4kyZtE-Cwn5zskl7GD4loQ/edit?usp=share_link"",""กำแพงเพชร!J625"")+IMPORTRANGE(""https://docs.google.com/spreadsheets/d/1ZNYWeiFoFA1K1U4xKWqRX29MBvEyRHXORjo734Gnq_c/edit?usp=share_li"&amp;"nk"",""เชียงราย!J625"")
+IMPORTRANGE(""https://docs.google.com/spreadsheets/d/1Jgv0Y7YlHDtsiDawwp-uvifEJ8HVaSn0k2aGHG8-hwM/edit?usp=share_link"",""เชียงใหม่!J625"")+IMPORTRANGE(""https://docs.google.com/spreadsheets/d/1JWG2rZePOz9pe-f-ObA-yDr0VoOX2kSb0qIi"&amp;"x2mTUo8/edit?usp=share_link"",""ตาก!J625"")+IMPORTRANGE(""https://docs.google.com/spreadsheets/d/10nSRjK08hx8Y6HgSOQKNw81lyY46Zc7U_Cj72hBMp9U/edit?usp=share_link"",""นครสวรรค์!J625"")+IMPORTRANGE(""https://docs.google.com/spreadsheets/d/1gFVb7qd7amutrIxAA"&amp;"oM7lcy35hllxznovot8lyOfvDo/edit?usp=share_link"",""น่าน!J625"")+IMPORTRANGE(""https://docs.google.com/spreadsheets/d/1K0Aa9s-6EuHE5M0FG1F9aHLXRCOV917xvycTdLdct0w/edit?usp=share_link"",""พะเยา!J625"")+IMPORTRANGE(""https://docs.google.com/spreadsheets/d/1Y"&amp;"9LPKx95PyL5OKy09d-KbKJSuuEZCFdkhYjwC0XQjBA/edit?usp=share_link"",""พิจิตร!J625"")+IMPORTRANGE(""https://docs.google.com/spreadsheets/d/16OMuOwy2eVqZcYWOouQtTpa8X1L23h4660uVHc0C8os/edit?usp=share_link"",""พิษณุโลก!J625"")+IMPORTRANGE(""https://docs.google."&amp;"com/spreadsheets/d/1GfgTldLG6k77HXaMQzaafODklYuucJZQNs_GAPEfZyY/edit?usp=share_link"",""เพชรบูรณ์!J625"")+IMPORTRANGE(""https://docs.google.com/spreadsheets/d/1gvTMYAnm7v1yG1BKWFtr0DnaTsq59oW9dwWvFgq6hs0/edit?usp=share_link"",""แพร่!J625"")+IMPORTRANGE("""&amp;"https://docs.google.com/spreadsheets/d/1Wbcosgy-Xa1xXUArJSOenub6EfZHUSzc_bpJFWwQUf0/edit?usp=share_link"",""แม่ฮ่องสอน!J625"")+IMPORTRANGE(""https://docs.google.com/spreadsheets/d/1p7ERhsr0qZeSn-KSOdeHS9r0heI-lHtkcn2OH7hP0jQ/edit?usp=share_link"",""ลำปาง!"&amp;"J625"")+IMPORTRANGE(""https://docs.google.com/spreadsheets/d/1-uUXvimVhiU2U0bMN-xi2te0tS4X7DI2GLPnMjzl8cA/edit?usp=share_link"",""ลำพูน!J625"")+IMPORTRANGE(""https://docs.google.com/spreadsheets/d/17HrOaa5pBUI1onckFfumXB8xlg35qb2uBAFfF1D-Myo/edit?usp=shar"&amp;"e_link"",""สุโขทัย!J625"")+IMPORTRANGE(""https://docs.google.com/spreadsheets/d/1ubs5cl16eYL9gHbdHTJtmtYb9MGzHBs7CAphn8kNCgM/edit?usp=share_link"",""อุตรดิตถ์!J625"")+IMPORTRANGE(""https://docs.google.com/spreadsheets/d/1kII0BjS6CtVrBvI8IrytgPdxDrlyQDyigz"&amp;"MsohRtDMs/edit?usp=share_link"",""อุทัยธานี!J625"")
"),0)</f>
        <v>0</v>
      </c>
      <c r="K625" s="163"/>
      <c r="L625" s="163"/>
      <c r="M625" s="163"/>
      <c r="N625" s="163"/>
      <c r="O625" s="163"/>
      <c r="P625" s="163"/>
      <c r="Q625" s="541"/>
      <c r="R625" s="541"/>
      <c r="S625" s="541"/>
      <c r="T625" s="541"/>
      <c r="U625" s="541"/>
      <c r="V625" s="541"/>
      <c r="W625" s="541"/>
      <c r="X625" s="541"/>
      <c r="Y625" s="541"/>
      <c r="Z625" s="541"/>
    </row>
    <row r="626" spans="1:26" ht="18.75">
      <c r="A626" s="572"/>
      <c r="B626" s="573"/>
      <c r="C626" s="573"/>
      <c r="D626" s="262" t="s">
        <v>269</v>
      </c>
      <c r="E626" s="585"/>
      <c r="F626" s="585"/>
      <c r="G626" s="175"/>
      <c r="H626" s="182" t="s">
        <v>46</v>
      </c>
      <c r="I626" s="37"/>
      <c r="J626" s="183">
        <f ca="1">IFERROR(__xludf.DUMMYFUNCTION("IMPORTRANGE(""https://docs.google.com/spreadsheets/d/1KxicF4apzSqm0-jIpmueT4kyZtE-Cwn5zskl7GD4loQ/edit?usp=share_link"",""กำแพงเพชร!J626"")+IMPORTRANGE(""https://docs.google.com/spreadsheets/d/1ZNYWeiFoFA1K1U4xKWqRX29MBvEyRHXORjo734Gnq_c/edit?usp=share_li"&amp;"nk"",""เชียงราย!J626"")
+IMPORTRANGE(""https://docs.google.com/spreadsheets/d/1Jgv0Y7YlHDtsiDawwp-uvifEJ8HVaSn0k2aGHG8-hwM/edit?usp=share_link"",""เชียงใหม่!J626"")+IMPORTRANGE(""https://docs.google.com/spreadsheets/d/1JWG2rZePOz9pe-f-ObA-yDr0VoOX2kSb0qIi"&amp;"x2mTUo8/edit?usp=share_link"",""ตาก!J626"")+IMPORTRANGE(""https://docs.google.com/spreadsheets/d/10nSRjK08hx8Y6HgSOQKNw81lyY46Zc7U_Cj72hBMp9U/edit?usp=share_link"",""นครสวรรค์!J626"")+IMPORTRANGE(""https://docs.google.com/spreadsheets/d/1gFVb7qd7amutrIxAA"&amp;"oM7lcy35hllxznovot8lyOfvDo/edit?usp=share_link"",""น่าน!J626"")+IMPORTRANGE(""https://docs.google.com/spreadsheets/d/1K0Aa9s-6EuHE5M0FG1F9aHLXRCOV917xvycTdLdct0w/edit?usp=share_link"",""พะเยา!J626"")+IMPORTRANGE(""https://docs.google.com/spreadsheets/d/1Y"&amp;"9LPKx95PyL5OKy09d-KbKJSuuEZCFdkhYjwC0XQjBA/edit?usp=share_link"",""พิจิตร!J626"")+IMPORTRANGE(""https://docs.google.com/spreadsheets/d/16OMuOwy2eVqZcYWOouQtTpa8X1L23h4660uVHc0C8os/edit?usp=share_link"",""พิษณุโลก!J626"")+IMPORTRANGE(""https://docs.google."&amp;"com/spreadsheets/d/1GfgTldLG6k77HXaMQzaafODklYuucJZQNs_GAPEfZyY/edit?usp=share_link"",""เพชรบูรณ์!J626"")+IMPORTRANGE(""https://docs.google.com/spreadsheets/d/1gvTMYAnm7v1yG1BKWFtr0DnaTsq59oW9dwWvFgq6hs0/edit?usp=share_link"",""แพร่!J626"")+IMPORTRANGE("""&amp;"https://docs.google.com/spreadsheets/d/1Wbcosgy-Xa1xXUArJSOenub6EfZHUSzc_bpJFWwQUf0/edit?usp=share_link"",""แม่ฮ่องสอน!J626"")+IMPORTRANGE(""https://docs.google.com/spreadsheets/d/1p7ERhsr0qZeSn-KSOdeHS9r0heI-lHtkcn2OH7hP0jQ/edit?usp=share_link"",""ลำปาง!"&amp;"J626"")+IMPORTRANGE(""https://docs.google.com/spreadsheets/d/1-uUXvimVhiU2U0bMN-xi2te0tS4X7DI2GLPnMjzl8cA/edit?usp=share_link"",""ลำพูน!J626"")+IMPORTRANGE(""https://docs.google.com/spreadsheets/d/17HrOaa5pBUI1onckFfumXB8xlg35qb2uBAFfF1D-Myo/edit?usp=shar"&amp;"e_link"",""สุโขทัย!J626"")+IMPORTRANGE(""https://docs.google.com/spreadsheets/d/1ubs5cl16eYL9gHbdHTJtmtYb9MGzHBs7CAphn8kNCgM/edit?usp=share_link"",""อุตรดิตถ์!J626"")+IMPORTRANGE(""https://docs.google.com/spreadsheets/d/1kII0BjS6CtVrBvI8IrytgPdxDrlyQDyigz"&amp;"MsohRtDMs/edit?usp=share_link"",""อุทัยธานี!J626"")
"),0)</f>
        <v>0</v>
      </c>
      <c r="K626" s="163"/>
      <c r="L626" s="163"/>
      <c r="M626" s="163"/>
      <c r="N626" s="163"/>
      <c r="O626" s="163"/>
      <c r="P626" s="163"/>
      <c r="Q626" s="541"/>
      <c r="R626" s="541"/>
      <c r="S626" s="541"/>
      <c r="T626" s="541"/>
      <c r="U626" s="541"/>
      <c r="V626" s="541"/>
      <c r="W626" s="541"/>
      <c r="X626" s="541"/>
      <c r="Y626" s="541"/>
      <c r="Z626" s="541"/>
    </row>
    <row r="627" spans="1:26" ht="18.75">
      <c r="A627" s="696"/>
      <c r="B627" s="697"/>
      <c r="C627" s="697"/>
      <c r="D627" s="697"/>
      <c r="E627" s="698"/>
      <c r="F627" s="698"/>
      <c r="G627" s="699"/>
      <c r="H627" s="390" t="s">
        <v>34</v>
      </c>
      <c r="I627" s="468"/>
      <c r="J627" s="392">
        <f ca="1">IFERROR(__xludf.DUMMYFUNCTION("IMPORTRANGE(""https://docs.google.com/spreadsheets/d/1KxicF4apzSqm0-jIpmueT4kyZtE-Cwn5zskl7GD4loQ/edit?usp=share_link"",""กำแพงเพชร!J627"")+IMPORTRANGE(""https://docs.google.com/spreadsheets/d/1ZNYWeiFoFA1K1U4xKWqRX29MBvEyRHXORjo734Gnq_c/edit?usp=share_li"&amp;"nk"",""เชียงราย!J627"")
+IMPORTRANGE(""https://docs.google.com/spreadsheets/d/1Jgv0Y7YlHDtsiDawwp-uvifEJ8HVaSn0k2aGHG8-hwM/edit?usp=share_link"",""เชียงใหม่!J627"")+IMPORTRANGE(""https://docs.google.com/spreadsheets/d/1JWG2rZePOz9pe-f-ObA-yDr0VoOX2kSb0qIi"&amp;"x2mTUo8/edit?usp=share_link"",""ตาก!J627"")+IMPORTRANGE(""https://docs.google.com/spreadsheets/d/10nSRjK08hx8Y6HgSOQKNw81lyY46Zc7U_Cj72hBMp9U/edit?usp=share_link"",""นครสวรรค์!J627"")+IMPORTRANGE(""https://docs.google.com/spreadsheets/d/1gFVb7qd7amutrIxAA"&amp;"oM7lcy35hllxznovot8lyOfvDo/edit?usp=share_link"",""น่าน!J627"")+IMPORTRANGE(""https://docs.google.com/spreadsheets/d/1K0Aa9s-6EuHE5M0FG1F9aHLXRCOV917xvycTdLdct0w/edit?usp=share_link"",""พะเยา!J627"")+IMPORTRANGE(""https://docs.google.com/spreadsheets/d/1Y"&amp;"9LPKx95PyL5OKy09d-KbKJSuuEZCFdkhYjwC0XQjBA/edit?usp=share_link"",""พิจิตร!J627"")+IMPORTRANGE(""https://docs.google.com/spreadsheets/d/16OMuOwy2eVqZcYWOouQtTpa8X1L23h4660uVHc0C8os/edit?usp=share_link"",""พิษณุโลก!J627"")+IMPORTRANGE(""https://docs.google."&amp;"com/spreadsheets/d/1GfgTldLG6k77HXaMQzaafODklYuucJZQNs_GAPEfZyY/edit?usp=share_link"",""เพชรบูรณ์!J627"")+IMPORTRANGE(""https://docs.google.com/spreadsheets/d/1gvTMYAnm7v1yG1BKWFtr0DnaTsq59oW9dwWvFgq6hs0/edit?usp=share_link"",""แพร่!J627"")+IMPORTRANGE("""&amp;"https://docs.google.com/spreadsheets/d/1Wbcosgy-Xa1xXUArJSOenub6EfZHUSzc_bpJFWwQUf0/edit?usp=share_link"",""แม่ฮ่องสอน!J627"")+IMPORTRANGE(""https://docs.google.com/spreadsheets/d/1p7ERhsr0qZeSn-KSOdeHS9r0heI-lHtkcn2OH7hP0jQ/edit?usp=share_link"",""ลำปาง!"&amp;"J627"")+IMPORTRANGE(""https://docs.google.com/spreadsheets/d/1-uUXvimVhiU2U0bMN-xi2te0tS4X7DI2GLPnMjzl8cA/edit?usp=share_link"",""ลำพูน!J627"")+IMPORTRANGE(""https://docs.google.com/spreadsheets/d/17HrOaa5pBUI1onckFfumXB8xlg35qb2uBAFfF1D-Myo/edit?usp=shar"&amp;"e_link"",""สุโขทัย!J627"")+IMPORTRANGE(""https://docs.google.com/spreadsheets/d/1ubs5cl16eYL9gHbdHTJtmtYb9MGzHBs7CAphn8kNCgM/edit?usp=share_link"",""อุตรดิตถ์!J627"")+IMPORTRANGE(""https://docs.google.com/spreadsheets/d/1kII0BjS6CtVrBvI8IrytgPdxDrlyQDyigz"&amp;"MsohRtDMs/edit?usp=share_link"",""อุทัยธานี!J627"")
"),0)</f>
        <v>0</v>
      </c>
      <c r="K627" s="353"/>
      <c r="L627" s="353"/>
      <c r="M627" s="353"/>
      <c r="N627" s="353"/>
      <c r="O627" s="353"/>
      <c r="P627" s="353"/>
      <c r="Q627" s="541"/>
      <c r="R627" s="541"/>
      <c r="S627" s="541"/>
      <c r="T627" s="541"/>
      <c r="U627" s="541"/>
      <c r="V627" s="541"/>
      <c r="W627" s="541"/>
      <c r="X627" s="541"/>
      <c r="Y627" s="541"/>
      <c r="Z627" s="541"/>
    </row>
    <row r="628" spans="1:26" ht="19.5">
      <c r="A628" s="700">
        <v>7</v>
      </c>
      <c r="B628" s="701" t="s">
        <v>270</v>
      </c>
      <c r="C628" s="702"/>
      <c r="D628" s="702"/>
      <c r="E628" s="702"/>
      <c r="F628" s="702"/>
      <c r="G628" s="703"/>
      <c r="H628" s="704" t="s">
        <v>35</v>
      </c>
      <c r="I628" s="705">
        <f t="shared" ref="I628:J628" ca="1" si="300">I651</f>
        <v>2481</v>
      </c>
      <c r="J628" s="705">
        <f t="shared" ca="1" si="300"/>
        <v>0</v>
      </c>
      <c r="K628" s="706">
        <f ca="1">IF(I628&gt;0,J628*100/I628,0)</f>
        <v>0</v>
      </c>
      <c r="L628" s="707"/>
      <c r="M628" s="707"/>
      <c r="N628" s="707"/>
      <c r="O628" s="707"/>
      <c r="P628" s="707"/>
      <c r="Q628" s="541"/>
      <c r="R628" s="541"/>
      <c r="S628" s="541"/>
      <c r="T628" s="541"/>
      <c r="U628" s="541"/>
      <c r="V628" s="541"/>
      <c r="W628" s="541"/>
      <c r="X628" s="541"/>
      <c r="Y628" s="541"/>
      <c r="Z628" s="541"/>
    </row>
    <row r="629" spans="1:26" ht="19.5">
      <c r="A629" s="561"/>
      <c r="B629" s="539"/>
      <c r="C629" s="539" t="s">
        <v>16</v>
      </c>
      <c r="D629" s="811" t="s">
        <v>17</v>
      </c>
      <c r="E629" s="805"/>
      <c r="F629" s="805"/>
      <c r="G629" s="189"/>
      <c r="H629" s="562" t="s">
        <v>12</v>
      </c>
      <c r="I629" s="37"/>
      <c r="J629" s="37"/>
      <c r="K629" s="38"/>
      <c r="L629" s="195">
        <f t="shared" ref="L629:N629" ca="1" si="301">L630+L631</f>
        <v>5684995</v>
      </c>
      <c r="M629" s="195">
        <f t="shared" si="301"/>
        <v>0</v>
      </c>
      <c r="N629" s="195">
        <f t="shared" ca="1" si="301"/>
        <v>141686.66999999998</v>
      </c>
      <c r="O629" s="195">
        <f t="shared" ref="O629:O634" ca="1" si="302">IF(L629&gt;0,N629*100/L629,0)</f>
        <v>2.4922919017518921</v>
      </c>
      <c r="P629" s="195">
        <f t="shared" ref="P629:P634" si="303">IF(M629&gt;0,N629*100/M629,0)</f>
        <v>0</v>
      </c>
      <c r="Q629" s="541"/>
      <c r="R629" s="541"/>
      <c r="S629" s="541"/>
      <c r="T629" s="541"/>
      <c r="U629" s="541"/>
      <c r="V629" s="541"/>
      <c r="W629" s="541"/>
      <c r="X629" s="541"/>
      <c r="Y629" s="541"/>
      <c r="Z629" s="541"/>
    </row>
    <row r="630" spans="1:26" ht="18.75" hidden="1">
      <c r="A630" s="563"/>
      <c r="B630" s="564"/>
      <c r="C630" s="564"/>
      <c r="D630" s="565"/>
      <c r="E630" s="566" t="s">
        <v>184</v>
      </c>
      <c r="F630" s="564"/>
      <c r="G630" s="567"/>
      <c r="H630" s="165" t="s">
        <v>12</v>
      </c>
      <c r="I630" s="44"/>
      <c r="J630" s="44"/>
      <c r="K630" s="45"/>
      <c r="L630" s="45">
        <f t="shared" ref="L630:N630" si="304">L633+L640</f>
        <v>0</v>
      </c>
      <c r="M630" s="45">
        <f t="shared" si="304"/>
        <v>0</v>
      </c>
      <c r="N630" s="45">
        <f t="shared" si="304"/>
        <v>0</v>
      </c>
      <c r="O630" s="45">
        <f t="shared" si="302"/>
        <v>0</v>
      </c>
      <c r="P630" s="45">
        <f t="shared" si="303"/>
        <v>0</v>
      </c>
      <c r="Q630" s="568"/>
      <c r="R630" s="568"/>
      <c r="S630" s="568"/>
      <c r="T630" s="568"/>
      <c r="U630" s="568"/>
      <c r="V630" s="568"/>
      <c r="W630" s="568"/>
      <c r="X630" s="568"/>
      <c r="Y630" s="568"/>
      <c r="Z630" s="568"/>
    </row>
    <row r="631" spans="1:26" ht="18.75" hidden="1">
      <c r="A631" s="563"/>
      <c r="B631" s="569"/>
      <c r="C631" s="564"/>
      <c r="D631" s="565"/>
      <c r="E631" s="566" t="s">
        <v>185</v>
      </c>
      <c r="F631" s="564"/>
      <c r="G631" s="567"/>
      <c r="H631" s="165" t="s">
        <v>12</v>
      </c>
      <c r="I631" s="44"/>
      <c r="J631" s="44"/>
      <c r="K631" s="45"/>
      <c r="L631" s="45">
        <f t="shared" ref="L631:N631" ca="1" si="305">L634+L641</f>
        <v>5684995</v>
      </c>
      <c r="M631" s="45">
        <f t="shared" si="305"/>
        <v>0</v>
      </c>
      <c r="N631" s="45">
        <f t="shared" ca="1" si="305"/>
        <v>141686.66999999998</v>
      </c>
      <c r="O631" s="45">
        <f t="shared" ca="1" si="302"/>
        <v>2.4922919017518921</v>
      </c>
      <c r="P631" s="45">
        <f t="shared" si="303"/>
        <v>0</v>
      </c>
      <c r="Q631" s="568"/>
      <c r="R631" s="568"/>
      <c r="S631" s="568"/>
      <c r="T631" s="568"/>
      <c r="U631" s="568"/>
      <c r="V631" s="568"/>
      <c r="W631" s="568"/>
      <c r="X631" s="568"/>
      <c r="Y631" s="568"/>
      <c r="Z631" s="568"/>
    </row>
    <row r="632" spans="1:26" ht="18.75">
      <c r="A632" s="561"/>
      <c r="B632" s="538"/>
      <c r="C632" s="539"/>
      <c r="D632" s="570" t="s">
        <v>20</v>
      </c>
      <c r="E632" s="539"/>
      <c r="F632" s="539"/>
      <c r="G632" s="189"/>
      <c r="H632" s="161" t="s">
        <v>12</v>
      </c>
      <c r="I632" s="162"/>
      <c r="J632" s="162"/>
      <c r="K632" s="163"/>
      <c r="L632" s="38">
        <f t="shared" ref="L632:N632" ca="1" si="306">L633+L634</f>
        <v>5684995</v>
      </c>
      <c r="M632" s="38">
        <f t="shared" si="306"/>
        <v>0</v>
      </c>
      <c r="N632" s="38">
        <f t="shared" ca="1" si="306"/>
        <v>141686.66999999998</v>
      </c>
      <c r="O632" s="38">
        <f t="shared" ca="1" si="302"/>
        <v>2.4922919017518921</v>
      </c>
      <c r="P632" s="38">
        <f t="shared" si="303"/>
        <v>0</v>
      </c>
      <c r="Q632" s="541"/>
      <c r="R632" s="541"/>
      <c r="S632" s="541"/>
      <c r="T632" s="541"/>
      <c r="U632" s="541"/>
      <c r="V632" s="541"/>
      <c r="W632" s="541"/>
      <c r="X632" s="541"/>
      <c r="Y632" s="541"/>
      <c r="Z632" s="541"/>
    </row>
    <row r="633" spans="1:26" ht="18.75" hidden="1">
      <c r="A633" s="563"/>
      <c r="B633" s="569"/>
      <c r="C633" s="564"/>
      <c r="D633" s="565"/>
      <c r="E633" s="566" t="s">
        <v>184</v>
      </c>
      <c r="F633" s="564"/>
      <c r="G633" s="567"/>
      <c r="H633" s="165" t="s">
        <v>12</v>
      </c>
      <c r="I633" s="44"/>
      <c r="J633" s="44"/>
      <c r="K633" s="45"/>
      <c r="L633" s="93">
        <v>0</v>
      </c>
      <c r="M633" s="93">
        <v>0</v>
      </c>
      <c r="N633" s="93">
        <v>0</v>
      </c>
      <c r="O633" s="45">
        <f t="shared" si="302"/>
        <v>0</v>
      </c>
      <c r="P633" s="45">
        <f t="shared" si="303"/>
        <v>0</v>
      </c>
      <c r="Q633" s="568"/>
      <c r="R633" s="568"/>
      <c r="S633" s="568"/>
      <c r="T633" s="568"/>
      <c r="U633" s="568"/>
      <c r="V633" s="568"/>
      <c r="W633" s="568"/>
      <c r="X633" s="568"/>
      <c r="Y633" s="568"/>
      <c r="Z633" s="568"/>
    </row>
    <row r="634" spans="1:26" ht="18.75" hidden="1">
      <c r="A634" s="563"/>
      <c r="B634" s="569"/>
      <c r="C634" s="564"/>
      <c r="D634" s="565"/>
      <c r="E634" s="566" t="s">
        <v>185</v>
      </c>
      <c r="F634" s="564"/>
      <c r="G634" s="567"/>
      <c r="H634" s="165" t="s">
        <v>12</v>
      </c>
      <c r="I634" s="44"/>
      <c r="J634" s="44"/>
      <c r="K634" s="45"/>
      <c r="L634" s="45">
        <f ca="1">IFERROR(__xludf.DUMMYFUNCTION("IMPORTRANGE(""https://docs.google.com/spreadsheets/d/1KxicF4apzSqm0-jIpmueT4kyZtE-Cwn5zskl7GD4loQ/edit?usp=share_link"",""กำแพงเพชร!l634"")+IMPORTRANGE(""https://docs.google.com/spreadsheets/d/1ZNYWeiFoFA1K1U4xKWqRX29MBvEyRHXORjo734Gnq_c/edit?usp=share_li"&amp;"nk"",""เชียงราย!l634"")
+IMPORTRANGE(""https://docs.google.com/spreadsheets/d/1Jgv0Y7YlHDtsiDawwp-uvifEJ8HVaSn0k2aGHG8-hwM/edit?usp=share_link"",""เชียงใหม่!l634"")+IMPORTRANGE(""https://docs.google.com/spreadsheets/d/1JWG2rZePOz9pe-f-ObA-yDr0VoOX2kSb0qIi"&amp;"x2mTUo8/edit?usp=share_link"",""ตาก!l634"")+IMPORTRANGE(""https://docs.google.com/spreadsheets/d/10nSRjK08hx8Y6HgSOQKNw81lyY46Zc7U_Cj72hBMp9U/edit?usp=share_link"",""นครสวรรค์!l634"")+IMPORTRANGE(""https://docs.google.com/spreadsheets/d/1gFVb7qd7amutrIxAA"&amp;"oM7lcy35hllxznovot8lyOfvDo/edit?usp=share_link"",""น่าน!l634"")+IMPORTRANGE(""https://docs.google.com/spreadsheets/d/1K0Aa9s-6EuHE5M0FG1F9aHLXRCOV917xvycTdLdct0w/edit?usp=share_link"",""พะเยา!l634"")+IMPORTRANGE(""https://docs.google.com/spreadsheets/d/1Y"&amp;"9LPKx95PyL5OKy09d-KbKJSuuEZCFdkhYjwC0XQjBA/edit?usp=share_link"",""พิจิตร!l634"")+IMPORTRANGE(""https://docs.google.com/spreadsheets/d/16OMuOwy2eVqZcYWOouQtTpa8X1L23h4660uVHc0C8os/edit?usp=share_link"",""พิษณุโลก!l634"")+IMPORTRANGE(""https://docs.google."&amp;"com/spreadsheets/d/1GfgTldLG6k77HXaMQzaafODklYuucJZQNs_GAPEfZyY/edit?usp=share_link"",""เพชรบูรณ์!l634"")+IMPORTRANGE(""https://docs.google.com/spreadsheets/d/1gvTMYAnm7v1yG1BKWFtr0DnaTsq59oW9dwWvFgq6hs0/edit?usp=share_link"",""แพร่!l634"")+IMPORTRANGE("""&amp;"https://docs.google.com/spreadsheets/d/1Wbcosgy-Xa1xXUArJSOenub6EfZHUSzc_bpJFWwQUf0/edit?usp=share_link"",""แม่ฮ่องสอน!l634"")+IMPORTRANGE(""https://docs.google.com/spreadsheets/d/1p7ERhsr0qZeSn-KSOdeHS9r0heI-lHtkcn2OH7hP0jQ/edit?usp=share_link"",""ลำปาง!"&amp;"l634"")+IMPORTRANGE(""https://docs.google.com/spreadsheets/d/1-uUXvimVhiU2U0bMN-xi2te0tS4X7DI2GLPnMjzl8cA/edit?usp=share_link"",""ลำพูน!l634"")+IMPORTRANGE(""https://docs.google.com/spreadsheets/d/17HrOaa5pBUI1onckFfumXB8xlg35qb2uBAFfF1D-Myo/edit?usp=shar"&amp;"e_link"",""สุโขทัย!l634"")+IMPORTRANGE(""https://docs.google.com/spreadsheets/d/1ubs5cl16eYL9gHbdHTJtmtYb9MGzHBs7CAphn8kNCgM/edit?usp=share_link"",""อุตรดิตถ์!l634"")+IMPORTRANGE(""https://docs.google.com/spreadsheets/d/1kII0BjS6CtVrBvI8IrytgPdxDrlyQDyigz"&amp;"MsohRtDMs/edit?usp=share_link"",""อุทัยธานี!l634"")
"),5684995)</f>
        <v>5684995</v>
      </c>
      <c r="M634" s="93">
        <v>0</v>
      </c>
      <c r="N634" s="45">
        <f ca="1">N635+N636+N637+N638</f>
        <v>141686.66999999998</v>
      </c>
      <c r="O634" s="45">
        <f t="shared" ca="1" si="302"/>
        <v>2.4922919017518921</v>
      </c>
      <c r="P634" s="45">
        <f t="shared" si="303"/>
        <v>0</v>
      </c>
      <c r="Q634" s="568"/>
      <c r="R634" s="568"/>
      <c r="S634" s="568"/>
      <c r="T634" s="568"/>
      <c r="U634" s="568"/>
      <c r="V634" s="568"/>
      <c r="W634" s="568"/>
      <c r="X634" s="568"/>
      <c r="Y634" s="568"/>
      <c r="Z634" s="568"/>
    </row>
    <row r="635" spans="1:26" ht="18.75">
      <c r="A635" s="537"/>
      <c r="B635" s="538"/>
      <c r="C635" s="539"/>
      <c r="D635" s="539"/>
      <c r="E635" s="539"/>
      <c r="F635" s="540" t="s">
        <v>186</v>
      </c>
      <c r="G635" s="189"/>
      <c r="H635" s="161" t="s">
        <v>12</v>
      </c>
      <c r="I635" s="37"/>
      <c r="J635" s="37"/>
      <c r="K635" s="38"/>
      <c r="L635" s="38"/>
      <c r="M635" s="38"/>
      <c r="N635" s="282">
        <f ca="1">IFERROR(__xludf.DUMMYFUNCTION("IMPORTRANGE(""https://docs.google.com/spreadsheets/d/1KxicF4apzSqm0-jIpmueT4kyZtE-Cwn5zskl7GD4loQ/edit?usp=share_link"",""กำแพงเพชร!n635"")+IMPORTRANGE(""https://docs.google.com/spreadsheets/d/1ZNYWeiFoFA1K1U4xKWqRX29MBvEyRHXORjo734Gnq_c/edit?usp=share_li"&amp;"nk"",""เชียงราย!n635"")
+IMPORTRANGE(""https://docs.google.com/spreadsheets/d/1Jgv0Y7YlHDtsiDawwp-uvifEJ8HVaSn0k2aGHG8-hwM/edit?usp=share_link"",""เชียงใหม่!n635"")+IMPORTRANGE(""https://docs.google.com/spreadsheets/d/1JWG2rZePOz9pe-f-ObA-yDr0VoOX2kSb0qIi"&amp;"x2mTUo8/edit?usp=share_link"",""ตาก!n635"")+IMPORTRANGE(""https://docs.google.com/spreadsheets/d/10nSRjK08hx8Y6HgSOQKNw81lyY46Zc7U_Cj72hBMp9U/edit?usp=share_link"",""นครสวรรค์!n635"")+IMPORTRANGE(""https://docs.google.com/spreadsheets/d/1gFVb7qd7amutrIxAA"&amp;"oM7lcy35hllxznovot8lyOfvDo/edit?usp=share_link"",""น่าน!n635"")+IMPORTRANGE(""https://docs.google.com/spreadsheets/d/1K0Aa9s-6EuHE5M0FG1F9aHLXRCOV917xvycTdLdct0w/edit?usp=share_link"",""พะเยา!n635"")+IMPORTRANGE(""https://docs.google.com/spreadsheets/d/1Y"&amp;"9LPKx95PyL5OKy09d-KbKJSuuEZCFdkhYjwC0XQjBA/edit?usp=share_link"",""พิจิตร!n635"")+IMPORTRANGE(""https://docs.google.com/spreadsheets/d/16OMuOwy2eVqZcYWOouQtTpa8X1L23h4660uVHc0C8os/edit?usp=share_link"",""พิษณุโลก!n635"")+IMPORTRANGE(""https://docs.google."&amp;"com/spreadsheets/d/1GfgTldLG6k77HXaMQzaafODklYuucJZQNs_GAPEfZyY/edit?usp=share_link"",""เพชรบูรณ์!n635"")+IMPORTRANGE(""https://docs.google.com/spreadsheets/d/1gvTMYAnm7v1yG1BKWFtr0DnaTsq59oW9dwWvFgq6hs0/edit?usp=share_link"",""แพร่!n635"")+IMPORTRANGE("""&amp;"https://docs.google.com/spreadsheets/d/1Wbcosgy-Xa1xXUArJSOenub6EfZHUSzc_bpJFWwQUf0/edit?usp=share_link"",""แม่ฮ่องสอน!n635"")+IMPORTRANGE(""https://docs.google.com/spreadsheets/d/1p7ERhsr0qZeSn-KSOdeHS9r0heI-lHtkcn2OH7hP0jQ/edit?usp=share_link"",""ลำปาง!"&amp;"n635"")+IMPORTRANGE(""https://docs.google.com/spreadsheets/d/1-uUXvimVhiU2U0bMN-xi2te0tS4X7DI2GLPnMjzl8cA/edit?usp=share_link"",""ลำพูน!n635"")+IMPORTRANGE(""https://docs.google.com/spreadsheets/d/17HrOaa5pBUI1onckFfumXB8xlg35qb2uBAFfF1D-Myo/edit?usp=shar"&amp;"e_link"",""สุโขทัย!n635"")+IMPORTRANGE(""https://docs.google.com/spreadsheets/d/1ubs5cl16eYL9gHbdHTJtmtYb9MGzHBs7CAphn8kNCgM/edit?usp=share_link"",""อุตรดิตถ์!n635"")+IMPORTRANGE(""https://docs.google.com/spreadsheets/d/1kII0BjS6CtVrBvI8IrytgPdxDrlyQDyigz"&amp;"MsohRtDMs/edit?usp=share_link"",""อุทัยธานี!n635"")
"),0)</f>
        <v>0</v>
      </c>
      <c r="O635" s="38"/>
      <c r="P635" s="38"/>
      <c r="Q635" s="541"/>
      <c r="R635" s="541"/>
      <c r="S635" s="541"/>
      <c r="T635" s="541"/>
      <c r="U635" s="541"/>
      <c r="V635" s="541"/>
      <c r="W635" s="541"/>
      <c r="X635" s="541"/>
      <c r="Y635" s="541"/>
      <c r="Z635" s="541"/>
    </row>
    <row r="636" spans="1:26" ht="18.75">
      <c r="A636" s="537"/>
      <c r="B636" s="538"/>
      <c r="C636" s="539"/>
      <c r="D636" s="539"/>
      <c r="E636" s="539"/>
      <c r="F636" s="540" t="s">
        <v>187</v>
      </c>
      <c r="G636" s="189"/>
      <c r="H636" s="161" t="s">
        <v>12</v>
      </c>
      <c r="I636" s="37"/>
      <c r="J636" s="37"/>
      <c r="K636" s="38"/>
      <c r="L636" s="38"/>
      <c r="M636" s="38"/>
      <c r="N636" s="282">
        <f ca="1">IFERROR(__xludf.DUMMYFUNCTION("IMPORTRANGE(""https://docs.google.com/spreadsheets/d/1KxicF4apzSqm0-jIpmueT4kyZtE-Cwn5zskl7GD4loQ/edit?usp=share_link"",""กำแพงเพชร!n636"")+IMPORTRANGE(""https://docs.google.com/spreadsheets/d/1ZNYWeiFoFA1K1U4xKWqRX29MBvEyRHXORjo734Gnq_c/edit?usp=share_li"&amp;"nk"",""เชียงราย!n636"")
+IMPORTRANGE(""https://docs.google.com/spreadsheets/d/1Jgv0Y7YlHDtsiDawwp-uvifEJ8HVaSn0k2aGHG8-hwM/edit?usp=share_link"",""เชียงใหม่!n636"")+IMPORTRANGE(""https://docs.google.com/spreadsheets/d/1JWG2rZePOz9pe-f-ObA-yDr0VoOX2kSb0qIi"&amp;"x2mTUo8/edit?usp=share_link"",""ตาก!n636"")+IMPORTRANGE(""https://docs.google.com/spreadsheets/d/10nSRjK08hx8Y6HgSOQKNw81lyY46Zc7U_Cj72hBMp9U/edit?usp=share_link"",""นครสวรรค์!n636"")+IMPORTRANGE(""https://docs.google.com/spreadsheets/d/1gFVb7qd7amutrIxAA"&amp;"oM7lcy35hllxznovot8lyOfvDo/edit?usp=share_link"",""น่าน!n636"")+IMPORTRANGE(""https://docs.google.com/spreadsheets/d/1K0Aa9s-6EuHE5M0FG1F9aHLXRCOV917xvycTdLdct0w/edit?usp=share_link"",""พะเยา!n636"")+IMPORTRANGE(""https://docs.google.com/spreadsheets/d/1Y"&amp;"9LPKx95PyL5OKy09d-KbKJSuuEZCFdkhYjwC0XQjBA/edit?usp=share_link"",""พิจิตร!n636"")+IMPORTRANGE(""https://docs.google.com/spreadsheets/d/16OMuOwy2eVqZcYWOouQtTpa8X1L23h4660uVHc0C8os/edit?usp=share_link"",""พิษณุโลก!n636"")+IMPORTRANGE(""https://docs.google."&amp;"com/spreadsheets/d/1GfgTldLG6k77HXaMQzaafODklYuucJZQNs_GAPEfZyY/edit?usp=share_link"",""เพชรบูรณ์!n636"")+IMPORTRANGE(""https://docs.google.com/spreadsheets/d/1gvTMYAnm7v1yG1BKWFtr0DnaTsq59oW9dwWvFgq6hs0/edit?usp=share_link"",""แพร่!n636"")+IMPORTRANGE("""&amp;"https://docs.google.com/spreadsheets/d/1Wbcosgy-Xa1xXUArJSOenub6EfZHUSzc_bpJFWwQUf0/edit?usp=share_link"",""แม่ฮ่องสอน!n636"")+IMPORTRANGE(""https://docs.google.com/spreadsheets/d/1p7ERhsr0qZeSn-KSOdeHS9r0heI-lHtkcn2OH7hP0jQ/edit?usp=share_link"",""ลำปาง!"&amp;"n636"")+IMPORTRANGE(""https://docs.google.com/spreadsheets/d/1-uUXvimVhiU2U0bMN-xi2te0tS4X7DI2GLPnMjzl8cA/edit?usp=share_link"",""ลำพูน!n636"")+IMPORTRANGE(""https://docs.google.com/spreadsheets/d/17HrOaa5pBUI1onckFfumXB8xlg35qb2uBAFfF1D-Myo/edit?usp=shar"&amp;"e_link"",""สุโขทัย!n636"")+IMPORTRANGE(""https://docs.google.com/spreadsheets/d/1ubs5cl16eYL9gHbdHTJtmtYb9MGzHBs7CAphn8kNCgM/edit?usp=share_link"",""อุตรดิตถ์!n636"")+IMPORTRANGE(""https://docs.google.com/spreadsheets/d/1kII0BjS6CtVrBvI8IrytgPdxDrlyQDyigz"&amp;"MsohRtDMs/edit?usp=share_link"",""อุทัยธานี!n636"")
"),0)</f>
        <v>0</v>
      </c>
      <c r="O636" s="38"/>
      <c r="P636" s="38"/>
      <c r="Q636" s="541"/>
      <c r="R636" s="541"/>
      <c r="S636" s="541"/>
      <c r="T636" s="541"/>
      <c r="U636" s="541"/>
      <c r="V636" s="541"/>
      <c r="W636" s="541"/>
      <c r="X636" s="541"/>
      <c r="Y636" s="541"/>
      <c r="Z636" s="541"/>
    </row>
    <row r="637" spans="1:26" ht="18.75">
      <c r="A637" s="537"/>
      <c r="B637" s="538"/>
      <c r="C637" s="539"/>
      <c r="D637" s="539"/>
      <c r="E637" s="539"/>
      <c r="F637" s="540" t="s">
        <v>188</v>
      </c>
      <c r="G637" s="189"/>
      <c r="H637" s="161" t="s">
        <v>12</v>
      </c>
      <c r="I637" s="37"/>
      <c r="J637" s="37"/>
      <c r="K637" s="38"/>
      <c r="L637" s="38"/>
      <c r="M637" s="38"/>
      <c r="N637" s="282">
        <f ca="1">IFERROR(__xludf.DUMMYFUNCTION("IMPORTRANGE(""https://docs.google.com/spreadsheets/d/1KxicF4apzSqm0-jIpmueT4kyZtE-Cwn5zskl7GD4loQ/edit?usp=share_link"",""กำแพงเพชร!n637"")+IMPORTRANGE(""https://docs.google.com/spreadsheets/d/1ZNYWeiFoFA1K1U4xKWqRX29MBvEyRHXORjo734Gnq_c/edit?usp=share_li"&amp;"nk"",""เชียงราย!n637"")
+IMPORTRANGE(""https://docs.google.com/spreadsheets/d/1Jgv0Y7YlHDtsiDawwp-uvifEJ8HVaSn0k2aGHG8-hwM/edit?usp=share_link"",""เชียงใหม่!n637"")+IMPORTRANGE(""https://docs.google.com/spreadsheets/d/1JWG2rZePOz9pe-f-ObA-yDr0VoOX2kSb0qIi"&amp;"x2mTUo8/edit?usp=share_link"",""ตาก!n637"")+IMPORTRANGE(""https://docs.google.com/spreadsheets/d/10nSRjK08hx8Y6HgSOQKNw81lyY46Zc7U_Cj72hBMp9U/edit?usp=share_link"",""นครสวรรค์!n637"")+IMPORTRANGE(""https://docs.google.com/spreadsheets/d/1gFVb7qd7amutrIxAA"&amp;"oM7lcy35hllxznovot8lyOfvDo/edit?usp=share_link"",""น่าน!n637"")+IMPORTRANGE(""https://docs.google.com/spreadsheets/d/1K0Aa9s-6EuHE5M0FG1F9aHLXRCOV917xvycTdLdct0w/edit?usp=share_link"",""พะเยา!n637"")+IMPORTRANGE(""https://docs.google.com/spreadsheets/d/1Y"&amp;"9LPKx95PyL5OKy09d-KbKJSuuEZCFdkhYjwC0XQjBA/edit?usp=share_link"",""พิจิตร!n637"")+IMPORTRANGE(""https://docs.google.com/spreadsheets/d/16OMuOwy2eVqZcYWOouQtTpa8X1L23h4660uVHc0C8os/edit?usp=share_link"",""พิษณุโลก!n637"")+IMPORTRANGE(""https://docs.google."&amp;"com/spreadsheets/d/1GfgTldLG6k77HXaMQzaafODklYuucJZQNs_GAPEfZyY/edit?usp=share_link"",""เพชรบูรณ์!n637"")+IMPORTRANGE(""https://docs.google.com/spreadsheets/d/1gvTMYAnm7v1yG1BKWFtr0DnaTsq59oW9dwWvFgq6hs0/edit?usp=share_link"",""แพร่!n637"")+IMPORTRANGE("""&amp;"https://docs.google.com/spreadsheets/d/1Wbcosgy-Xa1xXUArJSOenub6EfZHUSzc_bpJFWwQUf0/edit?usp=share_link"",""แม่ฮ่องสอน!n637"")+IMPORTRANGE(""https://docs.google.com/spreadsheets/d/1p7ERhsr0qZeSn-KSOdeHS9r0heI-lHtkcn2OH7hP0jQ/edit?usp=share_link"",""ลำปาง!"&amp;"n637"")+IMPORTRANGE(""https://docs.google.com/spreadsheets/d/1-uUXvimVhiU2U0bMN-xi2te0tS4X7DI2GLPnMjzl8cA/edit?usp=share_link"",""ลำพูน!n637"")+IMPORTRANGE(""https://docs.google.com/spreadsheets/d/17HrOaa5pBUI1onckFfumXB8xlg35qb2uBAFfF1D-Myo/edit?usp=shar"&amp;"e_link"",""สุโขทัย!n637"")+IMPORTRANGE(""https://docs.google.com/spreadsheets/d/1ubs5cl16eYL9gHbdHTJtmtYb9MGzHBs7CAphn8kNCgM/edit?usp=share_link"",""อุตรดิตถ์!n637"")+IMPORTRANGE(""https://docs.google.com/spreadsheets/d/1kII0BjS6CtVrBvI8IrytgPdxDrlyQDyigz"&amp;"MsohRtDMs/edit?usp=share_link"",""อุทัยธานี!n637"")
"),64566.67)</f>
        <v>64566.67</v>
      </c>
      <c r="O637" s="38"/>
      <c r="P637" s="38"/>
      <c r="Q637" s="541"/>
      <c r="R637" s="541"/>
      <c r="S637" s="541"/>
      <c r="T637" s="541"/>
      <c r="U637" s="541"/>
      <c r="V637" s="541"/>
      <c r="W637" s="541"/>
      <c r="X637" s="541"/>
      <c r="Y637" s="541"/>
      <c r="Z637" s="541"/>
    </row>
    <row r="638" spans="1:26" ht="18.75">
      <c r="A638" s="537"/>
      <c r="B638" s="538"/>
      <c r="C638" s="539"/>
      <c r="D638" s="539"/>
      <c r="E638" s="539"/>
      <c r="F638" s="540" t="s">
        <v>189</v>
      </c>
      <c r="G638" s="189"/>
      <c r="H638" s="161" t="s">
        <v>12</v>
      </c>
      <c r="I638" s="37"/>
      <c r="J638" s="37"/>
      <c r="K638" s="38"/>
      <c r="L638" s="38"/>
      <c r="M638" s="38"/>
      <c r="N638" s="282">
        <f ca="1">IFERROR(__xludf.DUMMYFUNCTION("IMPORTRANGE(""https://docs.google.com/spreadsheets/d/1KxicF4apzSqm0-jIpmueT4kyZtE-Cwn5zskl7GD4loQ/edit?usp=share_link"",""กำแพงเพชร!n638"")+IMPORTRANGE(""https://docs.google.com/spreadsheets/d/1ZNYWeiFoFA1K1U4xKWqRX29MBvEyRHXORjo734Gnq_c/edit?usp=share_li"&amp;"nk"",""เชียงราย!n638"")
+IMPORTRANGE(""https://docs.google.com/spreadsheets/d/1Jgv0Y7YlHDtsiDawwp-uvifEJ8HVaSn0k2aGHG8-hwM/edit?usp=share_link"",""เชียงใหม่!n638"")+IMPORTRANGE(""https://docs.google.com/spreadsheets/d/1JWG2rZePOz9pe-f-ObA-yDr0VoOX2kSb0qIi"&amp;"x2mTUo8/edit?usp=share_link"",""ตาก!n638"")+IMPORTRANGE(""https://docs.google.com/spreadsheets/d/10nSRjK08hx8Y6HgSOQKNw81lyY46Zc7U_Cj72hBMp9U/edit?usp=share_link"",""นครสวรรค์!n638"")+IMPORTRANGE(""https://docs.google.com/spreadsheets/d/1gFVb7qd7amutrIxAA"&amp;"oM7lcy35hllxznovot8lyOfvDo/edit?usp=share_link"",""น่าน!n638"")+IMPORTRANGE(""https://docs.google.com/spreadsheets/d/1K0Aa9s-6EuHE5M0FG1F9aHLXRCOV917xvycTdLdct0w/edit?usp=share_link"",""พะเยา!n638"")+IMPORTRANGE(""https://docs.google.com/spreadsheets/d/1Y"&amp;"9LPKx95PyL5OKy09d-KbKJSuuEZCFdkhYjwC0XQjBA/edit?usp=share_link"",""พิจิตร!n638"")+IMPORTRANGE(""https://docs.google.com/spreadsheets/d/16OMuOwy2eVqZcYWOouQtTpa8X1L23h4660uVHc0C8os/edit?usp=share_link"",""พิษณุโลก!n638"")+IMPORTRANGE(""https://docs.google."&amp;"com/spreadsheets/d/1GfgTldLG6k77HXaMQzaafODklYuucJZQNs_GAPEfZyY/edit?usp=share_link"",""เพชรบูรณ์!n638"")+IMPORTRANGE(""https://docs.google.com/spreadsheets/d/1gvTMYAnm7v1yG1BKWFtr0DnaTsq59oW9dwWvFgq6hs0/edit?usp=share_link"",""แพร่!n638"")+IMPORTRANGE("""&amp;"https://docs.google.com/spreadsheets/d/1Wbcosgy-Xa1xXUArJSOenub6EfZHUSzc_bpJFWwQUf0/edit?usp=share_link"",""แม่ฮ่องสอน!n638"")+IMPORTRANGE(""https://docs.google.com/spreadsheets/d/1p7ERhsr0qZeSn-KSOdeHS9r0heI-lHtkcn2OH7hP0jQ/edit?usp=share_link"",""ลำปาง!"&amp;"n638"")+IMPORTRANGE(""https://docs.google.com/spreadsheets/d/1-uUXvimVhiU2U0bMN-xi2te0tS4X7DI2GLPnMjzl8cA/edit?usp=share_link"",""ลำพูน!n638"")+IMPORTRANGE(""https://docs.google.com/spreadsheets/d/17HrOaa5pBUI1onckFfumXB8xlg35qb2uBAFfF1D-Myo/edit?usp=shar"&amp;"e_link"",""สุโขทัย!n638"")+IMPORTRANGE(""https://docs.google.com/spreadsheets/d/1ubs5cl16eYL9gHbdHTJtmtYb9MGzHBs7CAphn8kNCgM/edit?usp=share_link"",""อุตรดิตถ์!n638"")+IMPORTRANGE(""https://docs.google.com/spreadsheets/d/1kII0BjS6CtVrBvI8IrytgPdxDrlyQDyigz"&amp;"MsohRtDMs/edit?usp=share_link"",""อุทัยธานี!n638"")
"),77120)</f>
        <v>77120</v>
      </c>
      <c r="O638" s="38"/>
      <c r="P638" s="38"/>
      <c r="Q638" s="541"/>
      <c r="R638" s="541"/>
      <c r="S638" s="541"/>
      <c r="T638" s="541"/>
      <c r="U638" s="541"/>
      <c r="V638" s="541"/>
      <c r="W638" s="541"/>
      <c r="X638" s="541"/>
      <c r="Y638" s="541"/>
      <c r="Z638" s="541"/>
    </row>
    <row r="639" spans="1:26" ht="18.75">
      <c r="A639" s="561"/>
      <c r="B639" s="538"/>
      <c r="C639" s="539"/>
      <c r="D639" s="570" t="s">
        <v>21</v>
      </c>
      <c r="E639" s="539"/>
      <c r="F639" s="539"/>
      <c r="G639" s="189"/>
      <c r="H639" s="168" t="s">
        <v>12</v>
      </c>
      <c r="I639" s="162"/>
      <c r="J639" s="162"/>
      <c r="K639" s="163"/>
      <c r="L639" s="38">
        <f t="shared" ref="L639:N639" ca="1" si="307">L640+L641</f>
        <v>0</v>
      </c>
      <c r="M639" s="38">
        <f t="shared" si="307"/>
        <v>0</v>
      </c>
      <c r="N639" s="38">
        <f t="shared" si="307"/>
        <v>0</v>
      </c>
      <c r="O639" s="38">
        <f t="shared" ref="O639:O641" ca="1" si="308">IF(L639&gt;0,N639*100/L639,0)</f>
        <v>0</v>
      </c>
      <c r="P639" s="38">
        <f t="shared" ref="P639:P641" si="309">IF(M639&gt;0,N639*100/M639,0)</f>
        <v>0</v>
      </c>
      <c r="Q639" s="541"/>
      <c r="R639" s="541"/>
      <c r="S639" s="541"/>
      <c r="T639" s="541"/>
      <c r="U639" s="541"/>
      <c r="V639" s="541"/>
      <c r="W639" s="541"/>
      <c r="X639" s="541"/>
      <c r="Y639" s="541"/>
      <c r="Z639" s="541"/>
    </row>
    <row r="640" spans="1:26" ht="18.75" hidden="1">
      <c r="A640" s="563"/>
      <c r="B640" s="569"/>
      <c r="C640" s="564"/>
      <c r="D640" s="564"/>
      <c r="E640" s="566" t="s">
        <v>18</v>
      </c>
      <c r="F640" s="564"/>
      <c r="G640" s="567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45">
        <f t="shared" si="308"/>
        <v>0</v>
      </c>
      <c r="P640" s="45">
        <f t="shared" si="309"/>
        <v>0</v>
      </c>
      <c r="Q640" s="568"/>
      <c r="R640" s="568"/>
      <c r="S640" s="568"/>
      <c r="T640" s="568"/>
      <c r="U640" s="568"/>
      <c r="V640" s="568"/>
      <c r="W640" s="568"/>
      <c r="X640" s="568"/>
      <c r="Y640" s="568"/>
      <c r="Z640" s="568"/>
    </row>
    <row r="641" spans="1:26" ht="18.75" hidden="1">
      <c r="A641" s="563"/>
      <c r="B641" s="569"/>
      <c r="C641" s="564"/>
      <c r="D641" s="564"/>
      <c r="E641" s="566" t="s">
        <v>19</v>
      </c>
      <c r="F641" s="564"/>
      <c r="G641" s="567"/>
      <c r="H641" s="169" t="s">
        <v>12</v>
      </c>
      <c r="I641" s="166"/>
      <c r="J641" s="166"/>
      <c r="K641" s="167"/>
      <c r="L641" s="45">
        <f ca="1">IFERROR(__xludf.DUMMYFUNCTION("IMPORTRANGE(""https://docs.google.com/spreadsheets/d/1KxicF4apzSqm0-jIpmueT4kyZtE-Cwn5zskl7GD4loQ/edit?usp=share_link"",""กำแพงเพชร!l641"")+IMPORTRANGE(""https://docs.google.com/spreadsheets/d/1ZNYWeiFoFA1K1U4xKWqRX29MBvEyRHXORjo734Gnq_c/edit?usp=share_li"&amp;"nk"",""เชียงราย!l641"")
+IMPORTRANGE(""https://docs.google.com/spreadsheets/d/1Jgv0Y7YlHDtsiDawwp-uvifEJ8HVaSn0k2aGHG8-hwM/edit?usp=share_link"",""เชียงใหม่!l641"")+IMPORTRANGE(""https://docs.google.com/spreadsheets/d/1JWG2rZePOz9pe-f-ObA-yDr0VoOX2kSb0qIi"&amp;"x2mTUo8/edit?usp=share_link"",""ตาก!l641"")+IMPORTRANGE(""https://docs.google.com/spreadsheets/d/10nSRjK08hx8Y6HgSOQKNw81lyY46Zc7U_Cj72hBMp9U/edit?usp=share_link"",""นครสวรรค์!l641"")+IMPORTRANGE(""https://docs.google.com/spreadsheets/d/1gFVb7qd7amutrIxAA"&amp;"oM7lcy35hllxznovot8lyOfvDo/edit?usp=share_link"",""น่าน!l641"")+IMPORTRANGE(""https://docs.google.com/spreadsheets/d/1K0Aa9s-6EuHE5M0FG1F9aHLXRCOV917xvycTdLdct0w/edit?usp=share_link"",""พะเยา!l641"")+IMPORTRANGE(""https://docs.google.com/spreadsheets/d/1Y"&amp;"9LPKx95PyL5OKy09d-KbKJSuuEZCFdkhYjwC0XQjBA/edit?usp=share_link"",""พิจิตร!l641"")+IMPORTRANGE(""https://docs.google.com/spreadsheets/d/16OMuOwy2eVqZcYWOouQtTpa8X1L23h4660uVHc0C8os/edit?usp=share_link"",""พิษณุโลก!l641"")+IMPORTRANGE(""https://docs.google."&amp;"com/spreadsheets/d/1GfgTldLG6k77HXaMQzaafODklYuucJZQNs_GAPEfZyY/edit?usp=share_link"",""เพชรบูรณ์!l641"")+IMPORTRANGE(""https://docs.google.com/spreadsheets/d/1gvTMYAnm7v1yG1BKWFtr0DnaTsq59oW9dwWvFgq6hs0/edit?usp=share_link"",""แพร่!l641"")+IMPORTRANGE("""&amp;"https://docs.google.com/spreadsheets/d/1Wbcosgy-Xa1xXUArJSOenub6EfZHUSzc_bpJFWwQUf0/edit?usp=share_link"",""แม่ฮ่องสอน!l641"")+IMPORTRANGE(""https://docs.google.com/spreadsheets/d/1p7ERhsr0qZeSn-KSOdeHS9r0heI-lHtkcn2OH7hP0jQ/edit?usp=share_link"",""ลำปาง!"&amp;"l641"")+IMPORTRANGE(""https://docs.google.com/spreadsheets/d/1-uUXvimVhiU2U0bMN-xi2te0tS4X7DI2GLPnMjzl8cA/edit?usp=share_link"",""ลำพูน!l641"")+IMPORTRANGE(""https://docs.google.com/spreadsheets/d/17HrOaa5pBUI1onckFfumXB8xlg35qb2uBAFfF1D-Myo/edit?usp=shar"&amp;"e_link"",""สุโขทัย!l641"")+IMPORTRANGE(""https://docs.google.com/spreadsheets/d/1ubs5cl16eYL9gHbdHTJtmtYb9MGzHBs7CAphn8kNCgM/edit?usp=share_link"",""อุตรดิตถ์!l641"")+IMPORTRANGE(""https://docs.google.com/spreadsheets/d/1kII0BjS6CtVrBvI8IrytgPdxDrlyQDyigz"&amp;"MsohRtDMs/edit?usp=share_link"",""อุทัยธานี!l641"")
"),0)</f>
        <v>0</v>
      </c>
      <c r="M641" s="93">
        <v>0</v>
      </c>
      <c r="N641" s="93">
        <v>0</v>
      </c>
      <c r="O641" s="45">
        <f t="shared" ca="1" si="308"/>
        <v>0</v>
      </c>
      <c r="P641" s="45">
        <f t="shared" si="309"/>
        <v>0</v>
      </c>
      <c r="Q641" s="568"/>
      <c r="R641" s="568"/>
      <c r="S641" s="568"/>
      <c r="T641" s="568"/>
      <c r="U641" s="568"/>
      <c r="V641" s="568"/>
      <c r="W641" s="568"/>
      <c r="X641" s="568"/>
      <c r="Y641" s="568"/>
      <c r="Z641" s="568"/>
    </row>
    <row r="642" spans="1:26" ht="19.5">
      <c r="A642" s="572"/>
      <c r="B642" s="573"/>
      <c r="C642" s="539" t="s">
        <v>16</v>
      </c>
      <c r="D642" s="645" t="s">
        <v>38</v>
      </c>
      <c r="E642" s="576"/>
      <c r="F642" s="576"/>
      <c r="G642" s="577"/>
      <c r="H642" s="175"/>
      <c r="I642" s="162"/>
      <c r="J642" s="162"/>
      <c r="K642" s="163"/>
      <c r="L642" s="163"/>
      <c r="M642" s="163"/>
      <c r="N642" s="163"/>
      <c r="O642" s="163"/>
      <c r="P642" s="163"/>
      <c r="Q642" s="541"/>
      <c r="R642" s="541"/>
      <c r="S642" s="541"/>
      <c r="T642" s="541"/>
      <c r="U642" s="541"/>
      <c r="V642" s="541"/>
      <c r="W642" s="541"/>
      <c r="X642" s="541"/>
      <c r="Y642" s="541"/>
      <c r="Z642" s="541"/>
    </row>
    <row r="643" spans="1:26" ht="18.75">
      <c r="A643" s="708"/>
      <c r="B643" s="538"/>
      <c r="C643" s="539"/>
      <c r="D643" s="585"/>
      <c r="E643" s="709" t="s">
        <v>271</v>
      </c>
      <c r="F643" s="585"/>
      <c r="G643" s="175"/>
      <c r="H643" s="416" t="s">
        <v>272</v>
      </c>
      <c r="I643" s="269">
        <f ca="1">IFERROR(__xludf.DUMMYFUNCTION("IMPORTRANGE(""https://docs.google.com/spreadsheets/d/1KxicF4apzSqm0-jIpmueT4kyZtE-Cwn5zskl7GD4loQ/edit?usp=share_link"",""กำแพงเพชร!I643"")+IMPORTRANGE(""https://docs.google.com/spreadsheets/d/1ZNYWeiFoFA1K1U4xKWqRX29MBvEyRHXORjo734Gnq_c/edit?usp=share_li"&amp;"nk"",""เชียงราย!I643"")
+IMPORTRANGE(""https://docs.google.com/spreadsheets/d/1Jgv0Y7YlHDtsiDawwp-uvifEJ8HVaSn0k2aGHG8-hwM/edit?usp=share_link"",""เชียงใหม่!I643"")+IMPORTRANGE(""https://docs.google.com/spreadsheets/d/1JWG2rZePOz9pe-f-ObA-yDr0VoOX2kSb0qIi"&amp;"x2mTUo8/edit?usp=share_link"",""ตาก!I643"")+IMPORTRANGE(""https://docs.google.com/spreadsheets/d/10nSRjK08hx8Y6HgSOQKNw81lyY46Zc7U_Cj72hBMp9U/edit?usp=share_link"",""นครสวรรค์!I643"")+IMPORTRANGE(""https://docs.google.com/spreadsheets/d/1gFVb7qd7amutrIxAA"&amp;"oM7lcy35hllxznovot8lyOfvDo/edit?usp=share_link"",""น่าน!I643"")+IMPORTRANGE(""https://docs.google.com/spreadsheets/d/1K0Aa9s-6EuHE5M0FG1F9aHLXRCOV917xvycTdLdct0w/edit?usp=share_link"",""พะเยา!I643"")+IMPORTRANGE(""https://docs.google.com/spreadsheets/d/1Y"&amp;"9LPKx95PyL5OKy09d-KbKJSuuEZCFdkhYjwC0XQjBA/edit?usp=share_link"",""พิจิตร!I643"")+IMPORTRANGE(""https://docs.google.com/spreadsheets/d/16OMuOwy2eVqZcYWOouQtTpa8X1L23h4660uVHc0C8os/edit?usp=share_link"",""พิษณุโลก!I643"")+IMPORTRANGE(""https://docs.google."&amp;"com/spreadsheets/d/1GfgTldLG6k77HXaMQzaafODklYuucJZQNs_GAPEfZyY/edit?usp=share_link"",""เพชรบูรณ์!I643"")+IMPORTRANGE(""https://docs.google.com/spreadsheets/d/1gvTMYAnm7v1yG1BKWFtr0DnaTsq59oW9dwWvFgq6hs0/edit?usp=share_link"",""แพร่!I643"")+IMPORTRANGE("""&amp;"https://docs.google.com/spreadsheets/d/1Wbcosgy-Xa1xXUArJSOenub6EfZHUSzc_bpJFWwQUf0/edit?usp=share_link"",""แม่ฮ่องสอน!I643"")+IMPORTRANGE(""https://docs.google.com/spreadsheets/d/1p7ERhsr0qZeSn-KSOdeHS9r0heI-lHtkcn2OH7hP0jQ/edit?usp=share_link"",""ลำปาง!"&amp;"I643"")+IMPORTRANGE(""https://docs.google.com/spreadsheets/d/1-uUXvimVhiU2U0bMN-xi2te0tS4X7DI2GLPnMjzl8cA/edit?usp=share_link"",""ลำพูน!I643"")+IMPORTRANGE(""https://docs.google.com/spreadsheets/d/17HrOaa5pBUI1onckFfumXB8xlg35qb2uBAFfF1D-Myo/edit?usp=shar"&amp;"e_link"",""สุโขทัย!I643"")+IMPORTRANGE(""https://docs.google.com/spreadsheets/d/1ubs5cl16eYL9gHbdHTJtmtYb9MGzHBs7CAphn8kNCgM/edit?usp=share_link"",""อุตรดิตถ์!I643"")+IMPORTRANGE(""https://docs.google.com/spreadsheets/d/1kII0BjS6CtVrBvI8IrytgPdxDrlyQDyigz"&amp;"MsohRtDMs/edit?usp=share_link"",""อุทัยธานี!I643"")
"),14)</f>
        <v>14</v>
      </c>
      <c r="J643" s="183">
        <f ca="1">IFERROR(__xludf.DUMMYFUNCTION("IMPORTRANGE(""https://docs.google.com/spreadsheets/d/1KxicF4apzSqm0-jIpmueT4kyZtE-Cwn5zskl7GD4loQ/edit?usp=share_link"",""กำแพงเพชร!J643"")+IMPORTRANGE(""https://docs.google.com/spreadsheets/d/1ZNYWeiFoFA1K1U4xKWqRX29MBvEyRHXORjo734Gnq_c/edit?usp=share_li"&amp;"nk"",""เชียงราย!J643"")
+IMPORTRANGE(""https://docs.google.com/spreadsheets/d/1Jgv0Y7YlHDtsiDawwp-uvifEJ8HVaSn0k2aGHG8-hwM/edit?usp=share_link"",""เชียงใหม่!J643"")+IMPORTRANGE(""https://docs.google.com/spreadsheets/d/1JWG2rZePOz9pe-f-ObA-yDr0VoOX2kSb0qIi"&amp;"x2mTUo8/edit?usp=share_link"",""ตาก!J643"")+IMPORTRANGE(""https://docs.google.com/spreadsheets/d/10nSRjK08hx8Y6HgSOQKNw81lyY46Zc7U_Cj72hBMp9U/edit?usp=share_link"",""นครสวรรค์!J643"")+IMPORTRANGE(""https://docs.google.com/spreadsheets/d/1gFVb7qd7amutrIxAA"&amp;"oM7lcy35hllxznovot8lyOfvDo/edit?usp=share_link"",""น่าน!J643"")+IMPORTRANGE(""https://docs.google.com/spreadsheets/d/1K0Aa9s-6EuHE5M0FG1F9aHLXRCOV917xvycTdLdct0w/edit?usp=share_link"",""พะเยา!J643"")+IMPORTRANGE(""https://docs.google.com/spreadsheets/d/1Y"&amp;"9LPKx95PyL5OKy09d-KbKJSuuEZCFdkhYjwC0XQjBA/edit?usp=share_link"",""พิจิตร!J643"")+IMPORTRANGE(""https://docs.google.com/spreadsheets/d/16OMuOwy2eVqZcYWOouQtTpa8X1L23h4660uVHc0C8os/edit?usp=share_link"",""พิษณุโลก!J643"")+IMPORTRANGE(""https://docs.google."&amp;"com/spreadsheets/d/1GfgTldLG6k77HXaMQzaafODklYuucJZQNs_GAPEfZyY/edit?usp=share_link"",""เพชรบูรณ์!J643"")+IMPORTRANGE(""https://docs.google.com/spreadsheets/d/1gvTMYAnm7v1yG1BKWFtr0DnaTsq59oW9dwWvFgq6hs0/edit?usp=share_link"",""แพร่!J643"")+IMPORTRANGE("""&amp;"https://docs.google.com/spreadsheets/d/1Wbcosgy-Xa1xXUArJSOenub6EfZHUSzc_bpJFWwQUf0/edit?usp=share_link"",""แม่ฮ่องสอน!J643"")+IMPORTRANGE(""https://docs.google.com/spreadsheets/d/1p7ERhsr0qZeSn-KSOdeHS9r0heI-lHtkcn2OH7hP0jQ/edit?usp=share_link"",""ลำปาง!"&amp;"J643"")+IMPORTRANGE(""https://docs.google.com/spreadsheets/d/1-uUXvimVhiU2U0bMN-xi2te0tS4X7DI2GLPnMjzl8cA/edit?usp=share_link"",""ลำพูน!J643"")+IMPORTRANGE(""https://docs.google.com/spreadsheets/d/17HrOaa5pBUI1onckFfumXB8xlg35qb2uBAFfF1D-Myo/edit?usp=shar"&amp;"e_link"",""สุโขทัย!J643"")+IMPORTRANGE(""https://docs.google.com/spreadsheets/d/1ubs5cl16eYL9gHbdHTJtmtYb9MGzHBs7CAphn8kNCgM/edit?usp=share_link"",""อุตรดิตถ์!J643"")+IMPORTRANGE(""https://docs.google.com/spreadsheets/d/1kII0BjS6CtVrBvI8IrytgPdxDrlyQDyigz"&amp;"MsohRtDMs/edit?usp=share_link"",""อุทัยธานี!J643"")
"),0)</f>
        <v>0</v>
      </c>
      <c r="K643" s="163">
        <f t="shared" ref="K643:K652" ca="1" si="310">IF(I643&gt;0,J643*100/I643,0)</f>
        <v>0</v>
      </c>
      <c r="L643" s="163"/>
      <c r="M643" s="163"/>
      <c r="N643" s="38"/>
      <c r="O643" s="163"/>
      <c r="P643" s="163"/>
      <c r="Q643" s="541"/>
      <c r="R643" s="541"/>
      <c r="S643" s="541"/>
      <c r="T643" s="541"/>
      <c r="U643" s="541"/>
      <c r="V643" s="541"/>
      <c r="W643" s="541"/>
      <c r="X643" s="541"/>
      <c r="Y643" s="541"/>
      <c r="Z643" s="541"/>
    </row>
    <row r="644" spans="1:26" ht="18.75">
      <c r="A644" s="708"/>
      <c r="B644" s="538"/>
      <c r="C644" s="539"/>
      <c r="D644" s="585"/>
      <c r="E644" s="709" t="s">
        <v>273</v>
      </c>
      <c r="F644" s="585"/>
      <c r="G644" s="175"/>
      <c r="H644" s="416" t="s">
        <v>274</v>
      </c>
      <c r="I644" s="269">
        <f ca="1">IFERROR(__xludf.DUMMYFUNCTION("IMPORTRANGE(""https://docs.google.com/spreadsheets/d/1KxicF4apzSqm0-jIpmueT4kyZtE-Cwn5zskl7GD4loQ/edit?usp=share_link"",""กำแพงเพชร!I78"")+IMPORTRANGE(""https://docs.google.com/spreadsheets/d/1ZNYWeiFoFA1K1U4xKWqRX29MBvEyRHXORjo734Gnq_c/edit?usp=share_lin"&amp;"k"",""เชียงราย!I78"")
+IMPORTRANGE(""https://docs.google.com/spreadsheets/d/1Jgv0Y7YlHDtsiDawwp-uvifEJ8HVaSn0k2aGHG8-hwM/edit?usp=share_link"",""เชียงใหม่!I78"")+IMPORTRANGE(""https://docs.google.com/spreadsheets/d/1JWG2rZePOz9pe-f-ObA-yDr0VoOX2kSb0qIix2m"&amp;"TUo8/edit?usp=share_link"",""ตาก!I78"")+IMPORTRANGE(""https://docs.google.com/spreadsheets/d/10nSRjK08hx8Y6HgSOQKNw81lyY46Zc7U_Cj72hBMp9U/edit?usp=share_link"",""นครสวรรค์!I78"")+IMPORTRANGE(""https://docs.google.com/spreadsheets/d/1gFVb7qd7amutrIxAAoM7lc"&amp;"y35hllxznovot8lyOfvDo/edit?usp=share_link"",""น่าน!I78"")+IMPORTRANGE(""https://docs.google.com/spreadsheets/d/1K0Aa9s-6EuHE5M0FG1F9aHLXRCOV917xvycTdLdct0w/edit?usp=share_link"",""พะเยา!I78"")+IMPORTRANGE(""https://docs.google.com/spreadsheets/d/1Y9LPKx95"&amp;"PyL5OKy09d-KbKJSuuEZCFdkhYjwC0XQjBA/edit?usp=share_link"",""พิจิตร!I78"")+IMPORTRANGE(""https://docs.google.com/spreadsheets/d/16OMuOwy2eVqZcYWOouQtTpa8X1L23h4660uVHc0C8os/edit?usp=share_link"",""พิษณุโลก!I78"")+IMPORTRANGE(""https://docs.google.com/sprea"&amp;"dsheets/d/1GfgTldLG6k77HXaMQzaafODklYuucJZQNs_GAPEfZyY/edit?usp=share_link"",""เพชรบูรณ์!I78"")+IMPORTRANGE(""https://docs.google.com/spreadsheets/d/1gvTMYAnm7v1yG1BKWFtr0DnaTsq59oW9dwWvFgq6hs0/edit?usp=share_link"",""แพร่!I78"")+IMPORTRANGE(""https://doc"&amp;"s.google.com/spreadsheets/d/1Wbcosgy-Xa1xXUArJSOenub6EfZHUSzc_bpJFWwQUf0/edit?usp=share_link"",""แม่ฮ่องสอน!I78"")+IMPORTRANGE(""https://docs.google.com/spreadsheets/d/1p7ERhsr0qZeSn-KSOdeHS9r0heI-lHtkcn2OH7hP0jQ/edit?usp=share_link"",""ลำปาง!I78"")+IMPOR"&amp;"TRANGE(""https://docs.google.com/spreadsheets/d/1-uUXvimVhiU2U0bMN-xi2te0tS4X7DI2GLPnMjzl8cA/edit?usp=share_link"",""ลำพูน!I78"")+IMPORTRANGE(""https://docs.google.com/spreadsheets/d/17HrOaa5pBUI1onckFfumXB8xlg35qb2uBAFfF1D-Myo/edit?usp=share_link"",""สุโ"&amp;"ขทัย!I78"")+IMPORTRANGE(""https://docs.google.com/spreadsheets/d/1ubs5cl16eYL9gHbdHTJtmtYb9MGzHBs7CAphn8kNCgM/edit?usp=share_link"",""อุตรดิตถ์!I78"")+IMPORTRANGE(""https://docs.google.com/spreadsheets/d/1kII0BjS6CtVrBvI8IrytgPdxDrlyQDyigzMsohRtDMs/edit?u"&amp;"sp=share_link"",""อุทัยธานี!I78"")
"),4)</f>
        <v>4</v>
      </c>
      <c r="J644" s="183">
        <f ca="1">IFERROR(__xludf.DUMMYFUNCTION("IMPORTRANGE(""https://docs.google.com/spreadsheets/d/1KxicF4apzSqm0-jIpmueT4kyZtE-Cwn5zskl7GD4loQ/edit?usp=share_link"",""กำแพงเพชร!J644"")+IMPORTRANGE(""https://docs.google.com/spreadsheets/d/1ZNYWeiFoFA1K1U4xKWqRX29MBvEyRHXORjo734Gnq_c/edit?usp=share_li"&amp;"nk"",""เชียงราย!J644"")
+IMPORTRANGE(""https://docs.google.com/spreadsheets/d/1Jgv0Y7YlHDtsiDawwp-uvifEJ8HVaSn0k2aGHG8-hwM/edit?usp=share_link"",""เชียงใหม่!J644"")+IMPORTRANGE(""https://docs.google.com/spreadsheets/d/1JWG2rZePOz9pe-f-ObA-yDr0VoOX2kSb0qIi"&amp;"x2mTUo8/edit?usp=share_link"",""ตาก!J644"")+IMPORTRANGE(""https://docs.google.com/spreadsheets/d/10nSRjK08hx8Y6HgSOQKNw81lyY46Zc7U_Cj72hBMp9U/edit?usp=share_link"",""นครสวรรค์!J644"")+IMPORTRANGE(""https://docs.google.com/spreadsheets/d/1gFVb7qd7amutrIxAA"&amp;"oM7lcy35hllxznovot8lyOfvDo/edit?usp=share_link"",""น่าน!J644"")+IMPORTRANGE(""https://docs.google.com/spreadsheets/d/1K0Aa9s-6EuHE5M0FG1F9aHLXRCOV917xvycTdLdct0w/edit?usp=share_link"",""พะเยา!J644"")+IMPORTRANGE(""https://docs.google.com/spreadsheets/d/1Y"&amp;"9LPKx95PyL5OKy09d-KbKJSuuEZCFdkhYjwC0XQjBA/edit?usp=share_link"",""พิจิตร!J644"")+IMPORTRANGE(""https://docs.google.com/spreadsheets/d/16OMuOwy2eVqZcYWOouQtTpa8X1L23h4660uVHc0C8os/edit?usp=share_link"",""พิษณุโลก!J644"")+IMPORTRANGE(""https://docs.google."&amp;"com/spreadsheets/d/1GfgTldLG6k77HXaMQzaafODklYuucJZQNs_GAPEfZyY/edit?usp=share_link"",""เพชรบูรณ์!J644"")+IMPORTRANGE(""https://docs.google.com/spreadsheets/d/1gvTMYAnm7v1yG1BKWFtr0DnaTsq59oW9dwWvFgq6hs0/edit?usp=share_link"",""แพร่!J644"")+IMPORTRANGE("""&amp;"https://docs.google.com/spreadsheets/d/1Wbcosgy-Xa1xXUArJSOenub6EfZHUSzc_bpJFWwQUf0/edit?usp=share_link"",""แม่ฮ่องสอน!J644"")+IMPORTRANGE(""https://docs.google.com/spreadsheets/d/1p7ERhsr0qZeSn-KSOdeHS9r0heI-lHtkcn2OH7hP0jQ/edit?usp=share_link"",""ลำปาง!"&amp;"J644"")+IMPORTRANGE(""https://docs.google.com/spreadsheets/d/1-uUXvimVhiU2U0bMN-xi2te0tS4X7DI2GLPnMjzl8cA/edit?usp=share_link"",""ลำพูน!J644"")+IMPORTRANGE(""https://docs.google.com/spreadsheets/d/17HrOaa5pBUI1onckFfumXB8xlg35qb2uBAFfF1D-Myo/edit?usp=shar"&amp;"e_link"",""สุโขทัย!J644"")+IMPORTRANGE(""https://docs.google.com/spreadsheets/d/1ubs5cl16eYL9gHbdHTJtmtYb9MGzHBs7CAphn8kNCgM/edit?usp=share_link"",""อุตรดิตถ์!J644"")+IMPORTRANGE(""https://docs.google.com/spreadsheets/d/1kII0BjS6CtVrBvI8IrytgPdxDrlyQDyigz"&amp;"MsohRtDMs/edit?usp=share_link"",""อุทัยธานี!J644"")
"),0)</f>
        <v>0</v>
      </c>
      <c r="K644" s="163">
        <f t="shared" ca="1" si="310"/>
        <v>0</v>
      </c>
      <c r="L644" s="163"/>
      <c r="M644" s="163"/>
      <c r="N644" s="38"/>
      <c r="O644" s="163"/>
      <c r="P644" s="163"/>
      <c r="Q644" s="541"/>
      <c r="R644" s="541"/>
      <c r="S644" s="541"/>
      <c r="T644" s="541"/>
      <c r="U644" s="541"/>
      <c r="V644" s="541"/>
      <c r="W644" s="541"/>
      <c r="X644" s="541"/>
      <c r="Y644" s="541"/>
      <c r="Z644" s="541"/>
    </row>
    <row r="645" spans="1:26" ht="18.75">
      <c r="A645" s="708"/>
      <c r="B645" s="538"/>
      <c r="C645" s="539"/>
      <c r="D645" s="585"/>
      <c r="E645" s="710" t="s">
        <v>275</v>
      </c>
      <c r="F645" s="585"/>
      <c r="G645" s="175"/>
      <c r="H645" s="182" t="s">
        <v>34</v>
      </c>
      <c r="I645" s="269">
        <v>0</v>
      </c>
      <c r="J645" s="37">
        <f ca="1">IFERROR(__xludf.DUMMYFUNCTION("IMPORTRANGE(""https://docs.google.com/spreadsheets/d/1KxicF4apzSqm0-jIpmueT4kyZtE-Cwn5zskl7GD4loQ/edit?usp=share_link"",""กำแพงเพชร!J645"")+IMPORTRANGE(""https://docs.google.com/spreadsheets/d/1ZNYWeiFoFA1K1U4xKWqRX29MBvEyRHXORjo734Gnq_c/edit?usp=share_li"&amp;"nk"",""เชียงราย!J645"")
+IMPORTRANGE(""https://docs.google.com/spreadsheets/d/1Jgv0Y7YlHDtsiDawwp-uvifEJ8HVaSn0k2aGHG8-hwM/edit?usp=share_link"",""เชียงใหม่!J645"")+IMPORTRANGE(""https://docs.google.com/spreadsheets/d/1JWG2rZePOz9pe-f-ObA-yDr0VoOX2kSb0qIi"&amp;"x2mTUo8/edit?usp=share_link"",""ตาก!J645"")+IMPORTRANGE(""https://docs.google.com/spreadsheets/d/10nSRjK08hx8Y6HgSOQKNw81lyY46Zc7U_Cj72hBMp9U/edit?usp=share_link"",""นครสวรรค์!J645"")+IMPORTRANGE(""https://docs.google.com/spreadsheets/d/1gFVb7qd7amutrIxAA"&amp;"oM7lcy35hllxznovot8lyOfvDo/edit?usp=share_link"",""น่าน!J645"")+IMPORTRANGE(""https://docs.google.com/spreadsheets/d/1K0Aa9s-6EuHE5M0FG1F9aHLXRCOV917xvycTdLdct0w/edit?usp=share_link"",""พะเยา!J645"")+IMPORTRANGE(""https://docs.google.com/spreadsheets/d/1Y"&amp;"9LPKx95PyL5OKy09d-KbKJSuuEZCFdkhYjwC0XQjBA/edit?usp=share_link"",""พิจิตร!J645"")+IMPORTRANGE(""https://docs.google.com/spreadsheets/d/16OMuOwy2eVqZcYWOouQtTpa8X1L23h4660uVHc0C8os/edit?usp=share_link"",""พิษณุโลก!J645"")+IMPORTRANGE(""https://docs.google."&amp;"com/spreadsheets/d/1GfgTldLG6k77HXaMQzaafODklYuucJZQNs_GAPEfZyY/edit?usp=share_link"",""เพชรบูรณ์!J645"")+IMPORTRANGE(""https://docs.google.com/spreadsheets/d/1gvTMYAnm7v1yG1BKWFtr0DnaTsq59oW9dwWvFgq6hs0/edit?usp=share_link"",""แพร่!J645"")+IMPORTRANGE("""&amp;"https://docs.google.com/spreadsheets/d/1Wbcosgy-Xa1xXUArJSOenub6EfZHUSzc_bpJFWwQUf0/edit?usp=share_link"",""แม่ฮ่องสอน!J645"")+IMPORTRANGE(""https://docs.google.com/spreadsheets/d/1p7ERhsr0qZeSn-KSOdeHS9r0heI-lHtkcn2OH7hP0jQ/edit?usp=share_link"",""ลำปาง!"&amp;"J645"")+IMPORTRANGE(""https://docs.google.com/spreadsheets/d/1-uUXvimVhiU2U0bMN-xi2te0tS4X7DI2GLPnMjzl8cA/edit?usp=share_link"",""ลำพูน!J645"")+IMPORTRANGE(""https://docs.google.com/spreadsheets/d/17HrOaa5pBUI1onckFfumXB8xlg35qb2uBAFfF1D-Myo/edit?usp=shar"&amp;"e_link"",""สุโขทัย!J645"")+IMPORTRANGE(""https://docs.google.com/spreadsheets/d/1ubs5cl16eYL9gHbdHTJtmtYb9MGzHBs7CAphn8kNCgM/edit?usp=share_link"",""อุตรดิตถ์!J645"")+IMPORTRANGE(""https://docs.google.com/spreadsheets/d/1kII0BjS6CtVrBvI8IrytgPdxDrlyQDyigz"&amp;"MsohRtDMs/edit?usp=share_link"",""อุทัยธานี!J645"")
"),120)</f>
        <v>120</v>
      </c>
      <c r="K645" s="163">
        <f t="shared" si="310"/>
        <v>0</v>
      </c>
      <c r="L645" s="163"/>
      <c r="M645" s="163"/>
      <c r="N645" s="38"/>
      <c r="O645" s="163"/>
      <c r="P645" s="163"/>
      <c r="Q645" s="541"/>
      <c r="R645" s="541"/>
      <c r="S645" s="541"/>
      <c r="T645" s="541"/>
      <c r="U645" s="541"/>
      <c r="V645" s="541"/>
      <c r="W645" s="541"/>
      <c r="X645" s="541"/>
      <c r="Y645" s="541"/>
      <c r="Z645" s="541"/>
    </row>
    <row r="646" spans="1:26" ht="18.75">
      <c r="A646" s="708"/>
      <c r="B646" s="538"/>
      <c r="C646" s="539"/>
      <c r="D646" s="585"/>
      <c r="E646" s="585"/>
      <c r="F646" s="585"/>
      <c r="G646" s="175"/>
      <c r="H646" s="182" t="s">
        <v>46</v>
      </c>
      <c r="I646" s="269">
        <v>0</v>
      </c>
      <c r="J646" s="37">
        <f ca="1">IFERROR(__xludf.DUMMYFUNCTION("IMPORTRANGE(""https://docs.google.com/spreadsheets/d/1KxicF4apzSqm0-jIpmueT4kyZtE-Cwn5zskl7GD4loQ/edit?usp=share_link"",""กำแพงเพชร!J646"")+IMPORTRANGE(""https://docs.google.com/spreadsheets/d/1ZNYWeiFoFA1K1U4xKWqRX29MBvEyRHXORjo734Gnq_c/edit?usp=share_li"&amp;"nk"",""เชียงราย!J646"")
+IMPORTRANGE(""https://docs.google.com/spreadsheets/d/1Jgv0Y7YlHDtsiDawwp-uvifEJ8HVaSn0k2aGHG8-hwM/edit?usp=share_link"",""เชียงใหม่!J646"")+IMPORTRANGE(""https://docs.google.com/spreadsheets/d/1JWG2rZePOz9pe-f-ObA-yDr0VoOX2kSb0qIi"&amp;"x2mTUo8/edit?usp=share_link"",""ตาก!J646"")+IMPORTRANGE(""https://docs.google.com/spreadsheets/d/10nSRjK08hx8Y6HgSOQKNw81lyY46Zc7U_Cj72hBMp9U/edit?usp=share_link"",""นครสวรรค์!J646"")+IMPORTRANGE(""https://docs.google.com/spreadsheets/d/1gFVb7qd7amutrIxAA"&amp;"oM7lcy35hllxznovot8lyOfvDo/edit?usp=share_link"",""น่าน!J646"")+IMPORTRANGE(""https://docs.google.com/spreadsheets/d/1K0Aa9s-6EuHE5M0FG1F9aHLXRCOV917xvycTdLdct0w/edit?usp=share_link"",""พะเยา!J646"")+IMPORTRANGE(""https://docs.google.com/spreadsheets/d/1Y"&amp;"9LPKx95PyL5OKy09d-KbKJSuuEZCFdkhYjwC0XQjBA/edit?usp=share_link"",""พิจิตร!J646"")+IMPORTRANGE(""https://docs.google.com/spreadsheets/d/16OMuOwy2eVqZcYWOouQtTpa8X1L23h4660uVHc0C8os/edit?usp=share_link"",""พิษณุโลก!J646"")+IMPORTRANGE(""https://docs.google."&amp;"com/spreadsheets/d/1GfgTldLG6k77HXaMQzaafODklYuucJZQNs_GAPEfZyY/edit?usp=share_link"",""เพชรบูรณ์!J646"")+IMPORTRANGE(""https://docs.google.com/spreadsheets/d/1gvTMYAnm7v1yG1BKWFtr0DnaTsq59oW9dwWvFgq6hs0/edit?usp=share_link"",""แพร่!J646"")+IMPORTRANGE("""&amp;"https://docs.google.com/spreadsheets/d/1Wbcosgy-Xa1xXUArJSOenub6EfZHUSzc_bpJFWwQUf0/edit?usp=share_link"",""แม่ฮ่องสอน!J646"")+IMPORTRANGE(""https://docs.google.com/spreadsheets/d/1p7ERhsr0qZeSn-KSOdeHS9r0heI-lHtkcn2OH7hP0jQ/edit?usp=share_link"",""ลำปาง!"&amp;"J646"")+IMPORTRANGE(""https://docs.google.com/spreadsheets/d/1-uUXvimVhiU2U0bMN-xi2te0tS4X7DI2GLPnMjzl8cA/edit?usp=share_link"",""ลำพูน!J646"")+IMPORTRANGE(""https://docs.google.com/spreadsheets/d/17HrOaa5pBUI1onckFfumXB8xlg35qb2uBAFfF1D-Myo/edit?usp=shar"&amp;"e_link"",""สุโขทัย!J646"")+IMPORTRANGE(""https://docs.google.com/spreadsheets/d/1ubs5cl16eYL9gHbdHTJtmtYb9MGzHBs7CAphn8kNCgM/edit?usp=share_link"",""อุตรดิตถ์!J646"")+IMPORTRANGE(""https://docs.google.com/spreadsheets/d/1kII0BjS6CtVrBvI8IrytgPdxDrlyQDyigz"&amp;"MsohRtDMs/edit?usp=share_link"",""อุทัยธานี!J646"")
"),74.84)</f>
        <v>74.84</v>
      </c>
      <c r="K646" s="38">
        <f t="shared" si="310"/>
        <v>0</v>
      </c>
      <c r="L646" s="163"/>
      <c r="M646" s="163"/>
      <c r="N646" s="38"/>
      <c r="O646" s="163"/>
      <c r="P646" s="163"/>
      <c r="Q646" s="541"/>
      <c r="R646" s="541"/>
      <c r="S646" s="541"/>
      <c r="T646" s="541"/>
      <c r="U646" s="541"/>
      <c r="V646" s="541"/>
      <c r="W646" s="541"/>
      <c r="X646" s="541"/>
      <c r="Y646" s="541"/>
      <c r="Z646" s="541"/>
    </row>
    <row r="647" spans="1:26" ht="18.75">
      <c r="A647" s="708"/>
      <c r="B647" s="538"/>
      <c r="C647" s="539"/>
      <c r="D647" s="585"/>
      <c r="E647" s="262" t="s">
        <v>162</v>
      </c>
      <c r="F647" s="585"/>
      <c r="G647" s="175"/>
      <c r="H647" s="182" t="s">
        <v>35</v>
      </c>
      <c r="I647" s="37">
        <f ca="1">IFERROR(__xludf.DUMMYFUNCTION("IMPORTRANGE(""https://docs.google.com/spreadsheets/d/1KxicF4apzSqm0-jIpmueT4kyZtE-Cwn5zskl7GD4loQ/edit?usp=share_link"",""กำแพงเพชร!I647"")+IMPORTRANGE(""https://docs.google.com/spreadsheets/d/1ZNYWeiFoFA1K1U4xKWqRX29MBvEyRHXORjo734Gnq_c/edit?usp=share_li"&amp;"nk"",""เชียงราย!I647"")
+IMPORTRANGE(""https://docs.google.com/spreadsheets/d/1Jgv0Y7YlHDtsiDawwp-uvifEJ8HVaSn0k2aGHG8-hwM/edit?usp=share_link"",""เชียงใหม่!I647"")+IMPORTRANGE(""https://docs.google.com/spreadsheets/d/1JWG2rZePOz9pe-f-ObA-yDr0VoOX2kSb0qIi"&amp;"x2mTUo8/edit?usp=share_link"",""ตาก!I647"")+IMPORTRANGE(""https://docs.google.com/spreadsheets/d/10nSRjK08hx8Y6HgSOQKNw81lyY46Zc7U_Cj72hBMp9U/edit?usp=share_link"",""นครสวรรค์!I647"")+IMPORTRANGE(""https://docs.google.com/spreadsheets/d/1gFVb7qd7amutrIxAA"&amp;"oM7lcy35hllxznovot8lyOfvDo/edit?usp=share_link"",""น่าน!I647"")+IMPORTRANGE(""https://docs.google.com/spreadsheets/d/1K0Aa9s-6EuHE5M0FG1F9aHLXRCOV917xvycTdLdct0w/edit?usp=share_link"",""พะเยา!I647"")+IMPORTRANGE(""https://docs.google.com/spreadsheets/d/1Y"&amp;"9LPKx95PyL5OKy09d-KbKJSuuEZCFdkhYjwC0XQjBA/edit?usp=share_link"",""พิจิตร!I647"")+IMPORTRANGE(""https://docs.google.com/spreadsheets/d/16OMuOwy2eVqZcYWOouQtTpa8X1L23h4660uVHc0C8os/edit?usp=share_link"",""พิษณุโลก!I647"")+IMPORTRANGE(""https://docs.google."&amp;"com/spreadsheets/d/1GfgTldLG6k77HXaMQzaafODklYuucJZQNs_GAPEfZyY/edit?usp=share_link"",""เพชรบูรณ์!I647"")+IMPORTRANGE(""https://docs.google.com/spreadsheets/d/1gvTMYAnm7v1yG1BKWFtr0DnaTsq59oW9dwWvFgq6hs0/edit?usp=share_link"",""แพร่!I647"")+IMPORTRANGE("""&amp;"https://docs.google.com/spreadsheets/d/1Wbcosgy-Xa1xXUArJSOenub6EfZHUSzc_bpJFWwQUf0/edit?usp=share_link"",""แม่ฮ่องสอน!I647"")+IMPORTRANGE(""https://docs.google.com/spreadsheets/d/1p7ERhsr0qZeSn-KSOdeHS9r0heI-lHtkcn2OH7hP0jQ/edit?usp=share_link"",""ลำปาง!"&amp;"I647"")+IMPORTRANGE(""https://docs.google.com/spreadsheets/d/1-uUXvimVhiU2U0bMN-xi2te0tS4X7DI2GLPnMjzl8cA/edit?usp=share_link"",""ลำพูน!I647"")+IMPORTRANGE(""https://docs.google.com/spreadsheets/d/17HrOaa5pBUI1onckFfumXB8xlg35qb2uBAFfF1D-Myo/edit?usp=shar"&amp;"e_link"",""สุโขทัย!I647"")+IMPORTRANGE(""https://docs.google.com/spreadsheets/d/1ubs5cl16eYL9gHbdHTJtmtYb9MGzHBs7CAphn8kNCgM/edit?usp=share_link"",""อุตรดิตถ์!I647"")+IMPORTRANGE(""https://docs.google.com/spreadsheets/d/1kII0BjS6CtVrBvI8IrytgPdxDrlyQDyigz"&amp;"MsohRtDMs/edit?usp=share_link"",""อุทัยธานี!I647"")
"),2481)</f>
        <v>2481</v>
      </c>
      <c r="J647" s="37">
        <f ca="1">IFERROR(__xludf.DUMMYFUNCTION("IMPORTRANGE(""https://docs.google.com/spreadsheets/d/1KxicF4apzSqm0-jIpmueT4kyZtE-Cwn5zskl7GD4loQ/edit?usp=share_link"",""กำแพงเพชร!J647"")+IMPORTRANGE(""https://docs.google.com/spreadsheets/d/1ZNYWeiFoFA1K1U4xKWqRX29MBvEyRHXORjo734Gnq_c/edit?usp=share_li"&amp;"nk"",""เชียงราย!J647"")
+IMPORTRANGE(""https://docs.google.com/spreadsheets/d/1Jgv0Y7YlHDtsiDawwp-uvifEJ8HVaSn0k2aGHG8-hwM/edit?usp=share_link"",""เชียงใหม่!J647"")+IMPORTRANGE(""https://docs.google.com/spreadsheets/d/1JWG2rZePOz9pe-f-ObA-yDr0VoOX2kSb0qIi"&amp;"x2mTUo8/edit?usp=share_link"",""ตาก!J647"")+IMPORTRANGE(""https://docs.google.com/spreadsheets/d/10nSRjK08hx8Y6HgSOQKNw81lyY46Zc7U_Cj72hBMp9U/edit?usp=share_link"",""นครสวรรค์!J647"")+IMPORTRANGE(""https://docs.google.com/spreadsheets/d/1gFVb7qd7amutrIxAA"&amp;"oM7lcy35hllxznovot8lyOfvDo/edit?usp=share_link"",""น่าน!J647"")+IMPORTRANGE(""https://docs.google.com/spreadsheets/d/1K0Aa9s-6EuHE5M0FG1F9aHLXRCOV917xvycTdLdct0w/edit?usp=share_link"",""พะเยา!J647"")+IMPORTRANGE(""https://docs.google.com/spreadsheets/d/1Y"&amp;"9LPKx95PyL5OKy09d-KbKJSuuEZCFdkhYjwC0XQjBA/edit?usp=share_link"",""พิจิตร!J647"")+IMPORTRANGE(""https://docs.google.com/spreadsheets/d/16OMuOwy2eVqZcYWOouQtTpa8X1L23h4660uVHc0C8os/edit?usp=share_link"",""พิษณุโลก!J647"")+IMPORTRANGE(""https://docs.google."&amp;"com/spreadsheets/d/1GfgTldLG6k77HXaMQzaafODklYuucJZQNs_GAPEfZyY/edit?usp=share_link"",""เพชรบูรณ์!J647"")+IMPORTRANGE(""https://docs.google.com/spreadsheets/d/1gvTMYAnm7v1yG1BKWFtr0DnaTsq59oW9dwWvFgq6hs0/edit?usp=share_link"",""แพร่!J647"")+IMPORTRANGE("""&amp;"https://docs.google.com/spreadsheets/d/1Wbcosgy-Xa1xXUArJSOenub6EfZHUSzc_bpJFWwQUf0/edit?usp=share_link"",""แม่ฮ่องสอน!J647"")+IMPORTRANGE(""https://docs.google.com/spreadsheets/d/1p7ERhsr0qZeSn-KSOdeHS9r0heI-lHtkcn2OH7hP0jQ/edit?usp=share_link"",""ลำปาง!"&amp;"J647"")+IMPORTRANGE(""https://docs.google.com/spreadsheets/d/1-uUXvimVhiU2U0bMN-xi2te0tS4X7DI2GLPnMjzl8cA/edit?usp=share_link"",""ลำพูน!J647"")+IMPORTRANGE(""https://docs.google.com/spreadsheets/d/17HrOaa5pBUI1onckFfumXB8xlg35qb2uBAFfF1D-Myo/edit?usp=shar"&amp;"e_link"",""สุโขทัย!J647"")+IMPORTRANGE(""https://docs.google.com/spreadsheets/d/1ubs5cl16eYL9gHbdHTJtmtYb9MGzHBs7CAphn8kNCgM/edit?usp=share_link"",""อุตรดิตถ์!J647"")+IMPORTRANGE(""https://docs.google.com/spreadsheets/d/1kII0BjS6CtVrBvI8IrytgPdxDrlyQDyigz"&amp;"MsohRtDMs/edit?usp=share_link"",""อุทัยธานี!J647"")
"),0)</f>
        <v>0</v>
      </c>
      <c r="K647" s="163">
        <f t="shared" ca="1" si="310"/>
        <v>0</v>
      </c>
      <c r="L647" s="163"/>
      <c r="M647" s="163"/>
      <c r="N647" s="163"/>
      <c r="O647" s="163"/>
      <c r="P647" s="163"/>
      <c r="Q647" s="541"/>
      <c r="R647" s="541"/>
      <c r="S647" s="541"/>
      <c r="T647" s="541"/>
      <c r="U647" s="541"/>
      <c r="V647" s="541"/>
      <c r="W647" s="541"/>
      <c r="X647" s="541"/>
      <c r="Y647" s="541"/>
      <c r="Z647" s="541"/>
    </row>
    <row r="648" spans="1:26" ht="18.75">
      <c r="A648" s="708"/>
      <c r="B648" s="538"/>
      <c r="C648" s="539"/>
      <c r="D648" s="585"/>
      <c r="E648" s="585"/>
      <c r="F648" s="585"/>
      <c r="G648" s="175"/>
      <c r="H648" s="182" t="s">
        <v>46</v>
      </c>
      <c r="I648" s="269">
        <v>0</v>
      </c>
      <c r="J648" s="37">
        <f ca="1">IFERROR(__xludf.DUMMYFUNCTION("IMPORTRANGE(""https://docs.google.com/spreadsheets/d/1KxicF4apzSqm0-jIpmueT4kyZtE-Cwn5zskl7GD4loQ/edit?usp=share_link"",""กำแพงเพชร!J648"")+IMPORTRANGE(""https://docs.google.com/spreadsheets/d/1ZNYWeiFoFA1K1U4xKWqRX29MBvEyRHXORjo734Gnq_c/edit?usp=share_li"&amp;"nk"",""เชียงราย!J648"")
+IMPORTRANGE(""https://docs.google.com/spreadsheets/d/1Jgv0Y7YlHDtsiDawwp-uvifEJ8HVaSn0k2aGHG8-hwM/edit?usp=share_link"",""เชียงใหม่!J648"")+IMPORTRANGE(""https://docs.google.com/spreadsheets/d/1JWG2rZePOz9pe-f-ObA-yDr0VoOX2kSb0qIi"&amp;"x2mTUo8/edit?usp=share_link"",""ตาก!J648"")+IMPORTRANGE(""https://docs.google.com/spreadsheets/d/10nSRjK08hx8Y6HgSOQKNw81lyY46Zc7U_Cj72hBMp9U/edit?usp=share_link"",""นครสวรรค์!J648"")+IMPORTRANGE(""https://docs.google.com/spreadsheets/d/1gFVb7qd7amutrIxAA"&amp;"oM7lcy35hllxznovot8lyOfvDo/edit?usp=share_link"",""น่าน!J648"")+IMPORTRANGE(""https://docs.google.com/spreadsheets/d/1K0Aa9s-6EuHE5M0FG1F9aHLXRCOV917xvycTdLdct0w/edit?usp=share_link"",""พะเยา!J648"")+IMPORTRANGE(""https://docs.google.com/spreadsheets/d/1Y"&amp;"9LPKx95PyL5OKy09d-KbKJSuuEZCFdkhYjwC0XQjBA/edit?usp=share_link"",""พิจิตร!J648"")+IMPORTRANGE(""https://docs.google.com/spreadsheets/d/16OMuOwy2eVqZcYWOouQtTpa8X1L23h4660uVHc0C8os/edit?usp=share_link"",""พิษณุโลก!J648"")+IMPORTRANGE(""https://docs.google."&amp;"com/spreadsheets/d/1GfgTldLG6k77HXaMQzaafODklYuucJZQNs_GAPEfZyY/edit?usp=share_link"",""เพชรบูรณ์!J648"")+IMPORTRANGE(""https://docs.google.com/spreadsheets/d/1gvTMYAnm7v1yG1BKWFtr0DnaTsq59oW9dwWvFgq6hs0/edit?usp=share_link"",""แพร่!J648"")+IMPORTRANGE("""&amp;"https://docs.google.com/spreadsheets/d/1Wbcosgy-Xa1xXUArJSOenub6EfZHUSzc_bpJFWwQUf0/edit?usp=share_link"",""แม่ฮ่องสอน!J648"")+IMPORTRANGE(""https://docs.google.com/spreadsheets/d/1p7ERhsr0qZeSn-KSOdeHS9r0heI-lHtkcn2OH7hP0jQ/edit?usp=share_link"",""ลำปาง!"&amp;"J648"")+IMPORTRANGE(""https://docs.google.com/spreadsheets/d/1-uUXvimVhiU2U0bMN-xi2te0tS4X7DI2GLPnMjzl8cA/edit?usp=share_link"",""ลำพูน!J648"")+IMPORTRANGE(""https://docs.google.com/spreadsheets/d/17HrOaa5pBUI1onckFfumXB8xlg35qb2uBAFfF1D-Myo/edit?usp=shar"&amp;"e_link"",""สุโขทัย!J648"")+IMPORTRANGE(""https://docs.google.com/spreadsheets/d/1ubs5cl16eYL9gHbdHTJtmtYb9MGzHBs7CAphn8kNCgM/edit?usp=share_link"",""อุตรดิตถ์!J648"")+IMPORTRANGE(""https://docs.google.com/spreadsheets/d/1kII0BjS6CtVrBvI8IrytgPdxDrlyQDyigz"&amp;"MsohRtDMs/edit?usp=share_link"",""อุทัยธานี!J648"")
"),0)</f>
        <v>0</v>
      </c>
      <c r="K648" s="38">
        <f t="shared" si="310"/>
        <v>0</v>
      </c>
      <c r="L648" s="163"/>
      <c r="M648" s="163"/>
      <c r="N648" s="163"/>
      <c r="O648" s="163"/>
      <c r="P648" s="163"/>
      <c r="Q648" s="541"/>
      <c r="R648" s="541"/>
      <c r="S648" s="541"/>
      <c r="T648" s="541"/>
      <c r="U648" s="541"/>
      <c r="V648" s="541"/>
      <c r="W648" s="541"/>
      <c r="X648" s="541"/>
      <c r="Y648" s="541"/>
      <c r="Z648" s="541"/>
    </row>
    <row r="649" spans="1:26" ht="18.75">
      <c r="A649" s="708"/>
      <c r="B649" s="538"/>
      <c r="C649" s="539"/>
      <c r="D649" s="585"/>
      <c r="E649" s="262" t="s">
        <v>276</v>
      </c>
      <c r="F649" s="585"/>
      <c r="G649" s="175"/>
      <c r="H649" s="182" t="s">
        <v>35</v>
      </c>
      <c r="I649" s="37">
        <f ca="1">IFERROR(__xludf.DUMMYFUNCTION("IMPORTRANGE(""https://docs.google.com/spreadsheets/d/1KxicF4apzSqm0-jIpmueT4kyZtE-Cwn5zskl7GD4loQ/edit?usp=share_link"",""กำแพงเพชร!I649"")+IMPORTRANGE(""https://docs.google.com/spreadsheets/d/1ZNYWeiFoFA1K1U4xKWqRX29MBvEyRHXORjo734Gnq_c/edit?usp=share_li"&amp;"nk"",""เชียงราย!I649"")
+IMPORTRANGE(""https://docs.google.com/spreadsheets/d/1Jgv0Y7YlHDtsiDawwp-uvifEJ8HVaSn0k2aGHG8-hwM/edit?usp=share_link"",""เชียงใหม่!I649"")+IMPORTRANGE(""https://docs.google.com/spreadsheets/d/1JWG2rZePOz9pe-f-ObA-yDr0VoOX2kSb0qIi"&amp;"x2mTUo8/edit?usp=share_link"",""ตาก!I649"")+IMPORTRANGE(""https://docs.google.com/spreadsheets/d/10nSRjK08hx8Y6HgSOQKNw81lyY46Zc7U_Cj72hBMp9U/edit?usp=share_link"",""นครสวรรค์!I649"")+IMPORTRANGE(""https://docs.google.com/spreadsheets/d/1gFVb7qd7amutrIxAA"&amp;"oM7lcy35hllxznovot8lyOfvDo/edit?usp=share_link"",""น่าน!I649"")+IMPORTRANGE(""https://docs.google.com/spreadsheets/d/1K0Aa9s-6EuHE5M0FG1F9aHLXRCOV917xvycTdLdct0w/edit?usp=share_link"",""พะเยา!I649"")+IMPORTRANGE(""https://docs.google.com/spreadsheets/d/1Y"&amp;"9LPKx95PyL5OKy09d-KbKJSuuEZCFdkhYjwC0XQjBA/edit?usp=share_link"",""พิจิตร!I649"")+IMPORTRANGE(""https://docs.google.com/spreadsheets/d/16OMuOwy2eVqZcYWOouQtTpa8X1L23h4660uVHc0C8os/edit?usp=share_link"",""พิษณุโลก!I649"")+IMPORTRANGE(""https://docs.google."&amp;"com/spreadsheets/d/1GfgTldLG6k77HXaMQzaafODklYuucJZQNs_GAPEfZyY/edit?usp=share_link"",""เพชรบูรณ์!I649"")+IMPORTRANGE(""https://docs.google.com/spreadsheets/d/1gvTMYAnm7v1yG1BKWFtr0DnaTsq59oW9dwWvFgq6hs0/edit?usp=share_link"",""แพร่!I649"")+IMPORTRANGE("""&amp;"https://docs.google.com/spreadsheets/d/1Wbcosgy-Xa1xXUArJSOenub6EfZHUSzc_bpJFWwQUf0/edit?usp=share_link"",""แม่ฮ่องสอน!I649"")+IMPORTRANGE(""https://docs.google.com/spreadsheets/d/1p7ERhsr0qZeSn-KSOdeHS9r0heI-lHtkcn2OH7hP0jQ/edit?usp=share_link"",""ลำปาง!"&amp;"I649"")+IMPORTRANGE(""https://docs.google.com/spreadsheets/d/1-uUXvimVhiU2U0bMN-xi2te0tS4X7DI2GLPnMjzl8cA/edit?usp=share_link"",""ลำพูน!I649"")+IMPORTRANGE(""https://docs.google.com/spreadsheets/d/17HrOaa5pBUI1onckFfumXB8xlg35qb2uBAFfF1D-Myo/edit?usp=shar"&amp;"e_link"",""สุโขทัย!I649"")+IMPORTRANGE(""https://docs.google.com/spreadsheets/d/1ubs5cl16eYL9gHbdHTJtmtYb9MGzHBs7CAphn8kNCgM/edit?usp=share_link"",""อุตรดิตถ์!I649"")+IMPORTRANGE(""https://docs.google.com/spreadsheets/d/1kII0BjS6CtVrBvI8IrytgPdxDrlyQDyigz"&amp;"MsohRtDMs/edit?usp=share_link"",""อุทัยธานี!I649"")
"),2481)</f>
        <v>2481</v>
      </c>
      <c r="J649" s="37">
        <f ca="1">IFERROR(__xludf.DUMMYFUNCTION("IMPORTRANGE(""https://docs.google.com/spreadsheets/d/1KxicF4apzSqm0-jIpmueT4kyZtE-Cwn5zskl7GD4loQ/edit?usp=share_link"",""กำแพงเพชร!J649"")+IMPORTRANGE(""https://docs.google.com/spreadsheets/d/1ZNYWeiFoFA1K1U4xKWqRX29MBvEyRHXORjo734Gnq_c/edit?usp=share_li"&amp;"nk"",""เชียงราย!J649"")
+IMPORTRANGE(""https://docs.google.com/spreadsheets/d/1Jgv0Y7YlHDtsiDawwp-uvifEJ8HVaSn0k2aGHG8-hwM/edit?usp=share_link"",""เชียงใหม่!J649"")+IMPORTRANGE(""https://docs.google.com/spreadsheets/d/1JWG2rZePOz9pe-f-ObA-yDr0VoOX2kSb0qIi"&amp;"x2mTUo8/edit?usp=share_link"",""ตาก!J649"")+IMPORTRANGE(""https://docs.google.com/spreadsheets/d/10nSRjK08hx8Y6HgSOQKNw81lyY46Zc7U_Cj72hBMp9U/edit?usp=share_link"",""นครสวรรค์!J649"")+IMPORTRANGE(""https://docs.google.com/spreadsheets/d/1gFVb7qd7amutrIxAA"&amp;"oM7lcy35hllxznovot8lyOfvDo/edit?usp=share_link"",""น่าน!J649"")+IMPORTRANGE(""https://docs.google.com/spreadsheets/d/1K0Aa9s-6EuHE5M0FG1F9aHLXRCOV917xvycTdLdct0w/edit?usp=share_link"",""พะเยา!J649"")+IMPORTRANGE(""https://docs.google.com/spreadsheets/d/1Y"&amp;"9LPKx95PyL5OKy09d-KbKJSuuEZCFdkhYjwC0XQjBA/edit?usp=share_link"",""พิจิตร!J649"")+IMPORTRANGE(""https://docs.google.com/spreadsheets/d/16OMuOwy2eVqZcYWOouQtTpa8X1L23h4660uVHc0C8os/edit?usp=share_link"",""พิษณุโลก!J649"")+IMPORTRANGE(""https://docs.google."&amp;"com/spreadsheets/d/1GfgTldLG6k77HXaMQzaafODklYuucJZQNs_GAPEfZyY/edit?usp=share_link"",""เพชรบูรณ์!J649"")+IMPORTRANGE(""https://docs.google.com/spreadsheets/d/1gvTMYAnm7v1yG1BKWFtr0DnaTsq59oW9dwWvFgq6hs0/edit?usp=share_link"",""แพร่!J649"")+IMPORTRANGE("""&amp;"https://docs.google.com/spreadsheets/d/1Wbcosgy-Xa1xXUArJSOenub6EfZHUSzc_bpJFWwQUf0/edit?usp=share_link"",""แม่ฮ่องสอน!J649"")+IMPORTRANGE(""https://docs.google.com/spreadsheets/d/1p7ERhsr0qZeSn-KSOdeHS9r0heI-lHtkcn2OH7hP0jQ/edit?usp=share_link"",""ลำปาง!"&amp;"J649"")+IMPORTRANGE(""https://docs.google.com/spreadsheets/d/1-uUXvimVhiU2U0bMN-xi2te0tS4X7DI2GLPnMjzl8cA/edit?usp=share_link"",""ลำพูน!J649"")+IMPORTRANGE(""https://docs.google.com/spreadsheets/d/17HrOaa5pBUI1onckFfumXB8xlg35qb2uBAFfF1D-Myo/edit?usp=shar"&amp;"e_link"",""สุโขทัย!J649"")+IMPORTRANGE(""https://docs.google.com/spreadsheets/d/1ubs5cl16eYL9gHbdHTJtmtYb9MGzHBs7CAphn8kNCgM/edit?usp=share_link"",""อุตรดิตถ์!J649"")+IMPORTRANGE(""https://docs.google.com/spreadsheets/d/1kII0BjS6CtVrBvI8IrytgPdxDrlyQDyigz"&amp;"MsohRtDMs/edit?usp=share_link"",""อุทัยธานี!J649"")
"),3)</f>
        <v>3</v>
      </c>
      <c r="K649" s="163">
        <f t="shared" ca="1" si="310"/>
        <v>0.12091898428053205</v>
      </c>
      <c r="L649" s="163"/>
      <c r="M649" s="163"/>
      <c r="N649" s="163"/>
      <c r="O649" s="163"/>
      <c r="P649" s="163"/>
      <c r="Q649" s="541"/>
      <c r="R649" s="541"/>
      <c r="S649" s="541"/>
      <c r="T649" s="541"/>
      <c r="U649" s="541"/>
      <c r="V649" s="541"/>
      <c r="W649" s="541"/>
      <c r="X649" s="541"/>
      <c r="Y649" s="541"/>
      <c r="Z649" s="541"/>
    </row>
    <row r="650" spans="1:26" ht="18.75">
      <c r="A650" s="708"/>
      <c r="B650" s="538"/>
      <c r="C650" s="539"/>
      <c r="D650" s="585"/>
      <c r="E650" s="585"/>
      <c r="F650" s="585"/>
      <c r="G650" s="175"/>
      <c r="H650" s="182" t="s">
        <v>46</v>
      </c>
      <c r="I650" s="269">
        <v>0</v>
      </c>
      <c r="J650" s="37">
        <f ca="1">IFERROR(__xludf.DUMMYFUNCTION("IMPORTRANGE(""https://docs.google.com/spreadsheets/d/1KxicF4apzSqm0-jIpmueT4kyZtE-Cwn5zskl7GD4loQ/edit?usp=share_link"",""กำแพงเพชร!J650"")+IMPORTRANGE(""https://docs.google.com/spreadsheets/d/1ZNYWeiFoFA1K1U4xKWqRX29MBvEyRHXORjo734Gnq_c/edit?usp=share_li"&amp;"nk"",""เชียงราย!J650"")
+IMPORTRANGE(""https://docs.google.com/spreadsheets/d/1Jgv0Y7YlHDtsiDawwp-uvifEJ8HVaSn0k2aGHG8-hwM/edit?usp=share_link"",""เชียงใหม่!J650"")+IMPORTRANGE(""https://docs.google.com/spreadsheets/d/1JWG2rZePOz9pe-f-ObA-yDr0VoOX2kSb0qIi"&amp;"x2mTUo8/edit?usp=share_link"",""ตาก!J650"")+IMPORTRANGE(""https://docs.google.com/spreadsheets/d/10nSRjK08hx8Y6HgSOQKNw81lyY46Zc7U_Cj72hBMp9U/edit?usp=share_link"",""นครสวรรค์!J650"")+IMPORTRANGE(""https://docs.google.com/spreadsheets/d/1gFVb7qd7amutrIxAA"&amp;"oM7lcy35hllxznovot8lyOfvDo/edit?usp=share_link"",""น่าน!J650"")+IMPORTRANGE(""https://docs.google.com/spreadsheets/d/1K0Aa9s-6EuHE5M0FG1F9aHLXRCOV917xvycTdLdct0w/edit?usp=share_link"",""พะเยา!J650"")+IMPORTRANGE(""https://docs.google.com/spreadsheets/d/1Y"&amp;"9LPKx95PyL5OKy09d-KbKJSuuEZCFdkhYjwC0XQjBA/edit?usp=share_link"",""พิจิตร!J650"")+IMPORTRANGE(""https://docs.google.com/spreadsheets/d/16OMuOwy2eVqZcYWOouQtTpa8X1L23h4660uVHc0C8os/edit?usp=share_link"",""พิษณุโลก!J650"")+IMPORTRANGE(""https://docs.google."&amp;"com/spreadsheets/d/1GfgTldLG6k77HXaMQzaafODklYuucJZQNs_GAPEfZyY/edit?usp=share_link"",""เพชรบูรณ์!J650"")+IMPORTRANGE(""https://docs.google.com/spreadsheets/d/1gvTMYAnm7v1yG1BKWFtr0DnaTsq59oW9dwWvFgq6hs0/edit?usp=share_link"",""แพร่!J650"")+IMPORTRANGE("""&amp;"https://docs.google.com/spreadsheets/d/1Wbcosgy-Xa1xXUArJSOenub6EfZHUSzc_bpJFWwQUf0/edit?usp=share_link"",""แม่ฮ่องสอน!J650"")+IMPORTRANGE(""https://docs.google.com/spreadsheets/d/1p7ERhsr0qZeSn-KSOdeHS9r0heI-lHtkcn2OH7hP0jQ/edit?usp=share_link"",""ลำปาง!"&amp;"J650"")+IMPORTRANGE(""https://docs.google.com/spreadsheets/d/1-uUXvimVhiU2U0bMN-xi2te0tS4X7DI2GLPnMjzl8cA/edit?usp=share_link"",""ลำพูน!J650"")+IMPORTRANGE(""https://docs.google.com/spreadsheets/d/17HrOaa5pBUI1onckFfumXB8xlg35qb2uBAFfF1D-Myo/edit?usp=shar"&amp;"e_link"",""สุโขทัย!J650"")+IMPORTRANGE(""https://docs.google.com/spreadsheets/d/1ubs5cl16eYL9gHbdHTJtmtYb9MGzHBs7CAphn8kNCgM/edit?usp=share_link"",""อุตรดิตถ์!J650"")+IMPORTRANGE(""https://docs.google.com/spreadsheets/d/1kII0BjS6CtVrBvI8IrytgPdxDrlyQDyigz"&amp;"MsohRtDMs/edit?usp=share_link"",""อุทัยธานี!J650"")
"),0.49)</f>
        <v>0.49</v>
      </c>
      <c r="K650" s="38">
        <f t="shared" si="310"/>
        <v>0</v>
      </c>
      <c r="L650" s="163"/>
      <c r="M650" s="163"/>
      <c r="N650" s="163"/>
      <c r="O650" s="163"/>
      <c r="P650" s="163"/>
      <c r="Q650" s="541"/>
      <c r="R650" s="541"/>
      <c r="S650" s="541"/>
      <c r="T650" s="541"/>
      <c r="U650" s="541"/>
      <c r="V650" s="541"/>
      <c r="W650" s="541"/>
      <c r="X650" s="541"/>
      <c r="Y650" s="541"/>
      <c r="Z650" s="541"/>
    </row>
    <row r="651" spans="1:26" ht="18.75">
      <c r="A651" s="708"/>
      <c r="B651" s="538"/>
      <c r="C651" s="539"/>
      <c r="D651" s="585"/>
      <c r="E651" s="262" t="s">
        <v>277</v>
      </c>
      <c r="F651" s="585"/>
      <c r="G651" s="175"/>
      <c r="H651" s="182" t="s">
        <v>35</v>
      </c>
      <c r="I651" s="37">
        <f ca="1">IFERROR(__xludf.DUMMYFUNCTION("IMPORTRANGE(""https://docs.google.com/spreadsheets/d/1KxicF4apzSqm0-jIpmueT4kyZtE-Cwn5zskl7GD4loQ/edit?usp=share_link"",""กำแพงเพชร!I651"")+IMPORTRANGE(""https://docs.google.com/spreadsheets/d/1ZNYWeiFoFA1K1U4xKWqRX29MBvEyRHXORjo734Gnq_c/edit?usp=share_li"&amp;"nk"",""เชียงราย!I651"")
+IMPORTRANGE(""https://docs.google.com/spreadsheets/d/1Jgv0Y7YlHDtsiDawwp-uvifEJ8HVaSn0k2aGHG8-hwM/edit?usp=share_link"",""เชียงใหม่!I651"")+IMPORTRANGE(""https://docs.google.com/spreadsheets/d/1JWG2rZePOz9pe-f-ObA-yDr0VoOX2kSb0qIi"&amp;"x2mTUo8/edit?usp=share_link"",""ตาก!I651"")+IMPORTRANGE(""https://docs.google.com/spreadsheets/d/10nSRjK08hx8Y6HgSOQKNw81lyY46Zc7U_Cj72hBMp9U/edit?usp=share_link"",""นครสวรรค์!I651"")+IMPORTRANGE(""https://docs.google.com/spreadsheets/d/1gFVb7qd7amutrIxAA"&amp;"oM7lcy35hllxznovot8lyOfvDo/edit?usp=share_link"",""น่าน!I651"")+IMPORTRANGE(""https://docs.google.com/spreadsheets/d/1K0Aa9s-6EuHE5M0FG1F9aHLXRCOV917xvycTdLdct0w/edit?usp=share_link"",""พะเยา!I651"")+IMPORTRANGE(""https://docs.google.com/spreadsheets/d/1Y"&amp;"9LPKx95PyL5OKy09d-KbKJSuuEZCFdkhYjwC0XQjBA/edit?usp=share_link"",""พิจิตร!I651"")+IMPORTRANGE(""https://docs.google.com/spreadsheets/d/16OMuOwy2eVqZcYWOouQtTpa8X1L23h4660uVHc0C8os/edit?usp=share_link"",""พิษณุโลก!I651"")+IMPORTRANGE(""https://docs.google."&amp;"com/spreadsheets/d/1GfgTldLG6k77HXaMQzaafODklYuucJZQNs_GAPEfZyY/edit?usp=share_link"",""เพชรบูรณ์!I651"")+IMPORTRANGE(""https://docs.google.com/spreadsheets/d/1gvTMYAnm7v1yG1BKWFtr0DnaTsq59oW9dwWvFgq6hs0/edit?usp=share_link"",""แพร่!I651"")+IMPORTRANGE("""&amp;"https://docs.google.com/spreadsheets/d/1Wbcosgy-Xa1xXUArJSOenub6EfZHUSzc_bpJFWwQUf0/edit?usp=share_link"",""แม่ฮ่องสอน!I651"")+IMPORTRANGE(""https://docs.google.com/spreadsheets/d/1p7ERhsr0qZeSn-KSOdeHS9r0heI-lHtkcn2OH7hP0jQ/edit?usp=share_link"",""ลำปาง!"&amp;"I651"")+IMPORTRANGE(""https://docs.google.com/spreadsheets/d/1-uUXvimVhiU2U0bMN-xi2te0tS4X7DI2GLPnMjzl8cA/edit?usp=share_link"",""ลำพูน!I651"")+IMPORTRANGE(""https://docs.google.com/spreadsheets/d/17HrOaa5pBUI1onckFfumXB8xlg35qb2uBAFfF1D-Myo/edit?usp=shar"&amp;"e_link"",""สุโขทัย!I651"")+IMPORTRANGE(""https://docs.google.com/spreadsheets/d/1ubs5cl16eYL9gHbdHTJtmtYb9MGzHBs7CAphn8kNCgM/edit?usp=share_link"",""อุตรดิตถ์!I651"")+IMPORTRANGE(""https://docs.google.com/spreadsheets/d/1kII0BjS6CtVrBvI8IrytgPdxDrlyQDyigz"&amp;"MsohRtDMs/edit?usp=share_link"",""อุทัยธานี!I651"")
"),2481)</f>
        <v>2481</v>
      </c>
      <c r="J651" s="37">
        <f ca="1">IFERROR(__xludf.DUMMYFUNCTION("IMPORTRANGE(""https://docs.google.com/spreadsheets/d/1KxicF4apzSqm0-jIpmueT4kyZtE-Cwn5zskl7GD4loQ/edit?usp=share_link"",""กำแพงเพชร!J651"")+IMPORTRANGE(""https://docs.google.com/spreadsheets/d/1ZNYWeiFoFA1K1U4xKWqRX29MBvEyRHXORjo734Gnq_c/edit?usp=share_li"&amp;"nk"",""เชียงราย!J651"")
+IMPORTRANGE(""https://docs.google.com/spreadsheets/d/1Jgv0Y7YlHDtsiDawwp-uvifEJ8HVaSn0k2aGHG8-hwM/edit?usp=share_link"",""เชียงใหม่!J651"")+IMPORTRANGE(""https://docs.google.com/spreadsheets/d/1JWG2rZePOz9pe-f-ObA-yDr0VoOX2kSb0qIi"&amp;"x2mTUo8/edit?usp=share_link"",""ตาก!J651"")+IMPORTRANGE(""https://docs.google.com/spreadsheets/d/10nSRjK08hx8Y6HgSOQKNw81lyY46Zc7U_Cj72hBMp9U/edit?usp=share_link"",""นครสวรรค์!J651"")+IMPORTRANGE(""https://docs.google.com/spreadsheets/d/1gFVb7qd7amutrIxAA"&amp;"oM7lcy35hllxznovot8lyOfvDo/edit?usp=share_link"",""น่าน!J651"")+IMPORTRANGE(""https://docs.google.com/spreadsheets/d/1K0Aa9s-6EuHE5M0FG1F9aHLXRCOV917xvycTdLdct0w/edit?usp=share_link"",""พะเยา!J651"")+IMPORTRANGE(""https://docs.google.com/spreadsheets/d/1Y"&amp;"9LPKx95PyL5OKy09d-KbKJSuuEZCFdkhYjwC0XQjBA/edit?usp=share_link"",""พิจิตร!J651"")+IMPORTRANGE(""https://docs.google.com/spreadsheets/d/16OMuOwy2eVqZcYWOouQtTpa8X1L23h4660uVHc0C8os/edit?usp=share_link"",""พิษณุโลก!J651"")+IMPORTRANGE(""https://docs.google."&amp;"com/spreadsheets/d/1GfgTldLG6k77HXaMQzaafODklYuucJZQNs_GAPEfZyY/edit?usp=share_link"",""เพชรบูรณ์!J651"")+IMPORTRANGE(""https://docs.google.com/spreadsheets/d/1gvTMYAnm7v1yG1BKWFtr0DnaTsq59oW9dwWvFgq6hs0/edit?usp=share_link"",""แพร่!J651"")+IMPORTRANGE("""&amp;"https://docs.google.com/spreadsheets/d/1Wbcosgy-Xa1xXUArJSOenub6EfZHUSzc_bpJFWwQUf0/edit?usp=share_link"",""แม่ฮ่องสอน!J651"")+IMPORTRANGE(""https://docs.google.com/spreadsheets/d/1p7ERhsr0qZeSn-KSOdeHS9r0heI-lHtkcn2OH7hP0jQ/edit?usp=share_link"",""ลำปาง!"&amp;"J651"")+IMPORTRANGE(""https://docs.google.com/spreadsheets/d/1-uUXvimVhiU2U0bMN-xi2te0tS4X7DI2GLPnMjzl8cA/edit?usp=share_link"",""ลำพูน!J651"")+IMPORTRANGE(""https://docs.google.com/spreadsheets/d/17HrOaa5pBUI1onckFfumXB8xlg35qb2uBAFfF1D-Myo/edit?usp=shar"&amp;"e_link"",""สุโขทัย!J651"")+IMPORTRANGE(""https://docs.google.com/spreadsheets/d/1ubs5cl16eYL9gHbdHTJtmtYb9MGzHBs7CAphn8kNCgM/edit?usp=share_link"",""อุตรดิตถ์!J651"")+IMPORTRANGE(""https://docs.google.com/spreadsheets/d/1kII0BjS6CtVrBvI8IrytgPdxDrlyQDyigz"&amp;"MsohRtDMs/edit?usp=share_link"",""อุทัยธานี!J651"")
"),0)</f>
        <v>0</v>
      </c>
      <c r="K651" s="163">
        <f t="shared" ca="1" si="310"/>
        <v>0</v>
      </c>
      <c r="L651" s="163"/>
      <c r="M651" s="163"/>
      <c r="N651" s="163"/>
      <c r="O651" s="163"/>
      <c r="P651" s="163"/>
      <c r="Q651" s="541"/>
      <c r="R651" s="541"/>
      <c r="S651" s="541"/>
      <c r="T651" s="541"/>
      <c r="U651" s="541"/>
      <c r="V651" s="541"/>
      <c r="W651" s="541"/>
      <c r="X651" s="541"/>
      <c r="Y651" s="541"/>
      <c r="Z651" s="541"/>
    </row>
    <row r="652" spans="1:26" ht="18.75">
      <c r="A652" s="711"/>
      <c r="B652" s="712"/>
      <c r="C652" s="713"/>
      <c r="D652" s="698"/>
      <c r="E652" s="698"/>
      <c r="F652" s="698"/>
      <c r="G652" s="699"/>
      <c r="H652" s="467" t="s">
        <v>46</v>
      </c>
      <c r="I652" s="351">
        <v>0</v>
      </c>
      <c r="J652" s="468">
        <f ca="1">IFERROR(__xludf.DUMMYFUNCTION("IMPORTRANGE(""https://docs.google.com/spreadsheets/d/1KxicF4apzSqm0-jIpmueT4kyZtE-Cwn5zskl7GD4loQ/edit?usp=share_link"",""กำแพงเพชร!J652"")+IMPORTRANGE(""https://docs.google.com/spreadsheets/d/1ZNYWeiFoFA1K1U4xKWqRX29MBvEyRHXORjo734Gnq_c/edit?usp=share_li"&amp;"nk"",""เชียงราย!J652"")
+IMPORTRANGE(""https://docs.google.com/spreadsheets/d/1Jgv0Y7YlHDtsiDawwp-uvifEJ8HVaSn0k2aGHG8-hwM/edit?usp=share_link"",""เชียงใหม่!J652"")+IMPORTRANGE(""https://docs.google.com/spreadsheets/d/1JWG2rZePOz9pe-f-ObA-yDr0VoOX2kSb0qIi"&amp;"x2mTUo8/edit?usp=share_link"",""ตาก!J652"")+IMPORTRANGE(""https://docs.google.com/spreadsheets/d/10nSRjK08hx8Y6HgSOQKNw81lyY46Zc7U_Cj72hBMp9U/edit?usp=share_link"",""นครสวรรค์!J652"")+IMPORTRANGE(""https://docs.google.com/spreadsheets/d/1gFVb7qd7amutrIxAA"&amp;"oM7lcy35hllxznovot8lyOfvDo/edit?usp=share_link"",""น่าน!J652"")+IMPORTRANGE(""https://docs.google.com/spreadsheets/d/1K0Aa9s-6EuHE5M0FG1F9aHLXRCOV917xvycTdLdct0w/edit?usp=share_link"",""พะเยา!J652"")+IMPORTRANGE(""https://docs.google.com/spreadsheets/d/1Y"&amp;"9LPKx95PyL5OKy09d-KbKJSuuEZCFdkhYjwC0XQjBA/edit?usp=share_link"",""พิจิตร!J652"")+IMPORTRANGE(""https://docs.google.com/spreadsheets/d/16OMuOwy2eVqZcYWOouQtTpa8X1L23h4660uVHc0C8os/edit?usp=share_link"",""พิษณุโลก!J652"")+IMPORTRANGE(""https://docs.google."&amp;"com/spreadsheets/d/1GfgTldLG6k77HXaMQzaafODklYuucJZQNs_GAPEfZyY/edit?usp=share_link"",""เพชรบูรณ์!J652"")+IMPORTRANGE(""https://docs.google.com/spreadsheets/d/1gvTMYAnm7v1yG1BKWFtr0DnaTsq59oW9dwWvFgq6hs0/edit?usp=share_link"",""แพร่!J652"")+IMPORTRANGE("""&amp;"https://docs.google.com/spreadsheets/d/1Wbcosgy-Xa1xXUArJSOenub6EfZHUSzc_bpJFWwQUf0/edit?usp=share_link"",""แม่ฮ่องสอน!J652"")+IMPORTRANGE(""https://docs.google.com/spreadsheets/d/1p7ERhsr0qZeSn-KSOdeHS9r0heI-lHtkcn2OH7hP0jQ/edit?usp=share_link"",""ลำปาง!"&amp;"J652"")+IMPORTRANGE(""https://docs.google.com/spreadsheets/d/1-uUXvimVhiU2U0bMN-xi2te0tS4X7DI2GLPnMjzl8cA/edit?usp=share_link"",""ลำพูน!J652"")+IMPORTRANGE(""https://docs.google.com/spreadsheets/d/17HrOaa5pBUI1onckFfumXB8xlg35qb2uBAFfF1D-Myo/edit?usp=shar"&amp;"e_link"",""สุโขทัย!J652"")+IMPORTRANGE(""https://docs.google.com/spreadsheets/d/1ubs5cl16eYL9gHbdHTJtmtYb9MGzHBs7CAphn8kNCgM/edit?usp=share_link"",""อุตรดิตถ์!J652"")+IMPORTRANGE(""https://docs.google.com/spreadsheets/d/1kII0BjS6CtVrBvI8IrytgPdxDrlyQDyigz"&amp;"MsohRtDMs/edit?usp=share_link"",""อุทัยธานี!J652"")
"),0)</f>
        <v>0</v>
      </c>
      <c r="K652" s="469">
        <f t="shared" si="310"/>
        <v>0</v>
      </c>
      <c r="L652" s="353"/>
      <c r="M652" s="353"/>
      <c r="N652" s="353"/>
      <c r="O652" s="353"/>
      <c r="P652" s="353"/>
      <c r="Q652" s="541"/>
      <c r="R652" s="541"/>
      <c r="S652" s="541"/>
      <c r="T652" s="541"/>
      <c r="U652" s="541"/>
      <c r="V652" s="541"/>
      <c r="W652" s="541"/>
      <c r="X652" s="541"/>
      <c r="Y652" s="541"/>
      <c r="Z652" s="541"/>
    </row>
    <row r="653" spans="1:26" ht="19.5">
      <c r="A653" s="714">
        <v>8</v>
      </c>
      <c r="B653" s="701" t="s">
        <v>278</v>
      </c>
      <c r="C653" s="702"/>
      <c r="D653" s="702"/>
      <c r="E653" s="702"/>
      <c r="F653" s="702"/>
      <c r="G653" s="703"/>
      <c r="H653" s="703"/>
      <c r="I653" s="715"/>
      <c r="J653" s="715"/>
      <c r="K653" s="707"/>
      <c r="L653" s="707"/>
      <c r="M653" s="707"/>
      <c r="N653" s="707"/>
      <c r="O653" s="707"/>
      <c r="P653" s="707"/>
      <c r="Q653" s="541"/>
      <c r="R653" s="541"/>
      <c r="S653" s="541"/>
      <c r="T653" s="541"/>
      <c r="U653" s="541"/>
      <c r="V653" s="541"/>
      <c r="W653" s="541"/>
      <c r="X653" s="541"/>
      <c r="Y653" s="541"/>
      <c r="Z653" s="541"/>
    </row>
    <row r="654" spans="1:26" ht="19.5">
      <c r="A654" s="639"/>
      <c r="B654" s="638" t="s">
        <v>279</v>
      </c>
      <c r="C654" s="639"/>
      <c r="D654" s="639"/>
      <c r="E654" s="639"/>
      <c r="F654" s="639"/>
      <c r="G654" s="640"/>
      <c r="H654" s="671" t="s">
        <v>46</v>
      </c>
      <c r="I654" s="642">
        <f t="shared" ref="I654:J654" ca="1" si="311">I669</f>
        <v>1100</v>
      </c>
      <c r="J654" s="642">
        <f t="shared" ca="1" si="311"/>
        <v>0</v>
      </c>
      <c r="K654" s="643">
        <f ca="1">IF(I654&gt;0,J654*100/I654,0)</f>
        <v>0</v>
      </c>
      <c r="L654" s="644"/>
      <c r="M654" s="644"/>
      <c r="N654" s="644"/>
      <c r="O654" s="644"/>
      <c r="P654" s="644"/>
      <c r="Q654" s="541"/>
      <c r="R654" s="541"/>
      <c r="S654" s="541"/>
      <c r="T654" s="541"/>
      <c r="U654" s="541"/>
      <c r="V654" s="541"/>
      <c r="W654" s="541"/>
      <c r="X654" s="541"/>
      <c r="Y654" s="541"/>
      <c r="Z654" s="541"/>
    </row>
    <row r="655" spans="1:26" ht="19.5">
      <c r="A655" s="561"/>
      <c r="B655" s="539"/>
      <c r="C655" s="539" t="s">
        <v>16</v>
      </c>
      <c r="D655" s="811" t="s">
        <v>17</v>
      </c>
      <c r="E655" s="805"/>
      <c r="F655" s="805"/>
      <c r="G655" s="189"/>
      <c r="H655" s="562" t="s">
        <v>12</v>
      </c>
      <c r="I655" s="37"/>
      <c r="J655" s="37"/>
      <c r="K655" s="38"/>
      <c r="L655" s="195">
        <f t="shared" ref="L655:N655" ca="1" si="312">L656+L657</f>
        <v>139600</v>
      </c>
      <c r="M655" s="195">
        <f t="shared" si="312"/>
        <v>0</v>
      </c>
      <c r="N655" s="195">
        <f t="shared" ca="1" si="312"/>
        <v>0</v>
      </c>
      <c r="O655" s="195">
        <f t="shared" ref="O655:O660" ca="1" si="313">IF(L655&gt;0,N655*100/L655,0)</f>
        <v>0</v>
      </c>
      <c r="P655" s="195">
        <f t="shared" ref="P655:P660" si="314">IF(M655&gt;0,N655*100/M655,0)</f>
        <v>0</v>
      </c>
      <c r="Q655" s="541"/>
      <c r="R655" s="541"/>
      <c r="S655" s="541"/>
      <c r="T655" s="541"/>
      <c r="U655" s="541"/>
      <c r="V655" s="541"/>
      <c r="W655" s="541"/>
      <c r="X655" s="541"/>
      <c r="Y655" s="541"/>
      <c r="Z655" s="541"/>
    </row>
    <row r="656" spans="1:26" ht="18.75" hidden="1">
      <c r="A656" s="563"/>
      <c r="B656" s="564"/>
      <c r="C656" s="564"/>
      <c r="D656" s="565"/>
      <c r="E656" s="566" t="s">
        <v>184</v>
      </c>
      <c r="F656" s="564"/>
      <c r="G656" s="567"/>
      <c r="H656" s="165" t="s">
        <v>12</v>
      </c>
      <c r="I656" s="44"/>
      <c r="J656" s="44"/>
      <c r="K656" s="45"/>
      <c r="L656" s="45">
        <f t="shared" ref="L656:N656" si="315">L659+L666</f>
        <v>0</v>
      </c>
      <c r="M656" s="45">
        <f t="shared" si="315"/>
        <v>0</v>
      </c>
      <c r="N656" s="45">
        <f t="shared" si="315"/>
        <v>0</v>
      </c>
      <c r="O656" s="45">
        <f t="shared" si="313"/>
        <v>0</v>
      </c>
      <c r="P656" s="45">
        <f t="shared" si="314"/>
        <v>0</v>
      </c>
      <c r="Q656" s="568"/>
      <c r="R656" s="568"/>
      <c r="S656" s="568"/>
      <c r="T656" s="568"/>
      <c r="U656" s="568"/>
      <c r="V656" s="568"/>
      <c r="W656" s="568"/>
      <c r="X656" s="568"/>
      <c r="Y656" s="568"/>
      <c r="Z656" s="568"/>
    </row>
    <row r="657" spans="1:26" ht="18.75" hidden="1">
      <c r="A657" s="563"/>
      <c r="B657" s="569"/>
      <c r="C657" s="564"/>
      <c r="D657" s="565"/>
      <c r="E657" s="566" t="s">
        <v>185</v>
      </c>
      <c r="F657" s="564"/>
      <c r="G657" s="567"/>
      <c r="H657" s="165" t="s">
        <v>12</v>
      </c>
      <c r="I657" s="44"/>
      <c r="J657" s="44"/>
      <c r="K657" s="45"/>
      <c r="L657" s="45">
        <f t="shared" ref="L657:N657" ca="1" si="316">L660+L667</f>
        <v>139600</v>
      </c>
      <c r="M657" s="45">
        <f t="shared" si="316"/>
        <v>0</v>
      </c>
      <c r="N657" s="45">
        <f t="shared" ca="1" si="316"/>
        <v>0</v>
      </c>
      <c r="O657" s="45">
        <f t="shared" ca="1" si="313"/>
        <v>0</v>
      </c>
      <c r="P657" s="45">
        <f t="shared" si="314"/>
        <v>0</v>
      </c>
      <c r="Q657" s="568"/>
      <c r="R657" s="568"/>
      <c r="S657" s="568"/>
      <c r="T657" s="568"/>
      <c r="U657" s="568"/>
      <c r="V657" s="568"/>
      <c r="W657" s="568"/>
      <c r="X657" s="568"/>
      <c r="Y657" s="568"/>
      <c r="Z657" s="568"/>
    </row>
    <row r="658" spans="1:26" ht="18.75">
      <c r="A658" s="561"/>
      <c r="B658" s="538"/>
      <c r="C658" s="539"/>
      <c r="D658" s="570" t="s">
        <v>20</v>
      </c>
      <c r="E658" s="539"/>
      <c r="F658" s="539"/>
      <c r="G658" s="189"/>
      <c r="H658" s="161" t="s">
        <v>12</v>
      </c>
      <c r="I658" s="162"/>
      <c r="J658" s="162"/>
      <c r="K658" s="163"/>
      <c r="L658" s="38">
        <f t="shared" ref="L658:N658" ca="1" si="317">L659+L660</f>
        <v>139600</v>
      </c>
      <c r="M658" s="38">
        <f t="shared" si="317"/>
        <v>0</v>
      </c>
      <c r="N658" s="38">
        <f t="shared" ca="1" si="317"/>
        <v>0</v>
      </c>
      <c r="O658" s="38">
        <f t="shared" ca="1" si="313"/>
        <v>0</v>
      </c>
      <c r="P658" s="38">
        <f t="shared" si="314"/>
        <v>0</v>
      </c>
      <c r="Q658" s="541"/>
      <c r="R658" s="541"/>
      <c r="S658" s="541"/>
      <c r="T658" s="541"/>
      <c r="U658" s="541"/>
      <c r="V658" s="541"/>
      <c r="W658" s="541"/>
      <c r="X658" s="541"/>
      <c r="Y658" s="541"/>
      <c r="Z658" s="541"/>
    </row>
    <row r="659" spans="1:26" ht="18.75" hidden="1">
      <c r="A659" s="563"/>
      <c r="B659" s="569"/>
      <c r="C659" s="564"/>
      <c r="D659" s="565"/>
      <c r="E659" s="566" t="s">
        <v>184</v>
      </c>
      <c r="F659" s="564"/>
      <c r="G659" s="567"/>
      <c r="H659" s="165" t="s">
        <v>12</v>
      </c>
      <c r="I659" s="44"/>
      <c r="J659" s="44"/>
      <c r="K659" s="45"/>
      <c r="L659" s="93">
        <v>0</v>
      </c>
      <c r="M659" s="93">
        <v>0</v>
      </c>
      <c r="N659" s="93">
        <v>0</v>
      </c>
      <c r="O659" s="45">
        <f t="shared" si="313"/>
        <v>0</v>
      </c>
      <c r="P659" s="45">
        <f t="shared" si="314"/>
        <v>0</v>
      </c>
      <c r="Q659" s="568"/>
      <c r="R659" s="568"/>
      <c r="S659" s="568"/>
      <c r="T659" s="568"/>
      <c r="U659" s="568"/>
      <c r="V659" s="568"/>
      <c r="W659" s="568"/>
      <c r="X659" s="568"/>
      <c r="Y659" s="568"/>
      <c r="Z659" s="568"/>
    </row>
    <row r="660" spans="1:26" ht="18.75" hidden="1">
      <c r="A660" s="563"/>
      <c r="B660" s="569"/>
      <c r="C660" s="564"/>
      <c r="D660" s="565"/>
      <c r="E660" s="566" t="s">
        <v>185</v>
      </c>
      <c r="F660" s="564"/>
      <c r="G660" s="567"/>
      <c r="H660" s="165" t="s">
        <v>12</v>
      </c>
      <c r="I660" s="44"/>
      <c r="J660" s="44"/>
      <c r="K660" s="45"/>
      <c r="L660" s="45">
        <f ca="1">IFERROR(__xludf.DUMMYFUNCTION("IMPORTRANGE(""https://docs.google.com/spreadsheets/d/1KxicF4apzSqm0-jIpmueT4kyZtE-Cwn5zskl7GD4loQ/edit?usp=share_link"",""กำแพงเพชร!l660"")+IMPORTRANGE(""https://docs.google.com/spreadsheets/d/1ZNYWeiFoFA1K1U4xKWqRX29MBvEyRHXORjo734Gnq_c/edit?usp=share_li"&amp;"nk"",""เชียงราย!l660"")
+IMPORTRANGE(""https://docs.google.com/spreadsheets/d/1Jgv0Y7YlHDtsiDawwp-uvifEJ8HVaSn0k2aGHG8-hwM/edit?usp=share_link"",""เชียงใหม่!l660"")+IMPORTRANGE(""https://docs.google.com/spreadsheets/d/1JWG2rZePOz9pe-f-ObA-yDr0VoOX2kSb0qIi"&amp;"x2mTUo8/edit?usp=share_link"",""ตาก!l660"")+IMPORTRANGE(""https://docs.google.com/spreadsheets/d/10nSRjK08hx8Y6HgSOQKNw81lyY46Zc7U_Cj72hBMp9U/edit?usp=share_link"",""นครสวรรค์!l660"")+IMPORTRANGE(""https://docs.google.com/spreadsheets/d/1gFVb7qd7amutrIxAA"&amp;"oM7lcy35hllxznovot8lyOfvDo/edit?usp=share_link"",""น่าน!l660"")+IMPORTRANGE(""https://docs.google.com/spreadsheets/d/1K0Aa9s-6EuHE5M0FG1F9aHLXRCOV917xvycTdLdct0w/edit?usp=share_link"",""พะเยา!l660"")+IMPORTRANGE(""https://docs.google.com/spreadsheets/d/1Y"&amp;"9LPKx95PyL5OKy09d-KbKJSuuEZCFdkhYjwC0XQjBA/edit?usp=share_link"",""พิจิตร!l660"")+IMPORTRANGE(""https://docs.google.com/spreadsheets/d/16OMuOwy2eVqZcYWOouQtTpa8X1L23h4660uVHc0C8os/edit?usp=share_link"",""พิษณุโลก!l660"")+IMPORTRANGE(""https://docs.google."&amp;"com/spreadsheets/d/1GfgTldLG6k77HXaMQzaafODklYuucJZQNs_GAPEfZyY/edit?usp=share_link"",""เพชรบูรณ์!l660"")+IMPORTRANGE(""https://docs.google.com/spreadsheets/d/1gvTMYAnm7v1yG1BKWFtr0DnaTsq59oW9dwWvFgq6hs0/edit?usp=share_link"",""แพร่!l660"")+IMPORTRANGE("""&amp;"https://docs.google.com/spreadsheets/d/1Wbcosgy-Xa1xXUArJSOenub6EfZHUSzc_bpJFWwQUf0/edit?usp=share_link"",""แม่ฮ่องสอน!l660"")+IMPORTRANGE(""https://docs.google.com/spreadsheets/d/1p7ERhsr0qZeSn-KSOdeHS9r0heI-lHtkcn2OH7hP0jQ/edit?usp=share_link"",""ลำปาง!"&amp;"l660"")+IMPORTRANGE(""https://docs.google.com/spreadsheets/d/1-uUXvimVhiU2U0bMN-xi2te0tS4X7DI2GLPnMjzl8cA/edit?usp=share_link"",""ลำพูน!l660"")+IMPORTRANGE(""https://docs.google.com/spreadsheets/d/17HrOaa5pBUI1onckFfumXB8xlg35qb2uBAFfF1D-Myo/edit?usp=shar"&amp;"e_link"",""สุโขทัย!l660"")+IMPORTRANGE(""https://docs.google.com/spreadsheets/d/1ubs5cl16eYL9gHbdHTJtmtYb9MGzHBs7CAphn8kNCgM/edit?usp=share_link"",""อุตรดิตถ์!l660"")+IMPORTRANGE(""https://docs.google.com/spreadsheets/d/1kII0BjS6CtVrBvI8IrytgPdxDrlyQDyigz"&amp;"MsohRtDMs/edit?usp=share_link"",""อุทัยธานี!l660"")
"),139600)</f>
        <v>139600</v>
      </c>
      <c r="M660" s="93">
        <v>0</v>
      </c>
      <c r="N660" s="45">
        <f ca="1">N661+N662+N663+N664</f>
        <v>0</v>
      </c>
      <c r="O660" s="45">
        <f t="shared" ca="1" si="313"/>
        <v>0</v>
      </c>
      <c r="P660" s="45">
        <f t="shared" si="314"/>
        <v>0</v>
      </c>
      <c r="Q660" s="568"/>
      <c r="R660" s="568"/>
      <c r="S660" s="568"/>
      <c r="T660" s="568"/>
      <c r="U660" s="568"/>
      <c r="V660" s="568"/>
      <c r="W660" s="568"/>
      <c r="X660" s="568"/>
      <c r="Y660" s="568"/>
      <c r="Z660" s="568"/>
    </row>
    <row r="661" spans="1:26" ht="18.75">
      <c r="A661" s="537"/>
      <c r="B661" s="538"/>
      <c r="C661" s="539"/>
      <c r="D661" s="539"/>
      <c r="E661" s="539"/>
      <c r="F661" s="540" t="s">
        <v>186</v>
      </c>
      <c r="G661" s="189"/>
      <c r="H661" s="161" t="s">
        <v>12</v>
      </c>
      <c r="I661" s="37"/>
      <c r="J661" s="37"/>
      <c r="K661" s="38"/>
      <c r="L661" s="38"/>
      <c r="M661" s="38"/>
      <c r="N661" s="282">
        <f ca="1">IFERROR(__xludf.DUMMYFUNCTION("IMPORTRANGE(""https://docs.google.com/spreadsheets/d/1KxicF4apzSqm0-jIpmueT4kyZtE-Cwn5zskl7GD4loQ/edit?usp=share_link"",""กำแพงเพชร!n661"")+IMPORTRANGE(""https://docs.google.com/spreadsheets/d/1ZNYWeiFoFA1K1U4xKWqRX29MBvEyRHXORjo734Gnq_c/edit?usp=share_li"&amp;"nk"",""เชียงราย!n661"")
+IMPORTRANGE(""https://docs.google.com/spreadsheets/d/1Jgv0Y7YlHDtsiDawwp-uvifEJ8HVaSn0k2aGHG8-hwM/edit?usp=share_link"",""เชียงใหม่!n661"")+IMPORTRANGE(""https://docs.google.com/spreadsheets/d/1JWG2rZePOz9pe-f-ObA-yDr0VoOX2kSb0qIi"&amp;"x2mTUo8/edit?usp=share_link"",""ตาก!n661"")+IMPORTRANGE(""https://docs.google.com/spreadsheets/d/10nSRjK08hx8Y6HgSOQKNw81lyY46Zc7U_Cj72hBMp9U/edit?usp=share_link"",""นครสวรรค์!n661"")+IMPORTRANGE(""https://docs.google.com/spreadsheets/d/1gFVb7qd7amutrIxAA"&amp;"oM7lcy35hllxznovot8lyOfvDo/edit?usp=share_link"",""น่าน!n661"")+IMPORTRANGE(""https://docs.google.com/spreadsheets/d/1K0Aa9s-6EuHE5M0FG1F9aHLXRCOV917xvycTdLdct0w/edit?usp=share_link"",""พะเยา!n661"")+IMPORTRANGE(""https://docs.google.com/spreadsheets/d/1Y"&amp;"9LPKx95PyL5OKy09d-KbKJSuuEZCFdkhYjwC0XQjBA/edit?usp=share_link"",""พิจิตร!n661"")+IMPORTRANGE(""https://docs.google.com/spreadsheets/d/16OMuOwy2eVqZcYWOouQtTpa8X1L23h4660uVHc0C8os/edit?usp=share_link"",""พิษณุโลก!n661"")+IMPORTRANGE(""https://docs.google."&amp;"com/spreadsheets/d/1GfgTldLG6k77HXaMQzaafODklYuucJZQNs_GAPEfZyY/edit?usp=share_link"",""เพชรบูรณ์!n661"")+IMPORTRANGE(""https://docs.google.com/spreadsheets/d/1gvTMYAnm7v1yG1BKWFtr0DnaTsq59oW9dwWvFgq6hs0/edit?usp=share_link"",""แพร่!n661"")+IMPORTRANGE("""&amp;"https://docs.google.com/spreadsheets/d/1Wbcosgy-Xa1xXUArJSOenub6EfZHUSzc_bpJFWwQUf0/edit?usp=share_link"",""แม่ฮ่องสอน!n661"")+IMPORTRANGE(""https://docs.google.com/spreadsheets/d/1p7ERhsr0qZeSn-KSOdeHS9r0heI-lHtkcn2OH7hP0jQ/edit?usp=share_link"",""ลำปาง!"&amp;"n661"")+IMPORTRANGE(""https://docs.google.com/spreadsheets/d/1-uUXvimVhiU2U0bMN-xi2te0tS4X7DI2GLPnMjzl8cA/edit?usp=share_link"",""ลำพูน!n661"")+IMPORTRANGE(""https://docs.google.com/spreadsheets/d/17HrOaa5pBUI1onckFfumXB8xlg35qb2uBAFfF1D-Myo/edit?usp=shar"&amp;"e_link"",""สุโขทัย!n661"")+IMPORTRANGE(""https://docs.google.com/spreadsheets/d/1ubs5cl16eYL9gHbdHTJtmtYb9MGzHBs7CAphn8kNCgM/edit?usp=share_link"",""อุตรดิตถ์!n661"")+IMPORTRANGE(""https://docs.google.com/spreadsheets/d/1kII0BjS6CtVrBvI8IrytgPdxDrlyQDyigz"&amp;"MsohRtDMs/edit?usp=share_link"",""อุทัยธานี!n661"")
"),0)</f>
        <v>0</v>
      </c>
      <c r="O661" s="38"/>
      <c r="P661" s="38"/>
      <c r="Q661" s="541"/>
      <c r="R661" s="541"/>
      <c r="S661" s="541"/>
      <c r="T661" s="541"/>
      <c r="U661" s="541"/>
      <c r="V661" s="541"/>
      <c r="W661" s="541"/>
      <c r="X661" s="541"/>
      <c r="Y661" s="541"/>
      <c r="Z661" s="541"/>
    </row>
    <row r="662" spans="1:26" ht="18.75">
      <c r="A662" s="537"/>
      <c r="B662" s="538"/>
      <c r="C662" s="539"/>
      <c r="D662" s="539"/>
      <c r="E662" s="539"/>
      <c r="F662" s="540" t="s">
        <v>187</v>
      </c>
      <c r="G662" s="189"/>
      <c r="H662" s="161" t="s">
        <v>12</v>
      </c>
      <c r="I662" s="37"/>
      <c r="J662" s="37"/>
      <c r="K662" s="38"/>
      <c r="L662" s="38"/>
      <c r="M662" s="38"/>
      <c r="N662" s="282">
        <f ca="1">IFERROR(__xludf.DUMMYFUNCTION("IMPORTRANGE(""https://docs.google.com/spreadsheets/d/1KxicF4apzSqm0-jIpmueT4kyZtE-Cwn5zskl7GD4loQ/edit?usp=share_link"",""กำแพงเพชร!n662"")+IMPORTRANGE(""https://docs.google.com/spreadsheets/d/1ZNYWeiFoFA1K1U4xKWqRX29MBvEyRHXORjo734Gnq_c/edit?usp=share_li"&amp;"nk"",""เชียงราย!n662"")
+IMPORTRANGE(""https://docs.google.com/spreadsheets/d/1Jgv0Y7YlHDtsiDawwp-uvifEJ8HVaSn0k2aGHG8-hwM/edit?usp=share_link"",""เชียงใหม่!n662"")+IMPORTRANGE(""https://docs.google.com/spreadsheets/d/1JWG2rZePOz9pe-f-ObA-yDr0VoOX2kSb0qIi"&amp;"x2mTUo8/edit?usp=share_link"",""ตาก!n662"")+IMPORTRANGE(""https://docs.google.com/spreadsheets/d/10nSRjK08hx8Y6HgSOQKNw81lyY46Zc7U_Cj72hBMp9U/edit?usp=share_link"",""นครสวรรค์!n662"")+IMPORTRANGE(""https://docs.google.com/spreadsheets/d/1gFVb7qd7amutrIxAA"&amp;"oM7lcy35hllxznovot8lyOfvDo/edit?usp=share_link"",""น่าน!n662"")+IMPORTRANGE(""https://docs.google.com/spreadsheets/d/1K0Aa9s-6EuHE5M0FG1F9aHLXRCOV917xvycTdLdct0w/edit?usp=share_link"",""พะเยา!n662"")+IMPORTRANGE(""https://docs.google.com/spreadsheets/d/1Y"&amp;"9LPKx95PyL5OKy09d-KbKJSuuEZCFdkhYjwC0XQjBA/edit?usp=share_link"",""พิจิตร!n662"")+IMPORTRANGE(""https://docs.google.com/spreadsheets/d/16OMuOwy2eVqZcYWOouQtTpa8X1L23h4660uVHc0C8os/edit?usp=share_link"",""พิษณุโลก!n662"")+IMPORTRANGE(""https://docs.google."&amp;"com/spreadsheets/d/1GfgTldLG6k77HXaMQzaafODklYuucJZQNs_GAPEfZyY/edit?usp=share_link"",""เพชรบูรณ์!n662"")+IMPORTRANGE(""https://docs.google.com/spreadsheets/d/1gvTMYAnm7v1yG1BKWFtr0DnaTsq59oW9dwWvFgq6hs0/edit?usp=share_link"",""แพร่!n662"")+IMPORTRANGE("""&amp;"https://docs.google.com/spreadsheets/d/1Wbcosgy-Xa1xXUArJSOenub6EfZHUSzc_bpJFWwQUf0/edit?usp=share_link"",""แม่ฮ่องสอน!n662"")+IMPORTRANGE(""https://docs.google.com/spreadsheets/d/1p7ERhsr0qZeSn-KSOdeHS9r0heI-lHtkcn2OH7hP0jQ/edit?usp=share_link"",""ลำปาง!"&amp;"n662"")+IMPORTRANGE(""https://docs.google.com/spreadsheets/d/1-uUXvimVhiU2U0bMN-xi2te0tS4X7DI2GLPnMjzl8cA/edit?usp=share_link"",""ลำพูน!n662"")+IMPORTRANGE(""https://docs.google.com/spreadsheets/d/17HrOaa5pBUI1onckFfumXB8xlg35qb2uBAFfF1D-Myo/edit?usp=shar"&amp;"e_link"",""สุโขทัย!n662"")+IMPORTRANGE(""https://docs.google.com/spreadsheets/d/1ubs5cl16eYL9gHbdHTJtmtYb9MGzHBs7CAphn8kNCgM/edit?usp=share_link"",""อุตรดิตถ์!n662"")+IMPORTRANGE(""https://docs.google.com/spreadsheets/d/1kII0BjS6CtVrBvI8IrytgPdxDrlyQDyigz"&amp;"MsohRtDMs/edit?usp=share_link"",""อุทัยธานี!n662"")
"),0)</f>
        <v>0</v>
      </c>
      <c r="O662" s="38"/>
      <c r="P662" s="38"/>
      <c r="Q662" s="541"/>
      <c r="R662" s="541"/>
      <c r="S662" s="541"/>
      <c r="T662" s="541"/>
      <c r="U662" s="541"/>
      <c r="V662" s="541"/>
      <c r="W662" s="541"/>
      <c r="X662" s="541"/>
      <c r="Y662" s="541"/>
      <c r="Z662" s="541"/>
    </row>
    <row r="663" spans="1:26" ht="18.75">
      <c r="A663" s="537"/>
      <c r="B663" s="538"/>
      <c r="C663" s="538"/>
      <c r="D663" s="539"/>
      <c r="E663" s="539"/>
      <c r="F663" s="540" t="s">
        <v>188</v>
      </c>
      <c r="G663" s="189"/>
      <c r="H663" s="161" t="s">
        <v>12</v>
      </c>
      <c r="I663" s="37"/>
      <c r="J663" s="37"/>
      <c r="K663" s="38"/>
      <c r="L663" s="38"/>
      <c r="M663" s="38"/>
      <c r="N663" s="282">
        <f ca="1">IFERROR(__xludf.DUMMYFUNCTION("IMPORTRANGE(""https://docs.google.com/spreadsheets/d/1KxicF4apzSqm0-jIpmueT4kyZtE-Cwn5zskl7GD4loQ/edit?usp=share_link"",""กำแพงเพชร!n663"")+IMPORTRANGE(""https://docs.google.com/spreadsheets/d/1ZNYWeiFoFA1K1U4xKWqRX29MBvEyRHXORjo734Gnq_c/edit?usp=share_li"&amp;"nk"",""เชียงราย!n663"")
+IMPORTRANGE(""https://docs.google.com/spreadsheets/d/1Jgv0Y7YlHDtsiDawwp-uvifEJ8HVaSn0k2aGHG8-hwM/edit?usp=share_link"",""เชียงใหม่!n663"")+IMPORTRANGE(""https://docs.google.com/spreadsheets/d/1JWG2rZePOz9pe-f-ObA-yDr0VoOX2kSb0qIi"&amp;"x2mTUo8/edit?usp=share_link"",""ตาก!n663"")+IMPORTRANGE(""https://docs.google.com/spreadsheets/d/10nSRjK08hx8Y6HgSOQKNw81lyY46Zc7U_Cj72hBMp9U/edit?usp=share_link"",""นครสวรรค์!n663"")+IMPORTRANGE(""https://docs.google.com/spreadsheets/d/1gFVb7qd7amutrIxAA"&amp;"oM7lcy35hllxznovot8lyOfvDo/edit?usp=share_link"",""น่าน!n663"")+IMPORTRANGE(""https://docs.google.com/spreadsheets/d/1K0Aa9s-6EuHE5M0FG1F9aHLXRCOV917xvycTdLdct0w/edit?usp=share_link"",""พะเยา!n663"")+IMPORTRANGE(""https://docs.google.com/spreadsheets/d/1Y"&amp;"9LPKx95PyL5OKy09d-KbKJSuuEZCFdkhYjwC0XQjBA/edit?usp=share_link"",""พิจิตร!n663"")+IMPORTRANGE(""https://docs.google.com/spreadsheets/d/16OMuOwy2eVqZcYWOouQtTpa8X1L23h4660uVHc0C8os/edit?usp=share_link"",""พิษณุโลก!n663"")+IMPORTRANGE(""https://docs.google."&amp;"com/spreadsheets/d/1GfgTldLG6k77HXaMQzaafODklYuucJZQNs_GAPEfZyY/edit?usp=share_link"",""เพชรบูรณ์!n663"")+IMPORTRANGE(""https://docs.google.com/spreadsheets/d/1gvTMYAnm7v1yG1BKWFtr0DnaTsq59oW9dwWvFgq6hs0/edit?usp=share_link"",""แพร่!n663"")+IMPORTRANGE("""&amp;"https://docs.google.com/spreadsheets/d/1Wbcosgy-Xa1xXUArJSOenub6EfZHUSzc_bpJFWwQUf0/edit?usp=share_link"",""แม่ฮ่องสอน!n663"")+IMPORTRANGE(""https://docs.google.com/spreadsheets/d/1p7ERhsr0qZeSn-KSOdeHS9r0heI-lHtkcn2OH7hP0jQ/edit?usp=share_link"",""ลำปาง!"&amp;"n663"")+IMPORTRANGE(""https://docs.google.com/spreadsheets/d/1-uUXvimVhiU2U0bMN-xi2te0tS4X7DI2GLPnMjzl8cA/edit?usp=share_link"",""ลำพูน!n663"")+IMPORTRANGE(""https://docs.google.com/spreadsheets/d/17HrOaa5pBUI1onckFfumXB8xlg35qb2uBAFfF1D-Myo/edit?usp=shar"&amp;"e_link"",""สุโขทัย!n663"")+IMPORTRANGE(""https://docs.google.com/spreadsheets/d/1ubs5cl16eYL9gHbdHTJtmtYb9MGzHBs7CAphn8kNCgM/edit?usp=share_link"",""อุตรดิตถ์!n663"")+IMPORTRANGE(""https://docs.google.com/spreadsheets/d/1kII0BjS6CtVrBvI8IrytgPdxDrlyQDyigz"&amp;"MsohRtDMs/edit?usp=share_link"",""อุทัยธานี!n663"")
"),0)</f>
        <v>0</v>
      </c>
      <c r="O663" s="38"/>
      <c r="P663" s="38"/>
      <c r="Q663" s="541"/>
      <c r="R663" s="541"/>
      <c r="S663" s="541"/>
      <c r="T663" s="541"/>
      <c r="U663" s="541"/>
      <c r="V663" s="541"/>
      <c r="W663" s="541"/>
      <c r="X663" s="541"/>
      <c r="Y663" s="541"/>
      <c r="Z663" s="541"/>
    </row>
    <row r="664" spans="1:26" ht="18.75">
      <c r="A664" s="537"/>
      <c r="B664" s="538"/>
      <c r="C664" s="538"/>
      <c r="D664" s="538"/>
      <c r="E664" s="539"/>
      <c r="F664" s="540" t="s">
        <v>189</v>
      </c>
      <c r="G664" s="189"/>
      <c r="H664" s="161" t="s">
        <v>12</v>
      </c>
      <c r="I664" s="37"/>
      <c r="J664" s="37"/>
      <c r="K664" s="38"/>
      <c r="L664" s="38"/>
      <c r="M664" s="38"/>
      <c r="N664" s="282">
        <f ca="1">IFERROR(__xludf.DUMMYFUNCTION("IMPORTRANGE(""https://docs.google.com/spreadsheets/d/1KxicF4apzSqm0-jIpmueT4kyZtE-Cwn5zskl7GD4loQ/edit?usp=share_link"",""กำแพงเพชร!n664"")+IMPORTRANGE(""https://docs.google.com/spreadsheets/d/1ZNYWeiFoFA1K1U4xKWqRX29MBvEyRHXORjo734Gnq_c/edit?usp=share_li"&amp;"nk"",""เชียงราย!n664"")
+IMPORTRANGE(""https://docs.google.com/spreadsheets/d/1Jgv0Y7YlHDtsiDawwp-uvifEJ8HVaSn0k2aGHG8-hwM/edit?usp=share_link"",""เชียงใหม่!n664"")+IMPORTRANGE(""https://docs.google.com/spreadsheets/d/1JWG2rZePOz9pe-f-ObA-yDr0VoOX2kSb0qIi"&amp;"x2mTUo8/edit?usp=share_link"",""ตาก!n664"")+IMPORTRANGE(""https://docs.google.com/spreadsheets/d/10nSRjK08hx8Y6HgSOQKNw81lyY46Zc7U_Cj72hBMp9U/edit?usp=share_link"",""นครสวรรค์!n664"")+IMPORTRANGE(""https://docs.google.com/spreadsheets/d/1gFVb7qd7amutrIxAA"&amp;"oM7lcy35hllxznovot8lyOfvDo/edit?usp=share_link"",""น่าน!n664"")+IMPORTRANGE(""https://docs.google.com/spreadsheets/d/1K0Aa9s-6EuHE5M0FG1F9aHLXRCOV917xvycTdLdct0w/edit?usp=share_link"",""พะเยา!n664"")+IMPORTRANGE(""https://docs.google.com/spreadsheets/d/1Y"&amp;"9LPKx95PyL5OKy09d-KbKJSuuEZCFdkhYjwC0XQjBA/edit?usp=share_link"",""พิจิตร!n664"")+IMPORTRANGE(""https://docs.google.com/spreadsheets/d/16OMuOwy2eVqZcYWOouQtTpa8X1L23h4660uVHc0C8os/edit?usp=share_link"",""พิษณุโลก!n664"")+IMPORTRANGE(""https://docs.google."&amp;"com/spreadsheets/d/1GfgTldLG6k77HXaMQzaafODklYuucJZQNs_GAPEfZyY/edit?usp=share_link"",""เพชรบูรณ์!n664"")+IMPORTRANGE(""https://docs.google.com/spreadsheets/d/1gvTMYAnm7v1yG1BKWFtr0DnaTsq59oW9dwWvFgq6hs0/edit?usp=share_link"",""แพร่!n664"")+IMPORTRANGE("""&amp;"https://docs.google.com/spreadsheets/d/1Wbcosgy-Xa1xXUArJSOenub6EfZHUSzc_bpJFWwQUf0/edit?usp=share_link"",""แม่ฮ่องสอน!n664"")+IMPORTRANGE(""https://docs.google.com/spreadsheets/d/1p7ERhsr0qZeSn-KSOdeHS9r0heI-lHtkcn2OH7hP0jQ/edit?usp=share_link"",""ลำปาง!"&amp;"n664"")+IMPORTRANGE(""https://docs.google.com/spreadsheets/d/1-uUXvimVhiU2U0bMN-xi2te0tS4X7DI2GLPnMjzl8cA/edit?usp=share_link"",""ลำพูน!n664"")+IMPORTRANGE(""https://docs.google.com/spreadsheets/d/17HrOaa5pBUI1onckFfumXB8xlg35qb2uBAFfF1D-Myo/edit?usp=shar"&amp;"e_link"",""สุโขทัย!n664"")+IMPORTRANGE(""https://docs.google.com/spreadsheets/d/1ubs5cl16eYL9gHbdHTJtmtYb9MGzHBs7CAphn8kNCgM/edit?usp=share_link"",""อุตรดิตถ์!n664"")+IMPORTRANGE(""https://docs.google.com/spreadsheets/d/1kII0BjS6CtVrBvI8IrytgPdxDrlyQDyigz"&amp;"MsohRtDMs/edit?usp=share_link"",""อุทัยธานี!n664"")
"),0)</f>
        <v>0</v>
      </c>
      <c r="O664" s="38"/>
      <c r="P664" s="38"/>
      <c r="Q664" s="541"/>
      <c r="R664" s="541"/>
      <c r="S664" s="541"/>
      <c r="T664" s="541"/>
      <c r="U664" s="541"/>
      <c r="V664" s="541"/>
      <c r="W664" s="541"/>
      <c r="X664" s="541"/>
      <c r="Y664" s="541"/>
      <c r="Z664" s="541"/>
    </row>
    <row r="665" spans="1:26" ht="18.75">
      <c r="A665" s="561"/>
      <c r="B665" s="538"/>
      <c r="C665" s="538"/>
      <c r="D665" s="570" t="s">
        <v>21</v>
      </c>
      <c r="E665" s="539"/>
      <c r="F665" s="539"/>
      <c r="G665" s="189"/>
      <c r="H665" s="168" t="s">
        <v>12</v>
      </c>
      <c r="I665" s="162"/>
      <c r="J665" s="162"/>
      <c r="K665" s="163"/>
      <c r="L665" s="38">
        <f t="shared" ref="L665:N665" si="318">L666+L667</f>
        <v>0</v>
      </c>
      <c r="M665" s="38">
        <f t="shared" si="318"/>
        <v>0</v>
      </c>
      <c r="N665" s="38">
        <f t="shared" si="318"/>
        <v>0</v>
      </c>
      <c r="O665" s="38">
        <f t="shared" ref="O665:O667" si="319">IF(L665&gt;0,N665*100/L665,0)</f>
        <v>0</v>
      </c>
      <c r="P665" s="38">
        <f t="shared" ref="P665:P667" si="320">IF(M665&gt;0,N665*100/M665,0)</f>
        <v>0</v>
      </c>
      <c r="Q665" s="541"/>
      <c r="R665" s="541"/>
      <c r="S665" s="541"/>
      <c r="T665" s="541"/>
      <c r="U665" s="541"/>
      <c r="V665" s="541"/>
      <c r="W665" s="541"/>
      <c r="X665" s="541"/>
      <c r="Y665" s="541"/>
      <c r="Z665" s="541"/>
    </row>
    <row r="666" spans="1:26" ht="18.75" hidden="1">
      <c r="A666" s="563"/>
      <c r="B666" s="569"/>
      <c r="C666" s="569"/>
      <c r="D666" s="569"/>
      <c r="E666" s="566" t="s">
        <v>18</v>
      </c>
      <c r="F666" s="564"/>
      <c r="G666" s="567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45">
        <f t="shared" si="319"/>
        <v>0</v>
      </c>
      <c r="P666" s="45">
        <f t="shared" si="320"/>
        <v>0</v>
      </c>
      <c r="Q666" s="568"/>
      <c r="R666" s="568"/>
      <c r="S666" s="568"/>
      <c r="T666" s="568"/>
      <c r="U666" s="568"/>
      <c r="V666" s="568"/>
      <c r="W666" s="568"/>
      <c r="X666" s="568"/>
      <c r="Y666" s="568"/>
      <c r="Z666" s="568"/>
    </row>
    <row r="667" spans="1:26" ht="18.75" hidden="1">
      <c r="A667" s="563"/>
      <c r="B667" s="569"/>
      <c r="C667" s="569"/>
      <c r="D667" s="569"/>
      <c r="E667" s="566" t="s">
        <v>19</v>
      </c>
      <c r="F667" s="564"/>
      <c r="G667" s="567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45">
        <f t="shared" si="319"/>
        <v>0</v>
      </c>
      <c r="P667" s="45">
        <f t="shared" si="320"/>
        <v>0</v>
      </c>
      <c r="Q667" s="568"/>
      <c r="R667" s="568"/>
      <c r="S667" s="568"/>
      <c r="T667" s="568"/>
      <c r="U667" s="568"/>
      <c r="V667" s="568"/>
      <c r="W667" s="568"/>
      <c r="X667" s="568"/>
      <c r="Y667" s="568"/>
      <c r="Z667" s="568"/>
    </row>
    <row r="668" spans="1:26" ht="19.5">
      <c r="A668" s="572"/>
      <c r="B668" s="573"/>
      <c r="C668" s="538" t="s">
        <v>16</v>
      </c>
      <c r="D668" s="574" t="s">
        <v>38</v>
      </c>
      <c r="E668" s="576"/>
      <c r="F668" s="576"/>
      <c r="G668" s="577"/>
      <c r="H668" s="175"/>
      <c r="I668" s="162"/>
      <c r="J668" s="162"/>
      <c r="K668" s="163"/>
      <c r="L668" s="163"/>
      <c r="M668" s="163"/>
      <c r="N668" s="163"/>
      <c r="O668" s="163"/>
      <c r="P668" s="163"/>
      <c r="Q668" s="541"/>
      <c r="R668" s="541"/>
      <c r="S668" s="541"/>
      <c r="T668" s="541"/>
      <c r="U668" s="541"/>
      <c r="V668" s="541"/>
      <c r="W668" s="541"/>
      <c r="X668" s="541"/>
      <c r="Y668" s="541"/>
      <c r="Z668" s="541"/>
    </row>
    <row r="669" spans="1:26" ht="19.5">
      <c r="A669" s="572"/>
      <c r="B669" s="573"/>
      <c r="C669" s="573"/>
      <c r="D669" s="584" t="s">
        <v>280</v>
      </c>
      <c r="E669" s="585"/>
      <c r="F669" s="585"/>
      <c r="G669" s="175"/>
      <c r="H669" s="716" t="s">
        <v>46</v>
      </c>
      <c r="I669" s="194">
        <f ca="1">IFERROR(__xludf.DUMMYFUNCTION("IMPORTRANGE(""https://docs.google.com/spreadsheets/d/1KxicF4apzSqm0-jIpmueT4kyZtE-Cwn5zskl7GD4loQ/edit?usp=share_link"",""กำแพงเพชร!I669"")+IMPORTRANGE(""https://docs.google.com/spreadsheets/d/1ZNYWeiFoFA1K1U4xKWqRX29MBvEyRHXORjo734Gnq_c/edit?usp=share_li"&amp;"nk"",""เชียงราย!I669"")
+IMPORTRANGE(""https://docs.google.com/spreadsheets/d/1Jgv0Y7YlHDtsiDawwp-uvifEJ8HVaSn0k2aGHG8-hwM/edit?usp=share_link"",""เชียงใหม่!I669"")+IMPORTRANGE(""https://docs.google.com/spreadsheets/d/1JWG2rZePOz9pe-f-ObA-yDr0VoOX2kSb0qIi"&amp;"x2mTUo8/edit?usp=share_link"",""ตาก!I669"")+IMPORTRANGE(""https://docs.google.com/spreadsheets/d/10nSRjK08hx8Y6HgSOQKNw81lyY46Zc7U_Cj72hBMp9U/edit?usp=share_link"",""นครสวรรค์!I669"")+IMPORTRANGE(""https://docs.google.com/spreadsheets/d/1gFVb7qd7amutrIxAA"&amp;"oM7lcy35hllxznovot8lyOfvDo/edit?usp=share_link"",""น่าน!I669"")+IMPORTRANGE(""https://docs.google.com/spreadsheets/d/1K0Aa9s-6EuHE5M0FG1F9aHLXRCOV917xvycTdLdct0w/edit?usp=share_link"",""พะเยา!I669"")+IMPORTRANGE(""https://docs.google.com/spreadsheets/d/1Y"&amp;"9LPKx95PyL5OKy09d-KbKJSuuEZCFdkhYjwC0XQjBA/edit?usp=share_link"",""พิจิตร!I669"")+IMPORTRANGE(""https://docs.google.com/spreadsheets/d/16OMuOwy2eVqZcYWOouQtTpa8X1L23h4660uVHc0C8os/edit?usp=share_link"",""พิษณุโลก!I669"")+IMPORTRANGE(""https://docs.google."&amp;"com/spreadsheets/d/1GfgTldLG6k77HXaMQzaafODklYuucJZQNs_GAPEfZyY/edit?usp=share_link"",""เพชรบูรณ์!I669"")+IMPORTRANGE(""https://docs.google.com/spreadsheets/d/1gvTMYAnm7v1yG1BKWFtr0DnaTsq59oW9dwWvFgq6hs0/edit?usp=share_link"",""แพร่!I669"")+IMPORTRANGE("""&amp;"https://docs.google.com/spreadsheets/d/1Wbcosgy-Xa1xXUArJSOenub6EfZHUSzc_bpJFWwQUf0/edit?usp=share_link"",""แม่ฮ่องสอน!I669"")+IMPORTRANGE(""https://docs.google.com/spreadsheets/d/1p7ERhsr0qZeSn-KSOdeHS9r0heI-lHtkcn2OH7hP0jQ/edit?usp=share_link"",""ลำปาง!"&amp;"I669"")+IMPORTRANGE(""https://docs.google.com/spreadsheets/d/1-uUXvimVhiU2U0bMN-xi2te0tS4X7DI2GLPnMjzl8cA/edit?usp=share_link"",""ลำพูน!I669"")+IMPORTRANGE(""https://docs.google.com/spreadsheets/d/17HrOaa5pBUI1onckFfumXB8xlg35qb2uBAFfF1D-Myo/edit?usp=shar"&amp;"e_link"",""สุโขทัย!I669"")+IMPORTRANGE(""https://docs.google.com/spreadsheets/d/1ubs5cl16eYL9gHbdHTJtmtYb9MGzHBs7CAphn8kNCgM/edit?usp=share_link"",""อุตรดิตถ์!I669"")+IMPORTRANGE(""https://docs.google.com/spreadsheets/d/1kII0BjS6CtVrBvI8IrytgPdxDrlyQDyigz"&amp;"MsohRtDMs/edit?usp=share_link"",""อุทัยธานี!I669"")
"),1100)</f>
        <v>1100</v>
      </c>
      <c r="J669" s="194">
        <f ca="1"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41"/>
      <c r="R669" s="541"/>
      <c r="S669" s="541"/>
      <c r="T669" s="541"/>
      <c r="U669" s="541"/>
      <c r="V669" s="541"/>
      <c r="W669" s="541"/>
      <c r="X669" s="541"/>
      <c r="Y669" s="541"/>
      <c r="Z669" s="541"/>
    </row>
    <row r="670" spans="1:26" ht="18.75">
      <c r="A670" s="572"/>
      <c r="B670" s="573"/>
      <c r="C670" s="573"/>
      <c r="D670" s="573"/>
      <c r="E670" s="187" t="s">
        <v>281</v>
      </c>
      <c r="F670" s="585"/>
      <c r="G670" s="175"/>
      <c r="H670" s="416" t="s">
        <v>69</v>
      </c>
      <c r="I670" s="37">
        <f ca="1">IFERROR(__xludf.DUMMYFUNCTION("IMPORTRANGE(""https://docs.google.com/spreadsheets/d/1KxicF4apzSqm0-jIpmueT4kyZtE-Cwn5zskl7GD4loQ/edit?usp=share_link"",""กำแพงเพชร!I670"")+IMPORTRANGE(""https://docs.google.com/spreadsheets/d/1ZNYWeiFoFA1K1U4xKWqRX29MBvEyRHXORjo734Gnq_c/edit?usp=share_li"&amp;"nk"",""เชียงราย!I670"")
+IMPORTRANGE(""https://docs.google.com/spreadsheets/d/1Jgv0Y7YlHDtsiDawwp-uvifEJ8HVaSn0k2aGHG8-hwM/edit?usp=share_link"",""เชียงใหม่!I670"")+IMPORTRANGE(""https://docs.google.com/spreadsheets/d/1JWG2rZePOz9pe-f-ObA-yDr0VoOX2kSb0qIi"&amp;"x2mTUo8/edit?usp=share_link"",""ตาก!I670"")+IMPORTRANGE(""https://docs.google.com/spreadsheets/d/10nSRjK08hx8Y6HgSOQKNw81lyY46Zc7U_Cj72hBMp9U/edit?usp=share_link"",""นครสวรรค์!I670"")+IMPORTRANGE(""https://docs.google.com/spreadsheets/d/1gFVb7qd7amutrIxAA"&amp;"oM7lcy35hllxznovot8lyOfvDo/edit?usp=share_link"",""น่าน!I670"")+IMPORTRANGE(""https://docs.google.com/spreadsheets/d/1K0Aa9s-6EuHE5M0FG1F9aHLXRCOV917xvycTdLdct0w/edit?usp=share_link"",""พะเยา!I670"")+IMPORTRANGE(""https://docs.google.com/spreadsheets/d/1Y"&amp;"9LPKx95PyL5OKy09d-KbKJSuuEZCFdkhYjwC0XQjBA/edit?usp=share_link"",""พิจิตร!I670"")+IMPORTRANGE(""https://docs.google.com/spreadsheets/d/16OMuOwy2eVqZcYWOouQtTpa8X1L23h4660uVHc0C8os/edit?usp=share_link"",""พิษณุโลก!I670"")+IMPORTRANGE(""https://docs.google."&amp;"com/spreadsheets/d/1GfgTldLG6k77HXaMQzaafODklYuucJZQNs_GAPEfZyY/edit?usp=share_link"",""เพชรบูรณ์!I670"")+IMPORTRANGE(""https://docs.google.com/spreadsheets/d/1gvTMYAnm7v1yG1BKWFtr0DnaTsq59oW9dwWvFgq6hs0/edit?usp=share_link"",""แพร่!I670"")+IMPORTRANGE("""&amp;"https://docs.google.com/spreadsheets/d/1Wbcosgy-Xa1xXUArJSOenub6EfZHUSzc_bpJFWwQUf0/edit?usp=share_link"",""แม่ฮ่องสอน!I670"")+IMPORTRANGE(""https://docs.google.com/spreadsheets/d/1p7ERhsr0qZeSn-KSOdeHS9r0heI-lHtkcn2OH7hP0jQ/edit?usp=share_link"",""ลำปาง!"&amp;"I670"")+IMPORTRANGE(""https://docs.google.com/spreadsheets/d/1-uUXvimVhiU2U0bMN-xi2te0tS4X7DI2GLPnMjzl8cA/edit?usp=share_link"",""ลำพูน!I670"")+IMPORTRANGE(""https://docs.google.com/spreadsheets/d/17HrOaa5pBUI1onckFfumXB8xlg35qb2uBAFfF1D-Myo/edit?usp=shar"&amp;"e_link"",""สุโขทัย!I670"")+IMPORTRANGE(""https://docs.google.com/spreadsheets/d/1ubs5cl16eYL9gHbdHTJtmtYb9MGzHBs7CAphn8kNCgM/edit?usp=share_link"",""อุตรดิตถ์!I670"")+IMPORTRANGE(""https://docs.google.com/spreadsheets/d/1kII0BjS6CtVrBvI8IrytgPdxDrlyQDyigz"&amp;"MsohRtDMs/edit?usp=share_link"",""อุทัยธานี!I670"")
"),46)</f>
        <v>46</v>
      </c>
      <c r="J670" s="183">
        <f ca="1">IFERROR(__xludf.DUMMYFUNCTION("IMPORTRANGE(""https://docs.google.com/spreadsheets/d/1KxicF4apzSqm0-jIpmueT4kyZtE-Cwn5zskl7GD4loQ/edit?usp=share_link"",""กำแพงเพชร!J670"")+IMPORTRANGE(""https://docs.google.com/spreadsheets/d/1ZNYWeiFoFA1K1U4xKWqRX29MBvEyRHXORjo734Gnq_c/edit?usp=share_li"&amp;"nk"",""เชียงราย!J670"")
+IMPORTRANGE(""https://docs.google.com/spreadsheets/d/1Jgv0Y7YlHDtsiDawwp-uvifEJ8HVaSn0k2aGHG8-hwM/edit?usp=share_link"",""เชียงใหม่!J670"")+IMPORTRANGE(""https://docs.google.com/spreadsheets/d/1JWG2rZePOz9pe-f-ObA-yDr0VoOX2kSb0qIi"&amp;"x2mTUo8/edit?usp=share_link"",""ตาก!J670"")+IMPORTRANGE(""https://docs.google.com/spreadsheets/d/10nSRjK08hx8Y6HgSOQKNw81lyY46Zc7U_Cj72hBMp9U/edit?usp=share_link"",""นครสวรรค์!J670"")+IMPORTRANGE(""https://docs.google.com/spreadsheets/d/1gFVb7qd7amutrIxAA"&amp;"oM7lcy35hllxznovot8lyOfvDo/edit?usp=share_link"",""น่าน!J670"")+IMPORTRANGE(""https://docs.google.com/spreadsheets/d/1K0Aa9s-6EuHE5M0FG1F9aHLXRCOV917xvycTdLdct0w/edit?usp=share_link"",""พะเยา!J670"")+IMPORTRANGE(""https://docs.google.com/spreadsheets/d/1Y"&amp;"9LPKx95PyL5OKy09d-KbKJSuuEZCFdkhYjwC0XQjBA/edit?usp=share_link"",""พิจิตร!J670"")+IMPORTRANGE(""https://docs.google.com/spreadsheets/d/16OMuOwy2eVqZcYWOouQtTpa8X1L23h4660uVHc0C8os/edit?usp=share_link"",""พิษณุโลก!J670"")+IMPORTRANGE(""https://docs.google."&amp;"com/spreadsheets/d/1GfgTldLG6k77HXaMQzaafODklYuucJZQNs_GAPEfZyY/edit?usp=share_link"",""เพชรบูรณ์!J670"")+IMPORTRANGE(""https://docs.google.com/spreadsheets/d/1gvTMYAnm7v1yG1BKWFtr0DnaTsq59oW9dwWvFgq6hs0/edit?usp=share_link"",""แพร่!J670"")+IMPORTRANGE("""&amp;"https://docs.google.com/spreadsheets/d/1Wbcosgy-Xa1xXUArJSOenub6EfZHUSzc_bpJFWwQUf0/edit?usp=share_link"",""แม่ฮ่องสอน!J670"")+IMPORTRANGE(""https://docs.google.com/spreadsheets/d/1p7ERhsr0qZeSn-KSOdeHS9r0heI-lHtkcn2OH7hP0jQ/edit?usp=share_link"",""ลำปาง!"&amp;"J670"")+IMPORTRANGE(""https://docs.google.com/spreadsheets/d/1-uUXvimVhiU2U0bMN-xi2te0tS4X7DI2GLPnMjzl8cA/edit?usp=share_link"",""ลำพูน!J670"")+IMPORTRANGE(""https://docs.google.com/spreadsheets/d/17HrOaa5pBUI1onckFfumXB8xlg35qb2uBAFfF1D-Myo/edit?usp=shar"&amp;"e_link"",""สุโขทัย!J670"")+IMPORTRANGE(""https://docs.google.com/spreadsheets/d/1ubs5cl16eYL9gHbdHTJtmtYb9MGzHBs7CAphn8kNCgM/edit?usp=share_link"",""อุตรดิตถ์!J670"")+IMPORTRANGE(""https://docs.google.com/spreadsheets/d/1kII0BjS6CtVrBvI8IrytgPdxDrlyQDyigz"&amp;"MsohRtDMs/edit?usp=share_link"",""อุทัยธานี!J670"")
"),11)</f>
        <v>11</v>
      </c>
      <c r="K670" s="38">
        <f ca="1">IF(I670&gt;0,(J670*100)/I670,0)</f>
        <v>23.913043478260871</v>
      </c>
      <c r="L670" s="163"/>
      <c r="M670" s="163"/>
      <c r="N670" s="163"/>
      <c r="O670" s="163"/>
      <c r="P670" s="163"/>
      <c r="Q670" s="541"/>
      <c r="R670" s="541"/>
      <c r="S670" s="541"/>
      <c r="T670" s="541"/>
      <c r="U670" s="541"/>
      <c r="V670" s="541"/>
      <c r="W670" s="541"/>
      <c r="X670" s="541"/>
      <c r="Y670" s="541"/>
      <c r="Z670" s="541"/>
    </row>
    <row r="671" spans="1:26" ht="18.75">
      <c r="A671" s="572"/>
      <c r="B671" s="573"/>
      <c r="C671" s="573"/>
      <c r="D671" s="573"/>
      <c r="E671" s="187" t="s">
        <v>282</v>
      </c>
      <c r="F671" s="585"/>
      <c r="G671" s="175"/>
      <c r="H671" s="416" t="s">
        <v>69</v>
      </c>
      <c r="I671" s="37">
        <f ca="1">IFERROR(__xludf.DUMMYFUNCTION("IMPORTRANGE(""https://docs.google.com/spreadsheets/d/1KxicF4apzSqm0-jIpmueT4kyZtE-Cwn5zskl7GD4loQ/edit?usp=share_link"",""กำแพงเพชร!I671"")+IMPORTRANGE(""https://docs.google.com/spreadsheets/d/1ZNYWeiFoFA1K1U4xKWqRX29MBvEyRHXORjo734Gnq_c/edit?usp=share_li"&amp;"nk"",""เชียงราย!I671"")
+IMPORTRANGE(""https://docs.google.com/spreadsheets/d/1Jgv0Y7YlHDtsiDawwp-uvifEJ8HVaSn0k2aGHG8-hwM/edit?usp=share_link"",""เชียงใหม่!I671"")+IMPORTRANGE(""https://docs.google.com/spreadsheets/d/1JWG2rZePOz9pe-f-ObA-yDr0VoOX2kSb0qIi"&amp;"x2mTUo8/edit?usp=share_link"",""ตาก!I671"")+IMPORTRANGE(""https://docs.google.com/spreadsheets/d/10nSRjK08hx8Y6HgSOQKNw81lyY46Zc7U_Cj72hBMp9U/edit?usp=share_link"",""นครสวรรค์!I671"")+IMPORTRANGE(""https://docs.google.com/spreadsheets/d/1gFVb7qd7amutrIxAA"&amp;"oM7lcy35hllxznovot8lyOfvDo/edit?usp=share_link"",""น่าน!I671"")+IMPORTRANGE(""https://docs.google.com/spreadsheets/d/1K0Aa9s-6EuHE5M0FG1F9aHLXRCOV917xvycTdLdct0w/edit?usp=share_link"",""พะเยา!I671"")+IMPORTRANGE(""https://docs.google.com/spreadsheets/d/1Y"&amp;"9LPKx95PyL5OKy09d-KbKJSuuEZCFdkhYjwC0XQjBA/edit?usp=share_link"",""พิจิตร!I671"")+IMPORTRANGE(""https://docs.google.com/spreadsheets/d/16OMuOwy2eVqZcYWOouQtTpa8X1L23h4660uVHc0C8os/edit?usp=share_link"",""พิษณุโลก!I671"")+IMPORTRANGE(""https://docs.google."&amp;"com/spreadsheets/d/1GfgTldLG6k77HXaMQzaafODklYuucJZQNs_GAPEfZyY/edit?usp=share_link"",""เพชรบูรณ์!I671"")+IMPORTRANGE(""https://docs.google.com/spreadsheets/d/1gvTMYAnm7v1yG1BKWFtr0DnaTsq59oW9dwWvFgq6hs0/edit?usp=share_link"",""แพร่!I671"")+IMPORTRANGE("""&amp;"https://docs.google.com/spreadsheets/d/1Wbcosgy-Xa1xXUArJSOenub6EfZHUSzc_bpJFWwQUf0/edit?usp=share_link"",""แม่ฮ่องสอน!I671"")+IMPORTRANGE(""https://docs.google.com/spreadsheets/d/1p7ERhsr0qZeSn-KSOdeHS9r0heI-lHtkcn2OH7hP0jQ/edit?usp=share_link"",""ลำปาง!"&amp;"I671"")+IMPORTRANGE(""https://docs.google.com/spreadsheets/d/1-uUXvimVhiU2U0bMN-xi2te0tS4X7DI2GLPnMjzl8cA/edit?usp=share_link"",""ลำพูน!I671"")+IMPORTRANGE(""https://docs.google.com/spreadsheets/d/17HrOaa5pBUI1onckFfumXB8xlg35qb2uBAFfF1D-Myo/edit?usp=shar"&amp;"e_link"",""สุโขทัย!I671"")+IMPORTRANGE(""https://docs.google.com/spreadsheets/d/1ubs5cl16eYL9gHbdHTJtmtYb9MGzHBs7CAphn8kNCgM/edit?usp=share_link"",""อุตรดิตถ์!I671"")+IMPORTRANGE(""https://docs.google.com/spreadsheets/d/1kII0BjS6CtVrBvI8IrytgPdxDrlyQDyigz"&amp;"MsohRtDMs/edit?usp=share_link"",""อุทัยธานี!I671"")
"),46)</f>
        <v>46</v>
      </c>
      <c r="J671" s="183">
        <f ca="1">IFERROR(__xludf.DUMMYFUNCTION("IMPORTRANGE(""https://docs.google.com/spreadsheets/d/1KxicF4apzSqm0-jIpmueT4kyZtE-Cwn5zskl7GD4loQ/edit?usp=share_link"",""กำแพงเพชร!J671"")+IMPORTRANGE(""https://docs.google.com/spreadsheets/d/1ZNYWeiFoFA1K1U4xKWqRX29MBvEyRHXORjo734Gnq_c/edit?usp=share_li"&amp;"nk"",""เชียงราย!J671"")
+IMPORTRANGE(""https://docs.google.com/spreadsheets/d/1Jgv0Y7YlHDtsiDawwp-uvifEJ8HVaSn0k2aGHG8-hwM/edit?usp=share_link"",""เชียงใหม่!J671"")+IMPORTRANGE(""https://docs.google.com/spreadsheets/d/1JWG2rZePOz9pe-f-ObA-yDr0VoOX2kSb0qIi"&amp;"x2mTUo8/edit?usp=share_link"",""ตาก!J671"")+IMPORTRANGE(""https://docs.google.com/spreadsheets/d/10nSRjK08hx8Y6HgSOQKNw81lyY46Zc7U_Cj72hBMp9U/edit?usp=share_link"",""นครสวรรค์!J671"")+IMPORTRANGE(""https://docs.google.com/spreadsheets/d/1gFVb7qd7amutrIxAA"&amp;"oM7lcy35hllxznovot8lyOfvDo/edit?usp=share_link"",""น่าน!J671"")+IMPORTRANGE(""https://docs.google.com/spreadsheets/d/1K0Aa9s-6EuHE5M0FG1F9aHLXRCOV917xvycTdLdct0w/edit?usp=share_link"",""พะเยา!J671"")+IMPORTRANGE(""https://docs.google.com/spreadsheets/d/1Y"&amp;"9LPKx95PyL5OKy09d-KbKJSuuEZCFdkhYjwC0XQjBA/edit?usp=share_link"",""พิจิตร!J671"")+IMPORTRANGE(""https://docs.google.com/spreadsheets/d/16OMuOwy2eVqZcYWOouQtTpa8X1L23h4660uVHc0C8os/edit?usp=share_link"",""พิษณุโลก!J671"")+IMPORTRANGE(""https://docs.google."&amp;"com/spreadsheets/d/1GfgTldLG6k77HXaMQzaafODklYuucJZQNs_GAPEfZyY/edit?usp=share_link"",""เพชรบูรณ์!J671"")+IMPORTRANGE(""https://docs.google.com/spreadsheets/d/1gvTMYAnm7v1yG1BKWFtr0DnaTsq59oW9dwWvFgq6hs0/edit?usp=share_link"",""แพร่!J671"")+IMPORTRANGE("""&amp;"https://docs.google.com/spreadsheets/d/1Wbcosgy-Xa1xXUArJSOenub6EfZHUSzc_bpJFWwQUf0/edit?usp=share_link"",""แม่ฮ่องสอน!J671"")+IMPORTRANGE(""https://docs.google.com/spreadsheets/d/1p7ERhsr0qZeSn-KSOdeHS9r0heI-lHtkcn2OH7hP0jQ/edit?usp=share_link"",""ลำปาง!"&amp;"J671"")+IMPORTRANGE(""https://docs.google.com/spreadsheets/d/1-uUXvimVhiU2U0bMN-xi2te0tS4X7DI2GLPnMjzl8cA/edit?usp=share_link"",""ลำพูน!J671"")+IMPORTRANGE(""https://docs.google.com/spreadsheets/d/17HrOaa5pBUI1onckFfumXB8xlg35qb2uBAFfF1D-Myo/edit?usp=shar"&amp;"e_link"",""สุโขทัย!J671"")+IMPORTRANGE(""https://docs.google.com/spreadsheets/d/1ubs5cl16eYL9gHbdHTJtmtYb9MGzHBs7CAphn8kNCgM/edit?usp=share_link"",""อุตรดิตถ์!J671"")+IMPORTRANGE(""https://docs.google.com/spreadsheets/d/1kII0BjS6CtVrBvI8IrytgPdxDrlyQDyigz"&amp;"MsohRtDMs/edit?usp=share_link"",""อุทัยธานี!J671"")
"),5)</f>
        <v>5</v>
      </c>
      <c r="K671" s="38">
        <f ca="1">IF(I$671&gt;0,J671*100/I$671,0)</f>
        <v>10.869565217391305</v>
      </c>
      <c r="L671" s="163"/>
      <c r="M671" s="163"/>
      <c r="N671" s="163"/>
      <c r="O671" s="163"/>
      <c r="P671" s="163"/>
      <c r="Q671" s="541"/>
      <c r="R671" s="541"/>
      <c r="S671" s="541"/>
      <c r="T671" s="541"/>
      <c r="U671" s="541"/>
      <c r="V671" s="541"/>
      <c r="W671" s="541"/>
      <c r="X671" s="541"/>
      <c r="Y671" s="541"/>
      <c r="Z671" s="541"/>
    </row>
    <row r="672" spans="1:26" ht="18.75">
      <c r="A672" s="572"/>
      <c r="B672" s="573"/>
      <c r="C672" s="573"/>
      <c r="D672" s="573"/>
      <c r="E672" s="187" t="s">
        <v>283</v>
      </c>
      <c r="F672" s="585"/>
      <c r="G672" s="175"/>
      <c r="H672" s="182" t="s">
        <v>46</v>
      </c>
      <c r="I672" s="37"/>
      <c r="J672" s="183">
        <f ca="1">IFERROR(__xludf.DUMMYFUNCTION("IMPORTRANGE(""https://docs.google.com/spreadsheets/d/1KxicF4apzSqm0-jIpmueT4kyZtE-Cwn5zskl7GD4loQ/edit?usp=share_link"",""กำแพงเพชร!J672"")+IMPORTRANGE(""https://docs.google.com/spreadsheets/d/1ZNYWeiFoFA1K1U4xKWqRX29MBvEyRHXORjo734Gnq_c/edit?usp=share_li"&amp;"nk"",""เชียงราย!J672"")
+IMPORTRANGE(""https://docs.google.com/spreadsheets/d/1Jgv0Y7YlHDtsiDawwp-uvifEJ8HVaSn0k2aGHG8-hwM/edit?usp=share_link"",""เชียงใหม่!J672"")+IMPORTRANGE(""https://docs.google.com/spreadsheets/d/1JWG2rZePOz9pe-f-ObA-yDr0VoOX2kSb0qIi"&amp;"x2mTUo8/edit?usp=share_link"",""ตาก!J672"")+IMPORTRANGE(""https://docs.google.com/spreadsheets/d/10nSRjK08hx8Y6HgSOQKNw81lyY46Zc7U_Cj72hBMp9U/edit?usp=share_link"",""นครสวรรค์!J672"")+IMPORTRANGE(""https://docs.google.com/spreadsheets/d/1gFVb7qd7amutrIxAA"&amp;"oM7lcy35hllxznovot8lyOfvDo/edit?usp=share_link"",""น่าน!J672"")+IMPORTRANGE(""https://docs.google.com/spreadsheets/d/1K0Aa9s-6EuHE5M0FG1F9aHLXRCOV917xvycTdLdct0w/edit?usp=share_link"",""พะเยา!J672"")+IMPORTRANGE(""https://docs.google.com/spreadsheets/d/1Y"&amp;"9LPKx95PyL5OKy09d-KbKJSuuEZCFdkhYjwC0XQjBA/edit?usp=share_link"",""พิจิตร!J672"")+IMPORTRANGE(""https://docs.google.com/spreadsheets/d/16OMuOwy2eVqZcYWOouQtTpa8X1L23h4660uVHc0C8os/edit?usp=share_link"",""พิษณุโลก!J672"")+IMPORTRANGE(""https://docs.google."&amp;"com/spreadsheets/d/1GfgTldLG6k77HXaMQzaafODklYuucJZQNs_GAPEfZyY/edit?usp=share_link"",""เพชรบูรณ์!J672"")+IMPORTRANGE(""https://docs.google.com/spreadsheets/d/1gvTMYAnm7v1yG1BKWFtr0DnaTsq59oW9dwWvFgq6hs0/edit?usp=share_link"",""แพร่!J672"")+IMPORTRANGE("""&amp;"https://docs.google.com/spreadsheets/d/1Wbcosgy-Xa1xXUArJSOenub6EfZHUSzc_bpJFWwQUf0/edit?usp=share_link"",""แม่ฮ่องสอน!J672"")+IMPORTRANGE(""https://docs.google.com/spreadsheets/d/1p7ERhsr0qZeSn-KSOdeHS9r0heI-lHtkcn2OH7hP0jQ/edit?usp=share_link"",""ลำปาง!"&amp;"J672"")+IMPORTRANGE(""https://docs.google.com/spreadsheets/d/1-uUXvimVhiU2U0bMN-xi2te0tS4X7DI2GLPnMjzl8cA/edit?usp=share_link"",""ลำพูน!J672"")+IMPORTRANGE(""https://docs.google.com/spreadsheets/d/17HrOaa5pBUI1onckFfumXB8xlg35qb2uBAFfF1D-Myo/edit?usp=shar"&amp;"e_link"",""สุโขทัย!J672"")+IMPORTRANGE(""https://docs.google.com/spreadsheets/d/1ubs5cl16eYL9gHbdHTJtmtYb9MGzHBs7CAphn8kNCgM/edit?usp=share_link"",""อุตรดิตถ์!J672"")+IMPORTRANGE(""https://docs.google.com/spreadsheets/d/1kII0BjS6CtVrBvI8IrytgPdxDrlyQDyigz"&amp;"MsohRtDMs/edit?usp=share_link"",""อุทัยธานี!J672"")
"),0)</f>
        <v>0</v>
      </c>
      <c r="K672" s="38">
        <f t="shared" ref="K672:K675" ca="1" si="321">IF(I$669&gt;0,J672*100/I$669,0)</f>
        <v>0</v>
      </c>
      <c r="L672" s="163"/>
      <c r="M672" s="163"/>
      <c r="N672" s="163"/>
      <c r="O672" s="163"/>
      <c r="P672" s="163"/>
      <c r="Q672" s="541"/>
      <c r="R672" s="541"/>
      <c r="S672" s="541"/>
      <c r="T672" s="541"/>
      <c r="U672" s="541"/>
      <c r="V672" s="541"/>
      <c r="W672" s="541"/>
      <c r="X672" s="541"/>
      <c r="Y672" s="541"/>
      <c r="Z672" s="541"/>
    </row>
    <row r="673" spans="1:26" ht="18.75">
      <c r="A673" s="572"/>
      <c r="B673" s="573"/>
      <c r="C673" s="573"/>
      <c r="D673" s="573"/>
      <c r="E673" s="187" t="s">
        <v>284</v>
      </c>
      <c r="F673" s="585"/>
      <c r="G673" s="175"/>
      <c r="H673" s="182" t="s">
        <v>46</v>
      </c>
      <c r="I673" s="37"/>
      <c r="J673" s="183">
        <f ca="1">IFERROR(__xludf.DUMMYFUNCTION("IMPORTRANGE(""https://docs.google.com/spreadsheets/d/1KxicF4apzSqm0-jIpmueT4kyZtE-Cwn5zskl7GD4loQ/edit?usp=share_link"",""กำแพงเพชร!J673"")+IMPORTRANGE(""https://docs.google.com/spreadsheets/d/1ZNYWeiFoFA1K1U4xKWqRX29MBvEyRHXORjo734Gnq_c/edit?usp=share_li"&amp;"nk"",""เชียงราย!J673"")
+IMPORTRANGE(""https://docs.google.com/spreadsheets/d/1Jgv0Y7YlHDtsiDawwp-uvifEJ8HVaSn0k2aGHG8-hwM/edit?usp=share_link"",""เชียงใหม่!J673"")+IMPORTRANGE(""https://docs.google.com/spreadsheets/d/1JWG2rZePOz9pe-f-ObA-yDr0VoOX2kSb0qIi"&amp;"x2mTUo8/edit?usp=share_link"",""ตาก!J673"")+IMPORTRANGE(""https://docs.google.com/spreadsheets/d/10nSRjK08hx8Y6HgSOQKNw81lyY46Zc7U_Cj72hBMp9U/edit?usp=share_link"",""นครสวรรค์!J673"")+IMPORTRANGE(""https://docs.google.com/spreadsheets/d/1gFVb7qd7amutrIxAA"&amp;"oM7lcy35hllxznovot8lyOfvDo/edit?usp=share_link"",""น่าน!J673"")+IMPORTRANGE(""https://docs.google.com/spreadsheets/d/1K0Aa9s-6EuHE5M0FG1F9aHLXRCOV917xvycTdLdct0w/edit?usp=share_link"",""พะเยา!J673"")+IMPORTRANGE(""https://docs.google.com/spreadsheets/d/1Y"&amp;"9LPKx95PyL5OKy09d-KbKJSuuEZCFdkhYjwC0XQjBA/edit?usp=share_link"",""พิจิตร!J673"")+IMPORTRANGE(""https://docs.google.com/spreadsheets/d/16OMuOwy2eVqZcYWOouQtTpa8X1L23h4660uVHc0C8os/edit?usp=share_link"",""พิษณุโลก!J673"")+IMPORTRANGE(""https://docs.google."&amp;"com/spreadsheets/d/1GfgTldLG6k77HXaMQzaafODklYuucJZQNs_GAPEfZyY/edit?usp=share_link"",""เพชรบูรณ์!J673"")+IMPORTRANGE(""https://docs.google.com/spreadsheets/d/1gvTMYAnm7v1yG1BKWFtr0DnaTsq59oW9dwWvFgq6hs0/edit?usp=share_link"",""แพร่!J673"")+IMPORTRANGE("""&amp;"https://docs.google.com/spreadsheets/d/1Wbcosgy-Xa1xXUArJSOenub6EfZHUSzc_bpJFWwQUf0/edit?usp=share_link"",""แม่ฮ่องสอน!J673"")+IMPORTRANGE(""https://docs.google.com/spreadsheets/d/1p7ERhsr0qZeSn-KSOdeHS9r0heI-lHtkcn2OH7hP0jQ/edit?usp=share_link"",""ลำปาง!"&amp;"J673"")+IMPORTRANGE(""https://docs.google.com/spreadsheets/d/1-uUXvimVhiU2U0bMN-xi2te0tS4X7DI2GLPnMjzl8cA/edit?usp=share_link"",""ลำพูน!J673"")+IMPORTRANGE(""https://docs.google.com/spreadsheets/d/17HrOaa5pBUI1onckFfumXB8xlg35qb2uBAFfF1D-Myo/edit?usp=shar"&amp;"e_link"",""สุโขทัย!J673"")+IMPORTRANGE(""https://docs.google.com/spreadsheets/d/1ubs5cl16eYL9gHbdHTJtmtYb9MGzHBs7CAphn8kNCgM/edit?usp=share_link"",""อุตรดิตถ์!J673"")+IMPORTRANGE(""https://docs.google.com/spreadsheets/d/1kII0BjS6CtVrBvI8IrytgPdxDrlyQDyigz"&amp;"MsohRtDMs/edit?usp=share_link"",""อุทัยธานี!J673"")
"),0)</f>
        <v>0</v>
      </c>
      <c r="K673" s="38">
        <f t="shared" ca="1" si="321"/>
        <v>0</v>
      </c>
      <c r="L673" s="163"/>
      <c r="M673" s="163"/>
      <c r="N673" s="163"/>
      <c r="O673" s="163"/>
      <c r="P673" s="163"/>
      <c r="Q673" s="541"/>
      <c r="R673" s="541"/>
      <c r="S673" s="541"/>
      <c r="T673" s="541"/>
      <c r="U673" s="541"/>
      <c r="V673" s="541"/>
      <c r="W673" s="541"/>
      <c r="X673" s="541"/>
      <c r="Y673" s="541"/>
      <c r="Z673" s="541"/>
    </row>
    <row r="674" spans="1:26" ht="18.75">
      <c r="A674" s="572"/>
      <c r="B674" s="573"/>
      <c r="C674" s="573"/>
      <c r="D674" s="573"/>
      <c r="E674" s="187" t="s">
        <v>285</v>
      </c>
      <c r="F674" s="585"/>
      <c r="G674" s="175"/>
      <c r="H674" s="182" t="s">
        <v>46</v>
      </c>
      <c r="I674" s="37"/>
      <c r="J674" s="183">
        <f ca="1">IFERROR(__xludf.DUMMYFUNCTION("IMPORTRANGE(""https://docs.google.com/spreadsheets/d/1KxicF4apzSqm0-jIpmueT4kyZtE-Cwn5zskl7GD4loQ/edit?usp=share_link"",""กำแพงเพชร!J674"")+IMPORTRANGE(""https://docs.google.com/spreadsheets/d/1ZNYWeiFoFA1K1U4xKWqRX29MBvEyRHXORjo734Gnq_c/edit?usp=share_li"&amp;"nk"",""เชียงราย!J674"")
+IMPORTRANGE(""https://docs.google.com/spreadsheets/d/1Jgv0Y7YlHDtsiDawwp-uvifEJ8HVaSn0k2aGHG8-hwM/edit?usp=share_link"",""เชียงใหม่!J674"")+IMPORTRANGE(""https://docs.google.com/spreadsheets/d/1JWG2rZePOz9pe-f-ObA-yDr0VoOX2kSb0qIi"&amp;"x2mTUo8/edit?usp=share_link"",""ตาก!J674"")+IMPORTRANGE(""https://docs.google.com/spreadsheets/d/10nSRjK08hx8Y6HgSOQKNw81lyY46Zc7U_Cj72hBMp9U/edit?usp=share_link"",""นครสวรรค์!J674"")+IMPORTRANGE(""https://docs.google.com/spreadsheets/d/1gFVb7qd7amutrIxAA"&amp;"oM7lcy35hllxznovot8lyOfvDo/edit?usp=share_link"",""น่าน!J674"")+IMPORTRANGE(""https://docs.google.com/spreadsheets/d/1K0Aa9s-6EuHE5M0FG1F9aHLXRCOV917xvycTdLdct0w/edit?usp=share_link"",""พะเยา!J674"")+IMPORTRANGE(""https://docs.google.com/spreadsheets/d/1Y"&amp;"9LPKx95PyL5OKy09d-KbKJSuuEZCFdkhYjwC0XQjBA/edit?usp=share_link"",""พิจิตร!J674"")+IMPORTRANGE(""https://docs.google.com/spreadsheets/d/16OMuOwy2eVqZcYWOouQtTpa8X1L23h4660uVHc0C8os/edit?usp=share_link"",""พิษณุโลก!J674"")+IMPORTRANGE(""https://docs.google."&amp;"com/spreadsheets/d/1GfgTldLG6k77HXaMQzaafODklYuucJZQNs_GAPEfZyY/edit?usp=share_link"",""เพชรบูรณ์!J674"")+IMPORTRANGE(""https://docs.google.com/spreadsheets/d/1gvTMYAnm7v1yG1BKWFtr0DnaTsq59oW9dwWvFgq6hs0/edit?usp=share_link"",""แพร่!J674"")+IMPORTRANGE("""&amp;"https://docs.google.com/spreadsheets/d/1Wbcosgy-Xa1xXUArJSOenub6EfZHUSzc_bpJFWwQUf0/edit?usp=share_link"",""แม่ฮ่องสอน!J674"")+IMPORTRANGE(""https://docs.google.com/spreadsheets/d/1p7ERhsr0qZeSn-KSOdeHS9r0heI-lHtkcn2OH7hP0jQ/edit?usp=share_link"",""ลำปาง!"&amp;"J674"")+IMPORTRANGE(""https://docs.google.com/spreadsheets/d/1-uUXvimVhiU2U0bMN-xi2te0tS4X7DI2GLPnMjzl8cA/edit?usp=share_link"",""ลำพูน!J674"")+IMPORTRANGE(""https://docs.google.com/spreadsheets/d/17HrOaa5pBUI1onckFfumXB8xlg35qb2uBAFfF1D-Myo/edit?usp=shar"&amp;"e_link"",""สุโขทัย!J674"")+IMPORTRANGE(""https://docs.google.com/spreadsheets/d/1ubs5cl16eYL9gHbdHTJtmtYb9MGzHBs7CAphn8kNCgM/edit?usp=share_link"",""อุตรดิตถ์!J674"")+IMPORTRANGE(""https://docs.google.com/spreadsheets/d/1kII0BjS6CtVrBvI8IrytgPdxDrlyQDyigz"&amp;"MsohRtDMs/edit?usp=share_link"",""อุทัยธานี!J674"")
"),0)</f>
        <v>0</v>
      </c>
      <c r="K674" s="38">
        <f t="shared" ca="1" si="321"/>
        <v>0</v>
      </c>
      <c r="L674" s="163"/>
      <c r="M674" s="163"/>
      <c r="N674" s="163"/>
      <c r="O674" s="163"/>
      <c r="P674" s="163"/>
      <c r="Q674" s="541"/>
      <c r="R674" s="541"/>
      <c r="S674" s="541"/>
      <c r="T674" s="541"/>
      <c r="U674" s="541"/>
      <c r="V674" s="541"/>
      <c r="W674" s="541"/>
      <c r="X674" s="541"/>
      <c r="Y674" s="541"/>
      <c r="Z674" s="541"/>
    </row>
    <row r="675" spans="1:26" ht="19.5">
      <c r="A675" s="572"/>
      <c r="B675" s="573"/>
      <c r="C675" s="573"/>
      <c r="D675" s="573"/>
      <c r="E675" s="187" t="s">
        <v>286</v>
      </c>
      <c r="F675" s="585"/>
      <c r="G675" s="175"/>
      <c r="H675" s="182" t="s">
        <v>46</v>
      </c>
      <c r="I675" s="37"/>
      <c r="J675" s="194">
        <f ca="1">J676+J677</f>
        <v>0</v>
      </c>
      <c r="K675" s="195">
        <f t="shared" ca="1" si="321"/>
        <v>0</v>
      </c>
      <c r="L675" s="163"/>
      <c r="M675" s="163"/>
      <c r="N675" s="163"/>
      <c r="O675" s="163"/>
      <c r="P675" s="163"/>
      <c r="Q675" s="541"/>
      <c r="R675" s="541"/>
      <c r="S675" s="541"/>
      <c r="T675" s="541"/>
      <c r="U675" s="541"/>
      <c r="V675" s="541"/>
      <c r="W675" s="541"/>
      <c r="X675" s="541"/>
      <c r="Y675" s="541"/>
      <c r="Z675" s="541"/>
    </row>
    <row r="676" spans="1:26" ht="18.75">
      <c r="A676" s="572"/>
      <c r="B676" s="573"/>
      <c r="C676" s="573"/>
      <c r="D676" s="573"/>
      <c r="E676" s="585"/>
      <c r="F676" s="187" t="s">
        <v>287</v>
      </c>
      <c r="G676" s="175"/>
      <c r="H676" s="182" t="s">
        <v>46</v>
      </c>
      <c r="I676" s="37"/>
      <c r="J676" s="183">
        <f ca="1">IFERROR(__xludf.DUMMYFUNCTION("IMPORTRANGE(""https://docs.google.com/spreadsheets/d/1KxicF4apzSqm0-jIpmueT4kyZtE-Cwn5zskl7GD4loQ/edit?usp=share_link"",""กำแพงเพชร!J676"")+IMPORTRANGE(""https://docs.google.com/spreadsheets/d/1ZNYWeiFoFA1K1U4xKWqRX29MBvEyRHXORjo734Gnq_c/edit?usp=share_li"&amp;"nk"",""เชียงราย!J676"")
+IMPORTRANGE(""https://docs.google.com/spreadsheets/d/1Jgv0Y7YlHDtsiDawwp-uvifEJ8HVaSn0k2aGHG8-hwM/edit?usp=share_link"",""เชียงใหม่!J676"")+IMPORTRANGE(""https://docs.google.com/spreadsheets/d/1JWG2rZePOz9pe-f-ObA-yDr0VoOX2kSb0qIi"&amp;"x2mTUo8/edit?usp=share_link"",""ตาก!J676"")+IMPORTRANGE(""https://docs.google.com/spreadsheets/d/10nSRjK08hx8Y6HgSOQKNw81lyY46Zc7U_Cj72hBMp9U/edit?usp=share_link"",""นครสวรรค์!J676"")+IMPORTRANGE(""https://docs.google.com/spreadsheets/d/1gFVb7qd7amutrIxAA"&amp;"oM7lcy35hllxznovot8lyOfvDo/edit?usp=share_link"",""น่าน!J676"")+IMPORTRANGE(""https://docs.google.com/spreadsheets/d/1K0Aa9s-6EuHE5M0FG1F9aHLXRCOV917xvycTdLdct0w/edit?usp=share_link"",""พะเยา!J676"")+IMPORTRANGE(""https://docs.google.com/spreadsheets/d/1Y"&amp;"9LPKx95PyL5OKy09d-KbKJSuuEZCFdkhYjwC0XQjBA/edit?usp=share_link"",""พิจิตร!J676"")+IMPORTRANGE(""https://docs.google.com/spreadsheets/d/16OMuOwy2eVqZcYWOouQtTpa8X1L23h4660uVHc0C8os/edit?usp=share_link"",""พิษณุโลก!J676"")+IMPORTRANGE(""https://docs.google."&amp;"com/spreadsheets/d/1GfgTldLG6k77HXaMQzaafODklYuucJZQNs_GAPEfZyY/edit?usp=share_link"",""เพชรบูรณ์!J676"")+IMPORTRANGE(""https://docs.google.com/spreadsheets/d/1gvTMYAnm7v1yG1BKWFtr0DnaTsq59oW9dwWvFgq6hs0/edit?usp=share_link"",""แพร่!J676"")+IMPORTRANGE("""&amp;"https://docs.google.com/spreadsheets/d/1Wbcosgy-Xa1xXUArJSOenub6EfZHUSzc_bpJFWwQUf0/edit?usp=share_link"",""แม่ฮ่องสอน!J676"")+IMPORTRANGE(""https://docs.google.com/spreadsheets/d/1p7ERhsr0qZeSn-KSOdeHS9r0heI-lHtkcn2OH7hP0jQ/edit?usp=share_link"",""ลำปาง!"&amp;"J676"")+IMPORTRANGE(""https://docs.google.com/spreadsheets/d/1-uUXvimVhiU2U0bMN-xi2te0tS4X7DI2GLPnMjzl8cA/edit?usp=share_link"",""ลำพูน!J676"")+IMPORTRANGE(""https://docs.google.com/spreadsheets/d/17HrOaa5pBUI1onckFfumXB8xlg35qb2uBAFfF1D-Myo/edit?usp=shar"&amp;"e_link"",""สุโขทัย!J676"")+IMPORTRANGE(""https://docs.google.com/spreadsheets/d/1ubs5cl16eYL9gHbdHTJtmtYb9MGzHBs7CAphn8kNCgM/edit?usp=share_link"",""อุตรดิตถ์!J676"")+IMPORTRANGE(""https://docs.google.com/spreadsheets/d/1kII0BjS6CtVrBvI8IrytgPdxDrlyQDyigz"&amp;"MsohRtDMs/edit?usp=share_link"",""อุทัยธานี!J676"")
"),0)</f>
        <v>0</v>
      </c>
      <c r="K676" s="38"/>
      <c r="L676" s="163"/>
      <c r="M676" s="163"/>
      <c r="N676" s="163"/>
      <c r="O676" s="163"/>
      <c r="P676" s="163"/>
      <c r="Q676" s="541"/>
      <c r="R676" s="541"/>
      <c r="S676" s="541"/>
      <c r="T676" s="541"/>
      <c r="U676" s="541"/>
      <c r="V676" s="541"/>
      <c r="W676" s="541"/>
      <c r="X676" s="541"/>
      <c r="Y676" s="541"/>
      <c r="Z676" s="541"/>
    </row>
    <row r="677" spans="1:26" ht="18.75">
      <c r="A677" s="572"/>
      <c r="B677" s="573"/>
      <c r="C677" s="573"/>
      <c r="D677" s="573"/>
      <c r="E677" s="585"/>
      <c r="F677" s="187" t="s">
        <v>288</v>
      </c>
      <c r="G677" s="175"/>
      <c r="H677" s="182" t="s">
        <v>46</v>
      </c>
      <c r="I677" s="37"/>
      <c r="J677" s="183">
        <f ca="1">IFERROR(__xludf.DUMMYFUNCTION("IMPORTRANGE(""https://docs.google.com/spreadsheets/d/1KxicF4apzSqm0-jIpmueT4kyZtE-Cwn5zskl7GD4loQ/edit?usp=share_link"",""กำแพงเพชร!J677"")+IMPORTRANGE(""https://docs.google.com/spreadsheets/d/1ZNYWeiFoFA1K1U4xKWqRX29MBvEyRHXORjo734Gnq_c/edit?usp=share_li"&amp;"nk"",""เชียงราย!J677"")
+IMPORTRANGE(""https://docs.google.com/spreadsheets/d/1Jgv0Y7YlHDtsiDawwp-uvifEJ8HVaSn0k2aGHG8-hwM/edit?usp=share_link"",""เชียงใหม่!J677"")+IMPORTRANGE(""https://docs.google.com/spreadsheets/d/1JWG2rZePOz9pe-f-ObA-yDr0VoOX2kSb0qIi"&amp;"x2mTUo8/edit?usp=share_link"",""ตาก!J677"")+IMPORTRANGE(""https://docs.google.com/spreadsheets/d/10nSRjK08hx8Y6HgSOQKNw81lyY46Zc7U_Cj72hBMp9U/edit?usp=share_link"",""นครสวรรค์!J677"")+IMPORTRANGE(""https://docs.google.com/spreadsheets/d/1gFVb7qd7amutrIxAA"&amp;"oM7lcy35hllxznovot8lyOfvDo/edit?usp=share_link"",""น่าน!J677"")+IMPORTRANGE(""https://docs.google.com/spreadsheets/d/1K0Aa9s-6EuHE5M0FG1F9aHLXRCOV917xvycTdLdct0w/edit?usp=share_link"",""พะเยา!J677"")+IMPORTRANGE(""https://docs.google.com/spreadsheets/d/1Y"&amp;"9LPKx95PyL5OKy09d-KbKJSuuEZCFdkhYjwC0XQjBA/edit?usp=share_link"",""พิจิตร!J677"")+IMPORTRANGE(""https://docs.google.com/spreadsheets/d/16OMuOwy2eVqZcYWOouQtTpa8X1L23h4660uVHc0C8os/edit?usp=share_link"",""พิษณุโลก!J677"")+IMPORTRANGE(""https://docs.google."&amp;"com/spreadsheets/d/1GfgTldLG6k77HXaMQzaafODklYuucJZQNs_GAPEfZyY/edit?usp=share_link"",""เพชรบูรณ์!J677"")+IMPORTRANGE(""https://docs.google.com/spreadsheets/d/1gvTMYAnm7v1yG1BKWFtr0DnaTsq59oW9dwWvFgq6hs0/edit?usp=share_link"",""แพร่!J677"")+IMPORTRANGE("""&amp;"https://docs.google.com/spreadsheets/d/1Wbcosgy-Xa1xXUArJSOenub6EfZHUSzc_bpJFWwQUf0/edit?usp=share_link"",""แม่ฮ่องสอน!J677"")+IMPORTRANGE(""https://docs.google.com/spreadsheets/d/1p7ERhsr0qZeSn-KSOdeHS9r0heI-lHtkcn2OH7hP0jQ/edit?usp=share_link"",""ลำปาง!"&amp;"J677"")+IMPORTRANGE(""https://docs.google.com/spreadsheets/d/1-uUXvimVhiU2U0bMN-xi2te0tS4X7DI2GLPnMjzl8cA/edit?usp=share_link"",""ลำพูน!J677"")+IMPORTRANGE(""https://docs.google.com/spreadsheets/d/17HrOaa5pBUI1onckFfumXB8xlg35qb2uBAFfF1D-Myo/edit?usp=shar"&amp;"e_link"",""สุโขทัย!J677"")+IMPORTRANGE(""https://docs.google.com/spreadsheets/d/1ubs5cl16eYL9gHbdHTJtmtYb9MGzHBs7CAphn8kNCgM/edit?usp=share_link"",""อุตรดิตถ์!J677"")+IMPORTRANGE(""https://docs.google.com/spreadsheets/d/1kII0BjS6CtVrBvI8IrytgPdxDrlyQDyigz"&amp;"MsohRtDMs/edit?usp=share_link"",""อุทัยธานี!J677"")
"),0)</f>
        <v>0</v>
      </c>
      <c r="K677" s="38"/>
      <c r="L677" s="163"/>
      <c r="M677" s="163"/>
      <c r="N677" s="163"/>
      <c r="O677" s="163"/>
      <c r="P677" s="163"/>
      <c r="Q677" s="541"/>
      <c r="R677" s="541"/>
      <c r="S677" s="541"/>
      <c r="T677" s="541"/>
      <c r="U677" s="541"/>
      <c r="V677" s="541"/>
      <c r="W677" s="541"/>
      <c r="X677" s="541"/>
      <c r="Y677" s="541"/>
      <c r="Z677" s="541"/>
    </row>
    <row r="678" spans="1:26" ht="19.5">
      <c r="A678" s="572"/>
      <c r="B678" s="573"/>
      <c r="C678" s="573"/>
      <c r="D678" s="584" t="s">
        <v>289</v>
      </c>
      <c r="E678" s="585"/>
      <c r="F678" s="585"/>
      <c r="G678" s="175"/>
      <c r="H678" s="182" t="s">
        <v>46</v>
      </c>
      <c r="I678" s="194">
        <f ca="1">IFERROR(__xludf.DUMMYFUNCTION("IMPORTRANGE(""https://docs.google.com/spreadsheets/d/1KxicF4apzSqm0-jIpmueT4kyZtE-Cwn5zskl7GD4loQ/edit?usp=share_link"",""กำแพงเพชร!I678"")+IMPORTRANGE(""https://docs.google.com/spreadsheets/d/1ZNYWeiFoFA1K1U4xKWqRX29MBvEyRHXORjo734Gnq_c/edit?usp=share_li"&amp;"nk"",""เชียงราย!I678"")
+IMPORTRANGE(""https://docs.google.com/spreadsheets/d/1Jgv0Y7YlHDtsiDawwp-uvifEJ8HVaSn0k2aGHG8-hwM/edit?usp=share_link"",""เชียงใหม่!I678"")+IMPORTRANGE(""https://docs.google.com/spreadsheets/d/1JWG2rZePOz9pe-f-ObA-yDr0VoOX2kSb0qIi"&amp;"x2mTUo8/edit?usp=share_link"",""ตาก!I678"")+IMPORTRANGE(""https://docs.google.com/spreadsheets/d/10nSRjK08hx8Y6HgSOQKNw81lyY46Zc7U_Cj72hBMp9U/edit?usp=share_link"",""นครสวรรค์!I678"")+IMPORTRANGE(""https://docs.google.com/spreadsheets/d/1gFVb7qd7amutrIxAA"&amp;"oM7lcy35hllxznovot8lyOfvDo/edit?usp=share_link"",""น่าน!I678"")+IMPORTRANGE(""https://docs.google.com/spreadsheets/d/1K0Aa9s-6EuHE5M0FG1F9aHLXRCOV917xvycTdLdct0w/edit?usp=share_link"",""พะเยา!I678"")+IMPORTRANGE(""https://docs.google.com/spreadsheets/d/1Y"&amp;"9LPKx95PyL5OKy09d-KbKJSuuEZCFdkhYjwC0XQjBA/edit?usp=share_link"",""พิจิตร!I678"")+IMPORTRANGE(""https://docs.google.com/spreadsheets/d/16OMuOwy2eVqZcYWOouQtTpa8X1L23h4660uVHc0C8os/edit?usp=share_link"",""พิษณุโลก!I678"")+IMPORTRANGE(""https://docs.google."&amp;"com/spreadsheets/d/1GfgTldLG6k77HXaMQzaafODklYuucJZQNs_GAPEfZyY/edit?usp=share_link"",""เพชรบูรณ์!I678"")+IMPORTRANGE(""https://docs.google.com/spreadsheets/d/1gvTMYAnm7v1yG1BKWFtr0DnaTsq59oW9dwWvFgq6hs0/edit?usp=share_link"",""แพร่!I678"")+IMPORTRANGE("""&amp;"https://docs.google.com/spreadsheets/d/1Wbcosgy-Xa1xXUArJSOenub6EfZHUSzc_bpJFWwQUf0/edit?usp=share_link"",""แม่ฮ่องสอน!I678"")+IMPORTRANGE(""https://docs.google.com/spreadsheets/d/1p7ERhsr0qZeSn-KSOdeHS9r0heI-lHtkcn2OH7hP0jQ/edit?usp=share_link"",""ลำปาง!"&amp;"I678"")+IMPORTRANGE(""https://docs.google.com/spreadsheets/d/1-uUXvimVhiU2U0bMN-xi2te0tS4X7DI2GLPnMjzl8cA/edit?usp=share_link"",""ลำพูน!I678"")+IMPORTRANGE(""https://docs.google.com/spreadsheets/d/17HrOaa5pBUI1onckFfumXB8xlg35qb2uBAFfF1D-Myo/edit?usp=shar"&amp;"e_link"",""สุโขทัย!I678"")+IMPORTRANGE(""https://docs.google.com/spreadsheets/d/1ubs5cl16eYL9gHbdHTJtmtYb9MGzHBs7CAphn8kNCgM/edit?usp=share_link"",""อุตรดิตถ์!I678"")+IMPORTRANGE(""https://docs.google.com/spreadsheets/d/1kII0BjS6CtVrBvI8IrytgPdxDrlyQDyigz"&amp;"MsohRtDMs/edit?usp=share_link"",""อุทัยธานี!I678"")
"),0)</f>
        <v>0</v>
      </c>
      <c r="J678" s="194">
        <f ca="1"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41"/>
      <c r="R678" s="541"/>
      <c r="S678" s="541"/>
      <c r="T678" s="541"/>
      <c r="U678" s="541"/>
      <c r="V678" s="541"/>
      <c r="W678" s="541"/>
      <c r="X678" s="541"/>
      <c r="Y678" s="541"/>
      <c r="Z678" s="541"/>
    </row>
    <row r="679" spans="1:26" ht="18.75">
      <c r="A679" s="572"/>
      <c r="B679" s="573"/>
      <c r="C679" s="573"/>
      <c r="D679" s="573"/>
      <c r="E679" s="187" t="s">
        <v>290</v>
      </c>
      <c r="F679" s="585"/>
      <c r="G679" s="175"/>
      <c r="H679" s="182" t="s">
        <v>46</v>
      </c>
      <c r="I679" s="37"/>
      <c r="J679" s="37">
        <f ca="1">J680+J681</f>
        <v>0</v>
      </c>
      <c r="K679" s="38"/>
      <c r="L679" s="163"/>
      <c r="M679" s="163"/>
      <c r="N679" s="163"/>
      <c r="O679" s="163"/>
      <c r="P679" s="163"/>
      <c r="Q679" s="541"/>
      <c r="R679" s="541"/>
      <c r="S679" s="541"/>
      <c r="T679" s="541"/>
      <c r="U679" s="541"/>
      <c r="V679" s="541"/>
      <c r="W679" s="541"/>
      <c r="X679" s="541"/>
      <c r="Y679" s="541"/>
      <c r="Z679" s="541"/>
    </row>
    <row r="680" spans="1:26" ht="18.75">
      <c r="A680" s="572"/>
      <c r="B680" s="573"/>
      <c r="C680" s="573"/>
      <c r="D680" s="573"/>
      <c r="E680" s="585"/>
      <c r="F680" s="187" t="s">
        <v>287</v>
      </c>
      <c r="G680" s="175"/>
      <c r="H680" s="182" t="s">
        <v>46</v>
      </c>
      <c r="I680" s="37"/>
      <c r="J680" s="183">
        <f ca="1">IFERROR(__xludf.DUMMYFUNCTION("IMPORTRANGE(""https://docs.google.com/spreadsheets/d/1KxicF4apzSqm0-jIpmueT4kyZtE-Cwn5zskl7GD4loQ/edit?usp=share_link"",""กำแพงเพชร!J680"")+IMPORTRANGE(""https://docs.google.com/spreadsheets/d/1ZNYWeiFoFA1K1U4xKWqRX29MBvEyRHXORjo734Gnq_c/edit?usp=share_li"&amp;"nk"",""เชียงราย!J680"")
+IMPORTRANGE(""https://docs.google.com/spreadsheets/d/1Jgv0Y7YlHDtsiDawwp-uvifEJ8HVaSn0k2aGHG8-hwM/edit?usp=share_link"",""เชียงใหม่!J680"")+IMPORTRANGE(""https://docs.google.com/spreadsheets/d/1JWG2rZePOz9pe-f-ObA-yDr0VoOX2kSb0qIi"&amp;"x2mTUo8/edit?usp=share_link"",""ตาก!J680"")+IMPORTRANGE(""https://docs.google.com/spreadsheets/d/10nSRjK08hx8Y6HgSOQKNw81lyY46Zc7U_Cj72hBMp9U/edit?usp=share_link"",""นครสวรรค์!J680"")+IMPORTRANGE(""https://docs.google.com/spreadsheets/d/1gFVb7qd7amutrIxAA"&amp;"oM7lcy35hllxznovot8lyOfvDo/edit?usp=share_link"",""น่าน!J680"")+IMPORTRANGE(""https://docs.google.com/spreadsheets/d/1K0Aa9s-6EuHE5M0FG1F9aHLXRCOV917xvycTdLdct0w/edit?usp=share_link"",""พะเยา!J680"")+IMPORTRANGE(""https://docs.google.com/spreadsheets/d/1Y"&amp;"9LPKx95PyL5OKy09d-KbKJSuuEZCFdkhYjwC0XQjBA/edit?usp=share_link"",""พิจิตร!J680"")+IMPORTRANGE(""https://docs.google.com/spreadsheets/d/16OMuOwy2eVqZcYWOouQtTpa8X1L23h4660uVHc0C8os/edit?usp=share_link"",""พิษณุโลก!J680"")+IMPORTRANGE(""https://docs.google."&amp;"com/spreadsheets/d/1GfgTldLG6k77HXaMQzaafODklYuucJZQNs_GAPEfZyY/edit?usp=share_link"",""เพชรบูรณ์!J680"")+IMPORTRANGE(""https://docs.google.com/spreadsheets/d/1gvTMYAnm7v1yG1BKWFtr0DnaTsq59oW9dwWvFgq6hs0/edit?usp=share_link"",""แพร่!J680"")+IMPORTRANGE("""&amp;"https://docs.google.com/spreadsheets/d/1Wbcosgy-Xa1xXUArJSOenub6EfZHUSzc_bpJFWwQUf0/edit?usp=share_link"",""แม่ฮ่องสอน!J680"")+IMPORTRANGE(""https://docs.google.com/spreadsheets/d/1p7ERhsr0qZeSn-KSOdeHS9r0heI-lHtkcn2OH7hP0jQ/edit?usp=share_link"",""ลำปาง!"&amp;"J680"")+IMPORTRANGE(""https://docs.google.com/spreadsheets/d/1-uUXvimVhiU2U0bMN-xi2te0tS4X7DI2GLPnMjzl8cA/edit?usp=share_link"",""ลำพูน!J680"")+IMPORTRANGE(""https://docs.google.com/spreadsheets/d/17HrOaa5pBUI1onckFfumXB8xlg35qb2uBAFfF1D-Myo/edit?usp=shar"&amp;"e_link"",""สุโขทัย!J680"")+IMPORTRANGE(""https://docs.google.com/spreadsheets/d/1ubs5cl16eYL9gHbdHTJtmtYb9MGzHBs7CAphn8kNCgM/edit?usp=share_link"",""อุตรดิตถ์!J680"")+IMPORTRANGE(""https://docs.google.com/spreadsheets/d/1kII0BjS6CtVrBvI8IrytgPdxDrlyQDyigz"&amp;"MsohRtDMs/edit?usp=share_link"",""อุทัยธานี!J680"")
"),0)</f>
        <v>0</v>
      </c>
      <c r="K680" s="38"/>
      <c r="L680" s="163"/>
      <c r="M680" s="163"/>
      <c r="N680" s="163"/>
      <c r="O680" s="163"/>
      <c r="P680" s="163"/>
      <c r="Q680" s="541"/>
      <c r="R680" s="541"/>
      <c r="S680" s="541"/>
      <c r="T680" s="541"/>
      <c r="U680" s="541"/>
      <c r="V680" s="541"/>
      <c r="W680" s="541"/>
      <c r="X680" s="541"/>
      <c r="Y680" s="541"/>
      <c r="Z680" s="541"/>
    </row>
    <row r="681" spans="1:26" ht="18.75">
      <c r="A681" s="572"/>
      <c r="B681" s="573"/>
      <c r="C681" s="573"/>
      <c r="D681" s="573"/>
      <c r="E681" s="585"/>
      <c r="F681" s="187" t="s">
        <v>288</v>
      </c>
      <c r="G681" s="175"/>
      <c r="H681" s="182" t="s">
        <v>46</v>
      </c>
      <c r="I681" s="37"/>
      <c r="J681" s="183">
        <f ca="1">IFERROR(__xludf.DUMMYFUNCTION("IMPORTRANGE(""https://docs.google.com/spreadsheets/d/1KxicF4apzSqm0-jIpmueT4kyZtE-Cwn5zskl7GD4loQ/edit?usp=share_link"",""กำแพงเพชร!J681"")+IMPORTRANGE(""https://docs.google.com/spreadsheets/d/1ZNYWeiFoFA1K1U4xKWqRX29MBvEyRHXORjo734Gnq_c/edit?usp=share_li"&amp;"nk"",""เชียงราย!J681"")
+IMPORTRANGE(""https://docs.google.com/spreadsheets/d/1Jgv0Y7YlHDtsiDawwp-uvifEJ8HVaSn0k2aGHG8-hwM/edit?usp=share_link"",""เชียงใหม่!J681"")+IMPORTRANGE(""https://docs.google.com/spreadsheets/d/1JWG2rZePOz9pe-f-ObA-yDr0VoOX2kSb0qIi"&amp;"x2mTUo8/edit?usp=share_link"",""ตาก!J681"")+IMPORTRANGE(""https://docs.google.com/spreadsheets/d/10nSRjK08hx8Y6HgSOQKNw81lyY46Zc7U_Cj72hBMp9U/edit?usp=share_link"",""นครสวรรค์!J681"")+IMPORTRANGE(""https://docs.google.com/spreadsheets/d/1gFVb7qd7amutrIxAA"&amp;"oM7lcy35hllxznovot8lyOfvDo/edit?usp=share_link"",""น่าน!J681"")+IMPORTRANGE(""https://docs.google.com/spreadsheets/d/1K0Aa9s-6EuHE5M0FG1F9aHLXRCOV917xvycTdLdct0w/edit?usp=share_link"",""พะเยา!J681"")+IMPORTRANGE(""https://docs.google.com/spreadsheets/d/1Y"&amp;"9LPKx95PyL5OKy09d-KbKJSuuEZCFdkhYjwC0XQjBA/edit?usp=share_link"",""พิจิตร!J681"")+IMPORTRANGE(""https://docs.google.com/spreadsheets/d/16OMuOwy2eVqZcYWOouQtTpa8X1L23h4660uVHc0C8os/edit?usp=share_link"",""พิษณุโลก!J681"")+IMPORTRANGE(""https://docs.google."&amp;"com/spreadsheets/d/1GfgTldLG6k77HXaMQzaafODklYuucJZQNs_GAPEfZyY/edit?usp=share_link"",""เพชรบูรณ์!J681"")+IMPORTRANGE(""https://docs.google.com/spreadsheets/d/1gvTMYAnm7v1yG1BKWFtr0DnaTsq59oW9dwWvFgq6hs0/edit?usp=share_link"",""แพร่!J681"")+IMPORTRANGE("""&amp;"https://docs.google.com/spreadsheets/d/1Wbcosgy-Xa1xXUArJSOenub6EfZHUSzc_bpJFWwQUf0/edit?usp=share_link"",""แม่ฮ่องสอน!J681"")+IMPORTRANGE(""https://docs.google.com/spreadsheets/d/1p7ERhsr0qZeSn-KSOdeHS9r0heI-lHtkcn2OH7hP0jQ/edit?usp=share_link"",""ลำปาง!"&amp;"J681"")+IMPORTRANGE(""https://docs.google.com/spreadsheets/d/1-uUXvimVhiU2U0bMN-xi2te0tS4X7DI2GLPnMjzl8cA/edit?usp=share_link"",""ลำพูน!J681"")+IMPORTRANGE(""https://docs.google.com/spreadsheets/d/17HrOaa5pBUI1onckFfumXB8xlg35qb2uBAFfF1D-Myo/edit?usp=shar"&amp;"e_link"",""สุโขทัย!J681"")+IMPORTRANGE(""https://docs.google.com/spreadsheets/d/1ubs5cl16eYL9gHbdHTJtmtYb9MGzHBs7CAphn8kNCgM/edit?usp=share_link"",""อุตรดิตถ์!J681"")+IMPORTRANGE(""https://docs.google.com/spreadsheets/d/1kII0BjS6CtVrBvI8IrytgPdxDrlyQDyigz"&amp;"MsohRtDMs/edit?usp=share_link"",""อุทัยธานี!J681"")
"),0)</f>
        <v>0</v>
      </c>
      <c r="K681" s="38"/>
      <c r="L681" s="163"/>
      <c r="M681" s="163"/>
      <c r="N681" s="163"/>
      <c r="O681" s="163"/>
      <c r="P681" s="163"/>
      <c r="Q681" s="541"/>
      <c r="R681" s="541"/>
      <c r="S681" s="541"/>
      <c r="T681" s="541"/>
      <c r="U681" s="541"/>
      <c r="V681" s="541"/>
      <c r="W681" s="541"/>
      <c r="X681" s="541"/>
      <c r="Y681" s="541"/>
      <c r="Z681" s="541"/>
    </row>
    <row r="682" spans="1:26" ht="18.75">
      <c r="A682" s="572"/>
      <c r="B682" s="573"/>
      <c r="C682" s="573"/>
      <c r="D682" s="573"/>
      <c r="E682" s="187" t="s">
        <v>291</v>
      </c>
      <c r="F682" s="585"/>
      <c r="G682" s="175"/>
      <c r="H682" s="182" t="s">
        <v>46</v>
      </c>
      <c r="I682" s="37"/>
      <c r="J682" s="183">
        <f ca="1">IFERROR(__xludf.DUMMYFUNCTION("IMPORTRANGE(""https://docs.google.com/spreadsheets/d/1KxicF4apzSqm0-jIpmueT4kyZtE-Cwn5zskl7GD4loQ/edit?usp=share_link"",""กำแพงเพชร!J682"")+IMPORTRANGE(""https://docs.google.com/spreadsheets/d/1ZNYWeiFoFA1K1U4xKWqRX29MBvEyRHXORjo734Gnq_c/edit?usp=share_li"&amp;"nk"",""เชียงราย!J682"")
+IMPORTRANGE(""https://docs.google.com/spreadsheets/d/1Jgv0Y7YlHDtsiDawwp-uvifEJ8HVaSn0k2aGHG8-hwM/edit?usp=share_link"",""เชียงใหม่!J682"")+IMPORTRANGE(""https://docs.google.com/spreadsheets/d/1JWG2rZePOz9pe-f-ObA-yDr0VoOX2kSb0qIi"&amp;"x2mTUo8/edit?usp=share_link"",""ตาก!J682"")+IMPORTRANGE(""https://docs.google.com/spreadsheets/d/10nSRjK08hx8Y6HgSOQKNw81lyY46Zc7U_Cj72hBMp9U/edit?usp=share_link"",""นครสวรรค์!J682"")+IMPORTRANGE(""https://docs.google.com/spreadsheets/d/1gFVb7qd7amutrIxAA"&amp;"oM7lcy35hllxznovot8lyOfvDo/edit?usp=share_link"",""น่าน!J682"")+IMPORTRANGE(""https://docs.google.com/spreadsheets/d/1K0Aa9s-6EuHE5M0FG1F9aHLXRCOV917xvycTdLdct0w/edit?usp=share_link"",""พะเยา!J682"")+IMPORTRANGE(""https://docs.google.com/spreadsheets/d/1Y"&amp;"9LPKx95PyL5OKy09d-KbKJSuuEZCFdkhYjwC0XQjBA/edit?usp=share_link"",""พิจิตร!J682"")+IMPORTRANGE(""https://docs.google.com/spreadsheets/d/16OMuOwy2eVqZcYWOouQtTpa8X1L23h4660uVHc0C8os/edit?usp=share_link"",""พิษณุโลก!J682"")+IMPORTRANGE(""https://docs.google."&amp;"com/spreadsheets/d/1GfgTldLG6k77HXaMQzaafODklYuucJZQNs_GAPEfZyY/edit?usp=share_link"",""เพชรบูรณ์!J682"")+IMPORTRANGE(""https://docs.google.com/spreadsheets/d/1gvTMYAnm7v1yG1BKWFtr0DnaTsq59oW9dwWvFgq6hs0/edit?usp=share_link"",""แพร่!J682"")+IMPORTRANGE("""&amp;"https://docs.google.com/spreadsheets/d/1Wbcosgy-Xa1xXUArJSOenub6EfZHUSzc_bpJFWwQUf0/edit?usp=share_link"",""แม่ฮ่องสอน!J682"")+IMPORTRANGE(""https://docs.google.com/spreadsheets/d/1p7ERhsr0qZeSn-KSOdeHS9r0heI-lHtkcn2OH7hP0jQ/edit?usp=share_link"",""ลำปาง!"&amp;"J682"")+IMPORTRANGE(""https://docs.google.com/spreadsheets/d/1-uUXvimVhiU2U0bMN-xi2te0tS4X7DI2GLPnMjzl8cA/edit?usp=share_link"",""ลำพูน!J682"")+IMPORTRANGE(""https://docs.google.com/spreadsheets/d/17HrOaa5pBUI1onckFfumXB8xlg35qb2uBAFfF1D-Myo/edit?usp=shar"&amp;"e_link"",""สุโขทัย!J682"")+IMPORTRANGE(""https://docs.google.com/spreadsheets/d/1ubs5cl16eYL9gHbdHTJtmtYb9MGzHBs7CAphn8kNCgM/edit?usp=share_link"",""อุตรดิตถ์!J682"")+IMPORTRANGE(""https://docs.google.com/spreadsheets/d/1kII0BjS6CtVrBvI8IrytgPdxDrlyQDyigz"&amp;"MsohRtDMs/edit?usp=share_link"",""อุทัยธานี!J682"")
"),0)</f>
        <v>0</v>
      </c>
      <c r="K682" s="38"/>
      <c r="L682" s="163"/>
      <c r="M682" s="163"/>
      <c r="N682" s="163"/>
      <c r="O682" s="163"/>
      <c r="P682" s="163"/>
      <c r="Q682" s="541"/>
      <c r="R682" s="541"/>
      <c r="S682" s="541"/>
      <c r="T682" s="541"/>
      <c r="U682" s="541"/>
      <c r="V682" s="541"/>
      <c r="W682" s="541"/>
      <c r="X682" s="541"/>
      <c r="Y682" s="541"/>
      <c r="Z682" s="541"/>
    </row>
    <row r="683" spans="1:26" ht="18.75">
      <c r="A683" s="572"/>
      <c r="B683" s="573"/>
      <c r="C683" s="573"/>
      <c r="D683" s="573"/>
      <c r="E683" s="585"/>
      <c r="F683" s="187" t="s">
        <v>292</v>
      </c>
      <c r="G683" s="175"/>
      <c r="H683" s="182" t="s">
        <v>46</v>
      </c>
      <c r="I683" s="37"/>
      <c r="J683" s="183">
        <f ca="1">IFERROR(__xludf.DUMMYFUNCTION("IMPORTRANGE(""https://docs.google.com/spreadsheets/d/1KxicF4apzSqm0-jIpmueT4kyZtE-Cwn5zskl7GD4loQ/edit?usp=share_link"",""กำแพงเพชร!J683"")+IMPORTRANGE(""https://docs.google.com/spreadsheets/d/1ZNYWeiFoFA1K1U4xKWqRX29MBvEyRHXORjo734Gnq_c/edit?usp=share_li"&amp;"nk"",""เชียงราย!J683"")
+IMPORTRANGE(""https://docs.google.com/spreadsheets/d/1Jgv0Y7YlHDtsiDawwp-uvifEJ8HVaSn0k2aGHG8-hwM/edit?usp=share_link"",""เชียงใหม่!J683"")+IMPORTRANGE(""https://docs.google.com/spreadsheets/d/1JWG2rZePOz9pe-f-ObA-yDr0VoOX2kSb0qIi"&amp;"x2mTUo8/edit?usp=share_link"",""ตาก!J683"")+IMPORTRANGE(""https://docs.google.com/spreadsheets/d/10nSRjK08hx8Y6HgSOQKNw81lyY46Zc7U_Cj72hBMp9U/edit?usp=share_link"",""นครสวรรค์!J683"")+IMPORTRANGE(""https://docs.google.com/spreadsheets/d/1gFVb7qd7amutrIxAA"&amp;"oM7lcy35hllxznovot8lyOfvDo/edit?usp=share_link"",""น่าน!J683"")+IMPORTRANGE(""https://docs.google.com/spreadsheets/d/1K0Aa9s-6EuHE5M0FG1F9aHLXRCOV917xvycTdLdct0w/edit?usp=share_link"",""พะเยา!J683"")+IMPORTRANGE(""https://docs.google.com/spreadsheets/d/1Y"&amp;"9LPKx95PyL5OKy09d-KbKJSuuEZCFdkhYjwC0XQjBA/edit?usp=share_link"",""พิจิตร!J683"")+IMPORTRANGE(""https://docs.google.com/spreadsheets/d/16OMuOwy2eVqZcYWOouQtTpa8X1L23h4660uVHc0C8os/edit?usp=share_link"",""พิษณุโลก!J683"")+IMPORTRANGE(""https://docs.google."&amp;"com/spreadsheets/d/1GfgTldLG6k77HXaMQzaafODklYuucJZQNs_GAPEfZyY/edit?usp=share_link"",""เพชรบูรณ์!J683"")+IMPORTRANGE(""https://docs.google.com/spreadsheets/d/1gvTMYAnm7v1yG1BKWFtr0DnaTsq59oW9dwWvFgq6hs0/edit?usp=share_link"",""แพร่!J683"")+IMPORTRANGE("""&amp;"https://docs.google.com/spreadsheets/d/1Wbcosgy-Xa1xXUArJSOenub6EfZHUSzc_bpJFWwQUf0/edit?usp=share_link"",""แม่ฮ่องสอน!J683"")+IMPORTRANGE(""https://docs.google.com/spreadsheets/d/1p7ERhsr0qZeSn-KSOdeHS9r0heI-lHtkcn2OH7hP0jQ/edit?usp=share_link"",""ลำปาง!"&amp;"J683"")+IMPORTRANGE(""https://docs.google.com/spreadsheets/d/1-uUXvimVhiU2U0bMN-xi2te0tS4X7DI2GLPnMjzl8cA/edit?usp=share_link"",""ลำพูน!J683"")+IMPORTRANGE(""https://docs.google.com/spreadsheets/d/17HrOaa5pBUI1onckFfumXB8xlg35qb2uBAFfF1D-Myo/edit?usp=shar"&amp;"e_link"",""สุโขทัย!J683"")+IMPORTRANGE(""https://docs.google.com/spreadsheets/d/1ubs5cl16eYL9gHbdHTJtmtYb9MGzHBs7CAphn8kNCgM/edit?usp=share_link"",""อุตรดิตถ์!J683"")+IMPORTRANGE(""https://docs.google.com/spreadsheets/d/1kII0BjS6CtVrBvI8IrytgPdxDrlyQDyigz"&amp;"MsohRtDMs/edit?usp=share_link"",""อุทัยธานี!J683"")
"),0)</f>
        <v>0</v>
      </c>
      <c r="K683" s="38"/>
      <c r="L683" s="163"/>
      <c r="M683" s="163"/>
      <c r="N683" s="163"/>
      <c r="O683" s="163"/>
      <c r="P683" s="163"/>
      <c r="Q683" s="541"/>
      <c r="R683" s="541"/>
      <c r="S683" s="541"/>
      <c r="T683" s="541"/>
      <c r="U683" s="541"/>
      <c r="V683" s="541"/>
      <c r="W683" s="541"/>
      <c r="X683" s="541"/>
      <c r="Y683" s="541"/>
      <c r="Z683" s="541"/>
    </row>
    <row r="684" spans="1:26" ht="19.5">
      <c r="A684" s="717"/>
      <c r="B684" s="718" t="s">
        <v>293</v>
      </c>
      <c r="C684" s="717"/>
      <c r="D684" s="717"/>
      <c r="E684" s="717"/>
      <c r="F684" s="717"/>
      <c r="G684" s="719"/>
      <c r="H684" s="719"/>
      <c r="I684" s="720"/>
      <c r="J684" s="720"/>
      <c r="K684" s="721"/>
      <c r="L684" s="721"/>
      <c r="M684" s="721"/>
      <c r="N684" s="721"/>
      <c r="O684" s="721"/>
      <c r="P684" s="721"/>
      <c r="Q684" s="541"/>
      <c r="R684" s="541"/>
      <c r="S684" s="541"/>
      <c r="T684" s="541"/>
      <c r="U684" s="541"/>
      <c r="V684" s="541"/>
      <c r="W684" s="541"/>
      <c r="X684" s="541"/>
      <c r="Y684" s="541"/>
      <c r="Z684" s="541"/>
    </row>
    <row r="685" spans="1:26" ht="19.5">
      <c r="A685" s="561"/>
      <c r="B685" s="539"/>
      <c r="C685" s="539" t="s">
        <v>16</v>
      </c>
      <c r="D685" s="811" t="s">
        <v>17</v>
      </c>
      <c r="E685" s="805"/>
      <c r="F685" s="805"/>
      <c r="G685" s="189"/>
      <c r="H685" s="562" t="s">
        <v>12</v>
      </c>
      <c r="I685" s="37"/>
      <c r="J685" s="37"/>
      <c r="K685" s="38"/>
      <c r="L685" s="195">
        <f t="shared" ref="L685:N685" ca="1" si="322">L686+L687</f>
        <v>298560</v>
      </c>
      <c r="M685" s="195">
        <f t="shared" si="322"/>
        <v>0</v>
      </c>
      <c r="N685" s="195">
        <f t="shared" ca="1" si="322"/>
        <v>0</v>
      </c>
      <c r="O685" s="195">
        <f t="shared" ref="O685:O688" ca="1" si="323">IF(L685&gt;0,N685*100/L685,0)</f>
        <v>0</v>
      </c>
      <c r="P685" s="195">
        <f t="shared" ref="P685:P688" si="324">IF(M685&gt;0,N685*100/M685,0)</f>
        <v>0</v>
      </c>
      <c r="Q685" s="541"/>
      <c r="R685" s="541"/>
      <c r="S685" s="541"/>
      <c r="T685" s="541"/>
      <c r="U685" s="541"/>
      <c r="V685" s="541"/>
      <c r="W685" s="541"/>
      <c r="X685" s="541"/>
      <c r="Y685" s="541"/>
      <c r="Z685" s="541"/>
    </row>
    <row r="686" spans="1:26" ht="18.75" hidden="1">
      <c r="A686" s="563"/>
      <c r="B686" s="564"/>
      <c r="C686" s="564"/>
      <c r="D686" s="565"/>
      <c r="E686" s="566" t="s">
        <v>184</v>
      </c>
      <c r="F686" s="564"/>
      <c r="G686" s="567"/>
      <c r="H686" s="165" t="s">
        <v>12</v>
      </c>
      <c r="I686" s="44"/>
      <c r="J686" s="44"/>
      <c r="K686" s="45"/>
      <c r="L686" s="45">
        <f t="shared" ref="L686:N686" si="325">L689+L696</f>
        <v>0</v>
      </c>
      <c r="M686" s="45">
        <f t="shared" si="325"/>
        <v>0</v>
      </c>
      <c r="N686" s="45">
        <f t="shared" si="325"/>
        <v>0</v>
      </c>
      <c r="O686" s="45">
        <f t="shared" si="323"/>
        <v>0</v>
      </c>
      <c r="P686" s="45">
        <f t="shared" si="324"/>
        <v>0</v>
      </c>
      <c r="Q686" s="568"/>
      <c r="R686" s="568"/>
      <c r="S686" s="568"/>
      <c r="T686" s="568"/>
      <c r="U686" s="568"/>
      <c r="V686" s="568"/>
      <c r="W686" s="568"/>
      <c r="X686" s="568"/>
      <c r="Y686" s="568"/>
      <c r="Z686" s="568"/>
    </row>
    <row r="687" spans="1:26" ht="18.75" hidden="1">
      <c r="A687" s="563"/>
      <c r="B687" s="569"/>
      <c r="C687" s="564"/>
      <c r="D687" s="565"/>
      <c r="E687" s="566" t="s">
        <v>185</v>
      </c>
      <c r="F687" s="564"/>
      <c r="G687" s="567"/>
      <c r="H687" s="165" t="s">
        <v>12</v>
      </c>
      <c r="I687" s="44"/>
      <c r="J687" s="44"/>
      <c r="K687" s="45"/>
      <c r="L687" s="45">
        <f t="shared" ref="L687:N687" ca="1" si="326">L690+L697</f>
        <v>298560</v>
      </c>
      <c r="M687" s="45">
        <f t="shared" si="326"/>
        <v>0</v>
      </c>
      <c r="N687" s="45">
        <f t="shared" ca="1" si="326"/>
        <v>0</v>
      </c>
      <c r="O687" s="45">
        <f t="shared" ca="1" si="323"/>
        <v>0</v>
      </c>
      <c r="P687" s="45">
        <f t="shared" si="324"/>
        <v>0</v>
      </c>
      <c r="Q687" s="568"/>
      <c r="R687" s="568"/>
      <c r="S687" s="568"/>
      <c r="T687" s="568"/>
      <c r="U687" s="568"/>
      <c r="V687" s="568"/>
      <c r="W687" s="568"/>
      <c r="X687" s="568"/>
      <c r="Y687" s="568"/>
      <c r="Z687" s="568"/>
    </row>
    <row r="688" spans="1:26" ht="18.75">
      <c r="A688" s="561"/>
      <c r="B688" s="538"/>
      <c r="C688" s="539"/>
      <c r="D688" s="570" t="s">
        <v>20</v>
      </c>
      <c r="E688" s="539"/>
      <c r="F688" s="539"/>
      <c r="G688" s="189"/>
      <c r="H688" s="161" t="s">
        <v>12</v>
      </c>
      <c r="I688" s="162"/>
      <c r="J688" s="162"/>
      <c r="K688" s="163"/>
      <c r="L688" s="38">
        <f t="shared" ref="L688:N688" ca="1" si="327">L689+L690</f>
        <v>298560</v>
      </c>
      <c r="M688" s="38">
        <f t="shared" si="327"/>
        <v>0</v>
      </c>
      <c r="N688" s="38">
        <f t="shared" ca="1" si="327"/>
        <v>0</v>
      </c>
      <c r="O688" s="38">
        <f t="shared" ca="1" si="323"/>
        <v>0</v>
      </c>
      <c r="P688" s="38">
        <f t="shared" si="324"/>
        <v>0</v>
      </c>
      <c r="Q688" s="541"/>
      <c r="R688" s="541"/>
      <c r="S688" s="541"/>
      <c r="T688" s="541"/>
      <c r="U688" s="541"/>
      <c r="V688" s="541"/>
      <c r="W688" s="541"/>
      <c r="X688" s="541"/>
      <c r="Y688" s="541"/>
      <c r="Z688" s="541"/>
    </row>
    <row r="689" spans="1:26" ht="18.75" hidden="1">
      <c r="A689" s="563"/>
      <c r="B689" s="569"/>
      <c r="C689" s="564"/>
      <c r="D689" s="565"/>
      <c r="E689" s="566" t="s">
        <v>184</v>
      </c>
      <c r="F689" s="564"/>
      <c r="G689" s="567"/>
      <c r="H689" s="165" t="s">
        <v>12</v>
      </c>
      <c r="I689" s="44"/>
      <c r="J689" s="44"/>
      <c r="K689" s="45"/>
      <c r="L689" s="93">
        <v>0</v>
      </c>
      <c r="M689" s="93">
        <v>0</v>
      </c>
      <c r="N689" s="93">
        <v>0</v>
      </c>
      <c r="O689" s="45"/>
      <c r="P689" s="45"/>
      <c r="Q689" s="568"/>
      <c r="R689" s="568"/>
      <c r="S689" s="568"/>
      <c r="T689" s="568"/>
      <c r="U689" s="568"/>
      <c r="V689" s="568"/>
      <c r="W689" s="568"/>
      <c r="X689" s="568"/>
      <c r="Y689" s="568"/>
      <c r="Z689" s="568"/>
    </row>
    <row r="690" spans="1:26" ht="18.75" hidden="1">
      <c r="A690" s="563"/>
      <c r="B690" s="569"/>
      <c r="C690" s="564"/>
      <c r="D690" s="565"/>
      <c r="E690" s="566" t="s">
        <v>185</v>
      </c>
      <c r="F690" s="564"/>
      <c r="G690" s="567"/>
      <c r="H690" s="165" t="s">
        <v>12</v>
      </c>
      <c r="I690" s="44"/>
      <c r="J690" s="44"/>
      <c r="K690" s="45"/>
      <c r="L690" s="45">
        <f ca="1">IFERROR(__xludf.DUMMYFUNCTION("IMPORTRANGE(""https://docs.google.com/spreadsheets/d/1KxicF4apzSqm0-jIpmueT4kyZtE-Cwn5zskl7GD4loQ/edit?usp=share_link"",""กำแพงเพชร!l690"")+IMPORTRANGE(""https://docs.google.com/spreadsheets/d/1ZNYWeiFoFA1K1U4xKWqRX29MBvEyRHXORjo734Gnq_c/edit?usp=share_li"&amp;"nk"",""เชียงราย!l690"")
+IMPORTRANGE(""https://docs.google.com/spreadsheets/d/1Jgv0Y7YlHDtsiDawwp-uvifEJ8HVaSn0k2aGHG8-hwM/edit?usp=share_link"",""เชียงใหม่!l690"")+IMPORTRANGE(""https://docs.google.com/spreadsheets/d/1JWG2rZePOz9pe-f-ObA-yDr0VoOX2kSb0qIi"&amp;"x2mTUo8/edit?usp=share_link"",""ตาก!l690"")+IMPORTRANGE(""https://docs.google.com/spreadsheets/d/10nSRjK08hx8Y6HgSOQKNw81lyY46Zc7U_Cj72hBMp9U/edit?usp=share_link"",""นครสวรรค์!l690"")+IMPORTRANGE(""https://docs.google.com/spreadsheets/d/1gFVb7qd7amutrIxAA"&amp;"oM7lcy35hllxznovot8lyOfvDo/edit?usp=share_link"",""น่าน!l690"")+IMPORTRANGE(""https://docs.google.com/spreadsheets/d/1K0Aa9s-6EuHE5M0FG1F9aHLXRCOV917xvycTdLdct0w/edit?usp=share_link"",""พะเยา!l690"")+IMPORTRANGE(""https://docs.google.com/spreadsheets/d/1Y"&amp;"9LPKx95PyL5OKy09d-KbKJSuuEZCFdkhYjwC0XQjBA/edit?usp=share_link"",""พิจิตร!l690"")+IMPORTRANGE(""https://docs.google.com/spreadsheets/d/16OMuOwy2eVqZcYWOouQtTpa8X1L23h4660uVHc0C8os/edit?usp=share_link"",""พิษณุโลก!l690"")+IMPORTRANGE(""https://docs.google."&amp;"com/spreadsheets/d/1GfgTldLG6k77HXaMQzaafODklYuucJZQNs_GAPEfZyY/edit?usp=share_link"",""เพชรบูรณ์!l690"")+IMPORTRANGE(""https://docs.google.com/spreadsheets/d/1gvTMYAnm7v1yG1BKWFtr0DnaTsq59oW9dwWvFgq6hs0/edit?usp=share_link"",""แพร่!l690"")+IMPORTRANGE("""&amp;"https://docs.google.com/spreadsheets/d/1Wbcosgy-Xa1xXUArJSOenub6EfZHUSzc_bpJFWwQUf0/edit?usp=share_link"",""แม่ฮ่องสอน!l690"")+IMPORTRANGE(""https://docs.google.com/spreadsheets/d/1p7ERhsr0qZeSn-KSOdeHS9r0heI-lHtkcn2OH7hP0jQ/edit?usp=share_link"",""ลำปาง!"&amp;"l690"")+IMPORTRANGE(""https://docs.google.com/spreadsheets/d/1-uUXvimVhiU2U0bMN-xi2te0tS4X7DI2GLPnMjzl8cA/edit?usp=share_link"",""ลำพูน!l690"")+IMPORTRANGE(""https://docs.google.com/spreadsheets/d/17HrOaa5pBUI1onckFfumXB8xlg35qb2uBAFfF1D-Myo/edit?usp=shar"&amp;"e_link"",""สุโขทัย!l690"")+IMPORTRANGE(""https://docs.google.com/spreadsheets/d/1ubs5cl16eYL9gHbdHTJtmtYb9MGzHBs7CAphn8kNCgM/edit?usp=share_link"",""อุตรดิตถ์!l690"")+IMPORTRANGE(""https://docs.google.com/spreadsheets/d/1kII0BjS6CtVrBvI8IrytgPdxDrlyQDyigz"&amp;"MsohRtDMs/edit?usp=share_link"",""อุทัยธานี!l690"")
"),298560)</f>
        <v>298560</v>
      </c>
      <c r="M690" s="93">
        <v>0</v>
      </c>
      <c r="N690" s="45">
        <f ca="1">N691+N692+N693+N694</f>
        <v>0</v>
      </c>
      <c r="O690" s="45">
        <f ca="1">IF(L690&gt;0,N690*100/L690,0)</f>
        <v>0</v>
      </c>
      <c r="P690" s="45">
        <f>IF(M690&gt;0,N690*100/M690,0)</f>
        <v>0</v>
      </c>
      <c r="Q690" s="568"/>
      <c r="R690" s="568"/>
      <c r="S690" s="568"/>
      <c r="T690" s="568"/>
      <c r="U690" s="568"/>
      <c r="V690" s="568"/>
      <c r="W690" s="568"/>
      <c r="X690" s="568"/>
      <c r="Y690" s="568"/>
      <c r="Z690" s="568"/>
    </row>
    <row r="691" spans="1:26" ht="18.75">
      <c r="A691" s="537"/>
      <c r="B691" s="538"/>
      <c r="C691" s="539"/>
      <c r="D691" s="539"/>
      <c r="E691" s="539"/>
      <c r="F691" s="540" t="s">
        <v>186</v>
      </c>
      <c r="G691" s="189"/>
      <c r="H691" s="161" t="s">
        <v>12</v>
      </c>
      <c r="I691" s="37"/>
      <c r="J691" s="37"/>
      <c r="K691" s="38"/>
      <c r="L691" s="38"/>
      <c r="M691" s="38"/>
      <c r="N691" s="282">
        <f ca="1">IFERROR(__xludf.DUMMYFUNCTION("IMPORTRANGE(""https://docs.google.com/spreadsheets/d/1KxicF4apzSqm0-jIpmueT4kyZtE-Cwn5zskl7GD4loQ/edit?usp=share_link"",""กำแพงเพชร!n691"")+IMPORTRANGE(""https://docs.google.com/spreadsheets/d/1ZNYWeiFoFA1K1U4xKWqRX29MBvEyRHXORjo734Gnq_c/edit?usp=share_li"&amp;"nk"",""เชียงราย!n691"")
+IMPORTRANGE(""https://docs.google.com/spreadsheets/d/1Jgv0Y7YlHDtsiDawwp-uvifEJ8HVaSn0k2aGHG8-hwM/edit?usp=share_link"",""เชียงใหม่!n691"")+IMPORTRANGE(""https://docs.google.com/spreadsheets/d/1JWG2rZePOz9pe-f-ObA-yDr0VoOX2kSb0qIi"&amp;"x2mTUo8/edit?usp=share_link"",""ตาก!n691"")+IMPORTRANGE(""https://docs.google.com/spreadsheets/d/10nSRjK08hx8Y6HgSOQKNw81lyY46Zc7U_Cj72hBMp9U/edit?usp=share_link"",""นครสวรรค์!n691"")+IMPORTRANGE(""https://docs.google.com/spreadsheets/d/1gFVb7qd7amutrIxAA"&amp;"oM7lcy35hllxznovot8lyOfvDo/edit?usp=share_link"",""น่าน!n691"")+IMPORTRANGE(""https://docs.google.com/spreadsheets/d/1K0Aa9s-6EuHE5M0FG1F9aHLXRCOV917xvycTdLdct0w/edit?usp=share_link"",""พะเยา!n691"")+IMPORTRANGE(""https://docs.google.com/spreadsheets/d/1Y"&amp;"9LPKx95PyL5OKy09d-KbKJSuuEZCFdkhYjwC0XQjBA/edit?usp=share_link"",""พิจิตร!n691"")+IMPORTRANGE(""https://docs.google.com/spreadsheets/d/16OMuOwy2eVqZcYWOouQtTpa8X1L23h4660uVHc0C8os/edit?usp=share_link"",""พิษณุโลก!n691"")+IMPORTRANGE(""https://docs.google."&amp;"com/spreadsheets/d/1GfgTldLG6k77HXaMQzaafODklYuucJZQNs_GAPEfZyY/edit?usp=share_link"",""เพชรบูรณ์!n691"")+IMPORTRANGE(""https://docs.google.com/spreadsheets/d/1gvTMYAnm7v1yG1BKWFtr0DnaTsq59oW9dwWvFgq6hs0/edit?usp=share_link"",""แพร่!n691"")+IMPORTRANGE("""&amp;"https://docs.google.com/spreadsheets/d/1Wbcosgy-Xa1xXUArJSOenub6EfZHUSzc_bpJFWwQUf0/edit?usp=share_link"",""แม่ฮ่องสอน!n691"")+IMPORTRANGE(""https://docs.google.com/spreadsheets/d/1p7ERhsr0qZeSn-KSOdeHS9r0heI-lHtkcn2OH7hP0jQ/edit?usp=share_link"",""ลำปาง!"&amp;"n691"")+IMPORTRANGE(""https://docs.google.com/spreadsheets/d/1-uUXvimVhiU2U0bMN-xi2te0tS4X7DI2GLPnMjzl8cA/edit?usp=share_link"",""ลำพูน!n691"")+IMPORTRANGE(""https://docs.google.com/spreadsheets/d/17HrOaa5pBUI1onckFfumXB8xlg35qb2uBAFfF1D-Myo/edit?usp=shar"&amp;"e_link"",""สุโขทัย!n691"")+IMPORTRANGE(""https://docs.google.com/spreadsheets/d/1ubs5cl16eYL9gHbdHTJtmtYb9MGzHBs7CAphn8kNCgM/edit?usp=share_link"",""อุตรดิตถ์!n691"")+IMPORTRANGE(""https://docs.google.com/spreadsheets/d/1kII0BjS6CtVrBvI8IrytgPdxDrlyQDyigz"&amp;"MsohRtDMs/edit?usp=share_link"",""อุทัยธานี!n691"")
"),0)</f>
        <v>0</v>
      </c>
      <c r="O691" s="38"/>
      <c r="P691" s="38"/>
      <c r="Q691" s="541"/>
      <c r="R691" s="541"/>
      <c r="S691" s="541"/>
      <c r="T691" s="541"/>
      <c r="U691" s="541"/>
      <c r="V691" s="541"/>
      <c r="W691" s="541"/>
      <c r="X691" s="541"/>
      <c r="Y691" s="541"/>
      <c r="Z691" s="541"/>
    </row>
    <row r="692" spans="1:26" ht="18.75">
      <c r="A692" s="537"/>
      <c r="B692" s="538"/>
      <c r="C692" s="539"/>
      <c r="D692" s="539"/>
      <c r="E692" s="539"/>
      <c r="F692" s="540" t="s">
        <v>187</v>
      </c>
      <c r="G692" s="189"/>
      <c r="H692" s="161" t="s">
        <v>12</v>
      </c>
      <c r="I692" s="37"/>
      <c r="J692" s="37"/>
      <c r="K692" s="38"/>
      <c r="L692" s="38"/>
      <c r="M692" s="38"/>
      <c r="N692" s="282">
        <f ca="1">IFERROR(__xludf.DUMMYFUNCTION("IMPORTRANGE(""https://docs.google.com/spreadsheets/d/1KxicF4apzSqm0-jIpmueT4kyZtE-Cwn5zskl7GD4loQ/edit?usp=share_link"",""กำแพงเพชร!n692"")+IMPORTRANGE(""https://docs.google.com/spreadsheets/d/1ZNYWeiFoFA1K1U4xKWqRX29MBvEyRHXORjo734Gnq_c/edit?usp=share_li"&amp;"nk"",""เชียงราย!n692"")
+IMPORTRANGE(""https://docs.google.com/spreadsheets/d/1Jgv0Y7YlHDtsiDawwp-uvifEJ8HVaSn0k2aGHG8-hwM/edit?usp=share_link"",""เชียงใหม่!n692"")+IMPORTRANGE(""https://docs.google.com/spreadsheets/d/1JWG2rZePOz9pe-f-ObA-yDr0VoOX2kSb0qIi"&amp;"x2mTUo8/edit?usp=share_link"",""ตาก!n692"")+IMPORTRANGE(""https://docs.google.com/spreadsheets/d/10nSRjK08hx8Y6HgSOQKNw81lyY46Zc7U_Cj72hBMp9U/edit?usp=share_link"",""นครสวรรค์!n692"")+IMPORTRANGE(""https://docs.google.com/spreadsheets/d/1gFVb7qd7amutrIxAA"&amp;"oM7lcy35hllxznovot8lyOfvDo/edit?usp=share_link"",""น่าน!n692"")+IMPORTRANGE(""https://docs.google.com/spreadsheets/d/1K0Aa9s-6EuHE5M0FG1F9aHLXRCOV917xvycTdLdct0w/edit?usp=share_link"",""พะเยา!n692"")+IMPORTRANGE(""https://docs.google.com/spreadsheets/d/1Y"&amp;"9LPKx95PyL5OKy09d-KbKJSuuEZCFdkhYjwC0XQjBA/edit?usp=share_link"",""พิจิตร!n692"")+IMPORTRANGE(""https://docs.google.com/spreadsheets/d/16OMuOwy2eVqZcYWOouQtTpa8X1L23h4660uVHc0C8os/edit?usp=share_link"",""พิษณุโลก!n692"")+IMPORTRANGE(""https://docs.google."&amp;"com/spreadsheets/d/1GfgTldLG6k77HXaMQzaafODklYuucJZQNs_GAPEfZyY/edit?usp=share_link"",""เพชรบูรณ์!n692"")+IMPORTRANGE(""https://docs.google.com/spreadsheets/d/1gvTMYAnm7v1yG1BKWFtr0DnaTsq59oW9dwWvFgq6hs0/edit?usp=share_link"",""แพร่!n692"")+IMPORTRANGE("""&amp;"https://docs.google.com/spreadsheets/d/1Wbcosgy-Xa1xXUArJSOenub6EfZHUSzc_bpJFWwQUf0/edit?usp=share_link"",""แม่ฮ่องสอน!n692"")+IMPORTRANGE(""https://docs.google.com/spreadsheets/d/1p7ERhsr0qZeSn-KSOdeHS9r0heI-lHtkcn2OH7hP0jQ/edit?usp=share_link"",""ลำปาง!"&amp;"n692"")+IMPORTRANGE(""https://docs.google.com/spreadsheets/d/1-uUXvimVhiU2U0bMN-xi2te0tS4X7DI2GLPnMjzl8cA/edit?usp=share_link"",""ลำพูน!n692"")+IMPORTRANGE(""https://docs.google.com/spreadsheets/d/17HrOaa5pBUI1onckFfumXB8xlg35qb2uBAFfF1D-Myo/edit?usp=shar"&amp;"e_link"",""สุโขทัย!n692"")+IMPORTRANGE(""https://docs.google.com/spreadsheets/d/1ubs5cl16eYL9gHbdHTJtmtYb9MGzHBs7CAphn8kNCgM/edit?usp=share_link"",""อุตรดิตถ์!n692"")+IMPORTRANGE(""https://docs.google.com/spreadsheets/d/1kII0BjS6CtVrBvI8IrytgPdxDrlyQDyigz"&amp;"MsohRtDMs/edit?usp=share_link"",""อุทัยธานี!n692"")
"),0)</f>
        <v>0</v>
      </c>
      <c r="O692" s="38"/>
      <c r="P692" s="38"/>
      <c r="Q692" s="541"/>
      <c r="R692" s="541"/>
      <c r="S692" s="541"/>
      <c r="T692" s="541"/>
      <c r="U692" s="541"/>
      <c r="V692" s="541"/>
      <c r="W692" s="541"/>
      <c r="X692" s="541"/>
      <c r="Y692" s="541"/>
      <c r="Z692" s="541"/>
    </row>
    <row r="693" spans="1:26" ht="18.75">
      <c r="A693" s="537"/>
      <c r="B693" s="538"/>
      <c r="C693" s="539"/>
      <c r="D693" s="539"/>
      <c r="E693" s="539"/>
      <c r="F693" s="540" t="s">
        <v>188</v>
      </c>
      <c r="G693" s="189"/>
      <c r="H693" s="161" t="s">
        <v>12</v>
      </c>
      <c r="I693" s="37"/>
      <c r="J693" s="37"/>
      <c r="K693" s="38"/>
      <c r="L693" s="38"/>
      <c r="M693" s="38"/>
      <c r="N693" s="282">
        <f ca="1">IFERROR(__xludf.DUMMYFUNCTION("IMPORTRANGE(""https://docs.google.com/spreadsheets/d/1KxicF4apzSqm0-jIpmueT4kyZtE-Cwn5zskl7GD4loQ/edit?usp=share_link"",""กำแพงเพชร!n693"")+IMPORTRANGE(""https://docs.google.com/spreadsheets/d/1ZNYWeiFoFA1K1U4xKWqRX29MBvEyRHXORjo734Gnq_c/edit?usp=share_li"&amp;"nk"",""เชียงราย!n693"")
+IMPORTRANGE(""https://docs.google.com/spreadsheets/d/1Jgv0Y7YlHDtsiDawwp-uvifEJ8HVaSn0k2aGHG8-hwM/edit?usp=share_link"",""เชียงใหม่!n693"")+IMPORTRANGE(""https://docs.google.com/spreadsheets/d/1JWG2rZePOz9pe-f-ObA-yDr0VoOX2kSb0qIi"&amp;"x2mTUo8/edit?usp=share_link"",""ตาก!n693"")+IMPORTRANGE(""https://docs.google.com/spreadsheets/d/10nSRjK08hx8Y6HgSOQKNw81lyY46Zc7U_Cj72hBMp9U/edit?usp=share_link"",""นครสวรรค์!n693"")+IMPORTRANGE(""https://docs.google.com/spreadsheets/d/1gFVb7qd7amutrIxAA"&amp;"oM7lcy35hllxznovot8lyOfvDo/edit?usp=share_link"",""น่าน!n693"")+IMPORTRANGE(""https://docs.google.com/spreadsheets/d/1K0Aa9s-6EuHE5M0FG1F9aHLXRCOV917xvycTdLdct0w/edit?usp=share_link"",""พะเยา!n693"")+IMPORTRANGE(""https://docs.google.com/spreadsheets/d/1Y"&amp;"9LPKx95PyL5OKy09d-KbKJSuuEZCFdkhYjwC0XQjBA/edit?usp=share_link"",""พิจิตร!n693"")+IMPORTRANGE(""https://docs.google.com/spreadsheets/d/16OMuOwy2eVqZcYWOouQtTpa8X1L23h4660uVHc0C8os/edit?usp=share_link"",""พิษณุโลก!n693"")+IMPORTRANGE(""https://docs.google."&amp;"com/spreadsheets/d/1GfgTldLG6k77HXaMQzaafODklYuucJZQNs_GAPEfZyY/edit?usp=share_link"",""เพชรบูรณ์!n693"")+IMPORTRANGE(""https://docs.google.com/spreadsheets/d/1gvTMYAnm7v1yG1BKWFtr0DnaTsq59oW9dwWvFgq6hs0/edit?usp=share_link"",""แพร่!n693"")+IMPORTRANGE("""&amp;"https://docs.google.com/spreadsheets/d/1Wbcosgy-Xa1xXUArJSOenub6EfZHUSzc_bpJFWwQUf0/edit?usp=share_link"",""แม่ฮ่องสอน!n693"")+IMPORTRANGE(""https://docs.google.com/spreadsheets/d/1p7ERhsr0qZeSn-KSOdeHS9r0heI-lHtkcn2OH7hP0jQ/edit?usp=share_link"",""ลำปาง!"&amp;"n693"")+IMPORTRANGE(""https://docs.google.com/spreadsheets/d/1-uUXvimVhiU2U0bMN-xi2te0tS4X7DI2GLPnMjzl8cA/edit?usp=share_link"",""ลำพูน!n693"")+IMPORTRANGE(""https://docs.google.com/spreadsheets/d/17HrOaa5pBUI1onckFfumXB8xlg35qb2uBAFfF1D-Myo/edit?usp=shar"&amp;"e_link"",""สุโขทัย!n693"")+IMPORTRANGE(""https://docs.google.com/spreadsheets/d/1ubs5cl16eYL9gHbdHTJtmtYb9MGzHBs7CAphn8kNCgM/edit?usp=share_link"",""อุตรดิตถ์!n693"")+IMPORTRANGE(""https://docs.google.com/spreadsheets/d/1kII0BjS6CtVrBvI8IrytgPdxDrlyQDyigz"&amp;"MsohRtDMs/edit?usp=share_link"",""อุทัยธานี!n693"")
"),0)</f>
        <v>0</v>
      </c>
      <c r="O693" s="38"/>
      <c r="P693" s="38"/>
      <c r="Q693" s="541"/>
      <c r="R693" s="541"/>
      <c r="S693" s="541"/>
      <c r="T693" s="541"/>
      <c r="U693" s="541"/>
      <c r="V693" s="541"/>
      <c r="W693" s="541"/>
      <c r="X693" s="541"/>
      <c r="Y693" s="541"/>
      <c r="Z693" s="541"/>
    </row>
    <row r="694" spans="1:26" ht="18.75">
      <c r="A694" s="537"/>
      <c r="B694" s="538"/>
      <c r="C694" s="539"/>
      <c r="D694" s="539"/>
      <c r="E694" s="539"/>
      <c r="F694" s="540" t="s">
        <v>189</v>
      </c>
      <c r="G694" s="189"/>
      <c r="H694" s="161" t="s">
        <v>12</v>
      </c>
      <c r="I694" s="37"/>
      <c r="J694" s="37"/>
      <c r="K694" s="38"/>
      <c r="L694" s="38"/>
      <c r="M694" s="38"/>
      <c r="N694" s="282">
        <f ca="1">IFERROR(__xludf.DUMMYFUNCTION("IMPORTRANGE(""https://docs.google.com/spreadsheets/d/1KxicF4apzSqm0-jIpmueT4kyZtE-Cwn5zskl7GD4loQ/edit?usp=share_link"",""กำแพงเพชร!n694"")+IMPORTRANGE(""https://docs.google.com/spreadsheets/d/1ZNYWeiFoFA1K1U4xKWqRX29MBvEyRHXORjo734Gnq_c/edit?usp=share_li"&amp;"nk"",""เชียงราย!n694"")
+IMPORTRANGE(""https://docs.google.com/spreadsheets/d/1Jgv0Y7YlHDtsiDawwp-uvifEJ8HVaSn0k2aGHG8-hwM/edit?usp=share_link"",""เชียงใหม่!n694"")+IMPORTRANGE(""https://docs.google.com/spreadsheets/d/1JWG2rZePOz9pe-f-ObA-yDr0VoOX2kSb0qIi"&amp;"x2mTUo8/edit?usp=share_link"",""ตาก!n694"")+IMPORTRANGE(""https://docs.google.com/spreadsheets/d/10nSRjK08hx8Y6HgSOQKNw81lyY46Zc7U_Cj72hBMp9U/edit?usp=share_link"",""นครสวรรค์!n694"")+IMPORTRANGE(""https://docs.google.com/spreadsheets/d/1gFVb7qd7amutrIxAA"&amp;"oM7lcy35hllxznovot8lyOfvDo/edit?usp=share_link"",""น่าน!n694"")+IMPORTRANGE(""https://docs.google.com/spreadsheets/d/1K0Aa9s-6EuHE5M0FG1F9aHLXRCOV917xvycTdLdct0w/edit?usp=share_link"",""พะเยา!n694"")+IMPORTRANGE(""https://docs.google.com/spreadsheets/d/1Y"&amp;"9LPKx95PyL5OKy09d-KbKJSuuEZCFdkhYjwC0XQjBA/edit?usp=share_link"",""พิจิตร!n694"")+IMPORTRANGE(""https://docs.google.com/spreadsheets/d/16OMuOwy2eVqZcYWOouQtTpa8X1L23h4660uVHc0C8os/edit?usp=share_link"",""พิษณุโลก!n694"")+IMPORTRANGE(""https://docs.google."&amp;"com/spreadsheets/d/1GfgTldLG6k77HXaMQzaafODklYuucJZQNs_GAPEfZyY/edit?usp=share_link"",""เพชรบูรณ์!n694"")+IMPORTRANGE(""https://docs.google.com/spreadsheets/d/1gvTMYAnm7v1yG1BKWFtr0DnaTsq59oW9dwWvFgq6hs0/edit?usp=share_link"",""แพร่!n694"")+IMPORTRANGE("""&amp;"https://docs.google.com/spreadsheets/d/1Wbcosgy-Xa1xXUArJSOenub6EfZHUSzc_bpJFWwQUf0/edit?usp=share_link"",""แม่ฮ่องสอน!n694"")+IMPORTRANGE(""https://docs.google.com/spreadsheets/d/1p7ERhsr0qZeSn-KSOdeHS9r0heI-lHtkcn2OH7hP0jQ/edit?usp=share_link"",""ลำปาง!"&amp;"n694"")+IMPORTRANGE(""https://docs.google.com/spreadsheets/d/1-uUXvimVhiU2U0bMN-xi2te0tS4X7DI2GLPnMjzl8cA/edit?usp=share_link"",""ลำพูน!n694"")+IMPORTRANGE(""https://docs.google.com/spreadsheets/d/17HrOaa5pBUI1onckFfumXB8xlg35qb2uBAFfF1D-Myo/edit?usp=shar"&amp;"e_link"",""สุโขทัย!n694"")+IMPORTRANGE(""https://docs.google.com/spreadsheets/d/1ubs5cl16eYL9gHbdHTJtmtYb9MGzHBs7CAphn8kNCgM/edit?usp=share_link"",""อุตรดิตถ์!n694"")+IMPORTRANGE(""https://docs.google.com/spreadsheets/d/1kII0BjS6CtVrBvI8IrytgPdxDrlyQDyigz"&amp;"MsohRtDMs/edit?usp=share_link"",""อุทัยธานี!n694"")
"),0)</f>
        <v>0</v>
      </c>
      <c r="O694" s="38"/>
      <c r="P694" s="38"/>
      <c r="Q694" s="541"/>
      <c r="R694" s="541"/>
      <c r="S694" s="541"/>
      <c r="T694" s="541"/>
      <c r="U694" s="541"/>
      <c r="V694" s="541"/>
      <c r="W694" s="541"/>
      <c r="X694" s="541"/>
      <c r="Y694" s="541"/>
      <c r="Z694" s="541"/>
    </row>
    <row r="695" spans="1:26" ht="18.75">
      <c r="A695" s="561"/>
      <c r="B695" s="538"/>
      <c r="C695" s="539"/>
      <c r="D695" s="722" t="s">
        <v>21</v>
      </c>
      <c r="E695" s="539"/>
      <c r="F695" s="539"/>
      <c r="G695" s="189"/>
      <c r="H695" s="168" t="s">
        <v>12</v>
      </c>
      <c r="I695" s="162"/>
      <c r="J695" s="162"/>
      <c r="K695" s="163"/>
      <c r="L695" s="38">
        <f t="shared" ref="L695:N695" si="328">L696+L697</f>
        <v>0</v>
      </c>
      <c r="M695" s="38">
        <f t="shared" si="328"/>
        <v>0</v>
      </c>
      <c r="N695" s="38">
        <f t="shared" si="328"/>
        <v>0</v>
      </c>
      <c r="O695" s="38">
        <f t="shared" ref="O695:O697" si="329">IF(L695&gt;0,N695*100/L695,0)</f>
        <v>0</v>
      </c>
      <c r="P695" s="38">
        <f t="shared" ref="P695:P697" si="330">IF(M695&gt;0,N695*100/M695,0)</f>
        <v>0</v>
      </c>
      <c r="Q695" s="541"/>
      <c r="R695" s="541"/>
      <c r="S695" s="541"/>
      <c r="T695" s="541"/>
      <c r="U695" s="541"/>
      <c r="V695" s="541"/>
      <c r="W695" s="541"/>
      <c r="X695" s="541"/>
      <c r="Y695" s="541"/>
      <c r="Z695" s="541"/>
    </row>
    <row r="696" spans="1:26" ht="18.75" hidden="1">
      <c r="A696" s="563"/>
      <c r="B696" s="569"/>
      <c r="C696" s="564"/>
      <c r="D696" s="564"/>
      <c r="E696" s="723" t="s">
        <v>18</v>
      </c>
      <c r="F696" s="564"/>
      <c r="G696" s="567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45">
        <f t="shared" si="329"/>
        <v>0</v>
      </c>
      <c r="P696" s="45">
        <f t="shared" si="330"/>
        <v>0</v>
      </c>
      <c r="Q696" s="568"/>
      <c r="R696" s="568"/>
      <c r="S696" s="568"/>
      <c r="T696" s="568"/>
      <c r="U696" s="568"/>
      <c r="V696" s="568"/>
      <c r="W696" s="568"/>
      <c r="X696" s="568"/>
      <c r="Y696" s="568"/>
      <c r="Z696" s="568"/>
    </row>
    <row r="697" spans="1:26" ht="18.75" hidden="1">
      <c r="A697" s="563"/>
      <c r="B697" s="569"/>
      <c r="C697" s="564"/>
      <c r="D697" s="564"/>
      <c r="E697" s="723" t="s">
        <v>19</v>
      </c>
      <c r="F697" s="564"/>
      <c r="G697" s="567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45">
        <f t="shared" si="329"/>
        <v>0</v>
      </c>
      <c r="P697" s="45">
        <f t="shared" si="330"/>
        <v>0</v>
      </c>
      <c r="Q697" s="568"/>
      <c r="R697" s="568"/>
      <c r="S697" s="568"/>
      <c r="T697" s="568"/>
      <c r="U697" s="568"/>
      <c r="V697" s="568"/>
      <c r="W697" s="568"/>
      <c r="X697" s="568"/>
      <c r="Y697" s="568"/>
      <c r="Z697" s="568"/>
    </row>
    <row r="698" spans="1:26" ht="19.5">
      <c r="A698" s="572"/>
      <c r="B698" s="573"/>
      <c r="C698" s="539" t="s">
        <v>16</v>
      </c>
      <c r="D698" s="724" t="s">
        <v>38</v>
      </c>
      <c r="E698" s="725"/>
      <c r="F698" s="576"/>
      <c r="G698" s="577"/>
      <c r="H698" s="726"/>
      <c r="I698" s="162"/>
      <c r="J698" s="162"/>
      <c r="K698" s="163"/>
      <c r="L698" s="163"/>
      <c r="M698" s="163"/>
      <c r="N698" s="163"/>
      <c r="O698" s="163"/>
      <c r="P698" s="163"/>
      <c r="Q698" s="541"/>
      <c r="R698" s="541"/>
      <c r="S698" s="541"/>
      <c r="T698" s="541"/>
      <c r="U698" s="541"/>
      <c r="V698" s="541"/>
      <c r="W698" s="541"/>
      <c r="X698" s="541"/>
      <c r="Y698" s="541"/>
      <c r="Z698" s="541"/>
    </row>
    <row r="699" spans="1:26" ht="18.75">
      <c r="A699" s="708"/>
      <c r="B699" s="539"/>
      <c r="C699" s="539"/>
      <c r="D699" s="540" t="s">
        <v>294</v>
      </c>
      <c r="E699" s="727"/>
      <c r="F699" s="539"/>
      <c r="G699" s="189"/>
      <c r="H699" s="728" t="s">
        <v>46</v>
      </c>
      <c r="I699" s="729">
        <f ca="1">IFERROR(__xludf.DUMMYFUNCTION("IMPORTRANGE(""https://docs.google.com/spreadsheets/d/1KxicF4apzSqm0-jIpmueT4kyZtE-Cwn5zskl7GD4loQ/edit?usp=share_link"",""กำแพงเพชร!I699"")+IMPORTRANGE(""https://docs.google.com/spreadsheets/d/1ZNYWeiFoFA1K1U4xKWqRX29MBvEyRHXORjo734Gnq_c/edit?usp=share_li"&amp;"nk"",""เชียงราย!I699"")
+IMPORTRANGE(""https://docs.google.com/spreadsheets/d/1Jgv0Y7YlHDtsiDawwp-uvifEJ8HVaSn0k2aGHG8-hwM/edit?usp=share_link"",""เชียงใหม่!I699"")+IMPORTRANGE(""https://docs.google.com/spreadsheets/d/1JWG2rZePOz9pe-f-ObA-yDr0VoOX2kSb0qIi"&amp;"x2mTUo8/edit?usp=share_link"",""ตาก!I699"")+IMPORTRANGE(""https://docs.google.com/spreadsheets/d/10nSRjK08hx8Y6HgSOQKNw81lyY46Zc7U_Cj72hBMp9U/edit?usp=share_link"",""นครสวรรค์!I699"")+IMPORTRANGE(""https://docs.google.com/spreadsheets/d/1gFVb7qd7amutrIxAA"&amp;"oM7lcy35hllxznovot8lyOfvDo/edit?usp=share_link"",""น่าน!I699"")+IMPORTRANGE(""https://docs.google.com/spreadsheets/d/1K0Aa9s-6EuHE5M0FG1F9aHLXRCOV917xvycTdLdct0w/edit?usp=share_link"",""พะเยา!I699"")+IMPORTRANGE(""https://docs.google.com/spreadsheets/d/1Y"&amp;"9LPKx95PyL5OKy09d-KbKJSuuEZCFdkhYjwC0XQjBA/edit?usp=share_link"",""พิจิตร!I699"")+IMPORTRANGE(""https://docs.google.com/spreadsheets/d/16OMuOwy2eVqZcYWOouQtTpa8X1L23h4660uVHc0C8os/edit?usp=share_link"",""พิษณุโลก!I699"")+IMPORTRANGE(""https://docs.google."&amp;"com/spreadsheets/d/1GfgTldLG6k77HXaMQzaafODklYuucJZQNs_GAPEfZyY/edit?usp=share_link"",""เพชรบูรณ์!I699"")+IMPORTRANGE(""https://docs.google.com/spreadsheets/d/1gvTMYAnm7v1yG1BKWFtr0DnaTsq59oW9dwWvFgq6hs0/edit?usp=share_link"",""แพร่!I699"")+IMPORTRANGE("""&amp;"https://docs.google.com/spreadsheets/d/1Wbcosgy-Xa1xXUArJSOenub6EfZHUSzc_bpJFWwQUf0/edit?usp=share_link"",""แม่ฮ่องสอน!I699"")+IMPORTRANGE(""https://docs.google.com/spreadsheets/d/1p7ERhsr0qZeSn-KSOdeHS9r0heI-lHtkcn2OH7hP0jQ/edit?usp=share_link"",""ลำปาง!"&amp;"I699"")+IMPORTRANGE(""https://docs.google.com/spreadsheets/d/1-uUXvimVhiU2U0bMN-xi2te0tS4X7DI2GLPnMjzl8cA/edit?usp=share_link"",""ลำพูน!I699"")+IMPORTRANGE(""https://docs.google.com/spreadsheets/d/17HrOaa5pBUI1onckFfumXB8xlg35qb2uBAFfF1D-Myo/edit?usp=shar"&amp;"e_link"",""สุโขทัย!I699"")+IMPORTRANGE(""https://docs.google.com/spreadsheets/d/1ubs5cl16eYL9gHbdHTJtmtYb9MGzHBs7CAphn8kNCgM/edit?usp=share_link"",""อุตรดิตถ์!I699"")+IMPORTRANGE(""https://docs.google.com/spreadsheets/d/1kII0BjS6CtVrBvI8IrytgPdxDrlyQDyigz"&amp;"MsohRtDMs/edit?usp=share_link"",""อุทัยธานี!I699"")
"),118)</f>
        <v>118</v>
      </c>
      <c r="J699" s="37">
        <f ca="1">IFERROR(__xludf.DUMMYFUNCTION("IMPORTRANGE(""https://docs.google.com/spreadsheets/d/1KxicF4apzSqm0-jIpmueT4kyZtE-Cwn5zskl7GD4loQ/edit?usp=share_link"",""กำแพงเพชร!J699"")+IMPORTRANGE(""https://docs.google.com/spreadsheets/d/1ZNYWeiFoFA1K1U4xKWqRX29MBvEyRHXORjo734Gnq_c/edit?usp=share_li"&amp;"nk"",""เชียงราย!J699"")
+IMPORTRANGE(""https://docs.google.com/spreadsheets/d/1Jgv0Y7YlHDtsiDawwp-uvifEJ8HVaSn0k2aGHG8-hwM/edit?usp=share_link"",""เชียงใหม่!J699"")+IMPORTRANGE(""https://docs.google.com/spreadsheets/d/1JWG2rZePOz9pe-f-ObA-yDr0VoOX2kSb0qIi"&amp;"x2mTUo8/edit?usp=share_link"",""ตาก!J699"")+IMPORTRANGE(""https://docs.google.com/spreadsheets/d/10nSRjK08hx8Y6HgSOQKNw81lyY46Zc7U_Cj72hBMp9U/edit?usp=share_link"",""นครสวรรค์!J699"")+IMPORTRANGE(""https://docs.google.com/spreadsheets/d/1gFVb7qd7amutrIxAA"&amp;"oM7lcy35hllxznovot8lyOfvDo/edit?usp=share_link"",""น่าน!J699"")+IMPORTRANGE(""https://docs.google.com/spreadsheets/d/1K0Aa9s-6EuHE5M0FG1F9aHLXRCOV917xvycTdLdct0w/edit?usp=share_link"",""พะเยา!J699"")+IMPORTRANGE(""https://docs.google.com/spreadsheets/d/1Y"&amp;"9LPKx95PyL5OKy09d-KbKJSuuEZCFdkhYjwC0XQjBA/edit?usp=share_link"",""พิจิตร!J699"")+IMPORTRANGE(""https://docs.google.com/spreadsheets/d/16OMuOwy2eVqZcYWOouQtTpa8X1L23h4660uVHc0C8os/edit?usp=share_link"",""พิษณุโลก!J699"")+IMPORTRANGE(""https://docs.google."&amp;"com/spreadsheets/d/1GfgTldLG6k77HXaMQzaafODklYuucJZQNs_GAPEfZyY/edit?usp=share_link"",""เพชรบูรณ์!J699"")+IMPORTRANGE(""https://docs.google.com/spreadsheets/d/1gvTMYAnm7v1yG1BKWFtr0DnaTsq59oW9dwWvFgq6hs0/edit?usp=share_link"",""แพร่!J699"")+IMPORTRANGE("""&amp;"https://docs.google.com/spreadsheets/d/1Wbcosgy-Xa1xXUArJSOenub6EfZHUSzc_bpJFWwQUf0/edit?usp=share_link"",""แม่ฮ่องสอน!J699"")+IMPORTRANGE(""https://docs.google.com/spreadsheets/d/1p7ERhsr0qZeSn-KSOdeHS9r0heI-lHtkcn2OH7hP0jQ/edit?usp=share_link"",""ลำปาง!"&amp;"J699"")+IMPORTRANGE(""https://docs.google.com/spreadsheets/d/1-uUXvimVhiU2U0bMN-xi2te0tS4X7DI2GLPnMjzl8cA/edit?usp=share_link"",""ลำพูน!J699"")+IMPORTRANGE(""https://docs.google.com/spreadsheets/d/17HrOaa5pBUI1onckFfumXB8xlg35qb2uBAFfF1D-Myo/edit?usp=shar"&amp;"e_link"",""สุโขทัย!J699"")+IMPORTRANGE(""https://docs.google.com/spreadsheets/d/1ubs5cl16eYL9gHbdHTJtmtYb9MGzHBs7CAphn8kNCgM/edit?usp=share_link"",""อุตรดิตถ์!J699"")+IMPORTRANGE(""https://docs.google.com/spreadsheets/d/1kII0BjS6CtVrBvI8IrytgPdxDrlyQDyigz"&amp;"MsohRtDMs/edit?usp=share_link"",""อุทัยธานี!J699"")
"),0)</f>
        <v>0</v>
      </c>
      <c r="K699" s="38">
        <f t="shared" ref="K699:K701" ca="1" si="331">IF(I699&gt;0,J699*100/I699,0)</f>
        <v>0</v>
      </c>
      <c r="L699" s="38"/>
      <c r="M699" s="189"/>
      <c r="N699" s="730"/>
      <c r="O699" s="38"/>
      <c r="P699" s="38"/>
      <c r="Q699" s="541"/>
      <c r="R699" s="541"/>
      <c r="S699" s="541"/>
      <c r="T699" s="541"/>
      <c r="U699" s="541"/>
      <c r="V699" s="541"/>
      <c r="W699" s="541"/>
      <c r="X699" s="541"/>
      <c r="Y699" s="541"/>
      <c r="Z699" s="541"/>
    </row>
    <row r="700" spans="1:26" ht="18.75">
      <c r="A700" s="708"/>
      <c r="B700" s="539"/>
      <c r="C700" s="539"/>
      <c r="D700" s="540" t="s">
        <v>295</v>
      </c>
      <c r="E700" s="539"/>
      <c r="F700" s="539"/>
      <c r="G700" s="189"/>
      <c r="H700" s="728" t="s">
        <v>35</v>
      </c>
      <c r="I700" s="729">
        <f ca="1">IFERROR(__xludf.DUMMYFUNCTION("IMPORTRANGE(""https://docs.google.com/spreadsheets/d/1KxicF4apzSqm0-jIpmueT4kyZtE-Cwn5zskl7GD4loQ/edit?usp=share_link"",""กำแพงเพชร!I700"")+IMPORTRANGE(""https://docs.google.com/spreadsheets/d/1ZNYWeiFoFA1K1U4xKWqRX29MBvEyRHXORjo734Gnq_c/edit?usp=share_li"&amp;"nk"",""เชียงราย!I700"")
+IMPORTRANGE(""https://docs.google.com/spreadsheets/d/1Jgv0Y7YlHDtsiDawwp-uvifEJ8HVaSn0k2aGHG8-hwM/edit?usp=share_link"",""เชียงใหม่!I700"")+IMPORTRANGE(""https://docs.google.com/spreadsheets/d/1JWG2rZePOz9pe-f-ObA-yDr0VoOX2kSb0qIi"&amp;"x2mTUo8/edit?usp=share_link"",""ตาก!I700"")+IMPORTRANGE(""https://docs.google.com/spreadsheets/d/10nSRjK08hx8Y6HgSOQKNw81lyY46Zc7U_Cj72hBMp9U/edit?usp=share_link"",""นครสวรรค์!I700"")+IMPORTRANGE(""https://docs.google.com/spreadsheets/d/1gFVb7qd7amutrIxAA"&amp;"oM7lcy35hllxznovot8lyOfvDo/edit?usp=share_link"",""น่าน!I700"")+IMPORTRANGE(""https://docs.google.com/spreadsheets/d/1K0Aa9s-6EuHE5M0FG1F9aHLXRCOV917xvycTdLdct0w/edit?usp=share_link"",""พะเยา!I700"")+IMPORTRANGE(""https://docs.google.com/spreadsheets/d/1Y"&amp;"9LPKx95PyL5OKy09d-KbKJSuuEZCFdkhYjwC0XQjBA/edit?usp=share_link"",""พิจิตร!I700"")+IMPORTRANGE(""https://docs.google.com/spreadsheets/d/16OMuOwy2eVqZcYWOouQtTpa8X1L23h4660uVHc0C8os/edit?usp=share_link"",""พิษณุโลก!I700"")+IMPORTRANGE(""https://docs.google."&amp;"com/spreadsheets/d/1GfgTldLG6k77HXaMQzaafODklYuucJZQNs_GAPEfZyY/edit?usp=share_link"",""เพชรบูรณ์!I700"")+IMPORTRANGE(""https://docs.google.com/spreadsheets/d/1gvTMYAnm7v1yG1BKWFtr0DnaTsq59oW9dwWvFgq6hs0/edit?usp=share_link"",""แพร่!I700"")+IMPORTRANGE("""&amp;"https://docs.google.com/spreadsheets/d/1Wbcosgy-Xa1xXUArJSOenub6EfZHUSzc_bpJFWwQUf0/edit?usp=share_link"",""แม่ฮ่องสอน!I700"")+IMPORTRANGE(""https://docs.google.com/spreadsheets/d/1p7ERhsr0qZeSn-KSOdeHS9r0heI-lHtkcn2OH7hP0jQ/edit?usp=share_link"",""ลำปาง!"&amp;"I700"")+IMPORTRANGE(""https://docs.google.com/spreadsheets/d/1-uUXvimVhiU2U0bMN-xi2te0tS4X7DI2GLPnMjzl8cA/edit?usp=share_link"",""ลำพูน!I700"")+IMPORTRANGE(""https://docs.google.com/spreadsheets/d/17HrOaa5pBUI1onckFfumXB8xlg35qb2uBAFfF1D-Myo/edit?usp=shar"&amp;"e_link"",""สุโขทัย!I700"")+IMPORTRANGE(""https://docs.google.com/spreadsheets/d/1ubs5cl16eYL9gHbdHTJtmtYb9MGzHBs7CAphn8kNCgM/edit?usp=share_link"",""อุตรดิตถ์!I700"")+IMPORTRANGE(""https://docs.google.com/spreadsheets/d/1kII0BjS6CtVrBvI8IrytgPdxDrlyQDyigz"&amp;"MsohRtDMs/edit?usp=share_link"",""อุทัยธานี!I700"")
"),187)</f>
        <v>187</v>
      </c>
      <c r="J700" s="37">
        <f ca="1">IFERROR(__xludf.DUMMYFUNCTION("IMPORTRANGE(""https://docs.google.com/spreadsheets/d/1KxicF4apzSqm0-jIpmueT4kyZtE-Cwn5zskl7GD4loQ/edit?usp=share_link"",""กำแพงเพชร!J700"")+IMPORTRANGE(""https://docs.google.com/spreadsheets/d/1ZNYWeiFoFA1K1U4xKWqRX29MBvEyRHXORjo734Gnq_c/edit?usp=share_li"&amp;"nk"",""เชียงราย!J700"")
+IMPORTRANGE(""https://docs.google.com/spreadsheets/d/1Jgv0Y7YlHDtsiDawwp-uvifEJ8HVaSn0k2aGHG8-hwM/edit?usp=share_link"",""เชียงใหม่!J700"")+IMPORTRANGE(""https://docs.google.com/spreadsheets/d/1JWG2rZePOz9pe-f-ObA-yDr0VoOX2kSb0qIi"&amp;"x2mTUo8/edit?usp=share_link"",""ตาก!J700"")+IMPORTRANGE(""https://docs.google.com/spreadsheets/d/10nSRjK08hx8Y6HgSOQKNw81lyY46Zc7U_Cj72hBMp9U/edit?usp=share_link"",""นครสวรรค์!J700"")+IMPORTRANGE(""https://docs.google.com/spreadsheets/d/1gFVb7qd7amutrIxAA"&amp;"oM7lcy35hllxznovot8lyOfvDo/edit?usp=share_link"",""น่าน!J700"")+IMPORTRANGE(""https://docs.google.com/spreadsheets/d/1K0Aa9s-6EuHE5M0FG1F9aHLXRCOV917xvycTdLdct0w/edit?usp=share_link"",""พะเยา!J700"")+IMPORTRANGE(""https://docs.google.com/spreadsheets/d/1Y"&amp;"9LPKx95PyL5OKy09d-KbKJSuuEZCFdkhYjwC0XQjBA/edit?usp=share_link"",""พิจิตร!J700"")+IMPORTRANGE(""https://docs.google.com/spreadsheets/d/16OMuOwy2eVqZcYWOouQtTpa8X1L23h4660uVHc0C8os/edit?usp=share_link"",""พิษณุโลก!J700"")+IMPORTRANGE(""https://docs.google."&amp;"com/spreadsheets/d/1GfgTldLG6k77HXaMQzaafODklYuucJZQNs_GAPEfZyY/edit?usp=share_link"",""เพชรบูรณ์!J700"")+IMPORTRANGE(""https://docs.google.com/spreadsheets/d/1gvTMYAnm7v1yG1BKWFtr0DnaTsq59oW9dwWvFgq6hs0/edit?usp=share_link"",""แพร่!J700"")+IMPORTRANGE("""&amp;"https://docs.google.com/spreadsheets/d/1Wbcosgy-Xa1xXUArJSOenub6EfZHUSzc_bpJFWwQUf0/edit?usp=share_link"",""แม่ฮ่องสอน!J700"")+IMPORTRANGE(""https://docs.google.com/spreadsheets/d/1p7ERhsr0qZeSn-KSOdeHS9r0heI-lHtkcn2OH7hP0jQ/edit?usp=share_link"",""ลำปาง!"&amp;"J700"")+IMPORTRANGE(""https://docs.google.com/spreadsheets/d/1-uUXvimVhiU2U0bMN-xi2te0tS4X7DI2GLPnMjzl8cA/edit?usp=share_link"",""ลำพูน!J700"")+IMPORTRANGE(""https://docs.google.com/spreadsheets/d/17HrOaa5pBUI1onckFfumXB8xlg35qb2uBAFfF1D-Myo/edit?usp=shar"&amp;"e_link"",""สุโขทัย!J700"")+IMPORTRANGE(""https://docs.google.com/spreadsheets/d/1ubs5cl16eYL9gHbdHTJtmtYb9MGzHBs7CAphn8kNCgM/edit?usp=share_link"",""อุตรดิตถ์!J700"")+IMPORTRANGE(""https://docs.google.com/spreadsheets/d/1kII0BjS6CtVrBvI8IrytgPdxDrlyQDyigz"&amp;"MsohRtDMs/edit?usp=share_link"",""อุทัยธานี!J700"")
"),0)</f>
        <v>0</v>
      </c>
      <c r="K700" s="38">
        <f t="shared" ca="1" si="331"/>
        <v>0</v>
      </c>
      <c r="L700" s="38"/>
      <c r="M700" s="189"/>
      <c r="N700" s="730"/>
      <c r="O700" s="38"/>
      <c r="P700" s="38"/>
      <c r="Q700" s="541"/>
      <c r="R700" s="541"/>
      <c r="S700" s="541"/>
      <c r="T700" s="541"/>
      <c r="U700" s="541"/>
      <c r="V700" s="541"/>
      <c r="W700" s="541"/>
      <c r="X700" s="541"/>
      <c r="Y700" s="541"/>
      <c r="Z700" s="541"/>
    </row>
    <row r="701" spans="1:26" ht="19.5">
      <c r="A701" s="708"/>
      <c r="B701" s="539"/>
      <c r="C701" s="539"/>
      <c r="D701" s="540" t="s">
        <v>296</v>
      </c>
      <c r="E701" s="539"/>
      <c r="F701" s="539"/>
      <c r="G701" s="189"/>
      <c r="H701" s="731" t="s">
        <v>46</v>
      </c>
      <c r="I701" s="732">
        <f ca="1">IFERROR(__xludf.DUMMYFUNCTION("IMPORTRANGE(""https://docs.google.com/spreadsheets/d/1KxicF4apzSqm0-jIpmueT4kyZtE-Cwn5zskl7GD4loQ/edit?usp=share_link"",""กำแพงเพชร!I701"")+IMPORTRANGE(""https://docs.google.com/spreadsheets/d/1ZNYWeiFoFA1K1U4xKWqRX29MBvEyRHXORjo734Gnq_c/edit?usp=share_li"&amp;"nk"",""เชียงราย!I701"")
+IMPORTRANGE(""https://docs.google.com/spreadsheets/d/1Jgv0Y7YlHDtsiDawwp-uvifEJ8HVaSn0k2aGHG8-hwM/edit?usp=share_link"",""เชียงใหม่!I701"")+IMPORTRANGE(""https://docs.google.com/spreadsheets/d/1JWG2rZePOz9pe-f-ObA-yDr0VoOX2kSb0qIi"&amp;"x2mTUo8/edit?usp=share_link"",""ตาก!I701"")+IMPORTRANGE(""https://docs.google.com/spreadsheets/d/10nSRjK08hx8Y6HgSOQKNw81lyY46Zc7U_Cj72hBMp9U/edit?usp=share_link"",""นครสวรรค์!I701"")+IMPORTRANGE(""https://docs.google.com/spreadsheets/d/1gFVb7qd7amutrIxAA"&amp;"oM7lcy35hllxznovot8lyOfvDo/edit?usp=share_link"",""น่าน!I701"")+IMPORTRANGE(""https://docs.google.com/spreadsheets/d/1K0Aa9s-6EuHE5M0FG1F9aHLXRCOV917xvycTdLdct0w/edit?usp=share_link"",""พะเยา!I701"")+IMPORTRANGE(""https://docs.google.com/spreadsheets/d/1Y"&amp;"9LPKx95PyL5OKy09d-KbKJSuuEZCFdkhYjwC0XQjBA/edit?usp=share_link"",""พิจิตร!I701"")+IMPORTRANGE(""https://docs.google.com/spreadsheets/d/16OMuOwy2eVqZcYWOouQtTpa8X1L23h4660uVHc0C8os/edit?usp=share_link"",""พิษณุโลก!I701"")+IMPORTRANGE(""https://docs.google."&amp;"com/spreadsheets/d/1GfgTldLG6k77HXaMQzaafODklYuucJZQNs_GAPEfZyY/edit?usp=share_link"",""เพชรบูรณ์!I701"")+IMPORTRANGE(""https://docs.google.com/spreadsheets/d/1gvTMYAnm7v1yG1BKWFtr0DnaTsq59oW9dwWvFgq6hs0/edit?usp=share_link"",""แพร่!I701"")+IMPORTRANGE("""&amp;"https://docs.google.com/spreadsheets/d/1Wbcosgy-Xa1xXUArJSOenub6EfZHUSzc_bpJFWwQUf0/edit?usp=share_link"",""แม่ฮ่องสอน!I701"")+IMPORTRANGE(""https://docs.google.com/spreadsheets/d/1p7ERhsr0qZeSn-KSOdeHS9r0heI-lHtkcn2OH7hP0jQ/edit?usp=share_link"",""ลำปาง!"&amp;"I701"")+IMPORTRANGE(""https://docs.google.com/spreadsheets/d/1-uUXvimVhiU2U0bMN-xi2te0tS4X7DI2GLPnMjzl8cA/edit?usp=share_link"",""ลำพูน!I701"")+IMPORTRANGE(""https://docs.google.com/spreadsheets/d/17HrOaa5pBUI1onckFfumXB8xlg35qb2uBAFfF1D-Myo/edit?usp=shar"&amp;"e_link"",""สุโขทัย!I701"")+IMPORTRANGE(""https://docs.google.com/spreadsheets/d/1ubs5cl16eYL9gHbdHTJtmtYb9MGzHBs7CAphn8kNCgM/edit?usp=share_link"",""อุตรดิตถ์!I701"")+IMPORTRANGE(""https://docs.google.com/spreadsheets/d/1kII0BjS6CtVrBvI8IrytgPdxDrlyQDyigz"&amp;"MsohRtDMs/edit?usp=share_link"",""อุทัยธานี!I701"")
"),2088)</f>
        <v>2088</v>
      </c>
      <c r="J701" s="194">
        <f ca="1">J704+J707</f>
        <v>0</v>
      </c>
      <c r="K701" s="195">
        <f t="shared" ca="1" si="331"/>
        <v>0</v>
      </c>
      <c r="L701" s="38"/>
      <c r="M701" s="189"/>
      <c r="N701" s="730"/>
      <c r="O701" s="38"/>
      <c r="P701" s="38"/>
      <c r="Q701" s="541"/>
      <c r="R701" s="541"/>
      <c r="S701" s="541"/>
      <c r="T701" s="541"/>
      <c r="U701" s="541"/>
      <c r="V701" s="541"/>
      <c r="W701" s="541"/>
      <c r="X701" s="541"/>
      <c r="Y701" s="541"/>
      <c r="Z701" s="541"/>
    </row>
    <row r="702" spans="1:26" ht="18.75">
      <c r="A702" s="708"/>
      <c r="B702" s="539"/>
      <c r="C702" s="539"/>
      <c r="D702" s="539"/>
      <c r="E702" s="540" t="s">
        <v>297</v>
      </c>
      <c r="F702" s="539"/>
      <c r="G702" s="189"/>
      <c r="H702" s="182" t="s">
        <v>35</v>
      </c>
      <c r="I702" s="729"/>
      <c r="J702" s="183">
        <f ca="1">IFERROR(__xludf.DUMMYFUNCTION("IMPORTRANGE(""https://docs.google.com/spreadsheets/d/1KxicF4apzSqm0-jIpmueT4kyZtE-Cwn5zskl7GD4loQ/edit?usp=share_link"",""กำแพงเพชร!J702"")+IMPORTRANGE(""https://docs.google.com/spreadsheets/d/1ZNYWeiFoFA1K1U4xKWqRX29MBvEyRHXORjo734Gnq_c/edit?usp=share_li"&amp;"nk"",""เชียงราย!J702"")
+IMPORTRANGE(""https://docs.google.com/spreadsheets/d/1Jgv0Y7YlHDtsiDawwp-uvifEJ8HVaSn0k2aGHG8-hwM/edit?usp=share_link"",""เชียงใหม่!J702"")+IMPORTRANGE(""https://docs.google.com/spreadsheets/d/1JWG2rZePOz9pe-f-ObA-yDr0VoOX2kSb0qIi"&amp;"x2mTUo8/edit?usp=share_link"",""ตาก!J702"")+IMPORTRANGE(""https://docs.google.com/spreadsheets/d/10nSRjK08hx8Y6HgSOQKNw81lyY46Zc7U_Cj72hBMp9U/edit?usp=share_link"",""นครสวรรค์!J702"")+IMPORTRANGE(""https://docs.google.com/spreadsheets/d/1gFVb7qd7amutrIxAA"&amp;"oM7lcy35hllxznovot8lyOfvDo/edit?usp=share_link"",""น่าน!J702"")+IMPORTRANGE(""https://docs.google.com/spreadsheets/d/1K0Aa9s-6EuHE5M0FG1F9aHLXRCOV917xvycTdLdct0w/edit?usp=share_link"",""พะเยา!J702"")+IMPORTRANGE(""https://docs.google.com/spreadsheets/d/1Y"&amp;"9LPKx95PyL5OKy09d-KbKJSuuEZCFdkhYjwC0XQjBA/edit?usp=share_link"",""พิจิตร!J702"")+IMPORTRANGE(""https://docs.google.com/spreadsheets/d/16OMuOwy2eVqZcYWOouQtTpa8X1L23h4660uVHc0C8os/edit?usp=share_link"",""พิษณุโลก!J702"")+IMPORTRANGE(""https://docs.google."&amp;"com/spreadsheets/d/1GfgTldLG6k77HXaMQzaafODklYuucJZQNs_GAPEfZyY/edit?usp=share_link"",""เพชรบูรณ์!J702"")+IMPORTRANGE(""https://docs.google.com/spreadsheets/d/1gvTMYAnm7v1yG1BKWFtr0DnaTsq59oW9dwWvFgq6hs0/edit?usp=share_link"",""แพร่!J702"")+IMPORTRANGE("""&amp;"https://docs.google.com/spreadsheets/d/1Wbcosgy-Xa1xXUArJSOenub6EfZHUSzc_bpJFWwQUf0/edit?usp=share_link"",""แม่ฮ่องสอน!J702"")+IMPORTRANGE(""https://docs.google.com/spreadsheets/d/1p7ERhsr0qZeSn-KSOdeHS9r0heI-lHtkcn2OH7hP0jQ/edit?usp=share_link"",""ลำปาง!"&amp;"J702"")+IMPORTRANGE(""https://docs.google.com/spreadsheets/d/1-uUXvimVhiU2U0bMN-xi2te0tS4X7DI2GLPnMjzl8cA/edit?usp=share_link"",""ลำพูน!J702"")+IMPORTRANGE(""https://docs.google.com/spreadsheets/d/17HrOaa5pBUI1onckFfumXB8xlg35qb2uBAFfF1D-Myo/edit?usp=shar"&amp;"e_link"",""สุโขทัย!J702"")+IMPORTRANGE(""https://docs.google.com/spreadsheets/d/1ubs5cl16eYL9gHbdHTJtmtYb9MGzHBs7CAphn8kNCgM/edit?usp=share_link"",""อุตรดิตถ์!J702"")+IMPORTRANGE(""https://docs.google.com/spreadsheets/d/1kII0BjS6CtVrBvI8IrytgPdxDrlyQDyigz"&amp;"MsohRtDMs/edit?usp=share_link"",""อุทัยธานี!J702"")
"),0)</f>
        <v>0</v>
      </c>
      <c r="K702" s="38"/>
      <c r="L702" s="38"/>
      <c r="M702" s="189"/>
      <c r="N702" s="730"/>
      <c r="O702" s="38"/>
      <c r="P702" s="38"/>
      <c r="Q702" s="541"/>
      <c r="R702" s="541"/>
      <c r="S702" s="541"/>
      <c r="T702" s="541"/>
      <c r="U702" s="541"/>
      <c r="V702" s="541"/>
      <c r="W702" s="541"/>
      <c r="X702" s="541"/>
      <c r="Y702" s="541"/>
      <c r="Z702" s="541"/>
    </row>
    <row r="703" spans="1:26" ht="18.75">
      <c r="A703" s="708"/>
      <c r="B703" s="539"/>
      <c r="C703" s="539"/>
      <c r="D703" s="539"/>
      <c r="E703" s="539"/>
      <c r="F703" s="539"/>
      <c r="G703" s="189"/>
      <c r="H703" s="182" t="s">
        <v>34</v>
      </c>
      <c r="I703" s="729"/>
      <c r="J703" s="183">
        <f ca="1">IFERROR(__xludf.DUMMYFUNCTION("IMPORTRANGE(""https://docs.google.com/spreadsheets/d/1KxicF4apzSqm0-jIpmueT4kyZtE-Cwn5zskl7GD4loQ/edit?usp=share_link"",""กำแพงเพชร!J703"")+IMPORTRANGE(""https://docs.google.com/spreadsheets/d/1ZNYWeiFoFA1K1U4xKWqRX29MBvEyRHXORjo734Gnq_c/edit?usp=share_li"&amp;"nk"",""เชียงราย!J703"")
+IMPORTRANGE(""https://docs.google.com/spreadsheets/d/1Jgv0Y7YlHDtsiDawwp-uvifEJ8HVaSn0k2aGHG8-hwM/edit?usp=share_link"",""เชียงใหม่!J703"")+IMPORTRANGE(""https://docs.google.com/spreadsheets/d/1JWG2rZePOz9pe-f-ObA-yDr0VoOX2kSb0qIi"&amp;"x2mTUo8/edit?usp=share_link"",""ตาก!J703"")+IMPORTRANGE(""https://docs.google.com/spreadsheets/d/10nSRjK08hx8Y6HgSOQKNw81lyY46Zc7U_Cj72hBMp9U/edit?usp=share_link"",""นครสวรรค์!J703"")+IMPORTRANGE(""https://docs.google.com/spreadsheets/d/1gFVb7qd7amutrIxAA"&amp;"oM7lcy35hllxznovot8lyOfvDo/edit?usp=share_link"",""น่าน!J703"")+IMPORTRANGE(""https://docs.google.com/spreadsheets/d/1K0Aa9s-6EuHE5M0FG1F9aHLXRCOV917xvycTdLdct0w/edit?usp=share_link"",""พะเยา!J703"")+IMPORTRANGE(""https://docs.google.com/spreadsheets/d/1Y"&amp;"9LPKx95PyL5OKy09d-KbKJSuuEZCFdkhYjwC0XQjBA/edit?usp=share_link"",""พิจิตร!J703"")+IMPORTRANGE(""https://docs.google.com/spreadsheets/d/16OMuOwy2eVqZcYWOouQtTpa8X1L23h4660uVHc0C8os/edit?usp=share_link"",""พิษณุโลก!J703"")+IMPORTRANGE(""https://docs.google."&amp;"com/spreadsheets/d/1GfgTldLG6k77HXaMQzaafODklYuucJZQNs_GAPEfZyY/edit?usp=share_link"",""เพชรบูรณ์!J703"")+IMPORTRANGE(""https://docs.google.com/spreadsheets/d/1gvTMYAnm7v1yG1BKWFtr0DnaTsq59oW9dwWvFgq6hs0/edit?usp=share_link"",""แพร่!J703"")+IMPORTRANGE("""&amp;"https://docs.google.com/spreadsheets/d/1Wbcosgy-Xa1xXUArJSOenub6EfZHUSzc_bpJFWwQUf0/edit?usp=share_link"",""แม่ฮ่องสอน!J703"")+IMPORTRANGE(""https://docs.google.com/spreadsheets/d/1p7ERhsr0qZeSn-KSOdeHS9r0heI-lHtkcn2OH7hP0jQ/edit?usp=share_link"",""ลำปาง!"&amp;"J703"")+IMPORTRANGE(""https://docs.google.com/spreadsheets/d/1-uUXvimVhiU2U0bMN-xi2te0tS4X7DI2GLPnMjzl8cA/edit?usp=share_link"",""ลำพูน!J703"")+IMPORTRANGE(""https://docs.google.com/spreadsheets/d/17HrOaa5pBUI1onckFfumXB8xlg35qb2uBAFfF1D-Myo/edit?usp=shar"&amp;"e_link"",""สุโขทัย!J703"")+IMPORTRANGE(""https://docs.google.com/spreadsheets/d/1ubs5cl16eYL9gHbdHTJtmtYb9MGzHBs7CAphn8kNCgM/edit?usp=share_link"",""อุตรดิตถ์!J703"")+IMPORTRANGE(""https://docs.google.com/spreadsheets/d/1kII0BjS6CtVrBvI8IrytgPdxDrlyQDyigz"&amp;"MsohRtDMs/edit?usp=share_link"",""อุทัยธานี!J703"")
"),0)</f>
        <v>0</v>
      </c>
      <c r="K703" s="38"/>
      <c r="L703" s="38"/>
      <c r="M703" s="189"/>
      <c r="N703" s="730"/>
      <c r="O703" s="38"/>
      <c r="P703" s="38"/>
      <c r="Q703" s="541"/>
      <c r="R703" s="541"/>
      <c r="S703" s="541"/>
      <c r="T703" s="541"/>
      <c r="U703" s="541"/>
      <c r="V703" s="541"/>
      <c r="W703" s="541"/>
      <c r="X703" s="541"/>
      <c r="Y703" s="541"/>
      <c r="Z703" s="541"/>
    </row>
    <row r="704" spans="1:26" ht="18.75">
      <c r="A704" s="708"/>
      <c r="B704" s="539"/>
      <c r="C704" s="539"/>
      <c r="D704" s="539"/>
      <c r="E704" s="539"/>
      <c r="F704" s="539"/>
      <c r="G704" s="189"/>
      <c r="H704" s="182" t="s">
        <v>46</v>
      </c>
      <c r="I704" s="729">
        <f ca="1">IFERROR(__xludf.DUMMYFUNCTION("IMPORTRANGE(""https://docs.google.com/spreadsheets/d/1KxicF4apzSqm0-jIpmueT4kyZtE-Cwn5zskl7GD4loQ/edit?usp=share_link"",""กำแพงเพชร!I704"")+IMPORTRANGE(""https://docs.google.com/spreadsheets/d/1ZNYWeiFoFA1K1U4xKWqRX29MBvEyRHXORjo734Gnq_c/edit?usp=share_li"&amp;"nk"",""เชียงราย!I704"")
+IMPORTRANGE(""https://docs.google.com/spreadsheets/d/1Jgv0Y7YlHDtsiDawwp-uvifEJ8HVaSn0k2aGHG8-hwM/edit?usp=share_link"",""เชียงใหม่!I704"")+IMPORTRANGE(""https://docs.google.com/spreadsheets/d/1JWG2rZePOz9pe-f-ObA-yDr0VoOX2kSb0qIi"&amp;"x2mTUo8/edit?usp=share_link"",""ตาก!I704"")+IMPORTRANGE(""https://docs.google.com/spreadsheets/d/10nSRjK08hx8Y6HgSOQKNw81lyY46Zc7U_Cj72hBMp9U/edit?usp=share_link"",""นครสวรรค์!I704"")+IMPORTRANGE(""https://docs.google.com/spreadsheets/d/1gFVb7qd7amutrIxAA"&amp;"oM7lcy35hllxznovot8lyOfvDo/edit?usp=share_link"",""น่าน!I704"")+IMPORTRANGE(""https://docs.google.com/spreadsheets/d/1K0Aa9s-6EuHE5M0FG1F9aHLXRCOV917xvycTdLdct0w/edit?usp=share_link"",""พะเยา!I704"")+IMPORTRANGE(""https://docs.google.com/spreadsheets/d/1Y"&amp;"9LPKx95PyL5OKy09d-KbKJSuuEZCFdkhYjwC0XQjBA/edit?usp=share_link"",""พิจิตร!I704"")+IMPORTRANGE(""https://docs.google.com/spreadsheets/d/16OMuOwy2eVqZcYWOouQtTpa8X1L23h4660uVHc0C8os/edit?usp=share_link"",""พิษณุโลก!I704"")+IMPORTRANGE(""https://docs.google."&amp;"com/spreadsheets/d/1GfgTldLG6k77HXaMQzaafODklYuucJZQNs_GAPEfZyY/edit?usp=share_link"",""เพชรบูรณ์!I704"")+IMPORTRANGE(""https://docs.google.com/spreadsheets/d/1gvTMYAnm7v1yG1BKWFtr0DnaTsq59oW9dwWvFgq6hs0/edit?usp=share_link"",""แพร่!I704"")+IMPORTRANGE("""&amp;"https://docs.google.com/spreadsheets/d/1Wbcosgy-Xa1xXUArJSOenub6EfZHUSzc_bpJFWwQUf0/edit?usp=share_link"",""แม่ฮ่องสอน!I704"")+IMPORTRANGE(""https://docs.google.com/spreadsheets/d/1p7ERhsr0qZeSn-KSOdeHS9r0heI-lHtkcn2OH7hP0jQ/edit?usp=share_link"",""ลำปาง!"&amp;"I704"")+IMPORTRANGE(""https://docs.google.com/spreadsheets/d/1-uUXvimVhiU2U0bMN-xi2te0tS4X7DI2GLPnMjzl8cA/edit?usp=share_link"",""ลำพูน!I704"")+IMPORTRANGE(""https://docs.google.com/spreadsheets/d/17HrOaa5pBUI1onckFfumXB8xlg35qb2uBAFfF1D-Myo/edit?usp=shar"&amp;"e_link"",""สุโขทัย!I704"")+IMPORTRANGE(""https://docs.google.com/spreadsheets/d/1ubs5cl16eYL9gHbdHTJtmtYb9MGzHBs7CAphn8kNCgM/edit?usp=share_link"",""อุตรดิตถ์!I704"")+IMPORTRANGE(""https://docs.google.com/spreadsheets/d/1kII0BjS6CtVrBvI8IrytgPdxDrlyQDyigz"&amp;"MsohRtDMs/edit?usp=share_link"",""อุทัยธานี!I704"")
"),2021)</f>
        <v>2021</v>
      </c>
      <c r="J704" s="183">
        <f ca="1">IFERROR(__xludf.DUMMYFUNCTION("IMPORTRANGE(""https://docs.google.com/spreadsheets/d/1KxicF4apzSqm0-jIpmueT4kyZtE-Cwn5zskl7GD4loQ/edit?usp=share_link"",""กำแพงเพชร!J704"")+IMPORTRANGE(""https://docs.google.com/spreadsheets/d/1ZNYWeiFoFA1K1U4xKWqRX29MBvEyRHXORjo734Gnq_c/edit?usp=share_li"&amp;"nk"",""เชียงราย!J704"")
+IMPORTRANGE(""https://docs.google.com/spreadsheets/d/1Jgv0Y7YlHDtsiDawwp-uvifEJ8HVaSn0k2aGHG8-hwM/edit?usp=share_link"",""เชียงใหม่!J704"")+IMPORTRANGE(""https://docs.google.com/spreadsheets/d/1JWG2rZePOz9pe-f-ObA-yDr0VoOX2kSb0qIi"&amp;"x2mTUo8/edit?usp=share_link"",""ตาก!J704"")+IMPORTRANGE(""https://docs.google.com/spreadsheets/d/10nSRjK08hx8Y6HgSOQKNw81lyY46Zc7U_Cj72hBMp9U/edit?usp=share_link"",""นครสวรรค์!J704"")+IMPORTRANGE(""https://docs.google.com/spreadsheets/d/1gFVb7qd7amutrIxAA"&amp;"oM7lcy35hllxznovot8lyOfvDo/edit?usp=share_link"",""น่าน!J704"")+IMPORTRANGE(""https://docs.google.com/spreadsheets/d/1K0Aa9s-6EuHE5M0FG1F9aHLXRCOV917xvycTdLdct0w/edit?usp=share_link"",""พะเยา!J704"")+IMPORTRANGE(""https://docs.google.com/spreadsheets/d/1Y"&amp;"9LPKx95PyL5OKy09d-KbKJSuuEZCFdkhYjwC0XQjBA/edit?usp=share_link"",""พิจิตร!J704"")+IMPORTRANGE(""https://docs.google.com/spreadsheets/d/16OMuOwy2eVqZcYWOouQtTpa8X1L23h4660uVHc0C8os/edit?usp=share_link"",""พิษณุโลก!J704"")+IMPORTRANGE(""https://docs.google."&amp;"com/spreadsheets/d/1GfgTldLG6k77HXaMQzaafODklYuucJZQNs_GAPEfZyY/edit?usp=share_link"",""เพชรบูรณ์!J704"")+IMPORTRANGE(""https://docs.google.com/spreadsheets/d/1gvTMYAnm7v1yG1BKWFtr0DnaTsq59oW9dwWvFgq6hs0/edit?usp=share_link"",""แพร่!J704"")+IMPORTRANGE("""&amp;"https://docs.google.com/spreadsheets/d/1Wbcosgy-Xa1xXUArJSOenub6EfZHUSzc_bpJFWwQUf0/edit?usp=share_link"",""แม่ฮ่องสอน!J704"")+IMPORTRANGE(""https://docs.google.com/spreadsheets/d/1p7ERhsr0qZeSn-KSOdeHS9r0heI-lHtkcn2OH7hP0jQ/edit?usp=share_link"",""ลำปาง!"&amp;"J704"")+IMPORTRANGE(""https://docs.google.com/spreadsheets/d/1-uUXvimVhiU2U0bMN-xi2te0tS4X7DI2GLPnMjzl8cA/edit?usp=share_link"",""ลำพูน!J704"")+IMPORTRANGE(""https://docs.google.com/spreadsheets/d/17HrOaa5pBUI1onckFfumXB8xlg35qb2uBAFfF1D-Myo/edit?usp=shar"&amp;"e_link"",""สุโขทัย!J704"")+IMPORTRANGE(""https://docs.google.com/spreadsheets/d/1ubs5cl16eYL9gHbdHTJtmtYb9MGzHBs7CAphn8kNCgM/edit?usp=share_link"",""อุตรดิตถ์!J704"")+IMPORTRANGE(""https://docs.google.com/spreadsheets/d/1kII0BjS6CtVrBvI8IrytgPdxDrlyQDyigz"&amp;"MsohRtDMs/edit?usp=share_link"",""อุทัยธานี!J704"")
"),0)</f>
        <v>0</v>
      </c>
      <c r="K704" s="38"/>
      <c r="L704" s="38"/>
      <c r="M704" s="189"/>
      <c r="N704" s="730"/>
      <c r="O704" s="38"/>
      <c r="P704" s="38"/>
      <c r="Q704" s="541"/>
      <c r="R704" s="541"/>
      <c r="S704" s="541"/>
      <c r="T704" s="541"/>
      <c r="U704" s="541"/>
      <c r="V704" s="541"/>
      <c r="W704" s="541"/>
      <c r="X704" s="541"/>
      <c r="Y704" s="541"/>
      <c r="Z704" s="541"/>
    </row>
    <row r="705" spans="1:26" ht="18.75">
      <c r="A705" s="708"/>
      <c r="B705" s="539"/>
      <c r="C705" s="539"/>
      <c r="D705" s="539"/>
      <c r="E705" s="540" t="s">
        <v>298</v>
      </c>
      <c r="F705" s="539"/>
      <c r="G705" s="189"/>
      <c r="H705" s="182" t="s">
        <v>35</v>
      </c>
      <c r="I705" s="729"/>
      <c r="J705" s="183">
        <f ca="1">IFERROR(__xludf.DUMMYFUNCTION("IMPORTRANGE(""https://docs.google.com/spreadsheets/d/1KxicF4apzSqm0-jIpmueT4kyZtE-Cwn5zskl7GD4loQ/edit?usp=share_link"",""กำแพงเพชร!J705"")+IMPORTRANGE(""https://docs.google.com/spreadsheets/d/1ZNYWeiFoFA1K1U4xKWqRX29MBvEyRHXORjo734Gnq_c/edit?usp=share_li"&amp;"nk"",""เชียงราย!J705"")
+IMPORTRANGE(""https://docs.google.com/spreadsheets/d/1Jgv0Y7YlHDtsiDawwp-uvifEJ8HVaSn0k2aGHG8-hwM/edit?usp=share_link"",""เชียงใหม่!J705"")+IMPORTRANGE(""https://docs.google.com/spreadsheets/d/1JWG2rZePOz9pe-f-ObA-yDr0VoOX2kSb0qIi"&amp;"x2mTUo8/edit?usp=share_link"",""ตาก!J705"")+IMPORTRANGE(""https://docs.google.com/spreadsheets/d/10nSRjK08hx8Y6HgSOQKNw81lyY46Zc7U_Cj72hBMp9U/edit?usp=share_link"",""นครสวรรค์!J705"")+IMPORTRANGE(""https://docs.google.com/spreadsheets/d/1gFVb7qd7amutrIxAA"&amp;"oM7lcy35hllxznovot8lyOfvDo/edit?usp=share_link"",""น่าน!J705"")+IMPORTRANGE(""https://docs.google.com/spreadsheets/d/1K0Aa9s-6EuHE5M0FG1F9aHLXRCOV917xvycTdLdct0w/edit?usp=share_link"",""พะเยา!J705"")+IMPORTRANGE(""https://docs.google.com/spreadsheets/d/1Y"&amp;"9LPKx95PyL5OKy09d-KbKJSuuEZCFdkhYjwC0XQjBA/edit?usp=share_link"",""พิจิตร!J705"")+IMPORTRANGE(""https://docs.google.com/spreadsheets/d/16OMuOwy2eVqZcYWOouQtTpa8X1L23h4660uVHc0C8os/edit?usp=share_link"",""พิษณุโลก!J705"")+IMPORTRANGE(""https://docs.google."&amp;"com/spreadsheets/d/1GfgTldLG6k77HXaMQzaafODklYuucJZQNs_GAPEfZyY/edit?usp=share_link"",""เพชรบูรณ์!J705"")+IMPORTRANGE(""https://docs.google.com/spreadsheets/d/1gvTMYAnm7v1yG1BKWFtr0DnaTsq59oW9dwWvFgq6hs0/edit?usp=share_link"",""แพร่!J705"")+IMPORTRANGE("""&amp;"https://docs.google.com/spreadsheets/d/1Wbcosgy-Xa1xXUArJSOenub6EfZHUSzc_bpJFWwQUf0/edit?usp=share_link"",""แม่ฮ่องสอน!J705"")+IMPORTRANGE(""https://docs.google.com/spreadsheets/d/1p7ERhsr0qZeSn-KSOdeHS9r0heI-lHtkcn2OH7hP0jQ/edit?usp=share_link"",""ลำปาง!"&amp;"J705"")+IMPORTRANGE(""https://docs.google.com/spreadsheets/d/1-uUXvimVhiU2U0bMN-xi2te0tS4X7DI2GLPnMjzl8cA/edit?usp=share_link"",""ลำพูน!J705"")+IMPORTRANGE(""https://docs.google.com/spreadsheets/d/17HrOaa5pBUI1onckFfumXB8xlg35qb2uBAFfF1D-Myo/edit?usp=shar"&amp;"e_link"",""สุโขทัย!J705"")+IMPORTRANGE(""https://docs.google.com/spreadsheets/d/1ubs5cl16eYL9gHbdHTJtmtYb9MGzHBs7CAphn8kNCgM/edit?usp=share_link"",""อุตรดิตถ์!J705"")+IMPORTRANGE(""https://docs.google.com/spreadsheets/d/1kII0BjS6CtVrBvI8IrytgPdxDrlyQDyigz"&amp;"MsohRtDMs/edit?usp=share_link"",""อุทัยธานี!J705"")
"),0)</f>
        <v>0</v>
      </c>
      <c r="K705" s="38"/>
      <c r="L705" s="38"/>
      <c r="M705" s="189"/>
      <c r="N705" s="730"/>
      <c r="O705" s="38"/>
      <c r="P705" s="38"/>
      <c r="Q705" s="541"/>
      <c r="R705" s="541"/>
      <c r="S705" s="541"/>
      <c r="T705" s="541"/>
      <c r="U705" s="541"/>
      <c r="V705" s="541"/>
      <c r="W705" s="541"/>
      <c r="X705" s="541"/>
      <c r="Y705" s="541"/>
      <c r="Z705" s="541"/>
    </row>
    <row r="706" spans="1:26" ht="18.75">
      <c r="A706" s="708"/>
      <c r="B706" s="539"/>
      <c r="C706" s="539"/>
      <c r="D706" s="539"/>
      <c r="E706" s="539"/>
      <c r="F706" s="539"/>
      <c r="G706" s="189"/>
      <c r="H706" s="182" t="s">
        <v>34</v>
      </c>
      <c r="I706" s="729"/>
      <c r="J706" s="183">
        <f ca="1">IFERROR(__xludf.DUMMYFUNCTION("IMPORTRANGE(""https://docs.google.com/spreadsheets/d/1KxicF4apzSqm0-jIpmueT4kyZtE-Cwn5zskl7GD4loQ/edit?usp=share_link"",""กำแพงเพชร!J706"")+IMPORTRANGE(""https://docs.google.com/spreadsheets/d/1ZNYWeiFoFA1K1U4xKWqRX29MBvEyRHXORjo734Gnq_c/edit?usp=share_li"&amp;"nk"",""เชียงราย!J706"")
+IMPORTRANGE(""https://docs.google.com/spreadsheets/d/1Jgv0Y7YlHDtsiDawwp-uvifEJ8HVaSn0k2aGHG8-hwM/edit?usp=share_link"",""เชียงใหม่!J706"")+IMPORTRANGE(""https://docs.google.com/spreadsheets/d/1JWG2rZePOz9pe-f-ObA-yDr0VoOX2kSb0qIi"&amp;"x2mTUo8/edit?usp=share_link"",""ตาก!J706"")+IMPORTRANGE(""https://docs.google.com/spreadsheets/d/10nSRjK08hx8Y6HgSOQKNw81lyY46Zc7U_Cj72hBMp9U/edit?usp=share_link"",""นครสวรรค์!J706"")+IMPORTRANGE(""https://docs.google.com/spreadsheets/d/1gFVb7qd7amutrIxAA"&amp;"oM7lcy35hllxznovot8lyOfvDo/edit?usp=share_link"",""น่าน!J706"")+IMPORTRANGE(""https://docs.google.com/spreadsheets/d/1K0Aa9s-6EuHE5M0FG1F9aHLXRCOV917xvycTdLdct0w/edit?usp=share_link"",""พะเยา!J706"")+IMPORTRANGE(""https://docs.google.com/spreadsheets/d/1Y"&amp;"9LPKx95PyL5OKy09d-KbKJSuuEZCFdkhYjwC0XQjBA/edit?usp=share_link"",""พิจิตร!J706"")+IMPORTRANGE(""https://docs.google.com/spreadsheets/d/16OMuOwy2eVqZcYWOouQtTpa8X1L23h4660uVHc0C8os/edit?usp=share_link"",""พิษณุโลก!J706"")+IMPORTRANGE(""https://docs.google."&amp;"com/spreadsheets/d/1GfgTldLG6k77HXaMQzaafODklYuucJZQNs_GAPEfZyY/edit?usp=share_link"",""เพชรบูรณ์!J706"")+IMPORTRANGE(""https://docs.google.com/spreadsheets/d/1gvTMYAnm7v1yG1BKWFtr0DnaTsq59oW9dwWvFgq6hs0/edit?usp=share_link"",""แพร่!J706"")+IMPORTRANGE("""&amp;"https://docs.google.com/spreadsheets/d/1Wbcosgy-Xa1xXUArJSOenub6EfZHUSzc_bpJFWwQUf0/edit?usp=share_link"",""แม่ฮ่องสอน!J706"")+IMPORTRANGE(""https://docs.google.com/spreadsheets/d/1p7ERhsr0qZeSn-KSOdeHS9r0heI-lHtkcn2OH7hP0jQ/edit?usp=share_link"",""ลำปาง!"&amp;"J706"")+IMPORTRANGE(""https://docs.google.com/spreadsheets/d/1-uUXvimVhiU2U0bMN-xi2te0tS4X7DI2GLPnMjzl8cA/edit?usp=share_link"",""ลำพูน!J706"")+IMPORTRANGE(""https://docs.google.com/spreadsheets/d/17HrOaa5pBUI1onckFfumXB8xlg35qb2uBAFfF1D-Myo/edit?usp=shar"&amp;"e_link"",""สุโขทัย!J706"")+IMPORTRANGE(""https://docs.google.com/spreadsheets/d/1ubs5cl16eYL9gHbdHTJtmtYb9MGzHBs7CAphn8kNCgM/edit?usp=share_link"",""อุตรดิตถ์!J706"")+IMPORTRANGE(""https://docs.google.com/spreadsheets/d/1kII0BjS6CtVrBvI8IrytgPdxDrlyQDyigz"&amp;"MsohRtDMs/edit?usp=share_link"",""อุทัยธานี!J706"")
"),0)</f>
        <v>0</v>
      </c>
      <c r="K706" s="38"/>
      <c r="L706" s="38"/>
      <c r="M706" s="189"/>
      <c r="N706" s="730"/>
      <c r="O706" s="38"/>
      <c r="P706" s="38"/>
      <c r="Q706" s="541"/>
      <c r="R706" s="541"/>
      <c r="S706" s="541"/>
      <c r="T706" s="541"/>
      <c r="U706" s="541"/>
      <c r="V706" s="541"/>
      <c r="W706" s="541"/>
      <c r="X706" s="541"/>
      <c r="Y706" s="541"/>
      <c r="Z706" s="541"/>
    </row>
    <row r="707" spans="1:26" ht="18.75">
      <c r="A707" s="708"/>
      <c r="B707" s="539"/>
      <c r="C707" s="539"/>
      <c r="D707" s="539"/>
      <c r="E707" s="539"/>
      <c r="F707" s="539"/>
      <c r="G707" s="189"/>
      <c r="H707" s="182" t="s">
        <v>46</v>
      </c>
      <c r="I707" s="729">
        <f ca="1">IFERROR(__xludf.DUMMYFUNCTION("IMPORTRANGE(""https://docs.google.com/spreadsheets/d/1KxicF4apzSqm0-jIpmueT4kyZtE-Cwn5zskl7GD4loQ/edit?usp=share_link"",""กำแพงเพชร!I707"")+IMPORTRANGE(""https://docs.google.com/spreadsheets/d/1ZNYWeiFoFA1K1U4xKWqRX29MBvEyRHXORjo734Gnq_c/edit?usp=share_li"&amp;"nk"",""เชียงราย!I707"")
+IMPORTRANGE(""https://docs.google.com/spreadsheets/d/1Jgv0Y7YlHDtsiDawwp-uvifEJ8HVaSn0k2aGHG8-hwM/edit?usp=share_link"",""เชียงใหม่!I707"")+IMPORTRANGE(""https://docs.google.com/spreadsheets/d/1JWG2rZePOz9pe-f-ObA-yDr0VoOX2kSb0qIi"&amp;"x2mTUo8/edit?usp=share_link"",""ตาก!I707"")+IMPORTRANGE(""https://docs.google.com/spreadsheets/d/10nSRjK08hx8Y6HgSOQKNw81lyY46Zc7U_Cj72hBMp9U/edit?usp=share_link"",""นครสวรรค์!I707"")+IMPORTRANGE(""https://docs.google.com/spreadsheets/d/1gFVb7qd7amutrIxAA"&amp;"oM7lcy35hllxznovot8lyOfvDo/edit?usp=share_link"",""น่าน!I707"")+IMPORTRANGE(""https://docs.google.com/spreadsheets/d/1K0Aa9s-6EuHE5M0FG1F9aHLXRCOV917xvycTdLdct0w/edit?usp=share_link"",""พะเยา!I707"")+IMPORTRANGE(""https://docs.google.com/spreadsheets/d/1Y"&amp;"9LPKx95PyL5OKy09d-KbKJSuuEZCFdkhYjwC0XQjBA/edit?usp=share_link"",""พิจิตร!I707"")+IMPORTRANGE(""https://docs.google.com/spreadsheets/d/16OMuOwy2eVqZcYWOouQtTpa8X1L23h4660uVHc0C8os/edit?usp=share_link"",""พิษณุโลก!I707"")+IMPORTRANGE(""https://docs.google."&amp;"com/spreadsheets/d/1GfgTldLG6k77HXaMQzaafODklYuucJZQNs_GAPEfZyY/edit?usp=share_link"",""เพชรบูรณ์!I707"")+IMPORTRANGE(""https://docs.google.com/spreadsheets/d/1gvTMYAnm7v1yG1BKWFtr0DnaTsq59oW9dwWvFgq6hs0/edit?usp=share_link"",""แพร่!I707"")+IMPORTRANGE("""&amp;"https://docs.google.com/spreadsheets/d/1Wbcosgy-Xa1xXUArJSOenub6EfZHUSzc_bpJFWwQUf0/edit?usp=share_link"",""แม่ฮ่องสอน!I707"")+IMPORTRANGE(""https://docs.google.com/spreadsheets/d/1p7ERhsr0qZeSn-KSOdeHS9r0heI-lHtkcn2OH7hP0jQ/edit?usp=share_link"",""ลำปาง!"&amp;"I707"")+IMPORTRANGE(""https://docs.google.com/spreadsheets/d/1-uUXvimVhiU2U0bMN-xi2te0tS4X7DI2GLPnMjzl8cA/edit?usp=share_link"",""ลำพูน!I707"")+IMPORTRANGE(""https://docs.google.com/spreadsheets/d/17HrOaa5pBUI1onckFfumXB8xlg35qb2uBAFfF1D-Myo/edit?usp=shar"&amp;"e_link"",""สุโขทัย!I707"")+IMPORTRANGE(""https://docs.google.com/spreadsheets/d/1ubs5cl16eYL9gHbdHTJtmtYb9MGzHBs7CAphn8kNCgM/edit?usp=share_link"",""อุตรดิตถ์!I707"")+IMPORTRANGE(""https://docs.google.com/spreadsheets/d/1kII0BjS6CtVrBvI8IrytgPdxDrlyQDyigz"&amp;"MsohRtDMs/edit?usp=share_link"",""อุทัยธานี!I707"")
"),67)</f>
        <v>67</v>
      </c>
      <c r="J707" s="183">
        <f ca="1">IFERROR(__xludf.DUMMYFUNCTION("IMPORTRANGE(""https://docs.google.com/spreadsheets/d/1KxicF4apzSqm0-jIpmueT4kyZtE-Cwn5zskl7GD4loQ/edit?usp=share_link"",""กำแพงเพชร!J707"")+IMPORTRANGE(""https://docs.google.com/spreadsheets/d/1ZNYWeiFoFA1K1U4xKWqRX29MBvEyRHXORjo734Gnq_c/edit?usp=share_li"&amp;"nk"",""เชียงราย!J707"")
+IMPORTRANGE(""https://docs.google.com/spreadsheets/d/1Jgv0Y7YlHDtsiDawwp-uvifEJ8HVaSn0k2aGHG8-hwM/edit?usp=share_link"",""เชียงใหม่!J707"")+IMPORTRANGE(""https://docs.google.com/spreadsheets/d/1JWG2rZePOz9pe-f-ObA-yDr0VoOX2kSb0qIi"&amp;"x2mTUo8/edit?usp=share_link"",""ตาก!J707"")+IMPORTRANGE(""https://docs.google.com/spreadsheets/d/10nSRjK08hx8Y6HgSOQKNw81lyY46Zc7U_Cj72hBMp9U/edit?usp=share_link"",""นครสวรรค์!J707"")+IMPORTRANGE(""https://docs.google.com/spreadsheets/d/1gFVb7qd7amutrIxAA"&amp;"oM7lcy35hllxznovot8lyOfvDo/edit?usp=share_link"",""น่าน!J707"")+IMPORTRANGE(""https://docs.google.com/spreadsheets/d/1K0Aa9s-6EuHE5M0FG1F9aHLXRCOV917xvycTdLdct0w/edit?usp=share_link"",""พะเยา!J707"")+IMPORTRANGE(""https://docs.google.com/spreadsheets/d/1Y"&amp;"9LPKx95PyL5OKy09d-KbKJSuuEZCFdkhYjwC0XQjBA/edit?usp=share_link"",""พิจิตร!J707"")+IMPORTRANGE(""https://docs.google.com/spreadsheets/d/16OMuOwy2eVqZcYWOouQtTpa8X1L23h4660uVHc0C8os/edit?usp=share_link"",""พิษณุโลก!J707"")+IMPORTRANGE(""https://docs.google."&amp;"com/spreadsheets/d/1GfgTldLG6k77HXaMQzaafODklYuucJZQNs_GAPEfZyY/edit?usp=share_link"",""เพชรบูรณ์!J707"")+IMPORTRANGE(""https://docs.google.com/spreadsheets/d/1gvTMYAnm7v1yG1BKWFtr0DnaTsq59oW9dwWvFgq6hs0/edit?usp=share_link"",""แพร่!J707"")+IMPORTRANGE("""&amp;"https://docs.google.com/spreadsheets/d/1Wbcosgy-Xa1xXUArJSOenub6EfZHUSzc_bpJFWwQUf0/edit?usp=share_link"",""แม่ฮ่องสอน!J707"")+IMPORTRANGE(""https://docs.google.com/spreadsheets/d/1p7ERhsr0qZeSn-KSOdeHS9r0heI-lHtkcn2OH7hP0jQ/edit?usp=share_link"",""ลำปาง!"&amp;"J707"")+IMPORTRANGE(""https://docs.google.com/spreadsheets/d/1-uUXvimVhiU2U0bMN-xi2te0tS4X7DI2GLPnMjzl8cA/edit?usp=share_link"",""ลำพูน!J707"")+IMPORTRANGE(""https://docs.google.com/spreadsheets/d/17HrOaa5pBUI1onckFfumXB8xlg35qb2uBAFfF1D-Myo/edit?usp=shar"&amp;"e_link"",""สุโขทัย!J707"")+IMPORTRANGE(""https://docs.google.com/spreadsheets/d/1ubs5cl16eYL9gHbdHTJtmtYb9MGzHBs7CAphn8kNCgM/edit?usp=share_link"",""อุตรดิตถ์!J707"")+IMPORTRANGE(""https://docs.google.com/spreadsheets/d/1kII0BjS6CtVrBvI8IrytgPdxDrlyQDyigz"&amp;"MsohRtDMs/edit?usp=share_link"",""อุทัยธานี!J707"")
"),0)</f>
        <v>0</v>
      </c>
      <c r="K707" s="38"/>
      <c r="L707" s="38"/>
      <c r="M707" s="189"/>
      <c r="N707" s="730"/>
      <c r="O707" s="38"/>
      <c r="P707" s="38"/>
      <c r="Q707" s="541"/>
      <c r="R707" s="541"/>
      <c r="S707" s="541"/>
      <c r="T707" s="541"/>
      <c r="U707" s="541"/>
      <c r="V707" s="541"/>
      <c r="W707" s="541"/>
      <c r="X707" s="541"/>
      <c r="Y707" s="541"/>
      <c r="Z707" s="541"/>
    </row>
    <row r="708" spans="1:26" ht="19.5">
      <c r="A708" s="708"/>
      <c r="B708" s="539"/>
      <c r="C708" s="539"/>
      <c r="D708" s="733" t="s">
        <v>299</v>
      </c>
      <c r="E708" s="539"/>
      <c r="F708" s="539"/>
      <c r="G708" s="189"/>
      <c r="H708" s="192" t="s">
        <v>46</v>
      </c>
      <c r="I708" s="732">
        <f ca="1">IFERROR(__xludf.DUMMYFUNCTION("IMPORTRANGE(""https://docs.google.com/spreadsheets/d/1KxicF4apzSqm0-jIpmueT4kyZtE-Cwn5zskl7GD4loQ/edit?usp=share_link"",""กำแพงเพชร!I708"")+IMPORTRANGE(""https://docs.google.com/spreadsheets/d/1ZNYWeiFoFA1K1U4xKWqRX29MBvEyRHXORjo734Gnq_c/edit?usp=share_li"&amp;"nk"",""เชียงราย!I708"")
+IMPORTRANGE(""https://docs.google.com/spreadsheets/d/1Jgv0Y7YlHDtsiDawwp-uvifEJ8HVaSn0k2aGHG8-hwM/edit?usp=share_link"",""เชียงใหม่!I708"")+IMPORTRANGE(""https://docs.google.com/spreadsheets/d/1JWG2rZePOz9pe-f-ObA-yDr0VoOX2kSb0qIi"&amp;"x2mTUo8/edit?usp=share_link"",""ตาก!I708"")+IMPORTRANGE(""https://docs.google.com/spreadsheets/d/10nSRjK08hx8Y6HgSOQKNw81lyY46Zc7U_Cj72hBMp9U/edit?usp=share_link"",""นครสวรรค์!I708"")+IMPORTRANGE(""https://docs.google.com/spreadsheets/d/1gFVb7qd7amutrIxAA"&amp;"oM7lcy35hllxznovot8lyOfvDo/edit?usp=share_link"",""น่าน!I708"")+IMPORTRANGE(""https://docs.google.com/spreadsheets/d/1K0Aa9s-6EuHE5M0FG1F9aHLXRCOV917xvycTdLdct0w/edit?usp=share_link"",""พะเยา!I708"")+IMPORTRANGE(""https://docs.google.com/spreadsheets/d/1Y"&amp;"9LPKx95PyL5OKy09d-KbKJSuuEZCFdkhYjwC0XQjBA/edit?usp=share_link"",""พิจิตร!I708"")+IMPORTRANGE(""https://docs.google.com/spreadsheets/d/16OMuOwy2eVqZcYWOouQtTpa8X1L23h4660uVHc0C8os/edit?usp=share_link"",""พิษณุโลก!I708"")+IMPORTRANGE(""https://docs.google."&amp;"com/spreadsheets/d/1GfgTldLG6k77HXaMQzaafODklYuucJZQNs_GAPEfZyY/edit?usp=share_link"",""เพชรบูรณ์!I708"")+IMPORTRANGE(""https://docs.google.com/spreadsheets/d/1gvTMYAnm7v1yG1BKWFtr0DnaTsq59oW9dwWvFgq6hs0/edit?usp=share_link"",""แพร่!I708"")+IMPORTRANGE("""&amp;"https://docs.google.com/spreadsheets/d/1Wbcosgy-Xa1xXUArJSOenub6EfZHUSzc_bpJFWwQUf0/edit?usp=share_link"",""แม่ฮ่องสอน!I708"")+IMPORTRANGE(""https://docs.google.com/spreadsheets/d/1p7ERhsr0qZeSn-KSOdeHS9r0heI-lHtkcn2OH7hP0jQ/edit?usp=share_link"",""ลำปาง!"&amp;"I708"")+IMPORTRANGE(""https://docs.google.com/spreadsheets/d/1-uUXvimVhiU2U0bMN-xi2te0tS4X7DI2GLPnMjzl8cA/edit?usp=share_link"",""ลำพูน!I708"")+IMPORTRANGE(""https://docs.google.com/spreadsheets/d/17HrOaa5pBUI1onckFfumXB8xlg35qb2uBAFfF1D-Myo/edit?usp=shar"&amp;"e_link"",""สุโขทัย!I708"")+IMPORTRANGE(""https://docs.google.com/spreadsheets/d/1ubs5cl16eYL9gHbdHTJtmtYb9MGzHBs7CAphn8kNCgM/edit?usp=share_link"",""อุตรดิตถ์!I708"")+IMPORTRANGE(""https://docs.google.com/spreadsheets/d/1kII0BjS6CtVrBvI8IrytgPdxDrlyQDyigz"&amp;"MsohRtDMs/edit?usp=share_link"",""อุทัยธานี!I708"")
"),2246)</f>
        <v>2246</v>
      </c>
      <c r="J708" s="194">
        <f ca="1">J714+J717</f>
        <v>0</v>
      </c>
      <c r="K708" s="195">
        <f ca="1">IF(I708&gt;0,J708*100/I708,0)</f>
        <v>0</v>
      </c>
      <c r="L708" s="38"/>
      <c r="M708" s="189"/>
      <c r="N708" s="730"/>
      <c r="O708" s="38"/>
      <c r="P708" s="38"/>
      <c r="Q708" s="541"/>
      <c r="R708" s="541"/>
      <c r="S708" s="541"/>
      <c r="T708" s="541"/>
      <c r="U708" s="541"/>
      <c r="V708" s="541"/>
      <c r="W708" s="541"/>
      <c r="X708" s="541"/>
      <c r="Y708" s="541"/>
      <c r="Z708" s="541"/>
    </row>
    <row r="709" spans="1:26" ht="18.75">
      <c r="A709" s="708"/>
      <c r="B709" s="539"/>
      <c r="C709" s="539"/>
      <c r="D709" s="539"/>
      <c r="E709" s="540" t="s">
        <v>300</v>
      </c>
      <c r="F709" s="539"/>
      <c r="G709" s="189"/>
      <c r="H709" s="182" t="s">
        <v>34</v>
      </c>
      <c r="I709" s="729"/>
      <c r="J709" s="183">
        <f ca="1">IFERROR(__xludf.DUMMYFUNCTION("IMPORTRANGE(""https://docs.google.com/spreadsheets/d/1KxicF4apzSqm0-jIpmueT4kyZtE-Cwn5zskl7GD4loQ/edit?usp=share_link"",""กำแพงเพชร!J709"")+IMPORTRANGE(""https://docs.google.com/spreadsheets/d/1ZNYWeiFoFA1K1U4xKWqRX29MBvEyRHXORjo734Gnq_c/edit?usp=share_li"&amp;"nk"",""เชียงราย!J709"")
+IMPORTRANGE(""https://docs.google.com/spreadsheets/d/1Jgv0Y7YlHDtsiDawwp-uvifEJ8HVaSn0k2aGHG8-hwM/edit?usp=share_link"",""เชียงใหม่!J709"")+IMPORTRANGE(""https://docs.google.com/spreadsheets/d/1JWG2rZePOz9pe-f-ObA-yDr0VoOX2kSb0qIi"&amp;"x2mTUo8/edit?usp=share_link"",""ตาก!J709"")+IMPORTRANGE(""https://docs.google.com/spreadsheets/d/10nSRjK08hx8Y6HgSOQKNw81lyY46Zc7U_Cj72hBMp9U/edit?usp=share_link"",""นครสวรรค์!J709"")+IMPORTRANGE(""https://docs.google.com/spreadsheets/d/1gFVb7qd7amutrIxAA"&amp;"oM7lcy35hllxznovot8lyOfvDo/edit?usp=share_link"",""น่าน!J709"")+IMPORTRANGE(""https://docs.google.com/spreadsheets/d/1K0Aa9s-6EuHE5M0FG1F9aHLXRCOV917xvycTdLdct0w/edit?usp=share_link"",""พะเยา!J709"")+IMPORTRANGE(""https://docs.google.com/spreadsheets/d/1Y"&amp;"9LPKx95PyL5OKy09d-KbKJSuuEZCFdkhYjwC0XQjBA/edit?usp=share_link"",""พิจิตร!J709"")+IMPORTRANGE(""https://docs.google.com/spreadsheets/d/16OMuOwy2eVqZcYWOouQtTpa8X1L23h4660uVHc0C8os/edit?usp=share_link"",""พิษณุโลก!J709"")+IMPORTRANGE(""https://docs.google."&amp;"com/spreadsheets/d/1GfgTldLG6k77HXaMQzaafODklYuucJZQNs_GAPEfZyY/edit?usp=share_link"",""เพชรบูรณ์!J709"")+IMPORTRANGE(""https://docs.google.com/spreadsheets/d/1gvTMYAnm7v1yG1BKWFtr0DnaTsq59oW9dwWvFgq6hs0/edit?usp=share_link"",""แพร่!J709"")+IMPORTRANGE("""&amp;"https://docs.google.com/spreadsheets/d/1Wbcosgy-Xa1xXUArJSOenub6EfZHUSzc_bpJFWwQUf0/edit?usp=share_link"",""แม่ฮ่องสอน!J709"")+IMPORTRANGE(""https://docs.google.com/spreadsheets/d/1p7ERhsr0qZeSn-KSOdeHS9r0heI-lHtkcn2OH7hP0jQ/edit?usp=share_link"",""ลำปาง!"&amp;"J709"")+IMPORTRANGE(""https://docs.google.com/spreadsheets/d/1-uUXvimVhiU2U0bMN-xi2te0tS4X7DI2GLPnMjzl8cA/edit?usp=share_link"",""ลำพูน!J709"")+IMPORTRANGE(""https://docs.google.com/spreadsheets/d/17HrOaa5pBUI1onckFfumXB8xlg35qb2uBAFfF1D-Myo/edit?usp=shar"&amp;"e_link"",""สุโขทัย!J709"")+IMPORTRANGE(""https://docs.google.com/spreadsheets/d/1ubs5cl16eYL9gHbdHTJtmtYb9MGzHBs7CAphn8kNCgM/edit?usp=share_link"",""อุตรดิตถ์!J709"")+IMPORTRANGE(""https://docs.google.com/spreadsheets/d/1kII0BjS6CtVrBvI8IrytgPdxDrlyQDyigz"&amp;"MsohRtDMs/edit?usp=share_link"",""อุทัยธานี!J709"")
"),0)</f>
        <v>0</v>
      </c>
      <c r="K709" s="38"/>
      <c r="L709" s="730"/>
      <c r="M709" s="189"/>
      <c r="N709" s="730"/>
      <c r="O709" s="38"/>
      <c r="P709" s="38"/>
      <c r="Q709" s="541"/>
      <c r="R709" s="541"/>
      <c r="S709" s="541"/>
      <c r="T709" s="541"/>
      <c r="U709" s="541"/>
      <c r="V709" s="541"/>
      <c r="W709" s="541"/>
      <c r="X709" s="541"/>
      <c r="Y709" s="541"/>
      <c r="Z709" s="541"/>
    </row>
    <row r="710" spans="1:26" ht="18.75">
      <c r="A710" s="708"/>
      <c r="B710" s="539"/>
      <c r="C710" s="539"/>
      <c r="D710" s="539"/>
      <c r="E710" s="539"/>
      <c r="F710" s="539"/>
      <c r="G710" s="189"/>
      <c r="H710" s="182" t="s">
        <v>46</v>
      </c>
      <c r="I710" s="729"/>
      <c r="J710" s="183">
        <f ca="1">IFERROR(__xludf.DUMMYFUNCTION("IMPORTRANGE(""https://docs.google.com/spreadsheets/d/1KxicF4apzSqm0-jIpmueT4kyZtE-Cwn5zskl7GD4loQ/edit?usp=share_link"",""กำแพงเพชร!J710"")+IMPORTRANGE(""https://docs.google.com/spreadsheets/d/1ZNYWeiFoFA1K1U4xKWqRX29MBvEyRHXORjo734Gnq_c/edit?usp=share_li"&amp;"nk"",""เชียงราย!J710"")
+IMPORTRANGE(""https://docs.google.com/spreadsheets/d/1Jgv0Y7YlHDtsiDawwp-uvifEJ8HVaSn0k2aGHG8-hwM/edit?usp=share_link"",""เชียงใหม่!J710"")+IMPORTRANGE(""https://docs.google.com/spreadsheets/d/1JWG2rZePOz9pe-f-ObA-yDr0VoOX2kSb0qIi"&amp;"x2mTUo8/edit?usp=share_link"",""ตาก!J710"")+IMPORTRANGE(""https://docs.google.com/spreadsheets/d/10nSRjK08hx8Y6HgSOQKNw81lyY46Zc7U_Cj72hBMp9U/edit?usp=share_link"",""นครสวรรค์!J710"")+IMPORTRANGE(""https://docs.google.com/spreadsheets/d/1gFVb7qd7amutrIxAA"&amp;"oM7lcy35hllxznovot8lyOfvDo/edit?usp=share_link"",""น่าน!J710"")+IMPORTRANGE(""https://docs.google.com/spreadsheets/d/1K0Aa9s-6EuHE5M0FG1F9aHLXRCOV917xvycTdLdct0w/edit?usp=share_link"",""พะเยา!J710"")+IMPORTRANGE(""https://docs.google.com/spreadsheets/d/1Y"&amp;"9LPKx95PyL5OKy09d-KbKJSuuEZCFdkhYjwC0XQjBA/edit?usp=share_link"",""พิจิตร!J710"")+IMPORTRANGE(""https://docs.google.com/spreadsheets/d/16OMuOwy2eVqZcYWOouQtTpa8X1L23h4660uVHc0C8os/edit?usp=share_link"",""พิษณุโลก!J710"")+IMPORTRANGE(""https://docs.google."&amp;"com/spreadsheets/d/1GfgTldLG6k77HXaMQzaafODklYuucJZQNs_GAPEfZyY/edit?usp=share_link"",""เพชรบูรณ์!J710"")+IMPORTRANGE(""https://docs.google.com/spreadsheets/d/1gvTMYAnm7v1yG1BKWFtr0DnaTsq59oW9dwWvFgq6hs0/edit?usp=share_link"",""แพร่!J710"")+IMPORTRANGE("""&amp;"https://docs.google.com/spreadsheets/d/1Wbcosgy-Xa1xXUArJSOenub6EfZHUSzc_bpJFWwQUf0/edit?usp=share_link"",""แม่ฮ่องสอน!J710"")+IMPORTRANGE(""https://docs.google.com/spreadsheets/d/1p7ERhsr0qZeSn-KSOdeHS9r0heI-lHtkcn2OH7hP0jQ/edit?usp=share_link"",""ลำปาง!"&amp;"J710"")+IMPORTRANGE(""https://docs.google.com/spreadsheets/d/1-uUXvimVhiU2U0bMN-xi2te0tS4X7DI2GLPnMjzl8cA/edit?usp=share_link"",""ลำพูน!J710"")+IMPORTRANGE(""https://docs.google.com/spreadsheets/d/17HrOaa5pBUI1onckFfumXB8xlg35qb2uBAFfF1D-Myo/edit?usp=shar"&amp;"e_link"",""สุโขทัย!J710"")+IMPORTRANGE(""https://docs.google.com/spreadsheets/d/1ubs5cl16eYL9gHbdHTJtmtYb9MGzHBs7CAphn8kNCgM/edit?usp=share_link"",""อุตรดิตถ์!J710"")+IMPORTRANGE(""https://docs.google.com/spreadsheets/d/1kII0BjS6CtVrBvI8IrytgPdxDrlyQDyigz"&amp;"MsohRtDMs/edit?usp=share_link"",""อุทัยธานี!J710"")
"),0)</f>
        <v>0</v>
      </c>
      <c r="K710" s="38"/>
      <c r="L710" s="730"/>
      <c r="M710" s="189"/>
      <c r="N710" s="730"/>
      <c r="O710" s="38"/>
      <c r="P710" s="38"/>
      <c r="Q710" s="541"/>
      <c r="R710" s="541"/>
      <c r="S710" s="541"/>
      <c r="T710" s="541"/>
      <c r="U710" s="541"/>
      <c r="V710" s="541"/>
      <c r="W710" s="541"/>
      <c r="X710" s="541"/>
      <c r="Y710" s="541"/>
      <c r="Z710" s="541"/>
    </row>
    <row r="711" spans="1:26" ht="18.75">
      <c r="A711" s="708"/>
      <c r="B711" s="539"/>
      <c r="C711" s="539"/>
      <c r="D711" s="539"/>
      <c r="E711" s="540" t="s">
        <v>301</v>
      </c>
      <c r="F711" s="539"/>
      <c r="G711" s="189"/>
      <c r="H711" s="175"/>
      <c r="I711" s="729"/>
      <c r="J711" s="37"/>
      <c r="K711" s="38"/>
      <c r="L711" s="730"/>
      <c r="M711" s="189"/>
      <c r="N711" s="730"/>
      <c r="O711" s="38"/>
      <c r="P711" s="38"/>
      <c r="Q711" s="541"/>
      <c r="R711" s="541"/>
      <c r="S711" s="541"/>
      <c r="T711" s="541"/>
      <c r="U711" s="541"/>
      <c r="V711" s="541"/>
      <c r="W711" s="541"/>
      <c r="X711" s="541"/>
      <c r="Y711" s="541"/>
      <c r="Z711" s="541"/>
    </row>
    <row r="712" spans="1:26" ht="18.75">
      <c r="A712" s="708"/>
      <c r="B712" s="539"/>
      <c r="C712" s="539"/>
      <c r="D712" s="539"/>
      <c r="E712" s="539"/>
      <c r="F712" s="540" t="s">
        <v>302</v>
      </c>
      <c r="G712" s="189"/>
      <c r="H712" s="182" t="s">
        <v>35</v>
      </c>
      <c r="I712" s="729"/>
      <c r="J712" s="183">
        <f ca="1">IFERROR(__xludf.DUMMYFUNCTION("IMPORTRANGE(""https://docs.google.com/spreadsheets/d/1KxicF4apzSqm0-jIpmueT4kyZtE-Cwn5zskl7GD4loQ/edit?usp=share_link"",""กำแพงเพชร!J712"")+IMPORTRANGE(""https://docs.google.com/spreadsheets/d/1ZNYWeiFoFA1K1U4xKWqRX29MBvEyRHXORjo734Gnq_c/edit?usp=share_li"&amp;"nk"",""เชียงราย!J712"")
+IMPORTRANGE(""https://docs.google.com/spreadsheets/d/1Jgv0Y7YlHDtsiDawwp-uvifEJ8HVaSn0k2aGHG8-hwM/edit?usp=share_link"",""เชียงใหม่!J712"")+IMPORTRANGE(""https://docs.google.com/spreadsheets/d/1JWG2rZePOz9pe-f-ObA-yDr0VoOX2kSb0qIi"&amp;"x2mTUo8/edit?usp=share_link"",""ตาก!J712"")+IMPORTRANGE(""https://docs.google.com/spreadsheets/d/10nSRjK08hx8Y6HgSOQKNw81lyY46Zc7U_Cj72hBMp9U/edit?usp=share_link"",""นครสวรรค์!J712"")+IMPORTRANGE(""https://docs.google.com/spreadsheets/d/1gFVb7qd7amutrIxAA"&amp;"oM7lcy35hllxznovot8lyOfvDo/edit?usp=share_link"",""น่าน!J712"")+IMPORTRANGE(""https://docs.google.com/spreadsheets/d/1K0Aa9s-6EuHE5M0FG1F9aHLXRCOV917xvycTdLdct0w/edit?usp=share_link"",""พะเยา!J712"")+IMPORTRANGE(""https://docs.google.com/spreadsheets/d/1Y"&amp;"9LPKx95PyL5OKy09d-KbKJSuuEZCFdkhYjwC0XQjBA/edit?usp=share_link"",""พิจิตร!J712"")+IMPORTRANGE(""https://docs.google.com/spreadsheets/d/16OMuOwy2eVqZcYWOouQtTpa8X1L23h4660uVHc0C8os/edit?usp=share_link"",""พิษณุโลก!J712"")+IMPORTRANGE(""https://docs.google."&amp;"com/spreadsheets/d/1GfgTldLG6k77HXaMQzaafODklYuucJZQNs_GAPEfZyY/edit?usp=share_link"",""เพชรบูรณ์!J712"")+IMPORTRANGE(""https://docs.google.com/spreadsheets/d/1gvTMYAnm7v1yG1BKWFtr0DnaTsq59oW9dwWvFgq6hs0/edit?usp=share_link"",""แพร่!J712"")+IMPORTRANGE("""&amp;"https://docs.google.com/spreadsheets/d/1Wbcosgy-Xa1xXUArJSOenub6EfZHUSzc_bpJFWwQUf0/edit?usp=share_link"",""แม่ฮ่องสอน!J712"")+IMPORTRANGE(""https://docs.google.com/spreadsheets/d/1p7ERhsr0qZeSn-KSOdeHS9r0heI-lHtkcn2OH7hP0jQ/edit?usp=share_link"",""ลำปาง!"&amp;"J712"")+IMPORTRANGE(""https://docs.google.com/spreadsheets/d/1-uUXvimVhiU2U0bMN-xi2te0tS4X7DI2GLPnMjzl8cA/edit?usp=share_link"",""ลำพูน!J712"")+IMPORTRANGE(""https://docs.google.com/spreadsheets/d/17HrOaa5pBUI1onckFfumXB8xlg35qb2uBAFfF1D-Myo/edit?usp=shar"&amp;"e_link"",""สุโขทัย!J712"")+IMPORTRANGE(""https://docs.google.com/spreadsheets/d/1ubs5cl16eYL9gHbdHTJtmtYb9MGzHBs7CAphn8kNCgM/edit?usp=share_link"",""อุตรดิตถ์!J712"")+IMPORTRANGE(""https://docs.google.com/spreadsheets/d/1kII0BjS6CtVrBvI8IrytgPdxDrlyQDyigz"&amp;"MsohRtDMs/edit?usp=share_link"",""อุทัยธานี!J712"")
"),0)</f>
        <v>0</v>
      </c>
      <c r="K712" s="38"/>
      <c r="L712" s="730"/>
      <c r="M712" s="189"/>
      <c r="N712" s="730"/>
      <c r="O712" s="38"/>
      <c r="P712" s="38"/>
      <c r="Q712" s="541"/>
      <c r="R712" s="541"/>
      <c r="S712" s="541"/>
      <c r="T712" s="541"/>
      <c r="U712" s="541"/>
      <c r="V712" s="541"/>
      <c r="W712" s="541"/>
      <c r="X712" s="541"/>
      <c r="Y712" s="541"/>
      <c r="Z712" s="541"/>
    </row>
    <row r="713" spans="1:26" ht="18.75">
      <c r="A713" s="708"/>
      <c r="B713" s="539"/>
      <c r="C713" s="539"/>
      <c r="D713" s="539"/>
      <c r="E713" s="539"/>
      <c r="F713" s="539"/>
      <c r="G713" s="189"/>
      <c r="H713" s="182" t="s">
        <v>34</v>
      </c>
      <c r="I713" s="729"/>
      <c r="J713" s="183">
        <f ca="1">IFERROR(__xludf.DUMMYFUNCTION("IMPORTRANGE(""https://docs.google.com/spreadsheets/d/1KxicF4apzSqm0-jIpmueT4kyZtE-Cwn5zskl7GD4loQ/edit?usp=share_link"",""กำแพงเพชร!J713"")+IMPORTRANGE(""https://docs.google.com/spreadsheets/d/1ZNYWeiFoFA1K1U4xKWqRX29MBvEyRHXORjo734Gnq_c/edit?usp=share_li"&amp;"nk"",""เชียงราย!J713"")
+IMPORTRANGE(""https://docs.google.com/spreadsheets/d/1Jgv0Y7YlHDtsiDawwp-uvifEJ8HVaSn0k2aGHG8-hwM/edit?usp=share_link"",""เชียงใหม่!J713"")+IMPORTRANGE(""https://docs.google.com/spreadsheets/d/1JWG2rZePOz9pe-f-ObA-yDr0VoOX2kSb0qIi"&amp;"x2mTUo8/edit?usp=share_link"",""ตาก!J713"")+IMPORTRANGE(""https://docs.google.com/spreadsheets/d/10nSRjK08hx8Y6HgSOQKNw81lyY46Zc7U_Cj72hBMp9U/edit?usp=share_link"",""นครสวรรค์!J713"")+IMPORTRANGE(""https://docs.google.com/spreadsheets/d/1gFVb7qd7amutrIxAA"&amp;"oM7lcy35hllxznovot8lyOfvDo/edit?usp=share_link"",""น่าน!J713"")+IMPORTRANGE(""https://docs.google.com/spreadsheets/d/1K0Aa9s-6EuHE5M0FG1F9aHLXRCOV917xvycTdLdct0w/edit?usp=share_link"",""พะเยา!J713"")+IMPORTRANGE(""https://docs.google.com/spreadsheets/d/1Y"&amp;"9LPKx95PyL5OKy09d-KbKJSuuEZCFdkhYjwC0XQjBA/edit?usp=share_link"",""พิจิตร!J713"")+IMPORTRANGE(""https://docs.google.com/spreadsheets/d/16OMuOwy2eVqZcYWOouQtTpa8X1L23h4660uVHc0C8os/edit?usp=share_link"",""พิษณุโลก!J713"")+IMPORTRANGE(""https://docs.google."&amp;"com/spreadsheets/d/1GfgTldLG6k77HXaMQzaafODklYuucJZQNs_GAPEfZyY/edit?usp=share_link"",""เพชรบูรณ์!J713"")+IMPORTRANGE(""https://docs.google.com/spreadsheets/d/1gvTMYAnm7v1yG1BKWFtr0DnaTsq59oW9dwWvFgq6hs0/edit?usp=share_link"",""แพร่!J713"")+IMPORTRANGE("""&amp;"https://docs.google.com/spreadsheets/d/1Wbcosgy-Xa1xXUArJSOenub6EfZHUSzc_bpJFWwQUf0/edit?usp=share_link"",""แม่ฮ่องสอน!J713"")+IMPORTRANGE(""https://docs.google.com/spreadsheets/d/1p7ERhsr0qZeSn-KSOdeHS9r0heI-lHtkcn2OH7hP0jQ/edit?usp=share_link"",""ลำปาง!"&amp;"J713"")+IMPORTRANGE(""https://docs.google.com/spreadsheets/d/1-uUXvimVhiU2U0bMN-xi2te0tS4X7DI2GLPnMjzl8cA/edit?usp=share_link"",""ลำพูน!J713"")+IMPORTRANGE(""https://docs.google.com/spreadsheets/d/17HrOaa5pBUI1onckFfumXB8xlg35qb2uBAFfF1D-Myo/edit?usp=shar"&amp;"e_link"",""สุโขทัย!J713"")+IMPORTRANGE(""https://docs.google.com/spreadsheets/d/1ubs5cl16eYL9gHbdHTJtmtYb9MGzHBs7CAphn8kNCgM/edit?usp=share_link"",""อุตรดิตถ์!J713"")+IMPORTRANGE(""https://docs.google.com/spreadsheets/d/1kII0BjS6CtVrBvI8IrytgPdxDrlyQDyigz"&amp;"MsohRtDMs/edit?usp=share_link"",""อุทัยธานี!J713"")
"),0)</f>
        <v>0</v>
      </c>
      <c r="K713" s="38"/>
      <c r="L713" s="730"/>
      <c r="M713" s="189"/>
      <c r="N713" s="730"/>
      <c r="O713" s="38"/>
      <c r="P713" s="38"/>
      <c r="Q713" s="541"/>
      <c r="R713" s="541"/>
      <c r="S713" s="541"/>
      <c r="T713" s="541"/>
      <c r="U713" s="541"/>
      <c r="V713" s="541"/>
      <c r="W713" s="541"/>
      <c r="X713" s="541"/>
      <c r="Y713" s="541"/>
      <c r="Z713" s="541"/>
    </row>
    <row r="714" spans="1:26" ht="18.75">
      <c r="A714" s="708"/>
      <c r="B714" s="539"/>
      <c r="C714" s="539"/>
      <c r="D714" s="539"/>
      <c r="E714" s="539"/>
      <c r="F714" s="539"/>
      <c r="G714" s="189"/>
      <c r="H714" s="182" t="s">
        <v>46</v>
      </c>
      <c r="I714" s="729"/>
      <c r="J714" s="183">
        <f ca="1">IFERROR(__xludf.DUMMYFUNCTION("IMPORTRANGE(""https://docs.google.com/spreadsheets/d/1KxicF4apzSqm0-jIpmueT4kyZtE-Cwn5zskl7GD4loQ/edit?usp=share_link"",""กำแพงเพชร!J714"")+IMPORTRANGE(""https://docs.google.com/spreadsheets/d/1ZNYWeiFoFA1K1U4xKWqRX29MBvEyRHXORjo734Gnq_c/edit?usp=share_li"&amp;"nk"",""เชียงราย!J714"")
+IMPORTRANGE(""https://docs.google.com/spreadsheets/d/1Jgv0Y7YlHDtsiDawwp-uvifEJ8HVaSn0k2aGHG8-hwM/edit?usp=share_link"",""เชียงใหม่!J714"")+IMPORTRANGE(""https://docs.google.com/spreadsheets/d/1JWG2rZePOz9pe-f-ObA-yDr0VoOX2kSb0qIi"&amp;"x2mTUo8/edit?usp=share_link"",""ตาก!J714"")+IMPORTRANGE(""https://docs.google.com/spreadsheets/d/10nSRjK08hx8Y6HgSOQKNw81lyY46Zc7U_Cj72hBMp9U/edit?usp=share_link"",""นครสวรรค์!J714"")+IMPORTRANGE(""https://docs.google.com/spreadsheets/d/1gFVb7qd7amutrIxAA"&amp;"oM7lcy35hllxznovot8lyOfvDo/edit?usp=share_link"",""น่าน!J714"")+IMPORTRANGE(""https://docs.google.com/spreadsheets/d/1K0Aa9s-6EuHE5M0FG1F9aHLXRCOV917xvycTdLdct0w/edit?usp=share_link"",""พะเยา!J714"")+IMPORTRANGE(""https://docs.google.com/spreadsheets/d/1Y"&amp;"9LPKx95PyL5OKy09d-KbKJSuuEZCFdkhYjwC0XQjBA/edit?usp=share_link"",""พิจิตร!J714"")+IMPORTRANGE(""https://docs.google.com/spreadsheets/d/16OMuOwy2eVqZcYWOouQtTpa8X1L23h4660uVHc0C8os/edit?usp=share_link"",""พิษณุโลก!J714"")+IMPORTRANGE(""https://docs.google."&amp;"com/spreadsheets/d/1GfgTldLG6k77HXaMQzaafODklYuucJZQNs_GAPEfZyY/edit?usp=share_link"",""เพชรบูรณ์!J714"")+IMPORTRANGE(""https://docs.google.com/spreadsheets/d/1gvTMYAnm7v1yG1BKWFtr0DnaTsq59oW9dwWvFgq6hs0/edit?usp=share_link"",""แพร่!J714"")+IMPORTRANGE("""&amp;"https://docs.google.com/spreadsheets/d/1Wbcosgy-Xa1xXUArJSOenub6EfZHUSzc_bpJFWwQUf0/edit?usp=share_link"",""แม่ฮ่องสอน!J714"")+IMPORTRANGE(""https://docs.google.com/spreadsheets/d/1p7ERhsr0qZeSn-KSOdeHS9r0heI-lHtkcn2OH7hP0jQ/edit?usp=share_link"",""ลำปาง!"&amp;"J714"")+IMPORTRANGE(""https://docs.google.com/spreadsheets/d/1-uUXvimVhiU2U0bMN-xi2te0tS4X7DI2GLPnMjzl8cA/edit?usp=share_link"",""ลำพูน!J714"")+IMPORTRANGE(""https://docs.google.com/spreadsheets/d/17HrOaa5pBUI1onckFfumXB8xlg35qb2uBAFfF1D-Myo/edit?usp=shar"&amp;"e_link"",""สุโขทัย!J714"")+IMPORTRANGE(""https://docs.google.com/spreadsheets/d/1ubs5cl16eYL9gHbdHTJtmtYb9MGzHBs7CAphn8kNCgM/edit?usp=share_link"",""อุตรดิตถ์!J714"")+IMPORTRANGE(""https://docs.google.com/spreadsheets/d/1kII0BjS6CtVrBvI8IrytgPdxDrlyQDyigz"&amp;"MsohRtDMs/edit?usp=share_link"",""อุทัยธานี!J714"")
"),0)</f>
        <v>0</v>
      </c>
      <c r="K714" s="38"/>
      <c r="L714" s="730"/>
      <c r="M714" s="189"/>
      <c r="N714" s="730"/>
      <c r="O714" s="38"/>
      <c r="P714" s="38"/>
      <c r="Q714" s="541"/>
      <c r="R714" s="541"/>
      <c r="S714" s="541"/>
      <c r="T714" s="541"/>
      <c r="U714" s="541"/>
      <c r="V714" s="541"/>
      <c r="W714" s="541"/>
      <c r="X714" s="541"/>
      <c r="Y714" s="541"/>
      <c r="Z714" s="541"/>
    </row>
    <row r="715" spans="1:26" ht="18.75">
      <c r="A715" s="708"/>
      <c r="B715" s="539"/>
      <c r="C715" s="539"/>
      <c r="D715" s="539"/>
      <c r="E715" s="539"/>
      <c r="F715" s="540" t="s">
        <v>303</v>
      </c>
      <c r="G715" s="189"/>
      <c r="H715" s="182" t="s">
        <v>35</v>
      </c>
      <c r="I715" s="729"/>
      <c r="J715" s="183">
        <f ca="1">IFERROR(__xludf.DUMMYFUNCTION("IMPORTRANGE(""https://docs.google.com/spreadsheets/d/1KxicF4apzSqm0-jIpmueT4kyZtE-Cwn5zskl7GD4loQ/edit?usp=share_link"",""กำแพงเพชร!J715"")+IMPORTRANGE(""https://docs.google.com/spreadsheets/d/1ZNYWeiFoFA1K1U4xKWqRX29MBvEyRHXORjo734Gnq_c/edit?usp=share_li"&amp;"nk"",""เชียงราย!J715"")
+IMPORTRANGE(""https://docs.google.com/spreadsheets/d/1Jgv0Y7YlHDtsiDawwp-uvifEJ8HVaSn0k2aGHG8-hwM/edit?usp=share_link"",""เชียงใหม่!J715"")+IMPORTRANGE(""https://docs.google.com/spreadsheets/d/1JWG2rZePOz9pe-f-ObA-yDr0VoOX2kSb0qIi"&amp;"x2mTUo8/edit?usp=share_link"",""ตาก!J715"")+IMPORTRANGE(""https://docs.google.com/spreadsheets/d/10nSRjK08hx8Y6HgSOQKNw81lyY46Zc7U_Cj72hBMp9U/edit?usp=share_link"",""นครสวรรค์!J715"")+IMPORTRANGE(""https://docs.google.com/spreadsheets/d/1gFVb7qd7amutrIxAA"&amp;"oM7lcy35hllxznovot8lyOfvDo/edit?usp=share_link"",""น่าน!J715"")+IMPORTRANGE(""https://docs.google.com/spreadsheets/d/1K0Aa9s-6EuHE5M0FG1F9aHLXRCOV917xvycTdLdct0w/edit?usp=share_link"",""พะเยา!J715"")+IMPORTRANGE(""https://docs.google.com/spreadsheets/d/1Y"&amp;"9LPKx95PyL5OKy09d-KbKJSuuEZCFdkhYjwC0XQjBA/edit?usp=share_link"",""พิจิตร!J715"")+IMPORTRANGE(""https://docs.google.com/spreadsheets/d/16OMuOwy2eVqZcYWOouQtTpa8X1L23h4660uVHc0C8os/edit?usp=share_link"",""พิษณุโลก!J715"")+IMPORTRANGE(""https://docs.google."&amp;"com/spreadsheets/d/1GfgTldLG6k77HXaMQzaafODklYuucJZQNs_GAPEfZyY/edit?usp=share_link"",""เพชรบูรณ์!J715"")+IMPORTRANGE(""https://docs.google.com/spreadsheets/d/1gvTMYAnm7v1yG1BKWFtr0DnaTsq59oW9dwWvFgq6hs0/edit?usp=share_link"",""แพร่!J715"")+IMPORTRANGE("""&amp;"https://docs.google.com/spreadsheets/d/1Wbcosgy-Xa1xXUArJSOenub6EfZHUSzc_bpJFWwQUf0/edit?usp=share_link"",""แม่ฮ่องสอน!J715"")+IMPORTRANGE(""https://docs.google.com/spreadsheets/d/1p7ERhsr0qZeSn-KSOdeHS9r0heI-lHtkcn2OH7hP0jQ/edit?usp=share_link"",""ลำปาง!"&amp;"J715"")+IMPORTRANGE(""https://docs.google.com/spreadsheets/d/1-uUXvimVhiU2U0bMN-xi2te0tS4X7DI2GLPnMjzl8cA/edit?usp=share_link"",""ลำพูน!J715"")+IMPORTRANGE(""https://docs.google.com/spreadsheets/d/17HrOaa5pBUI1onckFfumXB8xlg35qb2uBAFfF1D-Myo/edit?usp=shar"&amp;"e_link"",""สุโขทัย!J715"")+IMPORTRANGE(""https://docs.google.com/spreadsheets/d/1ubs5cl16eYL9gHbdHTJtmtYb9MGzHBs7CAphn8kNCgM/edit?usp=share_link"",""อุตรดิตถ์!J715"")+IMPORTRANGE(""https://docs.google.com/spreadsheets/d/1kII0BjS6CtVrBvI8IrytgPdxDrlyQDyigz"&amp;"MsohRtDMs/edit?usp=share_link"",""อุทัยธานี!J715"")
"),0)</f>
        <v>0</v>
      </c>
      <c r="K715" s="38"/>
      <c r="L715" s="730"/>
      <c r="M715" s="189"/>
      <c r="N715" s="730"/>
      <c r="O715" s="38"/>
      <c r="P715" s="38"/>
      <c r="Q715" s="541"/>
      <c r="R715" s="541"/>
      <c r="S715" s="541"/>
      <c r="T715" s="541"/>
      <c r="U715" s="541"/>
      <c r="V715" s="541"/>
      <c r="W715" s="541"/>
      <c r="X715" s="541"/>
      <c r="Y715" s="541"/>
      <c r="Z715" s="541"/>
    </row>
    <row r="716" spans="1:26" ht="18.75">
      <c r="A716" s="708"/>
      <c r="B716" s="539"/>
      <c r="C716" s="539"/>
      <c r="D716" s="539"/>
      <c r="E716" s="539"/>
      <c r="F716" s="539"/>
      <c r="G716" s="189"/>
      <c r="H716" s="182" t="s">
        <v>34</v>
      </c>
      <c r="I716" s="729"/>
      <c r="J716" s="183">
        <f ca="1">IFERROR(__xludf.DUMMYFUNCTION("IMPORTRANGE(""https://docs.google.com/spreadsheets/d/1KxicF4apzSqm0-jIpmueT4kyZtE-Cwn5zskl7GD4loQ/edit?usp=share_link"",""กำแพงเพชร!J716"")+IMPORTRANGE(""https://docs.google.com/spreadsheets/d/1ZNYWeiFoFA1K1U4xKWqRX29MBvEyRHXORjo734Gnq_c/edit?usp=share_li"&amp;"nk"",""เชียงราย!J716"")
+IMPORTRANGE(""https://docs.google.com/spreadsheets/d/1Jgv0Y7YlHDtsiDawwp-uvifEJ8HVaSn0k2aGHG8-hwM/edit?usp=share_link"",""เชียงใหม่!J716"")+IMPORTRANGE(""https://docs.google.com/spreadsheets/d/1JWG2rZePOz9pe-f-ObA-yDr0VoOX2kSb0qIi"&amp;"x2mTUo8/edit?usp=share_link"",""ตาก!J716"")+IMPORTRANGE(""https://docs.google.com/spreadsheets/d/10nSRjK08hx8Y6HgSOQKNw81lyY46Zc7U_Cj72hBMp9U/edit?usp=share_link"",""นครสวรรค์!J716"")+IMPORTRANGE(""https://docs.google.com/spreadsheets/d/1gFVb7qd7amutrIxAA"&amp;"oM7lcy35hllxznovot8lyOfvDo/edit?usp=share_link"",""น่าน!J716"")+IMPORTRANGE(""https://docs.google.com/spreadsheets/d/1K0Aa9s-6EuHE5M0FG1F9aHLXRCOV917xvycTdLdct0w/edit?usp=share_link"",""พะเยา!J716"")+IMPORTRANGE(""https://docs.google.com/spreadsheets/d/1Y"&amp;"9LPKx95PyL5OKy09d-KbKJSuuEZCFdkhYjwC0XQjBA/edit?usp=share_link"",""พิจิตร!J716"")+IMPORTRANGE(""https://docs.google.com/spreadsheets/d/16OMuOwy2eVqZcYWOouQtTpa8X1L23h4660uVHc0C8os/edit?usp=share_link"",""พิษณุโลก!J716"")+IMPORTRANGE(""https://docs.google."&amp;"com/spreadsheets/d/1GfgTldLG6k77HXaMQzaafODklYuucJZQNs_GAPEfZyY/edit?usp=share_link"",""เพชรบูรณ์!J716"")+IMPORTRANGE(""https://docs.google.com/spreadsheets/d/1gvTMYAnm7v1yG1BKWFtr0DnaTsq59oW9dwWvFgq6hs0/edit?usp=share_link"",""แพร่!J716"")+IMPORTRANGE("""&amp;"https://docs.google.com/spreadsheets/d/1Wbcosgy-Xa1xXUArJSOenub6EfZHUSzc_bpJFWwQUf0/edit?usp=share_link"",""แม่ฮ่องสอน!J716"")+IMPORTRANGE(""https://docs.google.com/spreadsheets/d/1p7ERhsr0qZeSn-KSOdeHS9r0heI-lHtkcn2OH7hP0jQ/edit?usp=share_link"",""ลำปาง!"&amp;"J716"")+IMPORTRANGE(""https://docs.google.com/spreadsheets/d/1-uUXvimVhiU2U0bMN-xi2te0tS4X7DI2GLPnMjzl8cA/edit?usp=share_link"",""ลำพูน!J716"")+IMPORTRANGE(""https://docs.google.com/spreadsheets/d/17HrOaa5pBUI1onckFfumXB8xlg35qb2uBAFfF1D-Myo/edit?usp=shar"&amp;"e_link"",""สุโขทัย!J716"")+IMPORTRANGE(""https://docs.google.com/spreadsheets/d/1ubs5cl16eYL9gHbdHTJtmtYb9MGzHBs7CAphn8kNCgM/edit?usp=share_link"",""อุตรดิตถ์!J716"")+IMPORTRANGE(""https://docs.google.com/spreadsheets/d/1kII0BjS6CtVrBvI8IrytgPdxDrlyQDyigz"&amp;"MsohRtDMs/edit?usp=share_link"",""อุทัยธานี!J716"")
"),0)</f>
        <v>0</v>
      </c>
      <c r="K716" s="38"/>
      <c r="L716" s="730"/>
      <c r="M716" s="189"/>
      <c r="N716" s="730"/>
      <c r="O716" s="38"/>
      <c r="P716" s="38"/>
      <c r="Q716" s="541"/>
      <c r="R716" s="541"/>
      <c r="S716" s="541"/>
      <c r="T716" s="541"/>
      <c r="U716" s="541"/>
      <c r="V716" s="541"/>
      <c r="W716" s="541"/>
      <c r="X716" s="541"/>
      <c r="Y716" s="541"/>
      <c r="Z716" s="541"/>
    </row>
    <row r="717" spans="1:26" ht="18.75">
      <c r="A717" s="708"/>
      <c r="B717" s="539"/>
      <c r="C717" s="539"/>
      <c r="D717" s="539"/>
      <c r="E717" s="539"/>
      <c r="F717" s="539"/>
      <c r="G717" s="189"/>
      <c r="H717" s="182" t="s">
        <v>46</v>
      </c>
      <c r="I717" s="729"/>
      <c r="J717" s="183">
        <f ca="1">IFERROR(__xludf.DUMMYFUNCTION("IMPORTRANGE(""https://docs.google.com/spreadsheets/d/1KxicF4apzSqm0-jIpmueT4kyZtE-Cwn5zskl7GD4loQ/edit?usp=share_link"",""กำแพงเพชร!J717"")+IMPORTRANGE(""https://docs.google.com/spreadsheets/d/1ZNYWeiFoFA1K1U4xKWqRX29MBvEyRHXORjo734Gnq_c/edit?usp=share_li"&amp;"nk"",""เชียงราย!J717"")
+IMPORTRANGE(""https://docs.google.com/spreadsheets/d/1Jgv0Y7YlHDtsiDawwp-uvifEJ8HVaSn0k2aGHG8-hwM/edit?usp=share_link"",""เชียงใหม่!J717"")+IMPORTRANGE(""https://docs.google.com/spreadsheets/d/1JWG2rZePOz9pe-f-ObA-yDr0VoOX2kSb0qIi"&amp;"x2mTUo8/edit?usp=share_link"",""ตาก!J717"")+IMPORTRANGE(""https://docs.google.com/spreadsheets/d/10nSRjK08hx8Y6HgSOQKNw81lyY46Zc7U_Cj72hBMp9U/edit?usp=share_link"",""นครสวรรค์!J717"")+IMPORTRANGE(""https://docs.google.com/spreadsheets/d/1gFVb7qd7amutrIxAA"&amp;"oM7lcy35hllxznovot8lyOfvDo/edit?usp=share_link"",""น่าน!J717"")+IMPORTRANGE(""https://docs.google.com/spreadsheets/d/1K0Aa9s-6EuHE5M0FG1F9aHLXRCOV917xvycTdLdct0w/edit?usp=share_link"",""พะเยา!J717"")+IMPORTRANGE(""https://docs.google.com/spreadsheets/d/1Y"&amp;"9LPKx95PyL5OKy09d-KbKJSuuEZCFdkhYjwC0XQjBA/edit?usp=share_link"",""พิจิตร!J717"")+IMPORTRANGE(""https://docs.google.com/spreadsheets/d/16OMuOwy2eVqZcYWOouQtTpa8X1L23h4660uVHc0C8os/edit?usp=share_link"",""พิษณุโลก!J717"")+IMPORTRANGE(""https://docs.google."&amp;"com/spreadsheets/d/1GfgTldLG6k77HXaMQzaafODklYuucJZQNs_GAPEfZyY/edit?usp=share_link"",""เพชรบูรณ์!J717"")+IMPORTRANGE(""https://docs.google.com/spreadsheets/d/1gvTMYAnm7v1yG1BKWFtr0DnaTsq59oW9dwWvFgq6hs0/edit?usp=share_link"",""แพร่!J717"")+IMPORTRANGE("""&amp;"https://docs.google.com/spreadsheets/d/1Wbcosgy-Xa1xXUArJSOenub6EfZHUSzc_bpJFWwQUf0/edit?usp=share_link"",""แม่ฮ่องสอน!J717"")+IMPORTRANGE(""https://docs.google.com/spreadsheets/d/1p7ERhsr0qZeSn-KSOdeHS9r0heI-lHtkcn2OH7hP0jQ/edit?usp=share_link"",""ลำปาง!"&amp;"J717"")+IMPORTRANGE(""https://docs.google.com/spreadsheets/d/1-uUXvimVhiU2U0bMN-xi2te0tS4X7DI2GLPnMjzl8cA/edit?usp=share_link"",""ลำพูน!J717"")+IMPORTRANGE(""https://docs.google.com/spreadsheets/d/17HrOaa5pBUI1onckFfumXB8xlg35qb2uBAFfF1D-Myo/edit?usp=shar"&amp;"e_link"",""สุโขทัย!J717"")+IMPORTRANGE(""https://docs.google.com/spreadsheets/d/1ubs5cl16eYL9gHbdHTJtmtYb9MGzHBs7CAphn8kNCgM/edit?usp=share_link"",""อุตรดิตถ์!J717"")+IMPORTRANGE(""https://docs.google.com/spreadsheets/d/1kII0BjS6CtVrBvI8IrytgPdxDrlyQDyigz"&amp;"MsohRtDMs/edit?usp=share_link"",""อุทัยธานี!J717"")
"),0)</f>
        <v>0</v>
      </c>
      <c r="K717" s="38"/>
      <c r="L717" s="730"/>
      <c r="M717" s="189"/>
      <c r="N717" s="730"/>
      <c r="O717" s="38"/>
      <c r="P717" s="38"/>
      <c r="Q717" s="541"/>
      <c r="R717" s="541"/>
      <c r="S717" s="541"/>
      <c r="T717" s="541"/>
      <c r="U717" s="541"/>
      <c r="V717" s="541"/>
      <c r="W717" s="541"/>
      <c r="X717" s="541"/>
      <c r="Y717" s="541"/>
      <c r="Z717" s="541"/>
    </row>
    <row r="718" spans="1:26" ht="18.75">
      <c r="A718" s="708"/>
      <c r="B718" s="539"/>
      <c r="C718" s="539"/>
      <c r="D718" s="540" t="s">
        <v>304</v>
      </c>
      <c r="E718" s="539"/>
      <c r="F718" s="539"/>
      <c r="G718" s="189"/>
      <c r="H718" s="182" t="s">
        <v>35</v>
      </c>
      <c r="I718" s="729"/>
      <c r="J718" s="37">
        <f ca="1">IFERROR(__xludf.DUMMYFUNCTION("IMPORTRANGE(""https://docs.google.com/spreadsheets/d/1KxicF4apzSqm0-jIpmueT4kyZtE-Cwn5zskl7GD4loQ/edit?usp=share_link"",""กำแพงเพชร!J718"")+IMPORTRANGE(""https://docs.google.com/spreadsheets/d/1ZNYWeiFoFA1K1U4xKWqRX29MBvEyRHXORjo734Gnq_c/edit?usp=share_li"&amp;"nk"",""เชียงราย!J718"")
+IMPORTRANGE(""https://docs.google.com/spreadsheets/d/1Jgv0Y7YlHDtsiDawwp-uvifEJ8HVaSn0k2aGHG8-hwM/edit?usp=share_link"",""เชียงใหม่!J718"")+IMPORTRANGE(""https://docs.google.com/spreadsheets/d/1JWG2rZePOz9pe-f-ObA-yDr0VoOX2kSb0qIi"&amp;"x2mTUo8/edit?usp=share_link"",""ตาก!J718"")+IMPORTRANGE(""https://docs.google.com/spreadsheets/d/10nSRjK08hx8Y6HgSOQKNw81lyY46Zc7U_Cj72hBMp9U/edit?usp=share_link"",""นครสวรรค์!J718"")+IMPORTRANGE(""https://docs.google.com/spreadsheets/d/1gFVb7qd7amutrIxAA"&amp;"oM7lcy35hllxznovot8lyOfvDo/edit?usp=share_link"",""น่าน!J718"")+IMPORTRANGE(""https://docs.google.com/spreadsheets/d/1K0Aa9s-6EuHE5M0FG1F9aHLXRCOV917xvycTdLdct0w/edit?usp=share_link"",""พะเยา!J718"")+IMPORTRANGE(""https://docs.google.com/spreadsheets/d/1Y"&amp;"9LPKx95PyL5OKy09d-KbKJSuuEZCFdkhYjwC0XQjBA/edit?usp=share_link"",""พิจิตร!J718"")+IMPORTRANGE(""https://docs.google.com/spreadsheets/d/16OMuOwy2eVqZcYWOouQtTpa8X1L23h4660uVHc0C8os/edit?usp=share_link"",""พิษณุโลก!J718"")+IMPORTRANGE(""https://docs.google."&amp;"com/spreadsheets/d/1GfgTldLG6k77HXaMQzaafODklYuucJZQNs_GAPEfZyY/edit?usp=share_link"",""เพชรบูรณ์!J718"")+IMPORTRANGE(""https://docs.google.com/spreadsheets/d/1gvTMYAnm7v1yG1BKWFtr0DnaTsq59oW9dwWvFgq6hs0/edit?usp=share_link"",""แพร่!J718"")+IMPORTRANGE("""&amp;"https://docs.google.com/spreadsheets/d/1Wbcosgy-Xa1xXUArJSOenub6EfZHUSzc_bpJFWwQUf0/edit?usp=share_link"",""แม่ฮ่องสอน!J718"")+IMPORTRANGE(""https://docs.google.com/spreadsheets/d/1p7ERhsr0qZeSn-KSOdeHS9r0heI-lHtkcn2OH7hP0jQ/edit?usp=share_link"",""ลำปาง!"&amp;"J718"")+IMPORTRANGE(""https://docs.google.com/spreadsheets/d/1-uUXvimVhiU2U0bMN-xi2te0tS4X7DI2GLPnMjzl8cA/edit?usp=share_link"",""ลำพูน!J718"")+IMPORTRANGE(""https://docs.google.com/spreadsheets/d/17HrOaa5pBUI1onckFfumXB8xlg35qb2uBAFfF1D-Myo/edit?usp=shar"&amp;"e_link"",""สุโขทัย!J718"")+IMPORTRANGE(""https://docs.google.com/spreadsheets/d/1ubs5cl16eYL9gHbdHTJtmtYb9MGzHBs7CAphn8kNCgM/edit?usp=share_link"",""อุตรดิตถ์!J718"")+IMPORTRANGE(""https://docs.google.com/spreadsheets/d/1kII0BjS6CtVrBvI8IrytgPdxDrlyQDyigz"&amp;"MsohRtDMs/edit?usp=share_link"",""อุทัยธานี!J718"")
"),0)</f>
        <v>0</v>
      </c>
      <c r="K718" s="38"/>
      <c r="L718" s="38"/>
      <c r="M718" s="189"/>
      <c r="N718" s="730"/>
      <c r="O718" s="38"/>
      <c r="P718" s="38"/>
      <c r="Q718" s="541"/>
      <c r="R718" s="541"/>
      <c r="S718" s="541"/>
      <c r="T718" s="541"/>
      <c r="U718" s="541"/>
      <c r="V718" s="541"/>
      <c r="W718" s="541"/>
      <c r="X718" s="541"/>
      <c r="Y718" s="541"/>
      <c r="Z718" s="541"/>
    </row>
    <row r="719" spans="1:26" ht="18.75">
      <c r="A719" s="708"/>
      <c r="B719" s="539"/>
      <c r="C719" s="539"/>
      <c r="D719" s="539"/>
      <c r="E719" s="539"/>
      <c r="F719" s="539"/>
      <c r="G719" s="189"/>
      <c r="H719" s="182" t="s">
        <v>34</v>
      </c>
      <c r="I719" s="729"/>
      <c r="J719" s="37">
        <f ca="1">IFERROR(__xludf.DUMMYFUNCTION("IMPORTRANGE(""https://docs.google.com/spreadsheets/d/1KxicF4apzSqm0-jIpmueT4kyZtE-Cwn5zskl7GD4loQ/edit?usp=share_link"",""กำแพงเพชร!J719"")+IMPORTRANGE(""https://docs.google.com/spreadsheets/d/1ZNYWeiFoFA1K1U4xKWqRX29MBvEyRHXORjo734Gnq_c/edit?usp=share_li"&amp;"nk"",""เชียงราย!J719"")
+IMPORTRANGE(""https://docs.google.com/spreadsheets/d/1Jgv0Y7YlHDtsiDawwp-uvifEJ8HVaSn0k2aGHG8-hwM/edit?usp=share_link"",""เชียงใหม่!J719"")+IMPORTRANGE(""https://docs.google.com/spreadsheets/d/1JWG2rZePOz9pe-f-ObA-yDr0VoOX2kSb0qIi"&amp;"x2mTUo8/edit?usp=share_link"",""ตาก!J719"")+IMPORTRANGE(""https://docs.google.com/spreadsheets/d/10nSRjK08hx8Y6HgSOQKNw81lyY46Zc7U_Cj72hBMp9U/edit?usp=share_link"",""นครสวรรค์!J719"")+IMPORTRANGE(""https://docs.google.com/spreadsheets/d/1gFVb7qd7amutrIxAA"&amp;"oM7lcy35hllxznovot8lyOfvDo/edit?usp=share_link"",""น่าน!J719"")+IMPORTRANGE(""https://docs.google.com/spreadsheets/d/1K0Aa9s-6EuHE5M0FG1F9aHLXRCOV917xvycTdLdct0w/edit?usp=share_link"",""พะเยา!J719"")+IMPORTRANGE(""https://docs.google.com/spreadsheets/d/1Y"&amp;"9LPKx95PyL5OKy09d-KbKJSuuEZCFdkhYjwC0XQjBA/edit?usp=share_link"",""พิจิตร!J719"")+IMPORTRANGE(""https://docs.google.com/spreadsheets/d/16OMuOwy2eVqZcYWOouQtTpa8X1L23h4660uVHc0C8os/edit?usp=share_link"",""พิษณุโลก!J719"")+IMPORTRANGE(""https://docs.google."&amp;"com/spreadsheets/d/1GfgTldLG6k77HXaMQzaafODklYuucJZQNs_GAPEfZyY/edit?usp=share_link"",""เพชรบูรณ์!J719"")+IMPORTRANGE(""https://docs.google.com/spreadsheets/d/1gvTMYAnm7v1yG1BKWFtr0DnaTsq59oW9dwWvFgq6hs0/edit?usp=share_link"",""แพร่!J719"")+IMPORTRANGE("""&amp;"https://docs.google.com/spreadsheets/d/1Wbcosgy-Xa1xXUArJSOenub6EfZHUSzc_bpJFWwQUf0/edit?usp=share_link"",""แม่ฮ่องสอน!J719"")+IMPORTRANGE(""https://docs.google.com/spreadsheets/d/1p7ERhsr0qZeSn-KSOdeHS9r0heI-lHtkcn2OH7hP0jQ/edit?usp=share_link"",""ลำปาง!"&amp;"J719"")+IMPORTRANGE(""https://docs.google.com/spreadsheets/d/1-uUXvimVhiU2U0bMN-xi2te0tS4X7DI2GLPnMjzl8cA/edit?usp=share_link"",""ลำพูน!J719"")+IMPORTRANGE(""https://docs.google.com/spreadsheets/d/17HrOaa5pBUI1onckFfumXB8xlg35qb2uBAFfF1D-Myo/edit?usp=shar"&amp;"e_link"",""สุโขทัย!J719"")+IMPORTRANGE(""https://docs.google.com/spreadsheets/d/1ubs5cl16eYL9gHbdHTJtmtYb9MGzHBs7CAphn8kNCgM/edit?usp=share_link"",""อุตรดิตถ์!J719"")+IMPORTRANGE(""https://docs.google.com/spreadsheets/d/1kII0BjS6CtVrBvI8IrytgPdxDrlyQDyigz"&amp;"MsohRtDMs/edit?usp=share_link"",""อุทัยธานี!J719"")
"),0)</f>
        <v>0</v>
      </c>
      <c r="K719" s="38"/>
      <c r="L719" s="730"/>
      <c r="M719" s="189"/>
      <c r="N719" s="730"/>
      <c r="O719" s="38"/>
      <c r="P719" s="38"/>
      <c r="Q719" s="541"/>
      <c r="R719" s="541"/>
      <c r="S719" s="541"/>
      <c r="T719" s="541"/>
      <c r="U719" s="541"/>
      <c r="V719" s="541"/>
      <c r="W719" s="541"/>
      <c r="X719" s="541"/>
      <c r="Y719" s="541"/>
      <c r="Z719" s="541"/>
    </row>
    <row r="720" spans="1:26" ht="18.75">
      <c r="A720" s="708"/>
      <c r="B720" s="539"/>
      <c r="C720" s="539"/>
      <c r="D720" s="539"/>
      <c r="E720" s="539"/>
      <c r="F720" s="539"/>
      <c r="G720" s="189"/>
      <c r="H720" s="182" t="s">
        <v>46</v>
      </c>
      <c r="I720" s="729">
        <f ca="1">IFERROR(__xludf.DUMMYFUNCTION("IMPORTRANGE(""https://docs.google.com/spreadsheets/d/1KxicF4apzSqm0-jIpmueT4kyZtE-Cwn5zskl7GD4loQ/edit?usp=share_link"",""กำแพงเพชร!I720"")+IMPORTRANGE(""https://docs.google.com/spreadsheets/d/1ZNYWeiFoFA1K1U4xKWqRX29MBvEyRHXORjo734Gnq_c/edit?usp=share_li"&amp;"nk"",""เชียงราย!I720"")
+IMPORTRANGE(""https://docs.google.com/spreadsheets/d/1Jgv0Y7YlHDtsiDawwp-uvifEJ8HVaSn0k2aGHG8-hwM/edit?usp=share_link"",""เชียงใหม่!I720"")+IMPORTRANGE(""https://docs.google.com/spreadsheets/d/1JWG2rZePOz9pe-f-ObA-yDr0VoOX2kSb0qIi"&amp;"x2mTUo8/edit?usp=share_link"",""ตาก!I720"")+IMPORTRANGE(""https://docs.google.com/spreadsheets/d/10nSRjK08hx8Y6HgSOQKNw81lyY46Zc7U_Cj72hBMp9U/edit?usp=share_link"",""นครสวรรค์!I720"")+IMPORTRANGE(""https://docs.google.com/spreadsheets/d/1gFVb7qd7amutrIxAA"&amp;"oM7lcy35hllxznovot8lyOfvDo/edit?usp=share_link"",""น่าน!I720"")+IMPORTRANGE(""https://docs.google.com/spreadsheets/d/1K0Aa9s-6EuHE5M0FG1F9aHLXRCOV917xvycTdLdct0w/edit?usp=share_link"",""พะเยา!I720"")+IMPORTRANGE(""https://docs.google.com/spreadsheets/d/1Y"&amp;"9LPKx95PyL5OKy09d-KbKJSuuEZCFdkhYjwC0XQjBA/edit?usp=share_link"",""พิจิตร!I720"")+IMPORTRANGE(""https://docs.google.com/spreadsheets/d/16OMuOwy2eVqZcYWOouQtTpa8X1L23h4660uVHc0C8os/edit?usp=share_link"",""พิษณุโลก!I720"")+IMPORTRANGE(""https://docs.google."&amp;"com/spreadsheets/d/1GfgTldLG6k77HXaMQzaafODklYuucJZQNs_GAPEfZyY/edit?usp=share_link"",""เพชรบูรณ์!I720"")+IMPORTRANGE(""https://docs.google.com/spreadsheets/d/1gvTMYAnm7v1yG1BKWFtr0DnaTsq59oW9dwWvFgq6hs0/edit?usp=share_link"",""แพร่!I720"")+IMPORTRANGE("""&amp;"https://docs.google.com/spreadsheets/d/1Wbcosgy-Xa1xXUArJSOenub6EfZHUSzc_bpJFWwQUf0/edit?usp=share_link"",""แม่ฮ่องสอน!I720"")+IMPORTRANGE(""https://docs.google.com/spreadsheets/d/1p7ERhsr0qZeSn-KSOdeHS9r0heI-lHtkcn2OH7hP0jQ/edit?usp=share_link"",""ลำปาง!"&amp;"I720"")+IMPORTRANGE(""https://docs.google.com/spreadsheets/d/1-uUXvimVhiU2U0bMN-xi2te0tS4X7DI2GLPnMjzl8cA/edit?usp=share_link"",""ลำพูน!I720"")+IMPORTRANGE(""https://docs.google.com/spreadsheets/d/17HrOaa5pBUI1onckFfumXB8xlg35qb2uBAFfF1D-Myo/edit?usp=shar"&amp;"e_link"",""สุโขทัย!I720"")+IMPORTRANGE(""https://docs.google.com/spreadsheets/d/1ubs5cl16eYL9gHbdHTJtmtYb9MGzHBs7CAphn8kNCgM/edit?usp=share_link"",""อุตรดิตถ์!I720"")+IMPORTRANGE(""https://docs.google.com/spreadsheets/d/1kII0BjS6CtVrBvI8IrytgPdxDrlyQDyigz"&amp;"MsohRtDMs/edit?usp=share_link"",""อุทัยธานี!I720"")
"),3778)</f>
        <v>3778</v>
      </c>
      <c r="J720" s="37">
        <f ca="1">IFERROR(__xludf.DUMMYFUNCTION("IMPORTRANGE(""https://docs.google.com/spreadsheets/d/1KxicF4apzSqm0-jIpmueT4kyZtE-Cwn5zskl7GD4loQ/edit?usp=share_link"",""กำแพงเพชร!J720"")+IMPORTRANGE(""https://docs.google.com/spreadsheets/d/1ZNYWeiFoFA1K1U4xKWqRX29MBvEyRHXORjo734Gnq_c/edit?usp=share_li"&amp;"nk"",""เชียงราย!J720"")
+IMPORTRANGE(""https://docs.google.com/spreadsheets/d/1Jgv0Y7YlHDtsiDawwp-uvifEJ8HVaSn0k2aGHG8-hwM/edit?usp=share_link"",""เชียงใหม่!J720"")+IMPORTRANGE(""https://docs.google.com/spreadsheets/d/1JWG2rZePOz9pe-f-ObA-yDr0VoOX2kSb0qIi"&amp;"x2mTUo8/edit?usp=share_link"",""ตาก!J720"")+IMPORTRANGE(""https://docs.google.com/spreadsheets/d/10nSRjK08hx8Y6HgSOQKNw81lyY46Zc7U_Cj72hBMp9U/edit?usp=share_link"",""นครสวรรค์!J720"")+IMPORTRANGE(""https://docs.google.com/spreadsheets/d/1gFVb7qd7amutrIxAA"&amp;"oM7lcy35hllxznovot8lyOfvDo/edit?usp=share_link"",""น่าน!J720"")+IMPORTRANGE(""https://docs.google.com/spreadsheets/d/1K0Aa9s-6EuHE5M0FG1F9aHLXRCOV917xvycTdLdct0w/edit?usp=share_link"",""พะเยา!J720"")+IMPORTRANGE(""https://docs.google.com/spreadsheets/d/1Y"&amp;"9LPKx95PyL5OKy09d-KbKJSuuEZCFdkhYjwC0XQjBA/edit?usp=share_link"",""พิจิตร!J720"")+IMPORTRANGE(""https://docs.google.com/spreadsheets/d/16OMuOwy2eVqZcYWOouQtTpa8X1L23h4660uVHc0C8os/edit?usp=share_link"",""พิษณุโลก!J720"")+IMPORTRANGE(""https://docs.google."&amp;"com/spreadsheets/d/1GfgTldLG6k77HXaMQzaafODklYuucJZQNs_GAPEfZyY/edit?usp=share_link"",""เพชรบูรณ์!J720"")+IMPORTRANGE(""https://docs.google.com/spreadsheets/d/1gvTMYAnm7v1yG1BKWFtr0DnaTsq59oW9dwWvFgq6hs0/edit?usp=share_link"",""แพร่!J720"")+IMPORTRANGE("""&amp;"https://docs.google.com/spreadsheets/d/1Wbcosgy-Xa1xXUArJSOenub6EfZHUSzc_bpJFWwQUf0/edit?usp=share_link"",""แม่ฮ่องสอน!J720"")+IMPORTRANGE(""https://docs.google.com/spreadsheets/d/1p7ERhsr0qZeSn-KSOdeHS9r0heI-lHtkcn2OH7hP0jQ/edit?usp=share_link"",""ลำปาง!"&amp;"J720"")+IMPORTRANGE(""https://docs.google.com/spreadsheets/d/1-uUXvimVhiU2U0bMN-xi2te0tS4X7DI2GLPnMjzl8cA/edit?usp=share_link"",""ลำพูน!J720"")+IMPORTRANGE(""https://docs.google.com/spreadsheets/d/17HrOaa5pBUI1onckFfumXB8xlg35qb2uBAFfF1D-Myo/edit?usp=shar"&amp;"e_link"",""สุโขทัย!J720"")+IMPORTRANGE(""https://docs.google.com/spreadsheets/d/1ubs5cl16eYL9gHbdHTJtmtYb9MGzHBs7CAphn8kNCgM/edit?usp=share_link"",""อุตรดิตถ์!J720"")+IMPORTRANGE(""https://docs.google.com/spreadsheets/d/1kII0BjS6CtVrBvI8IrytgPdxDrlyQDyigz"&amp;"MsohRtDMs/edit?usp=share_link"",""อุทัยธานี!J720"")
"),0)</f>
        <v>0</v>
      </c>
      <c r="K720" s="38">
        <f t="shared" ref="K720:K723" ca="1" si="332">IF(I720&gt;0,J720*100/I720,0)</f>
        <v>0</v>
      </c>
      <c r="L720" s="730"/>
      <c r="M720" s="189"/>
      <c r="N720" s="730"/>
      <c r="O720" s="38"/>
      <c r="P720" s="38"/>
      <c r="Q720" s="541"/>
      <c r="R720" s="541"/>
      <c r="S720" s="541"/>
      <c r="T720" s="541"/>
      <c r="U720" s="541"/>
      <c r="V720" s="541"/>
      <c r="W720" s="541"/>
      <c r="X720" s="541"/>
      <c r="Y720" s="541"/>
      <c r="Z720" s="541"/>
    </row>
    <row r="721" spans="1:26" ht="19.5">
      <c r="A721" s="708"/>
      <c r="B721" s="539"/>
      <c r="C721" s="539"/>
      <c r="D721" s="540" t="s">
        <v>305</v>
      </c>
      <c r="E721" s="539"/>
      <c r="F721" s="539"/>
      <c r="G721" s="189"/>
      <c r="H721" s="716" t="s">
        <v>35</v>
      </c>
      <c r="I721" s="732">
        <f ca="1">IFERROR(__xludf.DUMMYFUNCTION("IMPORTRANGE(""https://docs.google.com/spreadsheets/d/1KxicF4apzSqm0-jIpmueT4kyZtE-Cwn5zskl7GD4loQ/edit?usp=share_link"",""กำแพงเพชร!I721"")+IMPORTRANGE(""https://docs.google.com/spreadsheets/d/1ZNYWeiFoFA1K1U4xKWqRX29MBvEyRHXORjo734Gnq_c/edit?usp=share_li"&amp;"nk"",""เชียงราย!I721"")
+IMPORTRANGE(""https://docs.google.com/spreadsheets/d/1Jgv0Y7YlHDtsiDawwp-uvifEJ8HVaSn0k2aGHG8-hwM/edit?usp=share_link"",""เชียงใหม่!I721"")+IMPORTRANGE(""https://docs.google.com/spreadsheets/d/1JWG2rZePOz9pe-f-ObA-yDr0VoOX2kSb0qIi"&amp;"x2mTUo8/edit?usp=share_link"",""ตาก!I721"")+IMPORTRANGE(""https://docs.google.com/spreadsheets/d/10nSRjK08hx8Y6HgSOQKNw81lyY46Zc7U_Cj72hBMp9U/edit?usp=share_link"",""นครสวรรค์!I721"")+IMPORTRANGE(""https://docs.google.com/spreadsheets/d/1gFVb7qd7amutrIxAA"&amp;"oM7lcy35hllxznovot8lyOfvDo/edit?usp=share_link"",""น่าน!I721"")+IMPORTRANGE(""https://docs.google.com/spreadsheets/d/1K0Aa9s-6EuHE5M0FG1F9aHLXRCOV917xvycTdLdct0w/edit?usp=share_link"",""พะเยา!I721"")+IMPORTRANGE(""https://docs.google.com/spreadsheets/d/1Y"&amp;"9LPKx95PyL5OKy09d-KbKJSuuEZCFdkhYjwC0XQjBA/edit?usp=share_link"",""พิจิตร!I721"")+IMPORTRANGE(""https://docs.google.com/spreadsheets/d/16OMuOwy2eVqZcYWOouQtTpa8X1L23h4660uVHc0C8os/edit?usp=share_link"",""พิษณุโลก!I721"")+IMPORTRANGE(""https://docs.google."&amp;"com/spreadsheets/d/1GfgTldLG6k77HXaMQzaafODklYuucJZQNs_GAPEfZyY/edit?usp=share_link"",""เพชรบูรณ์!I721"")+IMPORTRANGE(""https://docs.google.com/spreadsheets/d/1gvTMYAnm7v1yG1BKWFtr0DnaTsq59oW9dwWvFgq6hs0/edit?usp=share_link"",""แพร่!I721"")+IMPORTRANGE("""&amp;"https://docs.google.com/spreadsheets/d/1Wbcosgy-Xa1xXUArJSOenub6EfZHUSzc_bpJFWwQUf0/edit?usp=share_link"",""แม่ฮ่องสอน!I721"")+IMPORTRANGE(""https://docs.google.com/spreadsheets/d/1p7ERhsr0qZeSn-KSOdeHS9r0heI-lHtkcn2OH7hP0jQ/edit?usp=share_link"",""ลำปาง!"&amp;"I721"")+IMPORTRANGE(""https://docs.google.com/spreadsheets/d/1-uUXvimVhiU2U0bMN-xi2te0tS4X7DI2GLPnMjzl8cA/edit?usp=share_link"",""ลำพูน!I721"")+IMPORTRANGE(""https://docs.google.com/spreadsheets/d/17HrOaa5pBUI1onckFfumXB8xlg35qb2uBAFfF1D-Myo/edit?usp=shar"&amp;"e_link"",""สุโขทัย!I721"")+IMPORTRANGE(""https://docs.google.com/spreadsheets/d/1ubs5cl16eYL9gHbdHTJtmtYb9MGzHBs7CAphn8kNCgM/edit?usp=share_link"",""อุตรดิตถ์!I721"")+IMPORTRANGE(""https://docs.google.com/spreadsheets/d/1kII0BjS6CtVrBvI8IrytgPdxDrlyQDyigz"&amp;"MsohRtDMs/edit?usp=share_link"",""อุทัยธานี!I721"")
"),105)</f>
        <v>105</v>
      </c>
      <c r="J721" s="194">
        <f ca="1">J723+J726</f>
        <v>0</v>
      </c>
      <c r="K721" s="195">
        <f t="shared" ca="1" si="332"/>
        <v>0</v>
      </c>
      <c r="L721" s="730"/>
      <c r="M721" s="189"/>
      <c r="N721" s="730"/>
      <c r="O721" s="38"/>
      <c r="P721" s="38"/>
      <c r="Q721" s="541"/>
      <c r="R721" s="541"/>
      <c r="S721" s="541"/>
      <c r="T721" s="541"/>
      <c r="U721" s="541"/>
      <c r="V721" s="541"/>
      <c r="W721" s="541"/>
      <c r="X721" s="541"/>
      <c r="Y721" s="541"/>
      <c r="Z721" s="541"/>
    </row>
    <row r="722" spans="1:26" ht="19.5">
      <c r="A722" s="708"/>
      <c r="B722" s="539"/>
      <c r="C722" s="539"/>
      <c r="D722" s="539"/>
      <c r="E722" s="540"/>
      <c r="F722" s="539"/>
      <c r="G722" s="189"/>
      <c r="H722" s="716" t="s">
        <v>46</v>
      </c>
      <c r="I722" s="732">
        <f ca="1">IFERROR(__xludf.DUMMYFUNCTION("IMPORTRANGE(""https://docs.google.com/spreadsheets/d/1KxicF4apzSqm0-jIpmueT4kyZtE-Cwn5zskl7GD4loQ/edit?usp=share_link"",""กำแพงเพชร!I722"")+IMPORTRANGE(""https://docs.google.com/spreadsheets/d/1ZNYWeiFoFA1K1U4xKWqRX29MBvEyRHXORjo734Gnq_c/edit?usp=share_li"&amp;"nk"",""เชียงราย!I722"")
+IMPORTRANGE(""https://docs.google.com/spreadsheets/d/1Jgv0Y7YlHDtsiDawwp-uvifEJ8HVaSn0k2aGHG8-hwM/edit?usp=share_link"",""เชียงใหม่!I722"")+IMPORTRANGE(""https://docs.google.com/spreadsheets/d/1JWG2rZePOz9pe-f-ObA-yDr0VoOX2kSb0qIi"&amp;"x2mTUo8/edit?usp=share_link"",""ตาก!I722"")+IMPORTRANGE(""https://docs.google.com/spreadsheets/d/10nSRjK08hx8Y6HgSOQKNw81lyY46Zc7U_Cj72hBMp9U/edit?usp=share_link"",""นครสวรรค์!I722"")+IMPORTRANGE(""https://docs.google.com/spreadsheets/d/1gFVb7qd7amutrIxAA"&amp;"oM7lcy35hllxznovot8lyOfvDo/edit?usp=share_link"",""น่าน!I722"")+IMPORTRANGE(""https://docs.google.com/spreadsheets/d/1K0Aa9s-6EuHE5M0FG1F9aHLXRCOV917xvycTdLdct0w/edit?usp=share_link"",""พะเยา!I722"")+IMPORTRANGE(""https://docs.google.com/spreadsheets/d/1Y"&amp;"9LPKx95PyL5OKy09d-KbKJSuuEZCFdkhYjwC0XQjBA/edit?usp=share_link"",""พิจิตร!I722"")+IMPORTRANGE(""https://docs.google.com/spreadsheets/d/16OMuOwy2eVqZcYWOouQtTpa8X1L23h4660uVHc0C8os/edit?usp=share_link"",""พิษณุโลก!I722"")+IMPORTRANGE(""https://docs.google."&amp;"com/spreadsheets/d/1GfgTldLG6k77HXaMQzaafODklYuucJZQNs_GAPEfZyY/edit?usp=share_link"",""เพชรบูรณ์!I722"")+IMPORTRANGE(""https://docs.google.com/spreadsheets/d/1gvTMYAnm7v1yG1BKWFtr0DnaTsq59oW9dwWvFgq6hs0/edit?usp=share_link"",""แพร่!I722"")+IMPORTRANGE("""&amp;"https://docs.google.com/spreadsheets/d/1Wbcosgy-Xa1xXUArJSOenub6EfZHUSzc_bpJFWwQUf0/edit?usp=share_link"",""แม่ฮ่องสอน!I722"")+IMPORTRANGE(""https://docs.google.com/spreadsheets/d/1p7ERhsr0qZeSn-KSOdeHS9r0heI-lHtkcn2OH7hP0jQ/edit?usp=share_link"",""ลำปาง!"&amp;"I722"")+IMPORTRANGE(""https://docs.google.com/spreadsheets/d/1-uUXvimVhiU2U0bMN-xi2te0tS4X7DI2GLPnMjzl8cA/edit?usp=share_link"",""ลำพูน!I722"")+IMPORTRANGE(""https://docs.google.com/spreadsheets/d/17HrOaa5pBUI1onckFfumXB8xlg35qb2uBAFfF1D-Myo/edit?usp=shar"&amp;"e_link"",""สุโขทัย!I722"")+IMPORTRANGE(""https://docs.google.com/spreadsheets/d/1ubs5cl16eYL9gHbdHTJtmtYb9MGzHBs7CAphn8kNCgM/edit?usp=share_link"",""อุตรดิตถ์!I722"")+IMPORTRANGE(""https://docs.google.com/spreadsheets/d/1kII0BjS6CtVrBvI8IrytgPdxDrlyQDyigz"&amp;"MsohRtDMs/edit?usp=share_link"",""อุทัยธานี!I722"")
"),1659)</f>
        <v>1659</v>
      </c>
      <c r="J722" s="194">
        <f ca="1">J725+J728</f>
        <v>0</v>
      </c>
      <c r="K722" s="195">
        <f t="shared" ca="1" si="332"/>
        <v>0</v>
      </c>
      <c r="L722" s="38"/>
      <c r="M722" s="189"/>
      <c r="N722" s="730"/>
      <c r="O722" s="38"/>
      <c r="P722" s="38"/>
      <c r="Q722" s="541"/>
      <c r="R722" s="541"/>
      <c r="S722" s="541"/>
      <c r="T722" s="541"/>
      <c r="U722" s="541"/>
      <c r="V722" s="541"/>
      <c r="W722" s="541"/>
      <c r="X722" s="541"/>
      <c r="Y722" s="541"/>
      <c r="Z722" s="541"/>
    </row>
    <row r="723" spans="1:26" ht="18.75">
      <c r="A723" s="708"/>
      <c r="B723" s="539"/>
      <c r="C723" s="539"/>
      <c r="D723" s="539"/>
      <c r="E723" s="540" t="s">
        <v>306</v>
      </c>
      <c r="F723" s="539"/>
      <c r="G723" s="189"/>
      <c r="H723" s="182" t="s">
        <v>35</v>
      </c>
      <c r="I723" s="729">
        <f ca="1">IFERROR(__xludf.DUMMYFUNCTION("IMPORTRANGE(""https://docs.google.com/spreadsheets/d/1KxicF4apzSqm0-jIpmueT4kyZtE-Cwn5zskl7GD4loQ/edit?usp=share_link"",""กำแพงเพชร!I723"")+IMPORTRANGE(""https://docs.google.com/spreadsheets/d/1ZNYWeiFoFA1K1U4xKWqRX29MBvEyRHXORjo734Gnq_c/edit?usp=share_li"&amp;"nk"",""เชียงราย!I723"")
+IMPORTRANGE(""https://docs.google.com/spreadsheets/d/1Jgv0Y7YlHDtsiDawwp-uvifEJ8HVaSn0k2aGHG8-hwM/edit?usp=share_link"",""เชียงใหม่!I723"")+IMPORTRANGE(""https://docs.google.com/spreadsheets/d/1JWG2rZePOz9pe-f-ObA-yDr0VoOX2kSb0qIi"&amp;"x2mTUo8/edit?usp=share_link"",""ตาก!I723"")+IMPORTRANGE(""https://docs.google.com/spreadsheets/d/10nSRjK08hx8Y6HgSOQKNw81lyY46Zc7U_Cj72hBMp9U/edit?usp=share_link"",""นครสวรรค์!I723"")+IMPORTRANGE(""https://docs.google.com/spreadsheets/d/1gFVb7qd7amutrIxAA"&amp;"oM7lcy35hllxznovot8lyOfvDo/edit?usp=share_link"",""น่าน!I723"")+IMPORTRANGE(""https://docs.google.com/spreadsheets/d/1K0Aa9s-6EuHE5M0FG1F9aHLXRCOV917xvycTdLdct0w/edit?usp=share_link"",""พะเยา!I723"")+IMPORTRANGE(""https://docs.google.com/spreadsheets/d/1Y"&amp;"9LPKx95PyL5OKy09d-KbKJSuuEZCFdkhYjwC0XQjBA/edit?usp=share_link"",""พิจิตร!I723"")+IMPORTRANGE(""https://docs.google.com/spreadsheets/d/16OMuOwy2eVqZcYWOouQtTpa8X1L23h4660uVHc0C8os/edit?usp=share_link"",""พิษณุโลก!I723"")+IMPORTRANGE(""https://docs.google."&amp;"com/spreadsheets/d/1GfgTldLG6k77HXaMQzaafODklYuucJZQNs_GAPEfZyY/edit?usp=share_link"",""เพชรบูรณ์!I723"")+IMPORTRANGE(""https://docs.google.com/spreadsheets/d/1gvTMYAnm7v1yG1BKWFtr0DnaTsq59oW9dwWvFgq6hs0/edit?usp=share_link"",""แพร่!I723"")+IMPORTRANGE("""&amp;"https://docs.google.com/spreadsheets/d/1Wbcosgy-Xa1xXUArJSOenub6EfZHUSzc_bpJFWwQUf0/edit?usp=share_link"",""แม่ฮ่องสอน!I723"")+IMPORTRANGE(""https://docs.google.com/spreadsheets/d/1p7ERhsr0qZeSn-KSOdeHS9r0heI-lHtkcn2OH7hP0jQ/edit?usp=share_link"",""ลำปาง!"&amp;"I723"")+IMPORTRANGE(""https://docs.google.com/spreadsheets/d/1-uUXvimVhiU2U0bMN-xi2te0tS4X7DI2GLPnMjzl8cA/edit?usp=share_link"",""ลำพูน!I723"")+IMPORTRANGE(""https://docs.google.com/spreadsheets/d/17HrOaa5pBUI1onckFfumXB8xlg35qb2uBAFfF1D-Myo/edit?usp=shar"&amp;"e_link"",""สุโขทัย!I723"")+IMPORTRANGE(""https://docs.google.com/spreadsheets/d/1ubs5cl16eYL9gHbdHTJtmtYb9MGzHBs7CAphn8kNCgM/edit?usp=share_link"",""อุตรดิตถ์!I723"")+IMPORTRANGE(""https://docs.google.com/spreadsheets/d/1kII0BjS6CtVrBvI8IrytgPdxDrlyQDyigz"&amp;"MsohRtDMs/edit?usp=share_link"",""อุทัยธานี!I723"")
"),77)</f>
        <v>77</v>
      </c>
      <c r="J723" s="37">
        <f ca="1">IFERROR(__xludf.DUMMYFUNCTION("IMPORTRANGE(""https://docs.google.com/spreadsheets/d/1KxicF4apzSqm0-jIpmueT4kyZtE-Cwn5zskl7GD4loQ/edit?usp=share_link"",""กำแพงเพชร!J723"")+IMPORTRANGE(""https://docs.google.com/spreadsheets/d/1ZNYWeiFoFA1K1U4xKWqRX29MBvEyRHXORjo734Gnq_c/edit?usp=share_li"&amp;"nk"",""เชียงราย!J723"")
+IMPORTRANGE(""https://docs.google.com/spreadsheets/d/1Jgv0Y7YlHDtsiDawwp-uvifEJ8HVaSn0k2aGHG8-hwM/edit?usp=share_link"",""เชียงใหม่!J723"")+IMPORTRANGE(""https://docs.google.com/spreadsheets/d/1JWG2rZePOz9pe-f-ObA-yDr0VoOX2kSb0qIi"&amp;"x2mTUo8/edit?usp=share_link"",""ตาก!J723"")+IMPORTRANGE(""https://docs.google.com/spreadsheets/d/10nSRjK08hx8Y6HgSOQKNw81lyY46Zc7U_Cj72hBMp9U/edit?usp=share_link"",""นครสวรรค์!J723"")+IMPORTRANGE(""https://docs.google.com/spreadsheets/d/1gFVb7qd7amutrIxAA"&amp;"oM7lcy35hllxznovot8lyOfvDo/edit?usp=share_link"",""น่าน!J723"")+IMPORTRANGE(""https://docs.google.com/spreadsheets/d/1K0Aa9s-6EuHE5M0FG1F9aHLXRCOV917xvycTdLdct0w/edit?usp=share_link"",""พะเยา!J723"")+IMPORTRANGE(""https://docs.google.com/spreadsheets/d/1Y"&amp;"9LPKx95PyL5OKy09d-KbKJSuuEZCFdkhYjwC0XQjBA/edit?usp=share_link"",""พิจิตร!J723"")+IMPORTRANGE(""https://docs.google.com/spreadsheets/d/16OMuOwy2eVqZcYWOouQtTpa8X1L23h4660uVHc0C8os/edit?usp=share_link"",""พิษณุโลก!J723"")+IMPORTRANGE(""https://docs.google."&amp;"com/spreadsheets/d/1GfgTldLG6k77HXaMQzaafODklYuucJZQNs_GAPEfZyY/edit?usp=share_link"",""เพชรบูรณ์!J723"")+IMPORTRANGE(""https://docs.google.com/spreadsheets/d/1gvTMYAnm7v1yG1BKWFtr0DnaTsq59oW9dwWvFgq6hs0/edit?usp=share_link"",""แพร่!J723"")+IMPORTRANGE("""&amp;"https://docs.google.com/spreadsheets/d/1Wbcosgy-Xa1xXUArJSOenub6EfZHUSzc_bpJFWwQUf0/edit?usp=share_link"",""แม่ฮ่องสอน!J723"")+IMPORTRANGE(""https://docs.google.com/spreadsheets/d/1p7ERhsr0qZeSn-KSOdeHS9r0heI-lHtkcn2OH7hP0jQ/edit?usp=share_link"",""ลำปาง!"&amp;"J723"")+IMPORTRANGE(""https://docs.google.com/spreadsheets/d/1-uUXvimVhiU2U0bMN-xi2te0tS4X7DI2GLPnMjzl8cA/edit?usp=share_link"",""ลำพูน!J723"")+IMPORTRANGE(""https://docs.google.com/spreadsheets/d/17HrOaa5pBUI1onckFfumXB8xlg35qb2uBAFfF1D-Myo/edit?usp=shar"&amp;"e_link"",""สุโขทัย!J723"")+IMPORTRANGE(""https://docs.google.com/spreadsheets/d/1ubs5cl16eYL9gHbdHTJtmtYb9MGzHBs7CAphn8kNCgM/edit?usp=share_link"",""อุตรดิตถ์!J723"")+IMPORTRANGE(""https://docs.google.com/spreadsheets/d/1kII0BjS6CtVrBvI8IrytgPdxDrlyQDyigz"&amp;"MsohRtDMs/edit?usp=share_link"",""อุทัยธานี!J723"")
"),0)</f>
        <v>0</v>
      </c>
      <c r="K723" s="38">
        <f t="shared" ca="1" si="332"/>
        <v>0</v>
      </c>
      <c r="L723" s="38"/>
      <c r="M723" s="189"/>
      <c r="N723" s="730"/>
      <c r="O723" s="38"/>
      <c r="P723" s="38"/>
      <c r="Q723" s="541"/>
      <c r="R723" s="541"/>
      <c r="S723" s="541"/>
      <c r="T723" s="541"/>
      <c r="U723" s="541"/>
      <c r="V723" s="541"/>
      <c r="W723" s="541"/>
      <c r="X723" s="541"/>
      <c r="Y723" s="541"/>
      <c r="Z723" s="541"/>
    </row>
    <row r="724" spans="1:26" ht="18.75">
      <c r="A724" s="708"/>
      <c r="B724" s="539"/>
      <c r="C724" s="539"/>
      <c r="D724" s="539"/>
      <c r="E724" s="539"/>
      <c r="F724" s="539"/>
      <c r="G724" s="189"/>
      <c r="H724" s="182" t="s">
        <v>34</v>
      </c>
      <c r="I724" s="729"/>
      <c r="J724" s="37">
        <f ca="1">IFERROR(__xludf.DUMMYFUNCTION("IMPORTRANGE(""https://docs.google.com/spreadsheets/d/1KxicF4apzSqm0-jIpmueT4kyZtE-Cwn5zskl7GD4loQ/edit?usp=share_link"",""กำแพงเพชร!J724"")+IMPORTRANGE(""https://docs.google.com/spreadsheets/d/1ZNYWeiFoFA1K1U4xKWqRX29MBvEyRHXORjo734Gnq_c/edit?usp=share_li"&amp;"nk"",""เชียงราย!J724"")
+IMPORTRANGE(""https://docs.google.com/spreadsheets/d/1Jgv0Y7YlHDtsiDawwp-uvifEJ8HVaSn0k2aGHG8-hwM/edit?usp=share_link"",""เชียงใหม่!J724"")+IMPORTRANGE(""https://docs.google.com/spreadsheets/d/1JWG2rZePOz9pe-f-ObA-yDr0VoOX2kSb0qIi"&amp;"x2mTUo8/edit?usp=share_link"",""ตาก!J724"")+IMPORTRANGE(""https://docs.google.com/spreadsheets/d/10nSRjK08hx8Y6HgSOQKNw81lyY46Zc7U_Cj72hBMp9U/edit?usp=share_link"",""นครสวรรค์!J724"")+IMPORTRANGE(""https://docs.google.com/spreadsheets/d/1gFVb7qd7amutrIxAA"&amp;"oM7lcy35hllxznovot8lyOfvDo/edit?usp=share_link"",""น่าน!J724"")+IMPORTRANGE(""https://docs.google.com/spreadsheets/d/1K0Aa9s-6EuHE5M0FG1F9aHLXRCOV917xvycTdLdct0w/edit?usp=share_link"",""พะเยา!J724"")+IMPORTRANGE(""https://docs.google.com/spreadsheets/d/1Y"&amp;"9LPKx95PyL5OKy09d-KbKJSuuEZCFdkhYjwC0XQjBA/edit?usp=share_link"",""พิจิตร!J724"")+IMPORTRANGE(""https://docs.google.com/spreadsheets/d/16OMuOwy2eVqZcYWOouQtTpa8X1L23h4660uVHc0C8os/edit?usp=share_link"",""พิษณุโลก!J724"")+IMPORTRANGE(""https://docs.google."&amp;"com/spreadsheets/d/1GfgTldLG6k77HXaMQzaafODklYuucJZQNs_GAPEfZyY/edit?usp=share_link"",""เพชรบูรณ์!J724"")+IMPORTRANGE(""https://docs.google.com/spreadsheets/d/1gvTMYAnm7v1yG1BKWFtr0DnaTsq59oW9dwWvFgq6hs0/edit?usp=share_link"",""แพร่!J724"")+IMPORTRANGE("""&amp;"https://docs.google.com/spreadsheets/d/1Wbcosgy-Xa1xXUArJSOenub6EfZHUSzc_bpJFWwQUf0/edit?usp=share_link"",""แม่ฮ่องสอน!J724"")+IMPORTRANGE(""https://docs.google.com/spreadsheets/d/1p7ERhsr0qZeSn-KSOdeHS9r0heI-lHtkcn2OH7hP0jQ/edit?usp=share_link"",""ลำปาง!"&amp;"J724"")+IMPORTRANGE(""https://docs.google.com/spreadsheets/d/1-uUXvimVhiU2U0bMN-xi2te0tS4X7DI2GLPnMjzl8cA/edit?usp=share_link"",""ลำพูน!J724"")+IMPORTRANGE(""https://docs.google.com/spreadsheets/d/17HrOaa5pBUI1onckFfumXB8xlg35qb2uBAFfF1D-Myo/edit?usp=shar"&amp;"e_link"",""สุโขทัย!J724"")+IMPORTRANGE(""https://docs.google.com/spreadsheets/d/1ubs5cl16eYL9gHbdHTJtmtYb9MGzHBs7CAphn8kNCgM/edit?usp=share_link"",""อุตรดิตถ์!J724"")+IMPORTRANGE(""https://docs.google.com/spreadsheets/d/1kII0BjS6CtVrBvI8IrytgPdxDrlyQDyigz"&amp;"MsohRtDMs/edit?usp=share_link"",""อุทัยธานี!J724"")
"),0)</f>
        <v>0</v>
      </c>
      <c r="K724" s="38"/>
      <c r="L724" s="730"/>
      <c r="M724" s="189"/>
      <c r="N724" s="730"/>
      <c r="O724" s="38"/>
      <c r="P724" s="38"/>
      <c r="Q724" s="541"/>
      <c r="R724" s="541"/>
      <c r="S724" s="541"/>
      <c r="T724" s="541"/>
      <c r="U724" s="541"/>
      <c r="V724" s="541"/>
      <c r="W724" s="541"/>
      <c r="X724" s="541"/>
      <c r="Y724" s="541"/>
      <c r="Z724" s="541"/>
    </row>
    <row r="725" spans="1:26" ht="18.75">
      <c r="A725" s="708"/>
      <c r="B725" s="539"/>
      <c r="C725" s="539"/>
      <c r="D725" s="539"/>
      <c r="E725" s="539"/>
      <c r="F725" s="539"/>
      <c r="G725" s="189"/>
      <c r="H725" s="182" t="s">
        <v>46</v>
      </c>
      <c r="I725" s="729">
        <f ca="1">IFERROR(__xludf.DUMMYFUNCTION("IMPORTRANGE(""https://docs.google.com/spreadsheets/d/1KxicF4apzSqm0-jIpmueT4kyZtE-Cwn5zskl7GD4loQ/edit?usp=share_link"",""กำแพงเพชร!I725"")+IMPORTRANGE(""https://docs.google.com/spreadsheets/d/1ZNYWeiFoFA1K1U4xKWqRX29MBvEyRHXORjo734Gnq_c/edit?usp=share_li"&amp;"nk"",""เชียงราย!I725"")
+IMPORTRANGE(""https://docs.google.com/spreadsheets/d/1Jgv0Y7YlHDtsiDawwp-uvifEJ8HVaSn0k2aGHG8-hwM/edit?usp=share_link"",""เชียงใหม่!I725"")+IMPORTRANGE(""https://docs.google.com/spreadsheets/d/1JWG2rZePOz9pe-f-ObA-yDr0VoOX2kSb0qIi"&amp;"x2mTUo8/edit?usp=share_link"",""ตาก!I725"")+IMPORTRANGE(""https://docs.google.com/spreadsheets/d/10nSRjK08hx8Y6HgSOQKNw81lyY46Zc7U_Cj72hBMp9U/edit?usp=share_link"",""นครสวรรค์!I725"")+IMPORTRANGE(""https://docs.google.com/spreadsheets/d/1gFVb7qd7amutrIxAA"&amp;"oM7lcy35hllxznovot8lyOfvDo/edit?usp=share_link"",""น่าน!I725"")+IMPORTRANGE(""https://docs.google.com/spreadsheets/d/1K0Aa9s-6EuHE5M0FG1F9aHLXRCOV917xvycTdLdct0w/edit?usp=share_link"",""พะเยา!I725"")+IMPORTRANGE(""https://docs.google.com/spreadsheets/d/1Y"&amp;"9LPKx95PyL5OKy09d-KbKJSuuEZCFdkhYjwC0XQjBA/edit?usp=share_link"",""พิจิตร!I725"")+IMPORTRANGE(""https://docs.google.com/spreadsheets/d/16OMuOwy2eVqZcYWOouQtTpa8X1L23h4660uVHc0C8os/edit?usp=share_link"",""พิษณุโลก!I725"")+IMPORTRANGE(""https://docs.google."&amp;"com/spreadsheets/d/1GfgTldLG6k77HXaMQzaafODklYuucJZQNs_GAPEfZyY/edit?usp=share_link"",""เพชรบูรณ์!I725"")+IMPORTRANGE(""https://docs.google.com/spreadsheets/d/1gvTMYAnm7v1yG1BKWFtr0DnaTsq59oW9dwWvFgq6hs0/edit?usp=share_link"",""แพร่!I725"")+IMPORTRANGE("""&amp;"https://docs.google.com/spreadsheets/d/1Wbcosgy-Xa1xXUArJSOenub6EfZHUSzc_bpJFWwQUf0/edit?usp=share_link"",""แม่ฮ่องสอน!I725"")+IMPORTRANGE(""https://docs.google.com/spreadsheets/d/1p7ERhsr0qZeSn-KSOdeHS9r0heI-lHtkcn2OH7hP0jQ/edit?usp=share_link"",""ลำปาง!"&amp;"I725"")+IMPORTRANGE(""https://docs.google.com/spreadsheets/d/1-uUXvimVhiU2U0bMN-xi2te0tS4X7DI2GLPnMjzl8cA/edit?usp=share_link"",""ลำพูน!I725"")+IMPORTRANGE(""https://docs.google.com/spreadsheets/d/17HrOaa5pBUI1onckFfumXB8xlg35qb2uBAFfF1D-Myo/edit?usp=shar"&amp;"e_link"",""สุโขทัย!I725"")+IMPORTRANGE(""https://docs.google.com/spreadsheets/d/1ubs5cl16eYL9gHbdHTJtmtYb9MGzHBs7CAphn8kNCgM/edit?usp=share_link"",""อุตรดิตถ์!I725"")+IMPORTRANGE(""https://docs.google.com/spreadsheets/d/1kII0BjS6CtVrBvI8IrytgPdxDrlyQDyigz"&amp;"MsohRtDMs/edit?usp=share_link"",""อุทัยธานี!I725"")
"),1442)</f>
        <v>1442</v>
      </c>
      <c r="J725" s="37">
        <f ca="1">IFERROR(__xludf.DUMMYFUNCTION("IMPORTRANGE(""https://docs.google.com/spreadsheets/d/1KxicF4apzSqm0-jIpmueT4kyZtE-Cwn5zskl7GD4loQ/edit?usp=share_link"",""กำแพงเพชร!J725"")+IMPORTRANGE(""https://docs.google.com/spreadsheets/d/1ZNYWeiFoFA1K1U4xKWqRX29MBvEyRHXORjo734Gnq_c/edit?usp=share_li"&amp;"nk"",""เชียงราย!J725"")
+IMPORTRANGE(""https://docs.google.com/spreadsheets/d/1Jgv0Y7YlHDtsiDawwp-uvifEJ8HVaSn0k2aGHG8-hwM/edit?usp=share_link"",""เชียงใหม่!J725"")+IMPORTRANGE(""https://docs.google.com/spreadsheets/d/1JWG2rZePOz9pe-f-ObA-yDr0VoOX2kSb0qIi"&amp;"x2mTUo8/edit?usp=share_link"",""ตาก!J725"")+IMPORTRANGE(""https://docs.google.com/spreadsheets/d/10nSRjK08hx8Y6HgSOQKNw81lyY46Zc7U_Cj72hBMp9U/edit?usp=share_link"",""นครสวรรค์!J725"")+IMPORTRANGE(""https://docs.google.com/spreadsheets/d/1gFVb7qd7amutrIxAA"&amp;"oM7lcy35hllxznovot8lyOfvDo/edit?usp=share_link"",""น่าน!J725"")+IMPORTRANGE(""https://docs.google.com/spreadsheets/d/1K0Aa9s-6EuHE5M0FG1F9aHLXRCOV917xvycTdLdct0w/edit?usp=share_link"",""พะเยา!J725"")+IMPORTRANGE(""https://docs.google.com/spreadsheets/d/1Y"&amp;"9LPKx95PyL5OKy09d-KbKJSuuEZCFdkhYjwC0XQjBA/edit?usp=share_link"",""พิจิตร!J725"")+IMPORTRANGE(""https://docs.google.com/spreadsheets/d/16OMuOwy2eVqZcYWOouQtTpa8X1L23h4660uVHc0C8os/edit?usp=share_link"",""พิษณุโลก!J725"")+IMPORTRANGE(""https://docs.google."&amp;"com/spreadsheets/d/1GfgTldLG6k77HXaMQzaafODklYuucJZQNs_GAPEfZyY/edit?usp=share_link"",""เพชรบูรณ์!J725"")+IMPORTRANGE(""https://docs.google.com/spreadsheets/d/1gvTMYAnm7v1yG1BKWFtr0DnaTsq59oW9dwWvFgq6hs0/edit?usp=share_link"",""แพร่!J725"")+IMPORTRANGE("""&amp;"https://docs.google.com/spreadsheets/d/1Wbcosgy-Xa1xXUArJSOenub6EfZHUSzc_bpJFWwQUf0/edit?usp=share_link"",""แม่ฮ่องสอน!J725"")+IMPORTRANGE(""https://docs.google.com/spreadsheets/d/1p7ERhsr0qZeSn-KSOdeHS9r0heI-lHtkcn2OH7hP0jQ/edit?usp=share_link"",""ลำปาง!"&amp;"J725"")+IMPORTRANGE(""https://docs.google.com/spreadsheets/d/1-uUXvimVhiU2U0bMN-xi2te0tS4X7DI2GLPnMjzl8cA/edit?usp=share_link"",""ลำพูน!J725"")+IMPORTRANGE(""https://docs.google.com/spreadsheets/d/17HrOaa5pBUI1onckFfumXB8xlg35qb2uBAFfF1D-Myo/edit?usp=shar"&amp;"e_link"",""สุโขทัย!J725"")+IMPORTRANGE(""https://docs.google.com/spreadsheets/d/1ubs5cl16eYL9gHbdHTJtmtYb9MGzHBs7CAphn8kNCgM/edit?usp=share_link"",""อุตรดิตถ์!J725"")+IMPORTRANGE(""https://docs.google.com/spreadsheets/d/1kII0BjS6CtVrBvI8IrytgPdxDrlyQDyigz"&amp;"MsohRtDMs/edit?usp=share_link"",""อุทัยธานี!J725"")
"),0)</f>
        <v>0</v>
      </c>
      <c r="K725" s="38">
        <f t="shared" ref="K725:K726" ca="1" si="333">IF(I725&gt;0,J725*100/I725,0)</f>
        <v>0</v>
      </c>
      <c r="L725" s="730"/>
      <c r="M725" s="189"/>
      <c r="N725" s="730"/>
      <c r="O725" s="38"/>
      <c r="P725" s="38"/>
      <c r="Q725" s="541"/>
      <c r="R725" s="541"/>
      <c r="S725" s="541"/>
      <c r="T725" s="541"/>
      <c r="U725" s="541"/>
      <c r="V725" s="541"/>
      <c r="W725" s="541"/>
      <c r="X725" s="541"/>
      <c r="Y725" s="541"/>
      <c r="Z725" s="541"/>
    </row>
    <row r="726" spans="1:26" ht="18.75">
      <c r="A726" s="708"/>
      <c r="B726" s="539"/>
      <c r="C726" s="539"/>
      <c r="D726" s="539"/>
      <c r="E726" s="540" t="s">
        <v>307</v>
      </c>
      <c r="F726" s="539"/>
      <c r="G726" s="189"/>
      <c r="H726" s="182" t="s">
        <v>35</v>
      </c>
      <c r="I726" s="729">
        <f ca="1">IFERROR(__xludf.DUMMYFUNCTION("IMPORTRANGE(""https://docs.google.com/spreadsheets/d/1KxicF4apzSqm0-jIpmueT4kyZtE-Cwn5zskl7GD4loQ/edit?usp=share_link"",""กำแพงเพชร!I726"")+IMPORTRANGE(""https://docs.google.com/spreadsheets/d/1ZNYWeiFoFA1K1U4xKWqRX29MBvEyRHXORjo734Gnq_c/edit?usp=share_li"&amp;"nk"",""เชียงราย!I726"")
+IMPORTRANGE(""https://docs.google.com/spreadsheets/d/1Jgv0Y7YlHDtsiDawwp-uvifEJ8HVaSn0k2aGHG8-hwM/edit?usp=share_link"",""เชียงใหม่!I726"")+IMPORTRANGE(""https://docs.google.com/spreadsheets/d/1JWG2rZePOz9pe-f-ObA-yDr0VoOX2kSb0qIi"&amp;"x2mTUo8/edit?usp=share_link"",""ตาก!I726"")+IMPORTRANGE(""https://docs.google.com/spreadsheets/d/10nSRjK08hx8Y6HgSOQKNw81lyY46Zc7U_Cj72hBMp9U/edit?usp=share_link"",""นครสวรรค์!I726"")+IMPORTRANGE(""https://docs.google.com/spreadsheets/d/1gFVb7qd7amutrIxAA"&amp;"oM7lcy35hllxznovot8lyOfvDo/edit?usp=share_link"",""น่าน!I726"")+IMPORTRANGE(""https://docs.google.com/spreadsheets/d/1K0Aa9s-6EuHE5M0FG1F9aHLXRCOV917xvycTdLdct0w/edit?usp=share_link"",""พะเยา!I726"")+IMPORTRANGE(""https://docs.google.com/spreadsheets/d/1Y"&amp;"9LPKx95PyL5OKy09d-KbKJSuuEZCFdkhYjwC0XQjBA/edit?usp=share_link"",""พิจิตร!I726"")+IMPORTRANGE(""https://docs.google.com/spreadsheets/d/16OMuOwy2eVqZcYWOouQtTpa8X1L23h4660uVHc0C8os/edit?usp=share_link"",""พิษณุโลก!I726"")+IMPORTRANGE(""https://docs.google."&amp;"com/spreadsheets/d/1GfgTldLG6k77HXaMQzaafODklYuucJZQNs_GAPEfZyY/edit?usp=share_link"",""เพชรบูรณ์!I726"")+IMPORTRANGE(""https://docs.google.com/spreadsheets/d/1gvTMYAnm7v1yG1BKWFtr0DnaTsq59oW9dwWvFgq6hs0/edit?usp=share_link"",""แพร่!I726"")+IMPORTRANGE("""&amp;"https://docs.google.com/spreadsheets/d/1Wbcosgy-Xa1xXUArJSOenub6EfZHUSzc_bpJFWwQUf0/edit?usp=share_link"",""แม่ฮ่องสอน!I726"")+IMPORTRANGE(""https://docs.google.com/spreadsheets/d/1p7ERhsr0qZeSn-KSOdeHS9r0heI-lHtkcn2OH7hP0jQ/edit?usp=share_link"",""ลำปาง!"&amp;"I726"")+IMPORTRANGE(""https://docs.google.com/spreadsheets/d/1-uUXvimVhiU2U0bMN-xi2te0tS4X7DI2GLPnMjzl8cA/edit?usp=share_link"",""ลำพูน!I726"")+IMPORTRANGE(""https://docs.google.com/spreadsheets/d/17HrOaa5pBUI1onckFfumXB8xlg35qb2uBAFfF1D-Myo/edit?usp=shar"&amp;"e_link"",""สุโขทัย!I726"")+IMPORTRANGE(""https://docs.google.com/spreadsheets/d/1ubs5cl16eYL9gHbdHTJtmtYb9MGzHBs7CAphn8kNCgM/edit?usp=share_link"",""อุตรดิตถ์!I726"")+IMPORTRANGE(""https://docs.google.com/spreadsheets/d/1kII0BjS6CtVrBvI8IrytgPdxDrlyQDyigz"&amp;"MsohRtDMs/edit?usp=share_link"",""อุทัยธานี!I726"")
"),28)</f>
        <v>28</v>
      </c>
      <c r="J726" s="37">
        <f ca="1">IFERROR(__xludf.DUMMYFUNCTION("IMPORTRANGE(""https://docs.google.com/spreadsheets/d/1KxicF4apzSqm0-jIpmueT4kyZtE-Cwn5zskl7GD4loQ/edit?usp=share_link"",""กำแพงเพชร!J726"")+IMPORTRANGE(""https://docs.google.com/spreadsheets/d/1ZNYWeiFoFA1K1U4xKWqRX29MBvEyRHXORjo734Gnq_c/edit?usp=share_li"&amp;"nk"",""เชียงราย!J726"")
+IMPORTRANGE(""https://docs.google.com/spreadsheets/d/1Jgv0Y7YlHDtsiDawwp-uvifEJ8HVaSn0k2aGHG8-hwM/edit?usp=share_link"",""เชียงใหม่!J726"")+IMPORTRANGE(""https://docs.google.com/spreadsheets/d/1JWG2rZePOz9pe-f-ObA-yDr0VoOX2kSb0qIi"&amp;"x2mTUo8/edit?usp=share_link"",""ตาก!J726"")+IMPORTRANGE(""https://docs.google.com/spreadsheets/d/10nSRjK08hx8Y6HgSOQKNw81lyY46Zc7U_Cj72hBMp9U/edit?usp=share_link"",""นครสวรรค์!J726"")+IMPORTRANGE(""https://docs.google.com/spreadsheets/d/1gFVb7qd7amutrIxAA"&amp;"oM7lcy35hllxznovot8lyOfvDo/edit?usp=share_link"",""น่าน!J726"")+IMPORTRANGE(""https://docs.google.com/spreadsheets/d/1K0Aa9s-6EuHE5M0FG1F9aHLXRCOV917xvycTdLdct0w/edit?usp=share_link"",""พะเยา!J726"")+IMPORTRANGE(""https://docs.google.com/spreadsheets/d/1Y"&amp;"9LPKx95PyL5OKy09d-KbKJSuuEZCFdkhYjwC0XQjBA/edit?usp=share_link"",""พิจิตร!J726"")+IMPORTRANGE(""https://docs.google.com/spreadsheets/d/16OMuOwy2eVqZcYWOouQtTpa8X1L23h4660uVHc0C8os/edit?usp=share_link"",""พิษณุโลก!J726"")+IMPORTRANGE(""https://docs.google."&amp;"com/spreadsheets/d/1GfgTldLG6k77HXaMQzaafODklYuucJZQNs_GAPEfZyY/edit?usp=share_link"",""เพชรบูรณ์!J726"")+IMPORTRANGE(""https://docs.google.com/spreadsheets/d/1gvTMYAnm7v1yG1BKWFtr0DnaTsq59oW9dwWvFgq6hs0/edit?usp=share_link"",""แพร่!J726"")+IMPORTRANGE("""&amp;"https://docs.google.com/spreadsheets/d/1Wbcosgy-Xa1xXUArJSOenub6EfZHUSzc_bpJFWwQUf0/edit?usp=share_link"",""แม่ฮ่องสอน!J726"")+IMPORTRANGE(""https://docs.google.com/spreadsheets/d/1p7ERhsr0qZeSn-KSOdeHS9r0heI-lHtkcn2OH7hP0jQ/edit?usp=share_link"",""ลำปาง!"&amp;"J726"")+IMPORTRANGE(""https://docs.google.com/spreadsheets/d/1-uUXvimVhiU2U0bMN-xi2te0tS4X7DI2GLPnMjzl8cA/edit?usp=share_link"",""ลำพูน!J726"")+IMPORTRANGE(""https://docs.google.com/spreadsheets/d/17HrOaa5pBUI1onckFfumXB8xlg35qb2uBAFfF1D-Myo/edit?usp=shar"&amp;"e_link"",""สุโขทัย!J726"")+IMPORTRANGE(""https://docs.google.com/spreadsheets/d/1ubs5cl16eYL9gHbdHTJtmtYb9MGzHBs7CAphn8kNCgM/edit?usp=share_link"",""อุตรดิตถ์!J726"")+IMPORTRANGE(""https://docs.google.com/spreadsheets/d/1kII0BjS6CtVrBvI8IrytgPdxDrlyQDyigz"&amp;"MsohRtDMs/edit?usp=share_link"",""อุทัยธานี!J726"")
"),0)</f>
        <v>0</v>
      </c>
      <c r="K726" s="38">
        <f t="shared" ca="1" si="333"/>
        <v>0</v>
      </c>
      <c r="L726" s="38"/>
      <c r="M726" s="189"/>
      <c r="N726" s="730"/>
      <c r="O726" s="38"/>
      <c r="P726" s="38"/>
      <c r="Q726" s="541"/>
      <c r="R726" s="541"/>
      <c r="S726" s="541"/>
      <c r="T726" s="541"/>
      <c r="U726" s="541"/>
      <c r="V726" s="541"/>
      <c r="W726" s="541"/>
      <c r="X726" s="541"/>
      <c r="Y726" s="541"/>
      <c r="Z726" s="541"/>
    </row>
    <row r="727" spans="1:26" ht="18.75">
      <c r="A727" s="708"/>
      <c r="B727" s="539"/>
      <c r="C727" s="539"/>
      <c r="D727" s="539"/>
      <c r="E727" s="539"/>
      <c r="F727" s="539"/>
      <c r="G727" s="189"/>
      <c r="H727" s="182" t="s">
        <v>34</v>
      </c>
      <c r="I727" s="729"/>
      <c r="J727" s="37">
        <f ca="1">IFERROR(__xludf.DUMMYFUNCTION("IMPORTRANGE(""https://docs.google.com/spreadsheets/d/1KxicF4apzSqm0-jIpmueT4kyZtE-Cwn5zskl7GD4loQ/edit?usp=share_link"",""กำแพงเพชร!J727"")+IMPORTRANGE(""https://docs.google.com/spreadsheets/d/1ZNYWeiFoFA1K1U4xKWqRX29MBvEyRHXORjo734Gnq_c/edit?usp=share_li"&amp;"nk"",""เชียงราย!J727"")
+IMPORTRANGE(""https://docs.google.com/spreadsheets/d/1Jgv0Y7YlHDtsiDawwp-uvifEJ8HVaSn0k2aGHG8-hwM/edit?usp=share_link"",""เชียงใหม่!J727"")+IMPORTRANGE(""https://docs.google.com/spreadsheets/d/1JWG2rZePOz9pe-f-ObA-yDr0VoOX2kSb0qIi"&amp;"x2mTUo8/edit?usp=share_link"",""ตาก!J727"")+IMPORTRANGE(""https://docs.google.com/spreadsheets/d/10nSRjK08hx8Y6HgSOQKNw81lyY46Zc7U_Cj72hBMp9U/edit?usp=share_link"",""นครสวรรค์!J727"")+IMPORTRANGE(""https://docs.google.com/spreadsheets/d/1gFVb7qd7amutrIxAA"&amp;"oM7lcy35hllxznovot8lyOfvDo/edit?usp=share_link"",""น่าน!J727"")+IMPORTRANGE(""https://docs.google.com/spreadsheets/d/1K0Aa9s-6EuHE5M0FG1F9aHLXRCOV917xvycTdLdct0w/edit?usp=share_link"",""พะเยา!J727"")+IMPORTRANGE(""https://docs.google.com/spreadsheets/d/1Y"&amp;"9LPKx95PyL5OKy09d-KbKJSuuEZCFdkhYjwC0XQjBA/edit?usp=share_link"",""พิจิตร!J727"")+IMPORTRANGE(""https://docs.google.com/spreadsheets/d/16OMuOwy2eVqZcYWOouQtTpa8X1L23h4660uVHc0C8os/edit?usp=share_link"",""พิษณุโลก!J727"")+IMPORTRANGE(""https://docs.google."&amp;"com/spreadsheets/d/1GfgTldLG6k77HXaMQzaafODklYuucJZQNs_GAPEfZyY/edit?usp=share_link"",""เพชรบูรณ์!J727"")+IMPORTRANGE(""https://docs.google.com/spreadsheets/d/1gvTMYAnm7v1yG1BKWFtr0DnaTsq59oW9dwWvFgq6hs0/edit?usp=share_link"",""แพร่!J727"")+IMPORTRANGE("""&amp;"https://docs.google.com/spreadsheets/d/1Wbcosgy-Xa1xXUArJSOenub6EfZHUSzc_bpJFWwQUf0/edit?usp=share_link"",""แม่ฮ่องสอน!J727"")+IMPORTRANGE(""https://docs.google.com/spreadsheets/d/1p7ERhsr0qZeSn-KSOdeHS9r0heI-lHtkcn2OH7hP0jQ/edit?usp=share_link"",""ลำปาง!"&amp;"J727"")+IMPORTRANGE(""https://docs.google.com/spreadsheets/d/1-uUXvimVhiU2U0bMN-xi2te0tS4X7DI2GLPnMjzl8cA/edit?usp=share_link"",""ลำพูน!J727"")+IMPORTRANGE(""https://docs.google.com/spreadsheets/d/17HrOaa5pBUI1onckFfumXB8xlg35qb2uBAFfF1D-Myo/edit?usp=shar"&amp;"e_link"",""สุโขทัย!J727"")+IMPORTRANGE(""https://docs.google.com/spreadsheets/d/1ubs5cl16eYL9gHbdHTJtmtYb9MGzHBs7CAphn8kNCgM/edit?usp=share_link"",""อุตรดิตถ์!J727"")+IMPORTRANGE(""https://docs.google.com/spreadsheets/d/1kII0BjS6CtVrBvI8IrytgPdxDrlyQDyigz"&amp;"MsohRtDMs/edit?usp=share_link"",""อุทัยธานี!J727"")
"),0)</f>
        <v>0</v>
      </c>
      <c r="K727" s="38"/>
      <c r="L727" s="730"/>
      <c r="M727" s="189"/>
      <c r="N727" s="730"/>
      <c r="O727" s="38"/>
      <c r="P727" s="38"/>
      <c r="Q727" s="541"/>
      <c r="R727" s="541"/>
      <c r="S727" s="541"/>
      <c r="T727" s="541"/>
      <c r="U727" s="541"/>
      <c r="V727" s="541"/>
      <c r="W727" s="541"/>
      <c r="X727" s="541"/>
      <c r="Y727" s="541"/>
      <c r="Z727" s="541"/>
    </row>
    <row r="728" spans="1:26" ht="18.75">
      <c r="A728" s="708"/>
      <c r="B728" s="539"/>
      <c r="C728" s="539"/>
      <c r="D728" s="539"/>
      <c r="E728" s="539"/>
      <c r="F728" s="539"/>
      <c r="G728" s="189"/>
      <c r="H728" s="182" t="s">
        <v>46</v>
      </c>
      <c r="I728" s="729">
        <f ca="1">IFERROR(__xludf.DUMMYFUNCTION("IMPORTRANGE(""https://docs.google.com/spreadsheets/d/1KxicF4apzSqm0-jIpmueT4kyZtE-Cwn5zskl7GD4loQ/edit?usp=share_link"",""กำแพงเพชร!I728"")+IMPORTRANGE(""https://docs.google.com/spreadsheets/d/1ZNYWeiFoFA1K1U4xKWqRX29MBvEyRHXORjo734Gnq_c/edit?usp=share_li"&amp;"nk"",""เชียงราย!I728"")
+IMPORTRANGE(""https://docs.google.com/spreadsheets/d/1Jgv0Y7YlHDtsiDawwp-uvifEJ8HVaSn0k2aGHG8-hwM/edit?usp=share_link"",""เชียงใหม่!I728"")+IMPORTRANGE(""https://docs.google.com/spreadsheets/d/1JWG2rZePOz9pe-f-ObA-yDr0VoOX2kSb0qIi"&amp;"x2mTUo8/edit?usp=share_link"",""ตาก!I728"")+IMPORTRANGE(""https://docs.google.com/spreadsheets/d/10nSRjK08hx8Y6HgSOQKNw81lyY46Zc7U_Cj72hBMp9U/edit?usp=share_link"",""นครสวรรค์!I728"")+IMPORTRANGE(""https://docs.google.com/spreadsheets/d/1gFVb7qd7amutrIxAA"&amp;"oM7lcy35hllxznovot8lyOfvDo/edit?usp=share_link"",""น่าน!I728"")+IMPORTRANGE(""https://docs.google.com/spreadsheets/d/1K0Aa9s-6EuHE5M0FG1F9aHLXRCOV917xvycTdLdct0w/edit?usp=share_link"",""พะเยา!I728"")+IMPORTRANGE(""https://docs.google.com/spreadsheets/d/1Y"&amp;"9LPKx95PyL5OKy09d-KbKJSuuEZCFdkhYjwC0XQjBA/edit?usp=share_link"",""พิจิตร!I728"")+IMPORTRANGE(""https://docs.google.com/spreadsheets/d/16OMuOwy2eVqZcYWOouQtTpa8X1L23h4660uVHc0C8os/edit?usp=share_link"",""พิษณุโลก!I728"")+IMPORTRANGE(""https://docs.google."&amp;"com/spreadsheets/d/1GfgTldLG6k77HXaMQzaafODklYuucJZQNs_GAPEfZyY/edit?usp=share_link"",""เพชรบูรณ์!I728"")+IMPORTRANGE(""https://docs.google.com/spreadsheets/d/1gvTMYAnm7v1yG1BKWFtr0DnaTsq59oW9dwWvFgq6hs0/edit?usp=share_link"",""แพร่!I728"")+IMPORTRANGE("""&amp;"https://docs.google.com/spreadsheets/d/1Wbcosgy-Xa1xXUArJSOenub6EfZHUSzc_bpJFWwQUf0/edit?usp=share_link"",""แม่ฮ่องสอน!I728"")+IMPORTRANGE(""https://docs.google.com/spreadsheets/d/1p7ERhsr0qZeSn-KSOdeHS9r0heI-lHtkcn2OH7hP0jQ/edit?usp=share_link"",""ลำปาง!"&amp;"I728"")+IMPORTRANGE(""https://docs.google.com/spreadsheets/d/1-uUXvimVhiU2U0bMN-xi2te0tS4X7DI2GLPnMjzl8cA/edit?usp=share_link"",""ลำพูน!I728"")+IMPORTRANGE(""https://docs.google.com/spreadsheets/d/17HrOaa5pBUI1onckFfumXB8xlg35qb2uBAFfF1D-Myo/edit?usp=shar"&amp;"e_link"",""สุโขทัย!I728"")+IMPORTRANGE(""https://docs.google.com/spreadsheets/d/1ubs5cl16eYL9gHbdHTJtmtYb9MGzHBs7CAphn8kNCgM/edit?usp=share_link"",""อุตรดิตถ์!I728"")+IMPORTRANGE(""https://docs.google.com/spreadsheets/d/1kII0BjS6CtVrBvI8IrytgPdxDrlyQDyigz"&amp;"MsohRtDMs/edit?usp=share_link"",""อุทัยธานี!I728"")
"),217)</f>
        <v>217</v>
      </c>
      <c r="J728" s="37">
        <f ca="1">IFERROR(__xludf.DUMMYFUNCTION("IMPORTRANGE(""https://docs.google.com/spreadsheets/d/1KxicF4apzSqm0-jIpmueT4kyZtE-Cwn5zskl7GD4loQ/edit?usp=share_link"",""กำแพงเพชร!J728"")+IMPORTRANGE(""https://docs.google.com/spreadsheets/d/1ZNYWeiFoFA1K1U4xKWqRX29MBvEyRHXORjo734Gnq_c/edit?usp=share_li"&amp;"nk"",""เชียงราย!J728"")
+IMPORTRANGE(""https://docs.google.com/spreadsheets/d/1Jgv0Y7YlHDtsiDawwp-uvifEJ8HVaSn0k2aGHG8-hwM/edit?usp=share_link"",""เชียงใหม่!J728"")+IMPORTRANGE(""https://docs.google.com/spreadsheets/d/1JWG2rZePOz9pe-f-ObA-yDr0VoOX2kSb0qIi"&amp;"x2mTUo8/edit?usp=share_link"",""ตาก!J728"")+IMPORTRANGE(""https://docs.google.com/spreadsheets/d/10nSRjK08hx8Y6HgSOQKNw81lyY46Zc7U_Cj72hBMp9U/edit?usp=share_link"",""นครสวรรค์!J728"")+IMPORTRANGE(""https://docs.google.com/spreadsheets/d/1gFVb7qd7amutrIxAA"&amp;"oM7lcy35hllxznovot8lyOfvDo/edit?usp=share_link"",""น่าน!J728"")+IMPORTRANGE(""https://docs.google.com/spreadsheets/d/1K0Aa9s-6EuHE5M0FG1F9aHLXRCOV917xvycTdLdct0w/edit?usp=share_link"",""พะเยา!J728"")+IMPORTRANGE(""https://docs.google.com/spreadsheets/d/1Y"&amp;"9LPKx95PyL5OKy09d-KbKJSuuEZCFdkhYjwC0XQjBA/edit?usp=share_link"",""พิจิตร!J728"")+IMPORTRANGE(""https://docs.google.com/spreadsheets/d/16OMuOwy2eVqZcYWOouQtTpa8X1L23h4660uVHc0C8os/edit?usp=share_link"",""พิษณุโลก!J728"")+IMPORTRANGE(""https://docs.google."&amp;"com/spreadsheets/d/1GfgTldLG6k77HXaMQzaafODklYuucJZQNs_GAPEfZyY/edit?usp=share_link"",""เพชรบูรณ์!J728"")+IMPORTRANGE(""https://docs.google.com/spreadsheets/d/1gvTMYAnm7v1yG1BKWFtr0DnaTsq59oW9dwWvFgq6hs0/edit?usp=share_link"",""แพร่!J728"")+IMPORTRANGE("""&amp;"https://docs.google.com/spreadsheets/d/1Wbcosgy-Xa1xXUArJSOenub6EfZHUSzc_bpJFWwQUf0/edit?usp=share_link"",""แม่ฮ่องสอน!J728"")+IMPORTRANGE(""https://docs.google.com/spreadsheets/d/1p7ERhsr0qZeSn-KSOdeHS9r0heI-lHtkcn2OH7hP0jQ/edit?usp=share_link"",""ลำปาง!"&amp;"J728"")+IMPORTRANGE(""https://docs.google.com/spreadsheets/d/1-uUXvimVhiU2U0bMN-xi2te0tS4X7DI2GLPnMjzl8cA/edit?usp=share_link"",""ลำพูน!J728"")+IMPORTRANGE(""https://docs.google.com/spreadsheets/d/17HrOaa5pBUI1onckFfumXB8xlg35qb2uBAFfF1D-Myo/edit?usp=shar"&amp;"e_link"",""สุโขทัย!J728"")+IMPORTRANGE(""https://docs.google.com/spreadsheets/d/1ubs5cl16eYL9gHbdHTJtmtYb9MGzHBs7CAphn8kNCgM/edit?usp=share_link"",""อุตรดิตถ์!J728"")+IMPORTRANGE(""https://docs.google.com/spreadsheets/d/1kII0BjS6CtVrBvI8IrytgPdxDrlyQDyigz"&amp;"MsohRtDMs/edit?usp=share_link"",""อุทัยธานี!J728"")
"),0)</f>
        <v>0</v>
      </c>
      <c r="K728" s="38">
        <f t="shared" ref="K728:K729" ca="1" si="334">IF(I728&gt;0,J728*100/I728,0)</f>
        <v>0</v>
      </c>
      <c r="L728" s="730"/>
      <c r="M728" s="189"/>
      <c r="N728" s="730"/>
      <c r="O728" s="38"/>
      <c r="P728" s="38"/>
      <c r="Q728" s="541"/>
      <c r="R728" s="541"/>
      <c r="S728" s="541"/>
      <c r="T728" s="541"/>
      <c r="U728" s="541"/>
      <c r="V728" s="541"/>
      <c r="W728" s="541"/>
      <c r="X728" s="541"/>
      <c r="Y728" s="541"/>
      <c r="Z728" s="541"/>
    </row>
    <row r="729" spans="1:26" ht="19.5">
      <c r="A729" s="708"/>
      <c r="B729" s="539"/>
      <c r="C729" s="539"/>
      <c r="D729" s="540" t="s">
        <v>308</v>
      </c>
      <c r="E729" s="539"/>
      <c r="F729" s="539"/>
      <c r="G729" s="189"/>
      <c r="H729" s="192" t="s">
        <v>46</v>
      </c>
      <c r="I729" s="732">
        <f ca="1">IFERROR(__xludf.DUMMYFUNCTION("IMPORTRANGE(""https://docs.google.com/spreadsheets/d/1KxicF4apzSqm0-jIpmueT4kyZtE-Cwn5zskl7GD4loQ/edit?usp=share_link"",""กำแพงเพชร!I729"")+IMPORTRANGE(""https://docs.google.com/spreadsheets/d/1ZNYWeiFoFA1K1U4xKWqRX29MBvEyRHXORjo734Gnq_c/edit?usp=share_li"&amp;"nk"",""เชียงราย!I729"")
+IMPORTRANGE(""https://docs.google.com/spreadsheets/d/1Jgv0Y7YlHDtsiDawwp-uvifEJ8HVaSn0k2aGHG8-hwM/edit?usp=share_link"",""เชียงใหม่!I729"")+IMPORTRANGE(""https://docs.google.com/spreadsheets/d/1JWG2rZePOz9pe-f-ObA-yDr0VoOX2kSb0qIi"&amp;"x2mTUo8/edit?usp=share_link"",""ตาก!I729"")+IMPORTRANGE(""https://docs.google.com/spreadsheets/d/10nSRjK08hx8Y6HgSOQKNw81lyY46Zc7U_Cj72hBMp9U/edit?usp=share_link"",""นครสวรรค์!I729"")+IMPORTRANGE(""https://docs.google.com/spreadsheets/d/1gFVb7qd7amutrIxAA"&amp;"oM7lcy35hllxznovot8lyOfvDo/edit?usp=share_link"",""น่าน!I729"")+IMPORTRANGE(""https://docs.google.com/spreadsheets/d/1K0Aa9s-6EuHE5M0FG1F9aHLXRCOV917xvycTdLdct0w/edit?usp=share_link"",""พะเยา!I729"")+IMPORTRANGE(""https://docs.google.com/spreadsheets/d/1Y"&amp;"9LPKx95PyL5OKy09d-KbKJSuuEZCFdkhYjwC0XQjBA/edit?usp=share_link"",""พิจิตร!I729"")+IMPORTRANGE(""https://docs.google.com/spreadsheets/d/16OMuOwy2eVqZcYWOouQtTpa8X1L23h4660uVHc0C8os/edit?usp=share_link"",""พิษณุโลก!I729"")+IMPORTRANGE(""https://docs.google."&amp;"com/spreadsheets/d/1GfgTldLG6k77HXaMQzaafODklYuucJZQNs_GAPEfZyY/edit?usp=share_link"",""เพชรบูรณ์!I729"")+IMPORTRANGE(""https://docs.google.com/spreadsheets/d/1gvTMYAnm7v1yG1BKWFtr0DnaTsq59oW9dwWvFgq6hs0/edit?usp=share_link"",""แพร่!I729"")+IMPORTRANGE("""&amp;"https://docs.google.com/spreadsheets/d/1Wbcosgy-Xa1xXUArJSOenub6EfZHUSzc_bpJFWwQUf0/edit?usp=share_link"",""แม่ฮ่องสอน!I729"")+IMPORTRANGE(""https://docs.google.com/spreadsheets/d/1p7ERhsr0qZeSn-KSOdeHS9r0heI-lHtkcn2OH7hP0jQ/edit?usp=share_link"",""ลำปาง!"&amp;"I729"")+IMPORTRANGE(""https://docs.google.com/spreadsheets/d/1-uUXvimVhiU2U0bMN-xi2te0tS4X7DI2GLPnMjzl8cA/edit?usp=share_link"",""ลำพูน!I729"")+IMPORTRANGE(""https://docs.google.com/spreadsheets/d/17HrOaa5pBUI1onckFfumXB8xlg35qb2uBAFfF1D-Myo/edit?usp=shar"&amp;"e_link"",""สุโขทัย!I729"")+IMPORTRANGE(""https://docs.google.com/spreadsheets/d/1ubs5cl16eYL9gHbdHTJtmtYb9MGzHBs7CAphn8kNCgM/edit?usp=share_link"",""อุตรดิตถ์!I729"")+IMPORTRANGE(""https://docs.google.com/spreadsheets/d/1kII0BjS6CtVrBvI8IrytgPdxDrlyQDyigz"&amp;"MsohRtDMs/edit?usp=share_link"",""อุทัยธานี!I729"")
"),210)</f>
        <v>210</v>
      </c>
      <c r="J729" s="194">
        <f ca="1">J732+J735</f>
        <v>0</v>
      </c>
      <c r="K729" s="195">
        <f t="shared" ca="1" si="334"/>
        <v>0</v>
      </c>
      <c r="L729" s="38"/>
      <c r="M729" s="189"/>
      <c r="N729" s="730"/>
      <c r="O729" s="38"/>
      <c r="P729" s="38"/>
      <c r="Q729" s="541"/>
      <c r="R729" s="541"/>
      <c r="S729" s="541"/>
      <c r="T729" s="541"/>
      <c r="U729" s="541"/>
      <c r="V729" s="541"/>
      <c r="W729" s="541"/>
      <c r="X729" s="541"/>
      <c r="Y729" s="541"/>
      <c r="Z729" s="541"/>
    </row>
    <row r="730" spans="1:26" ht="18.75">
      <c r="A730" s="708"/>
      <c r="B730" s="539"/>
      <c r="C730" s="539"/>
      <c r="D730" s="539"/>
      <c r="E730" s="540" t="s">
        <v>309</v>
      </c>
      <c r="F730" s="539"/>
      <c r="G730" s="189"/>
      <c r="H730" s="182" t="s">
        <v>35</v>
      </c>
      <c r="I730" s="729"/>
      <c r="J730" s="183">
        <f ca="1">IFERROR(__xludf.DUMMYFUNCTION("IMPORTRANGE(""https://docs.google.com/spreadsheets/d/1KxicF4apzSqm0-jIpmueT4kyZtE-Cwn5zskl7GD4loQ/edit?usp=share_link"",""กำแพงเพชร!J730"")+IMPORTRANGE(""https://docs.google.com/spreadsheets/d/1ZNYWeiFoFA1K1U4xKWqRX29MBvEyRHXORjo734Gnq_c/edit?usp=share_li"&amp;"nk"",""เชียงราย!J730"")
+IMPORTRANGE(""https://docs.google.com/spreadsheets/d/1Jgv0Y7YlHDtsiDawwp-uvifEJ8HVaSn0k2aGHG8-hwM/edit?usp=share_link"",""เชียงใหม่!J730"")+IMPORTRANGE(""https://docs.google.com/spreadsheets/d/1JWG2rZePOz9pe-f-ObA-yDr0VoOX2kSb0qIi"&amp;"x2mTUo8/edit?usp=share_link"",""ตาก!J730"")+IMPORTRANGE(""https://docs.google.com/spreadsheets/d/10nSRjK08hx8Y6HgSOQKNw81lyY46Zc7U_Cj72hBMp9U/edit?usp=share_link"",""นครสวรรค์!J730"")+IMPORTRANGE(""https://docs.google.com/spreadsheets/d/1gFVb7qd7amutrIxAA"&amp;"oM7lcy35hllxznovot8lyOfvDo/edit?usp=share_link"",""น่าน!J730"")+IMPORTRANGE(""https://docs.google.com/spreadsheets/d/1K0Aa9s-6EuHE5M0FG1F9aHLXRCOV917xvycTdLdct0w/edit?usp=share_link"",""พะเยา!J730"")+IMPORTRANGE(""https://docs.google.com/spreadsheets/d/1Y"&amp;"9LPKx95PyL5OKy09d-KbKJSuuEZCFdkhYjwC0XQjBA/edit?usp=share_link"",""พิจิตร!J730"")+IMPORTRANGE(""https://docs.google.com/spreadsheets/d/16OMuOwy2eVqZcYWOouQtTpa8X1L23h4660uVHc0C8os/edit?usp=share_link"",""พิษณุโลก!J730"")+IMPORTRANGE(""https://docs.google."&amp;"com/spreadsheets/d/1GfgTldLG6k77HXaMQzaafODklYuucJZQNs_GAPEfZyY/edit?usp=share_link"",""เพชรบูรณ์!J730"")+IMPORTRANGE(""https://docs.google.com/spreadsheets/d/1gvTMYAnm7v1yG1BKWFtr0DnaTsq59oW9dwWvFgq6hs0/edit?usp=share_link"",""แพร่!J730"")+IMPORTRANGE("""&amp;"https://docs.google.com/spreadsheets/d/1Wbcosgy-Xa1xXUArJSOenub6EfZHUSzc_bpJFWwQUf0/edit?usp=share_link"",""แม่ฮ่องสอน!J730"")+IMPORTRANGE(""https://docs.google.com/spreadsheets/d/1p7ERhsr0qZeSn-KSOdeHS9r0heI-lHtkcn2OH7hP0jQ/edit?usp=share_link"",""ลำปาง!"&amp;"J730"")+IMPORTRANGE(""https://docs.google.com/spreadsheets/d/1-uUXvimVhiU2U0bMN-xi2te0tS4X7DI2GLPnMjzl8cA/edit?usp=share_link"",""ลำพูน!J730"")+IMPORTRANGE(""https://docs.google.com/spreadsheets/d/17HrOaa5pBUI1onckFfumXB8xlg35qb2uBAFfF1D-Myo/edit?usp=shar"&amp;"e_link"",""สุโขทัย!J730"")+IMPORTRANGE(""https://docs.google.com/spreadsheets/d/1ubs5cl16eYL9gHbdHTJtmtYb9MGzHBs7CAphn8kNCgM/edit?usp=share_link"",""อุตรดิตถ์!J730"")+IMPORTRANGE(""https://docs.google.com/spreadsheets/d/1kII0BjS6CtVrBvI8IrytgPdxDrlyQDyigz"&amp;"MsohRtDMs/edit?usp=share_link"",""อุทัยธานี!J730"")
"),0)</f>
        <v>0</v>
      </c>
      <c r="K730" s="38"/>
      <c r="L730" s="730"/>
      <c r="M730" s="38"/>
      <c r="N730" s="730"/>
      <c r="O730" s="38"/>
      <c r="P730" s="38"/>
      <c r="Q730" s="541"/>
      <c r="R730" s="541"/>
      <c r="S730" s="541"/>
      <c r="T730" s="541"/>
      <c r="U730" s="541"/>
      <c r="V730" s="541"/>
      <c r="W730" s="541"/>
      <c r="X730" s="541"/>
      <c r="Y730" s="541"/>
      <c r="Z730" s="541"/>
    </row>
    <row r="731" spans="1:26" ht="18.75">
      <c r="A731" s="708"/>
      <c r="B731" s="539"/>
      <c r="C731" s="539"/>
      <c r="D731" s="539"/>
      <c r="E731" s="539"/>
      <c r="F731" s="539"/>
      <c r="G731" s="189"/>
      <c r="H731" s="182" t="s">
        <v>34</v>
      </c>
      <c r="I731" s="729"/>
      <c r="J731" s="183">
        <f ca="1">IFERROR(__xludf.DUMMYFUNCTION("IMPORTRANGE(""https://docs.google.com/spreadsheets/d/1KxicF4apzSqm0-jIpmueT4kyZtE-Cwn5zskl7GD4loQ/edit?usp=share_link"",""กำแพงเพชร!J731"")+IMPORTRANGE(""https://docs.google.com/spreadsheets/d/1ZNYWeiFoFA1K1U4xKWqRX29MBvEyRHXORjo734Gnq_c/edit?usp=share_li"&amp;"nk"",""เชียงราย!J731"")
+IMPORTRANGE(""https://docs.google.com/spreadsheets/d/1Jgv0Y7YlHDtsiDawwp-uvifEJ8HVaSn0k2aGHG8-hwM/edit?usp=share_link"",""เชียงใหม่!J731"")+IMPORTRANGE(""https://docs.google.com/spreadsheets/d/1JWG2rZePOz9pe-f-ObA-yDr0VoOX2kSb0qIi"&amp;"x2mTUo8/edit?usp=share_link"",""ตาก!J731"")+IMPORTRANGE(""https://docs.google.com/spreadsheets/d/10nSRjK08hx8Y6HgSOQKNw81lyY46Zc7U_Cj72hBMp9U/edit?usp=share_link"",""นครสวรรค์!J731"")+IMPORTRANGE(""https://docs.google.com/spreadsheets/d/1gFVb7qd7amutrIxAA"&amp;"oM7lcy35hllxznovot8lyOfvDo/edit?usp=share_link"",""น่าน!J731"")+IMPORTRANGE(""https://docs.google.com/spreadsheets/d/1K0Aa9s-6EuHE5M0FG1F9aHLXRCOV917xvycTdLdct0w/edit?usp=share_link"",""พะเยา!J731"")+IMPORTRANGE(""https://docs.google.com/spreadsheets/d/1Y"&amp;"9LPKx95PyL5OKy09d-KbKJSuuEZCFdkhYjwC0XQjBA/edit?usp=share_link"",""พิจิตร!J731"")+IMPORTRANGE(""https://docs.google.com/spreadsheets/d/16OMuOwy2eVqZcYWOouQtTpa8X1L23h4660uVHc0C8os/edit?usp=share_link"",""พิษณุโลก!J731"")+IMPORTRANGE(""https://docs.google."&amp;"com/spreadsheets/d/1GfgTldLG6k77HXaMQzaafODklYuucJZQNs_GAPEfZyY/edit?usp=share_link"",""เพชรบูรณ์!J731"")+IMPORTRANGE(""https://docs.google.com/spreadsheets/d/1gvTMYAnm7v1yG1BKWFtr0DnaTsq59oW9dwWvFgq6hs0/edit?usp=share_link"",""แพร่!J731"")+IMPORTRANGE("""&amp;"https://docs.google.com/spreadsheets/d/1Wbcosgy-Xa1xXUArJSOenub6EfZHUSzc_bpJFWwQUf0/edit?usp=share_link"",""แม่ฮ่องสอน!J731"")+IMPORTRANGE(""https://docs.google.com/spreadsheets/d/1p7ERhsr0qZeSn-KSOdeHS9r0heI-lHtkcn2OH7hP0jQ/edit?usp=share_link"",""ลำปาง!"&amp;"J731"")+IMPORTRANGE(""https://docs.google.com/spreadsheets/d/1-uUXvimVhiU2U0bMN-xi2te0tS4X7DI2GLPnMjzl8cA/edit?usp=share_link"",""ลำพูน!J731"")+IMPORTRANGE(""https://docs.google.com/spreadsheets/d/17HrOaa5pBUI1onckFfumXB8xlg35qb2uBAFfF1D-Myo/edit?usp=shar"&amp;"e_link"",""สุโขทัย!J731"")+IMPORTRANGE(""https://docs.google.com/spreadsheets/d/1ubs5cl16eYL9gHbdHTJtmtYb9MGzHBs7CAphn8kNCgM/edit?usp=share_link"",""อุตรดิตถ์!J731"")+IMPORTRANGE(""https://docs.google.com/spreadsheets/d/1kII0BjS6CtVrBvI8IrytgPdxDrlyQDyigz"&amp;"MsohRtDMs/edit?usp=share_link"",""อุทัยธานี!J731"")
"),0)</f>
        <v>0</v>
      </c>
      <c r="K731" s="38"/>
      <c r="L731" s="730"/>
      <c r="M731" s="38"/>
      <c r="N731" s="730"/>
      <c r="O731" s="38"/>
      <c r="P731" s="38"/>
      <c r="Q731" s="541"/>
      <c r="R731" s="541"/>
      <c r="S731" s="541"/>
      <c r="T731" s="541"/>
      <c r="U731" s="541"/>
      <c r="V731" s="541"/>
      <c r="W731" s="541"/>
      <c r="X731" s="541"/>
      <c r="Y731" s="541"/>
      <c r="Z731" s="541"/>
    </row>
    <row r="732" spans="1:26" ht="18.75">
      <c r="A732" s="708"/>
      <c r="B732" s="539"/>
      <c r="C732" s="539"/>
      <c r="D732" s="539"/>
      <c r="E732" s="539"/>
      <c r="F732" s="539"/>
      <c r="G732" s="189"/>
      <c r="H732" s="182" t="s">
        <v>46</v>
      </c>
      <c r="I732" s="729"/>
      <c r="J732" s="183">
        <f ca="1">IFERROR(__xludf.DUMMYFUNCTION("IMPORTRANGE(""https://docs.google.com/spreadsheets/d/1KxicF4apzSqm0-jIpmueT4kyZtE-Cwn5zskl7GD4loQ/edit?usp=share_link"",""กำแพงเพชร!J732"")+IMPORTRANGE(""https://docs.google.com/spreadsheets/d/1ZNYWeiFoFA1K1U4xKWqRX29MBvEyRHXORjo734Gnq_c/edit?usp=share_li"&amp;"nk"",""เชียงราย!J732"")
+IMPORTRANGE(""https://docs.google.com/spreadsheets/d/1Jgv0Y7YlHDtsiDawwp-uvifEJ8HVaSn0k2aGHG8-hwM/edit?usp=share_link"",""เชียงใหม่!J732"")+IMPORTRANGE(""https://docs.google.com/spreadsheets/d/1JWG2rZePOz9pe-f-ObA-yDr0VoOX2kSb0qIi"&amp;"x2mTUo8/edit?usp=share_link"",""ตาก!J732"")+IMPORTRANGE(""https://docs.google.com/spreadsheets/d/10nSRjK08hx8Y6HgSOQKNw81lyY46Zc7U_Cj72hBMp9U/edit?usp=share_link"",""นครสวรรค์!J732"")+IMPORTRANGE(""https://docs.google.com/spreadsheets/d/1gFVb7qd7amutrIxAA"&amp;"oM7lcy35hllxznovot8lyOfvDo/edit?usp=share_link"",""น่าน!J732"")+IMPORTRANGE(""https://docs.google.com/spreadsheets/d/1K0Aa9s-6EuHE5M0FG1F9aHLXRCOV917xvycTdLdct0w/edit?usp=share_link"",""พะเยา!J732"")+IMPORTRANGE(""https://docs.google.com/spreadsheets/d/1Y"&amp;"9LPKx95PyL5OKy09d-KbKJSuuEZCFdkhYjwC0XQjBA/edit?usp=share_link"",""พิจิตร!J732"")+IMPORTRANGE(""https://docs.google.com/spreadsheets/d/16OMuOwy2eVqZcYWOouQtTpa8X1L23h4660uVHc0C8os/edit?usp=share_link"",""พิษณุโลก!J732"")+IMPORTRANGE(""https://docs.google."&amp;"com/spreadsheets/d/1GfgTldLG6k77HXaMQzaafODklYuucJZQNs_GAPEfZyY/edit?usp=share_link"",""เพชรบูรณ์!J732"")+IMPORTRANGE(""https://docs.google.com/spreadsheets/d/1gvTMYAnm7v1yG1BKWFtr0DnaTsq59oW9dwWvFgq6hs0/edit?usp=share_link"",""แพร่!J732"")+IMPORTRANGE("""&amp;"https://docs.google.com/spreadsheets/d/1Wbcosgy-Xa1xXUArJSOenub6EfZHUSzc_bpJFWwQUf0/edit?usp=share_link"",""แม่ฮ่องสอน!J732"")+IMPORTRANGE(""https://docs.google.com/spreadsheets/d/1p7ERhsr0qZeSn-KSOdeHS9r0heI-lHtkcn2OH7hP0jQ/edit?usp=share_link"",""ลำปาง!"&amp;"J732"")+IMPORTRANGE(""https://docs.google.com/spreadsheets/d/1-uUXvimVhiU2U0bMN-xi2te0tS4X7DI2GLPnMjzl8cA/edit?usp=share_link"",""ลำพูน!J732"")+IMPORTRANGE(""https://docs.google.com/spreadsheets/d/17HrOaa5pBUI1onckFfumXB8xlg35qb2uBAFfF1D-Myo/edit?usp=shar"&amp;"e_link"",""สุโขทัย!J732"")+IMPORTRANGE(""https://docs.google.com/spreadsheets/d/1ubs5cl16eYL9gHbdHTJtmtYb9MGzHBs7CAphn8kNCgM/edit?usp=share_link"",""อุตรดิตถ์!J732"")+IMPORTRANGE(""https://docs.google.com/spreadsheets/d/1kII0BjS6CtVrBvI8IrytgPdxDrlyQDyigz"&amp;"MsohRtDMs/edit?usp=share_link"",""อุทัยธานี!J732"")
"),0)</f>
        <v>0</v>
      </c>
      <c r="K732" s="38"/>
      <c r="L732" s="730"/>
      <c r="M732" s="38"/>
      <c r="N732" s="730"/>
      <c r="O732" s="38"/>
      <c r="P732" s="38"/>
      <c r="Q732" s="541"/>
      <c r="R732" s="541"/>
      <c r="S732" s="541"/>
      <c r="T732" s="541"/>
      <c r="U732" s="541"/>
      <c r="V732" s="541"/>
      <c r="W732" s="541"/>
      <c r="X732" s="541"/>
      <c r="Y732" s="541"/>
      <c r="Z732" s="541"/>
    </row>
    <row r="733" spans="1:26" ht="18.75">
      <c r="A733" s="708"/>
      <c r="B733" s="539"/>
      <c r="C733" s="539"/>
      <c r="D733" s="539"/>
      <c r="E733" s="540" t="s">
        <v>310</v>
      </c>
      <c r="F733" s="539"/>
      <c r="G733" s="189"/>
      <c r="H733" s="182" t="s">
        <v>35</v>
      </c>
      <c r="I733" s="729"/>
      <c r="J733" s="183">
        <f ca="1">IFERROR(__xludf.DUMMYFUNCTION("IMPORTRANGE(""https://docs.google.com/spreadsheets/d/1KxicF4apzSqm0-jIpmueT4kyZtE-Cwn5zskl7GD4loQ/edit?usp=share_link"",""กำแพงเพชร!J733"")+IMPORTRANGE(""https://docs.google.com/spreadsheets/d/1ZNYWeiFoFA1K1U4xKWqRX29MBvEyRHXORjo734Gnq_c/edit?usp=share_li"&amp;"nk"",""เชียงราย!J733"")
+IMPORTRANGE(""https://docs.google.com/spreadsheets/d/1Jgv0Y7YlHDtsiDawwp-uvifEJ8HVaSn0k2aGHG8-hwM/edit?usp=share_link"",""เชียงใหม่!J733"")+IMPORTRANGE(""https://docs.google.com/spreadsheets/d/1JWG2rZePOz9pe-f-ObA-yDr0VoOX2kSb0qIi"&amp;"x2mTUo8/edit?usp=share_link"",""ตาก!J733"")+IMPORTRANGE(""https://docs.google.com/spreadsheets/d/10nSRjK08hx8Y6HgSOQKNw81lyY46Zc7U_Cj72hBMp9U/edit?usp=share_link"",""นครสวรรค์!J733"")+IMPORTRANGE(""https://docs.google.com/spreadsheets/d/1gFVb7qd7amutrIxAA"&amp;"oM7lcy35hllxznovot8lyOfvDo/edit?usp=share_link"",""น่าน!J733"")+IMPORTRANGE(""https://docs.google.com/spreadsheets/d/1K0Aa9s-6EuHE5M0FG1F9aHLXRCOV917xvycTdLdct0w/edit?usp=share_link"",""พะเยา!J733"")+IMPORTRANGE(""https://docs.google.com/spreadsheets/d/1Y"&amp;"9LPKx95PyL5OKy09d-KbKJSuuEZCFdkhYjwC0XQjBA/edit?usp=share_link"",""พิจิตร!J733"")+IMPORTRANGE(""https://docs.google.com/spreadsheets/d/16OMuOwy2eVqZcYWOouQtTpa8X1L23h4660uVHc0C8os/edit?usp=share_link"",""พิษณุโลก!J733"")+IMPORTRANGE(""https://docs.google."&amp;"com/spreadsheets/d/1GfgTldLG6k77HXaMQzaafODklYuucJZQNs_GAPEfZyY/edit?usp=share_link"",""เพชรบูรณ์!J733"")+IMPORTRANGE(""https://docs.google.com/spreadsheets/d/1gvTMYAnm7v1yG1BKWFtr0DnaTsq59oW9dwWvFgq6hs0/edit?usp=share_link"",""แพร่!J733"")+IMPORTRANGE("""&amp;"https://docs.google.com/spreadsheets/d/1Wbcosgy-Xa1xXUArJSOenub6EfZHUSzc_bpJFWwQUf0/edit?usp=share_link"",""แม่ฮ่องสอน!J733"")+IMPORTRANGE(""https://docs.google.com/spreadsheets/d/1p7ERhsr0qZeSn-KSOdeHS9r0heI-lHtkcn2OH7hP0jQ/edit?usp=share_link"",""ลำปาง!"&amp;"J733"")+IMPORTRANGE(""https://docs.google.com/spreadsheets/d/1-uUXvimVhiU2U0bMN-xi2te0tS4X7DI2GLPnMjzl8cA/edit?usp=share_link"",""ลำพูน!J733"")+IMPORTRANGE(""https://docs.google.com/spreadsheets/d/17HrOaa5pBUI1onckFfumXB8xlg35qb2uBAFfF1D-Myo/edit?usp=shar"&amp;"e_link"",""สุโขทัย!J733"")+IMPORTRANGE(""https://docs.google.com/spreadsheets/d/1ubs5cl16eYL9gHbdHTJtmtYb9MGzHBs7CAphn8kNCgM/edit?usp=share_link"",""อุตรดิตถ์!J733"")+IMPORTRANGE(""https://docs.google.com/spreadsheets/d/1kII0BjS6CtVrBvI8IrytgPdxDrlyQDyigz"&amp;"MsohRtDMs/edit?usp=share_link"",""อุทัยธานี!J733"")
"),0)</f>
        <v>0</v>
      </c>
      <c r="K733" s="38"/>
      <c r="L733" s="730"/>
      <c r="M733" s="38"/>
      <c r="N733" s="730"/>
      <c r="O733" s="38"/>
      <c r="P733" s="38"/>
      <c r="Q733" s="541"/>
      <c r="R733" s="541"/>
      <c r="S733" s="541"/>
      <c r="T733" s="541"/>
      <c r="U733" s="541"/>
      <c r="V733" s="541"/>
      <c r="W733" s="541"/>
      <c r="X733" s="541"/>
      <c r="Y733" s="541"/>
      <c r="Z733" s="541"/>
    </row>
    <row r="734" spans="1:26" ht="18.75">
      <c r="A734" s="708"/>
      <c r="B734" s="539"/>
      <c r="C734" s="539"/>
      <c r="D734" s="539"/>
      <c r="E734" s="539"/>
      <c r="F734" s="539"/>
      <c r="G734" s="189"/>
      <c r="H734" s="182" t="s">
        <v>34</v>
      </c>
      <c r="I734" s="729"/>
      <c r="J734" s="183">
        <f ca="1">IFERROR(__xludf.DUMMYFUNCTION("IMPORTRANGE(""https://docs.google.com/spreadsheets/d/1KxicF4apzSqm0-jIpmueT4kyZtE-Cwn5zskl7GD4loQ/edit?usp=share_link"",""กำแพงเพชร!J734"")+IMPORTRANGE(""https://docs.google.com/spreadsheets/d/1ZNYWeiFoFA1K1U4xKWqRX29MBvEyRHXORjo734Gnq_c/edit?usp=share_li"&amp;"nk"",""เชียงราย!J734"")
+IMPORTRANGE(""https://docs.google.com/spreadsheets/d/1Jgv0Y7YlHDtsiDawwp-uvifEJ8HVaSn0k2aGHG8-hwM/edit?usp=share_link"",""เชียงใหม่!J734"")+IMPORTRANGE(""https://docs.google.com/spreadsheets/d/1JWG2rZePOz9pe-f-ObA-yDr0VoOX2kSb0qIi"&amp;"x2mTUo8/edit?usp=share_link"",""ตาก!J734"")+IMPORTRANGE(""https://docs.google.com/spreadsheets/d/10nSRjK08hx8Y6HgSOQKNw81lyY46Zc7U_Cj72hBMp9U/edit?usp=share_link"",""นครสวรรค์!J734"")+IMPORTRANGE(""https://docs.google.com/spreadsheets/d/1gFVb7qd7amutrIxAA"&amp;"oM7lcy35hllxznovot8lyOfvDo/edit?usp=share_link"",""น่าน!J734"")+IMPORTRANGE(""https://docs.google.com/spreadsheets/d/1K0Aa9s-6EuHE5M0FG1F9aHLXRCOV917xvycTdLdct0w/edit?usp=share_link"",""พะเยา!J734"")+IMPORTRANGE(""https://docs.google.com/spreadsheets/d/1Y"&amp;"9LPKx95PyL5OKy09d-KbKJSuuEZCFdkhYjwC0XQjBA/edit?usp=share_link"",""พิจิตร!J734"")+IMPORTRANGE(""https://docs.google.com/spreadsheets/d/16OMuOwy2eVqZcYWOouQtTpa8X1L23h4660uVHc0C8os/edit?usp=share_link"",""พิษณุโลก!J734"")+IMPORTRANGE(""https://docs.google."&amp;"com/spreadsheets/d/1GfgTldLG6k77HXaMQzaafODklYuucJZQNs_GAPEfZyY/edit?usp=share_link"",""เพชรบูรณ์!J734"")+IMPORTRANGE(""https://docs.google.com/spreadsheets/d/1gvTMYAnm7v1yG1BKWFtr0DnaTsq59oW9dwWvFgq6hs0/edit?usp=share_link"",""แพร่!J734"")+IMPORTRANGE("""&amp;"https://docs.google.com/spreadsheets/d/1Wbcosgy-Xa1xXUArJSOenub6EfZHUSzc_bpJFWwQUf0/edit?usp=share_link"",""แม่ฮ่องสอน!J734"")+IMPORTRANGE(""https://docs.google.com/spreadsheets/d/1p7ERhsr0qZeSn-KSOdeHS9r0heI-lHtkcn2OH7hP0jQ/edit?usp=share_link"",""ลำปาง!"&amp;"J734"")+IMPORTRANGE(""https://docs.google.com/spreadsheets/d/1-uUXvimVhiU2U0bMN-xi2te0tS4X7DI2GLPnMjzl8cA/edit?usp=share_link"",""ลำพูน!J734"")+IMPORTRANGE(""https://docs.google.com/spreadsheets/d/17HrOaa5pBUI1onckFfumXB8xlg35qb2uBAFfF1D-Myo/edit?usp=shar"&amp;"e_link"",""สุโขทัย!J734"")+IMPORTRANGE(""https://docs.google.com/spreadsheets/d/1ubs5cl16eYL9gHbdHTJtmtYb9MGzHBs7CAphn8kNCgM/edit?usp=share_link"",""อุตรดิตถ์!J734"")+IMPORTRANGE(""https://docs.google.com/spreadsheets/d/1kII0BjS6CtVrBvI8IrytgPdxDrlyQDyigz"&amp;"MsohRtDMs/edit?usp=share_link"",""อุทัยธานี!J734"")
"),0)</f>
        <v>0</v>
      </c>
      <c r="K734" s="38"/>
      <c r="L734" s="730"/>
      <c r="M734" s="38"/>
      <c r="N734" s="730"/>
      <c r="O734" s="38"/>
      <c r="P734" s="38"/>
      <c r="Q734" s="541"/>
      <c r="R734" s="541"/>
      <c r="S734" s="541"/>
      <c r="T734" s="541"/>
      <c r="U734" s="541"/>
      <c r="V734" s="541"/>
      <c r="W734" s="541"/>
      <c r="X734" s="541"/>
      <c r="Y734" s="541"/>
      <c r="Z734" s="541"/>
    </row>
    <row r="735" spans="1:26" ht="19.5">
      <c r="A735" s="734"/>
      <c r="B735" s="735" t="s">
        <v>311</v>
      </c>
      <c r="C735" s="698"/>
      <c r="D735" s="698"/>
      <c r="E735" s="698"/>
      <c r="F735" s="698"/>
      <c r="G735" s="699"/>
      <c r="H735" s="390" t="s">
        <v>46</v>
      </c>
      <c r="I735" s="736"/>
      <c r="J735" s="392">
        <f ca="1">IFERROR(__xludf.DUMMYFUNCTION("IMPORTRANGE(""https://docs.google.com/spreadsheets/d/1KxicF4apzSqm0-jIpmueT4kyZtE-Cwn5zskl7GD4loQ/edit?usp=share_link"",""กำแพงเพชร!J735"")+IMPORTRANGE(""https://docs.google.com/spreadsheets/d/1ZNYWeiFoFA1K1U4xKWqRX29MBvEyRHXORjo734Gnq_c/edit?usp=share_li"&amp;"nk"",""เชียงราย!J735"")
+IMPORTRANGE(""https://docs.google.com/spreadsheets/d/1Jgv0Y7YlHDtsiDawwp-uvifEJ8HVaSn0k2aGHG8-hwM/edit?usp=share_link"",""เชียงใหม่!J735"")+IMPORTRANGE(""https://docs.google.com/spreadsheets/d/1JWG2rZePOz9pe-f-ObA-yDr0VoOX2kSb0qIi"&amp;"x2mTUo8/edit?usp=share_link"",""ตาก!J735"")+IMPORTRANGE(""https://docs.google.com/spreadsheets/d/10nSRjK08hx8Y6HgSOQKNw81lyY46Zc7U_Cj72hBMp9U/edit?usp=share_link"",""นครสวรรค์!J735"")+IMPORTRANGE(""https://docs.google.com/spreadsheets/d/1gFVb7qd7amutrIxAA"&amp;"oM7lcy35hllxznovot8lyOfvDo/edit?usp=share_link"",""น่าน!J735"")+IMPORTRANGE(""https://docs.google.com/spreadsheets/d/1K0Aa9s-6EuHE5M0FG1F9aHLXRCOV917xvycTdLdct0w/edit?usp=share_link"",""พะเยา!J735"")+IMPORTRANGE(""https://docs.google.com/spreadsheets/d/1Y"&amp;"9LPKx95PyL5OKy09d-KbKJSuuEZCFdkhYjwC0XQjBA/edit?usp=share_link"",""พิจิตร!J735"")+IMPORTRANGE(""https://docs.google.com/spreadsheets/d/16OMuOwy2eVqZcYWOouQtTpa8X1L23h4660uVHc0C8os/edit?usp=share_link"",""พิษณุโลก!J735"")+IMPORTRANGE(""https://docs.google."&amp;"com/spreadsheets/d/1GfgTldLG6k77HXaMQzaafODklYuucJZQNs_GAPEfZyY/edit?usp=share_link"",""เพชรบูรณ์!J735"")+IMPORTRANGE(""https://docs.google.com/spreadsheets/d/1gvTMYAnm7v1yG1BKWFtr0DnaTsq59oW9dwWvFgq6hs0/edit?usp=share_link"",""แพร่!J735"")+IMPORTRANGE("""&amp;"https://docs.google.com/spreadsheets/d/1Wbcosgy-Xa1xXUArJSOenub6EfZHUSzc_bpJFWwQUf0/edit?usp=share_link"",""แม่ฮ่องสอน!J735"")+IMPORTRANGE(""https://docs.google.com/spreadsheets/d/1p7ERhsr0qZeSn-KSOdeHS9r0heI-lHtkcn2OH7hP0jQ/edit?usp=share_link"",""ลำปาง!"&amp;"J735"")+IMPORTRANGE(""https://docs.google.com/spreadsheets/d/1-uUXvimVhiU2U0bMN-xi2te0tS4X7DI2GLPnMjzl8cA/edit?usp=share_link"",""ลำพูน!J735"")+IMPORTRANGE(""https://docs.google.com/spreadsheets/d/17HrOaa5pBUI1onckFfumXB8xlg35qb2uBAFfF1D-Myo/edit?usp=shar"&amp;"e_link"",""สุโขทัย!J735"")+IMPORTRANGE(""https://docs.google.com/spreadsheets/d/1ubs5cl16eYL9gHbdHTJtmtYb9MGzHBs7CAphn8kNCgM/edit?usp=share_link"",""อุตรดิตถ์!J735"")+IMPORTRANGE(""https://docs.google.com/spreadsheets/d/1kII0BjS6CtVrBvI8IrytgPdxDrlyQDyigz"&amp;"MsohRtDMs/edit?usp=share_link"",""อุทัยธานี!J735"")
"),0)</f>
        <v>0</v>
      </c>
      <c r="K735" s="469"/>
      <c r="L735" s="737"/>
      <c r="M735" s="469"/>
      <c r="N735" s="737"/>
      <c r="O735" s="469"/>
      <c r="P735" s="469"/>
      <c r="Q735" s="541"/>
      <c r="R735" s="541"/>
      <c r="S735" s="541"/>
      <c r="T735" s="541"/>
      <c r="U735" s="541"/>
      <c r="V735" s="541"/>
      <c r="W735" s="541"/>
      <c r="X735" s="541"/>
      <c r="Y735" s="541"/>
      <c r="Z735" s="541"/>
    </row>
    <row r="736" spans="1:26" ht="19.5" hidden="1">
      <c r="A736" s="738">
        <v>9</v>
      </c>
      <c r="B736" s="739" t="s">
        <v>312</v>
      </c>
      <c r="C736" s="740"/>
      <c r="D736" s="740"/>
      <c r="E736" s="740"/>
      <c r="F736" s="740"/>
      <c r="G736" s="741"/>
      <c r="H736" s="742" t="s">
        <v>46</v>
      </c>
      <c r="I736" s="743"/>
      <c r="J736" s="743">
        <f>J751</f>
        <v>0</v>
      </c>
      <c r="K736" s="744">
        <f>IF(I736&gt;0,J736*100/I736,0)</f>
        <v>0</v>
      </c>
      <c r="L736" s="745"/>
      <c r="M736" s="745"/>
      <c r="N736" s="745"/>
      <c r="O736" s="745"/>
      <c r="P736" s="745"/>
      <c r="Q736" s="568"/>
      <c r="R736" s="568"/>
      <c r="S736" s="568"/>
      <c r="T736" s="568"/>
      <c r="U736" s="568"/>
      <c r="V736" s="568"/>
      <c r="W736" s="568"/>
      <c r="X736" s="568"/>
      <c r="Y736" s="568"/>
      <c r="Z736" s="568"/>
    </row>
    <row r="737" spans="1:26" ht="19.5" hidden="1">
      <c r="A737" s="563"/>
      <c r="B737" s="564"/>
      <c r="C737" s="564" t="s">
        <v>16</v>
      </c>
      <c r="D737" s="812" t="s">
        <v>17</v>
      </c>
      <c r="E737" s="805"/>
      <c r="F737" s="805"/>
      <c r="G737" s="567"/>
      <c r="H737" s="612" t="s">
        <v>12</v>
      </c>
      <c r="I737" s="44"/>
      <c r="J737" s="44"/>
      <c r="K737" s="45"/>
      <c r="L737" s="613">
        <f t="shared" ref="L737:N737" si="335">L738+L739</f>
        <v>0</v>
      </c>
      <c r="M737" s="613">
        <f t="shared" si="335"/>
        <v>0</v>
      </c>
      <c r="N737" s="613">
        <f t="shared" si="335"/>
        <v>0</v>
      </c>
      <c r="O737" s="613">
        <f t="shared" ref="O737:O742" si="336">IF(L737&gt;0,N737*100/L737,0)</f>
        <v>0</v>
      </c>
      <c r="P737" s="613">
        <f t="shared" ref="P737:P742" si="337">IF(M737&gt;0,N737*100/M737,0)</f>
        <v>0</v>
      </c>
      <c r="Q737" s="568"/>
      <c r="R737" s="568"/>
      <c r="S737" s="568"/>
      <c r="T737" s="568"/>
      <c r="U737" s="568"/>
      <c r="V737" s="568"/>
      <c r="W737" s="568"/>
      <c r="X737" s="568"/>
      <c r="Y737" s="568"/>
      <c r="Z737" s="568"/>
    </row>
    <row r="738" spans="1:26" ht="18.75" hidden="1">
      <c r="A738" s="563"/>
      <c r="B738" s="564"/>
      <c r="C738" s="564"/>
      <c r="D738" s="565"/>
      <c r="E738" s="566" t="s">
        <v>184</v>
      </c>
      <c r="F738" s="564"/>
      <c r="G738" s="567"/>
      <c r="H738" s="165" t="s">
        <v>12</v>
      </c>
      <c r="I738" s="44"/>
      <c r="J738" s="44"/>
      <c r="K738" s="45"/>
      <c r="L738" s="45">
        <f t="shared" ref="L738:N738" si="338">L741+L748</f>
        <v>0</v>
      </c>
      <c r="M738" s="45">
        <f t="shared" si="338"/>
        <v>0</v>
      </c>
      <c r="N738" s="45">
        <f t="shared" si="338"/>
        <v>0</v>
      </c>
      <c r="O738" s="45">
        <f t="shared" si="336"/>
        <v>0</v>
      </c>
      <c r="P738" s="45">
        <f t="shared" si="337"/>
        <v>0</v>
      </c>
      <c r="Q738" s="568"/>
      <c r="R738" s="568"/>
      <c r="S738" s="568"/>
      <c r="T738" s="568"/>
      <c r="U738" s="568"/>
      <c r="V738" s="568"/>
      <c r="W738" s="568"/>
      <c r="X738" s="568"/>
      <c r="Y738" s="568"/>
      <c r="Z738" s="568"/>
    </row>
    <row r="739" spans="1:26" ht="18.75" hidden="1">
      <c r="A739" s="563"/>
      <c r="B739" s="569"/>
      <c r="C739" s="564"/>
      <c r="D739" s="565"/>
      <c r="E739" s="566" t="s">
        <v>185</v>
      </c>
      <c r="F739" s="564"/>
      <c r="G739" s="567"/>
      <c r="H739" s="165" t="s">
        <v>12</v>
      </c>
      <c r="I739" s="44"/>
      <c r="J739" s="44"/>
      <c r="K739" s="45"/>
      <c r="L739" s="45">
        <f t="shared" ref="L739:N739" si="339">L742+L749</f>
        <v>0</v>
      </c>
      <c r="M739" s="45">
        <f t="shared" si="339"/>
        <v>0</v>
      </c>
      <c r="N739" s="45">
        <f t="shared" si="339"/>
        <v>0</v>
      </c>
      <c r="O739" s="45">
        <f t="shared" si="336"/>
        <v>0</v>
      </c>
      <c r="P739" s="45">
        <f t="shared" si="337"/>
        <v>0</v>
      </c>
      <c r="Q739" s="568"/>
      <c r="R739" s="568"/>
      <c r="S739" s="568"/>
      <c r="T739" s="568"/>
      <c r="U739" s="568"/>
      <c r="V739" s="568"/>
      <c r="W739" s="568"/>
      <c r="X739" s="568"/>
      <c r="Y739" s="568"/>
      <c r="Z739" s="568"/>
    </row>
    <row r="740" spans="1:26" ht="19.5" hidden="1">
      <c r="A740" s="563"/>
      <c r="B740" s="569"/>
      <c r="C740" s="564"/>
      <c r="D740" s="746" t="s">
        <v>20</v>
      </c>
      <c r="E740" s="564"/>
      <c r="F740" s="564"/>
      <c r="G740" s="567"/>
      <c r="H740" s="612" t="s">
        <v>12</v>
      </c>
      <c r="I740" s="166"/>
      <c r="J740" s="166"/>
      <c r="K740" s="167"/>
      <c r="L740" s="613">
        <f t="shared" ref="L740:N740" si="340">L741+L742</f>
        <v>0</v>
      </c>
      <c r="M740" s="613">
        <f t="shared" si="340"/>
        <v>0</v>
      </c>
      <c r="N740" s="613">
        <f t="shared" si="340"/>
        <v>0</v>
      </c>
      <c r="O740" s="613">
        <f t="shared" si="336"/>
        <v>0</v>
      </c>
      <c r="P740" s="613">
        <f t="shared" si="337"/>
        <v>0</v>
      </c>
      <c r="Q740" s="568"/>
      <c r="R740" s="568"/>
      <c r="S740" s="568"/>
      <c r="T740" s="568"/>
      <c r="U740" s="568"/>
      <c r="V740" s="568"/>
      <c r="W740" s="568"/>
      <c r="X740" s="568"/>
      <c r="Y740" s="568"/>
      <c r="Z740" s="568"/>
    </row>
    <row r="741" spans="1:26" ht="18.75" hidden="1">
      <c r="A741" s="563"/>
      <c r="B741" s="569"/>
      <c r="C741" s="564"/>
      <c r="D741" s="565"/>
      <c r="E741" s="566" t="s">
        <v>184</v>
      </c>
      <c r="F741" s="564"/>
      <c r="G741" s="567"/>
      <c r="H741" s="165" t="s">
        <v>12</v>
      </c>
      <c r="I741" s="44"/>
      <c r="J741" s="44"/>
      <c r="K741" s="45"/>
      <c r="L741" s="93">
        <v>0</v>
      </c>
      <c r="M741" s="93">
        <v>0</v>
      </c>
      <c r="N741" s="93">
        <v>0</v>
      </c>
      <c r="O741" s="45">
        <f t="shared" si="336"/>
        <v>0</v>
      </c>
      <c r="P741" s="45">
        <f t="shared" si="337"/>
        <v>0</v>
      </c>
      <c r="Q741" s="568"/>
      <c r="R741" s="568"/>
      <c r="S741" s="568"/>
      <c r="T741" s="568"/>
      <c r="U741" s="568"/>
      <c r="V741" s="568"/>
      <c r="W741" s="568"/>
      <c r="X741" s="568"/>
      <c r="Y741" s="568"/>
      <c r="Z741" s="568"/>
    </row>
    <row r="742" spans="1:26" ht="18.75" hidden="1">
      <c r="A742" s="563"/>
      <c r="B742" s="569"/>
      <c r="C742" s="564"/>
      <c r="D742" s="565"/>
      <c r="E742" s="566" t="s">
        <v>185</v>
      </c>
      <c r="F742" s="564"/>
      <c r="G742" s="567"/>
      <c r="H742" s="165" t="s">
        <v>12</v>
      </c>
      <c r="I742" s="44"/>
      <c r="J742" s="44"/>
      <c r="K742" s="45"/>
      <c r="L742" s="93">
        <v>0</v>
      </c>
      <c r="M742" s="93">
        <v>0</v>
      </c>
      <c r="N742" s="45">
        <f>N743+N744+N745+N746</f>
        <v>0</v>
      </c>
      <c r="O742" s="45">
        <f t="shared" si="336"/>
        <v>0</v>
      </c>
      <c r="P742" s="45">
        <f t="shared" si="337"/>
        <v>0</v>
      </c>
      <c r="Q742" s="568"/>
      <c r="R742" s="568"/>
      <c r="S742" s="568"/>
      <c r="T742" s="568"/>
      <c r="U742" s="568"/>
      <c r="V742" s="568"/>
      <c r="W742" s="568"/>
      <c r="X742" s="568"/>
      <c r="Y742" s="568"/>
      <c r="Z742" s="568"/>
    </row>
    <row r="743" spans="1:26" ht="18.75" hidden="1">
      <c r="A743" s="615"/>
      <c r="B743" s="569"/>
      <c r="C743" s="564"/>
      <c r="D743" s="564"/>
      <c r="E743" s="564"/>
      <c r="F743" s="566" t="s">
        <v>186</v>
      </c>
      <c r="G743" s="567"/>
      <c r="H743" s="165" t="s">
        <v>12</v>
      </c>
      <c r="I743" s="44"/>
      <c r="J743" s="44"/>
      <c r="K743" s="45"/>
      <c r="L743" s="45"/>
      <c r="M743" s="45"/>
      <c r="N743" s="45"/>
      <c r="O743" s="45"/>
      <c r="P743" s="45"/>
      <c r="Q743" s="568"/>
      <c r="R743" s="568"/>
      <c r="S743" s="568"/>
      <c r="T743" s="568"/>
      <c r="U743" s="568"/>
      <c r="V743" s="568"/>
      <c r="W743" s="568"/>
      <c r="X743" s="568"/>
      <c r="Y743" s="568"/>
      <c r="Z743" s="568"/>
    </row>
    <row r="744" spans="1:26" ht="18.75" hidden="1">
      <c r="A744" s="615"/>
      <c r="B744" s="569"/>
      <c r="C744" s="564"/>
      <c r="D744" s="564"/>
      <c r="E744" s="564"/>
      <c r="F744" s="566" t="s">
        <v>187</v>
      </c>
      <c r="G744" s="567"/>
      <c r="H744" s="165" t="s">
        <v>12</v>
      </c>
      <c r="I744" s="44"/>
      <c r="J744" s="44"/>
      <c r="K744" s="45"/>
      <c r="L744" s="45"/>
      <c r="M744" s="45"/>
      <c r="N744" s="45"/>
      <c r="O744" s="45"/>
      <c r="P744" s="45"/>
      <c r="Q744" s="568"/>
      <c r="R744" s="568"/>
      <c r="S744" s="568"/>
      <c r="T744" s="568"/>
      <c r="U744" s="568"/>
      <c r="V744" s="568"/>
      <c r="W744" s="568"/>
      <c r="X744" s="568"/>
      <c r="Y744" s="568"/>
      <c r="Z744" s="568"/>
    </row>
    <row r="745" spans="1:26" ht="18.75" hidden="1">
      <c r="A745" s="615"/>
      <c r="B745" s="569"/>
      <c r="C745" s="564"/>
      <c r="D745" s="564"/>
      <c r="E745" s="564"/>
      <c r="F745" s="566" t="s">
        <v>188</v>
      </c>
      <c r="G745" s="567"/>
      <c r="H745" s="165" t="s">
        <v>12</v>
      </c>
      <c r="I745" s="44"/>
      <c r="J745" s="44"/>
      <c r="K745" s="45"/>
      <c r="L745" s="45"/>
      <c r="M745" s="45"/>
      <c r="N745" s="45"/>
      <c r="O745" s="45"/>
      <c r="P745" s="45"/>
      <c r="Q745" s="568"/>
      <c r="R745" s="568"/>
      <c r="S745" s="568"/>
      <c r="T745" s="568"/>
      <c r="U745" s="568"/>
      <c r="V745" s="568"/>
      <c r="W745" s="568"/>
      <c r="X745" s="568"/>
      <c r="Y745" s="568"/>
      <c r="Z745" s="568"/>
    </row>
    <row r="746" spans="1:26" ht="18.75" hidden="1">
      <c r="A746" s="615"/>
      <c r="B746" s="569"/>
      <c r="C746" s="564"/>
      <c r="D746" s="564"/>
      <c r="E746" s="564"/>
      <c r="F746" s="566" t="s">
        <v>189</v>
      </c>
      <c r="G746" s="567"/>
      <c r="H746" s="165" t="s">
        <v>12</v>
      </c>
      <c r="I746" s="44"/>
      <c r="J746" s="44"/>
      <c r="K746" s="45"/>
      <c r="L746" s="45"/>
      <c r="M746" s="45"/>
      <c r="N746" s="45"/>
      <c r="O746" s="45"/>
      <c r="P746" s="45"/>
      <c r="Q746" s="568"/>
      <c r="R746" s="568"/>
      <c r="S746" s="568"/>
      <c r="T746" s="568"/>
      <c r="U746" s="568"/>
      <c r="V746" s="568"/>
      <c r="W746" s="568"/>
      <c r="X746" s="568"/>
      <c r="Y746" s="568"/>
      <c r="Z746" s="568"/>
    </row>
    <row r="747" spans="1:26" ht="19.5" hidden="1">
      <c r="A747" s="563"/>
      <c r="B747" s="569"/>
      <c r="C747" s="564"/>
      <c r="D747" s="746" t="s">
        <v>21</v>
      </c>
      <c r="E747" s="564"/>
      <c r="F747" s="564"/>
      <c r="G747" s="567"/>
      <c r="H747" s="747" t="s">
        <v>12</v>
      </c>
      <c r="I747" s="166"/>
      <c r="J747" s="166"/>
      <c r="K747" s="167"/>
      <c r="L747" s="613">
        <f t="shared" ref="L747:N747" si="341">L748+L749</f>
        <v>0</v>
      </c>
      <c r="M747" s="613">
        <f t="shared" si="341"/>
        <v>0</v>
      </c>
      <c r="N747" s="613">
        <f t="shared" si="341"/>
        <v>0</v>
      </c>
      <c r="O747" s="613">
        <f t="shared" ref="O747:O749" si="342">IF(L747&gt;0,N747*100/L747,0)</f>
        <v>0</v>
      </c>
      <c r="P747" s="613">
        <f t="shared" ref="P747:P749" si="343">IF(M747&gt;0,N747*100/M747,0)</f>
        <v>0</v>
      </c>
      <c r="Q747" s="568"/>
      <c r="R747" s="568"/>
      <c r="S747" s="568"/>
      <c r="T747" s="568"/>
      <c r="U747" s="568"/>
      <c r="V747" s="568"/>
      <c r="W747" s="568"/>
      <c r="X747" s="568"/>
      <c r="Y747" s="568"/>
      <c r="Z747" s="568"/>
    </row>
    <row r="748" spans="1:26" ht="18.75" hidden="1">
      <c r="A748" s="563"/>
      <c r="B748" s="569"/>
      <c r="C748" s="564"/>
      <c r="D748" s="564"/>
      <c r="E748" s="566" t="s">
        <v>18</v>
      </c>
      <c r="F748" s="564"/>
      <c r="G748" s="567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45">
        <f t="shared" si="342"/>
        <v>0</v>
      </c>
      <c r="P748" s="45">
        <f t="shared" si="343"/>
        <v>0</v>
      </c>
      <c r="Q748" s="568"/>
      <c r="R748" s="568"/>
      <c r="S748" s="568"/>
      <c r="T748" s="568"/>
      <c r="U748" s="568"/>
      <c r="V748" s="568"/>
      <c r="W748" s="568"/>
      <c r="X748" s="568"/>
      <c r="Y748" s="568"/>
      <c r="Z748" s="568"/>
    </row>
    <row r="749" spans="1:26" ht="18.75" hidden="1">
      <c r="A749" s="563"/>
      <c r="B749" s="569"/>
      <c r="C749" s="564"/>
      <c r="D749" s="564"/>
      <c r="E749" s="566" t="s">
        <v>19</v>
      </c>
      <c r="F749" s="564"/>
      <c r="G749" s="567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45">
        <f t="shared" si="342"/>
        <v>0</v>
      </c>
      <c r="P749" s="45">
        <f t="shared" si="343"/>
        <v>0</v>
      </c>
      <c r="Q749" s="568"/>
      <c r="R749" s="568"/>
      <c r="S749" s="568"/>
      <c r="T749" s="568"/>
      <c r="U749" s="568"/>
      <c r="V749" s="568"/>
      <c r="W749" s="568"/>
      <c r="X749" s="568"/>
      <c r="Y749" s="568"/>
      <c r="Z749" s="568"/>
    </row>
    <row r="750" spans="1:26" ht="19.5" hidden="1">
      <c r="A750" s="578"/>
      <c r="B750" s="579"/>
      <c r="C750" s="564" t="s">
        <v>16</v>
      </c>
      <c r="D750" s="748" t="s">
        <v>38</v>
      </c>
      <c r="E750" s="617"/>
      <c r="F750" s="617"/>
      <c r="G750" s="618"/>
      <c r="H750" s="581"/>
      <c r="I750" s="166"/>
      <c r="J750" s="166"/>
      <c r="K750" s="167"/>
      <c r="L750" s="167"/>
      <c r="M750" s="167"/>
      <c r="N750" s="167"/>
      <c r="O750" s="167"/>
      <c r="P750" s="167"/>
      <c r="Q750" s="568"/>
      <c r="R750" s="568"/>
      <c r="S750" s="568"/>
      <c r="T750" s="568"/>
      <c r="U750" s="568"/>
      <c r="V750" s="568"/>
      <c r="W750" s="568"/>
      <c r="X750" s="568"/>
      <c r="Y750" s="568"/>
      <c r="Z750" s="568"/>
    </row>
    <row r="751" spans="1:26" ht="18.75" hidden="1">
      <c r="A751" s="615"/>
      <c r="B751" s="569"/>
      <c r="C751" s="564"/>
      <c r="D751" s="564"/>
      <c r="E751" s="566" t="s">
        <v>313</v>
      </c>
      <c r="F751" s="564"/>
      <c r="G751" s="567"/>
      <c r="H751" s="165" t="s">
        <v>46</v>
      </c>
      <c r="I751" s="44"/>
      <c r="J751" s="44"/>
      <c r="K751" s="45"/>
      <c r="L751" s="45"/>
      <c r="M751" s="45"/>
      <c r="N751" s="45"/>
      <c r="O751" s="45"/>
      <c r="P751" s="45"/>
      <c r="Q751" s="568"/>
      <c r="R751" s="568"/>
      <c r="S751" s="568"/>
      <c r="T751" s="568"/>
      <c r="U751" s="568"/>
      <c r="V751" s="568"/>
      <c r="W751" s="568"/>
      <c r="X751" s="568"/>
      <c r="Y751" s="568"/>
      <c r="Z751" s="568"/>
    </row>
    <row r="752" spans="1:26" ht="18.75" hidden="1">
      <c r="A752" s="615"/>
      <c r="B752" s="569"/>
      <c r="C752" s="564"/>
      <c r="D752" s="564"/>
      <c r="E752" s="564"/>
      <c r="F752" s="564"/>
      <c r="G752" s="567"/>
      <c r="H752" s="165" t="s">
        <v>314</v>
      </c>
      <c r="I752" s="44"/>
      <c r="J752" s="44"/>
      <c r="K752" s="45"/>
      <c r="L752" s="45"/>
      <c r="M752" s="45"/>
      <c r="N752" s="45"/>
      <c r="O752" s="45"/>
      <c r="P752" s="45"/>
      <c r="Q752" s="568"/>
      <c r="R752" s="568"/>
      <c r="S752" s="568"/>
      <c r="T752" s="568"/>
      <c r="U752" s="568"/>
      <c r="V752" s="568"/>
      <c r="W752" s="568"/>
      <c r="X752" s="568"/>
      <c r="Y752" s="568"/>
      <c r="Z752" s="568"/>
    </row>
    <row r="753" spans="1:26" ht="19.5" hidden="1">
      <c r="A753" s="749">
        <v>10</v>
      </c>
      <c r="B753" s="750" t="s">
        <v>315</v>
      </c>
      <c r="C753" s="751"/>
      <c r="D753" s="751"/>
      <c r="E753" s="751"/>
      <c r="F753" s="751"/>
      <c r="G753" s="752"/>
      <c r="H753" s="753" t="s">
        <v>46</v>
      </c>
      <c r="I753" s="754"/>
      <c r="J753" s="754">
        <f>J768</f>
        <v>0</v>
      </c>
      <c r="K753" s="755">
        <f>IF(I753&gt;0,J753*100/I753,0)</f>
        <v>0</v>
      </c>
      <c r="L753" s="756"/>
      <c r="M753" s="756"/>
      <c r="N753" s="756"/>
      <c r="O753" s="756"/>
      <c r="P753" s="756"/>
      <c r="Q753" s="568"/>
      <c r="R753" s="568"/>
      <c r="S753" s="568"/>
      <c r="T753" s="568"/>
      <c r="U753" s="568"/>
      <c r="V753" s="568"/>
      <c r="W753" s="568"/>
      <c r="X753" s="568"/>
      <c r="Y753" s="568"/>
      <c r="Z753" s="568"/>
    </row>
    <row r="754" spans="1:26" ht="19.5" hidden="1">
      <c r="A754" s="563"/>
      <c r="B754" s="564"/>
      <c r="C754" s="564" t="s">
        <v>16</v>
      </c>
      <c r="D754" s="812" t="s">
        <v>17</v>
      </c>
      <c r="E754" s="805"/>
      <c r="F754" s="805"/>
      <c r="G754" s="567"/>
      <c r="H754" s="612" t="s">
        <v>12</v>
      </c>
      <c r="I754" s="44"/>
      <c r="J754" s="44"/>
      <c r="K754" s="45"/>
      <c r="L754" s="613">
        <f t="shared" ref="L754:N754" si="344">L755+L756</f>
        <v>0</v>
      </c>
      <c r="M754" s="613">
        <f t="shared" si="344"/>
        <v>0</v>
      </c>
      <c r="N754" s="613">
        <f t="shared" si="344"/>
        <v>0</v>
      </c>
      <c r="O754" s="613">
        <f t="shared" ref="O754:O759" si="345">IF(L754&gt;0,N754*100/L754,0)</f>
        <v>0</v>
      </c>
      <c r="P754" s="613">
        <f t="shared" ref="P754:P759" si="346">IF(M754&gt;0,N754*100/M754,0)</f>
        <v>0</v>
      </c>
      <c r="Q754" s="568"/>
      <c r="R754" s="568"/>
      <c r="S754" s="568"/>
      <c r="T754" s="568"/>
      <c r="U754" s="568"/>
      <c r="V754" s="568"/>
      <c r="W754" s="568"/>
      <c r="X754" s="568"/>
      <c r="Y754" s="568"/>
      <c r="Z754" s="568"/>
    </row>
    <row r="755" spans="1:26" ht="18.75" hidden="1">
      <c r="A755" s="563"/>
      <c r="B755" s="564"/>
      <c r="C755" s="564"/>
      <c r="D755" s="565"/>
      <c r="E755" s="566" t="s">
        <v>184</v>
      </c>
      <c r="F755" s="564"/>
      <c r="G755" s="567"/>
      <c r="H755" s="165" t="s">
        <v>12</v>
      </c>
      <c r="I755" s="44"/>
      <c r="J755" s="44"/>
      <c r="K755" s="45"/>
      <c r="L755" s="45">
        <f t="shared" ref="L755:N755" si="347">L758+L765</f>
        <v>0</v>
      </c>
      <c r="M755" s="45">
        <f t="shared" si="347"/>
        <v>0</v>
      </c>
      <c r="N755" s="45">
        <f t="shared" si="347"/>
        <v>0</v>
      </c>
      <c r="O755" s="45">
        <f t="shared" si="345"/>
        <v>0</v>
      </c>
      <c r="P755" s="45">
        <f t="shared" si="346"/>
        <v>0</v>
      </c>
      <c r="Q755" s="568"/>
      <c r="R755" s="568"/>
      <c r="S755" s="568"/>
      <c r="T755" s="568"/>
      <c r="U755" s="568"/>
      <c r="V755" s="568"/>
      <c r="W755" s="568"/>
      <c r="X755" s="568"/>
      <c r="Y755" s="568"/>
      <c r="Z755" s="568"/>
    </row>
    <row r="756" spans="1:26" ht="18.75" hidden="1">
      <c r="A756" s="563"/>
      <c r="B756" s="569"/>
      <c r="C756" s="564"/>
      <c r="D756" s="565"/>
      <c r="E756" s="566" t="s">
        <v>185</v>
      </c>
      <c r="F756" s="564"/>
      <c r="G756" s="567"/>
      <c r="H756" s="165" t="s">
        <v>12</v>
      </c>
      <c r="I756" s="44"/>
      <c r="J756" s="44"/>
      <c r="K756" s="45"/>
      <c r="L756" s="45">
        <f t="shared" ref="L756:N756" si="348">L759+L766</f>
        <v>0</v>
      </c>
      <c r="M756" s="45">
        <f t="shared" si="348"/>
        <v>0</v>
      </c>
      <c r="N756" s="45">
        <f t="shared" si="348"/>
        <v>0</v>
      </c>
      <c r="O756" s="45">
        <f t="shared" si="345"/>
        <v>0</v>
      </c>
      <c r="P756" s="45">
        <f t="shared" si="346"/>
        <v>0</v>
      </c>
      <c r="Q756" s="568"/>
      <c r="R756" s="568"/>
      <c r="S756" s="568"/>
      <c r="T756" s="568"/>
      <c r="U756" s="568"/>
      <c r="V756" s="568"/>
      <c r="W756" s="568"/>
      <c r="X756" s="568"/>
      <c r="Y756" s="568"/>
      <c r="Z756" s="568"/>
    </row>
    <row r="757" spans="1:26" ht="19.5" hidden="1">
      <c r="A757" s="563"/>
      <c r="B757" s="569"/>
      <c r="C757" s="564"/>
      <c r="D757" s="746" t="s">
        <v>20</v>
      </c>
      <c r="E757" s="564"/>
      <c r="F757" s="564"/>
      <c r="G757" s="567"/>
      <c r="H757" s="612" t="s">
        <v>12</v>
      </c>
      <c r="I757" s="166"/>
      <c r="J757" s="166"/>
      <c r="K757" s="167"/>
      <c r="L757" s="613">
        <f t="shared" ref="L757:N757" si="349">L758+L759</f>
        <v>0</v>
      </c>
      <c r="M757" s="613">
        <f t="shared" si="349"/>
        <v>0</v>
      </c>
      <c r="N757" s="613">
        <f t="shared" si="349"/>
        <v>0</v>
      </c>
      <c r="O757" s="613">
        <f t="shared" si="345"/>
        <v>0</v>
      </c>
      <c r="P757" s="613">
        <f t="shared" si="346"/>
        <v>0</v>
      </c>
      <c r="Q757" s="568"/>
      <c r="R757" s="568"/>
      <c r="S757" s="568"/>
      <c r="T757" s="568"/>
      <c r="U757" s="568"/>
      <c r="V757" s="568"/>
      <c r="W757" s="568"/>
      <c r="X757" s="568"/>
      <c r="Y757" s="568"/>
      <c r="Z757" s="568"/>
    </row>
    <row r="758" spans="1:26" ht="18.75" hidden="1">
      <c r="A758" s="563"/>
      <c r="B758" s="569"/>
      <c r="C758" s="564"/>
      <c r="D758" s="565"/>
      <c r="E758" s="566" t="s">
        <v>184</v>
      </c>
      <c r="F758" s="564"/>
      <c r="G758" s="567"/>
      <c r="H758" s="165" t="s">
        <v>12</v>
      </c>
      <c r="I758" s="44"/>
      <c r="J758" s="44"/>
      <c r="K758" s="45"/>
      <c r="L758" s="93">
        <v>0</v>
      </c>
      <c r="M758" s="93">
        <v>0</v>
      </c>
      <c r="N758" s="93">
        <v>0</v>
      </c>
      <c r="O758" s="45">
        <f t="shared" si="345"/>
        <v>0</v>
      </c>
      <c r="P758" s="45">
        <f t="shared" si="346"/>
        <v>0</v>
      </c>
      <c r="Q758" s="568"/>
      <c r="R758" s="568"/>
      <c r="S758" s="568"/>
      <c r="T758" s="568"/>
      <c r="U758" s="568"/>
      <c r="V758" s="568"/>
      <c r="W758" s="568"/>
      <c r="X758" s="568"/>
      <c r="Y758" s="568"/>
      <c r="Z758" s="568"/>
    </row>
    <row r="759" spans="1:26" ht="18.75" hidden="1">
      <c r="A759" s="563"/>
      <c r="B759" s="569"/>
      <c r="C759" s="564"/>
      <c r="D759" s="565"/>
      <c r="E759" s="566" t="s">
        <v>185</v>
      </c>
      <c r="F759" s="564"/>
      <c r="G759" s="567"/>
      <c r="H759" s="165" t="s">
        <v>12</v>
      </c>
      <c r="I759" s="44"/>
      <c r="J759" s="44"/>
      <c r="K759" s="45"/>
      <c r="L759" s="93">
        <v>0</v>
      </c>
      <c r="M759" s="93">
        <v>0</v>
      </c>
      <c r="N759" s="45">
        <f>N760+N761+N762+N763</f>
        <v>0</v>
      </c>
      <c r="O759" s="45">
        <f t="shared" si="345"/>
        <v>0</v>
      </c>
      <c r="P759" s="45">
        <f t="shared" si="346"/>
        <v>0</v>
      </c>
      <c r="Q759" s="568"/>
      <c r="R759" s="568"/>
      <c r="S759" s="568"/>
      <c r="T759" s="568"/>
      <c r="U759" s="568"/>
      <c r="V759" s="568"/>
      <c r="W759" s="568"/>
      <c r="X759" s="568"/>
      <c r="Y759" s="568"/>
      <c r="Z759" s="568"/>
    </row>
    <row r="760" spans="1:26" ht="18.75" hidden="1">
      <c r="A760" s="615"/>
      <c r="B760" s="569"/>
      <c r="C760" s="564"/>
      <c r="D760" s="564"/>
      <c r="E760" s="564"/>
      <c r="F760" s="566" t="s">
        <v>186</v>
      </c>
      <c r="G760" s="567"/>
      <c r="H760" s="165" t="s">
        <v>12</v>
      </c>
      <c r="I760" s="44"/>
      <c r="J760" s="44"/>
      <c r="K760" s="45"/>
      <c r="L760" s="93"/>
      <c r="M760" s="45"/>
      <c r="N760" s="45"/>
      <c r="O760" s="45"/>
      <c r="P760" s="45"/>
      <c r="Q760" s="568"/>
      <c r="R760" s="568"/>
      <c r="S760" s="568"/>
      <c r="T760" s="568"/>
      <c r="U760" s="568"/>
      <c r="V760" s="568"/>
      <c r="W760" s="568"/>
      <c r="X760" s="568"/>
      <c r="Y760" s="568"/>
      <c r="Z760" s="568"/>
    </row>
    <row r="761" spans="1:26" ht="18.75" hidden="1">
      <c r="A761" s="615"/>
      <c r="B761" s="569"/>
      <c r="C761" s="564"/>
      <c r="D761" s="564"/>
      <c r="E761" s="564"/>
      <c r="F761" s="566" t="s">
        <v>187</v>
      </c>
      <c r="G761" s="567"/>
      <c r="H761" s="165" t="s">
        <v>12</v>
      </c>
      <c r="I761" s="44"/>
      <c r="J761" s="44"/>
      <c r="K761" s="45"/>
      <c r="L761" s="45"/>
      <c r="M761" s="45"/>
      <c r="N761" s="45"/>
      <c r="O761" s="45"/>
      <c r="P761" s="45"/>
      <c r="Q761" s="568"/>
      <c r="R761" s="568"/>
      <c r="S761" s="568"/>
      <c r="T761" s="568"/>
      <c r="U761" s="568"/>
      <c r="V761" s="568"/>
      <c r="W761" s="568"/>
      <c r="X761" s="568"/>
      <c r="Y761" s="568"/>
      <c r="Z761" s="568"/>
    </row>
    <row r="762" spans="1:26" ht="18.75" hidden="1">
      <c r="A762" s="615"/>
      <c r="B762" s="569"/>
      <c r="C762" s="564"/>
      <c r="D762" s="564"/>
      <c r="E762" s="564"/>
      <c r="F762" s="566" t="s">
        <v>188</v>
      </c>
      <c r="G762" s="567"/>
      <c r="H762" s="165" t="s">
        <v>12</v>
      </c>
      <c r="I762" s="44"/>
      <c r="J762" s="44"/>
      <c r="K762" s="45"/>
      <c r="L762" s="45"/>
      <c r="M762" s="45"/>
      <c r="N762" s="45"/>
      <c r="O762" s="45"/>
      <c r="P762" s="45"/>
      <c r="Q762" s="568"/>
      <c r="R762" s="568"/>
      <c r="S762" s="568"/>
      <c r="T762" s="568"/>
      <c r="U762" s="568"/>
      <c r="V762" s="568"/>
      <c r="W762" s="568"/>
      <c r="X762" s="568"/>
      <c r="Y762" s="568"/>
      <c r="Z762" s="568"/>
    </row>
    <row r="763" spans="1:26" ht="18.75" hidden="1">
      <c r="A763" s="615"/>
      <c r="B763" s="569"/>
      <c r="C763" s="564"/>
      <c r="D763" s="564"/>
      <c r="E763" s="564"/>
      <c r="F763" s="566" t="s">
        <v>189</v>
      </c>
      <c r="G763" s="567"/>
      <c r="H763" s="165" t="s">
        <v>12</v>
      </c>
      <c r="I763" s="44"/>
      <c r="J763" s="44"/>
      <c r="K763" s="45"/>
      <c r="L763" s="45"/>
      <c r="M763" s="45"/>
      <c r="N763" s="45"/>
      <c r="O763" s="45"/>
      <c r="P763" s="45"/>
      <c r="Q763" s="568"/>
      <c r="R763" s="568"/>
      <c r="S763" s="568"/>
      <c r="T763" s="568"/>
      <c r="U763" s="568"/>
      <c r="V763" s="568"/>
      <c r="W763" s="568"/>
      <c r="X763" s="568"/>
      <c r="Y763" s="568"/>
      <c r="Z763" s="568"/>
    </row>
    <row r="764" spans="1:26" ht="19.5" hidden="1">
      <c r="A764" s="563"/>
      <c r="B764" s="569"/>
      <c r="C764" s="564"/>
      <c r="D764" s="746" t="s">
        <v>21</v>
      </c>
      <c r="E764" s="564"/>
      <c r="F764" s="564"/>
      <c r="G764" s="567"/>
      <c r="H764" s="747" t="s">
        <v>12</v>
      </c>
      <c r="I764" s="166"/>
      <c r="J764" s="166"/>
      <c r="K764" s="167"/>
      <c r="L764" s="613">
        <f t="shared" ref="L764:N764" si="350">L765+L766</f>
        <v>0</v>
      </c>
      <c r="M764" s="613">
        <f t="shared" si="350"/>
        <v>0</v>
      </c>
      <c r="N764" s="613">
        <f t="shared" si="350"/>
        <v>0</v>
      </c>
      <c r="O764" s="613">
        <f t="shared" ref="O764:O766" si="351">IF(L764&gt;0,N764*100/L764,0)</f>
        <v>0</v>
      </c>
      <c r="P764" s="613">
        <f t="shared" ref="P764:P766" si="352">IF(M764&gt;0,N764*100/M764,0)</f>
        <v>0</v>
      </c>
      <c r="Q764" s="568"/>
      <c r="R764" s="568"/>
      <c r="S764" s="568"/>
      <c r="T764" s="568"/>
      <c r="U764" s="568"/>
      <c r="V764" s="568"/>
      <c r="W764" s="568"/>
      <c r="X764" s="568"/>
      <c r="Y764" s="568"/>
      <c r="Z764" s="568"/>
    </row>
    <row r="765" spans="1:26" ht="18.75" hidden="1">
      <c r="A765" s="563"/>
      <c r="B765" s="569"/>
      <c r="C765" s="564"/>
      <c r="D765" s="564"/>
      <c r="E765" s="566" t="s">
        <v>18</v>
      </c>
      <c r="F765" s="564"/>
      <c r="G765" s="567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45">
        <f t="shared" si="351"/>
        <v>0</v>
      </c>
      <c r="P765" s="45">
        <f t="shared" si="352"/>
        <v>0</v>
      </c>
      <c r="Q765" s="568"/>
      <c r="R765" s="568"/>
      <c r="S765" s="568"/>
      <c r="T765" s="568"/>
      <c r="U765" s="568"/>
      <c r="V765" s="568"/>
      <c r="W765" s="568"/>
      <c r="X765" s="568"/>
      <c r="Y765" s="568"/>
      <c r="Z765" s="568"/>
    </row>
    <row r="766" spans="1:26" ht="18.75" hidden="1">
      <c r="A766" s="563"/>
      <c r="B766" s="569"/>
      <c r="C766" s="564"/>
      <c r="D766" s="564"/>
      <c r="E766" s="566" t="s">
        <v>19</v>
      </c>
      <c r="F766" s="564"/>
      <c r="G766" s="567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45">
        <f t="shared" si="351"/>
        <v>0</v>
      </c>
      <c r="P766" s="45">
        <f t="shared" si="352"/>
        <v>0</v>
      </c>
      <c r="Q766" s="568"/>
      <c r="R766" s="568"/>
      <c r="S766" s="568"/>
      <c r="T766" s="568"/>
      <c r="U766" s="568"/>
      <c r="V766" s="568"/>
      <c r="W766" s="568"/>
      <c r="X766" s="568"/>
      <c r="Y766" s="568"/>
      <c r="Z766" s="568"/>
    </row>
    <row r="767" spans="1:26" ht="19.5" hidden="1">
      <c r="A767" s="578"/>
      <c r="B767" s="579"/>
      <c r="C767" s="564" t="s">
        <v>16</v>
      </c>
      <c r="D767" s="748" t="s">
        <v>38</v>
      </c>
      <c r="E767" s="617"/>
      <c r="F767" s="617"/>
      <c r="G767" s="618"/>
      <c r="H767" s="581"/>
      <c r="I767" s="166"/>
      <c r="J767" s="166"/>
      <c r="K767" s="167"/>
      <c r="L767" s="167"/>
      <c r="M767" s="167"/>
      <c r="N767" s="167"/>
      <c r="O767" s="167"/>
      <c r="P767" s="167"/>
      <c r="Q767" s="568"/>
      <c r="R767" s="568"/>
      <c r="S767" s="568"/>
      <c r="T767" s="568"/>
      <c r="U767" s="568"/>
      <c r="V767" s="568"/>
      <c r="W767" s="568"/>
      <c r="X767" s="568"/>
      <c r="Y767" s="568"/>
      <c r="Z767" s="568"/>
    </row>
    <row r="768" spans="1:26" ht="18.75" hidden="1">
      <c r="A768" s="615"/>
      <c r="B768" s="569"/>
      <c r="C768" s="564"/>
      <c r="D768" s="564"/>
      <c r="E768" s="566" t="s">
        <v>316</v>
      </c>
      <c r="F768" s="564"/>
      <c r="G768" s="567"/>
      <c r="H768" s="165" t="s">
        <v>46</v>
      </c>
      <c r="I768" s="44"/>
      <c r="J768" s="44"/>
      <c r="K768" s="45"/>
      <c r="L768" s="45"/>
      <c r="M768" s="45"/>
      <c r="N768" s="45"/>
      <c r="O768" s="45"/>
      <c r="P768" s="45"/>
      <c r="Q768" s="568"/>
      <c r="R768" s="568"/>
      <c r="S768" s="568"/>
      <c r="T768" s="568"/>
      <c r="U768" s="568"/>
      <c r="V768" s="568"/>
      <c r="W768" s="568"/>
      <c r="X768" s="568"/>
      <c r="Y768" s="568"/>
      <c r="Z768" s="568"/>
    </row>
    <row r="769" spans="1:26" ht="19.5" hidden="1">
      <c r="A769" s="757">
        <v>11</v>
      </c>
      <c r="B769" s="758" t="s">
        <v>317</v>
      </c>
      <c r="C769" s="759"/>
      <c r="D769" s="759"/>
      <c r="E769" s="759"/>
      <c r="F769" s="759"/>
      <c r="G769" s="760"/>
      <c r="H769" s="761" t="s">
        <v>46</v>
      </c>
      <c r="I769" s="762"/>
      <c r="J769" s="762">
        <f>J784</f>
        <v>0</v>
      </c>
      <c r="K769" s="763">
        <f>IF(I769&gt;0,J769*100/I769,0)</f>
        <v>0</v>
      </c>
      <c r="L769" s="764"/>
      <c r="M769" s="764"/>
      <c r="N769" s="764"/>
      <c r="O769" s="764"/>
      <c r="P769" s="764"/>
      <c r="Q769" s="568"/>
      <c r="R769" s="568"/>
      <c r="S769" s="568"/>
      <c r="T769" s="568"/>
      <c r="U769" s="568"/>
      <c r="V769" s="568"/>
      <c r="W769" s="568"/>
      <c r="X769" s="568"/>
      <c r="Y769" s="568"/>
      <c r="Z769" s="568"/>
    </row>
    <row r="770" spans="1:26" ht="19.5" hidden="1">
      <c r="A770" s="563"/>
      <c r="B770" s="564"/>
      <c r="C770" s="564" t="s">
        <v>16</v>
      </c>
      <c r="D770" s="812" t="s">
        <v>17</v>
      </c>
      <c r="E770" s="805"/>
      <c r="F770" s="805"/>
      <c r="G770" s="567"/>
      <c r="H770" s="612" t="s">
        <v>12</v>
      </c>
      <c r="I770" s="44"/>
      <c r="J770" s="44"/>
      <c r="K770" s="45"/>
      <c r="L770" s="613">
        <f t="shared" ref="L770:N770" si="353">L771+L772</f>
        <v>0</v>
      </c>
      <c r="M770" s="613">
        <f t="shared" si="353"/>
        <v>0</v>
      </c>
      <c r="N770" s="613">
        <f t="shared" si="353"/>
        <v>0</v>
      </c>
      <c r="O770" s="613">
        <f t="shared" ref="O770:O775" si="354">IF(L770&gt;0,N770*100/L770,0)</f>
        <v>0</v>
      </c>
      <c r="P770" s="613">
        <f t="shared" ref="P770:P775" si="355">IF(M770&gt;0,N770*100/M770,0)</f>
        <v>0</v>
      </c>
      <c r="Q770" s="568"/>
      <c r="R770" s="568"/>
      <c r="S770" s="568"/>
      <c r="T770" s="568"/>
      <c r="U770" s="568"/>
      <c r="V770" s="568"/>
      <c r="W770" s="568"/>
      <c r="X770" s="568"/>
      <c r="Y770" s="568"/>
      <c r="Z770" s="568"/>
    </row>
    <row r="771" spans="1:26" ht="18.75" hidden="1">
      <c r="A771" s="563"/>
      <c r="B771" s="564"/>
      <c r="C771" s="564"/>
      <c r="D771" s="565"/>
      <c r="E771" s="566" t="s">
        <v>184</v>
      </c>
      <c r="F771" s="564"/>
      <c r="G771" s="567"/>
      <c r="H771" s="165" t="s">
        <v>12</v>
      </c>
      <c r="I771" s="44"/>
      <c r="J771" s="44"/>
      <c r="K771" s="45"/>
      <c r="L771" s="45">
        <f t="shared" ref="L771:N771" si="356">L774+L781</f>
        <v>0</v>
      </c>
      <c r="M771" s="45">
        <f t="shared" si="356"/>
        <v>0</v>
      </c>
      <c r="N771" s="45">
        <f t="shared" si="356"/>
        <v>0</v>
      </c>
      <c r="O771" s="45">
        <f t="shared" si="354"/>
        <v>0</v>
      </c>
      <c r="P771" s="45">
        <f t="shared" si="355"/>
        <v>0</v>
      </c>
      <c r="Q771" s="568"/>
      <c r="R771" s="568"/>
      <c r="S771" s="568"/>
      <c r="T771" s="568"/>
      <c r="U771" s="568"/>
      <c r="V771" s="568"/>
      <c r="W771" s="568"/>
      <c r="X771" s="568"/>
      <c r="Y771" s="568"/>
      <c r="Z771" s="568"/>
    </row>
    <row r="772" spans="1:26" ht="18.75" hidden="1">
      <c r="A772" s="563"/>
      <c r="B772" s="569"/>
      <c r="C772" s="564"/>
      <c r="D772" s="565"/>
      <c r="E772" s="566" t="s">
        <v>185</v>
      </c>
      <c r="F772" s="564"/>
      <c r="G772" s="567"/>
      <c r="H772" s="165" t="s">
        <v>12</v>
      </c>
      <c r="I772" s="44"/>
      <c r="J772" s="44"/>
      <c r="K772" s="45"/>
      <c r="L772" s="45">
        <f t="shared" ref="L772:N772" si="357">L775+L782</f>
        <v>0</v>
      </c>
      <c r="M772" s="45">
        <f t="shared" si="357"/>
        <v>0</v>
      </c>
      <c r="N772" s="45">
        <f t="shared" si="357"/>
        <v>0</v>
      </c>
      <c r="O772" s="45">
        <f t="shared" si="354"/>
        <v>0</v>
      </c>
      <c r="P772" s="45">
        <f t="shared" si="355"/>
        <v>0</v>
      </c>
      <c r="Q772" s="568"/>
      <c r="R772" s="568"/>
      <c r="S772" s="568"/>
      <c r="T772" s="568"/>
      <c r="U772" s="568"/>
      <c r="V772" s="568"/>
      <c r="W772" s="568"/>
      <c r="X772" s="568"/>
      <c r="Y772" s="568"/>
      <c r="Z772" s="568"/>
    </row>
    <row r="773" spans="1:26" ht="19.5" hidden="1">
      <c r="A773" s="563"/>
      <c r="B773" s="569"/>
      <c r="C773" s="564"/>
      <c r="D773" s="746" t="s">
        <v>20</v>
      </c>
      <c r="E773" s="564"/>
      <c r="F773" s="564"/>
      <c r="G773" s="567"/>
      <c r="H773" s="612" t="s">
        <v>12</v>
      </c>
      <c r="I773" s="166"/>
      <c r="J773" s="166"/>
      <c r="K773" s="167"/>
      <c r="L773" s="613">
        <f t="shared" ref="L773:N773" si="358">L774+L775</f>
        <v>0</v>
      </c>
      <c r="M773" s="613">
        <f t="shared" si="358"/>
        <v>0</v>
      </c>
      <c r="N773" s="613">
        <f t="shared" si="358"/>
        <v>0</v>
      </c>
      <c r="O773" s="613">
        <f t="shared" si="354"/>
        <v>0</v>
      </c>
      <c r="P773" s="613">
        <f t="shared" si="355"/>
        <v>0</v>
      </c>
      <c r="Q773" s="568"/>
      <c r="R773" s="568"/>
      <c r="S773" s="568"/>
      <c r="T773" s="568"/>
      <c r="U773" s="568"/>
      <c r="V773" s="568"/>
      <c r="W773" s="568"/>
      <c r="X773" s="568"/>
      <c r="Y773" s="568"/>
      <c r="Z773" s="568"/>
    </row>
    <row r="774" spans="1:26" ht="18.75" hidden="1">
      <c r="A774" s="563"/>
      <c r="B774" s="569"/>
      <c r="C774" s="564"/>
      <c r="D774" s="565"/>
      <c r="E774" s="566" t="s">
        <v>184</v>
      </c>
      <c r="F774" s="564"/>
      <c r="G774" s="567"/>
      <c r="H774" s="165" t="s">
        <v>12</v>
      </c>
      <c r="I774" s="44"/>
      <c r="J774" s="44"/>
      <c r="K774" s="45"/>
      <c r="L774" s="93">
        <v>0</v>
      </c>
      <c r="M774" s="93">
        <v>0</v>
      </c>
      <c r="N774" s="93">
        <v>0</v>
      </c>
      <c r="O774" s="45">
        <f t="shared" si="354"/>
        <v>0</v>
      </c>
      <c r="P774" s="45">
        <f t="shared" si="355"/>
        <v>0</v>
      </c>
      <c r="Q774" s="568"/>
      <c r="R774" s="568"/>
      <c r="S774" s="568"/>
      <c r="T774" s="568"/>
      <c r="U774" s="568"/>
      <c r="V774" s="568"/>
      <c r="W774" s="568"/>
      <c r="X774" s="568"/>
      <c r="Y774" s="568"/>
      <c r="Z774" s="568"/>
    </row>
    <row r="775" spans="1:26" ht="18.75" hidden="1">
      <c r="A775" s="563"/>
      <c r="B775" s="569"/>
      <c r="C775" s="564"/>
      <c r="D775" s="565"/>
      <c r="E775" s="566" t="s">
        <v>185</v>
      </c>
      <c r="F775" s="564"/>
      <c r="G775" s="567"/>
      <c r="H775" s="165" t="s">
        <v>12</v>
      </c>
      <c r="I775" s="44"/>
      <c r="J775" s="44"/>
      <c r="K775" s="45"/>
      <c r="L775" s="93">
        <v>0</v>
      </c>
      <c r="M775" s="93">
        <v>0</v>
      </c>
      <c r="N775" s="45">
        <f>N776+N777+N778+N779</f>
        <v>0</v>
      </c>
      <c r="O775" s="45">
        <f t="shared" si="354"/>
        <v>0</v>
      </c>
      <c r="P775" s="45">
        <f t="shared" si="355"/>
        <v>0</v>
      </c>
      <c r="Q775" s="568"/>
      <c r="R775" s="568"/>
      <c r="S775" s="568"/>
      <c r="T775" s="568"/>
      <c r="U775" s="568"/>
      <c r="V775" s="568"/>
      <c r="W775" s="568"/>
      <c r="X775" s="568"/>
      <c r="Y775" s="568"/>
      <c r="Z775" s="568"/>
    </row>
    <row r="776" spans="1:26" ht="18.75" hidden="1">
      <c r="A776" s="615"/>
      <c r="B776" s="569"/>
      <c r="C776" s="564"/>
      <c r="D776" s="564"/>
      <c r="E776" s="564"/>
      <c r="F776" s="566" t="s">
        <v>186</v>
      </c>
      <c r="G776" s="567"/>
      <c r="H776" s="165" t="s">
        <v>12</v>
      </c>
      <c r="I776" s="44"/>
      <c r="J776" s="44"/>
      <c r="K776" s="45"/>
      <c r="L776" s="45"/>
      <c r="M776" s="45"/>
      <c r="N776" s="45"/>
      <c r="O776" s="45"/>
      <c r="P776" s="45"/>
      <c r="Q776" s="568"/>
      <c r="R776" s="568"/>
      <c r="S776" s="568"/>
      <c r="T776" s="568"/>
      <c r="U776" s="568"/>
      <c r="V776" s="568"/>
      <c r="W776" s="568"/>
      <c r="X776" s="568"/>
      <c r="Y776" s="568"/>
      <c r="Z776" s="568"/>
    </row>
    <row r="777" spans="1:26" ht="18.75" hidden="1">
      <c r="A777" s="615"/>
      <c r="B777" s="569"/>
      <c r="C777" s="564"/>
      <c r="D777" s="564"/>
      <c r="E777" s="564"/>
      <c r="F777" s="566" t="s">
        <v>187</v>
      </c>
      <c r="G777" s="567"/>
      <c r="H777" s="165" t="s">
        <v>12</v>
      </c>
      <c r="I777" s="44"/>
      <c r="J777" s="44"/>
      <c r="K777" s="45"/>
      <c r="L777" s="45"/>
      <c r="M777" s="45"/>
      <c r="N777" s="45"/>
      <c r="O777" s="45"/>
      <c r="P777" s="45"/>
      <c r="Q777" s="568"/>
      <c r="R777" s="568"/>
      <c r="S777" s="568"/>
      <c r="T777" s="568"/>
      <c r="U777" s="568"/>
      <c r="V777" s="568"/>
      <c r="W777" s="568"/>
      <c r="X777" s="568"/>
      <c r="Y777" s="568"/>
      <c r="Z777" s="568"/>
    </row>
    <row r="778" spans="1:26" ht="18.75" hidden="1">
      <c r="A778" s="615"/>
      <c r="B778" s="569"/>
      <c r="C778" s="564"/>
      <c r="D778" s="564"/>
      <c r="E778" s="564"/>
      <c r="F778" s="566" t="s">
        <v>188</v>
      </c>
      <c r="G778" s="567"/>
      <c r="H778" s="165" t="s">
        <v>12</v>
      </c>
      <c r="I778" s="44"/>
      <c r="J778" s="44"/>
      <c r="K778" s="45"/>
      <c r="L778" s="45"/>
      <c r="M778" s="45"/>
      <c r="N778" s="45"/>
      <c r="O778" s="45"/>
      <c r="P778" s="45"/>
      <c r="Q778" s="568"/>
      <c r="R778" s="568"/>
      <c r="S778" s="568"/>
      <c r="T778" s="568"/>
      <c r="U778" s="568"/>
      <c r="V778" s="568"/>
      <c r="W778" s="568"/>
      <c r="X778" s="568"/>
      <c r="Y778" s="568"/>
      <c r="Z778" s="568"/>
    </row>
    <row r="779" spans="1:26" ht="18.75" hidden="1">
      <c r="A779" s="615"/>
      <c r="B779" s="569"/>
      <c r="C779" s="564"/>
      <c r="D779" s="564"/>
      <c r="E779" s="564"/>
      <c r="F779" s="566" t="s">
        <v>189</v>
      </c>
      <c r="G779" s="567"/>
      <c r="H779" s="165" t="s">
        <v>12</v>
      </c>
      <c r="I779" s="44"/>
      <c r="J779" s="44"/>
      <c r="K779" s="45"/>
      <c r="L779" s="45"/>
      <c r="M779" s="45"/>
      <c r="N779" s="45"/>
      <c r="O779" s="45"/>
      <c r="P779" s="45"/>
      <c r="Q779" s="568"/>
      <c r="R779" s="568"/>
      <c r="S779" s="568"/>
      <c r="T779" s="568"/>
      <c r="U779" s="568"/>
      <c r="V779" s="568"/>
      <c r="W779" s="568"/>
      <c r="X779" s="568"/>
      <c r="Y779" s="568"/>
      <c r="Z779" s="568"/>
    </row>
    <row r="780" spans="1:26" ht="19.5" hidden="1">
      <c r="A780" s="563"/>
      <c r="B780" s="569"/>
      <c r="C780" s="564"/>
      <c r="D780" s="746" t="s">
        <v>21</v>
      </c>
      <c r="E780" s="564"/>
      <c r="F780" s="564"/>
      <c r="G780" s="567"/>
      <c r="H780" s="747" t="s">
        <v>12</v>
      </c>
      <c r="I780" s="166"/>
      <c r="J780" s="166"/>
      <c r="K780" s="167"/>
      <c r="L780" s="613">
        <f t="shared" ref="L780:N780" si="359">L781+L782</f>
        <v>0</v>
      </c>
      <c r="M780" s="613">
        <f t="shared" si="359"/>
        <v>0</v>
      </c>
      <c r="N780" s="613">
        <f t="shared" si="359"/>
        <v>0</v>
      </c>
      <c r="O780" s="613">
        <f t="shared" ref="O780:O782" si="360">IF(L780&gt;0,N780*100/L780,0)</f>
        <v>0</v>
      </c>
      <c r="P780" s="613">
        <f t="shared" ref="P780:P782" si="361">IF(M780&gt;0,N780*100/M780,0)</f>
        <v>0</v>
      </c>
      <c r="Q780" s="568"/>
      <c r="R780" s="568"/>
      <c r="S780" s="568"/>
      <c r="T780" s="568"/>
      <c r="U780" s="568"/>
      <c r="V780" s="568"/>
      <c r="W780" s="568"/>
      <c r="X780" s="568"/>
      <c r="Y780" s="568"/>
      <c r="Z780" s="568"/>
    </row>
    <row r="781" spans="1:26" ht="18.75" hidden="1">
      <c r="A781" s="563"/>
      <c r="B781" s="569"/>
      <c r="C781" s="564"/>
      <c r="D781" s="564"/>
      <c r="E781" s="566" t="s">
        <v>18</v>
      </c>
      <c r="F781" s="564"/>
      <c r="G781" s="567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45">
        <f t="shared" si="360"/>
        <v>0</v>
      </c>
      <c r="P781" s="45">
        <f t="shared" si="361"/>
        <v>0</v>
      </c>
      <c r="Q781" s="568"/>
      <c r="R781" s="568"/>
      <c r="S781" s="568"/>
      <c r="T781" s="568"/>
      <c r="U781" s="568"/>
      <c r="V781" s="568"/>
      <c r="W781" s="568"/>
      <c r="X781" s="568"/>
      <c r="Y781" s="568"/>
      <c r="Z781" s="568"/>
    </row>
    <row r="782" spans="1:26" ht="18.75" hidden="1">
      <c r="A782" s="563"/>
      <c r="B782" s="569"/>
      <c r="C782" s="564"/>
      <c r="D782" s="564"/>
      <c r="E782" s="566" t="s">
        <v>19</v>
      </c>
      <c r="F782" s="564"/>
      <c r="G782" s="567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45">
        <f t="shared" si="360"/>
        <v>0</v>
      </c>
      <c r="P782" s="45">
        <f t="shared" si="361"/>
        <v>0</v>
      </c>
      <c r="Q782" s="568"/>
      <c r="R782" s="568"/>
      <c r="S782" s="568"/>
      <c r="T782" s="568"/>
      <c r="U782" s="568"/>
      <c r="V782" s="568"/>
      <c r="W782" s="568"/>
      <c r="X782" s="568"/>
      <c r="Y782" s="568"/>
      <c r="Z782" s="568"/>
    </row>
    <row r="783" spans="1:26" ht="19.5" hidden="1">
      <c r="A783" s="578"/>
      <c r="B783" s="579"/>
      <c r="C783" s="564" t="s">
        <v>16</v>
      </c>
      <c r="D783" s="748" t="s">
        <v>38</v>
      </c>
      <c r="E783" s="617"/>
      <c r="F783" s="617"/>
      <c r="G783" s="618"/>
      <c r="H783" s="765"/>
      <c r="I783" s="166"/>
      <c r="J783" s="166"/>
      <c r="K783" s="167"/>
      <c r="L783" s="167"/>
      <c r="M783" s="167"/>
      <c r="N783" s="167"/>
      <c r="O783" s="167"/>
      <c r="P783" s="167"/>
      <c r="Q783" s="568"/>
      <c r="R783" s="568"/>
      <c r="S783" s="568"/>
      <c r="T783" s="568"/>
      <c r="U783" s="568"/>
      <c r="V783" s="568"/>
      <c r="W783" s="568"/>
      <c r="X783" s="568"/>
      <c r="Y783" s="568"/>
      <c r="Z783" s="568"/>
    </row>
    <row r="784" spans="1:26" ht="18.75" hidden="1">
      <c r="A784" s="615"/>
      <c r="B784" s="569"/>
      <c r="C784" s="564"/>
      <c r="D784" s="564"/>
      <c r="E784" s="566" t="s">
        <v>318</v>
      </c>
      <c r="F784" s="564"/>
      <c r="G784" s="567"/>
      <c r="H784" s="165" t="s">
        <v>46</v>
      </c>
      <c r="I784" s="44"/>
      <c r="J784" s="44"/>
      <c r="K784" s="45"/>
      <c r="L784" s="45"/>
      <c r="M784" s="45"/>
      <c r="N784" s="45"/>
      <c r="O784" s="45"/>
      <c r="P784" s="45"/>
      <c r="Q784" s="568"/>
      <c r="R784" s="568"/>
      <c r="S784" s="568"/>
      <c r="T784" s="568"/>
      <c r="U784" s="568"/>
      <c r="V784" s="568"/>
      <c r="W784" s="568"/>
      <c r="X784" s="568"/>
      <c r="Y784" s="568"/>
      <c r="Z784" s="568"/>
    </row>
    <row r="785" spans="1:26" ht="19.5">
      <c r="A785" s="766">
        <v>12</v>
      </c>
      <c r="B785" s="767" t="s">
        <v>319</v>
      </c>
      <c r="C785" s="768"/>
      <c r="D785" s="768"/>
      <c r="E785" s="768"/>
      <c r="F785" s="768"/>
      <c r="G785" s="769"/>
      <c r="H785" s="770" t="s">
        <v>46</v>
      </c>
      <c r="I785" s="771">
        <f t="shared" ref="I785:J785" ca="1" si="362">I800</f>
        <v>25000</v>
      </c>
      <c r="J785" s="771">
        <f t="shared" ca="1" si="362"/>
        <v>0</v>
      </c>
      <c r="K785" s="772">
        <f ca="1">IF(I785&gt;0,J785*100/I785,0)</f>
        <v>0</v>
      </c>
      <c r="L785" s="773"/>
      <c r="M785" s="773"/>
      <c r="N785" s="773"/>
      <c r="O785" s="773"/>
      <c r="P785" s="773"/>
      <c r="Q785" s="541"/>
      <c r="R785" s="541"/>
      <c r="S785" s="541"/>
      <c r="T785" s="541"/>
      <c r="U785" s="541"/>
      <c r="V785" s="541"/>
      <c r="W785" s="541"/>
      <c r="X785" s="541"/>
      <c r="Y785" s="541"/>
      <c r="Z785" s="541"/>
    </row>
    <row r="786" spans="1:26" ht="19.5">
      <c r="A786" s="561"/>
      <c r="B786" s="538"/>
      <c r="C786" s="539" t="s">
        <v>16</v>
      </c>
      <c r="D786" s="811" t="s">
        <v>17</v>
      </c>
      <c r="E786" s="805"/>
      <c r="F786" s="805"/>
      <c r="G786" s="189"/>
      <c r="H786" s="562" t="s">
        <v>12</v>
      </c>
      <c r="I786" s="37"/>
      <c r="J786" s="37"/>
      <c r="K786" s="38"/>
      <c r="L786" s="195">
        <f t="shared" ref="L786:N786" ca="1" si="363">L787+L788</f>
        <v>1668000</v>
      </c>
      <c r="M786" s="195">
        <f t="shared" si="363"/>
        <v>0</v>
      </c>
      <c r="N786" s="195">
        <f t="shared" ca="1" si="363"/>
        <v>0</v>
      </c>
      <c r="O786" s="195">
        <f t="shared" ref="O786:O791" ca="1" si="364">IF(L786&gt;0,N786*100/L786,0)</f>
        <v>0</v>
      </c>
      <c r="P786" s="195">
        <f t="shared" ref="P786:P791" si="365">IF(M786&gt;0,N786*100/M786,0)</f>
        <v>0</v>
      </c>
      <c r="Q786" s="541"/>
      <c r="R786" s="541"/>
      <c r="S786" s="541"/>
      <c r="T786" s="541"/>
      <c r="U786" s="541"/>
      <c r="V786" s="541"/>
      <c r="W786" s="541"/>
      <c r="X786" s="541"/>
      <c r="Y786" s="541"/>
      <c r="Z786" s="541"/>
    </row>
    <row r="787" spans="1:26" ht="18.75" hidden="1">
      <c r="A787" s="563"/>
      <c r="B787" s="569"/>
      <c r="C787" s="564"/>
      <c r="D787" s="565"/>
      <c r="E787" s="566" t="s">
        <v>184</v>
      </c>
      <c r="F787" s="564"/>
      <c r="G787" s="567"/>
      <c r="H787" s="165" t="s">
        <v>12</v>
      </c>
      <c r="I787" s="44"/>
      <c r="J787" s="44"/>
      <c r="K787" s="45"/>
      <c r="L787" s="45">
        <f t="shared" ref="L787:N787" si="366">L790+L797</f>
        <v>0</v>
      </c>
      <c r="M787" s="45">
        <f t="shared" si="366"/>
        <v>0</v>
      </c>
      <c r="N787" s="45">
        <f t="shared" si="366"/>
        <v>0</v>
      </c>
      <c r="O787" s="45">
        <f t="shared" si="364"/>
        <v>0</v>
      </c>
      <c r="P787" s="45">
        <f t="shared" si="365"/>
        <v>0</v>
      </c>
      <c r="Q787" s="568"/>
      <c r="R787" s="568"/>
      <c r="S787" s="568"/>
      <c r="T787" s="568"/>
      <c r="U787" s="568"/>
      <c r="V787" s="568"/>
      <c r="W787" s="568"/>
      <c r="X787" s="568"/>
      <c r="Y787" s="568"/>
      <c r="Z787" s="568"/>
    </row>
    <row r="788" spans="1:26" ht="18.75" hidden="1">
      <c r="A788" s="563"/>
      <c r="B788" s="569"/>
      <c r="C788" s="569"/>
      <c r="D788" s="579"/>
      <c r="E788" s="566" t="s">
        <v>185</v>
      </c>
      <c r="F788" s="564"/>
      <c r="G788" s="567"/>
      <c r="H788" s="165" t="s">
        <v>12</v>
      </c>
      <c r="I788" s="44"/>
      <c r="J788" s="44"/>
      <c r="K788" s="45"/>
      <c r="L788" s="45">
        <f t="shared" ref="L788:N788" ca="1" si="367">L791+L798</f>
        <v>1668000</v>
      </c>
      <c r="M788" s="45">
        <f t="shared" si="367"/>
        <v>0</v>
      </c>
      <c r="N788" s="45">
        <f t="shared" ca="1" si="367"/>
        <v>0</v>
      </c>
      <c r="O788" s="45">
        <f t="shared" ca="1" si="364"/>
        <v>0</v>
      </c>
      <c r="P788" s="45">
        <f t="shared" si="365"/>
        <v>0</v>
      </c>
      <c r="Q788" s="568"/>
      <c r="R788" s="568"/>
      <c r="S788" s="568"/>
      <c r="T788" s="568"/>
      <c r="U788" s="568"/>
      <c r="V788" s="568"/>
      <c r="W788" s="568"/>
      <c r="X788" s="568"/>
      <c r="Y788" s="568"/>
      <c r="Z788" s="568"/>
    </row>
    <row r="789" spans="1:26" ht="18.75">
      <c r="A789" s="561"/>
      <c r="B789" s="538"/>
      <c r="C789" s="538"/>
      <c r="D789" s="570" t="s">
        <v>20</v>
      </c>
      <c r="E789" s="539"/>
      <c r="F789" s="539"/>
      <c r="G789" s="189"/>
      <c r="H789" s="161" t="s">
        <v>12</v>
      </c>
      <c r="I789" s="162"/>
      <c r="J789" s="162"/>
      <c r="K789" s="163"/>
      <c r="L789" s="38">
        <f t="shared" ref="L789:N789" ca="1" si="368">L790+L791</f>
        <v>1668000</v>
      </c>
      <c r="M789" s="38">
        <f t="shared" si="368"/>
        <v>0</v>
      </c>
      <c r="N789" s="38">
        <f t="shared" ca="1" si="368"/>
        <v>0</v>
      </c>
      <c r="O789" s="38">
        <f t="shared" ca="1" si="364"/>
        <v>0</v>
      </c>
      <c r="P789" s="38">
        <f t="shared" si="365"/>
        <v>0</v>
      </c>
      <c r="Q789" s="541"/>
      <c r="R789" s="541"/>
      <c r="S789" s="541"/>
      <c r="T789" s="541"/>
      <c r="U789" s="541"/>
      <c r="V789" s="541"/>
      <c r="W789" s="541"/>
      <c r="X789" s="541"/>
      <c r="Y789" s="541"/>
      <c r="Z789" s="541"/>
    </row>
    <row r="790" spans="1:26" ht="18.75" hidden="1">
      <c r="A790" s="563"/>
      <c r="B790" s="569"/>
      <c r="C790" s="569"/>
      <c r="D790" s="579"/>
      <c r="E790" s="566" t="s">
        <v>184</v>
      </c>
      <c r="F790" s="564"/>
      <c r="G790" s="567"/>
      <c r="H790" s="165" t="s">
        <v>12</v>
      </c>
      <c r="I790" s="44"/>
      <c r="J790" s="44"/>
      <c r="K790" s="45"/>
      <c r="L790" s="93">
        <v>0</v>
      </c>
      <c r="M790" s="93">
        <v>0</v>
      </c>
      <c r="N790" s="93">
        <v>0</v>
      </c>
      <c r="O790" s="45">
        <f t="shared" si="364"/>
        <v>0</v>
      </c>
      <c r="P790" s="45">
        <f t="shared" si="365"/>
        <v>0</v>
      </c>
      <c r="Q790" s="568"/>
      <c r="R790" s="568"/>
      <c r="S790" s="568"/>
      <c r="T790" s="568"/>
      <c r="U790" s="568"/>
      <c r="V790" s="568"/>
      <c r="W790" s="568"/>
      <c r="X790" s="568"/>
      <c r="Y790" s="568"/>
      <c r="Z790" s="568"/>
    </row>
    <row r="791" spans="1:26" ht="18.75" hidden="1">
      <c r="A791" s="563"/>
      <c r="B791" s="569"/>
      <c r="C791" s="569"/>
      <c r="D791" s="579"/>
      <c r="E791" s="566" t="s">
        <v>185</v>
      </c>
      <c r="F791" s="564"/>
      <c r="G791" s="567"/>
      <c r="H791" s="165" t="s">
        <v>12</v>
      </c>
      <c r="I791" s="44"/>
      <c r="J791" s="44"/>
      <c r="K791" s="45"/>
      <c r="L791" s="45">
        <f ca="1">IFERROR(__xludf.DUMMYFUNCTION("IMPORTRANGE(""https://docs.google.com/spreadsheets/d/1KxicF4apzSqm0-jIpmueT4kyZtE-Cwn5zskl7GD4loQ/edit?usp=share_link"",""กำแพงเพชร!l791"")+IMPORTRANGE(""https://docs.google.com/spreadsheets/d/1ZNYWeiFoFA1K1U4xKWqRX29MBvEyRHXORjo734Gnq_c/edit?usp=share_li"&amp;"nk"",""เชียงราย!l791"")
+IMPORTRANGE(""https://docs.google.com/spreadsheets/d/1Jgv0Y7YlHDtsiDawwp-uvifEJ8HVaSn0k2aGHG8-hwM/edit?usp=share_link"",""เชียงใหม่!l791"")+IMPORTRANGE(""https://docs.google.com/spreadsheets/d/1JWG2rZePOz9pe-f-ObA-yDr0VoOX2kSb0qIi"&amp;"x2mTUo8/edit?usp=share_link"",""ตาก!l791"")+IMPORTRANGE(""https://docs.google.com/spreadsheets/d/10nSRjK08hx8Y6HgSOQKNw81lyY46Zc7U_Cj72hBMp9U/edit?usp=share_link"",""นครสวรรค์!l791"")+IMPORTRANGE(""https://docs.google.com/spreadsheets/d/1gFVb7qd7amutrIxAA"&amp;"oM7lcy35hllxznovot8lyOfvDo/edit?usp=share_link"",""น่าน!l791"")+IMPORTRANGE(""https://docs.google.com/spreadsheets/d/1K0Aa9s-6EuHE5M0FG1F9aHLXRCOV917xvycTdLdct0w/edit?usp=share_link"",""พะเยา!l791"")+IMPORTRANGE(""https://docs.google.com/spreadsheets/d/1Y"&amp;"9LPKx95PyL5OKy09d-KbKJSuuEZCFdkhYjwC0XQjBA/edit?usp=share_link"",""พิจิตร!l791"")+IMPORTRANGE(""https://docs.google.com/spreadsheets/d/16OMuOwy2eVqZcYWOouQtTpa8X1L23h4660uVHc0C8os/edit?usp=share_link"",""พิษณุโลก!l791"")+IMPORTRANGE(""https://docs.google."&amp;"com/spreadsheets/d/1GfgTldLG6k77HXaMQzaafODklYuucJZQNs_GAPEfZyY/edit?usp=share_link"",""เพชรบูรณ์!l791"")+IMPORTRANGE(""https://docs.google.com/spreadsheets/d/1gvTMYAnm7v1yG1BKWFtr0DnaTsq59oW9dwWvFgq6hs0/edit?usp=share_link"",""แพร่!l791"")+IMPORTRANGE("""&amp;"https://docs.google.com/spreadsheets/d/1Wbcosgy-Xa1xXUArJSOenub6EfZHUSzc_bpJFWwQUf0/edit?usp=share_link"",""แม่ฮ่องสอน!l791"")+IMPORTRANGE(""https://docs.google.com/spreadsheets/d/1p7ERhsr0qZeSn-KSOdeHS9r0heI-lHtkcn2OH7hP0jQ/edit?usp=share_link"",""ลำปาง!"&amp;"l791"")+IMPORTRANGE(""https://docs.google.com/spreadsheets/d/1-uUXvimVhiU2U0bMN-xi2te0tS4X7DI2GLPnMjzl8cA/edit?usp=share_link"",""ลำพูน!l791"")+IMPORTRANGE(""https://docs.google.com/spreadsheets/d/17HrOaa5pBUI1onckFfumXB8xlg35qb2uBAFfF1D-Myo/edit?usp=shar"&amp;"e_link"",""สุโขทัย!l791"")+IMPORTRANGE(""https://docs.google.com/spreadsheets/d/1ubs5cl16eYL9gHbdHTJtmtYb9MGzHBs7CAphn8kNCgM/edit?usp=share_link"",""อุตรดิตถ์!l791"")+IMPORTRANGE(""https://docs.google.com/spreadsheets/d/1kII0BjS6CtVrBvI8IrytgPdxDrlyQDyigz"&amp;"MsohRtDMs/edit?usp=share_link"",""อุทัยธานี!l791"")
"),1668000)</f>
        <v>1668000</v>
      </c>
      <c r="M791" s="93">
        <v>0</v>
      </c>
      <c r="N791" s="45">
        <f ca="1">N792+N793+N794+N795</f>
        <v>0</v>
      </c>
      <c r="O791" s="45">
        <f t="shared" ca="1" si="364"/>
        <v>0</v>
      </c>
      <c r="P791" s="45">
        <f t="shared" si="365"/>
        <v>0</v>
      </c>
      <c r="Q791" s="568"/>
      <c r="R791" s="568"/>
      <c r="S791" s="568"/>
      <c r="T791" s="568"/>
      <c r="U791" s="568"/>
      <c r="V791" s="568"/>
      <c r="W791" s="568"/>
      <c r="X791" s="568"/>
      <c r="Y791" s="568"/>
      <c r="Z791" s="568"/>
    </row>
    <row r="792" spans="1:26" ht="18.75">
      <c r="A792" s="537"/>
      <c r="B792" s="538"/>
      <c r="C792" s="539"/>
      <c r="D792" s="539"/>
      <c r="E792" s="539"/>
      <c r="F792" s="540" t="s">
        <v>186</v>
      </c>
      <c r="G792" s="189"/>
      <c r="H792" s="161" t="s">
        <v>12</v>
      </c>
      <c r="I792" s="37"/>
      <c r="J792" s="37"/>
      <c r="K792" s="38"/>
      <c r="L792" s="38"/>
      <c r="M792" s="38"/>
      <c r="N792" s="282">
        <f ca="1">IFERROR(__xludf.DUMMYFUNCTION("IMPORTRANGE(""https://docs.google.com/spreadsheets/d/1KxicF4apzSqm0-jIpmueT4kyZtE-Cwn5zskl7GD4loQ/edit?usp=share_link"",""กำแพงเพชร!n792"")+IMPORTRANGE(""https://docs.google.com/spreadsheets/d/1ZNYWeiFoFA1K1U4xKWqRX29MBvEyRHXORjo734Gnq_c/edit?usp=share_li"&amp;"nk"",""เชียงราย!n792"")
+IMPORTRANGE(""https://docs.google.com/spreadsheets/d/1Jgv0Y7YlHDtsiDawwp-uvifEJ8HVaSn0k2aGHG8-hwM/edit?usp=share_link"",""เชียงใหม่!n792"")+IMPORTRANGE(""https://docs.google.com/spreadsheets/d/1JWG2rZePOz9pe-f-ObA-yDr0VoOX2kSb0qIi"&amp;"x2mTUo8/edit?usp=share_link"",""ตาก!n792"")+IMPORTRANGE(""https://docs.google.com/spreadsheets/d/10nSRjK08hx8Y6HgSOQKNw81lyY46Zc7U_Cj72hBMp9U/edit?usp=share_link"",""นครสวรรค์!n792"")+IMPORTRANGE(""https://docs.google.com/spreadsheets/d/1gFVb7qd7amutrIxAA"&amp;"oM7lcy35hllxznovot8lyOfvDo/edit?usp=share_link"",""น่าน!n792"")+IMPORTRANGE(""https://docs.google.com/spreadsheets/d/1K0Aa9s-6EuHE5M0FG1F9aHLXRCOV917xvycTdLdct0w/edit?usp=share_link"",""พะเยา!n792"")+IMPORTRANGE(""https://docs.google.com/spreadsheets/d/1Y"&amp;"9LPKx95PyL5OKy09d-KbKJSuuEZCFdkhYjwC0XQjBA/edit?usp=share_link"",""พิจิตร!n792"")+IMPORTRANGE(""https://docs.google.com/spreadsheets/d/16OMuOwy2eVqZcYWOouQtTpa8X1L23h4660uVHc0C8os/edit?usp=share_link"",""พิษณุโลก!n792"")+IMPORTRANGE(""https://docs.google."&amp;"com/spreadsheets/d/1GfgTldLG6k77HXaMQzaafODklYuucJZQNs_GAPEfZyY/edit?usp=share_link"",""เพชรบูรณ์!n792"")+IMPORTRANGE(""https://docs.google.com/spreadsheets/d/1gvTMYAnm7v1yG1BKWFtr0DnaTsq59oW9dwWvFgq6hs0/edit?usp=share_link"",""แพร่!n792"")+IMPORTRANGE("""&amp;"https://docs.google.com/spreadsheets/d/1Wbcosgy-Xa1xXUArJSOenub6EfZHUSzc_bpJFWwQUf0/edit?usp=share_link"",""แม่ฮ่องสอน!n792"")+IMPORTRANGE(""https://docs.google.com/spreadsheets/d/1p7ERhsr0qZeSn-KSOdeHS9r0heI-lHtkcn2OH7hP0jQ/edit?usp=share_link"",""ลำปาง!"&amp;"n792"")+IMPORTRANGE(""https://docs.google.com/spreadsheets/d/1-uUXvimVhiU2U0bMN-xi2te0tS4X7DI2GLPnMjzl8cA/edit?usp=share_link"",""ลำพูน!n792"")+IMPORTRANGE(""https://docs.google.com/spreadsheets/d/17HrOaa5pBUI1onckFfumXB8xlg35qb2uBAFfF1D-Myo/edit?usp=shar"&amp;"e_link"",""สุโขทัย!n792"")+IMPORTRANGE(""https://docs.google.com/spreadsheets/d/1ubs5cl16eYL9gHbdHTJtmtYb9MGzHBs7CAphn8kNCgM/edit?usp=share_link"",""อุตรดิตถ์!n792"")+IMPORTRANGE(""https://docs.google.com/spreadsheets/d/1kII0BjS6CtVrBvI8IrytgPdxDrlyQDyigz"&amp;"MsohRtDMs/edit?usp=share_link"",""อุทัยธานี!n792"")
"),0)</f>
        <v>0</v>
      </c>
      <c r="O792" s="38"/>
      <c r="P792" s="38"/>
      <c r="Q792" s="541"/>
      <c r="R792" s="541"/>
      <c r="S792" s="541"/>
      <c r="T792" s="541"/>
      <c r="U792" s="541"/>
      <c r="V792" s="541"/>
      <c r="W792" s="541"/>
      <c r="X792" s="541"/>
      <c r="Y792" s="541"/>
      <c r="Z792" s="541"/>
    </row>
    <row r="793" spans="1:26" ht="18.75">
      <c r="A793" s="537"/>
      <c r="B793" s="538"/>
      <c r="C793" s="539"/>
      <c r="D793" s="539"/>
      <c r="E793" s="539"/>
      <c r="F793" s="540" t="s">
        <v>187</v>
      </c>
      <c r="G793" s="189"/>
      <c r="H793" s="161" t="s">
        <v>12</v>
      </c>
      <c r="I793" s="37"/>
      <c r="J793" s="37"/>
      <c r="K793" s="38"/>
      <c r="L793" s="38"/>
      <c r="M793" s="38"/>
      <c r="N793" s="282">
        <f ca="1">IFERROR(__xludf.DUMMYFUNCTION("IMPORTRANGE(""https://docs.google.com/spreadsheets/d/1KxicF4apzSqm0-jIpmueT4kyZtE-Cwn5zskl7GD4loQ/edit?usp=share_link"",""กำแพงเพชร!n793"")+IMPORTRANGE(""https://docs.google.com/spreadsheets/d/1ZNYWeiFoFA1K1U4xKWqRX29MBvEyRHXORjo734Gnq_c/edit?usp=share_li"&amp;"nk"",""เชียงราย!n793"")
+IMPORTRANGE(""https://docs.google.com/spreadsheets/d/1Jgv0Y7YlHDtsiDawwp-uvifEJ8HVaSn0k2aGHG8-hwM/edit?usp=share_link"",""เชียงใหม่!n793"")+IMPORTRANGE(""https://docs.google.com/spreadsheets/d/1JWG2rZePOz9pe-f-ObA-yDr0VoOX2kSb0qIi"&amp;"x2mTUo8/edit?usp=share_link"",""ตาก!n793"")+IMPORTRANGE(""https://docs.google.com/spreadsheets/d/10nSRjK08hx8Y6HgSOQKNw81lyY46Zc7U_Cj72hBMp9U/edit?usp=share_link"",""นครสวรรค์!n793"")+IMPORTRANGE(""https://docs.google.com/spreadsheets/d/1gFVb7qd7amutrIxAA"&amp;"oM7lcy35hllxznovot8lyOfvDo/edit?usp=share_link"",""น่าน!n793"")+IMPORTRANGE(""https://docs.google.com/spreadsheets/d/1K0Aa9s-6EuHE5M0FG1F9aHLXRCOV917xvycTdLdct0w/edit?usp=share_link"",""พะเยา!n793"")+IMPORTRANGE(""https://docs.google.com/spreadsheets/d/1Y"&amp;"9LPKx95PyL5OKy09d-KbKJSuuEZCFdkhYjwC0XQjBA/edit?usp=share_link"",""พิจิตร!n793"")+IMPORTRANGE(""https://docs.google.com/spreadsheets/d/16OMuOwy2eVqZcYWOouQtTpa8X1L23h4660uVHc0C8os/edit?usp=share_link"",""พิษณุโลก!n793"")+IMPORTRANGE(""https://docs.google."&amp;"com/spreadsheets/d/1GfgTldLG6k77HXaMQzaafODklYuucJZQNs_GAPEfZyY/edit?usp=share_link"",""เพชรบูรณ์!n793"")+IMPORTRANGE(""https://docs.google.com/spreadsheets/d/1gvTMYAnm7v1yG1BKWFtr0DnaTsq59oW9dwWvFgq6hs0/edit?usp=share_link"",""แพร่!n793"")+IMPORTRANGE("""&amp;"https://docs.google.com/spreadsheets/d/1Wbcosgy-Xa1xXUArJSOenub6EfZHUSzc_bpJFWwQUf0/edit?usp=share_link"",""แม่ฮ่องสอน!n793"")+IMPORTRANGE(""https://docs.google.com/spreadsheets/d/1p7ERhsr0qZeSn-KSOdeHS9r0heI-lHtkcn2OH7hP0jQ/edit?usp=share_link"",""ลำปาง!"&amp;"n793"")+IMPORTRANGE(""https://docs.google.com/spreadsheets/d/1-uUXvimVhiU2U0bMN-xi2te0tS4X7DI2GLPnMjzl8cA/edit?usp=share_link"",""ลำพูน!n793"")+IMPORTRANGE(""https://docs.google.com/spreadsheets/d/17HrOaa5pBUI1onckFfumXB8xlg35qb2uBAFfF1D-Myo/edit?usp=shar"&amp;"e_link"",""สุโขทัย!n793"")+IMPORTRANGE(""https://docs.google.com/spreadsheets/d/1ubs5cl16eYL9gHbdHTJtmtYb9MGzHBs7CAphn8kNCgM/edit?usp=share_link"",""อุตรดิตถ์!n793"")+IMPORTRANGE(""https://docs.google.com/spreadsheets/d/1kII0BjS6CtVrBvI8IrytgPdxDrlyQDyigz"&amp;"MsohRtDMs/edit?usp=share_link"",""อุทัยธานี!n793"")
"),0)</f>
        <v>0</v>
      </c>
      <c r="O793" s="38"/>
      <c r="P793" s="38"/>
      <c r="Q793" s="541"/>
      <c r="R793" s="541"/>
      <c r="S793" s="541"/>
      <c r="T793" s="541"/>
      <c r="U793" s="541"/>
      <c r="V793" s="541"/>
      <c r="W793" s="541"/>
      <c r="X793" s="541"/>
      <c r="Y793" s="541"/>
      <c r="Z793" s="541"/>
    </row>
    <row r="794" spans="1:26" ht="18.75">
      <c r="A794" s="537"/>
      <c r="B794" s="538"/>
      <c r="C794" s="539"/>
      <c r="D794" s="539"/>
      <c r="E794" s="539"/>
      <c r="F794" s="540" t="s">
        <v>188</v>
      </c>
      <c r="G794" s="189"/>
      <c r="H794" s="161" t="s">
        <v>12</v>
      </c>
      <c r="I794" s="37"/>
      <c r="J794" s="37"/>
      <c r="K794" s="38"/>
      <c r="L794" s="38"/>
      <c r="M794" s="38"/>
      <c r="N794" s="282">
        <f ca="1">IFERROR(__xludf.DUMMYFUNCTION("IMPORTRANGE(""https://docs.google.com/spreadsheets/d/1KxicF4apzSqm0-jIpmueT4kyZtE-Cwn5zskl7GD4loQ/edit?usp=share_link"",""กำแพงเพชร!n794"")+IMPORTRANGE(""https://docs.google.com/spreadsheets/d/1ZNYWeiFoFA1K1U4xKWqRX29MBvEyRHXORjo734Gnq_c/edit?usp=share_li"&amp;"nk"",""เชียงราย!n794"")
+IMPORTRANGE(""https://docs.google.com/spreadsheets/d/1Jgv0Y7YlHDtsiDawwp-uvifEJ8HVaSn0k2aGHG8-hwM/edit?usp=share_link"",""เชียงใหม่!n794"")+IMPORTRANGE(""https://docs.google.com/spreadsheets/d/1JWG2rZePOz9pe-f-ObA-yDr0VoOX2kSb0qIi"&amp;"x2mTUo8/edit?usp=share_link"",""ตาก!n794"")+IMPORTRANGE(""https://docs.google.com/spreadsheets/d/10nSRjK08hx8Y6HgSOQKNw81lyY46Zc7U_Cj72hBMp9U/edit?usp=share_link"",""นครสวรรค์!n794"")+IMPORTRANGE(""https://docs.google.com/spreadsheets/d/1gFVb7qd7amutrIxAA"&amp;"oM7lcy35hllxznovot8lyOfvDo/edit?usp=share_link"",""น่าน!n794"")+IMPORTRANGE(""https://docs.google.com/spreadsheets/d/1K0Aa9s-6EuHE5M0FG1F9aHLXRCOV917xvycTdLdct0w/edit?usp=share_link"",""พะเยา!n794"")+IMPORTRANGE(""https://docs.google.com/spreadsheets/d/1Y"&amp;"9LPKx95PyL5OKy09d-KbKJSuuEZCFdkhYjwC0XQjBA/edit?usp=share_link"",""พิจิตร!n794"")+IMPORTRANGE(""https://docs.google.com/spreadsheets/d/16OMuOwy2eVqZcYWOouQtTpa8X1L23h4660uVHc0C8os/edit?usp=share_link"",""พิษณุโลก!n794"")+IMPORTRANGE(""https://docs.google."&amp;"com/spreadsheets/d/1GfgTldLG6k77HXaMQzaafODklYuucJZQNs_GAPEfZyY/edit?usp=share_link"",""เพชรบูรณ์!n794"")+IMPORTRANGE(""https://docs.google.com/spreadsheets/d/1gvTMYAnm7v1yG1BKWFtr0DnaTsq59oW9dwWvFgq6hs0/edit?usp=share_link"",""แพร่!n794"")+IMPORTRANGE("""&amp;"https://docs.google.com/spreadsheets/d/1Wbcosgy-Xa1xXUArJSOenub6EfZHUSzc_bpJFWwQUf0/edit?usp=share_link"",""แม่ฮ่องสอน!n794"")+IMPORTRANGE(""https://docs.google.com/spreadsheets/d/1p7ERhsr0qZeSn-KSOdeHS9r0heI-lHtkcn2OH7hP0jQ/edit?usp=share_link"",""ลำปาง!"&amp;"n794"")+IMPORTRANGE(""https://docs.google.com/spreadsheets/d/1-uUXvimVhiU2U0bMN-xi2te0tS4X7DI2GLPnMjzl8cA/edit?usp=share_link"",""ลำพูน!n794"")+IMPORTRANGE(""https://docs.google.com/spreadsheets/d/17HrOaa5pBUI1onckFfumXB8xlg35qb2uBAFfF1D-Myo/edit?usp=shar"&amp;"e_link"",""สุโขทัย!n794"")+IMPORTRANGE(""https://docs.google.com/spreadsheets/d/1ubs5cl16eYL9gHbdHTJtmtYb9MGzHBs7CAphn8kNCgM/edit?usp=share_link"",""อุตรดิตถ์!n794"")+IMPORTRANGE(""https://docs.google.com/spreadsheets/d/1kII0BjS6CtVrBvI8IrytgPdxDrlyQDyigz"&amp;"MsohRtDMs/edit?usp=share_link"",""อุทัยธานี!n794"")
"),0)</f>
        <v>0</v>
      </c>
      <c r="O794" s="38"/>
      <c r="P794" s="38"/>
      <c r="Q794" s="541"/>
      <c r="R794" s="541"/>
      <c r="S794" s="541"/>
      <c r="T794" s="541"/>
      <c r="U794" s="541"/>
      <c r="V794" s="541"/>
      <c r="W794" s="541"/>
      <c r="X794" s="541"/>
      <c r="Y794" s="541"/>
      <c r="Z794" s="541"/>
    </row>
    <row r="795" spans="1:26" ht="18.75">
      <c r="A795" s="537"/>
      <c r="B795" s="538"/>
      <c r="C795" s="539"/>
      <c r="D795" s="539"/>
      <c r="E795" s="539"/>
      <c r="F795" s="540" t="s">
        <v>189</v>
      </c>
      <c r="G795" s="189"/>
      <c r="H795" s="161" t="s">
        <v>12</v>
      </c>
      <c r="I795" s="37"/>
      <c r="J795" s="37"/>
      <c r="K795" s="38"/>
      <c r="L795" s="38"/>
      <c r="M795" s="38"/>
      <c r="N795" s="282">
        <f ca="1">IFERROR(__xludf.DUMMYFUNCTION("IMPORTRANGE(""https://docs.google.com/spreadsheets/d/1KxicF4apzSqm0-jIpmueT4kyZtE-Cwn5zskl7GD4loQ/edit?usp=share_link"",""กำแพงเพชร!n795"")+IMPORTRANGE(""https://docs.google.com/spreadsheets/d/1ZNYWeiFoFA1K1U4xKWqRX29MBvEyRHXORjo734Gnq_c/edit?usp=share_li"&amp;"nk"",""เชียงราย!n795"")
+IMPORTRANGE(""https://docs.google.com/spreadsheets/d/1Jgv0Y7YlHDtsiDawwp-uvifEJ8HVaSn0k2aGHG8-hwM/edit?usp=share_link"",""เชียงใหม่!n795"")+IMPORTRANGE(""https://docs.google.com/spreadsheets/d/1JWG2rZePOz9pe-f-ObA-yDr0VoOX2kSb0qIi"&amp;"x2mTUo8/edit?usp=share_link"",""ตาก!n795"")+IMPORTRANGE(""https://docs.google.com/spreadsheets/d/10nSRjK08hx8Y6HgSOQKNw81lyY46Zc7U_Cj72hBMp9U/edit?usp=share_link"",""นครสวรรค์!n795"")+IMPORTRANGE(""https://docs.google.com/spreadsheets/d/1gFVb7qd7amutrIxAA"&amp;"oM7lcy35hllxznovot8lyOfvDo/edit?usp=share_link"",""น่าน!n795"")+IMPORTRANGE(""https://docs.google.com/spreadsheets/d/1K0Aa9s-6EuHE5M0FG1F9aHLXRCOV917xvycTdLdct0w/edit?usp=share_link"",""พะเยา!n795"")+IMPORTRANGE(""https://docs.google.com/spreadsheets/d/1Y"&amp;"9LPKx95PyL5OKy09d-KbKJSuuEZCFdkhYjwC0XQjBA/edit?usp=share_link"",""พิจิตร!n795"")+IMPORTRANGE(""https://docs.google.com/spreadsheets/d/16OMuOwy2eVqZcYWOouQtTpa8X1L23h4660uVHc0C8os/edit?usp=share_link"",""พิษณุโลก!n795"")+IMPORTRANGE(""https://docs.google."&amp;"com/spreadsheets/d/1GfgTldLG6k77HXaMQzaafODklYuucJZQNs_GAPEfZyY/edit?usp=share_link"",""เพชรบูรณ์!n795"")+IMPORTRANGE(""https://docs.google.com/spreadsheets/d/1gvTMYAnm7v1yG1BKWFtr0DnaTsq59oW9dwWvFgq6hs0/edit?usp=share_link"",""แพร่!n795"")+IMPORTRANGE("""&amp;"https://docs.google.com/spreadsheets/d/1Wbcosgy-Xa1xXUArJSOenub6EfZHUSzc_bpJFWwQUf0/edit?usp=share_link"",""แม่ฮ่องสอน!n795"")+IMPORTRANGE(""https://docs.google.com/spreadsheets/d/1p7ERhsr0qZeSn-KSOdeHS9r0heI-lHtkcn2OH7hP0jQ/edit?usp=share_link"",""ลำปาง!"&amp;"n795"")+IMPORTRANGE(""https://docs.google.com/spreadsheets/d/1-uUXvimVhiU2U0bMN-xi2te0tS4X7DI2GLPnMjzl8cA/edit?usp=share_link"",""ลำพูน!n795"")+IMPORTRANGE(""https://docs.google.com/spreadsheets/d/17HrOaa5pBUI1onckFfumXB8xlg35qb2uBAFfF1D-Myo/edit?usp=shar"&amp;"e_link"",""สุโขทัย!n795"")+IMPORTRANGE(""https://docs.google.com/spreadsheets/d/1ubs5cl16eYL9gHbdHTJtmtYb9MGzHBs7CAphn8kNCgM/edit?usp=share_link"",""อุตรดิตถ์!n795"")+IMPORTRANGE(""https://docs.google.com/spreadsheets/d/1kII0BjS6CtVrBvI8IrytgPdxDrlyQDyigz"&amp;"MsohRtDMs/edit?usp=share_link"",""อุทัยธานี!n795"")
"),0)</f>
        <v>0</v>
      </c>
      <c r="O795" s="38"/>
      <c r="P795" s="38"/>
      <c r="Q795" s="541"/>
      <c r="R795" s="541"/>
      <c r="S795" s="541"/>
      <c r="T795" s="541"/>
      <c r="U795" s="541"/>
      <c r="V795" s="541"/>
      <c r="W795" s="541"/>
      <c r="X795" s="541"/>
      <c r="Y795" s="541"/>
      <c r="Z795" s="541"/>
    </row>
    <row r="796" spans="1:26" ht="18.75">
      <c r="A796" s="561"/>
      <c r="B796" s="538"/>
      <c r="C796" s="539"/>
      <c r="D796" s="570" t="s">
        <v>21</v>
      </c>
      <c r="E796" s="539"/>
      <c r="F796" s="539"/>
      <c r="G796" s="189"/>
      <c r="H796" s="168" t="s">
        <v>12</v>
      </c>
      <c r="I796" s="162"/>
      <c r="J796" s="162"/>
      <c r="K796" s="163"/>
      <c r="L796" s="38">
        <f t="shared" ref="L796:N796" si="369">L797+L798</f>
        <v>0</v>
      </c>
      <c r="M796" s="38">
        <f t="shared" si="369"/>
        <v>0</v>
      </c>
      <c r="N796" s="38">
        <f t="shared" si="369"/>
        <v>0</v>
      </c>
      <c r="O796" s="38">
        <f t="shared" ref="O796:O798" si="370">IF(L796&gt;0,N796*100/L796,0)</f>
        <v>0</v>
      </c>
      <c r="P796" s="38">
        <f t="shared" ref="P796:P798" si="371">IF(M796&gt;0,N796*100/M796,0)</f>
        <v>0</v>
      </c>
      <c r="Q796" s="541"/>
      <c r="R796" s="541"/>
      <c r="S796" s="541"/>
      <c r="T796" s="541"/>
      <c r="U796" s="541"/>
      <c r="V796" s="541"/>
      <c r="W796" s="541"/>
      <c r="X796" s="541"/>
      <c r="Y796" s="541"/>
      <c r="Z796" s="541"/>
    </row>
    <row r="797" spans="1:26" ht="18.75" hidden="1">
      <c r="A797" s="563"/>
      <c r="B797" s="569"/>
      <c r="C797" s="564"/>
      <c r="D797" s="564"/>
      <c r="E797" s="566" t="s">
        <v>18</v>
      </c>
      <c r="F797" s="564"/>
      <c r="G797" s="567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45">
        <f t="shared" si="370"/>
        <v>0</v>
      </c>
      <c r="P797" s="45">
        <f t="shared" si="371"/>
        <v>0</v>
      </c>
      <c r="Q797" s="568"/>
      <c r="R797" s="568"/>
      <c r="S797" s="568"/>
      <c r="T797" s="568"/>
      <c r="U797" s="568"/>
      <c r="V797" s="568"/>
      <c r="W797" s="568"/>
      <c r="X797" s="568"/>
      <c r="Y797" s="568"/>
      <c r="Z797" s="568"/>
    </row>
    <row r="798" spans="1:26" ht="18.75" hidden="1">
      <c r="A798" s="563"/>
      <c r="B798" s="569"/>
      <c r="C798" s="564"/>
      <c r="D798" s="564"/>
      <c r="E798" s="566" t="s">
        <v>19</v>
      </c>
      <c r="F798" s="564"/>
      <c r="G798" s="567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45">
        <f t="shared" si="370"/>
        <v>0</v>
      </c>
      <c r="P798" s="45">
        <f t="shared" si="371"/>
        <v>0</v>
      </c>
      <c r="Q798" s="568"/>
      <c r="R798" s="568"/>
      <c r="S798" s="568"/>
      <c r="T798" s="568"/>
      <c r="U798" s="568"/>
      <c r="V798" s="568"/>
      <c r="W798" s="568"/>
      <c r="X798" s="568"/>
      <c r="Y798" s="568"/>
      <c r="Z798" s="568"/>
    </row>
    <row r="799" spans="1:26" ht="19.5">
      <c r="A799" s="572"/>
      <c r="B799" s="573"/>
      <c r="C799" s="539" t="s">
        <v>16</v>
      </c>
      <c r="D799" s="724" t="s">
        <v>38</v>
      </c>
      <c r="E799" s="576"/>
      <c r="F799" s="576"/>
      <c r="G799" s="577"/>
      <c r="H799" s="774"/>
      <c r="I799" s="162"/>
      <c r="J799" s="162"/>
      <c r="K799" s="163"/>
      <c r="L799" s="163"/>
      <c r="M799" s="163"/>
      <c r="N799" s="163"/>
      <c r="O799" s="163"/>
      <c r="P799" s="163"/>
      <c r="Q799" s="541"/>
      <c r="R799" s="541"/>
      <c r="S799" s="541"/>
      <c r="T799" s="541"/>
      <c r="U799" s="541"/>
      <c r="V799" s="541"/>
      <c r="W799" s="541"/>
      <c r="X799" s="541"/>
      <c r="Y799" s="541"/>
      <c r="Z799" s="541"/>
    </row>
    <row r="800" spans="1:26" ht="18.75">
      <c r="A800" s="572"/>
      <c r="B800" s="573"/>
      <c r="C800" s="573"/>
      <c r="D800" s="573"/>
      <c r="E800" s="585"/>
      <c r="F800" s="187" t="s">
        <v>320</v>
      </c>
      <c r="G800" s="175"/>
      <c r="H800" s="185" t="s">
        <v>46</v>
      </c>
      <c r="I800" s="162">
        <f ca="1">IFERROR(__xludf.DUMMYFUNCTION("IMPORTRANGE(""https://docs.google.com/spreadsheets/d/1KxicF4apzSqm0-jIpmueT4kyZtE-Cwn5zskl7GD4loQ/edit?usp=share_link"",""กำแพงเพชร!I800"")+IMPORTRANGE(""https://docs.google.com/spreadsheets/d/1ZNYWeiFoFA1K1U4xKWqRX29MBvEyRHXORjo734Gnq_c/edit?usp=share_li"&amp;"nk"",""เชียงราย!I800"")
+IMPORTRANGE(""https://docs.google.com/spreadsheets/d/1Jgv0Y7YlHDtsiDawwp-uvifEJ8HVaSn0k2aGHG8-hwM/edit?usp=share_link"",""เชียงใหม่!I800"")+IMPORTRANGE(""https://docs.google.com/spreadsheets/d/1JWG2rZePOz9pe-f-ObA-yDr0VoOX2kSb0qIi"&amp;"x2mTUo8/edit?usp=share_link"",""ตาก!I800"")+IMPORTRANGE(""https://docs.google.com/spreadsheets/d/10nSRjK08hx8Y6HgSOQKNw81lyY46Zc7U_Cj72hBMp9U/edit?usp=share_link"",""นครสวรรค์!I800"")+IMPORTRANGE(""https://docs.google.com/spreadsheets/d/1gFVb7qd7amutrIxAA"&amp;"oM7lcy35hllxznovot8lyOfvDo/edit?usp=share_link"",""น่าน!I800"")+IMPORTRANGE(""https://docs.google.com/spreadsheets/d/1K0Aa9s-6EuHE5M0FG1F9aHLXRCOV917xvycTdLdct0w/edit?usp=share_link"",""พะเยา!I800"")+IMPORTRANGE(""https://docs.google.com/spreadsheets/d/1Y"&amp;"9LPKx95PyL5OKy09d-KbKJSuuEZCFdkhYjwC0XQjBA/edit?usp=share_link"",""พิจิตร!I800"")+IMPORTRANGE(""https://docs.google.com/spreadsheets/d/16OMuOwy2eVqZcYWOouQtTpa8X1L23h4660uVHc0C8os/edit?usp=share_link"",""พิษณุโลก!I800"")+IMPORTRANGE(""https://docs.google."&amp;"com/spreadsheets/d/1GfgTldLG6k77HXaMQzaafODklYuucJZQNs_GAPEfZyY/edit?usp=share_link"",""เพชรบูรณ์!I800"")+IMPORTRANGE(""https://docs.google.com/spreadsheets/d/1gvTMYAnm7v1yG1BKWFtr0DnaTsq59oW9dwWvFgq6hs0/edit?usp=share_link"",""แพร่!I800"")+IMPORTRANGE("""&amp;"https://docs.google.com/spreadsheets/d/1Wbcosgy-Xa1xXUArJSOenub6EfZHUSzc_bpJFWwQUf0/edit?usp=share_link"",""แม่ฮ่องสอน!I800"")+IMPORTRANGE(""https://docs.google.com/spreadsheets/d/1p7ERhsr0qZeSn-KSOdeHS9r0heI-lHtkcn2OH7hP0jQ/edit?usp=share_link"",""ลำปาง!"&amp;"I800"")+IMPORTRANGE(""https://docs.google.com/spreadsheets/d/1-uUXvimVhiU2U0bMN-xi2te0tS4X7DI2GLPnMjzl8cA/edit?usp=share_link"",""ลำพูน!I800"")+IMPORTRANGE(""https://docs.google.com/spreadsheets/d/17HrOaa5pBUI1onckFfumXB8xlg35qb2uBAFfF1D-Myo/edit?usp=shar"&amp;"e_link"",""สุโขทัย!I800"")+IMPORTRANGE(""https://docs.google.com/spreadsheets/d/1ubs5cl16eYL9gHbdHTJtmtYb9MGzHBs7CAphn8kNCgM/edit?usp=share_link"",""อุตรดิตถ์!I800"")+IMPORTRANGE(""https://docs.google.com/spreadsheets/d/1kII0BjS6CtVrBvI8IrytgPdxDrlyQDyigz"&amp;"MsohRtDMs/edit?usp=share_link"",""อุทัยธานี!I800"")
"),25000)</f>
        <v>25000</v>
      </c>
      <c r="J800" s="184">
        <f ca="1">IFERROR(__xludf.DUMMYFUNCTION("IMPORTRANGE(""https://docs.google.com/spreadsheets/d/1KxicF4apzSqm0-jIpmueT4kyZtE-Cwn5zskl7GD4loQ/edit?usp=share_link"",""กำแพงเพชร!J800"")+IMPORTRANGE(""https://docs.google.com/spreadsheets/d/1ZNYWeiFoFA1K1U4xKWqRX29MBvEyRHXORjo734Gnq_c/edit?usp=share_li"&amp;"nk"",""เชียงราย!J800"")
+IMPORTRANGE(""https://docs.google.com/spreadsheets/d/1Jgv0Y7YlHDtsiDawwp-uvifEJ8HVaSn0k2aGHG8-hwM/edit?usp=share_link"",""เชียงใหม่!J800"")+IMPORTRANGE(""https://docs.google.com/spreadsheets/d/1JWG2rZePOz9pe-f-ObA-yDr0VoOX2kSb0qIi"&amp;"x2mTUo8/edit?usp=share_link"",""ตาก!J800"")+IMPORTRANGE(""https://docs.google.com/spreadsheets/d/10nSRjK08hx8Y6HgSOQKNw81lyY46Zc7U_Cj72hBMp9U/edit?usp=share_link"",""นครสวรรค์!J800"")+IMPORTRANGE(""https://docs.google.com/spreadsheets/d/1gFVb7qd7amutrIxAA"&amp;"oM7lcy35hllxznovot8lyOfvDo/edit?usp=share_link"",""น่าน!J800"")+IMPORTRANGE(""https://docs.google.com/spreadsheets/d/1K0Aa9s-6EuHE5M0FG1F9aHLXRCOV917xvycTdLdct0w/edit?usp=share_link"",""พะเยา!J800"")+IMPORTRANGE(""https://docs.google.com/spreadsheets/d/1Y"&amp;"9LPKx95PyL5OKy09d-KbKJSuuEZCFdkhYjwC0XQjBA/edit?usp=share_link"",""พิจิตร!J800"")+IMPORTRANGE(""https://docs.google.com/spreadsheets/d/16OMuOwy2eVqZcYWOouQtTpa8X1L23h4660uVHc0C8os/edit?usp=share_link"",""พิษณุโลก!J800"")+IMPORTRANGE(""https://docs.google."&amp;"com/spreadsheets/d/1GfgTldLG6k77HXaMQzaafODklYuucJZQNs_GAPEfZyY/edit?usp=share_link"",""เพชรบูรณ์!J800"")+IMPORTRANGE(""https://docs.google.com/spreadsheets/d/1gvTMYAnm7v1yG1BKWFtr0DnaTsq59oW9dwWvFgq6hs0/edit?usp=share_link"",""แพร่!J800"")+IMPORTRANGE("""&amp;"https://docs.google.com/spreadsheets/d/1Wbcosgy-Xa1xXUArJSOenub6EfZHUSzc_bpJFWwQUf0/edit?usp=share_link"",""แม่ฮ่องสอน!J800"")+IMPORTRANGE(""https://docs.google.com/spreadsheets/d/1p7ERhsr0qZeSn-KSOdeHS9r0heI-lHtkcn2OH7hP0jQ/edit?usp=share_link"",""ลำปาง!"&amp;"J800"")+IMPORTRANGE(""https://docs.google.com/spreadsheets/d/1-uUXvimVhiU2U0bMN-xi2te0tS4X7DI2GLPnMjzl8cA/edit?usp=share_link"",""ลำพูน!J800"")+IMPORTRANGE(""https://docs.google.com/spreadsheets/d/17HrOaa5pBUI1onckFfumXB8xlg35qb2uBAFfF1D-Myo/edit?usp=shar"&amp;"e_link"",""สุโขทัย!J800"")+IMPORTRANGE(""https://docs.google.com/spreadsheets/d/1ubs5cl16eYL9gHbdHTJtmtYb9MGzHBs7CAphn8kNCgM/edit?usp=share_link"",""อุตรดิตถ์!J800"")+IMPORTRANGE(""https://docs.google.com/spreadsheets/d/1kII0BjS6CtVrBvI8IrytgPdxDrlyQDyigz"&amp;"MsohRtDMs/edit?usp=share_link"",""อุทัยธานี!J800"")
"),0)</f>
        <v>0</v>
      </c>
      <c r="K800" s="38">
        <f ca="1">IF(I800&gt;0,J800*100/I800,0)</f>
        <v>0</v>
      </c>
      <c r="L800" s="38"/>
      <c r="M800" s="38"/>
      <c r="N800" s="38"/>
      <c r="O800" s="163"/>
      <c r="P800" s="163"/>
      <c r="Q800" s="541"/>
      <c r="R800" s="541"/>
      <c r="S800" s="541"/>
      <c r="T800" s="541"/>
      <c r="U800" s="541"/>
      <c r="V800" s="541"/>
      <c r="W800" s="541"/>
      <c r="X800" s="541"/>
      <c r="Y800" s="541"/>
      <c r="Z800" s="541"/>
    </row>
    <row r="801" spans="1:26" ht="18.75">
      <c r="A801" s="572"/>
      <c r="B801" s="573"/>
      <c r="C801" s="573"/>
      <c r="D801" s="573"/>
      <c r="E801" s="585"/>
      <c r="F801" s="585"/>
      <c r="G801" s="175"/>
      <c r="H801" s="161" t="s">
        <v>34</v>
      </c>
      <c r="I801" s="162"/>
      <c r="J801" s="37">
        <f ca="1">IFERROR(__xludf.DUMMYFUNCTION("IMPORTRANGE(""https://docs.google.com/spreadsheets/d/1KxicF4apzSqm0-jIpmueT4kyZtE-Cwn5zskl7GD4loQ/edit?usp=share_link"",""กำแพงเพชร!J801"")+IMPORTRANGE(""https://docs.google.com/spreadsheets/d/1ZNYWeiFoFA1K1U4xKWqRX29MBvEyRHXORjo734Gnq_c/edit?usp=share_li"&amp;"nk"",""เชียงราย!J801"")
+IMPORTRANGE(""https://docs.google.com/spreadsheets/d/1Jgv0Y7YlHDtsiDawwp-uvifEJ8HVaSn0k2aGHG8-hwM/edit?usp=share_link"",""เชียงใหม่!J801"")+IMPORTRANGE(""https://docs.google.com/spreadsheets/d/1JWG2rZePOz9pe-f-ObA-yDr0VoOX2kSb0qIi"&amp;"x2mTUo8/edit?usp=share_link"",""ตาก!J801"")+IMPORTRANGE(""https://docs.google.com/spreadsheets/d/10nSRjK08hx8Y6HgSOQKNw81lyY46Zc7U_Cj72hBMp9U/edit?usp=share_link"",""นครสวรรค์!J801"")+IMPORTRANGE(""https://docs.google.com/spreadsheets/d/1gFVb7qd7amutrIxAA"&amp;"oM7lcy35hllxznovot8lyOfvDo/edit?usp=share_link"",""น่าน!J801"")+IMPORTRANGE(""https://docs.google.com/spreadsheets/d/1K0Aa9s-6EuHE5M0FG1F9aHLXRCOV917xvycTdLdct0w/edit?usp=share_link"",""พะเยา!J801"")+IMPORTRANGE(""https://docs.google.com/spreadsheets/d/1Y"&amp;"9LPKx95PyL5OKy09d-KbKJSuuEZCFdkhYjwC0XQjBA/edit?usp=share_link"",""พิจิตร!J801"")+IMPORTRANGE(""https://docs.google.com/spreadsheets/d/16OMuOwy2eVqZcYWOouQtTpa8X1L23h4660uVHc0C8os/edit?usp=share_link"",""พิษณุโลก!J801"")+IMPORTRANGE(""https://docs.google."&amp;"com/spreadsheets/d/1GfgTldLG6k77HXaMQzaafODklYuucJZQNs_GAPEfZyY/edit?usp=share_link"",""เพชรบูรณ์!J801"")+IMPORTRANGE(""https://docs.google.com/spreadsheets/d/1gvTMYAnm7v1yG1BKWFtr0DnaTsq59oW9dwWvFgq6hs0/edit?usp=share_link"",""แพร่!J801"")+IMPORTRANGE("""&amp;"https://docs.google.com/spreadsheets/d/1Wbcosgy-Xa1xXUArJSOenub6EfZHUSzc_bpJFWwQUf0/edit?usp=share_link"",""แม่ฮ่องสอน!J801"")+IMPORTRANGE(""https://docs.google.com/spreadsheets/d/1p7ERhsr0qZeSn-KSOdeHS9r0heI-lHtkcn2OH7hP0jQ/edit?usp=share_link"",""ลำปาง!"&amp;"J801"")+IMPORTRANGE(""https://docs.google.com/spreadsheets/d/1-uUXvimVhiU2U0bMN-xi2te0tS4X7DI2GLPnMjzl8cA/edit?usp=share_link"",""ลำพูน!J801"")+IMPORTRANGE(""https://docs.google.com/spreadsheets/d/17HrOaa5pBUI1onckFfumXB8xlg35qb2uBAFfF1D-Myo/edit?usp=shar"&amp;"e_link"",""สุโขทัย!J801"")+IMPORTRANGE(""https://docs.google.com/spreadsheets/d/1ubs5cl16eYL9gHbdHTJtmtYb9MGzHBs7CAphn8kNCgM/edit?usp=share_link"",""อุตรดิตถ์!J801"")+IMPORTRANGE(""https://docs.google.com/spreadsheets/d/1kII0BjS6CtVrBvI8IrytgPdxDrlyQDyigz"&amp;"MsohRtDMs/edit?usp=share_link"",""อุทัยธานี!J801"")
"),0)</f>
        <v>0</v>
      </c>
      <c r="K801" s="38"/>
      <c r="L801" s="38"/>
      <c r="M801" s="38"/>
      <c r="N801" s="38"/>
      <c r="O801" s="163"/>
      <c r="P801" s="163"/>
      <c r="Q801" s="541"/>
      <c r="R801" s="541"/>
      <c r="S801" s="541"/>
      <c r="T801" s="541"/>
      <c r="U801" s="541"/>
      <c r="V801" s="541"/>
      <c r="W801" s="541"/>
      <c r="X801" s="541"/>
      <c r="Y801" s="541"/>
      <c r="Z801" s="541"/>
    </row>
    <row r="802" spans="1:26" ht="18.75" hidden="1">
      <c r="A802" s="578"/>
      <c r="B802" s="579"/>
      <c r="C802" s="579"/>
      <c r="D802" s="579"/>
      <c r="E802" s="565"/>
      <c r="F802" s="684" t="s">
        <v>321</v>
      </c>
      <c r="G802" s="581"/>
      <c r="H802" s="619" t="s">
        <v>46</v>
      </c>
      <c r="I802" s="166"/>
      <c r="J802" s="44"/>
      <c r="K802" s="167">
        <f>IF(I802&gt;0,J802*100/I802,0)</f>
        <v>0</v>
      </c>
      <c r="L802" s="167"/>
      <c r="M802" s="167"/>
      <c r="N802" s="167"/>
      <c r="O802" s="167"/>
      <c r="P802" s="167"/>
      <c r="Q802" s="568"/>
      <c r="R802" s="568"/>
      <c r="S802" s="568"/>
      <c r="T802" s="568"/>
      <c r="U802" s="568"/>
      <c r="V802" s="568"/>
      <c r="W802" s="568"/>
      <c r="X802" s="568"/>
      <c r="Y802" s="568"/>
      <c r="Z802" s="568"/>
    </row>
    <row r="803" spans="1:26" ht="18.75" hidden="1">
      <c r="A803" s="578"/>
      <c r="B803" s="579"/>
      <c r="C803" s="579"/>
      <c r="D803" s="579"/>
      <c r="E803" s="565"/>
      <c r="F803" s="565"/>
      <c r="G803" s="581"/>
      <c r="H803" s="619" t="s">
        <v>34</v>
      </c>
      <c r="I803" s="166"/>
      <c r="J803" s="44"/>
      <c r="K803" s="167"/>
      <c r="L803" s="167"/>
      <c r="M803" s="167"/>
      <c r="N803" s="167"/>
      <c r="O803" s="167"/>
      <c r="P803" s="167"/>
      <c r="Q803" s="568"/>
      <c r="R803" s="568"/>
      <c r="S803" s="568"/>
      <c r="T803" s="568"/>
      <c r="U803" s="568"/>
      <c r="V803" s="568"/>
      <c r="W803" s="568"/>
      <c r="X803" s="568"/>
      <c r="Y803" s="568"/>
      <c r="Z803" s="568"/>
    </row>
    <row r="804" spans="1:26" ht="19.5" hidden="1">
      <c r="A804" s="757">
        <v>13</v>
      </c>
      <c r="B804" s="758" t="s">
        <v>322</v>
      </c>
      <c r="C804" s="759"/>
      <c r="D804" s="775"/>
      <c r="E804" s="759"/>
      <c r="F804" s="759"/>
      <c r="G804" s="760"/>
      <c r="H804" s="761" t="s">
        <v>46</v>
      </c>
      <c r="I804" s="762"/>
      <c r="J804" s="762">
        <f>J819</f>
        <v>0</v>
      </c>
      <c r="K804" s="763">
        <f>IF(I804&gt;0,J804*100/I804,0)</f>
        <v>0</v>
      </c>
      <c r="L804" s="764"/>
      <c r="M804" s="764"/>
      <c r="N804" s="764"/>
      <c r="O804" s="764"/>
      <c r="P804" s="764"/>
      <c r="Q804" s="568"/>
      <c r="R804" s="568"/>
      <c r="S804" s="568"/>
      <c r="T804" s="568"/>
      <c r="U804" s="568"/>
      <c r="V804" s="568"/>
      <c r="W804" s="568"/>
      <c r="X804" s="568"/>
      <c r="Y804" s="568"/>
      <c r="Z804" s="568"/>
    </row>
    <row r="805" spans="1:26" ht="19.5" hidden="1">
      <c r="A805" s="563"/>
      <c r="B805" s="564"/>
      <c r="C805" s="564" t="s">
        <v>16</v>
      </c>
      <c r="D805" s="812" t="s">
        <v>17</v>
      </c>
      <c r="E805" s="805"/>
      <c r="F805" s="805"/>
      <c r="G805" s="567"/>
      <c r="H805" s="612" t="s">
        <v>12</v>
      </c>
      <c r="I805" s="44"/>
      <c r="J805" s="44"/>
      <c r="K805" s="45"/>
      <c r="L805" s="613">
        <f t="shared" ref="L805:N805" si="372">L806+L807</f>
        <v>0</v>
      </c>
      <c r="M805" s="613">
        <f t="shared" si="372"/>
        <v>0</v>
      </c>
      <c r="N805" s="613">
        <f t="shared" si="372"/>
        <v>0</v>
      </c>
      <c r="O805" s="613">
        <f t="shared" ref="O805:O810" si="373">IF(L805&gt;0,N805*100/L805,0)</f>
        <v>0</v>
      </c>
      <c r="P805" s="613">
        <f t="shared" ref="P805:P810" si="374">IF(M805&gt;0,N805*100/M805,0)</f>
        <v>0</v>
      </c>
      <c r="Q805" s="568"/>
      <c r="R805" s="568"/>
      <c r="S805" s="568"/>
      <c r="T805" s="568"/>
      <c r="U805" s="568"/>
      <c r="V805" s="568"/>
      <c r="W805" s="568"/>
      <c r="X805" s="568"/>
      <c r="Y805" s="568"/>
      <c r="Z805" s="568"/>
    </row>
    <row r="806" spans="1:26" ht="18.75" hidden="1">
      <c r="A806" s="563"/>
      <c r="B806" s="564"/>
      <c r="C806" s="564"/>
      <c r="D806" s="579"/>
      <c r="E806" s="566" t="s">
        <v>184</v>
      </c>
      <c r="F806" s="564"/>
      <c r="G806" s="567"/>
      <c r="H806" s="165" t="s">
        <v>12</v>
      </c>
      <c r="I806" s="44"/>
      <c r="J806" s="44"/>
      <c r="K806" s="45"/>
      <c r="L806" s="45">
        <f t="shared" ref="L806:N806" si="375">L809+L816</f>
        <v>0</v>
      </c>
      <c r="M806" s="45">
        <f t="shared" si="375"/>
        <v>0</v>
      </c>
      <c r="N806" s="45">
        <f t="shared" si="375"/>
        <v>0</v>
      </c>
      <c r="O806" s="45">
        <f t="shared" si="373"/>
        <v>0</v>
      </c>
      <c r="P806" s="45">
        <f t="shared" si="374"/>
        <v>0</v>
      </c>
      <c r="Q806" s="568"/>
      <c r="R806" s="568"/>
      <c r="S806" s="568"/>
      <c r="T806" s="568"/>
      <c r="U806" s="568"/>
      <c r="V806" s="568"/>
      <c r="W806" s="568"/>
      <c r="X806" s="568"/>
      <c r="Y806" s="568"/>
      <c r="Z806" s="568"/>
    </row>
    <row r="807" spans="1:26" ht="18.75" hidden="1">
      <c r="A807" s="563"/>
      <c r="B807" s="564"/>
      <c r="C807" s="564"/>
      <c r="D807" s="579"/>
      <c r="E807" s="566" t="s">
        <v>185</v>
      </c>
      <c r="F807" s="564"/>
      <c r="G807" s="567"/>
      <c r="H807" s="165" t="s">
        <v>12</v>
      </c>
      <c r="I807" s="44"/>
      <c r="J807" s="44"/>
      <c r="K807" s="45"/>
      <c r="L807" s="45">
        <f t="shared" ref="L807:N807" si="376">L810+L817</f>
        <v>0</v>
      </c>
      <c r="M807" s="45">
        <f t="shared" si="376"/>
        <v>0</v>
      </c>
      <c r="N807" s="45">
        <f t="shared" si="376"/>
        <v>0</v>
      </c>
      <c r="O807" s="45">
        <f t="shared" si="373"/>
        <v>0</v>
      </c>
      <c r="P807" s="45">
        <f t="shared" si="374"/>
        <v>0</v>
      </c>
      <c r="Q807" s="568"/>
      <c r="R807" s="568"/>
      <c r="S807" s="568"/>
      <c r="T807" s="568"/>
      <c r="U807" s="568"/>
      <c r="V807" s="568"/>
      <c r="W807" s="568"/>
      <c r="X807" s="568"/>
      <c r="Y807" s="568"/>
      <c r="Z807" s="568"/>
    </row>
    <row r="808" spans="1:26" ht="19.5" hidden="1">
      <c r="A808" s="563"/>
      <c r="B808" s="569"/>
      <c r="C808" s="564"/>
      <c r="D808" s="814" t="s">
        <v>20</v>
      </c>
      <c r="E808" s="805"/>
      <c r="F808" s="805"/>
      <c r="G808" s="567"/>
      <c r="H808" s="612" t="s">
        <v>12</v>
      </c>
      <c r="I808" s="166"/>
      <c r="J808" s="166"/>
      <c r="K808" s="167"/>
      <c r="L808" s="613">
        <f t="shared" ref="L808:N808" si="377">L809+L810</f>
        <v>0</v>
      </c>
      <c r="M808" s="613">
        <f t="shared" si="377"/>
        <v>0</v>
      </c>
      <c r="N808" s="613">
        <f t="shared" si="377"/>
        <v>0</v>
      </c>
      <c r="O808" s="613">
        <f t="shared" si="373"/>
        <v>0</v>
      </c>
      <c r="P808" s="613">
        <f t="shared" si="374"/>
        <v>0</v>
      </c>
      <c r="Q808" s="568"/>
      <c r="R808" s="568"/>
      <c r="S808" s="568"/>
      <c r="T808" s="568"/>
      <c r="U808" s="568"/>
      <c r="V808" s="568"/>
      <c r="W808" s="568"/>
      <c r="X808" s="568"/>
      <c r="Y808" s="568"/>
      <c r="Z808" s="568"/>
    </row>
    <row r="809" spans="1:26" ht="18.75" hidden="1">
      <c r="A809" s="563"/>
      <c r="B809" s="564"/>
      <c r="C809" s="564"/>
      <c r="D809" s="579"/>
      <c r="E809" s="566" t="s">
        <v>184</v>
      </c>
      <c r="F809" s="564"/>
      <c r="G809" s="567"/>
      <c r="H809" s="165" t="s">
        <v>12</v>
      </c>
      <c r="I809" s="44"/>
      <c r="J809" s="44"/>
      <c r="K809" s="45"/>
      <c r="L809" s="93">
        <v>0</v>
      </c>
      <c r="M809" s="93">
        <v>0</v>
      </c>
      <c r="N809" s="93">
        <v>0</v>
      </c>
      <c r="O809" s="45">
        <f t="shared" si="373"/>
        <v>0</v>
      </c>
      <c r="P809" s="45">
        <f t="shared" si="374"/>
        <v>0</v>
      </c>
      <c r="Q809" s="568"/>
      <c r="R809" s="568"/>
      <c r="S809" s="568"/>
      <c r="T809" s="568"/>
      <c r="U809" s="568"/>
      <c r="V809" s="568"/>
      <c r="W809" s="568"/>
      <c r="X809" s="568"/>
      <c r="Y809" s="568"/>
      <c r="Z809" s="568"/>
    </row>
    <row r="810" spans="1:26" ht="18.75" hidden="1">
      <c r="A810" s="563"/>
      <c r="B810" s="564"/>
      <c r="C810" s="564"/>
      <c r="D810" s="579"/>
      <c r="E810" s="566" t="s">
        <v>185</v>
      </c>
      <c r="F810" s="564"/>
      <c r="G810" s="567"/>
      <c r="H810" s="165" t="s">
        <v>12</v>
      </c>
      <c r="I810" s="44"/>
      <c r="J810" s="44"/>
      <c r="K810" s="45"/>
      <c r="L810" s="93">
        <v>0</v>
      </c>
      <c r="M810" s="93">
        <v>0</v>
      </c>
      <c r="N810" s="45">
        <f>N811+N812+N813+N814</f>
        <v>0</v>
      </c>
      <c r="O810" s="45">
        <f t="shared" si="373"/>
        <v>0</v>
      </c>
      <c r="P810" s="45">
        <f t="shared" si="374"/>
        <v>0</v>
      </c>
      <c r="Q810" s="568"/>
      <c r="R810" s="568"/>
      <c r="S810" s="568"/>
      <c r="T810" s="568"/>
      <c r="U810" s="568"/>
      <c r="V810" s="568"/>
      <c r="W810" s="568"/>
      <c r="X810" s="568"/>
      <c r="Y810" s="568"/>
      <c r="Z810" s="568"/>
    </row>
    <row r="811" spans="1:26" ht="18.75" hidden="1">
      <c r="A811" s="615"/>
      <c r="B811" s="569"/>
      <c r="C811" s="564"/>
      <c r="D811" s="569"/>
      <c r="E811" s="564"/>
      <c r="F811" s="566" t="s">
        <v>186</v>
      </c>
      <c r="G811" s="567"/>
      <c r="H811" s="165" t="s">
        <v>12</v>
      </c>
      <c r="I811" s="44"/>
      <c r="J811" s="44"/>
      <c r="K811" s="45"/>
      <c r="L811" s="45"/>
      <c r="M811" s="45"/>
      <c r="N811" s="45"/>
      <c r="O811" s="45"/>
      <c r="P811" s="45"/>
      <c r="Q811" s="568"/>
      <c r="R811" s="568"/>
      <c r="S811" s="568"/>
      <c r="T811" s="568"/>
      <c r="U811" s="568"/>
      <c r="V811" s="568"/>
      <c r="W811" s="568"/>
      <c r="X811" s="568"/>
      <c r="Y811" s="568"/>
      <c r="Z811" s="568"/>
    </row>
    <row r="812" spans="1:26" ht="18.75" hidden="1">
      <c r="A812" s="615"/>
      <c r="B812" s="569"/>
      <c r="C812" s="564"/>
      <c r="D812" s="569"/>
      <c r="E812" s="564"/>
      <c r="F812" s="566" t="s">
        <v>187</v>
      </c>
      <c r="G812" s="567"/>
      <c r="H812" s="165" t="s">
        <v>12</v>
      </c>
      <c r="I812" s="44"/>
      <c r="J812" s="44"/>
      <c r="K812" s="45"/>
      <c r="L812" s="45"/>
      <c r="M812" s="45"/>
      <c r="N812" s="45"/>
      <c r="O812" s="45"/>
      <c r="P812" s="45"/>
      <c r="Q812" s="568"/>
      <c r="R812" s="568"/>
      <c r="S812" s="568"/>
      <c r="T812" s="568"/>
      <c r="U812" s="568"/>
      <c r="V812" s="568"/>
      <c r="W812" s="568"/>
      <c r="X812" s="568"/>
      <c r="Y812" s="568"/>
      <c r="Z812" s="568"/>
    </row>
    <row r="813" spans="1:26" ht="18.75" hidden="1">
      <c r="A813" s="615"/>
      <c r="B813" s="569"/>
      <c r="C813" s="564"/>
      <c r="D813" s="569"/>
      <c r="E813" s="564"/>
      <c r="F813" s="566" t="s">
        <v>188</v>
      </c>
      <c r="G813" s="567"/>
      <c r="H813" s="165" t="s">
        <v>12</v>
      </c>
      <c r="I813" s="44"/>
      <c r="J813" s="44"/>
      <c r="K813" s="45"/>
      <c r="L813" s="45"/>
      <c r="M813" s="45"/>
      <c r="N813" s="45"/>
      <c r="O813" s="45"/>
      <c r="P813" s="45"/>
      <c r="Q813" s="568"/>
      <c r="R813" s="568"/>
      <c r="S813" s="568"/>
      <c r="T813" s="568"/>
      <c r="U813" s="568"/>
      <c r="V813" s="568"/>
      <c r="W813" s="568"/>
      <c r="X813" s="568"/>
      <c r="Y813" s="568"/>
      <c r="Z813" s="568"/>
    </row>
    <row r="814" spans="1:26" ht="18.75" hidden="1">
      <c r="A814" s="615"/>
      <c r="B814" s="569"/>
      <c r="C814" s="564"/>
      <c r="D814" s="569"/>
      <c r="E814" s="564"/>
      <c r="F814" s="566" t="s">
        <v>189</v>
      </c>
      <c r="G814" s="567"/>
      <c r="H814" s="165" t="s">
        <v>12</v>
      </c>
      <c r="I814" s="44"/>
      <c r="J814" s="44"/>
      <c r="K814" s="45"/>
      <c r="L814" s="45"/>
      <c r="M814" s="45"/>
      <c r="N814" s="45"/>
      <c r="O814" s="45"/>
      <c r="P814" s="45"/>
      <c r="Q814" s="568"/>
      <c r="R814" s="568"/>
      <c r="S814" s="568"/>
      <c r="T814" s="568"/>
      <c r="U814" s="568"/>
      <c r="V814" s="568"/>
      <c r="W814" s="568"/>
      <c r="X814" s="568"/>
      <c r="Y814" s="568"/>
      <c r="Z814" s="568"/>
    </row>
    <row r="815" spans="1:26" ht="19.5" hidden="1">
      <c r="A815" s="563"/>
      <c r="B815" s="569"/>
      <c r="C815" s="564"/>
      <c r="D815" s="814" t="s">
        <v>21</v>
      </c>
      <c r="E815" s="805"/>
      <c r="F815" s="805"/>
      <c r="G815" s="567"/>
      <c r="H815" s="747" t="s">
        <v>12</v>
      </c>
      <c r="I815" s="166"/>
      <c r="J815" s="166"/>
      <c r="K815" s="167"/>
      <c r="L815" s="613">
        <f t="shared" ref="L815:N815" si="378">L816+L817</f>
        <v>0</v>
      </c>
      <c r="M815" s="613">
        <f t="shared" si="378"/>
        <v>0</v>
      </c>
      <c r="N815" s="613">
        <f t="shared" si="378"/>
        <v>0</v>
      </c>
      <c r="O815" s="613">
        <f t="shared" ref="O815:O817" si="379">IF(L815&gt;0,N815*100/L815,0)</f>
        <v>0</v>
      </c>
      <c r="P815" s="613">
        <f t="shared" ref="P815:P817" si="380">IF(M815&gt;0,N815*100/M815,0)</f>
        <v>0</v>
      </c>
      <c r="Q815" s="568"/>
      <c r="R815" s="568"/>
      <c r="S815" s="568"/>
      <c r="T815" s="568"/>
      <c r="U815" s="568"/>
      <c r="V815" s="568"/>
      <c r="W815" s="568"/>
      <c r="X815" s="568"/>
      <c r="Y815" s="568"/>
      <c r="Z815" s="568"/>
    </row>
    <row r="816" spans="1:26" ht="18.75" hidden="1">
      <c r="A816" s="563"/>
      <c r="B816" s="569"/>
      <c r="C816" s="564"/>
      <c r="D816" s="569"/>
      <c r="E816" s="566" t="s">
        <v>18</v>
      </c>
      <c r="F816" s="564"/>
      <c r="G816" s="567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45">
        <f t="shared" si="379"/>
        <v>0</v>
      </c>
      <c r="P816" s="45">
        <f t="shared" si="380"/>
        <v>0</v>
      </c>
      <c r="Q816" s="568"/>
      <c r="R816" s="568"/>
      <c r="S816" s="568"/>
      <c r="T816" s="568"/>
      <c r="U816" s="568"/>
      <c r="V816" s="568"/>
      <c r="W816" s="568"/>
      <c r="X816" s="568"/>
      <c r="Y816" s="568"/>
      <c r="Z816" s="568"/>
    </row>
    <row r="817" spans="1:26" ht="18.75" hidden="1">
      <c r="A817" s="563"/>
      <c r="B817" s="569"/>
      <c r="C817" s="564"/>
      <c r="D817" s="569"/>
      <c r="E817" s="566" t="s">
        <v>19</v>
      </c>
      <c r="F817" s="564"/>
      <c r="G817" s="567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45">
        <f t="shared" si="379"/>
        <v>0</v>
      </c>
      <c r="P817" s="45">
        <f t="shared" si="380"/>
        <v>0</v>
      </c>
      <c r="Q817" s="568"/>
      <c r="R817" s="568"/>
      <c r="S817" s="568"/>
      <c r="T817" s="568"/>
      <c r="U817" s="568"/>
      <c r="V817" s="568"/>
      <c r="W817" s="568"/>
      <c r="X817" s="568"/>
      <c r="Y817" s="568"/>
      <c r="Z817" s="568"/>
    </row>
    <row r="818" spans="1:26" ht="19.5" hidden="1">
      <c r="A818" s="578"/>
      <c r="B818" s="579"/>
      <c r="C818" s="564" t="s">
        <v>16</v>
      </c>
      <c r="D818" s="776" t="s">
        <v>38</v>
      </c>
      <c r="E818" s="617"/>
      <c r="F818" s="617"/>
      <c r="G818" s="618"/>
      <c r="H818" s="581"/>
      <c r="I818" s="166"/>
      <c r="J818" s="166"/>
      <c r="K818" s="167"/>
      <c r="L818" s="167"/>
      <c r="M818" s="167"/>
      <c r="N818" s="167"/>
      <c r="O818" s="167"/>
      <c r="P818" s="167"/>
      <c r="Q818" s="568"/>
      <c r="R818" s="568"/>
      <c r="S818" s="568"/>
      <c r="T818" s="568"/>
      <c r="U818" s="568"/>
      <c r="V818" s="568"/>
      <c r="W818" s="568"/>
      <c r="X818" s="568"/>
      <c r="Y818" s="568"/>
      <c r="Z818" s="568"/>
    </row>
    <row r="819" spans="1:26" ht="18.75" hidden="1">
      <c r="A819" s="777"/>
      <c r="B819" s="778"/>
      <c r="C819" s="779"/>
      <c r="D819" s="778"/>
      <c r="E819" s="780" t="s">
        <v>323</v>
      </c>
      <c r="F819" s="779"/>
      <c r="G819" s="781"/>
      <c r="H819" s="782" t="s">
        <v>46</v>
      </c>
      <c r="I819" s="783"/>
      <c r="J819" s="783"/>
      <c r="K819" s="784"/>
      <c r="L819" s="784"/>
      <c r="M819" s="784"/>
      <c r="N819" s="784"/>
      <c r="O819" s="784"/>
      <c r="P819" s="784"/>
      <c r="Q819" s="568"/>
      <c r="R819" s="568"/>
      <c r="S819" s="568"/>
      <c r="T819" s="568"/>
      <c r="U819" s="568"/>
      <c r="V819" s="568"/>
      <c r="W819" s="568"/>
      <c r="X819" s="568"/>
      <c r="Y819" s="568"/>
      <c r="Z819" s="568"/>
    </row>
    <row r="820" spans="1:26" ht="19.5">
      <c r="A820" s="785" t="s">
        <v>324</v>
      </c>
      <c r="B820" s="786"/>
      <c r="C820" s="786"/>
      <c r="D820" s="787"/>
      <c r="E820" s="786"/>
      <c r="F820" s="786"/>
      <c r="G820" s="788"/>
      <c r="H820" s="788"/>
      <c r="I820" s="214"/>
      <c r="J820" s="214"/>
      <c r="K820" s="789"/>
      <c r="L820" s="789"/>
      <c r="M820" s="789"/>
      <c r="N820" s="789"/>
      <c r="O820" s="789"/>
      <c r="P820" s="789"/>
      <c r="Q820" s="541"/>
      <c r="R820" s="541"/>
      <c r="S820" s="541"/>
      <c r="T820" s="541"/>
      <c r="U820" s="541"/>
      <c r="V820" s="541"/>
      <c r="W820" s="541"/>
      <c r="X820" s="541"/>
      <c r="Y820" s="541"/>
      <c r="Z820" s="541"/>
    </row>
    <row r="821" spans="1:26" ht="18.75">
      <c r="A821" s="708"/>
      <c r="B821" s="540" t="s">
        <v>325</v>
      </c>
      <c r="C821" s="539"/>
      <c r="D821" s="538"/>
      <c r="E821" s="539"/>
      <c r="F821" s="539"/>
      <c r="G821" s="189"/>
      <c r="H821" s="36" t="s">
        <v>12</v>
      </c>
      <c r="I821" s="37">
        <f ca="1">IFERROR(__xludf.DUMMYFUNCTION("IMPORTRANGE(""https://docs.google.com/spreadsheets/d/1KxicF4apzSqm0-jIpmueT4kyZtE-Cwn5zskl7GD4loQ/edit?usp=share_link"",""กำแพงเพชร!I821"")+IMPORTRANGE(""https://docs.google.com/spreadsheets/d/1ZNYWeiFoFA1K1U4xKWqRX29MBvEyRHXORjo734Gnq_c/edit?usp=share_li"&amp;"nk"",""เชียงราย!I821"")
+IMPORTRANGE(""https://docs.google.com/spreadsheets/d/1Jgv0Y7YlHDtsiDawwp-uvifEJ8HVaSn0k2aGHG8-hwM/edit?usp=share_link"",""เชียงใหม่!I821"")+IMPORTRANGE(""https://docs.google.com/spreadsheets/d/1JWG2rZePOz9pe-f-ObA-yDr0VoOX2kSb0qIi"&amp;"x2mTUo8/edit?usp=share_link"",""ตาก!I821"")+IMPORTRANGE(""https://docs.google.com/spreadsheets/d/10nSRjK08hx8Y6HgSOQKNw81lyY46Zc7U_Cj72hBMp9U/edit?usp=share_link"",""นครสวรรค์!I821"")+IMPORTRANGE(""https://docs.google.com/spreadsheets/d/1gFVb7qd7amutrIxAA"&amp;"oM7lcy35hllxznovot8lyOfvDo/edit?usp=share_link"",""น่าน!I821"")+IMPORTRANGE(""https://docs.google.com/spreadsheets/d/1K0Aa9s-6EuHE5M0FG1F9aHLXRCOV917xvycTdLdct0w/edit?usp=share_link"",""พะเยา!I821"")+IMPORTRANGE(""https://docs.google.com/spreadsheets/d/1Y"&amp;"9LPKx95PyL5OKy09d-KbKJSuuEZCFdkhYjwC0XQjBA/edit?usp=share_link"",""พิจิตร!I821"")+IMPORTRANGE(""https://docs.google.com/spreadsheets/d/16OMuOwy2eVqZcYWOouQtTpa8X1L23h4660uVHc0C8os/edit?usp=share_link"",""พิษณุโลก!I821"")+IMPORTRANGE(""https://docs.google."&amp;"com/spreadsheets/d/1GfgTldLG6k77HXaMQzaafODklYuucJZQNs_GAPEfZyY/edit?usp=share_link"",""เพชรบูรณ์!I821"")+IMPORTRANGE(""https://docs.google.com/spreadsheets/d/1gvTMYAnm7v1yG1BKWFtr0DnaTsq59oW9dwWvFgq6hs0/edit?usp=share_link"",""แพร่!I821"")+IMPORTRANGE("""&amp;"https://docs.google.com/spreadsheets/d/1Wbcosgy-Xa1xXUArJSOenub6EfZHUSzc_bpJFWwQUf0/edit?usp=share_link"",""แม่ฮ่องสอน!I821"")+IMPORTRANGE(""https://docs.google.com/spreadsheets/d/1p7ERhsr0qZeSn-KSOdeHS9r0heI-lHtkcn2OH7hP0jQ/edit?usp=share_link"",""ลำปาง!"&amp;"I821"")+IMPORTRANGE(""https://docs.google.com/spreadsheets/d/1-uUXvimVhiU2U0bMN-xi2te0tS4X7DI2GLPnMjzl8cA/edit?usp=share_link"",""ลำพูน!I821"")+IMPORTRANGE(""https://docs.google.com/spreadsheets/d/17HrOaa5pBUI1onckFfumXB8xlg35qb2uBAFfF1D-Myo/edit?usp=shar"&amp;"e_link"",""สุโขทัย!I821"")+IMPORTRANGE(""https://docs.google.com/spreadsheets/d/1ubs5cl16eYL9gHbdHTJtmtYb9MGzHBs7CAphn8kNCgM/edit?usp=share_link"",""อุตรดิตถ์!I821"")+IMPORTRANGE(""https://docs.google.com/spreadsheets/d/1kII0BjS6CtVrBvI8IrytgPdxDrlyQDyigz"&amp;"MsohRtDMs/edit?usp=share_link"",""อุทัยธานี!I821"")
"),93816647.71)</f>
        <v>93816647.709999993</v>
      </c>
      <c r="J821" s="37">
        <f ca="1">IFERROR(__xludf.DUMMYFUNCTION("IMPORTRANGE(""https://docs.google.com/spreadsheets/d/1KxicF4apzSqm0-jIpmueT4kyZtE-Cwn5zskl7GD4loQ/edit?usp=share_link"",""กำแพงเพชร!J821"")+IMPORTRANGE(""https://docs.google.com/spreadsheets/d/1ZNYWeiFoFA1K1U4xKWqRX29MBvEyRHXORjo734Gnq_c/edit?usp=share_li"&amp;"nk"",""เชียงราย!J821"")
+IMPORTRANGE(""https://docs.google.com/spreadsheets/d/1Jgv0Y7YlHDtsiDawwp-uvifEJ8HVaSn0k2aGHG8-hwM/edit?usp=share_link"",""เชียงใหม่!J821"")+IMPORTRANGE(""https://docs.google.com/spreadsheets/d/1JWG2rZePOz9pe-f-ObA-yDr0VoOX2kSb0qIi"&amp;"x2mTUo8/edit?usp=share_link"",""ตาก!J821"")+IMPORTRANGE(""https://docs.google.com/spreadsheets/d/10nSRjK08hx8Y6HgSOQKNw81lyY46Zc7U_Cj72hBMp9U/edit?usp=share_link"",""นครสวรรค์!J821"")+IMPORTRANGE(""https://docs.google.com/spreadsheets/d/1gFVb7qd7amutrIxAA"&amp;"oM7lcy35hllxznovot8lyOfvDo/edit?usp=share_link"",""น่าน!J821"")+IMPORTRANGE(""https://docs.google.com/spreadsheets/d/1K0Aa9s-6EuHE5M0FG1F9aHLXRCOV917xvycTdLdct0w/edit?usp=share_link"",""พะเยา!J821"")+IMPORTRANGE(""https://docs.google.com/spreadsheets/d/1Y"&amp;"9LPKx95PyL5OKy09d-KbKJSuuEZCFdkhYjwC0XQjBA/edit?usp=share_link"",""พิจิตร!J821"")+IMPORTRANGE(""https://docs.google.com/spreadsheets/d/16OMuOwy2eVqZcYWOouQtTpa8X1L23h4660uVHc0C8os/edit?usp=share_link"",""พิษณุโลก!J821"")+IMPORTRANGE(""https://docs.google."&amp;"com/spreadsheets/d/1GfgTldLG6k77HXaMQzaafODklYuucJZQNs_GAPEfZyY/edit?usp=share_link"",""เพชรบูรณ์!J821"")+IMPORTRANGE(""https://docs.google.com/spreadsheets/d/1gvTMYAnm7v1yG1BKWFtr0DnaTsq59oW9dwWvFgq6hs0/edit?usp=share_link"",""แพร่!J821"")+IMPORTRANGE("""&amp;"https://docs.google.com/spreadsheets/d/1Wbcosgy-Xa1xXUArJSOenub6EfZHUSzc_bpJFWwQUf0/edit?usp=share_link"",""แม่ฮ่องสอน!J821"")+IMPORTRANGE(""https://docs.google.com/spreadsheets/d/1p7ERhsr0qZeSn-KSOdeHS9r0heI-lHtkcn2OH7hP0jQ/edit?usp=share_link"",""ลำปาง!"&amp;"J821"")+IMPORTRANGE(""https://docs.google.com/spreadsheets/d/1-uUXvimVhiU2U0bMN-xi2te0tS4X7DI2GLPnMjzl8cA/edit?usp=share_link"",""ลำพูน!J821"")+IMPORTRANGE(""https://docs.google.com/spreadsheets/d/17HrOaa5pBUI1onckFfumXB8xlg35qb2uBAFfF1D-Myo/edit?usp=shar"&amp;"e_link"",""สุโขทัย!J821"")+IMPORTRANGE(""https://docs.google.com/spreadsheets/d/1ubs5cl16eYL9gHbdHTJtmtYb9MGzHBs7CAphn8kNCgM/edit?usp=share_link"",""อุตรดิตถ์!J821"")+IMPORTRANGE(""https://docs.google.com/spreadsheets/d/1kII0BjS6CtVrBvI8IrytgPdxDrlyQDyigz"&amp;"MsohRtDMs/edit?usp=share_link"",""อุทัยธานี!J821"")
"),513149.74)</f>
        <v>513149.74</v>
      </c>
      <c r="K821" s="38">
        <f t="shared" ref="K821:K828" ca="1" si="381">IF(I821&gt;0,J821*100/I821,0)</f>
        <v>0.54697087619908946</v>
      </c>
      <c r="L821" s="38"/>
      <c r="M821" s="38"/>
      <c r="N821" s="38"/>
      <c r="O821" s="38"/>
      <c r="P821" s="38"/>
      <c r="Q821" s="541"/>
      <c r="R821" s="541"/>
      <c r="S821" s="541"/>
      <c r="T821" s="541"/>
      <c r="U821" s="541"/>
      <c r="V821" s="541"/>
      <c r="W821" s="541"/>
      <c r="X821" s="541"/>
      <c r="Y821" s="541"/>
      <c r="Z821" s="541"/>
    </row>
    <row r="822" spans="1:26" ht="18.75">
      <c r="A822" s="708"/>
      <c r="B822" s="539"/>
      <c r="C822" s="539"/>
      <c r="D822" s="538"/>
      <c r="E822" s="539"/>
      <c r="F822" s="539"/>
      <c r="G822" s="189"/>
      <c r="H822" s="36" t="s">
        <v>35</v>
      </c>
      <c r="I822" s="37">
        <f ca="1">IFERROR(__xludf.DUMMYFUNCTION("IMPORTRANGE(""https://docs.google.com/spreadsheets/d/1KxicF4apzSqm0-jIpmueT4kyZtE-Cwn5zskl7GD4loQ/edit?usp=share_link"",""กำแพงเพชร!I822"")+IMPORTRANGE(""https://docs.google.com/spreadsheets/d/1ZNYWeiFoFA1K1U4xKWqRX29MBvEyRHXORjo734Gnq_c/edit?usp=share_li"&amp;"nk"",""เชียงราย!I822"")
+IMPORTRANGE(""https://docs.google.com/spreadsheets/d/1Jgv0Y7YlHDtsiDawwp-uvifEJ8HVaSn0k2aGHG8-hwM/edit?usp=share_link"",""เชียงใหม่!I822"")+IMPORTRANGE(""https://docs.google.com/spreadsheets/d/1JWG2rZePOz9pe-f-ObA-yDr0VoOX2kSb0qIi"&amp;"x2mTUo8/edit?usp=share_link"",""ตาก!I822"")+IMPORTRANGE(""https://docs.google.com/spreadsheets/d/10nSRjK08hx8Y6HgSOQKNw81lyY46Zc7U_Cj72hBMp9U/edit?usp=share_link"",""นครสวรรค์!I822"")+IMPORTRANGE(""https://docs.google.com/spreadsheets/d/1gFVb7qd7amutrIxAA"&amp;"oM7lcy35hllxznovot8lyOfvDo/edit?usp=share_link"",""น่าน!I822"")+IMPORTRANGE(""https://docs.google.com/spreadsheets/d/1K0Aa9s-6EuHE5M0FG1F9aHLXRCOV917xvycTdLdct0w/edit?usp=share_link"",""พะเยา!I822"")+IMPORTRANGE(""https://docs.google.com/spreadsheets/d/1Y"&amp;"9LPKx95PyL5OKy09d-KbKJSuuEZCFdkhYjwC0XQjBA/edit?usp=share_link"",""พิจิตร!I822"")+IMPORTRANGE(""https://docs.google.com/spreadsheets/d/16OMuOwy2eVqZcYWOouQtTpa8X1L23h4660uVHc0C8os/edit?usp=share_link"",""พิษณุโลก!I822"")+IMPORTRANGE(""https://docs.google."&amp;"com/spreadsheets/d/1GfgTldLG6k77HXaMQzaafODklYuucJZQNs_GAPEfZyY/edit?usp=share_link"",""เพชรบูรณ์!I822"")+IMPORTRANGE(""https://docs.google.com/spreadsheets/d/1gvTMYAnm7v1yG1BKWFtr0DnaTsq59oW9dwWvFgq6hs0/edit?usp=share_link"",""แพร่!I822"")+IMPORTRANGE("""&amp;"https://docs.google.com/spreadsheets/d/1Wbcosgy-Xa1xXUArJSOenub6EfZHUSzc_bpJFWwQUf0/edit?usp=share_link"",""แม่ฮ่องสอน!I822"")+IMPORTRANGE(""https://docs.google.com/spreadsheets/d/1p7ERhsr0qZeSn-KSOdeHS9r0heI-lHtkcn2OH7hP0jQ/edit?usp=share_link"",""ลำปาง!"&amp;"I822"")+IMPORTRANGE(""https://docs.google.com/spreadsheets/d/1-uUXvimVhiU2U0bMN-xi2te0tS4X7DI2GLPnMjzl8cA/edit?usp=share_link"",""ลำพูน!I822"")+IMPORTRANGE(""https://docs.google.com/spreadsheets/d/17HrOaa5pBUI1onckFfumXB8xlg35qb2uBAFfF1D-Myo/edit?usp=shar"&amp;"e_link"",""สุโขทัย!I822"")+IMPORTRANGE(""https://docs.google.com/spreadsheets/d/1ubs5cl16eYL9gHbdHTJtmtYb9MGzHBs7CAphn8kNCgM/edit?usp=share_link"",""อุตรดิตถ์!I822"")+IMPORTRANGE(""https://docs.google.com/spreadsheets/d/1kII0BjS6CtVrBvI8IrytgPdxDrlyQDyigz"&amp;"MsohRtDMs/edit?usp=share_link"",""อุทัยธานี!I822"")
"),4449)</f>
        <v>4449</v>
      </c>
      <c r="J822" s="37">
        <f ca="1">IFERROR(__xludf.DUMMYFUNCTION("IMPORTRANGE(""https://docs.google.com/spreadsheets/d/1KxicF4apzSqm0-jIpmueT4kyZtE-Cwn5zskl7GD4loQ/edit?usp=share_link"",""กำแพงเพชร!J822"")+IMPORTRANGE(""https://docs.google.com/spreadsheets/d/1ZNYWeiFoFA1K1U4xKWqRX29MBvEyRHXORjo734Gnq_c/edit?usp=share_li"&amp;"nk"",""เชียงราย!J822"")
+IMPORTRANGE(""https://docs.google.com/spreadsheets/d/1Jgv0Y7YlHDtsiDawwp-uvifEJ8HVaSn0k2aGHG8-hwM/edit?usp=share_link"",""เชียงใหม่!J822"")+IMPORTRANGE(""https://docs.google.com/spreadsheets/d/1JWG2rZePOz9pe-f-ObA-yDr0VoOX2kSb0qIi"&amp;"x2mTUo8/edit?usp=share_link"",""ตาก!J822"")+IMPORTRANGE(""https://docs.google.com/spreadsheets/d/10nSRjK08hx8Y6HgSOQKNw81lyY46Zc7U_Cj72hBMp9U/edit?usp=share_link"",""นครสวรรค์!J822"")+IMPORTRANGE(""https://docs.google.com/spreadsheets/d/1gFVb7qd7amutrIxAA"&amp;"oM7lcy35hllxznovot8lyOfvDo/edit?usp=share_link"",""น่าน!J822"")+IMPORTRANGE(""https://docs.google.com/spreadsheets/d/1K0Aa9s-6EuHE5M0FG1F9aHLXRCOV917xvycTdLdct0w/edit?usp=share_link"",""พะเยา!J822"")+IMPORTRANGE(""https://docs.google.com/spreadsheets/d/1Y"&amp;"9LPKx95PyL5OKy09d-KbKJSuuEZCFdkhYjwC0XQjBA/edit?usp=share_link"",""พิจิตร!J822"")+IMPORTRANGE(""https://docs.google.com/spreadsheets/d/16OMuOwy2eVqZcYWOouQtTpa8X1L23h4660uVHc0C8os/edit?usp=share_link"",""พิษณุโลก!J822"")+IMPORTRANGE(""https://docs.google."&amp;"com/spreadsheets/d/1GfgTldLG6k77HXaMQzaafODklYuucJZQNs_GAPEfZyY/edit?usp=share_link"",""เพชรบูรณ์!J822"")+IMPORTRANGE(""https://docs.google.com/spreadsheets/d/1gvTMYAnm7v1yG1BKWFtr0DnaTsq59oW9dwWvFgq6hs0/edit?usp=share_link"",""แพร่!J822"")+IMPORTRANGE("""&amp;"https://docs.google.com/spreadsheets/d/1Wbcosgy-Xa1xXUArJSOenub6EfZHUSzc_bpJFWwQUf0/edit?usp=share_link"",""แม่ฮ่องสอน!J822"")+IMPORTRANGE(""https://docs.google.com/spreadsheets/d/1p7ERhsr0qZeSn-KSOdeHS9r0heI-lHtkcn2OH7hP0jQ/edit?usp=share_link"",""ลำปาง!"&amp;"J822"")+IMPORTRANGE(""https://docs.google.com/spreadsheets/d/1-uUXvimVhiU2U0bMN-xi2te0tS4X7DI2GLPnMjzl8cA/edit?usp=share_link"",""ลำพูน!J822"")+IMPORTRANGE(""https://docs.google.com/spreadsheets/d/17HrOaa5pBUI1onckFfumXB8xlg35qb2uBAFfF1D-Myo/edit?usp=shar"&amp;"e_link"",""สุโขทัย!J822"")+IMPORTRANGE(""https://docs.google.com/spreadsheets/d/1ubs5cl16eYL9gHbdHTJtmtYb9MGzHBs7CAphn8kNCgM/edit?usp=share_link"",""อุตรดิตถ์!J822"")+IMPORTRANGE(""https://docs.google.com/spreadsheets/d/1kII0BjS6CtVrBvI8IrytgPdxDrlyQDyigz"&amp;"MsohRtDMs/edit?usp=share_link"",""อุทัยธานี!J822"")
"),33)</f>
        <v>33</v>
      </c>
      <c r="K822" s="38">
        <f t="shared" ca="1" si="381"/>
        <v>0.74173971679028994</v>
      </c>
      <c r="L822" s="38"/>
      <c r="M822" s="38"/>
      <c r="N822" s="38"/>
      <c r="O822" s="38"/>
      <c r="P822" s="38"/>
      <c r="Q822" s="541"/>
      <c r="R822" s="541"/>
      <c r="S822" s="541"/>
      <c r="T822" s="541"/>
      <c r="U822" s="541"/>
      <c r="V822" s="541"/>
      <c r="W822" s="541"/>
      <c r="X822" s="541"/>
      <c r="Y822" s="541"/>
      <c r="Z822" s="541"/>
    </row>
    <row r="823" spans="1:26" ht="18.75">
      <c r="A823" s="708"/>
      <c r="B823" s="540" t="s">
        <v>326</v>
      </c>
      <c r="C823" s="539"/>
      <c r="D823" s="538"/>
      <c r="E823" s="539"/>
      <c r="F823" s="539"/>
      <c r="G823" s="189"/>
      <c r="H823" s="36" t="s">
        <v>12</v>
      </c>
      <c r="I823" s="37">
        <f ca="1">IFERROR(__xludf.DUMMYFUNCTION("IMPORTRANGE(""https://docs.google.com/spreadsheets/d/1KxicF4apzSqm0-jIpmueT4kyZtE-Cwn5zskl7GD4loQ/edit?usp=share_link"",""กำแพงเพชร!I823"")+IMPORTRANGE(""https://docs.google.com/spreadsheets/d/1ZNYWeiFoFA1K1U4xKWqRX29MBvEyRHXORjo734Gnq_c/edit?usp=share_li"&amp;"nk"",""เชียงราย!I823"")
+IMPORTRANGE(""https://docs.google.com/spreadsheets/d/1Jgv0Y7YlHDtsiDawwp-uvifEJ8HVaSn0k2aGHG8-hwM/edit?usp=share_link"",""เชียงใหม่!I823"")+IMPORTRANGE(""https://docs.google.com/spreadsheets/d/1JWG2rZePOz9pe-f-ObA-yDr0VoOX2kSb0qIi"&amp;"x2mTUo8/edit?usp=share_link"",""ตาก!I823"")+IMPORTRANGE(""https://docs.google.com/spreadsheets/d/10nSRjK08hx8Y6HgSOQKNw81lyY46Zc7U_Cj72hBMp9U/edit?usp=share_link"",""นครสวรรค์!I823"")+IMPORTRANGE(""https://docs.google.com/spreadsheets/d/1gFVb7qd7amutrIxAA"&amp;"oM7lcy35hllxznovot8lyOfvDo/edit?usp=share_link"",""น่าน!I823"")+IMPORTRANGE(""https://docs.google.com/spreadsheets/d/1K0Aa9s-6EuHE5M0FG1F9aHLXRCOV917xvycTdLdct0w/edit?usp=share_link"",""พะเยา!I823"")+IMPORTRANGE(""https://docs.google.com/spreadsheets/d/1Y"&amp;"9LPKx95PyL5OKy09d-KbKJSuuEZCFdkhYjwC0XQjBA/edit?usp=share_link"",""พิจิตร!I823"")+IMPORTRANGE(""https://docs.google.com/spreadsheets/d/16OMuOwy2eVqZcYWOouQtTpa8X1L23h4660uVHc0C8os/edit?usp=share_link"",""พิษณุโลก!I823"")+IMPORTRANGE(""https://docs.google."&amp;"com/spreadsheets/d/1GfgTldLG6k77HXaMQzaafODklYuucJZQNs_GAPEfZyY/edit?usp=share_link"",""เพชรบูรณ์!I823"")+IMPORTRANGE(""https://docs.google.com/spreadsheets/d/1gvTMYAnm7v1yG1BKWFtr0DnaTsq59oW9dwWvFgq6hs0/edit?usp=share_link"",""แพร่!I823"")+IMPORTRANGE("""&amp;"https://docs.google.com/spreadsheets/d/1Wbcosgy-Xa1xXUArJSOenub6EfZHUSzc_bpJFWwQUf0/edit?usp=share_link"",""แม่ฮ่องสอน!I823"")+IMPORTRANGE(""https://docs.google.com/spreadsheets/d/1p7ERhsr0qZeSn-KSOdeHS9r0heI-lHtkcn2OH7hP0jQ/edit?usp=share_link"",""ลำปาง!"&amp;"I823"")+IMPORTRANGE(""https://docs.google.com/spreadsheets/d/1-uUXvimVhiU2U0bMN-xi2te0tS4X7DI2GLPnMjzl8cA/edit?usp=share_link"",""ลำพูน!I823"")+IMPORTRANGE(""https://docs.google.com/spreadsheets/d/17HrOaa5pBUI1onckFfumXB8xlg35qb2uBAFfF1D-Myo/edit?usp=shar"&amp;"e_link"",""สุโขทัย!I823"")+IMPORTRANGE(""https://docs.google.com/spreadsheets/d/1ubs5cl16eYL9gHbdHTJtmtYb9MGzHBs7CAphn8kNCgM/edit?usp=share_link"",""อุตรดิตถ์!I823"")+IMPORTRANGE(""https://docs.google.com/spreadsheets/d/1kII0BjS6CtVrBvI8IrytgPdxDrlyQDyigz"&amp;"MsohRtDMs/edit?usp=share_link"",""อุทัยธานี!I823"")
"),126388061.13)</f>
        <v>126388061.13</v>
      </c>
      <c r="J823" s="37">
        <f ca="1">IFERROR(__xludf.DUMMYFUNCTION("IMPORTRANGE(""https://docs.google.com/spreadsheets/d/1KxicF4apzSqm0-jIpmueT4kyZtE-Cwn5zskl7GD4loQ/edit?usp=share_link"",""กำแพงเพชร!J823"")+IMPORTRANGE(""https://docs.google.com/spreadsheets/d/1ZNYWeiFoFA1K1U4xKWqRX29MBvEyRHXORjo734Gnq_c/edit?usp=share_li"&amp;"nk"",""เชียงราย!J823"")
+IMPORTRANGE(""https://docs.google.com/spreadsheets/d/1Jgv0Y7YlHDtsiDawwp-uvifEJ8HVaSn0k2aGHG8-hwM/edit?usp=share_link"",""เชียงใหม่!J823"")+IMPORTRANGE(""https://docs.google.com/spreadsheets/d/1JWG2rZePOz9pe-f-ObA-yDr0VoOX2kSb0qIi"&amp;"x2mTUo8/edit?usp=share_link"",""ตาก!J823"")+IMPORTRANGE(""https://docs.google.com/spreadsheets/d/10nSRjK08hx8Y6HgSOQKNw81lyY46Zc7U_Cj72hBMp9U/edit?usp=share_link"",""นครสวรรค์!J823"")+IMPORTRANGE(""https://docs.google.com/spreadsheets/d/1gFVb7qd7amutrIxAA"&amp;"oM7lcy35hllxznovot8lyOfvDo/edit?usp=share_link"",""น่าน!J823"")+IMPORTRANGE(""https://docs.google.com/spreadsheets/d/1K0Aa9s-6EuHE5M0FG1F9aHLXRCOV917xvycTdLdct0w/edit?usp=share_link"",""พะเยา!J823"")+IMPORTRANGE(""https://docs.google.com/spreadsheets/d/1Y"&amp;"9LPKx95PyL5OKy09d-KbKJSuuEZCFdkhYjwC0XQjBA/edit?usp=share_link"",""พิจิตร!J823"")+IMPORTRANGE(""https://docs.google.com/spreadsheets/d/16OMuOwy2eVqZcYWOouQtTpa8X1L23h4660uVHc0C8os/edit?usp=share_link"",""พิษณุโลก!J823"")+IMPORTRANGE(""https://docs.google."&amp;"com/spreadsheets/d/1GfgTldLG6k77HXaMQzaafODklYuucJZQNs_GAPEfZyY/edit?usp=share_link"",""เพชรบูรณ์!J823"")+IMPORTRANGE(""https://docs.google.com/spreadsheets/d/1gvTMYAnm7v1yG1BKWFtr0DnaTsq59oW9dwWvFgq6hs0/edit?usp=share_link"",""แพร่!J823"")+IMPORTRANGE("""&amp;"https://docs.google.com/spreadsheets/d/1Wbcosgy-Xa1xXUArJSOenub6EfZHUSzc_bpJFWwQUf0/edit?usp=share_link"",""แม่ฮ่องสอน!J823"")+IMPORTRANGE(""https://docs.google.com/spreadsheets/d/1p7ERhsr0qZeSn-KSOdeHS9r0heI-lHtkcn2OH7hP0jQ/edit?usp=share_link"",""ลำปาง!"&amp;"J823"")+IMPORTRANGE(""https://docs.google.com/spreadsheets/d/1-uUXvimVhiU2U0bMN-xi2te0tS4X7DI2GLPnMjzl8cA/edit?usp=share_link"",""ลำพูน!J823"")+IMPORTRANGE(""https://docs.google.com/spreadsheets/d/17HrOaa5pBUI1onckFfumXB8xlg35qb2uBAFfF1D-Myo/edit?usp=shar"&amp;"e_link"",""สุโขทัย!J823"")+IMPORTRANGE(""https://docs.google.com/spreadsheets/d/1ubs5cl16eYL9gHbdHTJtmtYb9MGzHBs7CAphn8kNCgM/edit?usp=share_link"",""อุตรดิตถ์!J823"")+IMPORTRANGE(""https://docs.google.com/spreadsheets/d/1kII0BjS6CtVrBvI8IrytgPdxDrlyQDyigz"&amp;"MsohRtDMs/edit?usp=share_link"",""อุทัยธานี!J823"")
"),1562866.36999999)</f>
        <v>1562866.3699999901</v>
      </c>
      <c r="K823" s="38">
        <f t="shared" ca="1" si="381"/>
        <v>1.2365617100435302</v>
      </c>
      <c r="L823" s="38"/>
      <c r="M823" s="38"/>
      <c r="N823" s="38"/>
      <c r="O823" s="38"/>
      <c r="P823" s="38"/>
      <c r="Q823" s="541"/>
      <c r="R823" s="541"/>
      <c r="S823" s="541"/>
      <c r="T823" s="541"/>
      <c r="U823" s="541"/>
      <c r="V823" s="541"/>
      <c r="W823" s="541"/>
      <c r="X823" s="541"/>
      <c r="Y823" s="541"/>
      <c r="Z823" s="541"/>
    </row>
    <row r="824" spans="1:26" ht="18.75">
      <c r="A824" s="708"/>
      <c r="B824" s="539"/>
      <c r="C824" s="539"/>
      <c r="D824" s="538"/>
      <c r="E824" s="539"/>
      <c r="F824" s="539"/>
      <c r="G824" s="189"/>
      <c r="H824" s="36" t="s">
        <v>35</v>
      </c>
      <c r="I824" s="37">
        <f ca="1">IFERROR(__xludf.DUMMYFUNCTION("IMPORTRANGE(""https://docs.google.com/spreadsheets/d/1KxicF4apzSqm0-jIpmueT4kyZtE-Cwn5zskl7GD4loQ/edit?usp=share_link"",""กำแพงเพชร!I824"")+IMPORTRANGE(""https://docs.google.com/spreadsheets/d/1ZNYWeiFoFA1K1U4xKWqRX29MBvEyRHXORjo734Gnq_c/edit?usp=share_li"&amp;"nk"",""เชียงราย!I824"")
+IMPORTRANGE(""https://docs.google.com/spreadsheets/d/1Jgv0Y7YlHDtsiDawwp-uvifEJ8HVaSn0k2aGHG8-hwM/edit?usp=share_link"",""เชียงใหม่!I824"")+IMPORTRANGE(""https://docs.google.com/spreadsheets/d/1JWG2rZePOz9pe-f-ObA-yDr0VoOX2kSb0qIi"&amp;"x2mTUo8/edit?usp=share_link"",""ตาก!I824"")+IMPORTRANGE(""https://docs.google.com/spreadsheets/d/10nSRjK08hx8Y6HgSOQKNw81lyY46Zc7U_Cj72hBMp9U/edit?usp=share_link"",""นครสวรรค์!I824"")+IMPORTRANGE(""https://docs.google.com/spreadsheets/d/1gFVb7qd7amutrIxAA"&amp;"oM7lcy35hllxznovot8lyOfvDo/edit?usp=share_link"",""น่าน!I824"")+IMPORTRANGE(""https://docs.google.com/spreadsheets/d/1K0Aa9s-6EuHE5M0FG1F9aHLXRCOV917xvycTdLdct0w/edit?usp=share_link"",""พะเยา!I824"")+IMPORTRANGE(""https://docs.google.com/spreadsheets/d/1Y"&amp;"9LPKx95PyL5OKy09d-KbKJSuuEZCFdkhYjwC0XQjBA/edit?usp=share_link"",""พิจิตร!I824"")+IMPORTRANGE(""https://docs.google.com/spreadsheets/d/16OMuOwy2eVqZcYWOouQtTpa8X1L23h4660uVHc0C8os/edit?usp=share_link"",""พิษณุโลก!I824"")+IMPORTRANGE(""https://docs.google."&amp;"com/spreadsheets/d/1GfgTldLG6k77HXaMQzaafODklYuucJZQNs_GAPEfZyY/edit?usp=share_link"",""เพชรบูรณ์!I824"")+IMPORTRANGE(""https://docs.google.com/spreadsheets/d/1gvTMYAnm7v1yG1BKWFtr0DnaTsq59oW9dwWvFgq6hs0/edit?usp=share_link"",""แพร่!I824"")+IMPORTRANGE("""&amp;"https://docs.google.com/spreadsheets/d/1Wbcosgy-Xa1xXUArJSOenub6EfZHUSzc_bpJFWwQUf0/edit?usp=share_link"",""แม่ฮ่องสอน!I824"")+IMPORTRANGE(""https://docs.google.com/spreadsheets/d/1p7ERhsr0qZeSn-KSOdeHS9r0heI-lHtkcn2OH7hP0jQ/edit?usp=share_link"",""ลำปาง!"&amp;"I824"")+IMPORTRANGE(""https://docs.google.com/spreadsheets/d/1-uUXvimVhiU2U0bMN-xi2te0tS4X7DI2GLPnMjzl8cA/edit?usp=share_link"",""ลำพูน!I824"")+IMPORTRANGE(""https://docs.google.com/spreadsheets/d/17HrOaa5pBUI1onckFfumXB8xlg35qb2uBAFfF1D-Myo/edit?usp=shar"&amp;"e_link"",""สุโขทัย!I824"")+IMPORTRANGE(""https://docs.google.com/spreadsheets/d/1ubs5cl16eYL9gHbdHTJtmtYb9MGzHBs7CAphn8kNCgM/edit?usp=share_link"",""อุตรดิตถ์!I824"")+IMPORTRANGE(""https://docs.google.com/spreadsheets/d/1kII0BjS6CtVrBvI8IrytgPdxDrlyQDyigz"&amp;"MsohRtDMs/edit?usp=share_link"",""อุทัยธานี!I824"")
"),4417)</f>
        <v>4417</v>
      </c>
      <c r="J824" s="37">
        <f ca="1">IFERROR(__xludf.DUMMYFUNCTION("IMPORTRANGE(""https://docs.google.com/spreadsheets/d/1KxicF4apzSqm0-jIpmueT4kyZtE-Cwn5zskl7GD4loQ/edit?usp=share_link"",""กำแพงเพชร!J824"")+IMPORTRANGE(""https://docs.google.com/spreadsheets/d/1ZNYWeiFoFA1K1U4xKWqRX29MBvEyRHXORjo734Gnq_c/edit?usp=share_li"&amp;"nk"",""เชียงราย!J824"")
+IMPORTRANGE(""https://docs.google.com/spreadsheets/d/1Jgv0Y7YlHDtsiDawwp-uvifEJ8HVaSn0k2aGHG8-hwM/edit?usp=share_link"",""เชียงใหม่!J824"")+IMPORTRANGE(""https://docs.google.com/spreadsheets/d/1JWG2rZePOz9pe-f-ObA-yDr0VoOX2kSb0qIi"&amp;"x2mTUo8/edit?usp=share_link"",""ตาก!J824"")+IMPORTRANGE(""https://docs.google.com/spreadsheets/d/10nSRjK08hx8Y6HgSOQKNw81lyY46Zc7U_Cj72hBMp9U/edit?usp=share_link"",""นครสวรรค์!J824"")+IMPORTRANGE(""https://docs.google.com/spreadsheets/d/1gFVb7qd7amutrIxAA"&amp;"oM7lcy35hllxznovot8lyOfvDo/edit?usp=share_link"",""น่าน!J824"")+IMPORTRANGE(""https://docs.google.com/spreadsheets/d/1K0Aa9s-6EuHE5M0FG1F9aHLXRCOV917xvycTdLdct0w/edit?usp=share_link"",""พะเยา!J824"")+IMPORTRANGE(""https://docs.google.com/spreadsheets/d/1Y"&amp;"9LPKx95PyL5OKy09d-KbKJSuuEZCFdkhYjwC0XQjBA/edit?usp=share_link"",""พิจิตร!J824"")+IMPORTRANGE(""https://docs.google.com/spreadsheets/d/16OMuOwy2eVqZcYWOouQtTpa8X1L23h4660uVHc0C8os/edit?usp=share_link"",""พิษณุโลก!J824"")+IMPORTRANGE(""https://docs.google."&amp;"com/spreadsheets/d/1GfgTldLG6k77HXaMQzaafODklYuucJZQNs_GAPEfZyY/edit?usp=share_link"",""เพชรบูรณ์!J824"")+IMPORTRANGE(""https://docs.google.com/spreadsheets/d/1gvTMYAnm7v1yG1BKWFtr0DnaTsq59oW9dwWvFgq6hs0/edit?usp=share_link"",""แพร่!J824"")+IMPORTRANGE("""&amp;"https://docs.google.com/spreadsheets/d/1Wbcosgy-Xa1xXUArJSOenub6EfZHUSzc_bpJFWwQUf0/edit?usp=share_link"",""แม่ฮ่องสอน!J824"")+IMPORTRANGE(""https://docs.google.com/spreadsheets/d/1p7ERhsr0qZeSn-KSOdeHS9r0heI-lHtkcn2OH7hP0jQ/edit?usp=share_link"",""ลำปาง!"&amp;"J824"")+IMPORTRANGE(""https://docs.google.com/spreadsheets/d/1-uUXvimVhiU2U0bMN-xi2te0tS4X7DI2GLPnMjzl8cA/edit?usp=share_link"",""ลำพูน!J824"")+IMPORTRANGE(""https://docs.google.com/spreadsheets/d/17HrOaa5pBUI1onckFfumXB8xlg35qb2uBAFfF1D-Myo/edit?usp=shar"&amp;"e_link"",""สุโขทัย!J824"")+IMPORTRANGE(""https://docs.google.com/spreadsheets/d/1ubs5cl16eYL9gHbdHTJtmtYb9MGzHBs7CAphn8kNCgM/edit?usp=share_link"",""อุตรดิตถ์!J824"")+IMPORTRANGE(""https://docs.google.com/spreadsheets/d/1kII0BjS6CtVrBvI8IrytgPdxDrlyQDyigz"&amp;"MsohRtDMs/edit?usp=share_link"",""อุทัยธานี!J824"")
"),233)</f>
        <v>233</v>
      </c>
      <c r="K824" s="38">
        <f t="shared" ca="1" si="381"/>
        <v>5.2750735793525019</v>
      </c>
      <c r="L824" s="38"/>
      <c r="M824" s="38"/>
      <c r="N824" s="38"/>
      <c r="O824" s="38"/>
      <c r="P824" s="38"/>
      <c r="Q824" s="541"/>
      <c r="R824" s="541"/>
      <c r="S824" s="541"/>
      <c r="T824" s="541"/>
      <c r="U824" s="541"/>
      <c r="V824" s="541"/>
      <c r="W824" s="541"/>
      <c r="X824" s="541"/>
      <c r="Y824" s="541"/>
      <c r="Z824" s="541"/>
    </row>
    <row r="825" spans="1:26" ht="18.75">
      <c r="A825" s="708"/>
      <c r="B825" s="540" t="s">
        <v>327</v>
      </c>
      <c r="C825" s="539"/>
      <c r="D825" s="538"/>
      <c r="E825" s="539"/>
      <c r="F825" s="539"/>
      <c r="G825" s="189"/>
      <c r="H825" s="36" t="s">
        <v>12</v>
      </c>
      <c r="I825" s="37">
        <f ca="1">IFERROR(__xludf.DUMMYFUNCTION("IMPORTRANGE(""https://docs.google.com/spreadsheets/d/1KxicF4apzSqm0-jIpmueT4kyZtE-Cwn5zskl7GD4loQ/edit?usp=share_link"",""กำแพงเพชร!I825"")+IMPORTRANGE(""https://docs.google.com/spreadsheets/d/1ZNYWeiFoFA1K1U4xKWqRX29MBvEyRHXORjo734Gnq_c/edit?usp=share_li"&amp;"nk"",""เชียงราย!I825"")
+IMPORTRANGE(""https://docs.google.com/spreadsheets/d/1Jgv0Y7YlHDtsiDawwp-uvifEJ8HVaSn0k2aGHG8-hwM/edit?usp=share_link"",""เชียงใหม่!I825"")+IMPORTRANGE(""https://docs.google.com/spreadsheets/d/1JWG2rZePOz9pe-f-ObA-yDr0VoOX2kSb0qIi"&amp;"x2mTUo8/edit?usp=share_link"",""ตาก!I825"")+IMPORTRANGE(""https://docs.google.com/spreadsheets/d/10nSRjK08hx8Y6HgSOQKNw81lyY46Zc7U_Cj72hBMp9U/edit?usp=share_link"",""นครสวรรค์!I825"")+IMPORTRANGE(""https://docs.google.com/spreadsheets/d/1gFVb7qd7amutrIxAA"&amp;"oM7lcy35hllxznovot8lyOfvDo/edit?usp=share_link"",""น่าน!I825"")+IMPORTRANGE(""https://docs.google.com/spreadsheets/d/1K0Aa9s-6EuHE5M0FG1F9aHLXRCOV917xvycTdLdct0w/edit?usp=share_link"",""พะเยา!I825"")+IMPORTRANGE(""https://docs.google.com/spreadsheets/d/1Y"&amp;"9LPKx95PyL5OKy09d-KbKJSuuEZCFdkhYjwC0XQjBA/edit?usp=share_link"",""พิจิตร!I825"")+IMPORTRANGE(""https://docs.google.com/spreadsheets/d/16OMuOwy2eVqZcYWOouQtTpa8X1L23h4660uVHc0C8os/edit?usp=share_link"",""พิษณุโลก!I825"")+IMPORTRANGE(""https://docs.google."&amp;"com/spreadsheets/d/1GfgTldLG6k77HXaMQzaafODklYuucJZQNs_GAPEfZyY/edit?usp=share_link"",""เพชรบูรณ์!I825"")+IMPORTRANGE(""https://docs.google.com/spreadsheets/d/1gvTMYAnm7v1yG1BKWFtr0DnaTsq59oW9dwWvFgq6hs0/edit?usp=share_link"",""แพร่!I825"")+IMPORTRANGE("""&amp;"https://docs.google.com/spreadsheets/d/1Wbcosgy-Xa1xXUArJSOenub6EfZHUSzc_bpJFWwQUf0/edit?usp=share_link"",""แม่ฮ่องสอน!I825"")+IMPORTRANGE(""https://docs.google.com/spreadsheets/d/1p7ERhsr0qZeSn-KSOdeHS9r0heI-lHtkcn2OH7hP0jQ/edit?usp=share_link"",""ลำปาง!"&amp;"I825"")+IMPORTRANGE(""https://docs.google.com/spreadsheets/d/1-uUXvimVhiU2U0bMN-xi2te0tS4X7DI2GLPnMjzl8cA/edit?usp=share_link"",""ลำพูน!I825"")+IMPORTRANGE(""https://docs.google.com/spreadsheets/d/17HrOaa5pBUI1onckFfumXB8xlg35qb2uBAFfF1D-Myo/edit?usp=shar"&amp;"e_link"",""สุโขทัย!I825"")+IMPORTRANGE(""https://docs.google.com/spreadsheets/d/1ubs5cl16eYL9gHbdHTJtmtYb9MGzHBs7CAphn8kNCgM/edit?usp=share_link"",""อุตรดิตถ์!I825"")+IMPORTRANGE(""https://docs.google.com/spreadsheets/d/1kII0BjS6CtVrBvI8IrytgPdxDrlyQDyigz"&amp;"MsohRtDMs/edit?usp=share_link"",""อุทัยธานี!I825"")
"),46035939.34)</f>
        <v>46035939.340000004</v>
      </c>
      <c r="J825" s="37">
        <f ca="1">IFERROR(__xludf.DUMMYFUNCTION("IMPORTRANGE(""https://docs.google.com/spreadsheets/d/1KxicF4apzSqm0-jIpmueT4kyZtE-Cwn5zskl7GD4loQ/edit?usp=share_link"",""กำแพงเพชร!J825"")+IMPORTRANGE(""https://docs.google.com/spreadsheets/d/1ZNYWeiFoFA1K1U4xKWqRX29MBvEyRHXORjo734Gnq_c/edit?usp=share_li"&amp;"nk"",""เชียงราย!J825"")
+IMPORTRANGE(""https://docs.google.com/spreadsheets/d/1Jgv0Y7YlHDtsiDawwp-uvifEJ8HVaSn0k2aGHG8-hwM/edit?usp=share_link"",""เชียงใหม่!J825"")+IMPORTRANGE(""https://docs.google.com/spreadsheets/d/1JWG2rZePOz9pe-f-ObA-yDr0VoOX2kSb0qIi"&amp;"x2mTUo8/edit?usp=share_link"",""ตาก!J825"")+IMPORTRANGE(""https://docs.google.com/spreadsheets/d/10nSRjK08hx8Y6HgSOQKNw81lyY46Zc7U_Cj72hBMp9U/edit?usp=share_link"",""นครสวรรค์!J825"")+IMPORTRANGE(""https://docs.google.com/spreadsheets/d/1gFVb7qd7amutrIxAA"&amp;"oM7lcy35hllxznovot8lyOfvDo/edit?usp=share_link"",""น่าน!J825"")+IMPORTRANGE(""https://docs.google.com/spreadsheets/d/1K0Aa9s-6EuHE5M0FG1F9aHLXRCOV917xvycTdLdct0w/edit?usp=share_link"",""พะเยา!J825"")+IMPORTRANGE(""https://docs.google.com/spreadsheets/d/1Y"&amp;"9LPKx95PyL5OKy09d-KbKJSuuEZCFdkhYjwC0XQjBA/edit?usp=share_link"",""พิจิตร!J825"")+IMPORTRANGE(""https://docs.google.com/spreadsheets/d/16OMuOwy2eVqZcYWOouQtTpa8X1L23h4660uVHc0C8os/edit?usp=share_link"",""พิษณุโลก!J825"")+IMPORTRANGE(""https://docs.google."&amp;"com/spreadsheets/d/1GfgTldLG6k77HXaMQzaafODklYuucJZQNs_GAPEfZyY/edit?usp=share_link"",""เพชรบูรณ์!J825"")+IMPORTRANGE(""https://docs.google.com/spreadsheets/d/1gvTMYAnm7v1yG1BKWFtr0DnaTsq59oW9dwWvFgq6hs0/edit?usp=share_link"",""แพร่!J825"")+IMPORTRANGE("""&amp;"https://docs.google.com/spreadsheets/d/1Wbcosgy-Xa1xXUArJSOenub6EfZHUSzc_bpJFWwQUf0/edit?usp=share_link"",""แม่ฮ่องสอน!J825"")+IMPORTRANGE(""https://docs.google.com/spreadsheets/d/1p7ERhsr0qZeSn-KSOdeHS9r0heI-lHtkcn2OH7hP0jQ/edit?usp=share_link"",""ลำปาง!"&amp;"J825"")+IMPORTRANGE(""https://docs.google.com/spreadsheets/d/1-uUXvimVhiU2U0bMN-xi2te0tS4X7DI2GLPnMjzl8cA/edit?usp=share_link"",""ลำพูน!J825"")+IMPORTRANGE(""https://docs.google.com/spreadsheets/d/17HrOaa5pBUI1onckFfumXB8xlg35qb2uBAFfF1D-Myo/edit?usp=shar"&amp;"e_link"",""สุโขทัย!J825"")+IMPORTRANGE(""https://docs.google.com/spreadsheets/d/1ubs5cl16eYL9gHbdHTJtmtYb9MGzHBs7CAphn8kNCgM/edit?usp=share_link"",""อุตรดิตถ์!J825"")+IMPORTRANGE(""https://docs.google.com/spreadsheets/d/1kII0BjS6CtVrBvI8IrytgPdxDrlyQDyigz"&amp;"MsohRtDMs/edit?usp=share_link"",""อุทัยธานี!J825"")
"),1385889.11999999)</f>
        <v>1385889.1199999901</v>
      </c>
      <c r="K825" s="38">
        <f t="shared" ca="1" si="381"/>
        <v>3.0104503999895793</v>
      </c>
      <c r="L825" s="38"/>
      <c r="M825" s="38"/>
      <c r="N825" s="38"/>
      <c r="O825" s="38"/>
      <c r="P825" s="38"/>
      <c r="Q825" s="541"/>
      <c r="R825" s="541"/>
      <c r="S825" s="541"/>
      <c r="T825" s="541"/>
      <c r="U825" s="541"/>
      <c r="V825" s="541"/>
      <c r="W825" s="541"/>
      <c r="X825" s="541"/>
      <c r="Y825" s="541"/>
      <c r="Z825" s="541"/>
    </row>
    <row r="826" spans="1:26" ht="18.75">
      <c r="A826" s="708"/>
      <c r="B826" s="539"/>
      <c r="C826" s="539"/>
      <c r="D826" s="538"/>
      <c r="E826" s="539"/>
      <c r="F826" s="539"/>
      <c r="G826" s="189"/>
      <c r="H826" s="36" t="s">
        <v>35</v>
      </c>
      <c r="I826" s="37">
        <f ca="1">IFERROR(__xludf.DUMMYFUNCTION("IMPORTRANGE(""https://docs.google.com/spreadsheets/d/1KxicF4apzSqm0-jIpmueT4kyZtE-Cwn5zskl7GD4loQ/edit?usp=share_link"",""กำแพงเพชร!I826"")+IMPORTRANGE(""https://docs.google.com/spreadsheets/d/1ZNYWeiFoFA1K1U4xKWqRX29MBvEyRHXORjo734Gnq_c/edit?usp=share_li"&amp;"nk"",""เชียงราย!I826"")
+IMPORTRANGE(""https://docs.google.com/spreadsheets/d/1Jgv0Y7YlHDtsiDawwp-uvifEJ8HVaSn0k2aGHG8-hwM/edit?usp=share_link"",""เชียงใหม่!I826"")+IMPORTRANGE(""https://docs.google.com/spreadsheets/d/1JWG2rZePOz9pe-f-ObA-yDr0VoOX2kSb0qIi"&amp;"x2mTUo8/edit?usp=share_link"",""ตาก!I826"")+IMPORTRANGE(""https://docs.google.com/spreadsheets/d/10nSRjK08hx8Y6HgSOQKNw81lyY46Zc7U_Cj72hBMp9U/edit?usp=share_link"",""นครสวรรค์!I826"")+IMPORTRANGE(""https://docs.google.com/spreadsheets/d/1gFVb7qd7amutrIxAA"&amp;"oM7lcy35hllxznovot8lyOfvDo/edit?usp=share_link"",""น่าน!I826"")+IMPORTRANGE(""https://docs.google.com/spreadsheets/d/1K0Aa9s-6EuHE5M0FG1F9aHLXRCOV917xvycTdLdct0w/edit?usp=share_link"",""พะเยา!I826"")+IMPORTRANGE(""https://docs.google.com/spreadsheets/d/1Y"&amp;"9LPKx95PyL5OKy09d-KbKJSuuEZCFdkhYjwC0XQjBA/edit?usp=share_link"",""พิจิตร!I826"")+IMPORTRANGE(""https://docs.google.com/spreadsheets/d/16OMuOwy2eVqZcYWOouQtTpa8X1L23h4660uVHc0C8os/edit?usp=share_link"",""พิษณุโลก!I826"")+IMPORTRANGE(""https://docs.google."&amp;"com/spreadsheets/d/1GfgTldLG6k77HXaMQzaafODklYuucJZQNs_GAPEfZyY/edit?usp=share_link"",""เพชรบูรณ์!I826"")+IMPORTRANGE(""https://docs.google.com/spreadsheets/d/1gvTMYAnm7v1yG1BKWFtr0DnaTsq59oW9dwWvFgq6hs0/edit?usp=share_link"",""แพร่!I826"")+IMPORTRANGE("""&amp;"https://docs.google.com/spreadsheets/d/1Wbcosgy-Xa1xXUArJSOenub6EfZHUSzc_bpJFWwQUf0/edit?usp=share_link"",""แม่ฮ่องสอน!I826"")+IMPORTRANGE(""https://docs.google.com/spreadsheets/d/1p7ERhsr0qZeSn-KSOdeHS9r0heI-lHtkcn2OH7hP0jQ/edit?usp=share_link"",""ลำปาง!"&amp;"I826"")+IMPORTRANGE(""https://docs.google.com/spreadsheets/d/1-uUXvimVhiU2U0bMN-xi2te0tS4X7DI2GLPnMjzl8cA/edit?usp=share_link"",""ลำพูน!I826"")+IMPORTRANGE(""https://docs.google.com/spreadsheets/d/17HrOaa5pBUI1onckFfumXB8xlg35qb2uBAFfF1D-Myo/edit?usp=shar"&amp;"e_link"",""สุโขทัย!I826"")+IMPORTRANGE(""https://docs.google.com/spreadsheets/d/1ubs5cl16eYL9gHbdHTJtmtYb9MGzHBs7CAphn8kNCgM/edit?usp=share_link"",""อุตรดิตถ์!I826"")+IMPORTRANGE(""https://docs.google.com/spreadsheets/d/1kII0BjS6CtVrBvI8IrytgPdxDrlyQDyigz"&amp;"MsohRtDMs/edit?usp=share_link"",""อุทัยธานี!I826"")
"),3284)</f>
        <v>3284</v>
      </c>
      <c r="J826" s="37">
        <f ca="1">IFERROR(__xludf.DUMMYFUNCTION("IMPORTRANGE(""https://docs.google.com/spreadsheets/d/1KxicF4apzSqm0-jIpmueT4kyZtE-Cwn5zskl7GD4loQ/edit?usp=share_link"",""กำแพงเพชร!J826"")+IMPORTRANGE(""https://docs.google.com/spreadsheets/d/1ZNYWeiFoFA1K1U4xKWqRX29MBvEyRHXORjo734Gnq_c/edit?usp=share_li"&amp;"nk"",""เชียงราย!J826"")
+IMPORTRANGE(""https://docs.google.com/spreadsheets/d/1Jgv0Y7YlHDtsiDawwp-uvifEJ8HVaSn0k2aGHG8-hwM/edit?usp=share_link"",""เชียงใหม่!J826"")+IMPORTRANGE(""https://docs.google.com/spreadsheets/d/1JWG2rZePOz9pe-f-ObA-yDr0VoOX2kSb0qIi"&amp;"x2mTUo8/edit?usp=share_link"",""ตาก!J826"")+IMPORTRANGE(""https://docs.google.com/spreadsheets/d/10nSRjK08hx8Y6HgSOQKNw81lyY46Zc7U_Cj72hBMp9U/edit?usp=share_link"",""นครสวรรค์!J826"")+IMPORTRANGE(""https://docs.google.com/spreadsheets/d/1gFVb7qd7amutrIxAA"&amp;"oM7lcy35hllxznovot8lyOfvDo/edit?usp=share_link"",""น่าน!J826"")+IMPORTRANGE(""https://docs.google.com/spreadsheets/d/1K0Aa9s-6EuHE5M0FG1F9aHLXRCOV917xvycTdLdct0w/edit?usp=share_link"",""พะเยา!J826"")+IMPORTRANGE(""https://docs.google.com/spreadsheets/d/1Y"&amp;"9LPKx95PyL5OKy09d-KbKJSuuEZCFdkhYjwC0XQjBA/edit?usp=share_link"",""พิจิตร!J826"")+IMPORTRANGE(""https://docs.google.com/spreadsheets/d/16OMuOwy2eVqZcYWOouQtTpa8X1L23h4660uVHc0C8os/edit?usp=share_link"",""พิษณุโลก!J826"")+IMPORTRANGE(""https://docs.google."&amp;"com/spreadsheets/d/1GfgTldLG6k77HXaMQzaafODklYuucJZQNs_GAPEfZyY/edit?usp=share_link"",""เพชรบูรณ์!J826"")+IMPORTRANGE(""https://docs.google.com/spreadsheets/d/1gvTMYAnm7v1yG1BKWFtr0DnaTsq59oW9dwWvFgq6hs0/edit?usp=share_link"",""แพร่!J826"")+IMPORTRANGE("""&amp;"https://docs.google.com/spreadsheets/d/1Wbcosgy-Xa1xXUArJSOenub6EfZHUSzc_bpJFWwQUf0/edit?usp=share_link"",""แม่ฮ่องสอน!J826"")+IMPORTRANGE(""https://docs.google.com/spreadsheets/d/1p7ERhsr0qZeSn-KSOdeHS9r0heI-lHtkcn2OH7hP0jQ/edit?usp=share_link"",""ลำปาง!"&amp;"J826"")+IMPORTRANGE(""https://docs.google.com/spreadsheets/d/1-uUXvimVhiU2U0bMN-xi2te0tS4X7DI2GLPnMjzl8cA/edit?usp=share_link"",""ลำพูน!J826"")+IMPORTRANGE(""https://docs.google.com/spreadsheets/d/17HrOaa5pBUI1onckFfumXB8xlg35qb2uBAFfF1D-Myo/edit?usp=shar"&amp;"e_link"",""สุโขทัย!J826"")+IMPORTRANGE(""https://docs.google.com/spreadsheets/d/1ubs5cl16eYL9gHbdHTJtmtYb9MGzHBs7CAphn8kNCgM/edit?usp=share_link"",""อุตรดิตถ์!J826"")+IMPORTRANGE(""https://docs.google.com/spreadsheets/d/1kII0BjS6CtVrBvI8IrytgPdxDrlyQDyigz"&amp;"MsohRtDMs/edit?usp=share_link"",""อุทัยธานี!J826"")
"),155)</f>
        <v>155</v>
      </c>
      <c r="K826" s="38">
        <f t="shared" ca="1" si="381"/>
        <v>4.7198538367844094</v>
      </c>
      <c r="L826" s="38"/>
      <c r="M826" s="38"/>
      <c r="N826" s="38"/>
      <c r="O826" s="38"/>
      <c r="P826" s="38"/>
      <c r="Q826" s="541"/>
      <c r="R826" s="541"/>
      <c r="S826" s="541"/>
      <c r="T826" s="541"/>
      <c r="U826" s="541"/>
      <c r="V826" s="541"/>
      <c r="W826" s="541"/>
      <c r="X826" s="541"/>
      <c r="Y826" s="541"/>
      <c r="Z826" s="541"/>
    </row>
    <row r="827" spans="1:26" ht="18.75">
      <c r="A827" s="708"/>
      <c r="B827" s="540" t="s">
        <v>328</v>
      </c>
      <c r="C827" s="539"/>
      <c r="D827" s="538"/>
      <c r="E827" s="539"/>
      <c r="F827" s="539"/>
      <c r="G827" s="189"/>
      <c r="H827" s="36" t="s">
        <v>12</v>
      </c>
      <c r="I827" s="37">
        <f ca="1">IFERROR(__xludf.DUMMYFUNCTION("IMPORTRANGE(""https://docs.google.com/spreadsheets/d/1KxicF4apzSqm0-jIpmueT4kyZtE-Cwn5zskl7GD4loQ/edit?usp=share_link"",""กำแพงเพชร!I827"")+IMPORTRANGE(""https://docs.google.com/spreadsheets/d/1ZNYWeiFoFA1K1U4xKWqRX29MBvEyRHXORjo734Gnq_c/edit?usp=share_li"&amp;"nk"",""เชียงราย!I827"")
+IMPORTRANGE(""https://docs.google.com/spreadsheets/d/1Jgv0Y7YlHDtsiDawwp-uvifEJ8HVaSn0k2aGHG8-hwM/edit?usp=share_link"",""เชียงใหม่!I827"")+IMPORTRANGE(""https://docs.google.com/spreadsheets/d/1JWG2rZePOz9pe-f-ObA-yDr0VoOX2kSb0qIi"&amp;"x2mTUo8/edit?usp=share_link"",""ตาก!I827"")+IMPORTRANGE(""https://docs.google.com/spreadsheets/d/10nSRjK08hx8Y6HgSOQKNw81lyY46Zc7U_Cj72hBMp9U/edit?usp=share_link"",""นครสวรรค์!I827"")+IMPORTRANGE(""https://docs.google.com/spreadsheets/d/1gFVb7qd7amutrIxAA"&amp;"oM7lcy35hllxznovot8lyOfvDo/edit?usp=share_link"",""น่าน!I827"")+IMPORTRANGE(""https://docs.google.com/spreadsheets/d/1K0Aa9s-6EuHE5M0FG1F9aHLXRCOV917xvycTdLdct0w/edit?usp=share_link"",""พะเยา!I827"")+IMPORTRANGE(""https://docs.google.com/spreadsheets/d/1Y"&amp;"9LPKx95PyL5OKy09d-KbKJSuuEZCFdkhYjwC0XQjBA/edit?usp=share_link"",""พิจิตร!I827"")+IMPORTRANGE(""https://docs.google.com/spreadsheets/d/16OMuOwy2eVqZcYWOouQtTpa8X1L23h4660uVHc0C8os/edit?usp=share_link"",""พิษณุโลก!I827"")+IMPORTRANGE(""https://docs.google."&amp;"com/spreadsheets/d/1GfgTldLG6k77HXaMQzaafODklYuucJZQNs_GAPEfZyY/edit?usp=share_link"",""เพชรบูรณ์!I827"")+IMPORTRANGE(""https://docs.google.com/spreadsheets/d/1gvTMYAnm7v1yG1BKWFtr0DnaTsq59oW9dwWvFgq6hs0/edit?usp=share_link"",""แพร่!I827"")+IMPORTRANGE("""&amp;"https://docs.google.com/spreadsheets/d/1Wbcosgy-Xa1xXUArJSOenub6EfZHUSzc_bpJFWwQUf0/edit?usp=share_link"",""แม่ฮ่องสอน!I827"")+IMPORTRANGE(""https://docs.google.com/spreadsheets/d/1p7ERhsr0qZeSn-KSOdeHS9r0heI-lHtkcn2OH7hP0jQ/edit?usp=share_link"",""ลำปาง!"&amp;"I827"")+IMPORTRANGE(""https://docs.google.com/spreadsheets/d/1-uUXvimVhiU2U0bMN-xi2te0tS4X7DI2GLPnMjzl8cA/edit?usp=share_link"",""ลำพูน!I827"")+IMPORTRANGE(""https://docs.google.com/spreadsheets/d/17HrOaa5pBUI1onckFfumXB8xlg35qb2uBAFfF1D-Myo/edit?usp=shar"&amp;"e_link"",""สุโขทัย!I827"")+IMPORTRANGE(""https://docs.google.com/spreadsheets/d/1ubs5cl16eYL9gHbdHTJtmtYb9MGzHBs7CAphn8kNCgM/edit?usp=share_link"",""อุตรดิตถ์!I827"")+IMPORTRANGE(""https://docs.google.com/spreadsheets/d/1kII0BjS6CtVrBvI8IrytgPdxDrlyQDyigz"&amp;"MsohRtDMs/edit?usp=share_link"",""อุทัยธานี!I827"")
"),95075000)</f>
        <v>95075000</v>
      </c>
      <c r="J827" s="37">
        <f ca="1">IFERROR(__xludf.DUMMYFUNCTION("IMPORTRANGE(""https://docs.google.com/spreadsheets/d/1KxicF4apzSqm0-jIpmueT4kyZtE-Cwn5zskl7GD4loQ/edit?usp=share_link"",""กำแพงเพชร!J827"")+IMPORTRANGE(""https://docs.google.com/spreadsheets/d/1ZNYWeiFoFA1K1U4xKWqRX29MBvEyRHXORjo734Gnq_c/edit?usp=share_li"&amp;"nk"",""เชียงราย!J827"")
+IMPORTRANGE(""https://docs.google.com/spreadsheets/d/1Jgv0Y7YlHDtsiDawwp-uvifEJ8HVaSn0k2aGHG8-hwM/edit?usp=share_link"",""เชียงใหม่!J827"")+IMPORTRANGE(""https://docs.google.com/spreadsheets/d/1JWG2rZePOz9pe-f-ObA-yDr0VoOX2kSb0qIi"&amp;"x2mTUo8/edit?usp=share_link"",""ตาก!J827"")+IMPORTRANGE(""https://docs.google.com/spreadsheets/d/10nSRjK08hx8Y6HgSOQKNw81lyY46Zc7U_Cj72hBMp9U/edit?usp=share_link"",""นครสวรรค์!J827"")+IMPORTRANGE(""https://docs.google.com/spreadsheets/d/1gFVb7qd7amutrIxAA"&amp;"oM7lcy35hllxznovot8lyOfvDo/edit?usp=share_link"",""น่าน!J827"")+IMPORTRANGE(""https://docs.google.com/spreadsheets/d/1K0Aa9s-6EuHE5M0FG1F9aHLXRCOV917xvycTdLdct0w/edit?usp=share_link"",""พะเยา!J827"")+IMPORTRANGE(""https://docs.google.com/spreadsheets/d/1Y"&amp;"9LPKx95PyL5OKy09d-KbKJSuuEZCFdkhYjwC0XQjBA/edit?usp=share_link"",""พิจิตร!J827"")+IMPORTRANGE(""https://docs.google.com/spreadsheets/d/16OMuOwy2eVqZcYWOouQtTpa8X1L23h4660uVHc0C8os/edit?usp=share_link"",""พิษณุโลก!J827"")+IMPORTRANGE(""https://docs.google."&amp;"com/spreadsheets/d/1GfgTldLG6k77HXaMQzaafODklYuucJZQNs_GAPEfZyY/edit?usp=share_link"",""เพชรบูรณ์!J827"")+IMPORTRANGE(""https://docs.google.com/spreadsheets/d/1gvTMYAnm7v1yG1BKWFtr0DnaTsq59oW9dwWvFgq6hs0/edit?usp=share_link"",""แพร่!J827"")+IMPORTRANGE("""&amp;"https://docs.google.com/spreadsheets/d/1Wbcosgy-Xa1xXUArJSOenub6EfZHUSzc_bpJFWwQUf0/edit?usp=share_link"",""แม่ฮ่องสอน!J827"")+IMPORTRANGE(""https://docs.google.com/spreadsheets/d/1p7ERhsr0qZeSn-KSOdeHS9r0heI-lHtkcn2OH7hP0jQ/edit?usp=share_link"",""ลำปาง!"&amp;"J827"")+IMPORTRANGE(""https://docs.google.com/spreadsheets/d/1-uUXvimVhiU2U0bMN-xi2te0tS4X7DI2GLPnMjzl8cA/edit?usp=share_link"",""ลำพูน!J827"")+IMPORTRANGE(""https://docs.google.com/spreadsheets/d/17HrOaa5pBUI1onckFfumXB8xlg35qb2uBAFfF1D-Myo/edit?usp=shar"&amp;"e_link"",""สุโขทัย!J827"")+IMPORTRANGE(""https://docs.google.com/spreadsheets/d/1ubs5cl16eYL9gHbdHTJtmtYb9MGzHBs7CAphn8kNCgM/edit?usp=share_link"",""อุตรดิตถ์!J827"")+IMPORTRANGE(""https://docs.google.com/spreadsheets/d/1kII0BjS6CtVrBvI8IrytgPdxDrlyQDyigz"&amp;"MsohRtDMs/edit?usp=share_link"",""อุทัยธานี!J827"")
"),0)</f>
        <v>0</v>
      </c>
      <c r="K827" s="38">
        <f t="shared" ca="1" si="381"/>
        <v>0</v>
      </c>
      <c r="L827" s="38"/>
      <c r="M827" s="38"/>
      <c r="N827" s="38"/>
      <c r="O827" s="38"/>
      <c r="P827" s="38"/>
      <c r="Q827" s="541"/>
      <c r="R827" s="541"/>
      <c r="S827" s="541"/>
      <c r="T827" s="541"/>
      <c r="U827" s="541"/>
      <c r="V827" s="541"/>
      <c r="W827" s="541"/>
      <c r="X827" s="541"/>
      <c r="Y827" s="541"/>
      <c r="Z827" s="541"/>
    </row>
    <row r="828" spans="1:26" ht="18.75">
      <c r="A828" s="711"/>
      <c r="B828" s="713"/>
      <c r="C828" s="713"/>
      <c r="D828" s="712"/>
      <c r="E828" s="713"/>
      <c r="F828" s="713"/>
      <c r="G828" s="790"/>
      <c r="H828" s="791" t="s">
        <v>35</v>
      </c>
      <c r="I828" s="468">
        <f ca="1">IFERROR(__xludf.DUMMYFUNCTION("IMPORTRANGE(""https://docs.google.com/spreadsheets/d/1KxicF4apzSqm0-jIpmueT4kyZtE-Cwn5zskl7GD4loQ/edit?usp=share_link"",""กำแพงเพชร!I828"")+IMPORTRANGE(""https://docs.google.com/spreadsheets/d/1ZNYWeiFoFA1K1U4xKWqRX29MBvEyRHXORjo734Gnq_c/edit?usp=share_li"&amp;"nk"",""เชียงราย!I828"")
+IMPORTRANGE(""https://docs.google.com/spreadsheets/d/1Jgv0Y7YlHDtsiDawwp-uvifEJ8HVaSn0k2aGHG8-hwM/edit?usp=share_link"",""เชียงใหม่!I828"")+IMPORTRANGE(""https://docs.google.com/spreadsheets/d/1JWG2rZePOz9pe-f-ObA-yDr0VoOX2kSb0qIi"&amp;"x2mTUo8/edit?usp=share_link"",""ตาก!I828"")+IMPORTRANGE(""https://docs.google.com/spreadsheets/d/10nSRjK08hx8Y6HgSOQKNw81lyY46Zc7U_Cj72hBMp9U/edit?usp=share_link"",""นครสวรรค์!I828"")+IMPORTRANGE(""https://docs.google.com/spreadsheets/d/1gFVb7qd7amutrIxAA"&amp;"oM7lcy35hllxznovot8lyOfvDo/edit?usp=share_link"",""น่าน!I828"")+IMPORTRANGE(""https://docs.google.com/spreadsheets/d/1K0Aa9s-6EuHE5M0FG1F9aHLXRCOV917xvycTdLdct0w/edit?usp=share_link"",""พะเยา!I828"")+IMPORTRANGE(""https://docs.google.com/spreadsheets/d/1Y"&amp;"9LPKx95PyL5OKy09d-KbKJSuuEZCFdkhYjwC0XQjBA/edit?usp=share_link"",""พิจิตร!I828"")+IMPORTRANGE(""https://docs.google.com/spreadsheets/d/16OMuOwy2eVqZcYWOouQtTpa8X1L23h4660uVHc0C8os/edit?usp=share_link"",""พิษณุโลก!I828"")+IMPORTRANGE(""https://docs.google."&amp;"com/spreadsheets/d/1GfgTldLG6k77HXaMQzaafODklYuucJZQNs_GAPEfZyY/edit?usp=share_link"",""เพชรบูรณ์!I828"")+IMPORTRANGE(""https://docs.google.com/spreadsheets/d/1gvTMYAnm7v1yG1BKWFtr0DnaTsq59oW9dwWvFgq6hs0/edit?usp=share_link"",""แพร่!I828"")+IMPORTRANGE("""&amp;"https://docs.google.com/spreadsheets/d/1Wbcosgy-Xa1xXUArJSOenub6EfZHUSzc_bpJFWwQUf0/edit?usp=share_link"",""แม่ฮ่องสอน!I828"")+IMPORTRANGE(""https://docs.google.com/spreadsheets/d/1p7ERhsr0qZeSn-KSOdeHS9r0heI-lHtkcn2OH7hP0jQ/edit?usp=share_link"",""ลำปาง!"&amp;"I828"")+IMPORTRANGE(""https://docs.google.com/spreadsheets/d/1-uUXvimVhiU2U0bMN-xi2te0tS4X7DI2GLPnMjzl8cA/edit?usp=share_link"",""ลำพูน!I828"")+IMPORTRANGE(""https://docs.google.com/spreadsheets/d/17HrOaa5pBUI1onckFfumXB8xlg35qb2uBAFfF1D-Myo/edit?usp=shar"&amp;"e_link"",""สุโขทัย!I828"")+IMPORTRANGE(""https://docs.google.com/spreadsheets/d/1ubs5cl16eYL9gHbdHTJtmtYb9MGzHBs7CAphn8kNCgM/edit?usp=share_link"",""อุตรดิตถ์!I828"")+IMPORTRANGE(""https://docs.google.com/spreadsheets/d/1kII0BjS6CtVrBvI8IrytgPdxDrlyQDyigz"&amp;"MsohRtDMs/edit?usp=share_link"",""อุทัยธานี!I828"")
"),3650)</f>
        <v>3650</v>
      </c>
      <c r="J828" s="468">
        <f ca="1">IFERROR(__xludf.DUMMYFUNCTION("IMPORTRANGE(""https://docs.google.com/spreadsheets/d/1KxicF4apzSqm0-jIpmueT4kyZtE-Cwn5zskl7GD4loQ/edit?usp=share_link"",""กำแพงเพชร!J828"")+IMPORTRANGE(""https://docs.google.com/spreadsheets/d/1ZNYWeiFoFA1K1U4xKWqRX29MBvEyRHXORjo734Gnq_c/edit?usp=share_li"&amp;"nk"",""เชียงราย!J828"")
+IMPORTRANGE(""https://docs.google.com/spreadsheets/d/1Jgv0Y7YlHDtsiDawwp-uvifEJ8HVaSn0k2aGHG8-hwM/edit?usp=share_link"",""เชียงใหม่!J828"")+IMPORTRANGE(""https://docs.google.com/spreadsheets/d/1JWG2rZePOz9pe-f-ObA-yDr0VoOX2kSb0qIi"&amp;"x2mTUo8/edit?usp=share_link"",""ตาก!J828"")+IMPORTRANGE(""https://docs.google.com/spreadsheets/d/10nSRjK08hx8Y6HgSOQKNw81lyY46Zc7U_Cj72hBMp9U/edit?usp=share_link"",""นครสวรรค์!J828"")+IMPORTRANGE(""https://docs.google.com/spreadsheets/d/1gFVb7qd7amutrIxAA"&amp;"oM7lcy35hllxznovot8lyOfvDo/edit?usp=share_link"",""น่าน!J828"")+IMPORTRANGE(""https://docs.google.com/spreadsheets/d/1K0Aa9s-6EuHE5M0FG1F9aHLXRCOV917xvycTdLdct0w/edit?usp=share_link"",""พะเยา!J828"")+IMPORTRANGE(""https://docs.google.com/spreadsheets/d/1Y"&amp;"9LPKx95PyL5OKy09d-KbKJSuuEZCFdkhYjwC0XQjBA/edit?usp=share_link"",""พิจิตร!J828"")+IMPORTRANGE(""https://docs.google.com/spreadsheets/d/16OMuOwy2eVqZcYWOouQtTpa8X1L23h4660uVHc0C8os/edit?usp=share_link"",""พิษณุโลก!J828"")+IMPORTRANGE(""https://docs.google."&amp;"com/spreadsheets/d/1GfgTldLG6k77HXaMQzaafODklYuucJZQNs_GAPEfZyY/edit?usp=share_link"",""เพชรบูรณ์!J828"")+IMPORTRANGE(""https://docs.google.com/spreadsheets/d/1gvTMYAnm7v1yG1BKWFtr0DnaTsq59oW9dwWvFgq6hs0/edit?usp=share_link"",""แพร่!J828"")+IMPORTRANGE("""&amp;"https://docs.google.com/spreadsheets/d/1Wbcosgy-Xa1xXUArJSOenub6EfZHUSzc_bpJFWwQUf0/edit?usp=share_link"",""แม่ฮ่องสอน!J828"")+IMPORTRANGE(""https://docs.google.com/spreadsheets/d/1p7ERhsr0qZeSn-KSOdeHS9r0heI-lHtkcn2OH7hP0jQ/edit?usp=share_link"",""ลำปาง!"&amp;"J828"")+IMPORTRANGE(""https://docs.google.com/spreadsheets/d/1-uUXvimVhiU2U0bMN-xi2te0tS4X7DI2GLPnMjzl8cA/edit?usp=share_link"",""ลำพูน!J828"")+IMPORTRANGE(""https://docs.google.com/spreadsheets/d/17HrOaa5pBUI1onckFfumXB8xlg35qb2uBAFfF1D-Myo/edit?usp=shar"&amp;"e_link"",""สุโขทัย!J828"")+IMPORTRANGE(""https://docs.google.com/spreadsheets/d/1ubs5cl16eYL9gHbdHTJtmtYb9MGzHBs7CAphn8kNCgM/edit?usp=share_link"",""อุตรดิตถ์!J828"")+IMPORTRANGE(""https://docs.google.com/spreadsheets/d/1kII0BjS6CtVrBvI8IrytgPdxDrlyQDyigz"&amp;"MsohRtDMs/edit?usp=share_link"",""อุทัยธานี!J828"")
"),153)</f>
        <v>153</v>
      </c>
      <c r="K828" s="469">
        <f t="shared" ca="1" si="381"/>
        <v>4.1917808219178081</v>
      </c>
      <c r="L828" s="469"/>
      <c r="M828" s="469"/>
      <c r="N828" s="469"/>
      <c r="O828" s="469"/>
      <c r="P828" s="469"/>
      <c r="Q828" s="541"/>
      <c r="R828" s="541"/>
      <c r="S828" s="541"/>
      <c r="T828" s="541"/>
      <c r="U828" s="541"/>
      <c r="V828" s="541"/>
      <c r="W828" s="541"/>
      <c r="X828" s="541"/>
      <c r="Y828" s="541"/>
      <c r="Z828" s="541"/>
    </row>
  </sheetData>
  <mergeCells count="30">
    <mergeCell ref="D523:F523"/>
    <mergeCell ref="D544:F544"/>
    <mergeCell ref="D629:F629"/>
    <mergeCell ref="D808:F808"/>
    <mergeCell ref="D815:F815"/>
    <mergeCell ref="D655:F655"/>
    <mergeCell ref="D685:F685"/>
    <mergeCell ref="D737:F737"/>
    <mergeCell ref="D754:F754"/>
    <mergeCell ref="D770:F770"/>
    <mergeCell ref="D786:F786"/>
    <mergeCell ref="D805:F805"/>
    <mergeCell ref="B51:G51"/>
    <mergeCell ref="D419:F419"/>
    <mergeCell ref="D444:F444"/>
    <mergeCell ref="D467:F467"/>
    <mergeCell ref="D502:F502"/>
    <mergeCell ref="A7:G7"/>
    <mergeCell ref="A17:G17"/>
    <mergeCell ref="A27:G27"/>
    <mergeCell ref="B40:G40"/>
    <mergeCell ref="A50:G50"/>
    <mergeCell ref="A1:P1"/>
    <mergeCell ref="A2:P2"/>
    <mergeCell ref="A3:P3"/>
    <mergeCell ref="H5:H6"/>
    <mergeCell ref="I5:K5"/>
    <mergeCell ref="L5:M5"/>
    <mergeCell ref="N5:P5"/>
    <mergeCell ref="A5:G6"/>
  </mergeCells>
  <printOptions horizontalCentered="1"/>
  <pageMargins left="0.23622047244094491" right="0.23622047244094491" top="0.74803149606299213" bottom="0.74803149606299213" header="0" footer="0"/>
  <pageSetup paperSize="9" scale="39" fitToHeight="0" pageOrder="overThenDown" orientation="portrait" cellComments="atEnd" r:id="rId1"/>
  <headerFooter>
    <oddFooter>&amp;Cหน้า &amp;P/&amp;N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807EC6-932A-4DEC-9680-BE8A3BC1A564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activeCell="S28" sqref="S28"/>
      <selection pane="bottomLeft" sqref="A1:P1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9" width="16.85546875" bestFit="1" customWidth="1"/>
    <col min="10" max="10" width="11.28515625" bestFit="1" customWidth="1"/>
    <col min="11" max="11" width="12.5703125" customWidth="1"/>
    <col min="12" max="13" width="23" bestFit="1" customWidth="1"/>
    <col min="14" max="14" width="21.28515625" bestFit="1" customWidth="1"/>
    <col min="15" max="15" width="20.140625" bestFit="1" customWidth="1"/>
    <col min="16" max="16" width="22" bestFit="1" customWidth="1"/>
  </cols>
  <sheetData>
    <row r="1" spans="1:26" ht="19.5">
      <c r="A1" s="792" t="s">
        <v>0</v>
      </c>
      <c r="B1" s="793"/>
      <c r="C1" s="793"/>
      <c r="D1" s="793"/>
      <c r="E1" s="793"/>
      <c r="F1" s="793"/>
      <c r="G1" s="793"/>
      <c r="H1" s="793"/>
      <c r="I1" s="793"/>
      <c r="J1" s="793"/>
      <c r="K1" s="793"/>
      <c r="L1" s="793"/>
      <c r="M1" s="793"/>
      <c r="N1" s="793"/>
      <c r="O1" s="793"/>
      <c r="P1" s="793"/>
    </row>
    <row r="2" spans="1:26" ht="19.5">
      <c r="A2" s="792" t="s">
        <v>344</v>
      </c>
      <c r="B2" s="793"/>
      <c r="C2" s="793"/>
      <c r="D2" s="793"/>
      <c r="E2" s="793"/>
      <c r="F2" s="793"/>
      <c r="G2" s="793"/>
      <c r="H2" s="793"/>
      <c r="I2" s="793"/>
      <c r="J2" s="793"/>
      <c r="K2" s="793"/>
      <c r="L2" s="793"/>
      <c r="M2" s="793"/>
      <c r="N2" s="793"/>
      <c r="O2" s="793"/>
      <c r="P2" s="793"/>
    </row>
    <row r="3" spans="1:26" ht="19.5">
      <c r="A3" s="792" t="s">
        <v>355</v>
      </c>
      <c r="B3" s="793"/>
      <c r="C3" s="793"/>
      <c r="D3" s="793"/>
      <c r="E3" s="793"/>
      <c r="F3" s="793"/>
      <c r="G3" s="793"/>
      <c r="H3" s="793"/>
      <c r="I3" s="793"/>
      <c r="J3" s="793"/>
      <c r="K3" s="793"/>
      <c r="L3" s="793"/>
      <c r="M3" s="793"/>
      <c r="N3" s="793"/>
      <c r="O3" s="793"/>
      <c r="P3" s="793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00" t="s">
        <v>2</v>
      </c>
      <c r="B5" s="793"/>
      <c r="C5" s="793"/>
      <c r="D5" s="793"/>
      <c r="E5" s="793"/>
      <c r="F5" s="793"/>
      <c r="G5" s="801"/>
      <c r="H5" s="794" t="s">
        <v>3</v>
      </c>
      <c r="I5" s="796" t="s">
        <v>4</v>
      </c>
      <c r="J5" s="797"/>
      <c r="K5" s="795"/>
      <c r="L5" s="798" t="s">
        <v>5</v>
      </c>
      <c r="M5" s="795"/>
      <c r="N5" s="799" t="s">
        <v>6</v>
      </c>
      <c r="O5" s="797"/>
      <c r="P5" s="795"/>
    </row>
    <row r="6" spans="1:26" ht="19.5">
      <c r="A6" s="802"/>
      <c r="B6" s="797"/>
      <c r="C6" s="797"/>
      <c r="D6" s="797"/>
      <c r="E6" s="797"/>
      <c r="F6" s="797"/>
      <c r="G6" s="795"/>
      <c r="H6" s="795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03" t="s">
        <v>15</v>
      </c>
      <c r="B7" s="797"/>
      <c r="C7" s="797"/>
      <c r="D7" s="797"/>
      <c r="E7" s="797"/>
      <c r="F7" s="797"/>
      <c r="G7" s="795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17763247</v>
      </c>
      <c r="M8" s="22">
        <f t="shared" ca="1" si="0"/>
        <v>13710225</v>
      </c>
      <c r="N8" s="22">
        <f t="shared" ca="1" si="0"/>
        <v>1252496.06</v>
      </c>
      <c r="O8" s="22">
        <f t="shared" ref="O8:O16" ca="1" si="1">IF(L8&gt;0,N8*100/L8,0)</f>
        <v>7.051053560196511</v>
      </c>
      <c r="P8" s="22">
        <f t="shared" ref="P8:P16" ca="1" si="2">IF(M8&gt;0,N8*100/M8,0)</f>
        <v>9.1354887319500584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17763247</v>
      </c>
      <c r="M10" s="30">
        <f t="shared" ca="1" si="3"/>
        <v>13710225</v>
      </c>
      <c r="N10" s="30">
        <f t="shared" ca="1" si="3"/>
        <v>1252496.06</v>
      </c>
      <c r="O10" s="30">
        <f t="shared" ca="1" si="1"/>
        <v>7.051053560196511</v>
      </c>
      <c r="P10" s="30">
        <f t="shared" ca="1" si="2"/>
        <v>9.1354887319500584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589" t="s">
        <v>12</v>
      </c>
      <c r="I11" s="269"/>
      <c r="J11" s="269"/>
      <c r="K11" s="465"/>
      <c r="L11" s="465">
        <f t="shared" ref="L11:N11" ca="1" si="4">L12+L13</f>
        <v>6054447</v>
      </c>
      <c r="M11" s="465">
        <f t="shared" ca="1" si="4"/>
        <v>2001425</v>
      </c>
      <c r="N11" s="465">
        <f t="shared" ca="1" si="4"/>
        <v>1043696.0600000002</v>
      </c>
      <c r="O11" s="465">
        <f t="shared" ca="1" si="1"/>
        <v>17.238503533022918</v>
      </c>
      <c r="P11" s="465">
        <f t="shared" ca="1" si="2"/>
        <v>52.147647800941833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2" t="s">
        <v>18</v>
      </c>
      <c r="F12" s="40"/>
      <c r="G12" s="42"/>
      <c r="H12" s="43" t="s">
        <v>12</v>
      </c>
      <c r="I12" s="583"/>
      <c r="J12" s="583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2" t="s">
        <v>19</v>
      </c>
      <c r="F13" s="40"/>
      <c r="G13" s="42"/>
      <c r="H13" s="43" t="s">
        <v>12</v>
      </c>
      <c r="I13" s="583"/>
      <c r="J13" s="583"/>
      <c r="K13" s="93"/>
      <c r="L13" s="93">
        <f t="shared" ca="1" si="5"/>
        <v>6054447</v>
      </c>
      <c r="M13" s="93">
        <f t="shared" ca="1" si="5"/>
        <v>2001425</v>
      </c>
      <c r="N13" s="93">
        <f t="shared" ca="1" si="5"/>
        <v>1043696.0600000002</v>
      </c>
      <c r="O13" s="93">
        <f t="shared" ca="1" si="1"/>
        <v>17.238503533022918</v>
      </c>
      <c r="P13" s="93">
        <f t="shared" ca="1" si="2"/>
        <v>52.147647800941833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589" t="s">
        <v>12</v>
      </c>
      <c r="I14" s="269"/>
      <c r="J14" s="269"/>
      <c r="K14" s="465"/>
      <c r="L14" s="465">
        <f t="shared" ref="L14:N14" ca="1" si="6">L15+L16</f>
        <v>11708800</v>
      </c>
      <c r="M14" s="465">
        <f t="shared" ca="1" si="6"/>
        <v>11708800</v>
      </c>
      <c r="N14" s="465">
        <f t="shared" ca="1" si="6"/>
        <v>208800</v>
      </c>
      <c r="O14" s="465">
        <f t="shared" ca="1" si="1"/>
        <v>1.7832741186116425</v>
      </c>
      <c r="P14" s="465">
        <f t="shared" ca="1" si="2"/>
        <v>1.7832741186116425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2" t="s">
        <v>18</v>
      </c>
      <c r="F15" s="40"/>
      <c r="G15" s="42"/>
      <c r="H15" s="43" t="s">
        <v>12</v>
      </c>
      <c r="I15" s="583"/>
      <c r="J15" s="583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11708800</v>
      </c>
      <c r="M16" s="52">
        <f t="shared" ca="1" si="7"/>
        <v>11708800</v>
      </c>
      <c r="N16" s="52">
        <f t="shared" ca="1" si="7"/>
        <v>208800</v>
      </c>
      <c r="O16" s="52">
        <f t="shared" ca="1" si="1"/>
        <v>1.7832741186116425</v>
      </c>
      <c r="P16" s="52">
        <f t="shared" ca="1" si="2"/>
        <v>1.7832741186116425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03" t="s">
        <v>22</v>
      </c>
      <c r="B17" s="797"/>
      <c r="C17" s="797"/>
      <c r="D17" s="797"/>
      <c r="E17" s="797"/>
      <c r="F17" s="797"/>
      <c r="G17" s="795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15589855</v>
      </c>
      <c r="M18" s="22">
        <f t="shared" ca="1" si="8"/>
        <v>13710225</v>
      </c>
      <c r="N18" s="22">
        <f t="shared" ca="1" si="8"/>
        <v>1182879.3900000001</v>
      </c>
      <c r="O18" s="22">
        <f t="shared" ref="O18:O26" ca="1" si="9">IF(L18&gt;0,N18*100/L18,0)</f>
        <v>7.587494495619107</v>
      </c>
      <c r="P18" s="22">
        <f t="shared" ref="P18:P26" ca="1" si="10">IF(M18&gt;0,N18*100/M18,0)</f>
        <v>8.6277168317806616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15589855</v>
      </c>
      <c r="M20" s="30">
        <f t="shared" ca="1" si="11"/>
        <v>13710225</v>
      </c>
      <c r="N20" s="30">
        <f t="shared" ca="1" si="11"/>
        <v>1182879.3900000001</v>
      </c>
      <c r="O20" s="30">
        <f t="shared" ca="1" si="9"/>
        <v>7.587494495619107</v>
      </c>
      <c r="P20" s="30">
        <f t="shared" ca="1" si="10"/>
        <v>8.6277168317806616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589" t="s">
        <v>12</v>
      </c>
      <c r="I21" s="269"/>
      <c r="J21" s="269"/>
      <c r="K21" s="465"/>
      <c r="L21" s="465">
        <f t="shared" ref="L21:N21" ca="1" si="12">L22+L23</f>
        <v>3881055</v>
      </c>
      <c r="M21" s="465">
        <f t="shared" ca="1" si="12"/>
        <v>2001425</v>
      </c>
      <c r="N21" s="465">
        <f t="shared" ca="1" si="12"/>
        <v>974079.39000000013</v>
      </c>
      <c r="O21" s="465">
        <f t="shared" ca="1" si="9"/>
        <v>25.098314504690094</v>
      </c>
      <c r="P21" s="465">
        <f t="shared" ca="1" si="10"/>
        <v>48.669292629001845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2" t="s">
        <v>18</v>
      </c>
      <c r="F22" s="40"/>
      <c r="G22" s="42"/>
      <c r="H22" s="43" t="s">
        <v>12</v>
      </c>
      <c r="I22" s="583"/>
      <c r="J22" s="583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2" t="s">
        <v>19</v>
      </c>
      <c r="F23" s="40"/>
      <c r="G23" s="42"/>
      <c r="H23" s="43" t="s">
        <v>12</v>
      </c>
      <c r="I23" s="583"/>
      <c r="J23" s="583"/>
      <c r="K23" s="93"/>
      <c r="L23" s="93">
        <f t="shared" ca="1" si="13"/>
        <v>3881055</v>
      </c>
      <c r="M23" s="93">
        <f t="shared" ca="1" si="13"/>
        <v>2001425</v>
      </c>
      <c r="N23" s="93">
        <f t="shared" ca="1" si="13"/>
        <v>974079.39000000013</v>
      </c>
      <c r="O23" s="93">
        <f t="shared" ca="1" si="9"/>
        <v>25.098314504690094</v>
      </c>
      <c r="P23" s="93">
        <f t="shared" ca="1" si="10"/>
        <v>48.669292629001845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589" t="s">
        <v>12</v>
      </c>
      <c r="I24" s="269"/>
      <c r="J24" s="269"/>
      <c r="K24" s="465"/>
      <c r="L24" s="465">
        <f t="shared" ref="L24:N24" ca="1" si="14">L25+L26</f>
        <v>11708800</v>
      </c>
      <c r="M24" s="465">
        <f t="shared" ca="1" si="14"/>
        <v>11708800</v>
      </c>
      <c r="N24" s="465">
        <f t="shared" ca="1" si="14"/>
        <v>208800</v>
      </c>
      <c r="O24" s="465">
        <f t="shared" ca="1" si="9"/>
        <v>1.7832741186116425</v>
      </c>
      <c r="P24" s="465">
        <f t="shared" ca="1" si="10"/>
        <v>1.7832741186116425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2" t="s">
        <v>18</v>
      </c>
      <c r="F25" s="40"/>
      <c r="G25" s="42"/>
      <c r="H25" s="43" t="s">
        <v>12</v>
      </c>
      <c r="I25" s="583"/>
      <c r="J25" s="583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11708800</v>
      </c>
      <c r="M26" s="52">
        <f t="shared" ca="1" si="15"/>
        <v>11708800</v>
      </c>
      <c r="N26" s="52">
        <f t="shared" ca="1" si="15"/>
        <v>208800</v>
      </c>
      <c r="O26" s="52">
        <f t="shared" ca="1" si="9"/>
        <v>1.7832741186116425</v>
      </c>
      <c r="P26" s="52">
        <f t="shared" ca="1" si="10"/>
        <v>1.7832741186116425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03" t="s">
        <v>23</v>
      </c>
      <c r="B27" s="797"/>
      <c r="C27" s="797"/>
      <c r="D27" s="797"/>
      <c r="E27" s="797"/>
      <c r="F27" s="797"/>
      <c r="G27" s="795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2173392</v>
      </c>
      <c r="M28" s="22">
        <f t="shared" si="16"/>
        <v>0</v>
      </c>
      <c r="N28" s="22">
        <f t="shared" si="16"/>
        <v>69616.67</v>
      </c>
      <c r="O28" s="22">
        <f t="shared" ref="O28:O37" ca="1" si="17">IF(L28&gt;0,N28*100/L28,0)</f>
        <v>3.2031345472882942</v>
      </c>
      <c r="P28" s="22">
        <f t="shared" ref="P28:P37" si="18">IF(M28&gt;0,N28*100/M28,0)</f>
        <v>0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2173392</v>
      </c>
      <c r="M30" s="30">
        <f t="shared" si="19"/>
        <v>0</v>
      </c>
      <c r="N30" s="30">
        <f t="shared" si="19"/>
        <v>69616.67</v>
      </c>
      <c r="O30" s="30">
        <f t="shared" ca="1" si="17"/>
        <v>3.2031345472882942</v>
      </c>
      <c r="P30" s="30">
        <f t="shared" si="18"/>
        <v>0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589" t="s">
        <v>12</v>
      </c>
      <c r="I31" s="269"/>
      <c r="J31" s="269"/>
      <c r="K31" s="465"/>
      <c r="L31" s="465">
        <f t="shared" ref="L31:N31" ca="1" si="20">L32+L33</f>
        <v>2173392</v>
      </c>
      <c r="M31" s="465">
        <f t="shared" si="20"/>
        <v>0</v>
      </c>
      <c r="N31" s="465">
        <f t="shared" si="20"/>
        <v>69616.67</v>
      </c>
      <c r="O31" s="465">
        <f t="shared" ca="1" si="17"/>
        <v>3.2031345472882942</v>
      </c>
      <c r="P31" s="465">
        <f t="shared" si="18"/>
        <v>0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2" t="s">
        <v>18</v>
      </c>
      <c r="F32" s="40"/>
      <c r="G32" s="42"/>
      <c r="H32" s="43" t="s">
        <v>12</v>
      </c>
      <c r="I32" s="583"/>
      <c r="J32" s="583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2" t="s">
        <v>19</v>
      </c>
      <c r="F33" s="40"/>
      <c r="G33" s="42"/>
      <c r="H33" s="43" t="s">
        <v>12</v>
      </c>
      <c r="I33" s="583"/>
      <c r="J33" s="583"/>
      <c r="K33" s="93"/>
      <c r="L33" s="93">
        <f t="shared" ca="1" si="21"/>
        <v>2173392</v>
      </c>
      <c r="M33" s="93">
        <f t="shared" si="21"/>
        <v>0</v>
      </c>
      <c r="N33" s="93">
        <f t="shared" si="21"/>
        <v>69616.67</v>
      </c>
      <c r="O33" s="93">
        <f t="shared" ca="1" si="17"/>
        <v>3.2031345472882942</v>
      </c>
      <c r="P33" s="93">
        <f t="shared" si="18"/>
        <v>0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589" t="s">
        <v>12</v>
      </c>
      <c r="I34" s="269"/>
      <c r="J34" s="269"/>
      <c r="K34" s="465"/>
      <c r="L34" s="465">
        <f t="shared" ref="L34:N34" ca="1" si="22">L35+L36</f>
        <v>0</v>
      </c>
      <c r="M34" s="465">
        <f t="shared" si="22"/>
        <v>0</v>
      </c>
      <c r="N34" s="465">
        <f t="shared" si="22"/>
        <v>0</v>
      </c>
      <c r="O34" s="465">
        <f t="shared" ca="1" si="17"/>
        <v>0</v>
      </c>
      <c r="P34" s="465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2" t="s">
        <v>18</v>
      </c>
      <c r="F35" s="40"/>
      <c r="G35" s="42"/>
      <c r="H35" s="43" t="s">
        <v>12</v>
      </c>
      <c r="I35" s="583"/>
      <c r="J35" s="583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53" t="s">
        <v>24</v>
      </c>
      <c r="B37" s="54"/>
      <c r="C37" s="54"/>
      <c r="D37" s="54"/>
      <c r="E37" s="54"/>
      <c r="F37" s="54"/>
      <c r="G37" s="55"/>
      <c r="H37" s="56"/>
      <c r="I37" s="392"/>
      <c r="J37" s="392"/>
      <c r="K37" s="58"/>
      <c r="L37" s="59">
        <f t="shared" ref="L37:N37" ca="1" si="24">L41+L53+L66+L88+L119+L132+L149+L165+L181+L261+L277+L298+L315+L328+L345+L389+L402</f>
        <v>15589855</v>
      </c>
      <c r="M37" s="59">
        <f t="shared" ca="1" si="24"/>
        <v>13710225</v>
      </c>
      <c r="N37" s="59">
        <f t="shared" ca="1" si="24"/>
        <v>1182879.3900000001</v>
      </c>
      <c r="O37" s="59">
        <f t="shared" ca="1" si="17"/>
        <v>7.587494495619107</v>
      </c>
      <c r="P37" s="59">
        <f t="shared" ca="1" si="18"/>
        <v>8.6277168317806616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04" t="s">
        <v>27</v>
      </c>
      <c r="C40" s="805"/>
      <c r="D40" s="805"/>
      <c r="E40" s="805"/>
      <c r="F40" s="805"/>
      <c r="G40" s="806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15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443200</v>
      </c>
      <c r="M41" s="85">
        <f t="shared" ca="1" si="25"/>
        <v>224300</v>
      </c>
      <c r="N41" s="85">
        <f t="shared" ca="1" si="25"/>
        <v>135800</v>
      </c>
      <c r="O41" s="85">
        <f t="shared" ref="O41:O49" ca="1" si="26">IF(L41&gt;0,N41*100/L41,0)</f>
        <v>30.640794223826713</v>
      </c>
      <c r="P41" s="85">
        <f t="shared" ref="P41:P49" ca="1" si="27">IF(M41&gt;0,N41*100/M41,0)</f>
        <v>60.543914400356662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443200</v>
      </c>
      <c r="M43" s="92">
        <f t="shared" ca="1" si="28"/>
        <v>224300</v>
      </c>
      <c r="N43" s="92">
        <f t="shared" ca="1" si="28"/>
        <v>135800</v>
      </c>
      <c r="O43" s="92">
        <f t="shared" ca="1" si="26"/>
        <v>30.640794223826713</v>
      </c>
      <c r="P43" s="92">
        <f t="shared" ca="1" si="27"/>
        <v>60.543914400356662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589" t="s">
        <v>12</v>
      </c>
      <c r="I44" s="269"/>
      <c r="J44" s="269"/>
      <c r="K44" s="465"/>
      <c r="L44" s="465">
        <f t="shared" ref="L44:N44" ca="1" si="29">L45+L46</f>
        <v>443200</v>
      </c>
      <c r="M44" s="465">
        <f t="shared" ca="1" si="29"/>
        <v>224300</v>
      </c>
      <c r="N44" s="465">
        <f t="shared" ca="1" si="29"/>
        <v>135800</v>
      </c>
      <c r="O44" s="465">
        <f t="shared" ca="1" si="26"/>
        <v>30.640794223826713</v>
      </c>
      <c r="P44" s="465">
        <f t="shared" ca="1" si="27"/>
        <v>60.543914400356662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2" t="s">
        <v>18</v>
      </c>
      <c r="F45" s="40"/>
      <c r="G45" s="42"/>
      <c r="H45" s="43" t="s">
        <v>12</v>
      </c>
      <c r="I45" s="583"/>
      <c r="J45" s="583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2" t="s">
        <v>19</v>
      </c>
      <c r="F46" s="40"/>
      <c r="G46" s="42"/>
      <c r="H46" s="43" t="s">
        <v>12</v>
      </c>
      <c r="I46" s="583"/>
      <c r="J46" s="583"/>
      <c r="K46" s="93"/>
      <c r="L46" s="93">
        <f ca="1">IFERROR(__xludf.DUMMYFUNCTION("IMPORTRANGE(""https://docs.google.com/spreadsheets/d/1MeEWN-I1oV_STSDYn1IFDPWt_1FKiwhDph83XaGc0o0/edit?usp=sharing"",""งบพรบ!M22"")"),443200)</f>
        <v>443200</v>
      </c>
      <c r="M46" s="93">
        <f ca="1">IFERROR(__xludf.DUMMYFUNCTION("IMPORTRANGE(""https://docs.google.com/spreadsheets/d/1MeEWN-I1oV_STSDYn1IFDPWt_1FKiwhDph83XaGc0o0/edit?usp=sharing"",""งบพรบ!R22"")"),224300)</f>
        <v>224300</v>
      </c>
      <c r="N46" s="93">
        <f ca="1">IFERROR(__xludf.DUMMYFUNCTION("IMPORTRANGE(""https://docs.google.com/spreadsheets/d/1MeEWN-I1oV_STSDYn1IFDPWt_1FKiwhDph83XaGc0o0/edit?usp=sharing"",""งบพรบ!T22"")"),135800)</f>
        <v>135800</v>
      </c>
      <c r="O46" s="93">
        <f t="shared" ca="1" si="26"/>
        <v>30.640794223826713</v>
      </c>
      <c r="P46" s="93">
        <f t="shared" ca="1" si="27"/>
        <v>60.543914400356662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589" t="s">
        <v>12</v>
      </c>
      <c r="I47" s="269"/>
      <c r="J47" s="269"/>
      <c r="K47" s="465"/>
      <c r="L47" s="465">
        <f t="shared" ref="L47:N47" ca="1" si="30">L48+L49</f>
        <v>0</v>
      </c>
      <c r="M47" s="465">
        <f t="shared" ca="1" si="30"/>
        <v>0</v>
      </c>
      <c r="N47" s="465">
        <f t="shared" ca="1" si="30"/>
        <v>0</v>
      </c>
      <c r="O47" s="465">
        <f t="shared" ca="1" si="26"/>
        <v>0</v>
      </c>
      <c r="P47" s="465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2" t="s">
        <v>18</v>
      </c>
      <c r="F48" s="40"/>
      <c r="G48" s="42"/>
      <c r="H48" s="43" t="s">
        <v>12</v>
      </c>
      <c r="I48" s="583"/>
      <c r="J48" s="583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IFERROR(__xludf.DUMMYFUNCTION("IMPORTRANGE(""https://docs.google.com/spreadsheets/d/1MeEWN-I1oV_STSDYn1IFDPWt_1FKiwhDph83XaGc0o0/edit?usp=sharing"",""งบพรบ!P22"")"),0)</f>
        <v>0</v>
      </c>
      <c r="M49" s="52">
        <f ca="1">IFERROR(__xludf.DUMMYFUNCTION("IMPORTRANGE(""https://docs.google.com/spreadsheets/d/1MeEWN-I1oV_STSDYn1IFDPWt_1FKiwhDph83XaGc0o0/edit?usp=sharing"",""งบพรบ!S22"")"),0)</f>
        <v>0</v>
      </c>
      <c r="N49" s="52">
        <f ca="1">IFERROR(__xludf.DUMMYFUNCTION("IMPORTRANGE(""https://docs.google.com/spreadsheets/d/1MeEWN-I1oV_STSDYn1IFDPWt_1FKiwhDph83XaGc0o0/edit?usp=sharing"",""งบพรบ!U22"")"),0)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07" t="s">
        <v>28</v>
      </c>
      <c r="B50" s="797"/>
      <c r="C50" s="797"/>
      <c r="D50" s="797"/>
      <c r="E50" s="797"/>
      <c r="F50" s="797"/>
      <c r="G50" s="795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08" t="s">
        <v>29</v>
      </c>
      <c r="C51" s="805"/>
      <c r="D51" s="805"/>
      <c r="E51" s="805"/>
      <c r="F51" s="805"/>
      <c r="G51" s="806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16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12540900</v>
      </c>
      <c r="M53" s="116">
        <f t="shared" ca="1" si="31"/>
        <v>12077070</v>
      </c>
      <c r="N53" s="116">
        <f t="shared" ca="1" si="31"/>
        <v>447069.57</v>
      </c>
      <c r="O53" s="116">
        <f t="shared" ref="O53:O61" ca="1" si="32">IF(L53&gt;0,N53*100/L53,0)</f>
        <v>3.5648922326148842</v>
      </c>
      <c r="P53" s="116">
        <f t="shared" ref="P53:P61" ca="1" si="33">IF(M53&gt;0,N53*100/M53,0)</f>
        <v>3.701804907978508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12540900</v>
      </c>
      <c r="M55" s="123">
        <f t="shared" ca="1" si="34"/>
        <v>12077070</v>
      </c>
      <c r="N55" s="123">
        <f t="shared" ca="1" si="34"/>
        <v>447069.57</v>
      </c>
      <c r="O55" s="123">
        <f t="shared" ca="1" si="32"/>
        <v>3.5648922326148842</v>
      </c>
      <c r="P55" s="123">
        <f t="shared" ca="1" si="33"/>
        <v>3.701804907978508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589" t="s">
        <v>12</v>
      </c>
      <c r="I56" s="269"/>
      <c r="J56" s="269"/>
      <c r="K56" s="465"/>
      <c r="L56" s="465">
        <f t="shared" ref="L56:N56" ca="1" si="35">L57+L58</f>
        <v>1040900</v>
      </c>
      <c r="M56" s="465">
        <f t="shared" ca="1" si="35"/>
        <v>577070</v>
      </c>
      <c r="N56" s="465">
        <f t="shared" ca="1" si="35"/>
        <v>447069.57</v>
      </c>
      <c r="O56" s="465">
        <f t="shared" ca="1" si="32"/>
        <v>42.950290133538282</v>
      </c>
      <c r="P56" s="465">
        <f t="shared" ca="1" si="33"/>
        <v>77.472329180168785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2" t="s">
        <v>18</v>
      </c>
      <c r="F57" s="40"/>
      <c r="G57" s="42"/>
      <c r="H57" s="43" t="s">
        <v>12</v>
      </c>
      <c r="I57" s="583"/>
      <c r="J57" s="583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2" t="s">
        <v>19</v>
      </c>
      <c r="F58" s="40"/>
      <c r="G58" s="42"/>
      <c r="H58" s="43" t="s">
        <v>12</v>
      </c>
      <c r="I58" s="583"/>
      <c r="J58" s="583"/>
      <c r="K58" s="93"/>
      <c r="L58" s="93">
        <f ca="1">IFERROR(__xludf.DUMMYFUNCTION("IMPORTRANGE(""https://docs.google.com/spreadsheets/d/1MeEWN-I1oV_STSDYn1IFDPWt_1FKiwhDph83XaGc0o0/edit?usp=sharing"",""งบพรบ!W22"")"),1040900)</f>
        <v>1040900</v>
      </c>
      <c r="M58" s="93">
        <f ca="1">IFERROR(__xludf.DUMMYFUNCTION("IMPORTRANGE(""https://docs.google.com/spreadsheets/d/1MeEWN-I1oV_STSDYn1IFDPWt_1FKiwhDph83XaGc0o0/edit?usp=sharing"",""งบพรบ!AB22"")"),577070)</f>
        <v>577070</v>
      </c>
      <c r="N58" s="93">
        <f ca="1">IFERROR(__xludf.DUMMYFUNCTION("IMPORTRANGE(""https://docs.google.com/spreadsheets/d/1MeEWN-I1oV_STSDYn1IFDPWt_1FKiwhDph83XaGc0o0/edit?usp=sharing"",""งบพรบ!AD22"")"),447069.57)</f>
        <v>447069.57</v>
      </c>
      <c r="O58" s="93">
        <f t="shared" ca="1" si="32"/>
        <v>42.950290133538282</v>
      </c>
      <c r="P58" s="93">
        <f t="shared" ca="1" si="33"/>
        <v>77.472329180168785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589" t="s">
        <v>12</v>
      </c>
      <c r="I59" s="269"/>
      <c r="J59" s="269"/>
      <c r="K59" s="465"/>
      <c r="L59" s="465">
        <f t="shared" ref="L59:N59" ca="1" si="36">L60+L61</f>
        <v>11500000</v>
      </c>
      <c r="M59" s="465">
        <f t="shared" ca="1" si="36"/>
        <v>11500000</v>
      </c>
      <c r="N59" s="465">
        <f t="shared" ca="1" si="36"/>
        <v>0</v>
      </c>
      <c r="O59" s="465">
        <f t="shared" ca="1" si="32"/>
        <v>0</v>
      </c>
      <c r="P59" s="465">
        <f t="shared" ca="1" si="33"/>
        <v>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2" t="s">
        <v>18</v>
      </c>
      <c r="F60" s="40"/>
      <c r="G60" s="42"/>
      <c r="H60" s="43" t="s">
        <v>12</v>
      </c>
      <c r="I60" s="583"/>
      <c r="J60" s="583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IFERROR(__xludf.DUMMYFUNCTION("IMPORTRANGE(""https://docs.google.com/spreadsheets/d/1MeEWN-I1oV_STSDYn1IFDPWt_1FKiwhDph83XaGc0o0/edit?usp=sharing"",""งบพรบ!Z22"")"),11500000)</f>
        <v>11500000</v>
      </c>
      <c r="M61" s="52">
        <f ca="1">IFERROR(__xludf.DUMMYFUNCTION("IMPORTRANGE(""https://docs.google.com/spreadsheets/d/1MeEWN-I1oV_STSDYn1IFDPWt_1FKiwhDph83XaGc0o0/edit?usp=sharing"",""งบพรบ!AC22"")"),11500000)</f>
        <v>11500000</v>
      </c>
      <c r="N61" s="52">
        <f ca="1">IFERROR(__xludf.DUMMYFUNCTION("IMPORTRANGE(""https://docs.google.com/spreadsheets/d/1MeEWN-I1oV_STSDYn1IFDPWt_1FKiwhDph83XaGc0o0/edit?usp=sharing"",""งบพรบ!AE22"")"),0)</f>
        <v>0</v>
      </c>
      <c r="O61" s="52">
        <f t="shared" ca="1" si="32"/>
        <v>0</v>
      </c>
      <c r="P61" s="52">
        <f t="shared" ca="1" si="33"/>
        <v>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>
      <c r="A64" s="138"/>
      <c r="B64" s="208" t="s">
        <v>33</v>
      </c>
      <c r="C64" s="140"/>
      <c r="D64" s="141"/>
      <c r="E64" s="140"/>
      <c r="F64" s="140"/>
      <c r="G64" s="142"/>
      <c r="H64" s="143" t="s">
        <v>34</v>
      </c>
      <c r="I64" s="144">
        <f t="shared" ref="I64:J65" ca="1" si="37">I76</f>
        <v>2</v>
      </c>
      <c r="J64" s="144">
        <f t="shared" si="37"/>
        <v>2</v>
      </c>
      <c r="K64" s="145">
        <f t="shared" ref="K64:K65" ca="1" si="38">IF(I64&gt;0,J64*100/I64,0)</f>
        <v>100</v>
      </c>
      <c r="L64" s="146"/>
      <c r="M64" s="146"/>
      <c r="N64" s="146"/>
      <c r="O64" s="146"/>
      <c r="P64" s="146"/>
    </row>
    <row r="65" spans="1:26" ht="19.5">
      <c r="A65" s="138"/>
      <c r="B65" s="140"/>
      <c r="C65" s="140"/>
      <c r="D65" s="141"/>
      <c r="E65" s="140"/>
      <c r="F65" s="140"/>
      <c r="G65" s="142"/>
      <c r="H65" s="143" t="s">
        <v>35</v>
      </c>
      <c r="I65" s="144">
        <f t="shared" ca="1" si="37"/>
        <v>80</v>
      </c>
      <c r="J65" s="144">
        <f t="shared" si="37"/>
        <v>80</v>
      </c>
      <c r="K65" s="145">
        <f t="shared" ca="1" si="38"/>
        <v>100</v>
      </c>
      <c r="L65" s="146"/>
      <c r="M65" s="146"/>
      <c r="N65" s="146"/>
      <c r="O65" s="146"/>
      <c r="P65" s="146"/>
    </row>
    <row r="66" spans="1:26" ht="19.5">
      <c r="A66" s="147"/>
      <c r="B66" s="148"/>
      <c r="C66" s="149" t="s">
        <v>16</v>
      </c>
      <c r="D66" s="817" t="s">
        <v>17</v>
      </c>
      <c r="E66" s="148"/>
      <c r="F66" s="148"/>
      <c r="G66" s="151"/>
      <c r="H66" s="152" t="s">
        <v>12</v>
      </c>
      <c r="I66" s="388"/>
      <c r="J66" s="388"/>
      <c r="K66" s="154"/>
      <c r="L66" s="155">
        <f t="shared" ref="L66:N66" ca="1" si="39">L67+L68</f>
        <v>1116400</v>
      </c>
      <c r="M66" s="155">
        <f t="shared" ca="1" si="39"/>
        <v>544200</v>
      </c>
      <c r="N66" s="155">
        <f t="shared" ca="1" si="39"/>
        <v>265524.77</v>
      </c>
      <c r="O66" s="155">
        <f t="shared" ref="O66:O74" ca="1" si="40">IF(L66&gt;0,N66*100/L66,0)</f>
        <v>23.784017377284126</v>
      </c>
      <c r="P66" s="155">
        <f t="shared" ref="P66:P74" ca="1" si="41">IF(M66&gt;0,N66*100/M66,0)</f>
        <v>48.791762219772146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2" t="s">
        <v>18</v>
      </c>
      <c r="F67" s="40"/>
      <c r="G67" s="157"/>
      <c r="H67" s="158" t="s">
        <v>12</v>
      </c>
      <c r="I67" s="583"/>
      <c r="J67" s="583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2" t="s">
        <v>19</v>
      </c>
      <c r="F68" s="40"/>
      <c r="G68" s="157"/>
      <c r="H68" s="158" t="s">
        <v>12</v>
      </c>
      <c r="I68" s="583"/>
      <c r="J68" s="583"/>
      <c r="K68" s="93"/>
      <c r="L68" s="93">
        <f t="shared" ca="1" si="42"/>
        <v>1116400</v>
      </c>
      <c r="M68" s="93">
        <f t="shared" ca="1" si="42"/>
        <v>544200</v>
      </c>
      <c r="N68" s="93">
        <f t="shared" ca="1" si="42"/>
        <v>265524.77</v>
      </c>
      <c r="O68" s="93">
        <f t="shared" ca="1" si="40"/>
        <v>23.784017377284126</v>
      </c>
      <c r="P68" s="93">
        <f t="shared" ca="1" si="41"/>
        <v>48.791762219772146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>
      <c r="A69" s="159"/>
      <c r="B69" s="33"/>
      <c r="C69" s="281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65">
        <f t="shared" ref="L69:N69" ca="1" si="43">L70+L71</f>
        <v>1116400</v>
      </c>
      <c r="M69" s="465">
        <f t="shared" ca="1" si="43"/>
        <v>544200</v>
      </c>
      <c r="N69" s="465">
        <f t="shared" ca="1" si="43"/>
        <v>265524.77</v>
      </c>
      <c r="O69" s="465">
        <f t="shared" ca="1" si="40"/>
        <v>23.784017377284126</v>
      </c>
      <c r="P69" s="465">
        <f t="shared" ca="1" si="41"/>
        <v>48.791762219772146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2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2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IFERROR(__xludf.DUMMYFUNCTION("IMPORTRANGE(""https://docs.google.com/spreadsheets/d/1MeEWN-I1oV_STSDYn1IFDPWt_1FKiwhDph83XaGc0o0/edit?usp=sharing"",""งบพรบ!AG22"")"),1116400)</f>
        <v>1116400</v>
      </c>
      <c r="M71" s="93">
        <f ca="1">IFERROR(__xludf.DUMMYFUNCTION("IMPORTRANGE(""https://docs.google.com/spreadsheets/d/1MeEWN-I1oV_STSDYn1IFDPWt_1FKiwhDph83XaGc0o0/edit?usp=sharing"",""งบพรบ!AL22"")"),544200)</f>
        <v>544200</v>
      </c>
      <c r="N71" s="93">
        <f ca="1">IFERROR(__xludf.DUMMYFUNCTION("IMPORTRANGE(""https://docs.google.com/spreadsheets/d/1MeEWN-I1oV_STSDYn1IFDPWt_1FKiwhDph83XaGc0o0/edit?usp=sharing"",""งบพรบ!AN22"")"),265524.77)</f>
        <v>265524.77</v>
      </c>
      <c r="O71" s="93">
        <f t="shared" ca="1" si="40"/>
        <v>23.784017377284126</v>
      </c>
      <c r="P71" s="93">
        <f t="shared" ca="1" si="41"/>
        <v>48.791762219772146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>
      <c r="A72" s="159"/>
      <c r="B72" s="33"/>
      <c r="C72" s="281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65">
        <f t="shared" ref="L72:N72" ca="1" si="44">L73+L74</f>
        <v>0</v>
      </c>
      <c r="M72" s="465">
        <f t="shared" ca="1" si="44"/>
        <v>0</v>
      </c>
      <c r="N72" s="465">
        <f t="shared" ca="1" si="44"/>
        <v>0</v>
      </c>
      <c r="O72" s="465">
        <f t="shared" ca="1" si="40"/>
        <v>0</v>
      </c>
      <c r="P72" s="465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2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2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IFERROR(__xludf.DUMMYFUNCTION("IMPORTRANGE(""https://docs.google.com/spreadsheets/d/1MeEWN-I1oV_STSDYn1IFDPWt_1FKiwhDph83XaGc0o0/edit?usp=sharing"",""งบพรบ!AJ22"")"),0)</f>
        <v>0</v>
      </c>
      <c r="M74" s="93">
        <f ca="1">IFERROR(__xludf.DUMMYFUNCTION("IMPORTRANGE(""https://docs.google.com/spreadsheets/d/1MeEWN-I1oV_STSDYn1IFDPWt_1FKiwhDph83XaGc0o0/edit?usp=sharing"",""งบพรบ!AM22"")"),0)</f>
        <v>0</v>
      </c>
      <c r="N74" s="93">
        <f ca="1">IFERROR(__xludf.DUMMYFUNCTION("IMPORTRANGE(""https://docs.google.com/spreadsheets/d/1MeEWN-I1oV_STSDYn1IFDPWt_1FKiwhDph83XaGc0o0/edit?usp=sharing"",""งบพรบ!AO22"")"),0)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>
      <c r="A75" s="170"/>
      <c r="B75" s="171"/>
      <c r="C75" s="164" t="s">
        <v>16</v>
      </c>
      <c r="D75" s="818" t="s">
        <v>38</v>
      </c>
      <c r="E75" s="173"/>
      <c r="F75" s="173"/>
      <c r="G75" s="174"/>
      <c r="H75" s="726"/>
      <c r="I75" s="184"/>
      <c r="J75" s="184"/>
      <c r="K75" s="163"/>
      <c r="L75" s="163"/>
      <c r="M75" s="163"/>
      <c r="N75" s="163"/>
      <c r="O75" s="163"/>
      <c r="P75" s="163"/>
    </row>
    <row r="76" spans="1:26" ht="19.5">
      <c r="A76" s="170"/>
      <c r="B76" s="171"/>
      <c r="C76" s="171"/>
      <c r="D76" s="343" t="s">
        <v>39</v>
      </c>
      <c r="E76" s="415"/>
      <c r="F76" s="342"/>
      <c r="G76" s="179"/>
      <c r="H76" s="180" t="s">
        <v>34</v>
      </c>
      <c r="I76" s="269">
        <f t="shared" ref="I76:J77" ca="1" si="45">I78+I80+I82</f>
        <v>2</v>
      </c>
      <c r="J76" s="269">
        <f t="shared" si="45"/>
        <v>2</v>
      </c>
      <c r="K76" s="163">
        <f t="shared" ref="K76:K84" ca="1" si="46">IF(I76&gt;0,J76*100/I76,0)</f>
        <v>100</v>
      </c>
      <c r="L76" s="163"/>
      <c r="M76" s="163"/>
      <c r="N76" s="163"/>
      <c r="O76" s="163"/>
      <c r="P76" s="163"/>
    </row>
    <row r="77" spans="1:26" ht="19.5">
      <c r="A77" s="170"/>
      <c r="B77" s="171"/>
      <c r="C77" s="171"/>
      <c r="D77" s="171"/>
      <c r="E77" s="342"/>
      <c r="F77" s="342"/>
      <c r="G77" s="179"/>
      <c r="H77" s="180" t="s">
        <v>35</v>
      </c>
      <c r="I77" s="269">
        <f t="shared" ca="1" si="45"/>
        <v>80</v>
      </c>
      <c r="J77" s="269">
        <f t="shared" si="45"/>
        <v>80</v>
      </c>
      <c r="K77" s="163">
        <f t="shared" ca="1" si="46"/>
        <v>100</v>
      </c>
      <c r="L77" s="163"/>
      <c r="M77" s="163"/>
      <c r="N77" s="163"/>
      <c r="O77" s="163"/>
      <c r="P77" s="163"/>
    </row>
    <row r="78" spans="1:26" ht="18.75">
      <c r="A78" s="170"/>
      <c r="B78" s="171"/>
      <c r="C78" s="171"/>
      <c r="D78" s="171"/>
      <c r="E78" s="415" t="s">
        <v>40</v>
      </c>
      <c r="F78" s="415"/>
      <c r="G78" s="179"/>
      <c r="H78" s="728" t="s">
        <v>34</v>
      </c>
      <c r="I78" s="184">
        <f ca="1">IFERROR(__xludf.DUMMYFUNCTION("IMPORTRANGE(""https://docs.google.com/spreadsheets/d/1QqKyyYR6Q21VydFLVH3TRQUabQu_ym0Zz7PgGX0-kHA/edit?usp=sharing"",""แผน!H22"")"),2)</f>
        <v>2</v>
      </c>
      <c r="J78" s="214">
        <v>2</v>
      </c>
      <c r="K78" s="163">
        <f t="shared" ca="1" si="46"/>
        <v>100</v>
      </c>
      <c r="L78" s="163"/>
      <c r="M78" s="163"/>
      <c r="N78" s="163"/>
      <c r="O78" s="163"/>
      <c r="P78" s="163"/>
    </row>
    <row r="79" spans="1:26" ht="18.75">
      <c r="A79" s="170"/>
      <c r="B79" s="171"/>
      <c r="C79" s="171"/>
      <c r="D79" s="171"/>
      <c r="E79" s="342"/>
      <c r="F79" s="342"/>
      <c r="G79" s="179"/>
      <c r="H79" s="728" t="s">
        <v>35</v>
      </c>
      <c r="I79" s="184">
        <f ca="1">IFERROR(__xludf.DUMMYFUNCTION("IMPORTRANGE(""https://docs.google.com/spreadsheets/d/1QqKyyYR6Q21VydFLVH3TRQUabQu_ym0Zz7PgGX0-kHA/edit?usp=sharing"",""แผน!I22"")"),80)</f>
        <v>80</v>
      </c>
      <c r="J79" s="214">
        <v>80</v>
      </c>
      <c r="K79" s="163">
        <f t="shared" ca="1" si="46"/>
        <v>100</v>
      </c>
      <c r="L79" s="163"/>
      <c r="M79" s="163"/>
      <c r="N79" s="163"/>
      <c r="O79" s="163"/>
      <c r="P79" s="163"/>
    </row>
    <row r="80" spans="1:26" ht="18.75">
      <c r="A80" s="170"/>
      <c r="B80" s="171"/>
      <c r="C80" s="171"/>
      <c r="D80" s="171"/>
      <c r="E80" s="415" t="s">
        <v>41</v>
      </c>
      <c r="F80" s="415"/>
      <c r="G80" s="179"/>
      <c r="H80" s="728" t="s">
        <v>34</v>
      </c>
      <c r="I80" s="184">
        <f ca="1">IFERROR(__xludf.DUMMYFUNCTION("IMPORTRANGE(""https://docs.google.com/spreadsheets/d/1QqKyyYR6Q21VydFLVH3TRQUabQu_ym0Zz7PgGX0-kHA/edit?usp=sharing"",""แผน!F22"")"),0)</f>
        <v>0</v>
      </c>
      <c r="J80" s="214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>
      <c r="A81" s="170"/>
      <c r="B81" s="171"/>
      <c r="C81" s="171"/>
      <c r="D81" s="171"/>
      <c r="E81" s="342"/>
      <c r="F81" s="342"/>
      <c r="G81" s="179"/>
      <c r="H81" s="728" t="s">
        <v>35</v>
      </c>
      <c r="I81" s="184">
        <f ca="1">IFERROR(__xludf.DUMMYFUNCTION("IMPORTRANGE(""https://docs.google.com/spreadsheets/d/1QqKyyYR6Q21VydFLVH3TRQUabQu_ym0Zz7PgGX0-kHA/edit?usp=sharing"",""แผน!G22"")"),0)</f>
        <v>0</v>
      </c>
      <c r="J81" s="214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>
      <c r="A82" s="170"/>
      <c r="B82" s="171"/>
      <c r="C82" s="171"/>
      <c r="D82" s="171"/>
      <c r="E82" s="415" t="s">
        <v>42</v>
      </c>
      <c r="F82" s="415"/>
      <c r="G82" s="179"/>
      <c r="H82" s="728" t="s">
        <v>34</v>
      </c>
      <c r="I82" s="184">
        <f ca="1">IFERROR(__xludf.DUMMYFUNCTION("IMPORTRANGE(""https://docs.google.com/spreadsheets/d/1QqKyyYR6Q21VydFLVH3TRQUabQu_ym0Zz7PgGX0-kHA/edit?usp=sharing"",""แผน!D22"")"),0)</f>
        <v>0</v>
      </c>
      <c r="J82" s="214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>
      <c r="A83" s="170"/>
      <c r="B83" s="171"/>
      <c r="C83" s="171"/>
      <c r="D83" s="171"/>
      <c r="E83" s="342"/>
      <c r="F83" s="342"/>
      <c r="G83" s="179"/>
      <c r="H83" s="728" t="s">
        <v>35</v>
      </c>
      <c r="I83" s="184">
        <f ca="1">IFERROR(__xludf.DUMMYFUNCTION("IMPORTRANGE(""https://docs.google.com/spreadsheets/d/1QqKyyYR6Q21VydFLVH3TRQUabQu_ym0Zz7PgGX0-kHA/edit?usp=sharing"",""แผน!E22"")"),0)</f>
        <v>0</v>
      </c>
      <c r="J83" s="214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>
      <c r="A84" s="170"/>
      <c r="B84" s="171"/>
      <c r="C84" s="171"/>
      <c r="D84" s="343" t="s">
        <v>43</v>
      </c>
      <c r="E84" s="415"/>
      <c r="F84" s="342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IFERROR(__xludf.DUMMYFUNCTION("IMPORTRANGE(""https://docs.google.com/spreadsheets/d/1QqKyyYR6Q21VydFLVH3TRQUabQu_ym0Zz7PgGX0-kHA/edit?usp=sharing"",""แผน!J22"")"),2)</f>
        <v>2</v>
      </c>
      <c r="J84" s="214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8" t="s">
        <v>45</v>
      </c>
      <c r="C86" s="140"/>
      <c r="D86" s="141"/>
      <c r="E86" s="140"/>
      <c r="F86" s="140"/>
      <c r="G86" s="142"/>
      <c r="H86" s="143" t="s">
        <v>46</v>
      </c>
      <c r="I86" s="144">
        <f t="shared" ref="I86:J87" ca="1" si="47">I98</f>
        <v>120</v>
      </c>
      <c r="J86" s="144">
        <f t="shared" si="47"/>
        <v>0</v>
      </c>
      <c r="K86" s="145">
        <f t="shared" ref="K86:K87" ca="1" si="48">IF(I86&gt;0,J86*100/I86,0)</f>
        <v>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143" t="s">
        <v>35</v>
      </c>
      <c r="I87" s="144">
        <f t="shared" ca="1" si="47"/>
        <v>40</v>
      </c>
      <c r="J87" s="144">
        <f t="shared" si="47"/>
        <v>0</v>
      </c>
      <c r="K87" s="145">
        <f t="shared" ca="1" si="48"/>
        <v>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17" t="s">
        <v>17</v>
      </c>
      <c r="E88" s="148"/>
      <c r="F88" s="148"/>
      <c r="G88" s="151"/>
      <c r="H88" s="152" t="s">
        <v>12</v>
      </c>
      <c r="I88" s="388"/>
      <c r="J88" s="388"/>
      <c r="K88" s="154"/>
      <c r="L88" s="155">
        <f t="shared" ref="L88:N88" ca="1" si="49">L89+L90</f>
        <v>447560</v>
      </c>
      <c r="M88" s="155">
        <f t="shared" ca="1" si="49"/>
        <v>217360</v>
      </c>
      <c r="N88" s="155">
        <f t="shared" ca="1" si="49"/>
        <v>65200</v>
      </c>
      <c r="O88" s="155">
        <f t="shared" ref="O88:O96" ca="1" si="50">IF(L88&gt;0,N88*100/L88,0)</f>
        <v>14.567879167039056</v>
      </c>
      <c r="P88" s="155">
        <f t="shared" ref="P88:P96" ca="1" si="51">IF(M88&gt;0,N88*100/M88,0)</f>
        <v>29.99631947000368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2" t="s">
        <v>18</v>
      </c>
      <c r="F89" s="40"/>
      <c r="G89" s="157"/>
      <c r="H89" s="158" t="s">
        <v>12</v>
      </c>
      <c r="I89" s="583"/>
      <c r="J89" s="583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2" t="s">
        <v>19</v>
      </c>
      <c r="F90" s="40"/>
      <c r="G90" s="157"/>
      <c r="H90" s="158" t="s">
        <v>12</v>
      </c>
      <c r="I90" s="583"/>
      <c r="J90" s="583"/>
      <c r="K90" s="93"/>
      <c r="L90" s="93">
        <f t="shared" ca="1" si="52"/>
        <v>447560</v>
      </c>
      <c r="M90" s="93">
        <f t="shared" ca="1" si="52"/>
        <v>217360</v>
      </c>
      <c r="N90" s="93">
        <f t="shared" ca="1" si="52"/>
        <v>65200</v>
      </c>
      <c r="O90" s="93">
        <f t="shared" ca="1" si="50"/>
        <v>14.567879167039056</v>
      </c>
      <c r="P90" s="93">
        <f t="shared" ca="1" si="51"/>
        <v>29.99631947000368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1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65">
        <f t="shared" ref="L91:N91" ca="1" si="53">L92+L93</f>
        <v>447560</v>
      </c>
      <c r="M91" s="465">
        <f t="shared" ca="1" si="53"/>
        <v>217360</v>
      </c>
      <c r="N91" s="465">
        <f t="shared" ca="1" si="53"/>
        <v>65200</v>
      </c>
      <c r="O91" s="465">
        <f t="shared" ca="1" si="50"/>
        <v>14.567879167039056</v>
      </c>
      <c r="P91" s="465">
        <f t="shared" ca="1" si="51"/>
        <v>29.99631947000368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2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2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IFERROR(__xludf.DUMMYFUNCTION("IMPORTRANGE(""https://docs.google.com/spreadsheets/d/1MeEWN-I1oV_STSDYn1IFDPWt_1FKiwhDph83XaGc0o0/edit?usp=sharing"",""งบพรบ!AQ22"")"),447560)</f>
        <v>447560</v>
      </c>
      <c r="M93" s="93">
        <f ca="1">IFERROR(__xludf.DUMMYFUNCTION("IMPORTRANGE(""https://docs.google.com/spreadsheets/d/1MeEWN-I1oV_STSDYn1IFDPWt_1FKiwhDph83XaGc0o0/edit?usp=sharing"",""งบพรบ!AV22"")"),217360)</f>
        <v>217360</v>
      </c>
      <c r="N93" s="93">
        <f ca="1">IFERROR(__xludf.DUMMYFUNCTION("IMPORTRANGE(""https://docs.google.com/spreadsheets/d/1MeEWN-I1oV_STSDYn1IFDPWt_1FKiwhDph83XaGc0o0/edit?usp=sharing"",""งบพรบ!AX22"")"),65200)</f>
        <v>65200</v>
      </c>
      <c r="O93" s="93">
        <f t="shared" ca="1" si="50"/>
        <v>14.567879167039056</v>
      </c>
      <c r="P93" s="93">
        <f t="shared" ca="1" si="51"/>
        <v>29.99631947000368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1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65">
        <f t="shared" ref="L94:N94" ca="1" si="54">L95+L96</f>
        <v>0</v>
      </c>
      <c r="M94" s="465">
        <f t="shared" ca="1" si="54"/>
        <v>0</v>
      </c>
      <c r="N94" s="465">
        <f t="shared" ca="1" si="54"/>
        <v>0</v>
      </c>
      <c r="O94" s="465">
        <f t="shared" ca="1" si="50"/>
        <v>0</v>
      </c>
      <c r="P94" s="465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2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2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IFERROR(__xludf.DUMMYFUNCTION("IMPORTRANGE(""https://docs.google.com/spreadsheets/d/1MeEWN-I1oV_STSDYn1IFDPWt_1FKiwhDph83XaGc0o0/edit?usp=sharing"",""งบพรบ!AT22"")"),0)</f>
        <v>0</v>
      </c>
      <c r="M96" s="93">
        <f ca="1">IFERROR(__xludf.DUMMYFUNCTION("IMPORTRANGE(""https://docs.google.com/spreadsheets/d/1MeEWN-I1oV_STSDYn1IFDPWt_1FKiwhDph83XaGc0o0/edit?usp=sharing"",""งบพรบ!AW22"")"),0)</f>
        <v>0</v>
      </c>
      <c r="N96" s="93">
        <f ca="1">IFERROR(__xludf.DUMMYFUNCTION("IMPORTRANGE(""https://docs.google.com/spreadsheets/d/1MeEWN-I1oV_STSDYn1IFDPWt_1FKiwhDph83XaGc0o0/edit?usp=sharing"",""งบพรบ!AY22"")"),0)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18" t="s">
        <v>38</v>
      </c>
      <c r="E97" s="173"/>
      <c r="F97" s="173"/>
      <c r="G97" s="174"/>
      <c r="H97" s="726"/>
      <c r="I97" s="184"/>
      <c r="J97" s="269"/>
      <c r="K97" s="465"/>
      <c r="L97" s="465"/>
      <c r="M97" s="465"/>
      <c r="N97" s="465"/>
      <c r="O97" s="163"/>
      <c r="P97" s="163"/>
    </row>
    <row r="98" spans="1:16" ht="18.75">
      <c r="A98" s="170"/>
      <c r="B98" s="171"/>
      <c r="C98" s="171"/>
      <c r="D98" s="415" t="s">
        <v>47</v>
      </c>
      <c r="E98" s="415"/>
      <c r="F98" s="342"/>
      <c r="G98" s="179"/>
      <c r="H98" s="589" t="s">
        <v>46</v>
      </c>
      <c r="I98" s="269">
        <f ca="1">IFERROR(__xludf.DUMMYFUNCTION("IMPORTRANGE(""https://docs.google.com/spreadsheets/d/1QqKyyYR6Q21VydFLVH3TRQUabQu_ym0Zz7PgGX0-kHA/edit?usp=sharing"",""แผน!K22"")"),120)</f>
        <v>120</v>
      </c>
      <c r="J98" s="269">
        <f>J102</f>
        <v>0</v>
      </c>
      <c r="K98" s="465">
        <f t="shared" ref="K98:K100" ca="1" si="55">IF(I98&gt;0,J98*100/I98,0)</f>
        <v>0</v>
      </c>
      <c r="L98" s="465"/>
      <c r="M98" s="465"/>
      <c r="N98" s="465"/>
      <c r="O98" s="163"/>
      <c r="P98" s="163"/>
    </row>
    <row r="99" spans="1:16" ht="18.75">
      <c r="A99" s="170"/>
      <c r="B99" s="171"/>
      <c r="C99" s="171"/>
      <c r="D99" s="415" t="s">
        <v>48</v>
      </c>
      <c r="E99" s="415"/>
      <c r="F99" s="342"/>
      <c r="G99" s="179"/>
      <c r="H99" s="589" t="s">
        <v>35</v>
      </c>
      <c r="I99" s="269">
        <f ca="1">IFERROR(__xludf.DUMMYFUNCTION("IMPORTRANGE(""https://docs.google.com/spreadsheets/d/1QqKyyYR6Q21VydFLVH3TRQUabQu_ym0Zz7PgGX0-kHA/edit?usp=sharing"",""แผน!L22"")"),40)</f>
        <v>40</v>
      </c>
      <c r="J99" s="269">
        <f>J104</f>
        <v>0</v>
      </c>
      <c r="K99" s="465">
        <f t="shared" ca="1" si="55"/>
        <v>0</v>
      </c>
      <c r="L99" s="465"/>
      <c r="M99" s="465"/>
      <c r="N99" s="465"/>
      <c r="O99" s="163"/>
      <c r="P99" s="163"/>
    </row>
    <row r="100" spans="1:16" ht="18.75">
      <c r="A100" s="170"/>
      <c r="B100" s="171"/>
      <c r="C100" s="171"/>
      <c r="D100" s="171"/>
      <c r="E100" s="342"/>
      <c r="F100" s="342"/>
      <c r="G100" s="179"/>
      <c r="H100" s="589" t="s">
        <v>49</v>
      </c>
      <c r="I100" s="269">
        <f ca="1">IFERROR(__xludf.DUMMYFUNCTION("IMPORTRANGE(""https://docs.google.com/spreadsheets/d/1QqKyyYR6Q21VydFLVH3TRQUabQu_ym0Zz7PgGX0-kHA/edit?usp=sharing"",""แผน!M22"")"),2)</f>
        <v>2</v>
      </c>
      <c r="J100" s="269">
        <f>J107+J110</f>
        <v>0</v>
      </c>
      <c r="K100" s="465">
        <f t="shared" ca="1" si="55"/>
        <v>0</v>
      </c>
      <c r="L100" s="465"/>
      <c r="M100" s="465"/>
      <c r="N100" s="465"/>
      <c r="O100" s="163"/>
      <c r="P100" s="163"/>
    </row>
    <row r="101" spans="1:16" ht="19.5">
      <c r="A101" s="170"/>
      <c r="B101" s="171"/>
      <c r="C101" s="171"/>
      <c r="D101" s="342"/>
      <c r="E101" s="191" t="s">
        <v>50</v>
      </c>
      <c r="F101" s="342"/>
      <c r="G101" s="179"/>
      <c r="H101" s="589"/>
      <c r="I101" s="269"/>
      <c r="J101" s="269"/>
      <c r="K101" s="465"/>
      <c r="L101" s="465"/>
      <c r="M101" s="465"/>
      <c r="N101" s="465"/>
      <c r="O101" s="163"/>
      <c r="P101" s="163"/>
    </row>
    <row r="102" spans="1:16" ht="18.75">
      <c r="A102" s="170"/>
      <c r="B102" s="171"/>
      <c r="C102" s="171"/>
      <c r="D102" s="342"/>
      <c r="E102" s="592" t="s">
        <v>47</v>
      </c>
      <c r="F102" s="342"/>
      <c r="G102" s="179"/>
      <c r="H102" s="589" t="s">
        <v>46</v>
      </c>
      <c r="I102" s="269">
        <f ca="1">IFERROR(__xludf.DUMMYFUNCTION("IMPORTRANGE(""https://docs.google.com/spreadsheets/d/1QqKyyYR6Q21VydFLVH3TRQUabQu_ym0Zz7PgGX0-kHA/edit?usp=sharing"",""แผน!N22"")"),120)</f>
        <v>120</v>
      </c>
      <c r="J102" s="214">
        <v>0</v>
      </c>
      <c r="K102" s="465">
        <f t="shared" ref="K102:K104" ca="1" si="56">IF(I102&gt;0,J102*100/I102,0)</f>
        <v>0</v>
      </c>
      <c r="L102" s="465"/>
      <c r="M102" s="465"/>
      <c r="N102" s="465"/>
      <c r="O102" s="163"/>
      <c r="P102" s="163"/>
    </row>
    <row r="103" spans="1:16" ht="19.5">
      <c r="A103" s="170"/>
      <c r="B103" s="171"/>
      <c r="C103" s="171"/>
      <c r="D103" s="342"/>
      <c r="E103" s="415" t="s">
        <v>51</v>
      </c>
      <c r="F103" s="342"/>
      <c r="G103" s="179"/>
      <c r="H103" s="589" t="s">
        <v>35</v>
      </c>
      <c r="I103" s="269">
        <f ca="1">IFERROR(__xludf.DUMMYFUNCTION("IMPORTRANGE(""https://docs.google.com/spreadsheets/d/1QqKyyYR6Q21VydFLVH3TRQUabQu_ym0Zz7PgGX0-kHA/edit?usp=sharing"",""แผน!O22"")"),40)</f>
        <v>40</v>
      </c>
      <c r="J103" s="214">
        <v>0</v>
      </c>
      <c r="K103" s="465">
        <f t="shared" ca="1" si="56"/>
        <v>0</v>
      </c>
      <c r="L103" s="465"/>
      <c r="M103" s="465"/>
      <c r="N103" s="465"/>
      <c r="O103" s="163"/>
      <c r="P103" s="163"/>
    </row>
    <row r="104" spans="1:16" ht="18.75">
      <c r="A104" s="170"/>
      <c r="B104" s="171"/>
      <c r="C104" s="171"/>
      <c r="D104" s="342"/>
      <c r="E104" s="188" t="s">
        <v>52</v>
      </c>
      <c r="F104" s="342"/>
      <c r="G104" s="179"/>
      <c r="H104" s="589" t="s">
        <v>35</v>
      </c>
      <c r="I104" s="269">
        <f ca="1">IFERROR(__xludf.DUMMYFUNCTION("IMPORTRANGE(""https://docs.google.com/spreadsheets/d/1QqKyyYR6Q21VydFLVH3TRQUabQu_ym0Zz7PgGX0-kHA/edit?usp=sharing"",""แผน!O22"")"),40)</f>
        <v>40</v>
      </c>
      <c r="J104" s="214">
        <v>0</v>
      </c>
      <c r="K104" s="465">
        <f t="shared" ca="1" si="56"/>
        <v>0</v>
      </c>
      <c r="L104" s="465"/>
      <c r="M104" s="465"/>
      <c r="N104" s="465"/>
      <c r="O104" s="163"/>
      <c r="P104" s="163"/>
    </row>
    <row r="105" spans="1:16" ht="19.5">
      <c r="A105" s="170"/>
      <c r="B105" s="171"/>
      <c r="C105" s="171"/>
      <c r="D105" s="342"/>
      <c r="E105" s="191" t="s">
        <v>53</v>
      </c>
      <c r="F105" s="342"/>
      <c r="G105" s="179"/>
      <c r="H105" s="189"/>
      <c r="I105" s="269"/>
      <c r="J105" s="269"/>
      <c r="K105" s="465"/>
      <c r="L105" s="465"/>
      <c r="M105" s="465"/>
      <c r="N105" s="465"/>
      <c r="O105" s="163"/>
      <c r="P105" s="163"/>
    </row>
    <row r="106" spans="1:16" ht="19.5">
      <c r="A106" s="170"/>
      <c r="B106" s="171"/>
      <c r="C106" s="171"/>
      <c r="D106" s="342"/>
      <c r="E106" s="415" t="s">
        <v>54</v>
      </c>
      <c r="F106" s="342"/>
      <c r="G106" s="179"/>
      <c r="H106" s="589" t="s">
        <v>49</v>
      </c>
      <c r="I106" s="269">
        <f ca="1">IFERROR(__xludf.DUMMYFUNCTION("IMPORTRANGE(""https://docs.google.com/spreadsheets/d/1QqKyyYR6Q21VydFLVH3TRQUabQu_ym0Zz7PgGX0-kHA/edit?usp=sharing"",""แผน!P22"")"),1)</f>
        <v>1</v>
      </c>
      <c r="J106" s="214">
        <v>0</v>
      </c>
      <c r="K106" s="465">
        <f t="shared" ref="K106:K107" ca="1" si="57">IF(I106&gt;0,J106*100/I106,0)</f>
        <v>0</v>
      </c>
      <c r="L106" s="465"/>
      <c r="M106" s="465"/>
      <c r="N106" s="465"/>
      <c r="O106" s="163"/>
      <c r="P106" s="163"/>
    </row>
    <row r="107" spans="1:16" ht="18.75">
      <c r="A107" s="170"/>
      <c r="B107" s="171"/>
      <c r="C107" s="171"/>
      <c r="D107" s="342"/>
      <c r="E107" s="188" t="s">
        <v>55</v>
      </c>
      <c r="F107" s="342"/>
      <c r="G107" s="179"/>
      <c r="H107" s="589" t="s">
        <v>49</v>
      </c>
      <c r="I107" s="269">
        <f ca="1">IFERROR(__xludf.DUMMYFUNCTION("IMPORTRANGE(""https://docs.google.com/spreadsheets/d/1QqKyyYR6Q21VydFLVH3TRQUabQu_ym0Zz7PgGX0-kHA/edit?usp=sharing"",""แผน!P22"")"),1)</f>
        <v>1</v>
      </c>
      <c r="J107" s="214">
        <v>0</v>
      </c>
      <c r="K107" s="465">
        <f t="shared" ca="1" si="57"/>
        <v>0</v>
      </c>
      <c r="L107" s="465"/>
      <c r="M107" s="465"/>
      <c r="N107" s="465"/>
      <c r="O107" s="163"/>
      <c r="P107" s="163"/>
    </row>
    <row r="108" spans="1:16" ht="19.5">
      <c r="A108" s="170"/>
      <c r="B108" s="171"/>
      <c r="C108" s="171"/>
      <c r="D108" s="342"/>
      <c r="E108" s="191" t="s">
        <v>56</v>
      </c>
      <c r="F108" s="342"/>
      <c r="G108" s="179"/>
      <c r="H108" s="189"/>
      <c r="I108" s="269"/>
      <c r="J108" s="269"/>
      <c r="K108" s="465"/>
      <c r="L108" s="465"/>
      <c r="M108" s="465"/>
      <c r="N108" s="465"/>
      <c r="O108" s="163"/>
      <c r="P108" s="163"/>
    </row>
    <row r="109" spans="1:16" ht="19.5">
      <c r="A109" s="170"/>
      <c r="B109" s="171"/>
      <c r="C109" s="171"/>
      <c r="D109" s="342"/>
      <c r="E109" s="415" t="s">
        <v>57</v>
      </c>
      <c r="F109" s="342"/>
      <c r="G109" s="179"/>
      <c r="H109" s="589" t="s">
        <v>49</v>
      </c>
      <c r="I109" s="269">
        <f ca="1">IFERROR(__xludf.DUMMYFUNCTION("IMPORTRANGE(""https://docs.google.com/spreadsheets/d/1QqKyyYR6Q21VydFLVH3TRQUabQu_ym0Zz7PgGX0-kHA/edit?usp=sharing"",""แผน!Q22"")"),1)</f>
        <v>1</v>
      </c>
      <c r="J109" s="214">
        <v>0</v>
      </c>
      <c r="K109" s="465">
        <f t="shared" ref="K109:K116" ca="1" si="58">IF(I109&gt;0,J109*100/I109,0)</f>
        <v>0</v>
      </c>
      <c r="L109" s="465"/>
      <c r="M109" s="465"/>
      <c r="N109" s="465"/>
      <c r="O109" s="163"/>
      <c r="P109" s="163"/>
    </row>
    <row r="110" spans="1:16" ht="18.75">
      <c r="A110" s="170"/>
      <c r="B110" s="171"/>
      <c r="C110" s="171"/>
      <c r="D110" s="342"/>
      <c r="E110" s="190" t="s">
        <v>58</v>
      </c>
      <c r="F110" s="342"/>
      <c r="G110" s="179"/>
      <c r="H110" s="589" t="s">
        <v>49</v>
      </c>
      <c r="I110" s="269">
        <f ca="1">IFERROR(__xludf.DUMMYFUNCTION("IMPORTRANGE(""https://docs.google.com/spreadsheets/d/1QqKyyYR6Q21VydFLVH3TRQUabQu_ym0Zz7PgGX0-kHA/edit?usp=sharing"",""แผน!Q22"")"),1)</f>
        <v>1</v>
      </c>
      <c r="J110" s="214">
        <v>0</v>
      </c>
      <c r="K110" s="465">
        <f t="shared" ca="1" si="58"/>
        <v>0</v>
      </c>
      <c r="L110" s="465"/>
      <c r="M110" s="465"/>
      <c r="N110" s="465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342"/>
      <c r="G111" s="179"/>
      <c r="H111" s="731" t="s">
        <v>35</v>
      </c>
      <c r="I111" s="193">
        <f ca="1">IFERROR(__xludf.DUMMYFUNCTION("IMPORTRANGE(""https://docs.google.com/spreadsheets/d/1QqKyyYR6Q21VydFLVH3TRQUabQu_ym0Zz7PgGX0-kHA/edit?usp=sharing"",""แผน!R22"")"),40)</f>
        <v>40</v>
      </c>
      <c r="J111" s="647">
        <f>J114</f>
        <v>0</v>
      </c>
      <c r="K111" s="195">
        <f t="shared" ca="1" si="58"/>
        <v>0</v>
      </c>
      <c r="L111" s="465"/>
      <c r="M111" s="465"/>
      <c r="N111" s="465"/>
      <c r="O111" s="163"/>
      <c r="P111" s="163"/>
    </row>
    <row r="112" spans="1:16" ht="19.5">
      <c r="A112" s="170"/>
      <c r="B112" s="171"/>
      <c r="C112" s="171"/>
      <c r="D112" s="171"/>
      <c r="E112" s="342"/>
      <c r="F112" s="342"/>
      <c r="G112" s="179"/>
      <c r="H112" s="196" t="s">
        <v>49</v>
      </c>
      <c r="I112" s="193">
        <f t="shared" ref="I112:J112" ca="1" si="59">I115+I116</f>
        <v>2</v>
      </c>
      <c r="J112" s="647">
        <f t="shared" si="59"/>
        <v>0</v>
      </c>
      <c r="K112" s="195">
        <f t="shared" ca="1" si="58"/>
        <v>0</v>
      </c>
      <c r="L112" s="465"/>
      <c r="M112" s="465"/>
      <c r="N112" s="465"/>
      <c r="O112" s="163"/>
      <c r="P112" s="163"/>
    </row>
    <row r="113" spans="1:26" ht="19.5">
      <c r="A113" s="170"/>
      <c r="B113" s="171"/>
      <c r="C113" s="171"/>
      <c r="D113" s="171"/>
      <c r="E113" s="494" t="s">
        <v>60</v>
      </c>
      <c r="F113" s="342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IFERROR(__xludf.DUMMYFUNCTION("IMPORTRANGE(""https://docs.google.com/spreadsheets/d/1QqKyyYR6Q21VydFLVH3TRQUabQu_ym0Zz7PgGX0-kHA/edit?usp=sharing"",""แผน!R22"")"),40)</f>
        <v>40</v>
      </c>
      <c r="J113" s="214">
        <v>0</v>
      </c>
      <c r="K113" s="465">
        <f t="shared" ca="1" si="58"/>
        <v>0</v>
      </c>
      <c r="L113" s="465"/>
      <c r="M113" s="465"/>
      <c r="N113" s="465"/>
      <c r="O113" s="163"/>
      <c r="P113" s="163"/>
    </row>
    <row r="114" spans="1:26" ht="19.5">
      <c r="A114" s="170"/>
      <c r="B114" s="171"/>
      <c r="C114" s="171"/>
      <c r="D114" s="171"/>
      <c r="E114" s="415" t="s">
        <v>61</v>
      </c>
      <c r="F114" s="342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IFERROR(__xludf.DUMMYFUNCTION("IMPORTRANGE(""https://docs.google.com/spreadsheets/d/1QqKyyYR6Q21VydFLVH3TRQUabQu_ym0Zz7PgGX0-kHA/edit?usp=sharing"",""แผน!R22"")"),40)</f>
        <v>40</v>
      </c>
      <c r="J114" s="214">
        <v>0</v>
      </c>
      <c r="K114" s="465">
        <f t="shared" ca="1" si="58"/>
        <v>0</v>
      </c>
      <c r="L114" s="465"/>
      <c r="M114" s="465"/>
      <c r="N114" s="465"/>
      <c r="O114" s="163"/>
      <c r="P114" s="163"/>
    </row>
    <row r="115" spans="1:26" ht="18.75">
      <c r="A115" s="170"/>
      <c r="B115" s="171"/>
      <c r="C115" s="171"/>
      <c r="D115" s="171"/>
      <c r="E115" s="415" t="s">
        <v>62</v>
      </c>
      <c r="F115" s="342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IFERROR(__xludf.DUMMYFUNCTION("IMPORTRANGE(""https://docs.google.com/spreadsheets/d/1QqKyyYR6Q21VydFLVH3TRQUabQu_ym0Zz7PgGX0-kHA/edit?usp=sharing"",""แผน!S22"")"),1)</f>
        <v>1</v>
      </c>
      <c r="J115" s="214">
        <v>0</v>
      </c>
      <c r="K115" s="465">
        <f t="shared" ca="1" si="58"/>
        <v>0</v>
      </c>
      <c r="L115" s="465"/>
      <c r="M115" s="465"/>
      <c r="N115" s="465"/>
      <c r="O115" s="163"/>
      <c r="P115" s="163"/>
    </row>
    <row r="116" spans="1:26" ht="18.75">
      <c r="A116" s="170"/>
      <c r="B116" s="171"/>
      <c r="C116" s="171"/>
      <c r="D116" s="171"/>
      <c r="E116" s="415" t="s">
        <v>63</v>
      </c>
      <c r="F116" s="342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IFERROR(__xludf.DUMMYFUNCTION("IMPORTRANGE(""https://docs.google.com/spreadsheets/d/1QqKyyYR6Q21VydFLVH3TRQUabQu_ym0Zz7PgGX0-kHA/edit?usp=sharing"",""แผน!T22"")"),1)</f>
        <v>1</v>
      </c>
      <c r="J116" s="214">
        <v>0</v>
      </c>
      <c r="K116" s="465">
        <f t="shared" ca="1" si="58"/>
        <v>0</v>
      </c>
      <c r="L116" s="465"/>
      <c r="M116" s="465"/>
      <c r="N116" s="465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8" t="s">
        <v>65</v>
      </c>
      <c r="C118" s="204"/>
      <c r="D118" s="141"/>
      <c r="E118" s="140"/>
      <c r="F118" s="140"/>
      <c r="G118" s="142"/>
      <c r="H118" s="143"/>
      <c r="I118" s="205"/>
      <c r="J118" s="205"/>
      <c r="K118" s="146"/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17" t="s">
        <v>17</v>
      </c>
      <c r="E119" s="148"/>
      <c r="F119" s="148"/>
      <c r="G119" s="151"/>
      <c r="H119" s="152" t="s">
        <v>12</v>
      </c>
      <c r="I119" s="388"/>
      <c r="J119" s="388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2" t="s">
        <v>18</v>
      </c>
      <c r="F120" s="40"/>
      <c r="G120" s="157"/>
      <c r="H120" s="158" t="s">
        <v>12</v>
      </c>
      <c r="I120" s="583"/>
      <c r="J120" s="583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2" t="s">
        <v>19</v>
      </c>
      <c r="F121" s="40"/>
      <c r="G121" s="157"/>
      <c r="H121" s="158" t="s">
        <v>12</v>
      </c>
      <c r="I121" s="583"/>
      <c r="J121" s="583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1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65">
        <f t="shared" ref="L122:N122" ca="1" si="64">L123+L124</f>
        <v>0</v>
      </c>
      <c r="M122" s="465">
        <f t="shared" ca="1" si="64"/>
        <v>0</v>
      </c>
      <c r="N122" s="465">
        <f t="shared" ca="1" si="64"/>
        <v>0</v>
      </c>
      <c r="O122" s="465">
        <f t="shared" ca="1" si="61"/>
        <v>0</v>
      </c>
      <c r="P122" s="465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2"/>
      <c r="D123" s="40"/>
      <c r="E123" s="222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2"/>
      <c r="D124" s="40"/>
      <c r="E124" s="222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IFERROR(__xludf.DUMMYFUNCTION("IMPORTRANGE(""https://docs.google.com/spreadsheets/d/1MeEWN-I1oV_STSDYn1IFDPWt_1FKiwhDph83XaGc0o0/edit?usp=sharing"",""งบพรบ!BA22"")"),0)</f>
        <v>0</v>
      </c>
      <c r="M124" s="93">
        <f ca="1">IFERROR(__xludf.DUMMYFUNCTION("IMPORTRANGE(""https://docs.google.com/spreadsheets/d/1MeEWN-I1oV_STSDYn1IFDPWt_1FKiwhDph83XaGc0o0/edit?usp=sharing"",""งบพรบ!BF22"")"),0)</f>
        <v>0</v>
      </c>
      <c r="N124" s="93">
        <f ca="1">IFERROR(__xludf.DUMMYFUNCTION("IMPORTRANGE(""https://docs.google.com/spreadsheets/d/1MeEWN-I1oV_STSDYn1IFDPWt_1FKiwhDph83XaGc0o0/edit?usp=sharing"",""งบพรบ!BH22"")"),0)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1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65">
        <f t="shared" ref="L125:N125" ca="1" si="65">L126+L127</f>
        <v>0</v>
      </c>
      <c r="M125" s="465">
        <f t="shared" ca="1" si="65"/>
        <v>0</v>
      </c>
      <c r="N125" s="465">
        <f t="shared" ca="1" si="65"/>
        <v>0</v>
      </c>
      <c r="O125" s="465">
        <f t="shared" ca="1" si="61"/>
        <v>0</v>
      </c>
      <c r="P125" s="465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2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2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IFERROR(__xludf.DUMMYFUNCTION("IMPORTRANGE(""https://docs.google.com/spreadsheets/d/1MeEWN-I1oV_STSDYn1IFDPWt_1FKiwhDph83XaGc0o0/edit?usp=sharing"",""งบพรบ!BD22"")"),0)</f>
        <v>0</v>
      </c>
      <c r="M127" s="93">
        <f ca="1">IFERROR(__xludf.DUMMYFUNCTION("IMPORTRANGE(""https://docs.google.com/spreadsheets/d/1MeEWN-I1oV_STSDYn1IFDPWt_1FKiwhDph83XaGc0o0/edit?usp=sharing"",""งบพรบ!BG22"")"),0)</f>
        <v>0</v>
      </c>
      <c r="N127" s="93">
        <f ca="1">IFERROR(__xludf.DUMMYFUNCTION("IMPORTRANGE(""https://docs.google.com/spreadsheets/d/1MeEWN-I1oV_STSDYn1IFDPWt_1FKiwhDph83XaGc0o0/edit?usp=sharing"",""งบพรบ!BI22"")"),0)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66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8" t="s">
        <v>67</v>
      </c>
      <c r="C129" s="204"/>
      <c r="D129" s="141"/>
      <c r="E129" s="140"/>
      <c r="F129" s="140"/>
      <c r="G129" s="140"/>
      <c r="H129" s="207"/>
      <c r="I129" s="205"/>
      <c r="J129" s="205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8"/>
      <c r="C130" s="209" t="s">
        <v>68</v>
      </c>
      <c r="D130" s="141"/>
      <c r="E130" s="140"/>
      <c r="F130" s="140"/>
      <c r="G130" s="142"/>
      <c r="H130" s="143" t="s">
        <v>69</v>
      </c>
      <c r="I130" s="144">
        <f t="shared" ref="I130:J130" ca="1" si="66">I146</f>
        <v>0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8"/>
      <c r="C131" s="209" t="s">
        <v>70</v>
      </c>
      <c r="D131" s="141"/>
      <c r="E131" s="140"/>
      <c r="F131" s="140"/>
      <c r="G131" s="142"/>
      <c r="H131" s="143" t="s">
        <v>35</v>
      </c>
      <c r="I131" s="144">
        <f t="shared" ref="I131:J131" ca="1" si="68">I143</f>
        <v>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817" t="s">
        <v>17</v>
      </c>
      <c r="E132" s="148"/>
      <c r="F132" s="148"/>
      <c r="G132" s="151"/>
      <c r="H132" s="152" t="s">
        <v>12</v>
      </c>
      <c r="I132" s="388"/>
      <c r="J132" s="388"/>
      <c r="K132" s="154"/>
      <c r="L132" s="155">
        <f t="shared" ref="L132:N132" ca="1" si="69">L133+L134</f>
        <v>0</v>
      </c>
      <c r="M132" s="155">
        <f t="shared" ca="1" si="69"/>
        <v>0</v>
      </c>
      <c r="N132" s="155">
        <f t="shared" ca="1" si="69"/>
        <v>0</v>
      </c>
      <c r="O132" s="155">
        <f t="shared" ref="O132:O140" ca="1" si="70">IF(L132&gt;0,N132*100/L132,0)</f>
        <v>0</v>
      </c>
      <c r="P132" s="155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2" t="s">
        <v>18</v>
      </c>
      <c r="F133" s="40"/>
      <c r="G133" s="157"/>
      <c r="H133" s="158" t="s">
        <v>12</v>
      </c>
      <c r="I133" s="583"/>
      <c r="J133" s="583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2" t="s">
        <v>19</v>
      </c>
      <c r="F134" s="40"/>
      <c r="G134" s="157"/>
      <c r="H134" s="158" t="s">
        <v>12</v>
      </c>
      <c r="I134" s="583"/>
      <c r="J134" s="583"/>
      <c r="K134" s="93"/>
      <c r="L134" s="93">
        <f t="shared" ca="1" si="72"/>
        <v>0</v>
      </c>
      <c r="M134" s="93">
        <f t="shared" ca="1" si="72"/>
        <v>0</v>
      </c>
      <c r="N134" s="93">
        <f t="shared" ca="1" si="72"/>
        <v>0</v>
      </c>
      <c r="O134" s="93">
        <f t="shared" ca="1" si="70"/>
        <v>0</v>
      </c>
      <c r="P134" s="93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1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65">
        <f t="shared" ref="L135:N135" ca="1" si="73">L136+L137</f>
        <v>0</v>
      </c>
      <c r="M135" s="465">
        <f t="shared" ca="1" si="73"/>
        <v>0</v>
      </c>
      <c r="N135" s="465">
        <f t="shared" ca="1" si="73"/>
        <v>0</v>
      </c>
      <c r="O135" s="465">
        <f t="shared" ca="1" si="70"/>
        <v>0</v>
      </c>
      <c r="P135" s="465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2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2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IFERROR(__xludf.DUMMYFUNCTION("IMPORTRANGE(""https://docs.google.com/spreadsheets/d/1MeEWN-I1oV_STSDYn1IFDPWt_1FKiwhDph83XaGc0o0/edit?usp=sharing"",""งบพรบ!BK22"")"),0)</f>
        <v>0</v>
      </c>
      <c r="M137" s="93">
        <f ca="1">IFERROR(__xludf.DUMMYFUNCTION("IMPORTRANGE(""https://docs.google.com/spreadsheets/d/1MeEWN-I1oV_STSDYn1IFDPWt_1FKiwhDph83XaGc0o0/edit?usp=sharing"",""งบพรบ!BP22"")"),0)</f>
        <v>0</v>
      </c>
      <c r="N137" s="93">
        <f ca="1">IFERROR(__xludf.DUMMYFUNCTION("IMPORTRANGE(""https://docs.google.com/spreadsheets/d/1MeEWN-I1oV_STSDYn1IFDPWt_1FKiwhDph83XaGc0o0/edit?usp=sharing"",""งบพรบ!BR22"")"),0)</f>
        <v>0</v>
      </c>
      <c r="O137" s="93">
        <f t="shared" ca="1" si="70"/>
        <v>0</v>
      </c>
      <c r="P137" s="93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1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65">
        <f t="shared" ref="L138:N138" ca="1" si="74">L139+L140</f>
        <v>0</v>
      </c>
      <c r="M138" s="465">
        <f t="shared" ca="1" si="74"/>
        <v>0</v>
      </c>
      <c r="N138" s="465">
        <f t="shared" ca="1" si="74"/>
        <v>0</v>
      </c>
      <c r="O138" s="465">
        <f t="shared" ca="1" si="70"/>
        <v>0</v>
      </c>
      <c r="P138" s="465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2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2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IFERROR(__xludf.DUMMYFUNCTION("IMPORTRANGE(""https://docs.google.com/spreadsheets/d/1MeEWN-I1oV_STSDYn1IFDPWt_1FKiwhDph83XaGc0o0/edit?usp=sharing"",""งบพรบ!BN22"")"),0)</f>
        <v>0</v>
      </c>
      <c r="M140" s="93">
        <f ca="1">IFERROR(__xludf.DUMMYFUNCTION("IMPORTRANGE(""https://docs.google.com/spreadsheets/d/1MeEWN-I1oV_STSDYn1IFDPWt_1FKiwhDph83XaGc0o0/edit?usp=sharing"",""งบพรบ!BQ22"")"),0)</f>
        <v>0</v>
      </c>
      <c r="N140" s="93">
        <f ca="1">IFERROR(__xludf.DUMMYFUNCTION("IMPORTRANGE(""https://docs.google.com/spreadsheets/d/1MeEWN-I1oV_STSDYn1IFDPWt_1FKiwhDph83XaGc0o0/edit?usp=sharing"",""งบพรบ!BS22"")"),0)</f>
        <v>0</v>
      </c>
      <c r="O140" s="93">
        <f t="shared" ca="1" si="70"/>
        <v>0</v>
      </c>
      <c r="P140" s="93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818" t="s">
        <v>38</v>
      </c>
      <c r="E141" s="173"/>
      <c r="F141" s="173"/>
      <c r="G141" s="174"/>
      <c r="H141" s="168"/>
      <c r="I141" s="269"/>
      <c r="J141" s="269"/>
      <c r="K141" s="465"/>
      <c r="L141" s="465"/>
      <c r="M141" s="465"/>
      <c r="N141" s="465"/>
      <c r="O141" s="465"/>
      <c r="P141" s="465"/>
    </row>
    <row r="142" spans="1:26" ht="19.5" hidden="1">
      <c r="A142" s="159"/>
      <c r="B142" s="33"/>
      <c r="C142" s="210"/>
      <c r="D142" s="281" t="s">
        <v>71</v>
      </c>
      <c r="E142" s="34"/>
      <c r="F142" s="33"/>
      <c r="G142" s="213"/>
      <c r="H142" s="168"/>
      <c r="I142" s="269"/>
      <c r="J142" s="214">
        <v>0</v>
      </c>
      <c r="K142" s="465"/>
      <c r="L142" s="465"/>
      <c r="M142" s="465"/>
      <c r="N142" s="465"/>
      <c r="O142" s="465"/>
      <c r="P142" s="465"/>
    </row>
    <row r="143" spans="1:26" ht="19.5" hidden="1">
      <c r="A143" s="159"/>
      <c r="B143" s="33"/>
      <c r="C143" s="210"/>
      <c r="D143" s="281" t="s">
        <v>72</v>
      </c>
      <c r="E143" s="34"/>
      <c r="F143" s="33"/>
      <c r="G143" s="213"/>
      <c r="H143" s="168" t="s">
        <v>35</v>
      </c>
      <c r="I143" s="269">
        <f ca="1">I145</f>
        <v>0</v>
      </c>
      <c r="J143" s="269">
        <f ca="1">IF(AND(J144&gt;=I144,J145&gt;=I145),J145,0)</f>
        <v>0</v>
      </c>
      <c r="K143" s="465">
        <f t="shared" ref="K143:K146" ca="1" si="75">IF(I143&gt;0,J143*100/I143,0)</f>
        <v>0</v>
      </c>
      <c r="L143" s="465"/>
      <c r="M143" s="465"/>
      <c r="N143" s="465"/>
      <c r="O143" s="465"/>
      <c r="P143" s="465"/>
    </row>
    <row r="144" spans="1:26" ht="19.5" hidden="1">
      <c r="A144" s="159"/>
      <c r="B144" s="33"/>
      <c r="C144" s="210"/>
      <c r="D144" s="342"/>
      <c r="E144" s="281" t="s">
        <v>73</v>
      </c>
      <c r="F144" s="33"/>
      <c r="G144" s="213"/>
      <c r="H144" s="168" t="s">
        <v>35</v>
      </c>
      <c r="I144" s="269">
        <f ca="1">IFERROR(__xludf.DUMMYFUNCTION("IMPORTRANGE(""https://docs.google.com/spreadsheets/d/1QqKyyYR6Q21VydFLVH3TRQUabQu_ym0Zz7PgGX0-kHA/edit?usp=sharing"",""แผน!U22"")"),0)</f>
        <v>0</v>
      </c>
      <c r="J144" s="214">
        <v>0</v>
      </c>
      <c r="K144" s="465">
        <f t="shared" ca="1" si="75"/>
        <v>0</v>
      </c>
      <c r="L144" s="465"/>
      <c r="M144" s="465"/>
      <c r="N144" s="465"/>
      <c r="O144" s="465"/>
      <c r="P144" s="465"/>
    </row>
    <row r="145" spans="1:26" ht="19.5" hidden="1">
      <c r="A145" s="159"/>
      <c r="B145" s="33"/>
      <c r="C145" s="210"/>
      <c r="D145" s="342"/>
      <c r="E145" s="281" t="s">
        <v>74</v>
      </c>
      <c r="F145" s="33"/>
      <c r="G145" s="213"/>
      <c r="H145" s="168" t="s">
        <v>35</v>
      </c>
      <c r="I145" s="269">
        <f ca="1">IFERROR(__xludf.DUMMYFUNCTION("IMPORTRANGE(""https://docs.google.com/spreadsheets/d/1QqKyyYR6Q21VydFLVH3TRQUabQu_ym0Zz7PgGX0-kHA/edit?usp=sharing"",""แผน!V22"")"),0)</f>
        <v>0</v>
      </c>
      <c r="J145" s="214">
        <v>0</v>
      </c>
      <c r="K145" s="465">
        <f t="shared" ca="1" si="75"/>
        <v>0</v>
      </c>
      <c r="L145" s="465"/>
      <c r="M145" s="465"/>
      <c r="N145" s="465"/>
      <c r="O145" s="465"/>
      <c r="P145" s="465"/>
    </row>
    <row r="146" spans="1:26" ht="19.5" hidden="1">
      <c r="A146" s="159"/>
      <c r="B146" s="33"/>
      <c r="C146" s="210"/>
      <c r="D146" s="281" t="s">
        <v>75</v>
      </c>
      <c r="E146" s="34"/>
      <c r="F146" s="33"/>
      <c r="G146" s="213"/>
      <c r="H146" s="168" t="s">
        <v>69</v>
      </c>
      <c r="I146" s="269">
        <f ca="1">IFERROR(__xludf.DUMMYFUNCTION("IMPORTRANGE(""https://docs.google.com/spreadsheets/d/1QqKyyYR6Q21VydFLVH3TRQUabQu_ym0Zz7PgGX0-kHA/edit?usp=sharing"",""แผน!W22"")"),0)</f>
        <v>0</v>
      </c>
      <c r="J146" s="214">
        <v>0</v>
      </c>
      <c r="K146" s="465">
        <f t="shared" ca="1" si="75"/>
        <v>0</v>
      </c>
      <c r="L146" s="465"/>
      <c r="M146" s="465"/>
      <c r="N146" s="465"/>
      <c r="O146" s="465"/>
      <c r="P146" s="465"/>
    </row>
    <row r="147" spans="1:26" ht="19.5" hidden="1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 hidden="1">
      <c r="A148" s="216"/>
      <c r="B148" s="208" t="s">
        <v>77</v>
      </c>
      <c r="C148" s="208"/>
      <c r="D148" s="208"/>
      <c r="E148" s="819"/>
      <c r="F148" s="218"/>
      <c r="G148" s="219"/>
      <c r="H148" s="220" t="s">
        <v>35</v>
      </c>
      <c r="I148" s="144">
        <f t="shared" ref="I148:J148" ca="1" si="76">I159</f>
        <v>0</v>
      </c>
      <c r="J148" s="144">
        <f t="shared" si="76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1"/>
      <c r="R148" s="221"/>
      <c r="S148" s="221"/>
      <c r="T148" s="221"/>
      <c r="U148" s="221"/>
      <c r="V148" s="221"/>
      <c r="W148" s="221"/>
      <c r="X148" s="221"/>
      <c r="Y148" s="221"/>
      <c r="Z148" s="221"/>
    </row>
    <row r="149" spans="1:26" ht="19.5" hidden="1">
      <c r="A149" s="147"/>
      <c r="B149" s="148"/>
      <c r="C149" s="149" t="s">
        <v>16</v>
      </c>
      <c r="D149" s="817" t="s">
        <v>17</v>
      </c>
      <c r="E149" s="148"/>
      <c r="F149" s="148"/>
      <c r="G149" s="151"/>
      <c r="H149" s="152" t="s">
        <v>12</v>
      </c>
      <c r="I149" s="388"/>
      <c r="J149" s="388"/>
      <c r="K149" s="154"/>
      <c r="L149" s="155">
        <f t="shared" ref="L149:N149" ca="1" si="77">L150+L151</f>
        <v>0</v>
      </c>
      <c r="M149" s="155">
        <f t="shared" ca="1" si="77"/>
        <v>0</v>
      </c>
      <c r="N149" s="155">
        <f t="shared" ca="1" si="77"/>
        <v>0</v>
      </c>
      <c r="O149" s="155">
        <f t="shared" ref="O149:O157" ca="1" si="78">IF(L149&gt;0,N149*100/L149,0)</f>
        <v>0</v>
      </c>
      <c r="P149" s="155">
        <f t="shared" ref="P149:P157" ca="1" si="79">IF(M149&gt;0,N149*100/M149,0)</f>
        <v>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2" t="s">
        <v>18</v>
      </c>
      <c r="F150" s="40"/>
      <c r="G150" s="157"/>
      <c r="H150" s="158" t="s">
        <v>12</v>
      </c>
      <c r="I150" s="583"/>
      <c r="J150" s="583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2" t="s">
        <v>19</v>
      </c>
      <c r="F151" s="40"/>
      <c r="G151" s="157"/>
      <c r="H151" s="158" t="s">
        <v>12</v>
      </c>
      <c r="I151" s="583"/>
      <c r="J151" s="583"/>
      <c r="K151" s="93"/>
      <c r="L151" s="93">
        <f t="shared" ca="1" si="80"/>
        <v>0</v>
      </c>
      <c r="M151" s="93">
        <f t="shared" ca="1" si="80"/>
        <v>0</v>
      </c>
      <c r="N151" s="93">
        <f t="shared" ca="1" si="80"/>
        <v>0</v>
      </c>
      <c r="O151" s="93">
        <f t="shared" ca="1" si="78"/>
        <v>0</v>
      </c>
      <c r="P151" s="93">
        <f t="shared" ca="1" si="79"/>
        <v>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 hidden="1">
      <c r="A152" s="159"/>
      <c r="B152" s="33"/>
      <c r="C152" s="281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65">
        <f t="shared" ref="L152:N152" ca="1" si="81">L153+L154</f>
        <v>0</v>
      </c>
      <c r="M152" s="465">
        <f t="shared" ca="1" si="81"/>
        <v>0</v>
      </c>
      <c r="N152" s="465">
        <f t="shared" ca="1" si="81"/>
        <v>0</v>
      </c>
      <c r="O152" s="465">
        <f t="shared" ca="1" si="78"/>
        <v>0</v>
      </c>
      <c r="P152" s="465">
        <f t="shared" ca="1" si="79"/>
        <v>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2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2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IFERROR(__xludf.DUMMYFUNCTION("IMPORTRANGE(""https://docs.google.com/spreadsheets/d/1MeEWN-I1oV_STSDYn1IFDPWt_1FKiwhDph83XaGc0o0/edit?usp=sharing"",""งบพรบ!BU22"")"),0)</f>
        <v>0</v>
      </c>
      <c r="M154" s="93">
        <f ca="1">IFERROR(__xludf.DUMMYFUNCTION("IMPORTRANGE(""https://docs.google.com/spreadsheets/d/1MeEWN-I1oV_STSDYn1IFDPWt_1FKiwhDph83XaGc0o0/edit?usp=sharing"",""งบพรบ!BZ22"")"),0)</f>
        <v>0</v>
      </c>
      <c r="N154" s="93">
        <f ca="1">IFERROR(__xludf.DUMMYFUNCTION("IMPORTRANGE(""https://docs.google.com/spreadsheets/d/1MeEWN-I1oV_STSDYn1IFDPWt_1FKiwhDph83XaGc0o0/edit?usp=sharing"",""งบพรบ!CB22"")"),0)</f>
        <v>0</v>
      </c>
      <c r="O154" s="93">
        <f t="shared" ca="1" si="78"/>
        <v>0</v>
      </c>
      <c r="P154" s="93">
        <f t="shared" ca="1" si="79"/>
        <v>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 hidden="1">
      <c r="A155" s="159"/>
      <c r="B155" s="33"/>
      <c r="C155" s="281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65">
        <f t="shared" ref="L155:N155" ca="1" si="82">L156+L157</f>
        <v>0</v>
      </c>
      <c r="M155" s="465">
        <f t="shared" ca="1" si="82"/>
        <v>0</v>
      </c>
      <c r="N155" s="465">
        <f t="shared" ca="1" si="82"/>
        <v>0</v>
      </c>
      <c r="O155" s="465">
        <f t="shared" ca="1" si="78"/>
        <v>0</v>
      </c>
      <c r="P155" s="465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2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2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IFERROR(__xludf.DUMMYFUNCTION("IMPORTRANGE(""https://docs.google.com/spreadsheets/d/1MeEWN-I1oV_STSDYn1IFDPWt_1FKiwhDph83XaGc0o0/edit?usp=sharing"",""งบพรบ!BX22"")"),0)</f>
        <v>0</v>
      </c>
      <c r="M157" s="93">
        <f ca="1">IFERROR(__xludf.DUMMYFUNCTION("IMPORTRANGE(""https://docs.google.com/spreadsheets/d/1MeEWN-I1oV_STSDYn1IFDPWt_1FKiwhDph83XaGc0o0/edit?usp=sharing"",""งบพรบ!CA22"")"),0)</f>
        <v>0</v>
      </c>
      <c r="N157" s="93">
        <f ca="1">IFERROR(__xludf.DUMMYFUNCTION("IMPORTRANGE(""https://docs.google.com/spreadsheets/d/1MeEWN-I1oV_STSDYn1IFDPWt_1FKiwhDph83XaGc0o0/edit?usp=sharing"",""งบพรบ!CC22"")"),0)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 hidden="1">
      <c r="A158" s="170"/>
      <c r="B158" s="171"/>
      <c r="C158" s="164" t="s">
        <v>16</v>
      </c>
      <c r="D158" s="818" t="s">
        <v>38</v>
      </c>
      <c r="E158" s="173"/>
      <c r="F158" s="173"/>
      <c r="G158" s="174"/>
      <c r="H158" s="168"/>
      <c r="I158" s="269"/>
      <c r="J158" s="269"/>
      <c r="K158" s="465"/>
      <c r="L158" s="465"/>
      <c r="M158" s="465"/>
      <c r="N158" s="465"/>
      <c r="O158" s="465"/>
      <c r="P158" s="465"/>
    </row>
    <row r="159" spans="1:26" ht="19.5" hidden="1">
      <c r="A159" s="159"/>
      <c r="B159" s="33"/>
      <c r="C159" s="210"/>
      <c r="D159" s="281" t="s">
        <v>78</v>
      </c>
      <c r="E159" s="34"/>
      <c r="F159" s="33"/>
      <c r="G159" s="213"/>
      <c r="H159" s="168" t="s">
        <v>35</v>
      </c>
      <c r="I159" s="269">
        <f ca="1">IFERROR(__xludf.DUMMYFUNCTION("IMPORTRANGE(""https://docs.google.com/spreadsheets/d/1QqKyyYR6Q21VydFLVH3TRQUabQu_ym0Zz7PgGX0-kHA/edit?usp=sharing"",""แผน!X22"")"),0)</f>
        <v>0</v>
      </c>
      <c r="J159" s="214">
        <v>0</v>
      </c>
      <c r="K159" s="465">
        <f ca="1">IF(I159&gt;0,J159*100/I159,0)</f>
        <v>0</v>
      </c>
      <c r="L159" s="465"/>
      <c r="M159" s="465"/>
      <c r="N159" s="465"/>
      <c r="O159" s="465"/>
      <c r="P159" s="465"/>
    </row>
    <row r="160" spans="1:26" ht="19.5" hidden="1">
      <c r="A160" s="156"/>
      <c r="B160" s="40"/>
      <c r="C160" s="164"/>
      <c r="D160" s="222" t="s">
        <v>79</v>
      </c>
      <c r="E160" s="223"/>
      <c r="F160" s="40"/>
      <c r="G160" s="157"/>
      <c r="H160" s="169" t="s">
        <v>35</v>
      </c>
      <c r="I160" s="583"/>
      <c r="J160" s="583"/>
      <c r="K160" s="93"/>
      <c r="L160" s="93"/>
      <c r="M160" s="93"/>
      <c r="N160" s="93"/>
      <c r="O160" s="93"/>
      <c r="P160" s="93"/>
      <c r="Q160" s="224"/>
      <c r="R160" s="224"/>
      <c r="S160" s="224"/>
      <c r="T160" s="224"/>
      <c r="U160" s="224"/>
      <c r="V160" s="224"/>
      <c r="W160" s="224"/>
      <c r="X160" s="224"/>
      <c r="Y160" s="224"/>
      <c r="Z160" s="224"/>
    </row>
    <row r="161" spans="1:26" ht="19.5" hidden="1">
      <c r="A161" s="225"/>
      <c r="B161" s="226"/>
      <c r="C161" s="227"/>
      <c r="D161" s="228" t="s">
        <v>80</v>
      </c>
      <c r="E161" s="820"/>
      <c r="F161" s="226"/>
      <c r="G161" s="230"/>
      <c r="H161" s="231" t="s">
        <v>35</v>
      </c>
      <c r="I161" s="232"/>
      <c r="J161" s="232"/>
      <c r="K161" s="233"/>
      <c r="L161" s="233"/>
      <c r="M161" s="233"/>
      <c r="N161" s="233"/>
      <c r="O161" s="233"/>
      <c r="P161" s="233"/>
      <c r="Q161" s="224"/>
      <c r="R161" s="224"/>
      <c r="S161" s="224"/>
      <c r="T161" s="224"/>
      <c r="U161" s="224"/>
      <c r="V161" s="224"/>
      <c r="W161" s="224"/>
      <c r="X161" s="224"/>
      <c r="Y161" s="224"/>
      <c r="Z161" s="224"/>
    </row>
    <row r="162" spans="1:26" ht="19.5">
      <c r="A162" s="234" t="s">
        <v>81</v>
      </c>
      <c r="B162" s="235"/>
      <c r="C162" s="235"/>
      <c r="D162" s="235"/>
      <c r="E162" s="236"/>
      <c r="F162" s="236"/>
      <c r="G162" s="237"/>
      <c r="H162" s="238"/>
      <c r="I162" s="239"/>
      <c r="J162" s="239"/>
      <c r="K162" s="240"/>
      <c r="L162" s="240"/>
      <c r="M162" s="240"/>
      <c r="N162" s="240"/>
      <c r="O162" s="240"/>
      <c r="P162" s="240"/>
    </row>
    <row r="163" spans="1:26" ht="19.5">
      <c r="A163" s="241" t="s">
        <v>82</v>
      </c>
      <c r="B163" s="242"/>
      <c r="C163" s="242"/>
      <c r="D163" s="243"/>
      <c r="E163" s="243"/>
      <c r="F163" s="243"/>
      <c r="G163" s="244"/>
      <c r="H163" s="245"/>
      <c r="I163" s="246"/>
      <c r="J163" s="246"/>
      <c r="K163" s="247"/>
      <c r="L163" s="247"/>
      <c r="M163" s="247"/>
      <c r="N163" s="247"/>
      <c r="O163" s="247"/>
      <c r="P163" s="247"/>
    </row>
    <row r="164" spans="1:26" ht="19.5">
      <c r="A164" s="248"/>
      <c r="B164" s="249" t="s">
        <v>83</v>
      </c>
      <c r="C164" s="250"/>
      <c r="D164" s="173"/>
      <c r="E164" s="173"/>
      <c r="F164" s="173"/>
      <c r="G164" s="174"/>
      <c r="H164" s="251" t="s">
        <v>35</v>
      </c>
      <c r="I164" s="252">
        <f t="shared" ref="I164:J164" ca="1" si="83">I174+I177</f>
        <v>11</v>
      </c>
      <c r="J164" s="252">
        <f t="shared" si="83"/>
        <v>0</v>
      </c>
      <c r="K164" s="253">
        <f ca="1">IF(I164&gt;0,J164*100/I164,0)</f>
        <v>0</v>
      </c>
      <c r="L164" s="254"/>
      <c r="M164" s="254"/>
      <c r="N164" s="254"/>
      <c r="O164" s="254"/>
      <c r="P164" s="254"/>
    </row>
    <row r="165" spans="1:26" ht="19.5">
      <c r="A165" s="147"/>
      <c r="B165" s="148"/>
      <c r="C165" s="149" t="s">
        <v>16</v>
      </c>
      <c r="D165" s="817" t="s">
        <v>17</v>
      </c>
      <c r="E165" s="148"/>
      <c r="F165" s="148"/>
      <c r="G165" s="151"/>
      <c r="H165" s="152" t="s">
        <v>12</v>
      </c>
      <c r="I165" s="388"/>
      <c r="J165" s="388"/>
      <c r="K165" s="154"/>
      <c r="L165" s="155">
        <f t="shared" ref="L165:N165" ca="1" si="84">L166+L167</f>
        <v>22055</v>
      </c>
      <c r="M165" s="155">
        <f t="shared" ca="1" si="84"/>
        <v>22055</v>
      </c>
      <c r="N165" s="155">
        <f t="shared" ca="1" si="84"/>
        <v>0</v>
      </c>
      <c r="O165" s="155">
        <f t="shared" ref="O165:O173" ca="1" si="85">IF(L165&gt;0,N165*100/L165,0)</f>
        <v>0</v>
      </c>
      <c r="P165" s="155">
        <f t="shared" ref="P165:P173" ca="1" si="86">IF(M165&gt;0,N165*100/M165,0)</f>
        <v>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2" t="s">
        <v>18</v>
      </c>
      <c r="F166" s="40"/>
      <c r="G166" s="157"/>
      <c r="H166" s="158" t="s">
        <v>12</v>
      </c>
      <c r="I166" s="583"/>
      <c r="J166" s="583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2" t="s">
        <v>19</v>
      </c>
      <c r="F167" s="40"/>
      <c r="G167" s="157"/>
      <c r="H167" s="158" t="s">
        <v>12</v>
      </c>
      <c r="I167" s="583"/>
      <c r="J167" s="583"/>
      <c r="K167" s="93"/>
      <c r="L167" s="93">
        <f t="shared" ca="1" si="87"/>
        <v>22055</v>
      </c>
      <c r="M167" s="93">
        <f t="shared" ca="1" si="87"/>
        <v>22055</v>
      </c>
      <c r="N167" s="93">
        <f t="shared" ca="1" si="87"/>
        <v>0</v>
      </c>
      <c r="O167" s="93">
        <f t="shared" ca="1" si="85"/>
        <v>0</v>
      </c>
      <c r="P167" s="93">
        <f t="shared" ca="1" si="86"/>
        <v>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1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65">
        <f t="shared" ref="L168:N168" ca="1" si="88">L169+L170</f>
        <v>22055</v>
      </c>
      <c r="M168" s="465">
        <f t="shared" ca="1" si="88"/>
        <v>22055</v>
      </c>
      <c r="N168" s="465">
        <f t="shared" ca="1" si="88"/>
        <v>0</v>
      </c>
      <c r="O168" s="465">
        <f t="shared" ca="1" si="85"/>
        <v>0</v>
      </c>
      <c r="P168" s="465">
        <f t="shared" ca="1" si="86"/>
        <v>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2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2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IFERROR(__xludf.DUMMYFUNCTION("IMPORTRANGE(""https://docs.google.com/spreadsheets/d/1MeEWN-I1oV_STSDYn1IFDPWt_1FKiwhDph83XaGc0o0/edit?usp=sharing"",""งบพรบ!CE22"")"),22055)</f>
        <v>22055</v>
      </c>
      <c r="M170" s="93">
        <f ca="1">IFERROR(__xludf.DUMMYFUNCTION("IMPORTRANGE(""https://docs.google.com/spreadsheets/d/1MeEWN-I1oV_STSDYn1IFDPWt_1FKiwhDph83XaGc0o0/edit?usp=sharing"",""งบพรบ!CJ22"")"),22055)</f>
        <v>22055</v>
      </c>
      <c r="N170" s="93">
        <f ca="1">IFERROR(__xludf.DUMMYFUNCTION("IMPORTRANGE(""https://docs.google.com/spreadsheets/d/1MeEWN-I1oV_STSDYn1IFDPWt_1FKiwhDph83XaGc0o0/edit?usp=sharing"",""งบพรบ!CL22"")"),0)</f>
        <v>0</v>
      </c>
      <c r="O170" s="93">
        <f t="shared" ca="1" si="85"/>
        <v>0</v>
      </c>
      <c r="P170" s="93">
        <f t="shared" ca="1" si="86"/>
        <v>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1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65">
        <f t="shared" ref="L171:N171" ca="1" si="89">L172+L173</f>
        <v>0</v>
      </c>
      <c r="M171" s="465">
        <f t="shared" ca="1" si="89"/>
        <v>0</v>
      </c>
      <c r="N171" s="465">
        <f t="shared" ca="1" si="89"/>
        <v>0</v>
      </c>
      <c r="O171" s="465">
        <f t="shared" ca="1" si="85"/>
        <v>0</v>
      </c>
      <c r="P171" s="465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2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2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IFERROR(__xludf.DUMMYFUNCTION("IMPORTRANGE(""https://docs.google.com/spreadsheets/d/1MeEWN-I1oV_STSDYn1IFDPWt_1FKiwhDph83XaGc0o0/edit?usp=sharing"",""งบพรบ!CH22"")"),0)</f>
        <v>0</v>
      </c>
      <c r="M173" s="93">
        <f ca="1">IFERROR(__xludf.DUMMYFUNCTION("IMPORTRANGE(""https://docs.google.com/spreadsheets/d/1MeEWN-I1oV_STSDYn1IFDPWt_1FKiwhDph83XaGc0o0/edit?usp=sharing"",""งบพรบ!CK22"")"),0)</f>
        <v>0</v>
      </c>
      <c r="N173" s="93">
        <f ca="1">IFERROR(__xludf.DUMMYFUNCTION("IMPORTRANGE(""https://docs.google.com/spreadsheets/d/1MeEWN-I1oV_STSDYn1IFDPWt_1FKiwhDph83XaGc0o0/edit?usp=sharing"",""งบพรบ!CM22"")"),0)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5"/>
      <c r="B174" s="256"/>
      <c r="C174" s="257" t="s">
        <v>84</v>
      </c>
      <c r="D174" s="256"/>
      <c r="E174" s="256"/>
      <c r="F174" s="256"/>
      <c r="G174" s="258"/>
      <c r="H174" s="259" t="s">
        <v>35</v>
      </c>
      <c r="I174" s="260">
        <f t="shared" ref="I174:J174" ca="1" si="90">I176</f>
        <v>11</v>
      </c>
      <c r="J174" s="260">
        <f t="shared" si="90"/>
        <v>0</v>
      </c>
      <c r="K174" s="261">
        <f ca="1">IF(I174&gt;0,J174*100/I174,0)</f>
        <v>0</v>
      </c>
      <c r="L174" s="261"/>
      <c r="M174" s="261"/>
      <c r="N174" s="261"/>
      <c r="O174" s="261"/>
      <c r="P174" s="261"/>
    </row>
    <row r="175" spans="1:26" ht="19.5">
      <c r="A175" s="170"/>
      <c r="B175" s="171"/>
      <c r="C175" s="164" t="s">
        <v>16</v>
      </c>
      <c r="D175" s="818" t="s">
        <v>38</v>
      </c>
      <c r="E175" s="173"/>
      <c r="F175" s="173"/>
      <c r="G175" s="174"/>
      <c r="H175" s="726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10" t="s">
        <v>85</v>
      </c>
      <c r="E176" s="342"/>
      <c r="F176" s="342"/>
      <c r="G176" s="179"/>
      <c r="H176" s="589" t="s">
        <v>35</v>
      </c>
      <c r="I176" s="269">
        <f ca="1">IFERROR(__xludf.DUMMYFUNCTION("IMPORTRANGE(""https://docs.google.com/spreadsheets/d/1QqKyyYR6Q21VydFLVH3TRQUabQu_ym0Zz7PgGX0-kHA/edit?usp=sharing"",""แผน!Y22"")"),11)</f>
        <v>11</v>
      </c>
      <c r="J176" s="214">
        <v>0</v>
      </c>
      <c r="K176" s="163">
        <f ca="1">IF(I176&gt;0,J176*100/I176,0)</f>
        <v>0</v>
      </c>
      <c r="L176" s="163"/>
      <c r="M176" s="163"/>
      <c r="N176" s="163"/>
      <c r="O176" s="163"/>
      <c r="P176" s="163"/>
    </row>
    <row r="177" spans="1:26" ht="19.5" hidden="1">
      <c r="A177" s="255"/>
      <c r="B177" s="263"/>
      <c r="C177" s="264" t="s">
        <v>86</v>
      </c>
      <c r="D177" s="263"/>
      <c r="E177" s="256"/>
      <c r="F177" s="256"/>
      <c r="G177" s="258"/>
      <c r="H177" s="265" t="s">
        <v>35</v>
      </c>
      <c r="I177" s="260"/>
      <c r="J177" s="260">
        <f>J179</f>
        <v>0</v>
      </c>
      <c r="K177" s="261"/>
      <c r="L177" s="261"/>
      <c r="M177" s="261"/>
      <c r="N177" s="261"/>
      <c r="O177" s="261"/>
      <c r="P177" s="261"/>
    </row>
    <row r="178" spans="1:26" ht="19.5" hidden="1">
      <c r="A178" s="170"/>
      <c r="B178" s="171"/>
      <c r="C178" s="164" t="s">
        <v>16</v>
      </c>
      <c r="D178" s="266" t="s">
        <v>38</v>
      </c>
      <c r="E178" s="173"/>
      <c r="F178" s="173"/>
      <c r="G178" s="174"/>
      <c r="H178" s="726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267" t="s">
        <v>87</v>
      </c>
      <c r="E179" s="342"/>
      <c r="F179" s="268"/>
      <c r="G179" s="179"/>
      <c r="H179" s="43" t="s">
        <v>35</v>
      </c>
      <c r="I179" s="269"/>
      <c r="J179" s="269"/>
      <c r="K179" s="163"/>
      <c r="L179" s="163"/>
      <c r="M179" s="163"/>
      <c r="N179" s="163"/>
      <c r="O179" s="163"/>
      <c r="P179" s="163"/>
    </row>
    <row r="180" spans="1:26" ht="19.5">
      <c r="A180" s="248"/>
      <c r="B180" s="249" t="s">
        <v>88</v>
      </c>
      <c r="C180" s="250"/>
      <c r="D180" s="173"/>
      <c r="E180" s="173"/>
      <c r="F180" s="173"/>
      <c r="G180" s="174"/>
      <c r="H180" s="251" t="s">
        <v>35</v>
      </c>
      <c r="I180" s="821"/>
      <c r="J180" s="821">
        <f>J225+J226</f>
        <v>0</v>
      </c>
      <c r="K180" s="254">
        <f>IF(I180&gt;0,J180*100/I180,0)</f>
        <v>0</v>
      </c>
      <c r="L180" s="254"/>
      <c r="M180" s="254"/>
      <c r="N180" s="254"/>
      <c r="O180" s="254"/>
      <c r="P180" s="254"/>
    </row>
    <row r="181" spans="1:26" ht="19.5">
      <c r="A181" s="147"/>
      <c r="B181" s="148"/>
      <c r="C181" s="149" t="s">
        <v>16</v>
      </c>
      <c r="D181" s="817" t="s">
        <v>17</v>
      </c>
      <c r="E181" s="148"/>
      <c r="F181" s="148"/>
      <c r="G181" s="151"/>
      <c r="H181" s="152" t="s">
        <v>12</v>
      </c>
      <c r="I181" s="388"/>
      <c r="J181" s="388"/>
      <c r="K181" s="154"/>
      <c r="L181" s="155">
        <f t="shared" ref="L181:N181" ca="1" si="91">L182+L183</f>
        <v>73500</v>
      </c>
      <c r="M181" s="155">
        <f t="shared" ca="1" si="91"/>
        <v>40000</v>
      </c>
      <c r="N181" s="155">
        <f t="shared" ca="1" si="91"/>
        <v>0</v>
      </c>
      <c r="O181" s="155">
        <f t="shared" ref="O181:O189" ca="1" si="92">IF(L181&gt;0,N181*100/L181,0)</f>
        <v>0</v>
      </c>
      <c r="P181" s="155">
        <f t="shared" ref="P181:P189" ca="1" si="93">IF(M181&gt;0,N181*100/M181,0)</f>
        <v>0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2" t="s">
        <v>18</v>
      </c>
      <c r="F182" s="40"/>
      <c r="G182" s="157"/>
      <c r="H182" s="158" t="s">
        <v>12</v>
      </c>
      <c r="I182" s="583"/>
      <c r="J182" s="583"/>
      <c r="K182" s="93"/>
      <c r="L182" s="93">
        <f t="shared" ref="L182:N183" si="94">L185+L188</f>
        <v>0</v>
      </c>
      <c r="M182" s="93">
        <f t="shared" si="94"/>
        <v>0</v>
      </c>
      <c r="N182" s="93">
        <f t="shared" si="94"/>
        <v>0</v>
      </c>
      <c r="O182" s="93">
        <f t="shared" si="92"/>
        <v>0</v>
      </c>
      <c r="P182" s="93">
        <f t="shared" si="93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2" t="s">
        <v>19</v>
      </c>
      <c r="F183" s="40"/>
      <c r="G183" s="157"/>
      <c r="H183" s="158" t="s">
        <v>12</v>
      </c>
      <c r="I183" s="583"/>
      <c r="J183" s="583"/>
      <c r="K183" s="93"/>
      <c r="L183" s="93">
        <f t="shared" ca="1" si="94"/>
        <v>73500</v>
      </c>
      <c r="M183" s="93">
        <f t="shared" ca="1" si="94"/>
        <v>40000</v>
      </c>
      <c r="N183" s="93">
        <f t="shared" ca="1" si="94"/>
        <v>0</v>
      </c>
      <c r="O183" s="93">
        <f t="shared" ca="1" si="92"/>
        <v>0</v>
      </c>
      <c r="P183" s="93">
        <f t="shared" ca="1" si="93"/>
        <v>0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1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65">
        <f t="shared" ref="L184:N184" ca="1" si="95">L185+L186</f>
        <v>73500</v>
      </c>
      <c r="M184" s="465">
        <f t="shared" ca="1" si="95"/>
        <v>40000</v>
      </c>
      <c r="N184" s="465">
        <f t="shared" ca="1" si="95"/>
        <v>0</v>
      </c>
      <c r="O184" s="465">
        <f t="shared" ca="1" si="92"/>
        <v>0</v>
      </c>
      <c r="P184" s="465">
        <f t="shared" ca="1" si="93"/>
        <v>0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2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2"/>
        <v>0</v>
      </c>
      <c r="P185" s="93">
        <f t="shared" si="93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2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IFERROR(__xludf.DUMMYFUNCTION("IMPORTRANGE(""https://docs.google.com/spreadsheets/d/1MeEWN-I1oV_STSDYn1IFDPWt_1FKiwhDph83XaGc0o0/edit?usp=sharing"",""งบพรบ!CO22"")"),73500)</f>
        <v>73500</v>
      </c>
      <c r="M186" s="93">
        <f ca="1">IFERROR(__xludf.DUMMYFUNCTION("IMPORTRANGE(""https://docs.google.com/spreadsheets/d/1MeEWN-I1oV_STSDYn1IFDPWt_1FKiwhDph83XaGc0o0/edit?usp=sharing"",""งบพรบ!CT22"")"),40000)</f>
        <v>40000</v>
      </c>
      <c r="N186" s="93">
        <f ca="1">IFERROR(__xludf.DUMMYFUNCTION("IMPORTRANGE(""https://docs.google.com/spreadsheets/d/1MeEWN-I1oV_STSDYn1IFDPWt_1FKiwhDph83XaGc0o0/edit?usp=sharing"",""งบพรบ!CV22"")"),0)</f>
        <v>0</v>
      </c>
      <c r="O186" s="93">
        <f t="shared" ca="1" si="92"/>
        <v>0</v>
      </c>
      <c r="P186" s="93">
        <f t="shared" ca="1" si="93"/>
        <v>0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1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65">
        <f t="shared" ref="L187:N187" ca="1" si="96">L188+L189</f>
        <v>0</v>
      </c>
      <c r="M187" s="465">
        <f t="shared" ca="1" si="96"/>
        <v>0</v>
      </c>
      <c r="N187" s="465">
        <f t="shared" ca="1" si="96"/>
        <v>0</v>
      </c>
      <c r="O187" s="465">
        <f t="shared" ca="1" si="92"/>
        <v>0</v>
      </c>
      <c r="P187" s="465">
        <f t="shared" ca="1" si="93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2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2"/>
        <v>0</v>
      </c>
      <c r="P188" s="93">
        <f t="shared" si="93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2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IFERROR(__xludf.DUMMYFUNCTION("IMPORTRANGE(""https://docs.google.com/spreadsheets/d/1MeEWN-I1oV_STSDYn1IFDPWt_1FKiwhDph83XaGc0o0/edit?usp=sharing"",""งบพรบ!CR22"")"),0)</f>
        <v>0</v>
      </c>
      <c r="M189" s="93">
        <f ca="1">IFERROR(__xludf.DUMMYFUNCTION("IMPORTRANGE(""https://docs.google.com/spreadsheets/d/1MeEWN-I1oV_STSDYn1IFDPWt_1FKiwhDph83XaGc0o0/edit?usp=sharing"",""งบพรบ!CU22"")"),0)</f>
        <v>0</v>
      </c>
      <c r="N189" s="93">
        <f ca="1">IFERROR(__xludf.DUMMYFUNCTION("IMPORTRANGE(""https://docs.google.com/spreadsheets/d/1MeEWN-I1oV_STSDYn1IFDPWt_1FKiwhDph83XaGc0o0/edit?usp=sharing"",""งบพรบ!CW22"")"),0)</f>
        <v>0</v>
      </c>
      <c r="O189" s="93">
        <f t="shared" ca="1" si="92"/>
        <v>0</v>
      </c>
      <c r="P189" s="93">
        <f t="shared" ca="1" si="93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5"/>
      <c r="B190" s="263"/>
      <c r="C190" s="339" t="s">
        <v>89</v>
      </c>
      <c r="D190" s="256"/>
      <c r="E190" s="256"/>
      <c r="F190" s="256"/>
      <c r="G190" s="258"/>
      <c r="H190" s="259" t="s">
        <v>90</v>
      </c>
      <c r="I190" s="271">
        <f t="shared" ref="I190:J190" ca="1" si="97">I193</f>
        <v>4</v>
      </c>
      <c r="J190" s="271">
        <f t="shared" si="97"/>
        <v>0</v>
      </c>
      <c r="K190" s="272">
        <f ca="1">IF(I190&gt;0,J190*100/I190,0)</f>
        <v>0</v>
      </c>
      <c r="L190" s="261"/>
      <c r="M190" s="261"/>
      <c r="N190" s="261"/>
      <c r="O190" s="261"/>
      <c r="P190" s="261"/>
    </row>
    <row r="191" spans="1:26" ht="19.5">
      <c r="A191" s="147"/>
      <c r="B191" s="148"/>
      <c r="C191" s="149" t="s">
        <v>16</v>
      </c>
      <c r="D191" s="822" t="s">
        <v>17</v>
      </c>
      <c r="E191" s="148"/>
      <c r="F191" s="148"/>
      <c r="G191" s="151"/>
      <c r="H191" s="274" t="s">
        <v>12</v>
      </c>
      <c r="I191" s="388"/>
      <c r="J191" s="388"/>
      <c r="K191" s="154"/>
      <c r="L191" s="155">
        <f ca="1">IFERROR(__xludf.DUMMYFUNCTION("IMPORTRANGE(""https://docs.google.com/spreadsheets/d/1QqKyyYR6Q21VydFLVH3TRQUabQu_ym0Zz7PgGX0-kHA/edit?usp=sharing"",""แผน!Z22"")"),6000)</f>
        <v>6000</v>
      </c>
      <c r="M191" s="155"/>
      <c r="N191" s="275">
        <v>0</v>
      </c>
      <c r="O191" s="155">
        <f ca="1">IF(L191&gt;0,N191*100/L191,0)</f>
        <v>0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0" t="s">
        <v>16</v>
      </c>
      <c r="D192" s="818" t="s">
        <v>38</v>
      </c>
      <c r="E192" s="173"/>
      <c r="F192" s="173"/>
      <c r="G192" s="174"/>
      <c r="H192" s="726"/>
      <c r="I192" s="269"/>
      <c r="J192" s="269"/>
      <c r="K192" s="465"/>
      <c r="L192" s="465"/>
      <c r="M192" s="465"/>
      <c r="N192" s="465"/>
      <c r="O192" s="465"/>
      <c r="P192" s="465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15" t="s">
        <v>91</v>
      </c>
      <c r="E193" s="342"/>
      <c r="F193" s="342"/>
      <c r="G193" s="179"/>
      <c r="H193" s="728" t="s">
        <v>90</v>
      </c>
      <c r="I193" s="269">
        <f ca="1">IFERROR(__xludf.DUMMYFUNCTION("IMPORTRANGE(""https://docs.google.com/spreadsheets/d/1QqKyyYR6Q21VydFLVH3TRQUabQu_ym0Zz7PgGX0-kHA/edit?usp=sharing"",""แผน!AC22"")"),4)</f>
        <v>4</v>
      </c>
      <c r="J193" s="214">
        <v>0</v>
      </c>
      <c r="K193" s="465">
        <f ca="1">IF(I193&gt;0,J193*100/I193,0)</f>
        <v>0</v>
      </c>
      <c r="L193" s="465"/>
      <c r="M193" s="465"/>
      <c r="N193" s="465"/>
      <c r="O193" s="465"/>
      <c r="P193" s="465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15" t="s">
        <v>92</v>
      </c>
      <c r="E194" s="342"/>
      <c r="F194" s="342"/>
      <c r="G194" s="179"/>
      <c r="H194" s="276" t="s">
        <v>35</v>
      </c>
      <c r="I194" s="269"/>
      <c r="J194" s="269">
        <f>J195+J196</f>
        <v>0</v>
      </c>
      <c r="K194" s="465"/>
      <c r="L194" s="465"/>
      <c r="M194" s="465"/>
      <c r="N194" s="465"/>
      <c r="O194" s="465"/>
      <c r="P194" s="465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15" t="s">
        <v>93</v>
      </c>
      <c r="F195" s="342"/>
      <c r="G195" s="179"/>
      <c r="H195" s="276" t="s">
        <v>35</v>
      </c>
      <c r="I195" s="269"/>
      <c r="J195" s="214">
        <v>0</v>
      </c>
      <c r="K195" s="465"/>
      <c r="L195" s="465"/>
      <c r="M195" s="465"/>
      <c r="N195" s="465"/>
      <c r="O195" s="465"/>
      <c r="P195" s="465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15" t="s">
        <v>94</v>
      </c>
      <c r="F196" s="342"/>
      <c r="G196" s="179"/>
      <c r="H196" s="276" t="s">
        <v>35</v>
      </c>
      <c r="I196" s="269"/>
      <c r="J196" s="214">
        <v>0</v>
      </c>
      <c r="K196" s="465"/>
      <c r="L196" s="465"/>
      <c r="M196" s="465"/>
      <c r="N196" s="465"/>
      <c r="O196" s="465"/>
      <c r="P196" s="465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5"/>
      <c r="B197" s="263"/>
      <c r="C197" s="339" t="s">
        <v>95</v>
      </c>
      <c r="D197" s="256"/>
      <c r="E197" s="256"/>
      <c r="F197" s="256"/>
      <c r="G197" s="258"/>
      <c r="H197" s="277" t="s">
        <v>96</v>
      </c>
      <c r="I197" s="271">
        <f t="shared" ref="I197:J197" ca="1" si="98">I204</f>
        <v>3</v>
      </c>
      <c r="J197" s="271">
        <f t="shared" si="98"/>
        <v>0</v>
      </c>
      <c r="K197" s="272">
        <f ca="1">IF(I197&gt;0,J197*100/I197,0)</f>
        <v>0</v>
      </c>
      <c r="L197" s="261"/>
      <c r="M197" s="261"/>
      <c r="N197" s="261"/>
      <c r="O197" s="261"/>
      <c r="P197" s="261"/>
    </row>
    <row r="198" spans="1:26" ht="19.5">
      <c r="A198" s="147"/>
      <c r="B198" s="148"/>
      <c r="C198" s="149" t="s">
        <v>16</v>
      </c>
      <c r="D198" s="822" t="s">
        <v>17</v>
      </c>
      <c r="E198" s="148"/>
      <c r="F198" s="148"/>
      <c r="G198" s="151"/>
      <c r="H198" s="274" t="s">
        <v>12</v>
      </c>
      <c r="I198" s="387"/>
      <c r="J198" s="387"/>
      <c r="K198" s="279"/>
      <c r="L198" s="155">
        <f ca="1">L199+L200+L201+L202</f>
        <v>39000</v>
      </c>
      <c r="M198" s="155"/>
      <c r="N198" s="155">
        <f>N199+N200+N201+N202</f>
        <v>0</v>
      </c>
      <c r="O198" s="155">
        <f ca="1">IF(L198&gt;0,N198*100/L198,0)</f>
        <v>0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0"/>
      <c r="C199" s="33"/>
      <c r="D199" s="281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65">
        <f ca="1">IFERROR(__xludf.DUMMYFUNCTION("IMPORTRANGE(""https://docs.google.com/spreadsheets/d/1QqKyyYR6Q21VydFLVH3TRQUabQu_ym0Zz7PgGX0-kHA/edit?usp=sharing"",""แผน!AE22"")"),3000)</f>
        <v>3000</v>
      </c>
      <c r="M199" s="465"/>
      <c r="N199" s="789">
        <v>0</v>
      </c>
      <c r="O199" s="465"/>
      <c r="P199" s="465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3"/>
      <c r="B200" s="280"/>
      <c r="C200" s="210"/>
      <c r="D200" s="281" t="s">
        <v>98</v>
      </c>
      <c r="E200" s="33"/>
      <c r="F200" s="33"/>
      <c r="G200" s="35"/>
      <c r="H200" s="589" t="s">
        <v>12</v>
      </c>
      <c r="I200" s="269"/>
      <c r="J200" s="269"/>
      <c r="K200" s="465"/>
      <c r="L200" s="465">
        <f ca="1">IFERROR(__xludf.DUMMYFUNCTION("IMPORTRANGE(""https://docs.google.com/spreadsheets/d/1QqKyyYR6Q21VydFLVH3TRQUabQu_ym0Zz7PgGX0-kHA/edit?usp=sharing"",""แผน!AF22"")"),24000)</f>
        <v>24000</v>
      </c>
      <c r="M200" s="465"/>
      <c r="N200" s="789">
        <v>0</v>
      </c>
      <c r="O200" s="465"/>
      <c r="P200" s="465"/>
      <c r="Q200" s="285"/>
      <c r="R200" s="285"/>
      <c r="S200" s="285"/>
      <c r="T200" s="285"/>
      <c r="U200" s="285"/>
      <c r="V200" s="285"/>
      <c r="W200" s="285"/>
      <c r="X200" s="285"/>
      <c r="Y200" s="285"/>
      <c r="Z200" s="285"/>
    </row>
    <row r="201" spans="1:26" ht="19.5">
      <c r="A201" s="283"/>
      <c r="B201" s="280"/>
      <c r="C201" s="210"/>
      <c r="D201" s="281" t="s">
        <v>99</v>
      </c>
      <c r="E201" s="33"/>
      <c r="F201" s="33"/>
      <c r="G201" s="35"/>
      <c r="H201" s="589" t="s">
        <v>12</v>
      </c>
      <c r="I201" s="269"/>
      <c r="J201" s="269"/>
      <c r="K201" s="465"/>
      <c r="L201" s="465">
        <f ca="1">IFERROR(__xludf.DUMMYFUNCTION("IMPORTRANGE(""https://docs.google.com/spreadsheets/d/1QqKyyYR6Q21VydFLVH3TRQUabQu_ym0Zz7PgGX0-kHA/edit?usp=sharing"",""แผน!AG22"")"),12000)</f>
        <v>12000</v>
      </c>
      <c r="M201" s="465"/>
      <c r="N201" s="789">
        <v>0</v>
      </c>
      <c r="O201" s="465"/>
      <c r="P201" s="465"/>
      <c r="Q201" s="285"/>
      <c r="R201" s="285"/>
      <c r="S201" s="285"/>
      <c r="T201" s="285"/>
      <c r="U201" s="285"/>
      <c r="V201" s="285"/>
      <c r="W201" s="285"/>
      <c r="X201" s="285"/>
      <c r="Y201" s="285"/>
      <c r="Z201" s="285"/>
    </row>
    <row r="202" spans="1:26" ht="19.5">
      <c r="A202" s="283"/>
      <c r="B202" s="280"/>
      <c r="C202" s="210"/>
      <c r="D202" s="281" t="s">
        <v>100</v>
      </c>
      <c r="E202" s="33"/>
      <c r="F202" s="33"/>
      <c r="G202" s="35"/>
      <c r="H202" s="589" t="s">
        <v>12</v>
      </c>
      <c r="I202" s="269"/>
      <c r="J202" s="269"/>
      <c r="K202" s="465"/>
      <c r="L202" s="465">
        <f ca="1">IFERROR(__xludf.DUMMYFUNCTION("IMPORTRANGE(""https://docs.google.com/spreadsheets/d/1QqKyyYR6Q21VydFLVH3TRQUabQu_ym0Zz7PgGX0-kHA/edit?usp=sharing"",""แผน!AH22"")"),0)</f>
        <v>0</v>
      </c>
      <c r="M202" s="465"/>
      <c r="N202" s="789">
        <v>0</v>
      </c>
      <c r="O202" s="465"/>
      <c r="P202" s="465"/>
      <c r="Q202" s="285"/>
      <c r="R202" s="285"/>
      <c r="S202" s="285"/>
      <c r="T202" s="285"/>
      <c r="U202" s="285"/>
      <c r="V202" s="285"/>
      <c r="W202" s="285"/>
      <c r="X202" s="285"/>
      <c r="Y202" s="285"/>
      <c r="Z202" s="285"/>
    </row>
    <row r="203" spans="1:26" ht="19.5">
      <c r="A203" s="170"/>
      <c r="B203" s="171"/>
      <c r="C203" s="210" t="s">
        <v>16</v>
      </c>
      <c r="D203" s="818" t="s">
        <v>38</v>
      </c>
      <c r="E203" s="173"/>
      <c r="F203" s="173"/>
      <c r="G203" s="174"/>
      <c r="H203" s="726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343" t="s">
        <v>101</v>
      </c>
      <c r="E204" s="342"/>
      <c r="F204" s="342"/>
      <c r="G204" s="179"/>
      <c r="H204" s="726" t="s">
        <v>96</v>
      </c>
      <c r="I204" s="269">
        <f ca="1">IFERROR(__xludf.DUMMYFUNCTION("IMPORTRANGE(""https://docs.google.com/spreadsheets/d/1QqKyyYR6Q21VydFLVH3TRQUabQu_ym0Zz7PgGX0-kHA/edit?usp=sharing"",""แผน!AI22"")"),3)</f>
        <v>3</v>
      </c>
      <c r="J204" s="214">
        <v>0</v>
      </c>
      <c r="K204" s="163">
        <f ca="1">IF(I204&gt;0,J204*100/I204,0)</f>
        <v>0</v>
      </c>
      <c r="L204" s="465"/>
      <c r="M204" s="465"/>
      <c r="N204" s="465"/>
      <c r="O204" s="465"/>
      <c r="P204" s="465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15" t="s">
        <v>59</v>
      </c>
      <c r="E205" s="342"/>
      <c r="F205" s="342"/>
      <c r="G205" s="179"/>
      <c r="H205" s="726"/>
      <c r="I205" s="269"/>
      <c r="J205" s="269"/>
      <c r="K205" s="163"/>
      <c r="L205" s="465"/>
      <c r="M205" s="465"/>
      <c r="N205" s="465"/>
      <c r="O205" s="465"/>
      <c r="P205" s="465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342"/>
      <c r="E206" s="494" t="s">
        <v>102</v>
      </c>
      <c r="F206" s="286"/>
      <c r="G206" s="287"/>
      <c r="H206" s="288" t="s">
        <v>96</v>
      </c>
      <c r="I206" s="269">
        <v>3</v>
      </c>
      <c r="J206" s="214">
        <v>0</v>
      </c>
      <c r="K206" s="163">
        <f t="shared" ref="K206:K208" si="99">IF(I206&gt;0,J206*100/I206,0)</f>
        <v>0</v>
      </c>
      <c r="L206" s="465"/>
      <c r="M206" s="465"/>
      <c r="N206" s="465"/>
      <c r="O206" s="465"/>
      <c r="P206" s="465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15"/>
      <c r="E207" s="415" t="s">
        <v>103</v>
      </c>
      <c r="F207" s="342"/>
      <c r="G207" s="342"/>
      <c r="H207" s="289" t="s">
        <v>104</v>
      </c>
      <c r="I207" s="269">
        <v>0</v>
      </c>
      <c r="J207" s="214">
        <v>0</v>
      </c>
      <c r="K207" s="163">
        <f t="shared" si="99"/>
        <v>0</v>
      </c>
      <c r="L207" s="465"/>
      <c r="M207" s="465"/>
      <c r="N207" s="465"/>
      <c r="O207" s="465"/>
      <c r="P207" s="465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 hidden="1">
      <c r="A208" s="255"/>
      <c r="B208" s="263"/>
      <c r="C208" s="339" t="s">
        <v>105</v>
      </c>
      <c r="D208" s="256"/>
      <c r="E208" s="256"/>
      <c r="F208" s="290"/>
      <c r="G208" s="258"/>
      <c r="H208" s="277" t="s">
        <v>96</v>
      </c>
      <c r="I208" s="271">
        <f t="shared" ref="I208:J208" ca="1" si="100">I215</f>
        <v>0</v>
      </c>
      <c r="J208" s="271">
        <f t="shared" si="100"/>
        <v>0</v>
      </c>
      <c r="K208" s="272">
        <f t="shared" ca="1" si="99"/>
        <v>0</v>
      </c>
      <c r="L208" s="261"/>
      <c r="M208" s="261"/>
      <c r="N208" s="261"/>
      <c r="O208" s="261"/>
      <c r="P208" s="261"/>
    </row>
    <row r="209" spans="1:26" ht="19.5" hidden="1">
      <c r="A209" s="147"/>
      <c r="B209" s="148"/>
      <c r="C209" s="149" t="s">
        <v>16</v>
      </c>
      <c r="D209" s="822" t="s">
        <v>17</v>
      </c>
      <c r="E209" s="148"/>
      <c r="F209" s="148"/>
      <c r="G209" s="151"/>
      <c r="H209" s="274" t="s">
        <v>12</v>
      </c>
      <c r="I209" s="387"/>
      <c r="J209" s="387"/>
      <c r="K209" s="279"/>
      <c r="L209" s="155">
        <f ca="1">L210+L211+L212</f>
        <v>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 hidden="1">
      <c r="A210" s="159"/>
      <c r="B210" s="280"/>
      <c r="C210" s="33"/>
      <c r="D210" s="281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65">
        <f ca="1">IFERROR(__xludf.DUMMYFUNCTION("IMPORTRANGE(""https://docs.google.com/spreadsheets/d/1QqKyyYR6Q21VydFLVH3TRQUabQu_ym0Zz7PgGX0-kHA/edit?usp=sharing"",""แผน!AK22"")"),0)</f>
        <v>0</v>
      </c>
      <c r="M210" s="465"/>
      <c r="N210" s="789">
        <v>0</v>
      </c>
      <c r="O210" s="465"/>
      <c r="P210" s="465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 hidden="1">
      <c r="A211" s="283"/>
      <c r="B211" s="280"/>
      <c r="C211" s="291"/>
      <c r="D211" s="281" t="s">
        <v>99</v>
      </c>
      <c r="E211" s="33"/>
      <c r="F211" s="33"/>
      <c r="G211" s="35"/>
      <c r="H211" s="161" t="s">
        <v>12</v>
      </c>
      <c r="I211" s="269"/>
      <c r="J211" s="269"/>
      <c r="K211" s="465"/>
      <c r="L211" s="465">
        <f ca="1">IFERROR(__xludf.DUMMYFUNCTION("IMPORTRANGE(""https://docs.google.com/spreadsheets/d/1QqKyyYR6Q21VydFLVH3TRQUabQu_ym0Zz7PgGX0-kHA/edit?usp=sharing"",""แผน!AL22"")"),0)</f>
        <v>0</v>
      </c>
      <c r="M211" s="465"/>
      <c r="N211" s="789">
        <v>0</v>
      </c>
      <c r="O211" s="465"/>
      <c r="P211" s="465"/>
      <c r="Q211" s="285"/>
      <c r="R211" s="285"/>
      <c r="S211" s="285"/>
      <c r="T211" s="285"/>
      <c r="U211" s="285"/>
      <c r="V211" s="285"/>
      <c r="W211" s="285"/>
      <c r="X211" s="285"/>
      <c r="Y211" s="285"/>
      <c r="Z211" s="285"/>
    </row>
    <row r="212" spans="1:26" ht="19.5" hidden="1">
      <c r="A212" s="283"/>
      <c r="B212" s="280"/>
      <c r="C212" s="291"/>
      <c r="D212" s="281" t="s">
        <v>98</v>
      </c>
      <c r="E212" s="33"/>
      <c r="F212" s="33"/>
      <c r="G212" s="35"/>
      <c r="H212" s="161" t="s">
        <v>12</v>
      </c>
      <c r="I212" s="269"/>
      <c r="J212" s="269"/>
      <c r="K212" s="465"/>
      <c r="L212" s="465">
        <f ca="1">IFERROR(__xludf.DUMMYFUNCTION("IMPORTRANGE(""https://docs.google.com/spreadsheets/d/1QqKyyYR6Q21VydFLVH3TRQUabQu_ym0Zz7PgGX0-kHA/edit?usp=sharing"",""แผน!AM22"")"),0)</f>
        <v>0</v>
      </c>
      <c r="M212" s="465"/>
      <c r="N212" s="789">
        <v>0</v>
      </c>
      <c r="O212" s="465"/>
      <c r="P212" s="465"/>
      <c r="Q212" s="285"/>
      <c r="R212" s="285"/>
      <c r="S212" s="285"/>
      <c r="T212" s="285"/>
      <c r="U212" s="285"/>
      <c r="V212" s="285"/>
      <c r="W212" s="285"/>
      <c r="X212" s="285"/>
      <c r="Y212" s="285"/>
      <c r="Z212" s="285"/>
    </row>
    <row r="213" spans="1:26" ht="19.5" hidden="1">
      <c r="A213" s="170"/>
      <c r="B213" s="171"/>
      <c r="C213" s="291" t="s">
        <v>16</v>
      </c>
      <c r="D213" s="818" t="s">
        <v>38</v>
      </c>
      <c r="E213" s="173"/>
      <c r="F213" s="173"/>
      <c r="G213" s="174"/>
      <c r="H213" s="726"/>
      <c r="I213" s="184"/>
      <c r="J213" s="269"/>
      <c r="K213" s="465"/>
      <c r="L213" s="465"/>
      <c r="M213" s="465"/>
      <c r="N213" s="465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 hidden="1">
      <c r="A214" s="170"/>
      <c r="B214" s="171"/>
      <c r="C214" s="171"/>
      <c r="D214" s="343" t="s">
        <v>106</v>
      </c>
      <c r="E214" s="342"/>
      <c r="F214" s="342"/>
      <c r="G214" s="179"/>
      <c r="H214" s="726" t="s">
        <v>96</v>
      </c>
      <c r="I214" s="269">
        <f ca="1">IFERROR(__xludf.DUMMYFUNCTION("IMPORTRANGE(""https://docs.google.com/spreadsheets/d/1QqKyyYR6Q21VydFLVH3TRQUabQu_ym0Zz7PgGX0-kHA/edit?usp=sharing"",""แผน!AN22"")"),0)</f>
        <v>0</v>
      </c>
      <c r="J214" s="214">
        <v>0</v>
      </c>
      <c r="K214" s="465">
        <f t="shared" ref="K214:K216" ca="1" si="101">IF(I214&gt;0,J214*100/I214,0)</f>
        <v>0</v>
      </c>
      <c r="L214" s="465"/>
      <c r="M214" s="465"/>
      <c r="N214" s="465"/>
      <c r="O214" s="465"/>
      <c r="P214" s="465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 hidden="1">
      <c r="A215" s="170"/>
      <c r="B215" s="171"/>
      <c r="C215" s="171"/>
      <c r="D215" s="343" t="s">
        <v>107</v>
      </c>
      <c r="E215" s="342"/>
      <c r="F215" s="342"/>
      <c r="G215" s="179"/>
      <c r="H215" s="726" t="s">
        <v>96</v>
      </c>
      <c r="I215" s="269">
        <f ca="1">IFERROR(__xludf.DUMMYFUNCTION("IMPORTRANGE(""https://docs.google.com/spreadsheets/d/1QqKyyYR6Q21VydFLVH3TRQUabQu_ym0Zz7PgGX0-kHA/edit?usp=sharing"",""แผน!AN22"")"),0)</f>
        <v>0</v>
      </c>
      <c r="J215" s="214">
        <v>0</v>
      </c>
      <c r="K215" s="465">
        <f t="shared" ca="1" si="101"/>
        <v>0</v>
      </c>
      <c r="L215" s="465"/>
      <c r="M215" s="465"/>
      <c r="N215" s="465"/>
      <c r="O215" s="465"/>
      <c r="P215" s="465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5"/>
      <c r="B216" s="263"/>
      <c r="C216" s="339" t="s">
        <v>108</v>
      </c>
      <c r="D216" s="256"/>
      <c r="E216" s="256"/>
      <c r="F216" s="290"/>
      <c r="G216" s="258"/>
      <c r="H216" s="259" t="s">
        <v>109</v>
      </c>
      <c r="I216" s="271">
        <f t="shared" ref="I216:J216" ca="1" si="102">I224</f>
        <v>50000</v>
      </c>
      <c r="J216" s="271">
        <f t="shared" si="102"/>
        <v>0</v>
      </c>
      <c r="K216" s="272">
        <f t="shared" ca="1" si="101"/>
        <v>0</v>
      </c>
      <c r="L216" s="261"/>
      <c r="M216" s="261"/>
      <c r="N216" s="261"/>
      <c r="O216" s="261"/>
      <c r="P216" s="261"/>
    </row>
    <row r="217" spans="1:26" ht="19.5">
      <c r="A217" s="147"/>
      <c r="B217" s="148"/>
      <c r="C217" s="149" t="s">
        <v>16</v>
      </c>
      <c r="D217" s="822" t="s">
        <v>17</v>
      </c>
      <c r="E217" s="148"/>
      <c r="F217" s="148"/>
      <c r="G217" s="151"/>
      <c r="H217" s="274" t="s">
        <v>12</v>
      </c>
      <c r="I217" s="387"/>
      <c r="J217" s="387"/>
      <c r="K217" s="279"/>
      <c r="L217" s="155">
        <f ca="1">L218+L219+L220</f>
        <v>28500</v>
      </c>
      <c r="M217" s="155"/>
      <c r="N217" s="155">
        <f>N218+N219+N220</f>
        <v>0</v>
      </c>
      <c r="O217" s="155">
        <f ca="1">IF(L217&gt;0,N217*100/L217,0)</f>
        <v>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0"/>
      <c r="C218" s="33"/>
      <c r="D218" s="281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65">
        <f ca="1">IFERROR(__xludf.DUMMYFUNCTION("IMPORTRANGE(""https://docs.google.com/spreadsheets/d/1QqKyyYR6Q21VydFLVH3TRQUabQu_ym0Zz7PgGX0-kHA/edit?usp=sharing"",""แผน!AP22"")"),5000)</f>
        <v>5000</v>
      </c>
      <c r="M218" s="465"/>
      <c r="N218" s="789">
        <v>0</v>
      </c>
      <c r="O218" s="465"/>
      <c r="P218" s="465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3"/>
      <c r="B219" s="280"/>
      <c r="C219" s="291"/>
      <c r="D219" s="281" t="s">
        <v>110</v>
      </c>
      <c r="E219" s="33"/>
      <c r="F219" s="33"/>
      <c r="G219" s="35"/>
      <c r="H219" s="161" t="s">
        <v>12</v>
      </c>
      <c r="I219" s="269"/>
      <c r="J219" s="269"/>
      <c r="K219" s="465"/>
      <c r="L219" s="465">
        <f ca="1">IFERROR(__xludf.DUMMYFUNCTION("IMPORTRANGE(""https://docs.google.com/spreadsheets/d/1QqKyyYR6Q21VydFLVH3TRQUabQu_ym0Zz7PgGX0-kHA/edit?usp=sharing"",""แผน!AQ22"")"),13500)</f>
        <v>13500</v>
      </c>
      <c r="M219" s="465"/>
      <c r="N219" s="789">
        <v>0</v>
      </c>
      <c r="O219" s="465"/>
      <c r="P219" s="465"/>
      <c r="Q219" s="285"/>
      <c r="R219" s="285"/>
      <c r="S219" s="285"/>
      <c r="T219" s="285"/>
      <c r="U219" s="285"/>
      <c r="V219" s="285"/>
      <c r="W219" s="285"/>
      <c r="X219" s="285"/>
      <c r="Y219" s="285"/>
      <c r="Z219" s="285"/>
    </row>
    <row r="220" spans="1:26" ht="19.5">
      <c r="A220" s="283"/>
      <c r="B220" s="280"/>
      <c r="C220" s="291"/>
      <c r="D220" s="281" t="s">
        <v>98</v>
      </c>
      <c r="E220" s="33"/>
      <c r="F220" s="33"/>
      <c r="G220" s="35"/>
      <c r="H220" s="161" t="s">
        <v>12</v>
      </c>
      <c r="I220" s="269"/>
      <c r="J220" s="269"/>
      <c r="K220" s="465"/>
      <c r="L220" s="465">
        <f ca="1">IFERROR(__xludf.DUMMYFUNCTION("IMPORTRANGE(""https://docs.google.com/spreadsheets/d/1QqKyyYR6Q21VydFLVH3TRQUabQu_ym0Zz7PgGX0-kHA/edit?usp=sharing"",""แผน!AR22"")"),10000)</f>
        <v>10000</v>
      </c>
      <c r="M220" s="465"/>
      <c r="N220" s="789">
        <v>0</v>
      </c>
      <c r="O220" s="465"/>
      <c r="P220" s="465"/>
      <c r="Q220" s="285"/>
      <c r="R220" s="285"/>
      <c r="S220" s="285"/>
      <c r="T220" s="285"/>
      <c r="U220" s="285"/>
      <c r="V220" s="285"/>
      <c r="W220" s="285"/>
      <c r="X220" s="285"/>
      <c r="Y220" s="285"/>
      <c r="Z220" s="285"/>
    </row>
    <row r="221" spans="1:26" ht="19.5">
      <c r="A221" s="170"/>
      <c r="B221" s="171"/>
      <c r="C221" s="291" t="s">
        <v>16</v>
      </c>
      <c r="D221" s="818" t="s">
        <v>38</v>
      </c>
      <c r="E221" s="173"/>
      <c r="F221" s="173"/>
      <c r="G221" s="174"/>
      <c r="H221" s="726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1" t="s">
        <v>111</v>
      </c>
      <c r="E222" s="342"/>
      <c r="F222" s="342"/>
      <c r="G222" s="179"/>
      <c r="H222" s="726"/>
      <c r="I222" s="269"/>
      <c r="J222" s="269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343" t="s">
        <v>112</v>
      </c>
      <c r="F223" s="342"/>
      <c r="G223" s="179"/>
      <c r="H223" s="728" t="s">
        <v>109</v>
      </c>
      <c r="I223" s="269">
        <f ca="1">IFERROR(__xludf.DUMMYFUNCTION("IMPORTRANGE(""https://docs.google.com/spreadsheets/d/1QqKyyYR6Q21VydFLVH3TRQUabQu_ym0Zz7PgGX0-kHA/edit?usp=sharing"",""แผน!AT22"")"),50000)</f>
        <v>50000</v>
      </c>
      <c r="J223" s="214">
        <v>0</v>
      </c>
      <c r="K223" s="163">
        <f t="shared" ref="K223:K226" ca="1" si="103">IF(I223&gt;0,J223*100/I223,0)</f>
        <v>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343" t="s">
        <v>113</v>
      </c>
      <c r="F224" s="342"/>
      <c r="G224" s="179"/>
      <c r="H224" s="728" t="s">
        <v>109</v>
      </c>
      <c r="I224" s="269">
        <f ca="1">IFERROR(__xludf.DUMMYFUNCTION("IMPORTRANGE(""https://docs.google.com/spreadsheets/d/1QqKyyYR6Q21VydFLVH3TRQUabQu_ym0Zz7PgGX0-kHA/edit?usp=sharing"",""แผน!AT22"")"),50000)</f>
        <v>50000</v>
      </c>
      <c r="J224" s="214">
        <v>0</v>
      </c>
      <c r="K224" s="163">
        <f t="shared" ca="1" si="103"/>
        <v>0</v>
      </c>
      <c r="L224" s="465"/>
      <c r="M224" s="465"/>
      <c r="N224" s="465"/>
      <c r="O224" s="465"/>
      <c r="P224" s="465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1" t="s">
        <v>114</v>
      </c>
      <c r="E225" s="342"/>
      <c r="F225" s="342"/>
      <c r="G225" s="179"/>
      <c r="H225" s="728" t="s">
        <v>35</v>
      </c>
      <c r="I225" s="269">
        <f ca="1">IFERROR(__xludf.DUMMYFUNCTION("IMPORTRANGE(""https://docs.google.com/spreadsheets/d/1QqKyyYR6Q21VydFLVH3TRQUabQu_ym0Zz7PgGX0-kHA/edit?usp=sharing"",""แผน!AS22"")"),10)</f>
        <v>10</v>
      </c>
      <c r="J225" s="214">
        <v>0</v>
      </c>
      <c r="K225" s="163">
        <f t="shared" ca="1" si="103"/>
        <v>0</v>
      </c>
      <c r="L225" s="465"/>
      <c r="M225" s="465"/>
      <c r="N225" s="465"/>
      <c r="O225" s="465"/>
      <c r="P225" s="465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5"/>
      <c r="B226" s="263"/>
      <c r="C226" s="823" t="s">
        <v>115</v>
      </c>
      <c r="D226" s="256"/>
      <c r="E226" s="256"/>
      <c r="F226" s="256"/>
      <c r="G226" s="258"/>
      <c r="H226" s="265" t="s">
        <v>35</v>
      </c>
      <c r="I226" s="824">
        <f t="shared" ref="I226:J226" ca="1" si="104">I237+I248</f>
        <v>0</v>
      </c>
      <c r="J226" s="824">
        <f t="shared" si="104"/>
        <v>0</v>
      </c>
      <c r="K226" s="825">
        <f t="shared" ca="1" si="103"/>
        <v>0</v>
      </c>
      <c r="L226" s="261"/>
      <c r="M226" s="261"/>
      <c r="N226" s="261"/>
      <c r="O226" s="261"/>
      <c r="P226" s="261"/>
    </row>
    <row r="227" spans="1:26" ht="19.5" hidden="1">
      <c r="A227" s="826"/>
      <c r="B227" s="827"/>
      <c r="C227" s="828" t="s">
        <v>16</v>
      </c>
      <c r="D227" s="829" t="s">
        <v>17</v>
      </c>
      <c r="E227" s="827"/>
      <c r="F227" s="827"/>
      <c r="G227" s="830"/>
      <c r="H227" s="831" t="s">
        <v>12</v>
      </c>
      <c r="I227" s="832"/>
      <c r="J227" s="832"/>
      <c r="K227" s="833"/>
      <c r="L227" s="834">
        <f t="shared" ref="L227:L231" ca="1" si="105">L238+L249</f>
        <v>0</v>
      </c>
      <c r="M227" s="834"/>
      <c r="N227" s="834">
        <f t="shared" ref="N227:N231" si="106">N238+N249</f>
        <v>0</v>
      </c>
      <c r="O227" s="835"/>
      <c r="P227" s="835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542"/>
      <c r="C228" s="40"/>
      <c r="D228" s="222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5"/>
        <v>0</v>
      </c>
      <c r="M228" s="93"/>
      <c r="N228" s="93">
        <f t="shared" si="106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836"/>
      <c r="B229" s="542"/>
      <c r="C229" s="837"/>
      <c r="D229" s="222" t="s">
        <v>98</v>
      </c>
      <c r="E229" s="40"/>
      <c r="F229" s="40"/>
      <c r="G229" s="42"/>
      <c r="H229" s="165" t="s">
        <v>12</v>
      </c>
      <c r="I229" s="583"/>
      <c r="J229" s="583"/>
      <c r="K229" s="93"/>
      <c r="L229" s="93">
        <f t="shared" ca="1" si="105"/>
        <v>0</v>
      </c>
      <c r="M229" s="93"/>
      <c r="N229" s="93">
        <f t="shared" si="106"/>
        <v>0</v>
      </c>
      <c r="O229" s="93"/>
      <c r="P229" s="93"/>
      <c r="Q229" s="838"/>
      <c r="R229" s="838"/>
      <c r="S229" s="838"/>
      <c r="T229" s="838"/>
      <c r="U229" s="838"/>
      <c r="V229" s="838"/>
      <c r="W229" s="838"/>
      <c r="X229" s="838"/>
      <c r="Y229" s="838"/>
      <c r="Z229" s="838"/>
    </row>
    <row r="230" spans="1:26" ht="19.5" hidden="1">
      <c r="A230" s="836"/>
      <c r="B230" s="542"/>
      <c r="C230" s="837"/>
      <c r="D230" s="222" t="s">
        <v>116</v>
      </c>
      <c r="E230" s="40"/>
      <c r="F230" s="40"/>
      <c r="G230" s="42"/>
      <c r="H230" s="165" t="s">
        <v>12</v>
      </c>
      <c r="I230" s="583"/>
      <c r="J230" s="583"/>
      <c r="K230" s="93"/>
      <c r="L230" s="93">
        <f t="shared" ca="1" si="105"/>
        <v>0</v>
      </c>
      <c r="M230" s="93"/>
      <c r="N230" s="93">
        <f t="shared" si="106"/>
        <v>0</v>
      </c>
      <c r="O230" s="93"/>
      <c r="P230" s="93"/>
      <c r="Q230" s="838"/>
      <c r="R230" s="838"/>
      <c r="S230" s="838"/>
      <c r="T230" s="838"/>
      <c r="U230" s="838"/>
      <c r="V230" s="838"/>
      <c r="W230" s="838"/>
      <c r="X230" s="838"/>
      <c r="Y230" s="838"/>
      <c r="Z230" s="838"/>
    </row>
    <row r="231" spans="1:26" ht="19.5" hidden="1">
      <c r="A231" s="836"/>
      <c r="B231" s="542"/>
      <c r="C231" s="837"/>
      <c r="D231" s="222" t="s">
        <v>100</v>
      </c>
      <c r="E231" s="40"/>
      <c r="F231" s="40"/>
      <c r="G231" s="42"/>
      <c r="H231" s="165" t="s">
        <v>12</v>
      </c>
      <c r="I231" s="583"/>
      <c r="J231" s="583"/>
      <c r="K231" s="93"/>
      <c r="L231" s="93">
        <f t="shared" ca="1" si="105"/>
        <v>0</v>
      </c>
      <c r="M231" s="93"/>
      <c r="N231" s="93">
        <f t="shared" si="106"/>
        <v>0</v>
      </c>
      <c r="O231" s="93"/>
      <c r="P231" s="93"/>
      <c r="Q231" s="838"/>
      <c r="R231" s="838"/>
      <c r="S231" s="838"/>
      <c r="T231" s="838"/>
      <c r="U231" s="838"/>
      <c r="V231" s="838"/>
      <c r="W231" s="838"/>
      <c r="X231" s="838"/>
      <c r="Y231" s="838"/>
      <c r="Z231" s="838"/>
    </row>
    <row r="232" spans="1:26" ht="19.5" hidden="1">
      <c r="A232" s="839"/>
      <c r="B232" s="840"/>
      <c r="C232" s="837" t="s">
        <v>16</v>
      </c>
      <c r="D232" s="266" t="s">
        <v>38</v>
      </c>
      <c r="E232" s="841"/>
      <c r="F232" s="841"/>
      <c r="G232" s="842"/>
      <c r="H232" s="581"/>
      <c r="I232" s="166"/>
      <c r="J232" s="583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839"/>
      <c r="B233" s="840"/>
      <c r="C233" s="840"/>
      <c r="D233" s="268" t="s">
        <v>117</v>
      </c>
      <c r="E233" s="536"/>
      <c r="F233" s="536"/>
      <c r="G233" s="843"/>
      <c r="H233" s="582" t="s">
        <v>35</v>
      </c>
      <c r="I233" s="583">
        <f t="shared" ref="I233:J233" ca="1" si="107">I244+I255</f>
        <v>0</v>
      </c>
      <c r="J233" s="583">
        <f t="shared" si="107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839"/>
      <c r="B234" s="840"/>
      <c r="C234" s="840"/>
      <c r="D234" s="844" t="s">
        <v>43</v>
      </c>
      <c r="E234" s="536"/>
      <c r="F234" s="536"/>
      <c r="G234" s="843"/>
      <c r="H234" s="582"/>
      <c r="I234" s="583"/>
      <c r="J234" s="583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839"/>
      <c r="B235" s="840"/>
      <c r="C235" s="840"/>
      <c r="D235" s="840"/>
      <c r="E235" s="267" t="s">
        <v>118</v>
      </c>
      <c r="F235" s="536"/>
      <c r="G235" s="843"/>
      <c r="H235" s="582" t="s">
        <v>35</v>
      </c>
      <c r="I235" s="583">
        <f t="shared" ref="I235:J236" si="108">I246+I257</f>
        <v>0</v>
      </c>
      <c r="J235" s="583">
        <f t="shared" si="108"/>
        <v>0</v>
      </c>
      <c r="K235" s="93">
        <f t="shared" ref="K235:K237" si="109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839"/>
      <c r="B236" s="840"/>
      <c r="C236" s="840"/>
      <c r="D236" s="840"/>
      <c r="E236" s="267" t="s">
        <v>119</v>
      </c>
      <c r="F236" s="536"/>
      <c r="G236" s="843"/>
      <c r="H236" s="582" t="s">
        <v>69</v>
      </c>
      <c r="I236" s="583">
        <f t="shared" si="108"/>
        <v>0</v>
      </c>
      <c r="J236" s="583">
        <f t="shared" si="108"/>
        <v>0</v>
      </c>
      <c r="K236" s="93">
        <f t="shared" si="109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5"/>
      <c r="B237" s="263"/>
      <c r="C237" s="339" t="s">
        <v>330</v>
      </c>
      <c r="D237" s="256"/>
      <c r="E237" s="256"/>
      <c r="F237" s="256"/>
      <c r="G237" s="258"/>
      <c r="H237" s="259" t="s">
        <v>35</v>
      </c>
      <c r="I237" s="271">
        <f t="shared" ref="I237:J237" ca="1" si="110">I244</f>
        <v>0</v>
      </c>
      <c r="J237" s="271">
        <f t="shared" si="110"/>
        <v>0</v>
      </c>
      <c r="K237" s="272">
        <f t="shared" ca="1" si="109"/>
        <v>0</v>
      </c>
      <c r="L237" s="261"/>
      <c r="M237" s="261"/>
      <c r="N237" s="261"/>
      <c r="O237" s="261"/>
      <c r="P237" s="261"/>
    </row>
    <row r="238" spans="1:26" ht="19.5" hidden="1">
      <c r="A238" s="147"/>
      <c r="B238" s="148"/>
      <c r="C238" s="149" t="s">
        <v>16</v>
      </c>
      <c r="D238" s="817" t="s">
        <v>17</v>
      </c>
      <c r="E238" s="148"/>
      <c r="F238" s="148"/>
      <c r="G238" s="151"/>
      <c r="H238" s="274" t="s">
        <v>12</v>
      </c>
      <c r="I238" s="387"/>
      <c r="J238" s="387"/>
      <c r="K238" s="279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3"/>
      <c r="B239" s="314"/>
      <c r="C239" s="315"/>
      <c r="D239" s="324" t="s">
        <v>97</v>
      </c>
      <c r="E239" s="315"/>
      <c r="F239" s="315"/>
      <c r="G239" s="317"/>
      <c r="H239" s="318" t="s">
        <v>12</v>
      </c>
      <c r="I239" s="319"/>
      <c r="J239" s="319"/>
      <c r="K239" s="320"/>
      <c r="L239" s="321">
        <f ca="1">IFERROR(__xludf.DUMMYFUNCTION("IMPORTRANGE(""https://docs.google.com/spreadsheets/d/1QqKyyYR6Q21VydFLVH3TRQUabQu_ym0Zz7PgGX0-kHA/edit?usp=sharing"",""แผน!AV22"")"),0)</f>
        <v>0</v>
      </c>
      <c r="M239" s="321"/>
      <c r="N239" s="340">
        <v>0</v>
      </c>
      <c r="O239" s="321"/>
      <c r="P239" s="321"/>
      <c r="Q239" s="312"/>
      <c r="R239" s="312"/>
      <c r="S239" s="312"/>
      <c r="T239" s="312"/>
      <c r="U239" s="312"/>
      <c r="V239" s="312"/>
      <c r="W239" s="312"/>
      <c r="X239" s="312"/>
      <c r="Y239" s="312"/>
      <c r="Z239" s="312"/>
    </row>
    <row r="240" spans="1:26" ht="19.5" hidden="1">
      <c r="A240" s="322"/>
      <c r="B240" s="314"/>
      <c r="C240" s="323"/>
      <c r="D240" s="324" t="s">
        <v>98</v>
      </c>
      <c r="E240" s="315"/>
      <c r="F240" s="315"/>
      <c r="G240" s="317"/>
      <c r="H240" s="318" t="s">
        <v>12</v>
      </c>
      <c r="I240" s="325"/>
      <c r="J240" s="325"/>
      <c r="K240" s="321"/>
      <c r="L240" s="321">
        <f ca="1">IFERROR(__xludf.DUMMYFUNCTION("IMPORTRANGE(""https://docs.google.com/spreadsheets/d/1QqKyyYR6Q21VydFLVH3TRQUabQu_ym0Zz7PgGX0-kHA/edit?usp=sharing"",""แผน!AW22"")"),0)</f>
        <v>0</v>
      </c>
      <c r="M240" s="321"/>
      <c r="N240" s="340">
        <v>0</v>
      </c>
      <c r="O240" s="321"/>
      <c r="P240" s="321"/>
      <c r="Q240" s="326"/>
      <c r="R240" s="326"/>
      <c r="S240" s="326"/>
      <c r="T240" s="326"/>
      <c r="U240" s="326"/>
      <c r="V240" s="326"/>
      <c r="W240" s="326"/>
      <c r="X240" s="326"/>
      <c r="Y240" s="326"/>
      <c r="Z240" s="326"/>
    </row>
    <row r="241" spans="1:26" ht="19.5" hidden="1">
      <c r="A241" s="322"/>
      <c r="B241" s="314"/>
      <c r="C241" s="323"/>
      <c r="D241" s="324" t="s">
        <v>116</v>
      </c>
      <c r="E241" s="315"/>
      <c r="F241" s="315"/>
      <c r="G241" s="317"/>
      <c r="H241" s="318" t="s">
        <v>12</v>
      </c>
      <c r="I241" s="325"/>
      <c r="J241" s="325"/>
      <c r="K241" s="321"/>
      <c r="L241" s="321">
        <f ca="1">IFERROR(__xludf.DUMMYFUNCTION("IMPORTRANGE(""https://docs.google.com/spreadsheets/d/1QqKyyYR6Q21VydFLVH3TRQUabQu_ym0Zz7PgGX0-kHA/edit?usp=sharing"",""แผน!AX22"")"),0)</f>
        <v>0</v>
      </c>
      <c r="M241" s="321"/>
      <c r="N241" s="340">
        <v>0</v>
      </c>
      <c r="O241" s="321"/>
      <c r="P241" s="321"/>
      <c r="Q241" s="326"/>
      <c r="R241" s="326"/>
      <c r="S241" s="326"/>
      <c r="T241" s="326"/>
      <c r="U241" s="326"/>
      <c r="V241" s="326"/>
      <c r="W241" s="326"/>
      <c r="X241" s="326"/>
      <c r="Y241" s="326"/>
      <c r="Z241" s="326"/>
    </row>
    <row r="242" spans="1:26" ht="19.5" hidden="1">
      <c r="A242" s="322"/>
      <c r="B242" s="314"/>
      <c r="C242" s="323"/>
      <c r="D242" s="324" t="s">
        <v>100</v>
      </c>
      <c r="E242" s="315"/>
      <c r="F242" s="315"/>
      <c r="G242" s="317"/>
      <c r="H242" s="318" t="s">
        <v>12</v>
      </c>
      <c r="I242" s="325"/>
      <c r="J242" s="325"/>
      <c r="K242" s="321"/>
      <c r="L242" s="321">
        <f ca="1">IFERROR(__xludf.DUMMYFUNCTION("IMPORTRANGE(""https://docs.google.com/spreadsheets/d/1QqKyyYR6Q21VydFLVH3TRQUabQu_ym0Zz7PgGX0-kHA/edit?usp=sharing"",""แผน!AY22"")"),0)</f>
        <v>0</v>
      </c>
      <c r="M242" s="321"/>
      <c r="N242" s="340">
        <v>0</v>
      </c>
      <c r="O242" s="321"/>
      <c r="P242" s="321"/>
      <c r="Q242" s="326"/>
      <c r="R242" s="326"/>
      <c r="S242" s="326"/>
      <c r="T242" s="326"/>
      <c r="U242" s="326"/>
      <c r="V242" s="326"/>
      <c r="W242" s="326"/>
      <c r="X242" s="326"/>
      <c r="Y242" s="326"/>
      <c r="Z242" s="326"/>
    </row>
    <row r="243" spans="1:26" ht="19.5" hidden="1">
      <c r="A243" s="170"/>
      <c r="B243" s="171"/>
      <c r="C243" s="291" t="s">
        <v>16</v>
      </c>
      <c r="D243" s="818" t="s">
        <v>38</v>
      </c>
      <c r="E243" s="173"/>
      <c r="F243" s="173"/>
      <c r="G243" s="174"/>
      <c r="H243" s="726"/>
      <c r="I243" s="184"/>
      <c r="J243" s="269"/>
      <c r="K243" s="465"/>
      <c r="L243" s="465"/>
      <c r="M243" s="465"/>
      <c r="N243" s="465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15" t="s">
        <v>117</v>
      </c>
      <c r="E244" s="342"/>
      <c r="F244" s="342"/>
      <c r="G244" s="179"/>
      <c r="H244" s="728" t="s">
        <v>35</v>
      </c>
      <c r="I244" s="269">
        <f ca="1">IFERROR(__xludf.DUMMYFUNCTION("IMPORTRANGE(""https://docs.google.com/spreadsheets/d/1QqKyyYR6Q21VydFLVH3TRQUabQu_ym0Zz7PgGX0-kHA/edit?usp=sharing"",""แผน!BE22"")"),0)</f>
        <v>0</v>
      </c>
      <c r="J244" s="214">
        <v>0</v>
      </c>
      <c r="K244" s="465">
        <f ca="1">IF(I244&gt;0,J244*100/I244,0)</f>
        <v>0</v>
      </c>
      <c r="L244" s="465"/>
      <c r="M244" s="465"/>
      <c r="N244" s="465"/>
      <c r="O244" s="465"/>
      <c r="P244" s="465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341" t="s">
        <v>43</v>
      </c>
      <c r="E245" s="342"/>
      <c r="F245" s="342"/>
      <c r="G245" s="179"/>
      <c r="H245" s="728"/>
      <c r="I245" s="269"/>
      <c r="J245" s="269"/>
      <c r="K245" s="465"/>
      <c r="L245" s="465"/>
      <c r="M245" s="465"/>
      <c r="N245" s="465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343" t="s">
        <v>118</v>
      </c>
      <c r="F246" s="342"/>
      <c r="G246" s="179"/>
      <c r="H246" s="728" t="s">
        <v>35</v>
      </c>
      <c r="I246" s="269"/>
      <c r="J246" s="214">
        <v>0</v>
      </c>
      <c r="K246" s="465">
        <f t="shared" ref="K246:K248" si="111">IF(I246&gt;0,J246*100/I246,0)</f>
        <v>0</v>
      </c>
      <c r="L246" s="465"/>
      <c r="M246" s="465"/>
      <c r="N246" s="465"/>
      <c r="O246" s="465"/>
      <c r="P246" s="465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343" t="s">
        <v>119</v>
      </c>
      <c r="F247" s="342"/>
      <c r="G247" s="179"/>
      <c r="H247" s="728" t="s">
        <v>69</v>
      </c>
      <c r="I247" s="269"/>
      <c r="J247" s="214">
        <v>0</v>
      </c>
      <c r="K247" s="465">
        <f t="shared" si="111"/>
        <v>0</v>
      </c>
      <c r="L247" s="465"/>
      <c r="M247" s="465"/>
      <c r="N247" s="465"/>
      <c r="O247" s="465"/>
      <c r="P247" s="465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5"/>
      <c r="B248" s="263"/>
      <c r="C248" s="339" t="s">
        <v>331</v>
      </c>
      <c r="D248" s="256"/>
      <c r="E248" s="256"/>
      <c r="F248" s="256"/>
      <c r="G248" s="258"/>
      <c r="H248" s="259" t="s">
        <v>35</v>
      </c>
      <c r="I248" s="271">
        <f t="shared" ref="I248:J248" ca="1" si="112">I255</f>
        <v>0</v>
      </c>
      <c r="J248" s="271">
        <f t="shared" si="112"/>
        <v>0</v>
      </c>
      <c r="K248" s="272">
        <f t="shared" ca="1" si="111"/>
        <v>0</v>
      </c>
      <c r="L248" s="261"/>
      <c r="M248" s="261"/>
      <c r="N248" s="261"/>
      <c r="O248" s="261"/>
      <c r="P248" s="261"/>
    </row>
    <row r="249" spans="1:26" ht="19.5" hidden="1">
      <c r="A249" s="147"/>
      <c r="B249" s="148"/>
      <c r="C249" s="149" t="s">
        <v>16</v>
      </c>
      <c r="D249" s="822" t="s">
        <v>17</v>
      </c>
      <c r="E249" s="148"/>
      <c r="F249" s="148"/>
      <c r="G249" s="151"/>
      <c r="H249" s="274" t="s">
        <v>12</v>
      </c>
      <c r="I249" s="387"/>
      <c r="J249" s="387"/>
      <c r="K249" s="279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3"/>
      <c r="B250" s="314"/>
      <c r="C250" s="315"/>
      <c r="D250" s="324" t="s">
        <v>97</v>
      </c>
      <c r="E250" s="315"/>
      <c r="F250" s="315"/>
      <c r="G250" s="317"/>
      <c r="H250" s="318" t="s">
        <v>12</v>
      </c>
      <c r="I250" s="319"/>
      <c r="J250" s="319"/>
      <c r="K250" s="320"/>
      <c r="L250" s="321">
        <f ca="1">IFERROR(__xludf.DUMMYFUNCTION("IMPORTRANGE(""https://docs.google.com/spreadsheets/d/1QqKyyYR6Q21VydFLVH3TRQUabQu_ym0Zz7PgGX0-kHA/edit?usp=sharing"",""แผน!AZ22"")"),0)</f>
        <v>0</v>
      </c>
      <c r="M250" s="321"/>
      <c r="N250" s="340">
        <v>0</v>
      </c>
      <c r="O250" s="321"/>
      <c r="P250" s="321"/>
      <c r="Q250" s="312"/>
      <c r="R250" s="312"/>
      <c r="S250" s="312"/>
      <c r="T250" s="312"/>
      <c r="U250" s="312"/>
      <c r="V250" s="312"/>
      <c r="W250" s="312"/>
      <c r="X250" s="312"/>
      <c r="Y250" s="312"/>
      <c r="Z250" s="312"/>
    </row>
    <row r="251" spans="1:26" ht="19.5" hidden="1">
      <c r="A251" s="322"/>
      <c r="B251" s="314"/>
      <c r="C251" s="323"/>
      <c r="D251" s="324" t="s">
        <v>98</v>
      </c>
      <c r="E251" s="315"/>
      <c r="F251" s="315"/>
      <c r="G251" s="317"/>
      <c r="H251" s="318" t="s">
        <v>12</v>
      </c>
      <c r="I251" s="325"/>
      <c r="J251" s="325"/>
      <c r="K251" s="321"/>
      <c r="L251" s="321">
        <f ca="1">IFERROR(__xludf.DUMMYFUNCTION("IMPORTRANGE(""https://docs.google.com/spreadsheets/d/1QqKyyYR6Q21VydFLVH3TRQUabQu_ym0Zz7PgGX0-kHA/edit?usp=sharing"",""แผน!BA22"")"),0)</f>
        <v>0</v>
      </c>
      <c r="M251" s="321"/>
      <c r="N251" s="340">
        <v>0</v>
      </c>
      <c r="O251" s="321"/>
      <c r="P251" s="321"/>
      <c r="Q251" s="326"/>
      <c r="R251" s="326"/>
      <c r="S251" s="326"/>
      <c r="T251" s="326"/>
      <c r="U251" s="326"/>
      <c r="V251" s="326"/>
      <c r="W251" s="326"/>
      <c r="X251" s="326"/>
      <c r="Y251" s="326"/>
      <c r="Z251" s="326"/>
    </row>
    <row r="252" spans="1:26" ht="19.5" hidden="1">
      <c r="A252" s="322"/>
      <c r="B252" s="314"/>
      <c r="C252" s="323"/>
      <c r="D252" s="324" t="s">
        <v>116</v>
      </c>
      <c r="E252" s="315"/>
      <c r="F252" s="315"/>
      <c r="G252" s="317"/>
      <c r="H252" s="318" t="s">
        <v>12</v>
      </c>
      <c r="I252" s="325"/>
      <c r="J252" s="325"/>
      <c r="K252" s="321"/>
      <c r="L252" s="321">
        <f ca="1">IFERROR(__xludf.DUMMYFUNCTION("IMPORTRANGE(""https://docs.google.com/spreadsheets/d/1QqKyyYR6Q21VydFLVH3TRQUabQu_ym0Zz7PgGX0-kHA/edit?usp=sharing"",""แผน!BB22"")"),0)</f>
        <v>0</v>
      </c>
      <c r="M252" s="321"/>
      <c r="N252" s="340">
        <v>0</v>
      </c>
      <c r="O252" s="321"/>
      <c r="P252" s="321"/>
      <c r="Q252" s="326"/>
      <c r="R252" s="326"/>
      <c r="S252" s="326"/>
      <c r="T252" s="326"/>
      <c r="U252" s="326"/>
      <c r="V252" s="326"/>
      <c r="W252" s="326"/>
      <c r="X252" s="326"/>
      <c r="Y252" s="326"/>
      <c r="Z252" s="326"/>
    </row>
    <row r="253" spans="1:26" ht="19.5" hidden="1">
      <c r="A253" s="322"/>
      <c r="B253" s="314"/>
      <c r="C253" s="323"/>
      <c r="D253" s="324" t="s">
        <v>100</v>
      </c>
      <c r="E253" s="315"/>
      <c r="F253" s="315"/>
      <c r="G253" s="317"/>
      <c r="H253" s="318" t="s">
        <v>12</v>
      </c>
      <c r="I253" s="325"/>
      <c r="J253" s="325"/>
      <c r="K253" s="321"/>
      <c r="L253" s="321">
        <f ca="1">IFERROR(__xludf.DUMMYFUNCTION("IMPORTRANGE(""https://docs.google.com/spreadsheets/d/1QqKyyYR6Q21VydFLVH3TRQUabQu_ym0Zz7PgGX0-kHA/edit?usp=sharing"",""แผน!BC22"")"),0)</f>
        <v>0</v>
      </c>
      <c r="M253" s="321"/>
      <c r="N253" s="340">
        <v>0</v>
      </c>
      <c r="O253" s="321"/>
      <c r="P253" s="321"/>
      <c r="Q253" s="326"/>
      <c r="R253" s="326"/>
      <c r="S253" s="326"/>
      <c r="T253" s="326"/>
      <c r="U253" s="326"/>
      <c r="V253" s="326"/>
      <c r="W253" s="326"/>
      <c r="X253" s="326"/>
      <c r="Y253" s="326"/>
      <c r="Z253" s="326"/>
    </row>
    <row r="254" spans="1:26" ht="19.5" hidden="1">
      <c r="A254" s="170"/>
      <c r="B254" s="171"/>
      <c r="C254" s="291" t="s">
        <v>16</v>
      </c>
      <c r="D254" s="818" t="s">
        <v>38</v>
      </c>
      <c r="E254" s="173"/>
      <c r="F254" s="173"/>
      <c r="G254" s="174"/>
      <c r="H254" s="726"/>
      <c r="I254" s="184"/>
      <c r="J254" s="269"/>
      <c r="K254" s="465"/>
      <c r="L254" s="465"/>
      <c r="M254" s="465"/>
      <c r="N254" s="465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15" t="s">
        <v>117</v>
      </c>
      <c r="E255" s="342"/>
      <c r="F255" s="342"/>
      <c r="G255" s="179"/>
      <c r="H255" s="728" t="s">
        <v>35</v>
      </c>
      <c r="I255" s="269">
        <f ca="1">IFERROR(__xludf.DUMMYFUNCTION("IMPORTRANGE(""https://docs.google.com/spreadsheets/d/1QqKyyYR6Q21VydFLVH3TRQUabQu_ym0Zz7PgGX0-kHA/edit?usp=sharing"",""แผน!BF22"")"),0)</f>
        <v>0</v>
      </c>
      <c r="J255" s="214">
        <v>0</v>
      </c>
      <c r="K255" s="465">
        <f ca="1">IF(I255&gt;0,J255*100/I255,0)</f>
        <v>0</v>
      </c>
      <c r="L255" s="465"/>
      <c r="M255" s="465"/>
      <c r="N255" s="465"/>
      <c r="O255" s="465"/>
      <c r="P255" s="465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341" t="s">
        <v>43</v>
      </c>
      <c r="E256" s="342"/>
      <c r="F256" s="342"/>
      <c r="G256" s="179"/>
      <c r="H256" s="728"/>
      <c r="I256" s="269"/>
      <c r="J256" s="269"/>
      <c r="K256" s="465"/>
      <c r="L256" s="465"/>
      <c r="M256" s="465"/>
      <c r="N256" s="465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343" t="s">
        <v>118</v>
      </c>
      <c r="F257" s="342"/>
      <c r="G257" s="179"/>
      <c r="H257" s="728" t="s">
        <v>35</v>
      </c>
      <c r="I257" s="269"/>
      <c r="J257" s="214">
        <v>0</v>
      </c>
      <c r="K257" s="465">
        <f t="shared" ref="K257:K258" si="113">IF(I257&gt;0,J257*100/I257,0)</f>
        <v>0</v>
      </c>
      <c r="L257" s="465"/>
      <c r="M257" s="465"/>
      <c r="N257" s="465"/>
      <c r="O257" s="465"/>
      <c r="P257" s="465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343" t="s">
        <v>119</v>
      </c>
      <c r="F258" s="342"/>
      <c r="G258" s="179"/>
      <c r="H258" s="728" t="s">
        <v>69</v>
      </c>
      <c r="I258" s="269"/>
      <c r="J258" s="214">
        <v>0</v>
      </c>
      <c r="K258" s="465">
        <f t="shared" si="113"/>
        <v>0</v>
      </c>
      <c r="L258" s="465"/>
      <c r="M258" s="465"/>
      <c r="N258" s="465"/>
      <c r="O258" s="465"/>
      <c r="P258" s="465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1" t="s">
        <v>122</v>
      </c>
      <c r="B259" s="242"/>
      <c r="C259" s="242"/>
      <c r="D259" s="243"/>
      <c r="E259" s="243"/>
      <c r="F259" s="243"/>
      <c r="G259" s="244"/>
      <c r="H259" s="245"/>
      <c r="I259" s="246"/>
      <c r="J259" s="246"/>
      <c r="K259" s="247"/>
      <c r="L259" s="247"/>
      <c r="M259" s="247"/>
      <c r="N259" s="247"/>
      <c r="O259" s="247"/>
      <c r="P259" s="247"/>
    </row>
    <row r="260" spans="1:26" ht="19.5">
      <c r="A260" s="248"/>
      <c r="B260" s="249" t="s">
        <v>123</v>
      </c>
      <c r="C260" s="250"/>
      <c r="D260" s="173"/>
      <c r="E260" s="173"/>
      <c r="F260" s="173"/>
      <c r="G260" s="174"/>
      <c r="H260" s="251" t="s">
        <v>35</v>
      </c>
      <c r="I260" s="252">
        <f t="shared" ref="I260:J260" ca="1" si="114">I271</f>
        <v>24</v>
      </c>
      <c r="J260" s="252">
        <f t="shared" si="114"/>
        <v>0</v>
      </c>
      <c r="K260" s="253">
        <f ca="1">IF(I260&gt;0,J260*100/I260,0)</f>
        <v>0</v>
      </c>
      <c r="L260" s="254"/>
      <c r="M260" s="254"/>
      <c r="N260" s="254"/>
      <c r="O260" s="254"/>
      <c r="P260" s="254"/>
    </row>
    <row r="261" spans="1:26" ht="19.5">
      <c r="A261" s="147"/>
      <c r="B261" s="148"/>
      <c r="C261" s="149" t="s">
        <v>16</v>
      </c>
      <c r="D261" s="817" t="s">
        <v>17</v>
      </c>
      <c r="E261" s="148"/>
      <c r="F261" s="148"/>
      <c r="G261" s="151"/>
      <c r="H261" s="152" t="s">
        <v>12</v>
      </c>
      <c r="I261" s="388"/>
      <c r="J261" s="388"/>
      <c r="K261" s="154"/>
      <c r="L261" s="155">
        <f t="shared" ref="L261:N261" ca="1" si="115">L262+L263</f>
        <v>28800</v>
      </c>
      <c r="M261" s="155">
        <f t="shared" ca="1" si="115"/>
        <v>25800</v>
      </c>
      <c r="N261" s="155">
        <f t="shared" ca="1" si="115"/>
        <v>1740</v>
      </c>
      <c r="O261" s="155">
        <f t="shared" ref="O261:O269" ca="1" si="116">IF(L261&gt;0,N261*100/L261,0)</f>
        <v>6.041666666666667</v>
      </c>
      <c r="P261" s="155">
        <f t="shared" ref="P261:P269" ca="1" si="117">IF(M261&gt;0,N261*100/M261,0)</f>
        <v>6.7441860465116283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2" t="s">
        <v>18</v>
      </c>
      <c r="F262" s="40"/>
      <c r="G262" s="157"/>
      <c r="H262" s="158" t="s">
        <v>12</v>
      </c>
      <c r="I262" s="583"/>
      <c r="J262" s="583"/>
      <c r="K262" s="93"/>
      <c r="L262" s="93">
        <f t="shared" ref="L262:N263" si="118">L265+L268</f>
        <v>0</v>
      </c>
      <c r="M262" s="93">
        <f t="shared" si="118"/>
        <v>0</v>
      </c>
      <c r="N262" s="93">
        <f t="shared" si="118"/>
        <v>0</v>
      </c>
      <c r="O262" s="93">
        <f t="shared" si="116"/>
        <v>0</v>
      </c>
      <c r="P262" s="93">
        <f t="shared" si="117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2" t="s">
        <v>19</v>
      </c>
      <c r="F263" s="40"/>
      <c r="G263" s="157"/>
      <c r="H263" s="158" t="s">
        <v>12</v>
      </c>
      <c r="I263" s="583"/>
      <c r="J263" s="583"/>
      <c r="K263" s="93"/>
      <c r="L263" s="93">
        <f t="shared" ca="1" si="118"/>
        <v>28800</v>
      </c>
      <c r="M263" s="93">
        <f t="shared" ca="1" si="118"/>
        <v>25800</v>
      </c>
      <c r="N263" s="93">
        <f t="shared" ca="1" si="118"/>
        <v>1740</v>
      </c>
      <c r="O263" s="93">
        <f t="shared" ca="1" si="116"/>
        <v>6.041666666666667</v>
      </c>
      <c r="P263" s="93">
        <f t="shared" ca="1" si="117"/>
        <v>6.7441860465116283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1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65">
        <f t="shared" ref="L264:N264" ca="1" si="119">L265+L266</f>
        <v>28800</v>
      </c>
      <c r="M264" s="465">
        <f t="shared" ca="1" si="119"/>
        <v>25800</v>
      </c>
      <c r="N264" s="465">
        <f t="shared" ca="1" si="119"/>
        <v>1740</v>
      </c>
      <c r="O264" s="465">
        <f t="shared" ca="1" si="116"/>
        <v>6.041666666666667</v>
      </c>
      <c r="P264" s="465">
        <f t="shared" ca="1" si="117"/>
        <v>6.7441860465116283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2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6"/>
        <v>0</v>
      </c>
      <c r="P265" s="93">
        <f t="shared" si="117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2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IFERROR(__xludf.DUMMYFUNCTION("IMPORTRANGE(""https://docs.google.com/spreadsheets/d/1MeEWN-I1oV_STSDYn1IFDPWt_1FKiwhDph83XaGc0o0/edit?usp=sharing"",""งบพรบ!CY22"")"),28800)</f>
        <v>28800</v>
      </c>
      <c r="M266" s="93">
        <f ca="1">IFERROR(__xludf.DUMMYFUNCTION("IMPORTRANGE(""https://docs.google.com/spreadsheets/d/1MeEWN-I1oV_STSDYn1IFDPWt_1FKiwhDph83XaGc0o0/edit?usp=sharing"",""งบพรบ!DD22"")"),25800)</f>
        <v>25800</v>
      </c>
      <c r="N266" s="93">
        <f ca="1">IFERROR(__xludf.DUMMYFUNCTION("IMPORTRANGE(""https://docs.google.com/spreadsheets/d/1MeEWN-I1oV_STSDYn1IFDPWt_1FKiwhDph83XaGc0o0/edit?usp=sharing"",""งบพรบ!DF22"")"),1740)</f>
        <v>1740</v>
      </c>
      <c r="O266" s="93">
        <f t="shared" ca="1" si="116"/>
        <v>6.041666666666667</v>
      </c>
      <c r="P266" s="93">
        <f t="shared" ca="1" si="117"/>
        <v>6.7441860465116283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1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65">
        <f t="shared" ref="L267:N267" ca="1" si="120">L268+L269</f>
        <v>0</v>
      </c>
      <c r="M267" s="465">
        <f t="shared" ca="1" si="120"/>
        <v>0</v>
      </c>
      <c r="N267" s="465">
        <f t="shared" ca="1" si="120"/>
        <v>0</v>
      </c>
      <c r="O267" s="465">
        <f t="shared" ca="1" si="116"/>
        <v>0</v>
      </c>
      <c r="P267" s="465">
        <f t="shared" ca="1" si="117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2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6"/>
        <v>0</v>
      </c>
      <c r="P268" s="93">
        <f t="shared" si="117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2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IFERROR(__xludf.DUMMYFUNCTION("IMPORTRANGE(""https://docs.google.com/spreadsheets/d/1MeEWN-I1oV_STSDYn1IFDPWt_1FKiwhDph83XaGc0o0/edit?usp=sharing"",""งบพรบ!DB22"")"),0)</f>
        <v>0</v>
      </c>
      <c r="M269" s="93">
        <f ca="1">IFERROR(__xludf.DUMMYFUNCTION("IMPORTRANGE(""https://docs.google.com/spreadsheets/d/1MeEWN-I1oV_STSDYn1IFDPWt_1FKiwhDph83XaGc0o0/edit?usp=sharing"",""งบพรบ!DE22"")"),0)</f>
        <v>0</v>
      </c>
      <c r="N269" s="93">
        <f ca="1">IFERROR(__xludf.DUMMYFUNCTION("IMPORTRANGE(""https://docs.google.com/spreadsheets/d/1MeEWN-I1oV_STSDYn1IFDPWt_1FKiwhDph83XaGc0o0/edit?usp=sharing"",""งบพรบ!DG22"")"),0)</f>
        <v>0</v>
      </c>
      <c r="O269" s="93">
        <f t="shared" ca="1" si="116"/>
        <v>0</v>
      </c>
      <c r="P269" s="93">
        <f t="shared" ca="1" si="117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1" t="s">
        <v>16</v>
      </c>
      <c r="D270" s="818" t="s">
        <v>38</v>
      </c>
      <c r="E270" s="173"/>
      <c r="F270" s="173"/>
      <c r="G270" s="174"/>
      <c r="H270" s="726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44" t="s">
        <v>124</v>
      </c>
      <c r="E271" s="342"/>
      <c r="F271" s="268"/>
      <c r="G271" s="179"/>
      <c r="H271" s="345" t="s">
        <v>35</v>
      </c>
      <c r="I271" s="269">
        <f ca="1">IFERROR(__xludf.DUMMYFUNCTION("IMPORTRANGE(""https://docs.google.com/spreadsheets/d/1QqKyyYR6Q21VydFLVH3TRQUabQu_ym0Zz7PgGX0-kHA/edit?usp=sharing"",""แผน!EA22"")"),24)</f>
        <v>24</v>
      </c>
      <c r="J271" s="214">
        <v>0</v>
      </c>
      <c r="K271" s="163">
        <f ca="1">IF(I271&gt;0,J271*100/I271,0)</f>
        <v>0</v>
      </c>
      <c r="L271" s="163"/>
      <c r="M271" s="163"/>
      <c r="N271" s="163"/>
      <c r="O271" s="163"/>
      <c r="P271" s="163"/>
    </row>
    <row r="272" spans="1:26" ht="18.75" hidden="1">
      <c r="A272" s="346"/>
      <c r="B272" s="347"/>
      <c r="C272" s="347"/>
      <c r="D272" s="348" t="s">
        <v>125</v>
      </c>
      <c r="E272" s="349"/>
      <c r="F272" s="349"/>
      <c r="G272" s="350"/>
      <c r="H272" s="50" t="s">
        <v>35</v>
      </c>
      <c r="I272" s="468">
        <v>0</v>
      </c>
      <c r="J272" s="468">
        <v>0</v>
      </c>
      <c r="K272" s="353">
        <v>0</v>
      </c>
      <c r="L272" s="353"/>
      <c r="M272" s="353"/>
      <c r="N272" s="353"/>
      <c r="O272" s="353"/>
      <c r="P272" s="353"/>
    </row>
    <row r="273" spans="1:26" ht="19.5">
      <c r="A273" s="354" t="s">
        <v>126</v>
      </c>
      <c r="B273" s="355"/>
      <c r="C273" s="355"/>
      <c r="D273" s="355"/>
      <c r="E273" s="356"/>
      <c r="F273" s="356"/>
      <c r="G273" s="357"/>
      <c r="H273" s="358"/>
      <c r="I273" s="359"/>
      <c r="J273" s="359"/>
      <c r="K273" s="360"/>
      <c r="L273" s="360"/>
      <c r="M273" s="360"/>
      <c r="N273" s="360"/>
      <c r="O273" s="360"/>
      <c r="P273" s="360"/>
    </row>
    <row r="274" spans="1:26" ht="19.5">
      <c r="A274" s="361" t="s">
        <v>127</v>
      </c>
      <c r="B274" s="362"/>
      <c r="C274" s="363"/>
      <c r="D274" s="362"/>
      <c r="E274" s="362"/>
      <c r="F274" s="362"/>
      <c r="G274" s="362"/>
      <c r="H274" s="364"/>
      <c r="I274" s="365"/>
      <c r="J274" s="366"/>
      <c r="K274" s="367"/>
      <c r="L274" s="367"/>
      <c r="M274" s="367"/>
      <c r="N274" s="367"/>
      <c r="O274" s="367"/>
      <c r="P274" s="367"/>
    </row>
    <row r="275" spans="1:26" ht="19.5">
      <c r="A275" s="368"/>
      <c r="B275" s="377" t="s">
        <v>128</v>
      </c>
      <c r="C275" s="370"/>
      <c r="D275" s="371"/>
      <c r="E275" s="370"/>
      <c r="F275" s="370"/>
      <c r="G275" s="372"/>
      <c r="H275" s="373" t="s">
        <v>35</v>
      </c>
      <c r="I275" s="374">
        <f t="shared" ref="I275:J275" ca="1" si="121">I288</f>
        <v>10</v>
      </c>
      <c r="J275" s="374">
        <f t="shared" ca="1" si="121"/>
        <v>0</v>
      </c>
      <c r="K275" s="375">
        <f t="shared" ref="K275:K276" ca="1" si="122">IF(I275&gt;0,J275*100/I275,0)</f>
        <v>0</v>
      </c>
      <c r="L275" s="376"/>
      <c r="M275" s="376"/>
      <c r="N275" s="376"/>
      <c r="O275" s="376"/>
      <c r="P275" s="376"/>
    </row>
    <row r="276" spans="1:26" ht="19.5">
      <c r="A276" s="368"/>
      <c r="B276" s="377"/>
      <c r="C276" s="370"/>
      <c r="D276" s="371"/>
      <c r="E276" s="370"/>
      <c r="F276" s="370"/>
      <c r="G276" s="372"/>
      <c r="H276" s="373" t="s">
        <v>46</v>
      </c>
      <c r="I276" s="374">
        <f t="shared" ref="I276:J276" ca="1" si="123">I287</f>
        <v>100</v>
      </c>
      <c r="J276" s="374">
        <f t="shared" si="123"/>
        <v>0</v>
      </c>
      <c r="K276" s="375">
        <f t="shared" ca="1" si="122"/>
        <v>0</v>
      </c>
      <c r="L276" s="376"/>
      <c r="M276" s="376"/>
      <c r="N276" s="376"/>
      <c r="O276" s="376"/>
      <c r="P276" s="376"/>
    </row>
    <row r="277" spans="1:26" ht="19.5">
      <c r="A277" s="147"/>
      <c r="B277" s="148"/>
      <c r="C277" s="149" t="s">
        <v>16</v>
      </c>
      <c r="D277" s="817" t="s">
        <v>17</v>
      </c>
      <c r="E277" s="148"/>
      <c r="F277" s="148"/>
      <c r="G277" s="151"/>
      <c r="H277" s="152" t="s">
        <v>12</v>
      </c>
      <c r="I277" s="388"/>
      <c r="J277" s="388"/>
      <c r="K277" s="154"/>
      <c r="L277" s="155">
        <f t="shared" ref="L277:N277" ca="1" si="124">L278+L279</f>
        <v>41010</v>
      </c>
      <c r="M277" s="155">
        <f t="shared" ca="1" si="124"/>
        <v>16820</v>
      </c>
      <c r="N277" s="155">
        <f t="shared" ca="1" si="124"/>
        <v>240</v>
      </c>
      <c r="O277" s="155">
        <f t="shared" ref="O277:O285" ca="1" si="125">IF(L277&gt;0,N277*100/L277,0)</f>
        <v>0.58522311631309432</v>
      </c>
      <c r="P277" s="155">
        <f t="shared" ref="P277:P285" ca="1" si="126">IF(M277&gt;0,N277*100/M277,0)</f>
        <v>1.426872770511296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2" t="s">
        <v>18</v>
      </c>
      <c r="F278" s="40"/>
      <c r="G278" s="157"/>
      <c r="H278" s="158" t="s">
        <v>12</v>
      </c>
      <c r="I278" s="583"/>
      <c r="J278" s="583"/>
      <c r="K278" s="93"/>
      <c r="L278" s="93">
        <f t="shared" ref="L278:N279" si="127">L281+L284</f>
        <v>0</v>
      </c>
      <c r="M278" s="93">
        <f t="shared" si="127"/>
        <v>0</v>
      </c>
      <c r="N278" s="93">
        <f t="shared" si="127"/>
        <v>0</v>
      </c>
      <c r="O278" s="93">
        <f t="shared" si="125"/>
        <v>0</v>
      </c>
      <c r="P278" s="93">
        <f t="shared" si="126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2" t="s">
        <v>19</v>
      </c>
      <c r="F279" s="40"/>
      <c r="G279" s="157"/>
      <c r="H279" s="158" t="s">
        <v>12</v>
      </c>
      <c r="I279" s="583"/>
      <c r="J279" s="583"/>
      <c r="K279" s="93"/>
      <c r="L279" s="93">
        <f t="shared" ca="1" si="127"/>
        <v>41010</v>
      </c>
      <c r="M279" s="93">
        <f t="shared" ca="1" si="127"/>
        <v>16820</v>
      </c>
      <c r="N279" s="93">
        <f t="shared" ca="1" si="127"/>
        <v>240</v>
      </c>
      <c r="O279" s="93">
        <f t="shared" ca="1" si="125"/>
        <v>0.58522311631309432</v>
      </c>
      <c r="P279" s="93">
        <f t="shared" ca="1" si="126"/>
        <v>1.426872770511296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>
      <c r="A280" s="159"/>
      <c r="B280" s="33"/>
      <c r="C280" s="281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65">
        <f t="shared" ref="L280:N280" ca="1" si="128">L281+L282</f>
        <v>41010</v>
      </c>
      <c r="M280" s="465">
        <f t="shared" ca="1" si="128"/>
        <v>16820</v>
      </c>
      <c r="N280" s="465">
        <f t="shared" ca="1" si="128"/>
        <v>240</v>
      </c>
      <c r="O280" s="465">
        <f t="shared" ca="1" si="125"/>
        <v>0.58522311631309432</v>
      </c>
      <c r="P280" s="465">
        <f t="shared" ca="1" si="126"/>
        <v>1.426872770511296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2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5"/>
        <v>0</v>
      </c>
      <c r="P281" s="93">
        <f t="shared" si="126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2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IFERROR(__xludf.DUMMYFUNCTION("IMPORTRANGE(""https://docs.google.com/spreadsheets/d/1MeEWN-I1oV_STSDYn1IFDPWt_1FKiwhDph83XaGc0o0/edit?usp=sharing"",""งบพรบ!DI22"")"),41010)</f>
        <v>41010</v>
      </c>
      <c r="M282" s="93">
        <f ca="1">IFERROR(__xludf.DUMMYFUNCTION("IMPORTRANGE(""https://docs.google.com/spreadsheets/d/1MeEWN-I1oV_STSDYn1IFDPWt_1FKiwhDph83XaGc0o0/edit?usp=sharing"",""งบพรบ!DN22"")"),16820)</f>
        <v>16820</v>
      </c>
      <c r="N282" s="93">
        <f ca="1">IFERROR(__xludf.DUMMYFUNCTION("IMPORTRANGE(""https://docs.google.com/spreadsheets/d/1MeEWN-I1oV_STSDYn1IFDPWt_1FKiwhDph83XaGc0o0/edit?usp=sharing"",""งบพรบ!DP22"")"),240)</f>
        <v>240</v>
      </c>
      <c r="O282" s="93">
        <f t="shared" ca="1" si="125"/>
        <v>0.58522311631309432</v>
      </c>
      <c r="P282" s="93">
        <f t="shared" ca="1" si="126"/>
        <v>1.426872770511296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>
      <c r="A283" s="159"/>
      <c r="B283" s="33"/>
      <c r="C283" s="281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65">
        <f t="shared" ref="L283:N283" ca="1" si="129">L284+L285</f>
        <v>0</v>
      </c>
      <c r="M283" s="465">
        <f t="shared" ca="1" si="129"/>
        <v>0</v>
      </c>
      <c r="N283" s="465">
        <f t="shared" ca="1" si="129"/>
        <v>0</v>
      </c>
      <c r="O283" s="465">
        <f t="shared" ca="1" si="125"/>
        <v>0</v>
      </c>
      <c r="P283" s="465">
        <f t="shared" ca="1" si="126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2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5"/>
        <v>0</v>
      </c>
      <c r="P284" s="93">
        <f t="shared" si="126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2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IFERROR(__xludf.DUMMYFUNCTION("IMPORTRANGE(""https://docs.google.com/spreadsheets/d/1MeEWN-I1oV_STSDYn1IFDPWt_1FKiwhDph83XaGc0o0/edit?usp=sharing"",""งบพรบ!DL22"")"),0)</f>
        <v>0</v>
      </c>
      <c r="M285" s="93">
        <f ca="1">IFERROR(__xludf.DUMMYFUNCTION("IMPORTRANGE(""https://docs.google.com/spreadsheets/d/1MeEWN-I1oV_STSDYn1IFDPWt_1FKiwhDph83XaGc0o0/edit?usp=sharing"",""งบพรบ!DO22"")"),0)</f>
        <v>0</v>
      </c>
      <c r="N285" s="93">
        <f ca="1">IFERROR(__xludf.DUMMYFUNCTION("IMPORTRANGE(""https://docs.google.com/spreadsheets/d/1MeEWN-I1oV_STSDYn1IFDPWt_1FKiwhDph83XaGc0o0/edit?usp=sharing"",""งบพรบ!DQ22"")"),0)</f>
        <v>0</v>
      </c>
      <c r="O285" s="93">
        <f t="shared" ca="1" si="125"/>
        <v>0</v>
      </c>
      <c r="P285" s="93">
        <f t="shared" ca="1" si="126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>
      <c r="A286" s="170"/>
      <c r="B286" s="171"/>
      <c r="C286" s="164" t="s">
        <v>16</v>
      </c>
      <c r="D286" s="818" t="s">
        <v>38</v>
      </c>
      <c r="E286" s="173"/>
      <c r="F286" s="173"/>
      <c r="G286" s="174"/>
      <c r="H286" s="726"/>
      <c r="I286" s="184"/>
      <c r="J286" s="184"/>
      <c r="K286" s="163"/>
      <c r="L286" s="163"/>
      <c r="M286" s="163"/>
      <c r="N286" s="163"/>
      <c r="O286" s="163"/>
      <c r="P286" s="163"/>
    </row>
    <row r="287" spans="1:26" ht="18.75">
      <c r="A287" s="170"/>
      <c r="B287" s="171"/>
      <c r="C287" s="171"/>
      <c r="D287" s="592" t="s">
        <v>129</v>
      </c>
      <c r="E287" s="171"/>
      <c r="F287" s="342"/>
      <c r="G287" s="179"/>
      <c r="H287" s="185" t="s">
        <v>46</v>
      </c>
      <c r="I287" s="269">
        <f ca="1">IFERROR(__xludf.DUMMYFUNCTION("IMPORTRANGE(""https://docs.google.com/spreadsheets/d/1QqKyyYR6Q21VydFLVH3TRQUabQu_ym0Zz7PgGX0-kHA/edit?usp=sharing"",""แผน!EC22"")"),100)</f>
        <v>100</v>
      </c>
      <c r="J287" s="214">
        <v>0</v>
      </c>
      <c r="K287" s="163">
        <f t="shared" ref="K287:K288" ca="1" si="130">IF(I287&gt;0,J287*100/I287,0)</f>
        <v>0</v>
      </c>
      <c r="L287" s="163"/>
      <c r="M287" s="163"/>
      <c r="N287" s="163"/>
      <c r="O287" s="163"/>
      <c r="P287" s="163"/>
    </row>
    <row r="288" spans="1:26" ht="19.5">
      <c r="A288" s="170"/>
      <c r="B288" s="171"/>
      <c r="C288" s="171"/>
      <c r="D288" s="592" t="s">
        <v>130</v>
      </c>
      <c r="E288" s="171"/>
      <c r="F288" s="342"/>
      <c r="G288" s="179"/>
      <c r="H288" s="180" t="s">
        <v>35</v>
      </c>
      <c r="I288" s="647">
        <f ca="1">IFERROR(__xludf.DUMMYFUNCTION("IMPORTRANGE(""https://docs.google.com/spreadsheets/d/1QqKyyYR6Q21VydFLVH3TRQUabQu_ym0Zz7PgGX0-kHA/edit?usp=sharing"",""แผน!EB22"")"),10)</f>
        <v>10</v>
      </c>
      <c r="J288" s="647">
        <f ca="1">IF(AND(J291&gt;=I288,J294&gt;=I288),J294,0)</f>
        <v>0</v>
      </c>
      <c r="K288" s="379">
        <f t="shared" ca="1" si="130"/>
        <v>0</v>
      </c>
      <c r="L288" s="163"/>
      <c r="M288" s="163"/>
      <c r="N288" s="163"/>
      <c r="O288" s="163"/>
      <c r="P288" s="163"/>
    </row>
    <row r="289" spans="1:26" ht="19.5">
      <c r="A289" s="170"/>
      <c r="B289" s="171"/>
      <c r="C289" s="171"/>
      <c r="D289" s="380"/>
      <c r="E289" s="381" t="s">
        <v>131</v>
      </c>
      <c r="F289" s="342"/>
      <c r="G289" s="179"/>
      <c r="H289" s="728"/>
      <c r="I289" s="184"/>
      <c r="J289" s="269"/>
      <c r="K289" s="163"/>
      <c r="L289" s="163"/>
      <c r="M289" s="163"/>
      <c r="N289" s="163"/>
      <c r="O289" s="163"/>
      <c r="P289" s="163"/>
    </row>
    <row r="290" spans="1:26" ht="19.5">
      <c r="A290" s="170"/>
      <c r="B290" s="171"/>
      <c r="C290" s="171"/>
      <c r="D290" s="380"/>
      <c r="E290" s="592" t="s">
        <v>132</v>
      </c>
      <c r="F290" s="342"/>
      <c r="G290" s="179"/>
      <c r="H290" s="728" t="s">
        <v>35</v>
      </c>
      <c r="I290" s="184">
        <f ca="1">IFERROR(__xludf.DUMMYFUNCTION("IMPORTRANGE(""https://docs.google.com/spreadsheets/d/1QqKyyYR6Q21VydFLVH3TRQUabQu_ym0Zz7PgGX0-kHA/edit?usp=sharing"",""แผน!EB22"")"),10)</f>
        <v>10</v>
      </c>
      <c r="J290" s="214">
        <v>0</v>
      </c>
      <c r="K290" s="163">
        <f t="shared" ref="K290:K291" ca="1" si="131">IF(I290&gt;0,J290*100/I290,0)</f>
        <v>0</v>
      </c>
      <c r="L290" s="163"/>
      <c r="M290" s="163"/>
      <c r="N290" s="163"/>
      <c r="O290" s="163"/>
      <c r="P290" s="163"/>
    </row>
    <row r="291" spans="1:26" ht="19.5">
      <c r="A291" s="170"/>
      <c r="B291" s="171"/>
      <c r="C291" s="171"/>
      <c r="D291" s="342"/>
      <c r="E291" s="592" t="s">
        <v>133</v>
      </c>
      <c r="F291" s="342"/>
      <c r="G291" s="179"/>
      <c r="H291" s="728" t="s">
        <v>35</v>
      </c>
      <c r="I291" s="184">
        <f ca="1">IFERROR(__xludf.DUMMYFUNCTION("IMPORTRANGE(""https://docs.google.com/spreadsheets/d/1QqKyyYR6Q21VydFLVH3TRQUabQu_ym0Zz7PgGX0-kHA/edit?usp=sharing"",""แผน!EB22"")"),10)</f>
        <v>10</v>
      </c>
      <c r="J291" s="214">
        <v>0</v>
      </c>
      <c r="K291" s="163">
        <f t="shared" ca="1" si="131"/>
        <v>0</v>
      </c>
      <c r="L291" s="163"/>
      <c r="M291" s="163"/>
      <c r="N291" s="163"/>
      <c r="O291" s="163"/>
      <c r="P291" s="163"/>
    </row>
    <row r="292" spans="1:26" ht="19.5">
      <c r="A292" s="382"/>
      <c r="B292" s="383"/>
      <c r="C292" s="383"/>
      <c r="D292" s="384"/>
      <c r="E292" s="385" t="s">
        <v>134</v>
      </c>
      <c r="F292" s="286"/>
      <c r="G292" s="287"/>
      <c r="H292" s="386"/>
      <c r="I292" s="387"/>
      <c r="J292" s="388"/>
      <c r="K292" s="279"/>
      <c r="L292" s="279"/>
      <c r="M292" s="279"/>
      <c r="N292" s="279"/>
      <c r="O292" s="279"/>
      <c r="P292" s="279"/>
    </row>
    <row r="293" spans="1:26" ht="19.5">
      <c r="A293" s="170"/>
      <c r="B293" s="171"/>
      <c r="C293" s="171"/>
      <c r="D293" s="380"/>
      <c r="E293" s="592" t="s">
        <v>132</v>
      </c>
      <c r="F293" s="342"/>
      <c r="G293" s="179"/>
      <c r="H293" s="728" t="s">
        <v>35</v>
      </c>
      <c r="I293" s="184">
        <f ca="1">IFERROR(__xludf.DUMMYFUNCTION("IMPORTRANGE(""https://docs.google.com/spreadsheets/d/1QqKyyYR6Q21VydFLVH3TRQUabQu_ym0Zz7PgGX0-kHA/edit?usp=sharing"",""แผน!EB22"")"),10)</f>
        <v>10</v>
      </c>
      <c r="J293" s="214">
        <v>0</v>
      </c>
      <c r="K293" s="163">
        <f t="shared" ref="K293:K294" ca="1" si="132">IF(I293&gt;0,J293*100/I293,0)</f>
        <v>0</v>
      </c>
      <c r="L293" s="163"/>
      <c r="M293" s="163"/>
      <c r="N293" s="163"/>
      <c r="O293" s="163"/>
      <c r="P293" s="163"/>
    </row>
    <row r="294" spans="1:26" ht="19.5">
      <c r="A294" s="346"/>
      <c r="B294" s="347"/>
      <c r="C294" s="347"/>
      <c r="D294" s="349"/>
      <c r="E294" s="698" t="s">
        <v>136</v>
      </c>
      <c r="F294" s="349"/>
      <c r="G294" s="350"/>
      <c r="H294" s="390" t="s">
        <v>35</v>
      </c>
      <c r="I294" s="391">
        <f ca="1">IFERROR(__xludf.DUMMYFUNCTION("IMPORTRANGE(""https://docs.google.com/spreadsheets/d/1QqKyyYR6Q21VydFLVH3TRQUabQu_ym0Zz7PgGX0-kHA/edit?usp=sharing"",""แผน!EB22"")"),10)</f>
        <v>10</v>
      </c>
      <c r="J294" s="392">
        <v>0</v>
      </c>
      <c r="K294" s="353">
        <f t="shared" ca="1" si="132"/>
        <v>0</v>
      </c>
      <c r="L294" s="353"/>
      <c r="M294" s="353"/>
      <c r="N294" s="353"/>
      <c r="O294" s="353"/>
      <c r="P294" s="353"/>
    </row>
    <row r="295" spans="1:26" ht="19.5">
      <c r="A295" s="393" t="s">
        <v>137</v>
      </c>
      <c r="B295" s="394"/>
      <c r="C295" s="394"/>
      <c r="D295" s="394"/>
      <c r="E295" s="395"/>
      <c r="F295" s="395"/>
      <c r="G295" s="396"/>
      <c r="H295" s="397"/>
      <c r="I295" s="398"/>
      <c r="J295" s="398"/>
      <c r="K295" s="399"/>
      <c r="L295" s="399"/>
      <c r="M295" s="399"/>
      <c r="N295" s="399"/>
      <c r="O295" s="399"/>
      <c r="P295" s="399"/>
    </row>
    <row r="296" spans="1:26" ht="19.5" hidden="1">
      <c r="A296" s="400" t="s">
        <v>138</v>
      </c>
      <c r="B296" s="401"/>
      <c r="C296" s="401"/>
      <c r="D296" s="402"/>
      <c r="E296" s="402"/>
      <c r="F296" s="402"/>
      <c r="G296" s="403"/>
      <c r="H296" s="404"/>
      <c r="I296" s="405"/>
      <c r="J296" s="405"/>
      <c r="K296" s="406"/>
      <c r="L296" s="406"/>
      <c r="M296" s="406"/>
      <c r="N296" s="406"/>
      <c r="O296" s="406"/>
      <c r="P296" s="406"/>
    </row>
    <row r="297" spans="1:26" ht="19.5" hidden="1">
      <c r="A297" s="407"/>
      <c r="B297" s="408" t="s">
        <v>139</v>
      </c>
      <c r="C297" s="409"/>
      <c r="D297" s="409"/>
      <c r="E297" s="409"/>
      <c r="F297" s="409"/>
      <c r="G297" s="410"/>
      <c r="H297" s="411" t="s">
        <v>35</v>
      </c>
      <c r="I297" s="412">
        <f t="shared" ref="I297:J297" ca="1" si="133">I309</f>
        <v>0</v>
      </c>
      <c r="J297" s="412">
        <f t="shared" si="133"/>
        <v>0</v>
      </c>
      <c r="K297" s="413">
        <f ca="1">IF(I297&gt;0,J297*100/I297,0)</f>
        <v>0</v>
      </c>
      <c r="L297" s="414"/>
      <c r="M297" s="414"/>
      <c r="N297" s="414"/>
      <c r="O297" s="414"/>
      <c r="P297" s="414"/>
    </row>
    <row r="298" spans="1:26" ht="19.5" hidden="1">
      <c r="A298" s="147"/>
      <c r="B298" s="148"/>
      <c r="C298" s="149" t="s">
        <v>16</v>
      </c>
      <c r="D298" s="817" t="s">
        <v>17</v>
      </c>
      <c r="E298" s="148"/>
      <c r="F298" s="148"/>
      <c r="G298" s="151"/>
      <c r="H298" s="152" t="s">
        <v>12</v>
      </c>
      <c r="I298" s="388"/>
      <c r="J298" s="388"/>
      <c r="K298" s="154"/>
      <c r="L298" s="155">
        <f t="shared" ref="L298:N298" ca="1" si="134">L299+L300</f>
        <v>0</v>
      </c>
      <c r="M298" s="155">
        <f t="shared" ca="1" si="134"/>
        <v>0</v>
      </c>
      <c r="N298" s="155">
        <f t="shared" ca="1" si="134"/>
        <v>0</v>
      </c>
      <c r="O298" s="155">
        <f t="shared" ref="O298:O306" ca="1" si="135">IF(L298&gt;0,N298*100/L298,0)</f>
        <v>0</v>
      </c>
      <c r="P298" s="155">
        <f t="shared" ref="P298:P306" ca="1" si="136">IF(M298&gt;0,N298*100/M298,0)</f>
        <v>0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2" t="s">
        <v>18</v>
      </c>
      <c r="F299" s="40"/>
      <c r="G299" s="157"/>
      <c r="H299" s="158" t="s">
        <v>12</v>
      </c>
      <c r="I299" s="583"/>
      <c r="J299" s="583"/>
      <c r="K299" s="93"/>
      <c r="L299" s="93">
        <f t="shared" ref="L299:N300" si="137">L302+L305</f>
        <v>0</v>
      </c>
      <c r="M299" s="93">
        <f t="shared" si="137"/>
        <v>0</v>
      </c>
      <c r="N299" s="93">
        <f t="shared" si="137"/>
        <v>0</v>
      </c>
      <c r="O299" s="93">
        <f t="shared" si="135"/>
        <v>0</v>
      </c>
      <c r="P299" s="93">
        <f t="shared" si="136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2" t="s">
        <v>19</v>
      </c>
      <c r="F300" s="40"/>
      <c r="G300" s="157"/>
      <c r="H300" s="158" t="s">
        <v>12</v>
      </c>
      <c r="I300" s="583"/>
      <c r="J300" s="583"/>
      <c r="K300" s="93"/>
      <c r="L300" s="93">
        <f t="shared" ca="1" si="137"/>
        <v>0</v>
      </c>
      <c r="M300" s="93">
        <f t="shared" ca="1" si="137"/>
        <v>0</v>
      </c>
      <c r="N300" s="93">
        <f t="shared" ca="1" si="137"/>
        <v>0</v>
      </c>
      <c r="O300" s="93">
        <f t="shared" ca="1" si="135"/>
        <v>0</v>
      </c>
      <c r="P300" s="93">
        <f t="shared" ca="1" si="136"/>
        <v>0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 hidden="1">
      <c r="A301" s="159"/>
      <c r="B301" s="33"/>
      <c r="C301" s="281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65">
        <f t="shared" ref="L301:N301" ca="1" si="138">L302+L303</f>
        <v>0</v>
      </c>
      <c r="M301" s="465">
        <f t="shared" ca="1" si="138"/>
        <v>0</v>
      </c>
      <c r="N301" s="465">
        <f t="shared" ca="1" si="138"/>
        <v>0</v>
      </c>
      <c r="O301" s="465">
        <f t="shared" ca="1" si="135"/>
        <v>0</v>
      </c>
      <c r="P301" s="465">
        <f t="shared" ca="1" si="136"/>
        <v>0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2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5"/>
        <v>0</v>
      </c>
      <c r="P302" s="93">
        <f t="shared" si="136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2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IFERROR(__xludf.DUMMYFUNCTION("IMPORTRANGE(""https://docs.google.com/spreadsheets/d/1MeEWN-I1oV_STSDYn1IFDPWt_1FKiwhDph83XaGc0o0/edit?usp=sharing"",""งบพรบ!DS22"")"),0)</f>
        <v>0</v>
      </c>
      <c r="M303" s="93">
        <f ca="1">IFERROR(__xludf.DUMMYFUNCTION("IMPORTRANGE(""https://docs.google.com/spreadsheets/d/1MeEWN-I1oV_STSDYn1IFDPWt_1FKiwhDph83XaGc0o0/edit?usp=sharing"",""งบพรบ!DX22"")"),0)</f>
        <v>0</v>
      </c>
      <c r="N303" s="93">
        <f ca="1">IFERROR(__xludf.DUMMYFUNCTION("IMPORTRANGE(""https://docs.google.com/spreadsheets/d/1MeEWN-I1oV_STSDYn1IFDPWt_1FKiwhDph83XaGc0o0/edit?usp=sharing"",""งบพรบ!DZ22"")"),0)</f>
        <v>0</v>
      </c>
      <c r="O303" s="93">
        <f t="shared" ca="1" si="135"/>
        <v>0</v>
      </c>
      <c r="P303" s="93">
        <f t="shared" ca="1" si="136"/>
        <v>0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 hidden="1">
      <c r="A304" s="159"/>
      <c r="B304" s="33"/>
      <c r="C304" s="281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65">
        <f t="shared" ref="L304:N304" ca="1" si="139">L305+L306</f>
        <v>0</v>
      </c>
      <c r="M304" s="465">
        <f t="shared" ca="1" si="139"/>
        <v>0</v>
      </c>
      <c r="N304" s="465">
        <f t="shared" ca="1" si="139"/>
        <v>0</v>
      </c>
      <c r="O304" s="465">
        <f t="shared" ca="1" si="135"/>
        <v>0</v>
      </c>
      <c r="P304" s="465">
        <f t="shared" ca="1" si="136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2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5"/>
        <v>0</v>
      </c>
      <c r="P305" s="93">
        <f t="shared" si="136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2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IFERROR(__xludf.DUMMYFUNCTION("IMPORTRANGE(""https://docs.google.com/spreadsheets/d/1MeEWN-I1oV_STSDYn1IFDPWt_1FKiwhDph83XaGc0o0/edit?usp=sharing"",""งบพรบ!DV22"")"),0)</f>
        <v>0</v>
      </c>
      <c r="M306" s="93">
        <f ca="1">IFERROR(__xludf.DUMMYFUNCTION("IMPORTRANGE(""https://docs.google.com/spreadsheets/d/1MeEWN-I1oV_STSDYn1IFDPWt_1FKiwhDph83XaGc0o0/edit?usp=sharing"",""งบพรบ!DY22"")"),0)</f>
        <v>0</v>
      </c>
      <c r="N306" s="93">
        <f ca="1">IFERROR(__xludf.DUMMYFUNCTION("IMPORTRANGE(""https://docs.google.com/spreadsheets/d/1MeEWN-I1oV_STSDYn1IFDPWt_1FKiwhDph83XaGc0o0/edit?usp=sharing"",""งบพรบ!EA22"")"),0)</f>
        <v>0</v>
      </c>
      <c r="O306" s="93">
        <f t="shared" ca="1" si="135"/>
        <v>0</v>
      </c>
      <c r="P306" s="93">
        <f t="shared" ca="1" si="136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 hidden="1">
      <c r="A307" s="170"/>
      <c r="B307" s="171"/>
      <c r="C307" s="164" t="s">
        <v>16</v>
      </c>
      <c r="D307" s="818" t="s">
        <v>38</v>
      </c>
      <c r="E307" s="173"/>
      <c r="F307" s="173"/>
      <c r="G307" s="174"/>
      <c r="H307" s="726"/>
      <c r="I307" s="269"/>
      <c r="J307" s="269"/>
      <c r="K307" s="465"/>
      <c r="L307" s="465"/>
      <c r="M307" s="465"/>
      <c r="N307" s="465"/>
      <c r="O307" s="465"/>
      <c r="P307" s="465"/>
    </row>
    <row r="308" spans="1:26" ht="18.75" hidden="1">
      <c r="A308" s="170"/>
      <c r="B308" s="171"/>
      <c r="C308" s="171"/>
      <c r="D308" s="415" t="s">
        <v>140</v>
      </c>
      <c r="E308" s="415"/>
      <c r="F308" s="415"/>
      <c r="G308" s="179"/>
      <c r="H308" s="728"/>
      <c r="I308" s="269"/>
      <c r="J308" s="214">
        <v>0</v>
      </c>
      <c r="K308" s="465"/>
      <c r="L308" s="465"/>
      <c r="M308" s="465"/>
      <c r="N308" s="465"/>
      <c r="O308" s="465"/>
      <c r="P308" s="465"/>
    </row>
    <row r="309" spans="1:26" ht="18.75" hidden="1">
      <c r="A309" s="170"/>
      <c r="B309" s="171"/>
      <c r="C309" s="171"/>
      <c r="D309" s="415" t="s">
        <v>141</v>
      </c>
      <c r="E309" s="415"/>
      <c r="F309" s="415"/>
      <c r="G309" s="179"/>
      <c r="H309" s="728" t="s">
        <v>35</v>
      </c>
      <c r="I309" s="269">
        <f ca="1">IFERROR(__xludf.DUMMYFUNCTION("IMPORTRANGE(""https://docs.google.com/spreadsheets/d/1QqKyyYR6Q21VydFLVH3TRQUabQu_ym0Zz7PgGX0-kHA/edit?usp=sharing"",""แผน!ED22"")"),0)</f>
        <v>0</v>
      </c>
      <c r="J309" s="214">
        <v>0</v>
      </c>
      <c r="K309" s="465">
        <f t="shared" ref="K309:K312" ca="1" si="140">IF(I309&gt;0,J309*100/I309,0)</f>
        <v>0</v>
      </c>
      <c r="L309" s="465"/>
      <c r="M309" s="465"/>
      <c r="N309" s="465"/>
      <c r="O309" s="465"/>
      <c r="P309" s="465"/>
    </row>
    <row r="310" spans="1:26" ht="18.75" hidden="1">
      <c r="A310" s="170"/>
      <c r="B310" s="171"/>
      <c r="C310" s="171"/>
      <c r="D310" s="415" t="s">
        <v>142</v>
      </c>
      <c r="E310" s="415"/>
      <c r="F310" s="415"/>
      <c r="G310" s="179"/>
      <c r="H310" s="728" t="s">
        <v>35</v>
      </c>
      <c r="I310" s="269">
        <f ca="1">IFERROR(__xludf.DUMMYFUNCTION("IMPORTRANGE(""https://docs.google.com/spreadsheets/d/1QqKyyYR6Q21VydFLVH3TRQUabQu_ym0Zz7PgGX0-kHA/edit?usp=sharing"",""แผน!ED22"")"),0)</f>
        <v>0</v>
      </c>
      <c r="J310" s="214">
        <v>0</v>
      </c>
      <c r="K310" s="465">
        <f t="shared" ca="1" si="140"/>
        <v>0</v>
      </c>
      <c r="L310" s="465"/>
      <c r="M310" s="465"/>
      <c r="N310" s="465"/>
      <c r="O310" s="465"/>
      <c r="P310" s="465"/>
    </row>
    <row r="311" spans="1:26" ht="18.75" hidden="1">
      <c r="A311" s="170"/>
      <c r="B311" s="171"/>
      <c r="C311" s="171"/>
      <c r="D311" s="415" t="s">
        <v>59</v>
      </c>
      <c r="E311" s="415"/>
      <c r="F311" s="415"/>
      <c r="G311" s="179"/>
      <c r="H311" s="728" t="s">
        <v>35</v>
      </c>
      <c r="I311" s="269">
        <f ca="1">IFERROR(__xludf.DUMMYFUNCTION("IMPORTRANGE(""https://docs.google.com/spreadsheets/d/1QqKyyYR6Q21VydFLVH3TRQUabQu_ym0Zz7PgGX0-kHA/edit?usp=sharing"",""แผน!ED22"")"),0)</f>
        <v>0</v>
      </c>
      <c r="J311" s="214">
        <v>0</v>
      </c>
      <c r="K311" s="465">
        <f t="shared" ca="1" si="140"/>
        <v>0</v>
      </c>
      <c r="L311" s="465"/>
      <c r="M311" s="465"/>
      <c r="N311" s="465"/>
      <c r="O311" s="465"/>
      <c r="P311" s="465"/>
    </row>
    <row r="312" spans="1:26" ht="18.75" hidden="1">
      <c r="A312" s="170"/>
      <c r="B312" s="171"/>
      <c r="C312" s="171"/>
      <c r="D312" s="415" t="s">
        <v>143</v>
      </c>
      <c r="E312" s="415"/>
      <c r="F312" s="415"/>
      <c r="G312" s="179"/>
      <c r="H312" s="728" t="s">
        <v>35</v>
      </c>
      <c r="I312" s="269">
        <f ca="1">IFERROR(__xludf.DUMMYFUNCTION("IMPORTRANGE(""https://docs.google.com/spreadsheets/d/1QqKyyYR6Q21VydFLVH3TRQUabQu_ym0Zz7PgGX0-kHA/edit?usp=sharing"",""แผน!EE22"")"),0)</f>
        <v>0</v>
      </c>
      <c r="J312" s="214">
        <v>0</v>
      </c>
      <c r="K312" s="465">
        <f t="shared" ca="1" si="140"/>
        <v>0</v>
      </c>
      <c r="L312" s="465"/>
      <c r="M312" s="465"/>
      <c r="N312" s="465"/>
      <c r="O312" s="465"/>
      <c r="P312" s="465"/>
    </row>
    <row r="313" spans="1:26" ht="19.5" hidden="1">
      <c r="A313" s="400" t="s">
        <v>144</v>
      </c>
      <c r="B313" s="401"/>
      <c r="C313" s="401"/>
      <c r="D313" s="402"/>
      <c r="E313" s="401"/>
      <c r="F313" s="401"/>
      <c r="G313" s="401"/>
      <c r="H313" s="417"/>
      <c r="I313" s="405"/>
      <c r="J313" s="405"/>
      <c r="K313" s="406"/>
      <c r="L313" s="406"/>
      <c r="M313" s="406"/>
      <c r="N313" s="406"/>
      <c r="O313" s="406"/>
      <c r="P313" s="406"/>
    </row>
    <row r="314" spans="1:26" ht="19.5" hidden="1">
      <c r="A314" s="418"/>
      <c r="B314" s="408" t="s">
        <v>145</v>
      </c>
      <c r="C314" s="419"/>
      <c r="D314" s="420"/>
      <c r="E314" s="409"/>
      <c r="F314" s="409"/>
      <c r="G314" s="410"/>
      <c r="H314" s="411" t="s">
        <v>146</v>
      </c>
      <c r="I314" s="412">
        <f t="shared" ref="I314:J314" ca="1" si="141">I325</f>
        <v>0</v>
      </c>
      <c r="J314" s="412">
        <f t="shared" si="141"/>
        <v>0</v>
      </c>
      <c r="K314" s="413">
        <f ca="1">IF(I314&gt;0,J314*100/I314,0)</f>
        <v>0</v>
      </c>
      <c r="L314" s="414"/>
      <c r="M314" s="414"/>
      <c r="N314" s="414"/>
      <c r="O314" s="414"/>
      <c r="P314" s="414"/>
    </row>
    <row r="315" spans="1:26" ht="19.5" hidden="1">
      <c r="A315" s="147"/>
      <c r="B315" s="148"/>
      <c r="C315" s="149" t="s">
        <v>16</v>
      </c>
      <c r="D315" s="817" t="s">
        <v>17</v>
      </c>
      <c r="E315" s="148"/>
      <c r="F315" s="148"/>
      <c r="G315" s="151"/>
      <c r="H315" s="152" t="s">
        <v>12</v>
      </c>
      <c r="I315" s="388"/>
      <c r="J315" s="388"/>
      <c r="K315" s="154"/>
      <c r="L315" s="155">
        <f t="shared" ref="L315:N315" ca="1" si="142">L316+L317</f>
        <v>0</v>
      </c>
      <c r="M315" s="155">
        <f t="shared" ca="1" si="142"/>
        <v>0</v>
      </c>
      <c r="N315" s="155">
        <f t="shared" ca="1" si="142"/>
        <v>0</v>
      </c>
      <c r="O315" s="155">
        <f t="shared" ref="O315:O323" ca="1" si="143">IF(L315&gt;0,N315*100/L315,0)</f>
        <v>0</v>
      </c>
      <c r="P315" s="155">
        <f t="shared" ref="P315:P323" ca="1" si="144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2" t="s">
        <v>18</v>
      </c>
      <c r="F316" s="40"/>
      <c r="G316" s="157"/>
      <c r="H316" s="158" t="s">
        <v>12</v>
      </c>
      <c r="I316" s="583"/>
      <c r="J316" s="583"/>
      <c r="K316" s="93"/>
      <c r="L316" s="93">
        <f t="shared" ref="L316:N317" si="145">L319+L322</f>
        <v>0</v>
      </c>
      <c r="M316" s="93">
        <f t="shared" si="145"/>
        <v>0</v>
      </c>
      <c r="N316" s="93">
        <f t="shared" si="145"/>
        <v>0</v>
      </c>
      <c r="O316" s="93">
        <f t="shared" si="143"/>
        <v>0</v>
      </c>
      <c r="P316" s="93">
        <f t="shared" si="144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2" t="s">
        <v>19</v>
      </c>
      <c r="F317" s="40"/>
      <c r="G317" s="157"/>
      <c r="H317" s="158" t="s">
        <v>12</v>
      </c>
      <c r="I317" s="583"/>
      <c r="J317" s="583"/>
      <c r="K317" s="93"/>
      <c r="L317" s="93">
        <f t="shared" ca="1" si="145"/>
        <v>0</v>
      </c>
      <c r="M317" s="93">
        <f t="shared" ca="1" si="145"/>
        <v>0</v>
      </c>
      <c r="N317" s="93">
        <f t="shared" ca="1" si="145"/>
        <v>0</v>
      </c>
      <c r="O317" s="93">
        <f t="shared" ca="1" si="143"/>
        <v>0</v>
      </c>
      <c r="P317" s="93">
        <f t="shared" ca="1" si="144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1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65">
        <f t="shared" ref="L318:N318" ca="1" si="146">L319+L320</f>
        <v>0</v>
      </c>
      <c r="M318" s="465">
        <f t="shared" ca="1" si="146"/>
        <v>0</v>
      </c>
      <c r="N318" s="465">
        <f t="shared" ca="1" si="146"/>
        <v>0</v>
      </c>
      <c r="O318" s="465">
        <f t="shared" ca="1" si="143"/>
        <v>0</v>
      </c>
      <c r="P318" s="465">
        <f t="shared" ca="1" si="144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2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3"/>
        <v>0</v>
      </c>
      <c r="P319" s="93">
        <f t="shared" si="144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2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IFERROR(__xludf.DUMMYFUNCTION("IMPORTRANGE(""https://docs.google.com/spreadsheets/d/1MeEWN-I1oV_STSDYn1IFDPWt_1FKiwhDph83XaGc0o0/edit?usp=sharing"",""งบพรบ!EC22"")"),0)</f>
        <v>0</v>
      </c>
      <c r="M320" s="93">
        <f ca="1">IFERROR(__xludf.DUMMYFUNCTION("IMPORTRANGE(""https://docs.google.com/spreadsheets/d/1MeEWN-I1oV_STSDYn1IFDPWt_1FKiwhDph83XaGc0o0/edit?usp=sharing"",""งบพรบ!EH22"")"),0)</f>
        <v>0</v>
      </c>
      <c r="N320" s="93">
        <f ca="1">IFERROR(__xludf.DUMMYFUNCTION("IMPORTRANGE(""https://docs.google.com/spreadsheets/d/1MeEWN-I1oV_STSDYn1IFDPWt_1FKiwhDph83XaGc0o0/edit?usp=sharing"",""งบพรบ!EJ22"")"),0)</f>
        <v>0</v>
      </c>
      <c r="O320" s="93">
        <f t="shared" ca="1" si="143"/>
        <v>0</v>
      </c>
      <c r="P320" s="93">
        <f t="shared" ca="1" si="144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1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65">
        <f t="shared" ref="L321:N321" ca="1" si="147">L322+L323</f>
        <v>0</v>
      </c>
      <c r="M321" s="465">
        <f t="shared" ca="1" si="147"/>
        <v>0</v>
      </c>
      <c r="N321" s="465">
        <f t="shared" ca="1" si="147"/>
        <v>0</v>
      </c>
      <c r="O321" s="465">
        <f t="shared" ca="1" si="143"/>
        <v>0</v>
      </c>
      <c r="P321" s="465">
        <f t="shared" ca="1" si="144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2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3"/>
        <v>0</v>
      </c>
      <c r="P322" s="93">
        <f t="shared" si="144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2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IFERROR(__xludf.DUMMYFUNCTION("IMPORTRANGE(""https://docs.google.com/spreadsheets/d/1MeEWN-I1oV_STSDYn1IFDPWt_1FKiwhDph83XaGc0o0/edit?usp=sharing"",""งบพรบ!EF22"")"),0)</f>
        <v>0</v>
      </c>
      <c r="M323" s="93">
        <f ca="1">IFERROR(__xludf.DUMMYFUNCTION("IMPORTRANGE(""https://docs.google.com/spreadsheets/d/1MeEWN-I1oV_STSDYn1IFDPWt_1FKiwhDph83XaGc0o0/edit?usp=sharing"",""งบพรบ!EI22"")"),0)</f>
        <v>0</v>
      </c>
      <c r="N323" s="93">
        <f ca="1">IFERROR(__xludf.DUMMYFUNCTION("IMPORTRANGE(""https://docs.google.com/spreadsheets/d/1MeEWN-I1oV_STSDYn1IFDPWt_1FKiwhDph83XaGc0o0/edit?usp=sharing"",""งบพรบ!EK22"")"),0)</f>
        <v>0</v>
      </c>
      <c r="O323" s="93">
        <f t="shared" ca="1" si="143"/>
        <v>0</v>
      </c>
      <c r="P323" s="93">
        <f t="shared" ca="1" si="144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18" t="s">
        <v>38</v>
      </c>
      <c r="E324" s="173"/>
      <c r="F324" s="173"/>
      <c r="G324" s="174"/>
      <c r="H324" s="726"/>
      <c r="I324" s="184"/>
      <c r="J324" s="269"/>
      <c r="K324" s="465"/>
      <c r="L324" s="465"/>
      <c r="M324" s="465"/>
      <c r="N324" s="465"/>
      <c r="O324" s="163"/>
      <c r="P324" s="163"/>
    </row>
    <row r="325" spans="1:26" ht="18.75" hidden="1">
      <c r="A325" s="170"/>
      <c r="B325" s="171"/>
      <c r="C325" s="171"/>
      <c r="D325" s="343" t="s">
        <v>147</v>
      </c>
      <c r="E325" s="342"/>
      <c r="F325" s="415"/>
      <c r="G325" s="179"/>
      <c r="H325" s="589" t="s">
        <v>146</v>
      </c>
      <c r="I325" s="269">
        <f ca="1">IFERROR(__xludf.DUMMYFUNCTION("IMPORTRANGE(""https://docs.google.com/spreadsheets/d/1QqKyyYR6Q21VydFLVH3TRQUabQu_ym0Zz7PgGX0-kHA/edit?usp=sharing"",""แผน!EF22"")"),0)</f>
        <v>0</v>
      </c>
      <c r="J325" s="214">
        <v>0</v>
      </c>
      <c r="K325" s="465">
        <f ca="1">IF(I325&gt;0,J325*100/I325,0)</f>
        <v>0</v>
      </c>
      <c r="L325" s="465"/>
      <c r="M325" s="465"/>
      <c r="N325" s="465"/>
      <c r="O325" s="163"/>
      <c r="P325" s="163"/>
    </row>
    <row r="326" spans="1:26" ht="19.5">
      <c r="A326" s="400" t="s">
        <v>148</v>
      </c>
      <c r="B326" s="401"/>
      <c r="C326" s="401"/>
      <c r="D326" s="402"/>
      <c r="E326" s="401"/>
      <c r="F326" s="401"/>
      <c r="G326" s="401"/>
      <c r="H326" s="417"/>
      <c r="I326" s="405"/>
      <c r="J326" s="405"/>
      <c r="K326" s="406"/>
      <c r="L326" s="406"/>
      <c r="M326" s="406"/>
      <c r="N326" s="406"/>
      <c r="O326" s="406"/>
      <c r="P326" s="406"/>
    </row>
    <row r="327" spans="1:26" ht="19.5">
      <c r="A327" s="407"/>
      <c r="B327" s="408" t="s">
        <v>149</v>
      </c>
      <c r="C327" s="420"/>
      <c r="D327" s="409"/>
      <c r="E327" s="409"/>
      <c r="F327" s="409"/>
      <c r="G327" s="410"/>
      <c r="H327" s="411" t="s">
        <v>35</v>
      </c>
      <c r="I327" s="412">
        <f ca="1">IFERROR(__xludf.DUMMYFUNCTION("IMPORTRANGE(""https://docs.google.com/spreadsheets/d/1QqKyyYR6Q21VydFLVH3TRQUabQu_ym0Zz7PgGX0-kHA/edit?usp=sharing"",""แผน!EG22"")"),1600)</f>
        <v>1600</v>
      </c>
      <c r="J327" s="412">
        <f ca="1">J338+J341+J342+J343</f>
        <v>411</v>
      </c>
      <c r="K327" s="413">
        <f ca="1">IF(I327&gt;0,J327*100/I327,0)</f>
        <v>25.6875</v>
      </c>
      <c r="L327" s="414"/>
      <c r="M327" s="414"/>
      <c r="N327" s="414"/>
      <c r="O327" s="414"/>
      <c r="P327" s="414"/>
    </row>
    <row r="328" spans="1:26" ht="19.5">
      <c r="A328" s="147"/>
      <c r="B328" s="148"/>
      <c r="C328" s="149" t="s">
        <v>16</v>
      </c>
      <c r="D328" s="817" t="s">
        <v>17</v>
      </c>
      <c r="E328" s="148"/>
      <c r="F328" s="148"/>
      <c r="G328" s="151"/>
      <c r="H328" s="152" t="s">
        <v>12</v>
      </c>
      <c r="I328" s="388"/>
      <c r="J328" s="388"/>
      <c r="K328" s="154"/>
      <c r="L328" s="155">
        <f t="shared" ref="L328:N328" ca="1" si="148">L329+L330</f>
        <v>174000</v>
      </c>
      <c r="M328" s="155">
        <f t="shared" ca="1" si="148"/>
        <v>87000</v>
      </c>
      <c r="N328" s="155">
        <f t="shared" ca="1" si="148"/>
        <v>19730</v>
      </c>
      <c r="O328" s="155">
        <f t="shared" ref="O328:O336" ca="1" si="149">IF(L328&gt;0,N328*100/L328,0)</f>
        <v>11.339080459770114</v>
      </c>
      <c r="P328" s="155">
        <f t="shared" ref="P328:P336" ca="1" si="150">IF(M328&gt;0,N328*100/M328,0)</f>
        <v>22.678160919540229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2" t="s">
        <v>18</v>
      </c>
      <c r="F329" s="40"/>
      <c r="G329" s="157"/>
      <c r="H329" s="158" t="s">
        <v>12</v>
      </c>
      <c r="I329" s="583"/>
      <c r="J329" s="583"/>
      <c r="K329" s="93"/>
      <c r="L329" s="93">
        <f t="shared" ref="L329:N330" si="151">L332+L335</f>
        <v>0</v>
      </c>
      <c r="M329" s="93">
        <f t="shared" si="151"/>
        <v>0</v>
      </c>
      <c r="N329" s="93">
        <f t="shared" si="151"/>
        <v>0</v>
      </c>
      <c r="O329" s="93">
        <f t="shared" si="149"/>
        <v>0</v>
      </c>
      <c r="P329" s="93">
        <f t="shared" si="150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2" t="s">
        <v>19</v>
      </c>
      <c r="F330" s="40"/>
      <c r="G330" s="157"/>
      <c r="H330" s="158" t="s">
        <v>12</v>
      </c>
      <c r="I330" s="583"/>
      <c r="J330" s="583"/>
      <c r="K330" s="93"/>
      <c r="L330" s="93">
        <f t="shared" ca="1" si="151"/>
        <v>174000</v>
      </c>
      <c r="M330" s="93">
        <f t="shared" ca="1" si="151"/>
        <v>87000</v>
      </c>
      <c r="N330" s="93">
        <f t="shared" ca="1" si="151"/>
        <v>19730</v>
      </c>
      <c r="O330" s="93">
        <f t="shared" ca="1" si="149"/>
        <v>11.339080459770114</v>
      </c>
      <c r="P330" s="93">
        <f t="shared" ca="1" si="150"/>
        <v>22.678160919540229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1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65">
        <f t="shared" ref="L331:N331" ca="1" si="152">L332+L333</f>
        <v>174000</v>
      </c>
      <c r="M331" s="465">
        <f t="shared" ca="1" si="152"/>
        <v>87000</v>
      </c>
      <c r="N331" s="465">
        <f t="shared" ca="1" si="152"/>
        <v>19730</v>
      </c>
      <c r="O331" s="465">
        <f t="shared" ca="1" si="149"/>
        <v>11.339080459770114</v>
      </c>
      <c r="P331" s="465">
        <f t="shared" ca="1" si="150"/>
        <v>22.678160919540229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2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49"/>
        <v>0</v>
      </c>
      <c r="P332" s="93">
        <f t="shared" si="150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2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IFERROR(__xludf.DUMMYFUNCTION("IMPORTRANGE(""https://docs.google.com/spreadsheets/d/1MeEWN-I1oV_STSDYn1IFDPWt_1FKiwhDph83XaGc0o0/edit?usp=sharing"",""งบพรบ!EM22"")"),174000)</f>
        <v>174000</v>
      </c>
      <c r="M333" s="93">
        <f ca="1">IFERROR(__xludf.DUMMYFUNCTION("IMPORTRANGE(""https://docs.google.com/spreadsheets/d/1MeEWN-I1oV_STSDYn1IFDPWt_1FKiwhDph83XaGc0o0/edit?usp=sharing"",""งบพรบ!ER22"")"),87000)</f>
        <v>87000</v>
      </c>
      <c r="N333" s="93">
        <f ca="1">IFERROR(__xludf.DUMMYFUNCTION("IMPORTRANGE(""https://docs.google.com/spreadsheets/d/1MeEWN-I1oV_STSDYn1IFDPWt_1FKiwhDph83XaGc0o0/edit?usp=sharing"",""งบพรบ!ET22"")"),19730)</f>
        <v>19730</v>
      </c>
      <c r="O333" s="93">
        <f t="shared" ca="1" si="149"/>
        <v>11.339080459770114</v>
      </c>
      <c r="P333" s="93">
        <f t="shared" ca="1" si="150"/>
        <v>22.678160919540229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1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65">
        <f t="shared" ref="L334:N334" ca="1" si="153">L335+L336</f>
        <v>0</v>
      </c>
      <c r="M334" s="465">
        <f t="shared" ca="1" si="153"/>
        <v>0</v>
      </c>
      <c r="N334" s="465">
        <f t="shared" ca="1" si="153"/>
        <v>0</v>
      </c>
      <c r="O334" s="465">
        <f t="shared" ca="1" si="149"/>
        <v>0</v>
      </c>
      <c r="P334" s="465">
        <f t="shared" ca="1" si="150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2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49"/>
        <v>0</v>
      </c>
      <c r="P335" s="93">
        <f t="shared" si="150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2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IFERROR(__xludf.DUMMYFUNCTION("IMPORTRANGE(""https://docs.google.com/spreadsheets/d/1MeEWN-I1oV_STSDYn1IFDPWt_1FKiwhDph83XaGc0o0/edit?usp=sharing"",""งบพรบ!EP22"")"),0)</f>
        <v>0</v>
      </c>
      <c r="M336" s="93">
        <f ca="1">IFERROR(__xludf.DUMMYFUNCTION("IMPORTRANGE(""https://docs.google.com/spreadsheets/d/1MeEWN-I1oV_STSDYn1IFDPWt_1FKiwhDph83XaGc0o0/edit?usp=sharing"",""งบพรบ!ES22"")"),0)</f>
        <v>0</v>
      </c>
      <c r="N336" s="93">
        <f ca="1">IFERROR(__xludf.DUMMYFUNCTION("IMPORTRANGE(""https://docs.google.com/spreadsheets/d/1MeEWN-I1oV_STSDYn1IFDPWt_1FKiwhDph83XaGc0o0/edit?usp=sharing"",""งบพรบ!EU22"")"),0)</f>
        <v>0</v>
      </c>
      <c r="O336" s="93">
        <f t="shared" ca="1" si="149"/>
        <v>0</v>
      </c>
      <c r="P336" s="93">
        <f t="shared" ca="1" si="150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18" t="s">
        <v>38</v>
      </c>
      <c r="E337" s="173"/>
      <c r="F337" s="173"/>
      <c r="G337" s="174"/>
      <c r="H337" s="726"/>
      <c r="I337" s="184"/>
      <c r="J337" s="269"/>
      <c r="K337" s="465"/>
      <c r="L337" s="465"/>
      <c r="M337" s="465"/>
      <c r="N337" s="465"/>
      <c r="O337" s="163"/>
      <c r="P337" s="163"/>
    </row>
    <row r="338" spans="1:26" ht="18.75">
      <c r="A338" s="283"/>
      <c r="B338" s="33"/>
      <c r="C338" s="280"/>
      <c r="D338" s="415" t="s">
        <v>150</v>
      </c>
      <c r="E338" s="171"/>
      <c r="F338" s="33"/>
      <c r="G338" s="35"/>
      <c r="H338" s="276" t="s">
        <v>35</v>
      </c>
      <c r="I338" s="269">
        <f ca="1">IFERROR(__xludf.DUMMYFUNCTION("IMPORTRANGE(""https://docs.google.com/spreadsheets/d/1QqKyyYR6Q21VydFLVH3TRQUabQu_ym0Zz7PgGX0-kHA/edit?usp=sharing"",""แผน!EG22"")"),1600)</f>
        <v>1600</v>
      </c>
      <c r="J338" s="269">
        <f ca="1">IFERROR(__xludf.DUMMYFUNCTION("IMPORTRANGE(""https://docs.google.com/spreadsheets/d/1kVcqe37tkHyjCSG3S0O1AXqVkqjo8mSIZil3BcpIysc/edit?usp=sharing"",""ศูนย์!D22"")"),410)</f>
        <v>410</v>
      </c>
      <c r="K338" s="465">
        <f ca="1">IF(I338&gt;0,J338*100/I338,0)</f>
        <v>25.625</v>
      </c>
      <c r="L338" s="465"/>
      <c r="M338" s="465"/>
      <c r="N338" s="465"/>
      <c r="O338" s="465"/>
      <c r="P338" s="465"/>
    </row>
    <row r="339" spans="1:26" ht="18.75">
      <c r="A339" s="283"/>
      <c r="B339" s="33"/>
      <c r="C339" s="280"/>
      <c r="D339" s="415" t="s">
        <v>151</v>
      </c>
      <c r="E339" s="171"/>
      <c r="F339" s="33"/>
      <c r="G339" s="35"/>
      <c r="H339" s="276"/>
      <c r="I339" s="269"/>
      <c r="J339" s="269"/>
      <c r="K339" s="465"/>
      <c r="L339" s="465"/>
      <c r="M339" s="465"/>
      <c r="N339" s="465"/>
      <c r="O339" s="465"/>
      <c r="P339" s="465"/>
    </row>
    <row r="340" spans="1:26" ht="18.75">
      <c r="A340" s="283"/>
      <c r="B340" s="33"/>
      <c r="C340" s="280"/>
      <c r="D340" s="342"/>
      <c r="E340" s="415" t="s">
        <v>152</v>
      </c>
      <c r="F340" s="33"/>
      <c r="G340" s="35"/>
      <c r="H340" s="276" t="s">
        <v>153</v>
      </c>
      <c r="I340" s="269">
        <f ca="1">IFERROR(__xludf.DUMMYFUNCTION("IMPORTRANGE(""https://docs.google.com/spreadsheets/d/1QqKyyYR6Q21VydFLVH3TRQUabQu_ym0Zz7PgGX0-kHA/edit?usp=sharing"",""แผน!EH22"")"),8)</f>
        <v>8</v>
      </c>
      <c r="J340" s="269">
        <f ca="1">IFERROR(__xludf.DUMMYFUNCTION("IMPORTRANGE(""https://docs.google.com/spreadsheets/d/1kVcqe37tkHyjCSG3S0O1AXqVkqjo8mSIZil3BcpIysc/edit?usp=sharing"",""ศูนย์!E22"")"),0)</f>
        <v>0</v>
      </c>
      <c r="K340" s="465">
        <f ca="1">IF(I340&gt;0,J340*100/I340,0)</f>
        <v>0</v>
      </c>
      <c r="L340" s="465"/>
      <c r="M340" s="465"/>
      <c r="N340" s="465"/>
      <c r="O340" s="465"/>
      <c r="P340" s="465"/>
    </row>
    <row r="341" spans="1:26" ht="18.75">
      <c r="A341" s="283"/>
      <c r="B341" s="33"/>
      <c r="C341" s="280"/>
      <c r="D341" s="342"/>
      <c r="E341" s="415" t="s">
        <v>154</v>
      </c>
      <c r="F341" s="33"/>
      <c r="G341" s="35"/>
      <c r="H341" s="276" t="s">
        <v>35</v>
      </c>
      <c r="I341" s="269"/>
      <c r="J341" s="269">
        <f ca="1">IFERROR(__xludf.DUMMYFUNCTION("IMPORTRANGE(""https://docs.google.com/spreadsheets/d/1kVcqe37tkHyjCSG3S0O1AXqVkqjo8mSIZil3BcpIysc/edit?usp=sharing"",""ศูนย์!F22"")"),0)</f>
        <v>0</v>
      </c>
      <c r="K341" s="465"/>
      <c r="L341" s="465"/>
      <c r="M341" s="465"/>
      <c r="N341" s="465"/>
      <c r="O341" s="465"/>
      <c r="P341" s="465"/>
    </row>
    <row r="342" spans="1:26" ht="18.75">
      <c r="A342" s="283"/>
      <c r="B342" s="33"/>
      <c r="C342" s="280"/>
      <c r="D342" s="415" t="s">
        <v>155</v>
      </c>
      <c r="E342" s="342"/>
      <c r="F342" s="342"/>
      <c r="G342" s="35"/>
      <c r="H342" s="276" t="s">
        <v>35</v>
      </c>
      <c r="I342" s="269"/>
      <c r="J342" s="269">
        <f ca="1">IFERROR(__xludf.DUMMYFUNCTION("IMPORTRANGE(""https://docs.google.com/spreadsheets/d/1kVcqe37tkHyjCSG3S0O1AXqVkqjo8mSIZil3BcpIysc/edit?usp=sharing"",""ศูนย์!G22"")"),1)</f>
        <v>1</v>
      </c>
      <c r="K342" s="465"/>
      <c r="L342" s="465"/>
      <c r="M342" s="465"/>
      <c r="N342" s="465"/>
      <c r="O342" s="465"/>
      <c r="P342" s="465"/>
    </row>
    <row r="343" spans="1:26" ht="18.75">
      <c r="A343" s="283"/>
      <c r="B343" s="33"/>
      <c r="C343" s="280"/>
      <c r="D343" s="415" t="s">
        <v>156</v>
      </c>
      <c r="E343" s="342"/>
      <c r="F343" s="342"/>
      <c r="G343" s="35"/>
      <c r="H343" s="276" t="s">
        <v>35</v>
      </c>
      <c r="I343" s="269"/>
      <c r="J343" s="269">
        <f ca="1">IFERROR(__xludf.DUMMYFUNCTION("IMPORTRANGE(""https://docs.google.com/spreadsheets/d/1kVcqe37tkHyjCSG3S0O1AXqVkqjo8mSIZil3BcpIysc/edit?usp=sharing"",""ศูนย์!H22"")"),0)</f>
        <v>0</v>
      </c>
      <c r="K343" s="465"/>
      <c r="L343" s="465"/>
      <c r="M343" s="465"/>
      <c r="N343" s="465"/>
      <c r="O343" s="465"/>
      <c r="P343" s="465"/>
    </row>
    <row r="344" spans="1:26" ht="19.5">
      <c r="A344" s="407"/>
      <c r="B344" s="408" t="s">
        <v>157</v>
      </c>
      <c r="C344" s="420"/>
      <c r="D344" s="409"/>
      <c r="E344" s="409"/>
      <c r="F344" s="409"/>
      <c r="G344" s="410"/>
      <c r="H344" s="411"/>
      <c r="I344" s="421"/>
      <c r="J344" s="421"/>
      <c r="K344" s="414"/>
      <c r="L344" s="414"/>
      <c r="M344" s="414"/>
      <c r="N344" s="414"/>
      <c r="O344" s="414"/>
      <c r="P344" s="414"/>
    </row>
    <row r="345" spans="1:26" ht="19.5">
      <c r="A345" s="147"/>
      <c r="B345" s="148"/>
      <c r="C345" s="149" t="s">
        <v>16</v>
      </c>
      <c r="D345" s="817" t="s">
        <v>17</v>
      </c>
      <c r="E345" s="148"/>
      <c r="F345" s="148"/>
      <c r="G345" s="151"/>
      <c r="H345" s="152" t="s">
        <v>12</v>
      </c>
      <c r="I345" s="388"/>
      <c r="J345" s="388"/>
      <c r="K345" s="154"/>
      <c r="L345" s="155">
        <f t="shared" ref="L345:N345" ca="1" si="154">L346+L347</f>
        <v>702430</v>
      </c>
      <c r="M345" s="155">
        <f t="shared" ca="1" si="154"/>
        <v>455620</v>
      </c>
      <c r="N345" s="155">
        <f t="shared" ca="1" si="154"/>
        <v>247575.05</v>
      </c>
      <c r="O345" s="155">
        <f t="shared" ref="O345:O353" ca="1" si="155">IF(L345&gt;0,N345*100/L345,0)</f>
        <v>35.245512008313995</v>
      </c>
      <c r="P345" s="155">
        <f t="shared" ref="P345:P353" ca="1" si="156">IF(M345&gt;0,N345*100/M345,0)</f>
        <v>54.33805583600369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2" t="s">
        <v>18</v>
      </c>
      <c r="F346" s="40"/>
      <c r="G346" s="157"/>
      <c r="H346" s="158" t="s">
        <v>12</v>
      </c>
      <c r="I346" s="583"/>
      <c r="J346" s="583"/>
      <c r="K346" s="93"/>
      <c r="L346" s="93">
        <f t="shared" ref="L346:N347" si="157">L349+L352</f>
        <v>0</v>
      </c>
      <c r="M346" s="93">
        <f t="shared" si="157"/>
        <v>0</v>
      </c>
      <c r="N346" s="93">
        <f t="shared" si="157"/>
        <v>0</v>
      </c>
      <c r="O346" s="93">
        <f t="shared" si="155"/>
        <v>0</v>
      </c>
      <c r="P346" s="93">
        <f t="shared" si="156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2" t="s">
        <v>19</v>
      </c>
      <c r="F347" s="40"/>
      <c r="G347" s="157"/>
      <c r="H347" s="158" t="s">
        <v>12</v>
      </c>
      <c r="I347" s="583"/>
      <c r="J347" s="583"/>
      <c r="K347" s="93"/>
      <c r="L347" s="93">
        <f t="shared" ca="1" si="157"/>
        <v>702430</v>
      </c>
      <c r="M347" s="93">
        <f t="shared" ca="1" si="157"/>
        <v>455620</v>
      </c>
      <c r="N347" s="93">
        <f t="shared" ca="1" si="157"/>
        <v>247575.05</v>
      </c>
      <c r="O347" s="93">
        <f t="shared" ca="1" si="155"/>
        <v>35.245512008313995</v>
      </c>
      <c r="P347" s="93">
        <f t="shared" ca="1" si="156"/>
        <v>54.33805583600369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1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65">
        <f t="shared" ref="L348:N348" ca="1" si="158">L349+L350</f>
        <v>493630</v>
      </c>
      <c r="M348" s="465">
        <f t="shared" ca="1" si="158"/>
        <v>246820</v>
      </c>
      <c r="N348" s="465">
        <f t="shared" ca="1" si="158"/>
        <v>38775.050000000003</v>
      </c>
      <c r="O348" s="465">
        <f t="shared" ca="1" si="155"/>
        <v>7.8550837671940528</v>
      </c>
      <c r="P348" s="465">
        <f t="shared" ca="1" si="156"/>
        <v>15.709849282878213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2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5"/>
        <v>0</v>
      </c>
      <c r="P349" s="93">
        <f t="shared" si="156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2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IFERROR(__xludf.DUMMYFUNCTION("IMPORTRANGE(""https://docs.google.com/spreadsheets/d/1MeEWN-I1oV_STSDYn1IFDPWt_1FKiwhDph83XaGc0o0/edit?usp=sharing"",""งบพรบ!EW22"")"),493630)</f>
        <v>493630</v>
      </c>
      <c r="M350" s="93">
        <f ca="1">IFERROR(__xludf.DUMMYFUNCTION("IMPORTRANGE(""https://docs.google.com/spreadsheets/d/1MeEWN-I1oV_STSDYn1IFDPWt_1FKiwhDph83XaGc0o0/edit?usp=sharing"",""งบพรบ!FB22"")"),246820)</f>
        <v>246820</v>
      </c>
      <c r="N350" s="93">
        <f ca="1">IFERROR(__xludf.DUMMYFUNCTION("IMPORTRANGE(""https://docs.google.com/spreadsheets/d/1MeEWN-I1oV_STSDYn1IFDPWt_1FKiwhDph83XaGc0o0/edit?usp=sharing"",""งบพรบ!FD22"")"),38775.05)</f>
        <v>38775.050000000003</v>
      </c>
      <c r="O350" s="93">
        <f t="shared" ca="1" si="155"/>
        <v>7.8550837671940528</v>
      </c>
      <c r="P350" s="93">
        <f t="shared" ca="1" si="156"/>
        <v>15.709849282878213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1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65">
        <f t="shared" ref="L351:N351" ca="1" si="159">L352+L353</f>
        <v>208800</v>
      </c>
      <c r="M351" s="465">
        <f t="shared" ca="1" si="159"/>
        <v>208800</v>
      </c>
      <c r="N351" s="465">
        <f t="shared" ca="1" si="159"/>
        <v>208800</v>
      </c>
      <c r="O351" s="465">
        <f t="shared" ca="1" si="155"/>
        <v>100</v>
      </c>
      <c r="P351" s="465">
        <f t="shared" ca="1" si="156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2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5"/>
        <v>0</v>
      </c>
      <c r="P352" s="93">
        <f t="shared" si="156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2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IFERROR(__xludf.DUMMYFUNCTION("IMPORTRANGE(""https://docs.google.com/spreadsheets/d/1MeEWN-I1oV_STSDYn1IFDPWt_1FKiwhDph83XaGc0o0/edit?usp=sharing"",""งบพรบ!EZ22"")"),208800)</f>
        <v>208800</v>
      </c>
      <c r="M353" s="93">
        <f ca="1">IFERROR(__xludf.DUMMYFUNCTION("IMPORTRANGE(""https://docs.google.com/spreadsheets/d/1MeEWN-I1oV_STSDYn1IFDPWt_1FKiwhDph83XaGc0o0/edit?usp=sharing"",""งบพรบ!FC22"")"),208800)</f>
        <v>208800</v>
      </c>
      <c r="N353" s="93">
        <f ca="1">IFERROR(__xludf.DUMMYFUNCTION("IMPORTRANGE(""https://docs.google.com/spreadsheets/d/1MeEWN-I1oV_STSDYn1IFDPWt_1FKiwhDph83XaGc0o0/edit?usp=sharing"",""งบพรบ!FE22"")"),208800)</f>
        <v>208800</v>
      </c>
      <c r="O353" s="93">
        <f t="shared" ca="1" si="155"/>
        <v>100</v>
      </c>
      <c r="P353" s="93">
        <f t="shared" ca="1" si="156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5"/>
      <c r="B354" s="263"/>
      <c r="C354" s="256"/>
      <c r="D354" s="845" t="s">
        <v>158</v>
      </c>
      <c r="E354" s="256"/>
      <c r="F354" s="256"/>
      <c r="G354" s="258"/>
      <c r="H354" s="423"/>
      <c r="I354" s="260"/>
      <c r="J354" s="260"/>
      <c r="K354" s="261"/>
      <c r="L354" s="261"/>
      <c r="M354" s="261"/>
      <c r="N354" s="261"/>
      <c r="O354" s="261"/>
      <c r="P354" s="261"/>
    </row>
    <row r="355" spans="1:26" ht="19.5">
      <c r="A355" s="424"/>
      <c r="B355" s="425"/>
      <c r="C355" s="426"/>
      <c r="D355" s="846" t="s">
        <v>159</v>
      </c>
      <c r="E355" s="428"/>
      <c r="F355" s="428"/>
      <c r="G355" s="429"/>
      <c r="H355" s="430" t="s">
        <v>35</v>
      </c>
      <c r="I355" s="432">
        <f ca="1">IFERROR(__xludf.DUMMYFUNCTION("IMPORTRANGE(""https://docs.google.com/spreadsheets/d/1QqKyyYR6Q21VydFLVH3TRQUabQu_ym0Zz7PgGX0-kHA/edit?usp=sharing"",""แผน!EP22"")"),190)</f>
        <v>190</v>
      </c>
      <c r="J355" s="432">
        <f ca="1">J362</f>
        <v>0</v>
      </c>
      <c r="K355" s="433">
        <f ca="1">IF(I355&gt;0,J355*100/I355,0)</f>
        <v>0</v>
      </c>
      <c r="L355" s="434"/>
      <c r="M355" s="434"/>
      <c r="N355" s="434"/>
      <c r="O355" s="434"/>
      <c r="P355" s="434"/>
    </row>
    <row r="356" spans="1:26" ht="19.5">
      <c r="A356" s="424"/>
      <c r="B356" s="425"/>
      <c r="C356" s="426"/>
      <c r="D356" s="435" t="s">
        <v>160</v>
      </c>
      <c r="E356" s="428"/>
      <c r="F356" s="428"/>
      <c r="G356" s="429"/>
      <c r="H356" s="436"/>
      <c r="I356" s="437"/>
      <c r="J356" s="437"/>
      <c r="K356" s="434"/>
      <c r="L356" s="434"/>
      <c r="M356" s="434"/>
      <c r="N356" s="434"/>
      <c r="O356" s="434"/>
      <c r="P356" s="434"/>
    </row>
    <row r="357" spans="1:26" ht="19.5">
      <c r="A357" s="170"/>
      <c r="B357" s="171"/>
      <c r="C357" s="164" t="s">
        <v>16</v>
      </c>
      <c r="D357" s="818" t="s">
        <v>38</v>
      </c>
      <c r="E357" s="173"/>
      <c r="F357" s="173"/>
      <c r="G357" s="174"/>
      <c r="H357" s="726"/>
      <c r="I357" s="269"/>
      <c r="J357" s="269"/>
      <c r="K357" s="465"/>
      <c r="L357" s="163"/>
      <c r="M357" s="163"/>
      <c r="N357" s="163"/>
      <c r="O357" s="163"/>
      <c r="P357" s="163"/>
    </row>
    <row r="358" spans="1:26" ht="18.75">
      <c r="A358" s="170"/>
      <c r="B358" s="342"/>
      <c r="C358" s="171"/>
      <c r="D358" s="342"/>
      <c r="E358" s="343" t="s">
        <v>161</v>
      </c>
      <c r="F358" s="342"/>
      <c r="G358" s="179"/>
      <c r="H358" s="185" t="s">
        <v>35</v>
      </c>
      <c r="I358" s="269">
        <v>0</v>
      </c>
      <c r="J358" s="269">
        <f ca="1">IFERROR(__xludf.DUMMYFUNCTION("IMPORTRANGE(""https://docs.google.com/spreadsheets/d/1XWAQStnk-4SwqDmLtmXYiTMKHgktTP8We1SCoS47DrQ/edit?usp=sharing"",""จัดที่ดิน!W22"")"),0)</f>
        <v>0</v>
      </c>
      <c r="K358" s="465">
        <f t="shared" ref="K358:K365" si="160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342"/>
      <c r="C359" s="171"/>
      <c r="D359" s="342"/>
      <c r="E359" s="342"/>
      <c r="F359" s="342"/>
      <c r="G359" s="179"/>
      <c r="H359" s="185" t="s">
        <v>46</v>
      </c>
      <c r="I359" s="269">
        <f ca="1">IFERROR(__xludf.DUMMYFUNCTION("IMPORTRANGE(""https://docs.google.com/spreadsheets/d/1QqKyyYR6Q21VydFLVH3TRQUabQu_ym0Zz7PgGX0-kHA/edit?usp=sharing"",""แผน!EO22"")"),1850)</f>
        <v>1850</v>
      </c>
      <c r="J359" s="269">
        <f ca="1">IFERROR(__xludf.DUMMYFUNCTION("IMPORTRANGE(""https://docs.google.com/spreadsheets/d/1XWAQStnk-4SwqDmLtmXYiTMKHgktTP8We1SCoS47DrQ/edit?usp=sharing"",""จัดที่ดิน!X22"")"),0)</f>
        <v>0</v>
      </c>
      <c r="K359" s="465">
        <f t="shared" ca="1" si="160"/>
        <v>0</v>
      </c>
      <c r="L359" s="163"/>
      <c r="M359" s="163"/>
      <c r="N359" s="163"/>
      <c r="O359" s="163"/>
      <c r="P359" s="163"/>
    </row>
    <row r="360" spans="1:26" ht="18.75">
      <c r="A360" s="170"/>
      <c r="B360" s="342"/>
      <c r="C360" s="171"/>
      <c r="D360" s="342"/>
      <c r="E360" s="343" t="s">
        <v>162</v>
      </c>
      <c r="F360" s="342"/>
      <c r="G360" s="179"/>
      <c r="H360" s="728" t="s">
        <v>35</v>
      </c>
      <c r="I360" s="269">
        <f ca="1">IFERROR(__xludf.DUMMYFUNCTION("IMPORTRANGE(""https://docs.google.com/spreadsheets/d/1QqKyyYR6Q21VydFLVH3TRQUabQu_ym0Zz7PgGX0-kHA/edit?usp=sharing"",""แผน!EP22"")"),190)</f>
        <v>190</v>
      </c>
      <c r="J360" s="269">
        <f ca="1">IFERROR(__xludf.DUMMYFUNCTION("IMPORTRANGE(""https://docs.google.com/spreadsheets/d/1XWAQStnk-4SwqDmLtmXYiTMKHgktTP8We1SCoS47DrQ/edit?usp=sharing"",""จัดที่ดิน!Y22"")"),0)</f>
        <v>0</v>
      </c>
      <c r="K360" s="465">
        <f t="shared" ca="1" si="160"/>
        <v>0</v>
      </c>
      <c r="L360" s="163"/>
      <c r="M360" s="163"/>
      <c r="N360" s="163"/>
      <c r="O360" s="163"/>
      <c r="P360" s="163"/>
    </row>
    <row r="361" spans="1:26" ht="18.75">
      <c r="A361" s="170"/>
      <c r="B361" s="342"/>
      <c r="C361" s="171"/>
      <c r="D361" s="342"/>
      <c r="E361" s="342"/>
      <c r="F361" s="342"/>
      <c r="G361" s="179"/>
      <c r="H361" s="728" t="s">
        <v>46</v>
      </c>
      <c r="I361" s="269">
        <v>0</v>
      </c>
      <c r="J361" s="269">
        <f ca="1">IFERROR(__xludf.DUMMYFUNCTION("IMPORTRANGE(""https://docs.google.com/spreadsheets/d/1XWAQStnk-4SwqDmLtmXYiTMKHgktTP8We1SCoS47DrQ/edit?usp=sharing"",""จัดที่ดิน!Z22"")"),0)</f>
        <v>0</v>
      </c>
      <c r="K361" s="465">
        <f t="shared" si="160"/>
        <v>0</v>
      </c>
      <c r="L361" s="163"/>
      <c r="M361" s="163"/>
      <c r="N361" s="163"/>
      <c r="O361" s="163"/>
      <c r="P361" s="163"/>
    </row>
    <row r="362" spans="1:26" ht="18.75">
      <c r="A362" s="170"/>
      <c r="B362" s="342"/>
      <c r="C362" s="171"/>
      <c r="D362" s="342"/>
      <c r="E362" s="343" t="s">
        <v>163</v>
      </c>
      <c r="F362" s="342"/>
      <c r="G362" s="179"/>
      <c r="H362" s="728" t="s">
        <v>35</v>
      </c>
      <c r="I362" s="269">
        <f ca="1">IFERROR(__xludf.DUMMYFUNCTION("IMPORTRANGE(""https://docs.google.com/spreadsheets/d/1QqKyyYR6Q21VydFLVH3TRQUabQu_ym0Zz7PgGX0-kHA/edit?usp=sharing"",""แผน!EP22"")"),190)</f>
        <v>190</v>
      </c>
      <c r="J362" s="269">
        <f ca="1">IFERROR(__xludf.DUMMYFUNCTION("IMPORTRANGE(""https://docs.google.com/spreadsheets/d/1XWAQStnk-4SwqDmLtmXYiTMKHgktTP8We1SCoS47DrQ/edit?usp=sharing"",""จัดที่ดิน!AA22"")"),0)</f>
        <v>0</v>
      </c>
      <c r="K362" s="465">
        <f t="shared" ca="1" si="160"/>
        <v>0</v>
      </c>
      <c r="L362" s="163"/>
      <c r="M362" s="163"/>
      <c r="N362" s="163"/>
      <c r="O362" s="163"/>
      <c r="P362" s="163"/>
    </row>
    <row r="363" spans="1:26" ht="18.75">
      <c r="A363" s="438" t="s">
        <v>164</v>
      </c>
      <c r="B363" s="342"/>
      <c r="C363" s="171"/>
      <c r="D363" s="342"/>
      <c r="E363" s="415"/>
      <c r="F363" s="342"/>
      <c r="G363" s="179"/>
      <c r="H363" s="728" t="s">
        <v>46</v>
      </c>
      <c r="I363" s="269">
        <v>0</v>
      </c>
      <c r="J363" s="269">
        <f ca="1">IFERROR(__xludf.DUMMYFUNCTION("IMPORTRANGE(""https://docs.google.com/spreadsheets/d/1XWAQStnk-4SwqDmLtmXYiTMKHgktTP8We1SCoS47DrQ/edit?usp=sharing"",""จัดที่ดิน!AB22"")"),0)</f>
        <v>0</v>
      </c>
      <c r="K363" s="465">
        <f t="shared" si="160"/>
        <v>0</v>
      </c>
      <c r="L363" s="163"/>
      <c r="M363" s="163"/>
      <c r="N363" s="163"/>
      <c r="O363" s="163"/>
      <c r="P363" s="163"/>
    </row>
    <row r="364" spans="1:26" ht="19.5">
      <c r="A364" s="439"/>
      <c r="B364" s="440"/>
      <c r="C364" s="441"/>
      <c r="D364" s="442" t="s">
        <v>165</v>
      </c>
      <c r="E364" s="443"/>
      <c r="F364" s="443"/>
      <c r="G364" s="444"/>
      <c r="H364" s="445" t="s">
        <v>35</v>
      </c>
      <c r="I364" s="446">
        <f t="shared" ref="I364:J364" ca="1" si="161">I365+I374</f>
        <v>530</v>
      </c>
      <c r="J364" s="446">
        <f t="shared" ca="1" si="161"/>
        <v>0</v>
      </c>
      <c r="K364" s="447">
        <f t="shared" ca="1" si="160"/>
        <v>0</v>
      </c>
      <c r="L364" s="448"/>
      <c r="M364" s="448"/>
      <c r="N364" s="448"/>
      <c r="O364" s="448"/>
      <c r="P364" s="448"/>
      <c r="Q364" s="449"/>
      <c r="R364" s="449"/>
      <c r="S364" s="449"/>
      <c r="T364" s="449"/>
      <c r="U364" s="449"/>
      <c r="V364" s="449"/>
      <c r="W364" s="449"/>
      <c r="X364" s="449"/>
      <c r="Y364" s="449"/>
      <c r="Z364" s="449"/>
    </row>
    <row r="365" spans="1:26" ht="19.5">
      <c r="A365" s="450"/>
      <c r="B365" s="451"/>
      <c r="C365" s="453"/>
      <c r="D365" s="453" t="s">
        <v>166</v>
      </c>
      <c r="E365" s="454"/>
      <c r="F365" s="454"/>
      <c r="G365" s="455"/>
      <c r="H365" s="456" t="s">
        <v>35</v>
      </c>
      <c r="I365" s="458">
        <f ca="1">IFERROR(__xludf.DUMMYFUNCTION("IMPORTRANGE(""https://docs.google.com/spreadsheets/d/1QqKyyYR6Q21VydFLVH3TRQUabQu_ym0Zz7PgGX0-kHA/edit?usp=sharing"",""แผน!EJ22"")"),150)</f>
        <v>150</v>
      </c>
      <c r="J365" s="458">
        <f ca="1">J372</f>
        <v>0</v>
      </c>
      <c r="K365" s="459">
        <f t="shared" ca="1" si="160"/>
        <v>0</v>
      </c>
      <c r="L365" s="460"/>
      <c r="M365" s="460"/>
      <c r="N365" s="460"/>
      <c r="O365" s="460"/>
      <c r="P365" s="460"/>
      <c r="Q365" s="449"/>
      <c r="R365" s="449"/>
      <c r="S365" s="449"/>
      <c r="T365" s="449"/>
      <c r="U365" s="449"/>
      <c r="V365" s="449"/>
      <c r="W365" s="449"/>
      <c r="X365" s="449"/>
      <c r="Y365" s="449"/>
      <c r="Z365" s="449"/>
    </row>
    <row r="366" spans="1:26" ht="19.5">
      <c r="A366" s="450"/>
      <c r="B366" s="451"/>
      <c r="C366" s="453"/>
      <c r="D366" s="461" t="s">
        <v>167</v>
      </c>
      <c r="E366" s="454"/>
      <c r="F366" s="454"/>
      <c r="G366" s="455"/>
      <c r="H366" s="462"/>
      <c r="I366" s="463"/>
      <c r="J366" s="463"/>
      <c r="K366" s="460"/>
      <c r="L366" s="460"/>
      <c r="M366" s="460"/>
      <c r="N366" s="460"/>
      <c r="O366" s="460"/>
      <c r="P366" s="460"/>
      <c r="Q366" s="449"/>
      <c r="R366" s="449"/>
      <c r="S366" s="449"/>
      <c r="T366" s="449"/>
      <c r="U366" s="449"/>
      <c r="V366" s="449"/>
      <c r="W366" s="449"/>
      <c r="X366" s="449"/>
      <c r="Y366" s="449"/>
      <c r="Z366" s="449"/>
    </row>
    <row r="367" spans="1:26" ht="19.5">
      <c r="A367" s="170"/>
      <c r="B367" s="171"/>
      <c r="C367" s="164" t="s">
        <v>16</v>
      </c>
      <c r="D367" s="818" t="s">
        <v>38</v>
      </c>
      <c r="E367" s="173"/>
      <c r="F367" s="173"/>
      <c r="G367" s="174"/>
      <c r="H367" s="726"/>
      <c r="I367" s="269"/>
      <c r="J367" s="269"/>
      <c r="K367" s="465"/>
      <c r="L367" s="163"/>
      <c r="M367" s="163"/>
      <c r="N367" s="163"/>
      <c r="O367" s="163"/>
      <c r="P367" s="163"/>
    </row>
    <row r="368" spans="1:26" ht="18.75">
      <c r="A368" s="170"/>
      <c r="B368" s="342"/>
      <c r="C368" s="171"/>
      <c r="D368" s="342"/>
      <c r="E368" s="343" t="s">
        <v>161</v>
      </c>
      <c r="F368" s="342"/>
      <c r="G368" s="179"/>
      <c r="H368" s="185" t="s">
        <v>35</v>
      </c>
      <c r="I368" s="269">
        <v>0</v>
      </c>
      <c r="J368" s="269">
        <f ca="1">IFERROR(__xludf.DUMMYFUNCTION("IMPORTRANGE(""https://docs.google.com/spreadsheets/d/1XWAQStnk-4SwqDmLtmXYiTMKHgktTP8We1SCoS47DrQ/edit?usp=sharing"",""จัดที่ดิน!E22"")"),0)</f>
        <v>0</v>
      </c>
      <c r="K368" s="465">
        <f t="shared" ref="K368:K374" si="162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342"/>
      <c r="C369" s="171"/>
      <c r="D369" s="342"/>
      <c r="E369" s="342"/>
      <c r="F369" s="342"/>
      <c r="G369" s="179"/>
      <c r="H369" s="185" t="s">
        <v>46</v>
      </c>
      <c r="I369" s="269">
        <f ca="1">IFERROR(__xludf.DUMMYFUNCTION("IMPORTRANGE(""https://docs.google.com/spreadsheets/d/1QqKyyYR6Q21VydFLVH3TRQUabQu_ym0Zz7PgGX0-kHA/edit?usp=sharing"",""แผน!EI22"")"),1500)</f>
        <v>1500</v>
      </c>
      <c r="J369" s="269">
        <f ca="1">IFERROR(__xludf.DUMMYFUNCTION("IMPORTRANGE(""https://docs.google.com/spreadsheets/d/1XWAQStnk-4SwqDmLtmXYiTMKHgktTP8We1SCoS47DrQ/edit?usp=sharing"",""จัดที่ดิน!F22"")"),0)</f>
        <v>0</v>
      </c>
      <c r="K369" s="465">
        <f t="shared" ca="1" si="162"/>
        <v>0</v>
      </c>
      <c r="L369" s="163"/>
      <c r="M369" s="163"/>
      <c r="N369" s="163"/>
      <c r="O369" s="163"/>
      <c r="P369" s="163"/>
    </row>
    <row r="370" spans="1:26" ht="18.75">
      <c r="A370" s="170"/>
      <c r="B370" s="342"/>
      <c r="C370" s="171"/>
      <c r="D370" s="342"/>
      <c r="E370" s="343" t="s">
        <v>162</v>
      </c>
      <c r="F370" s="342"/>
      <c r="G370" s="179"/>
      <c r="H370" s="728" t="s">
        <v>35</v>
      </c>
      <c r="I370" s="269">
        <f ca="1">IFERROR(__xludf.DUMMYFUNCTION("IMPORTRANGE(""https://docs.google.com/spreadsheets/d/1QqKyyYR6Q21VydFLVH3TRQUabQu_ym0Zz7PgGX0-kHA/edit?usp=sharing"",""แผน!EJ22"")"),150)</f>
        <v>150</v>
      </c>
      <c r="J370" s="269">
        <f ca="1">IFERROR(__xludf.DUMMYFUNCTION("IMPORTRANGE(""https://docs.google.com/spreadsheets/d/1XWAQStnk-4SwqDmLtmXYiTMKHgktTP8We1SCoS47DrQ/edit?usp=sharing"",""จัดที่ดิน!G22"")"),0)</f>
        <v>0</v>
      </c>
      <c r="K370" s="465">
        <f t="shared" ca="1" si="162"/>
        <v>0</v>
      </c>
      <c r="L370" s="163"/>
      <c r="M370" s="163"/>
      <c r="N370" s="163"/>
      <c r="O370" s="163"/>
      <c r="P370" s="163"/>
    </row>
    <row r="371" spans="1:26" ht="18.75">
      <c r="A371" s="170"/>
      <c r="B371" s="342"/>
      <c r="C371" s="171"/>
      <c r="D371" s="342"/>
      <c r="E371" s="342"/>
      <c r="F371" s="342"/>
      <c r="G371" s="179"/>
      <c r="H371" s="728" t="s">
        <v>46</v>
      </c>
      <c r="I371" s="269">
        <v>0</v>
      </c>
      <c r="J371" s="269">
        <f ca="1">IFERROR(__xludf.DUMMYFUNCTION("IMPORTRANGE(""https://docs.google.com/spreadsheets/d/1XWAQStnk-4SwqDmLtmXYiTMKHgktTP8We1SCoS47DrQ/edit?usp=sharing"",""จัดที่ดิน!H22"")"),0)</f>
        <v>0</v>
      </c>
      <c r="K371" s="465">
        <f t="shared" si="162"/>
        <v>0</v>
      </c>
      <c r="L371" s="163"/>
      <c r="M371" s="163"/>
      <c r="N371" s="163"/>
      <c r="O371" s="163"/>
      <c r="P371" s="163"/>
    </row>
    <row r="372" spans="1:26" ht="18.75">
      <c r="A372" s="170"/>
      <c r="B372" s="342"/>
      <c r="C372" s="171"/>
      <c r="D372" s="342"/>
      <c r="E372" s="343" t="s">
        <v>163</v>
      </c>
      <c r="F372" s="342"/>
      <c r="G372" s="179"/>
      <c r="H372" s="728" t="s">
        <v>35</v>
      </c>
      <c r="I372" s="269">
        <f ca="1">IFERROR(__xludf.DUMMYFUNCTION("IMPORTRANGE(""https://docs.google.com/spreadsheets/d/1QqKyyYR6Q21VydFLVH3TRQUabQu_ym0Zz7PgGX0-kHA/edit?usp=sharing"",""แผน!EJ22"")"),150)</f>
        <v>150</v>
      </c>
      <c r="J372" s="269">
        <f ca="1">IFERROR(__xludf.DUMMYFUNCTION("IMPORTRANGE(""https://docs.google.com/spreadsheets/d/1XWAQStnk-4SwqDmLtmXYiTMKHgktTP8We1SCoS47DrQ/edit?usp=sharing"",""จัดที่ดิน!I22"")"),0)</f>
        <v>0</v>
      </c>
      <c r="K372" s="465">
        <f t="shared" ca="1" si="162"/>
        <v>0</v>
      </c>
      <c r="L372" s="163"/>
      <c r="M372" s="163"/>
      <c r="N372" s="163"/>
      <c r="O372" s="163"/>
      <c r="P372" s="163"/>
    </row>
    <row r="373" spans="1:26" ht="18.75">
      <c r="A373" s="438" t="s">
        <v>164</v>
      </c>
      <c r="B373" s="342"/>
      <c r="C373" s="171"/>
      <c r="D373" s="342"/>
      <c r="E373" s="415"/>
      <c r="F373" s="342"/>
      <c r="G373" s="179"/>
      <c r="H373" s="728" t="s">
        <v>46</v>
      </c>
      <c r="I373" s="269">
        <v>0</v>
      </c>
      <c r="J373" s="269">
        <f ca="1">IFERROR(__xludf.DUMMYFUNCTION("IMPORTRANGE(""https://docs.google.com/spreadsheets/d/1XWAQStnk-4SwqDmLtmXYiTMKHgktTP8We1SCoS47DrQ/edit?usp=sharing"",""จัดที่ดิน!J22"")"),0)</f>
        <v>0</v>
      </c>
      <c r="K373" s="465">
        <f t="shared" si="162"/>
        <v>0</v>
      </c>
      <c r="L373" s="163"/>
      <c r="M373" s="163"/>
      <c r="N373" s="163"/>
      <c r="O373" s="163"/>
      <c r="P373" s="163"/>
    </row>
    <row r="374" spans="1:26" ht="19.5">
      <c r="A374" s="450"/>
      <c r="B374" s="451"/>
      <c r="C374" s="453"/>
      <c r="D374" s="453" t="s">
        <v>168</v>
      </c>
      <c r="E374" s="454"/>
      <c r="F374" s="454"/>
      <c r="G374" s="455"/>
      <c r="H374" s="456" t="s">
        <v>35</v>
      </c>
      <c r="I374" s="464">
        <f ca="1">IFERROR(__xludf.DUMMYFUNCTION("IMPORTRANGE(""https://docs.google.com/spreadsheets/d/1QqKyyYR6Q21VydFLVH3TRQUabQu_ym0Zz7PgGX0-kHA/edit?usp=sharing"",""แผน!EU22"")"),380)</f>
        <v>380</v>
      </c>
      <c r="J374" s="458">
        <f ca="1">J381</f>
        <v>0</v>
      </c>
      <c r="K374" s="459">
        <f t="shared" ca="1" si="162"/>
        <v>0</v>
      </c>
      <c r="L374" s="460"/>
      <c r="M374" s="460"/>
      <c r="N374" s="460"/>
      <c r="O374" s="460"/>
      <c r="P374" s="460"/>
      <c r="Q374" s="449"/>
      <c r="R374" s="449"/>
      <c r="S374" s="449"/>
      <c r="T374" s="449"/>
      <c r="U374" s="449"/>
      <c r="V374" s="449"/>
      <c r="W374" s="449"/>
      <c r="X374" s="449"/>
      <c r="Y374" s="449"/>
      <c r="Z374" s="449"/>
    </row>
    <row r="375" spans="1:26" ht="19.5">
      <c r="A375" s="450"/>
      <c r="B375" s="451"/>
      <c r="C375" s="453"/>
      <c r="D375" s="461" t="s">
        <v>169</v>
      </c>
      <c r="E375" s="454"/>
      <c r="F375" s="454"/>
      <c r="G375" s="455"/>
      <c r="H375" s="462"/>
      <c r="I375" s="463"/>
      <c r="J375" s="463"/>
      <c r="K375" s="460"/>
      <c r="L375" s="460"/>
      <c r="M375" s="460"/>
      <c r="N375" s="460"/>
      <c r="O375" s="460"/>
      <c r="P375" s="460"/>
      <c r="Q375" s="449"/>
      <c r="R375" s="449"/>
      <c r="S375" s="449"/>
      <c r="T375" s="449"/>
      <c r="U375" s="449"/>
      <c r="V375" s="449"/>
      <c r="W375" s="449"/>
      <c r="X375" s="449"/>
      <c r="Y375" s="449"/>
      <c r="Z375" s="449"/>
    </row>
    <row r="376" spans="1:26" ht="19.5">
      <c r="A376" s="170"/>
      <c r="B376" s="171"/>
      <c r="C376" s="164" t="s">
        <v>16</v>
      </c>
      <c r="D376" s="818" t="s">
        <v>38</v>
      </c>
      <c r="E376" s="173"/>
      <c r="F376" s="173"/>
      <c r="G376" s="174"/>
      <c r="H376" s="726"/>
      <c r="I376" s="269"/>
      <c r="J376" s="269"/>
      <c r="K376" s="465"/>
      <c r="L376" s="163"/>
      <c r="M376" s="163"/>
      <c r="N376" s="163"/>
      <c r="O376" s="163"/>
      <c r="P376" s="163"/>
    </row>
    <row r="377" spans="1:26" ht="18.75">
      <c r="A377" s="170"/>
      <c r="B377" s="342"/>
      <c r="C377" s="171"/>
      <c r="D377" s="342"/>
      <c r="E377" s="343" t="s">
        <v>161</v>
      </c>
      <c r="F377" s="342"/>
      <c r="G377" s="179"/>
      <c r="H377" s="185" t="s">
        <v>35</v>
      </c>
      <c r="I377" s="269">
        <v>0</v>
      </c>
      <c r="J377" s="269">
        <f ca="1">IFERROR(__xludf.DUMMYFUNCTION("IMPORTRANGE(""https://docs.google.com/spreadsheets/d/1XWAQStnk-4SwqDmLtmXYiTMKHgktTP8We1SCoS47DrQ/edit?usp=sharing"",""จัดที่ดิน!AH22"")"),0)</f>
        <v>0</v>
      </c>
      <c r="K377" s="465">
        <f t="shared" ref="K377:K382" si="163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342"/>
      <c r="C378" s="171"/>
      <c r="D378" s="342"/>
      <c r="E378" s="342"/>
      <c r="F378" s="342"/>
      <c r="G378" s="179"/>
      <c r="H378" s="185" t="s">
        <v>46</v>
      </c>
      <c r="I378" s="269">
        <f ca="1">IFERROR(__xludf.DUMMYFUNCTION("IMPORTRANGE(""https://docs.google.com/spreadsheets/d/1QqKyyYR6Q21VydFLVH3TRQUabQu_ym0Zz7PgGX0-kHA/edit?usp=sharing"",""แผน!ET22"")"),350)</f>
        <v>350</v>
      </c>
      <c r="J378" s="269">
        <f ca="1">IFERROR(__xludf.DUMMYFUNCTION("IMPORTRANGE(""https://docs.google.com/spreadsheets/d/1XWAQStnk-4SwqDmLtmXYiTMKHgktTP8We1SCoS47DrQ/edit?usp=sharing"",""จัดที่ดิน!AI22"")"),0)</f>
        <v>0</v>
      </c>
      <c r="K378" s="465">
        <f t="shared" ca="1" si="163"/>
        <v>0</v>
      </c>
      <c r="L378" s="163"/>
      <c r="M378" s="163"/>
      <c r="N378" s="163"/>
      <c r="O378" s="163"/>
      <c r="P378" s="163"/>
    </row>
    <row r="379" spans="1:26" ht="18.75">
      <c r="A379" s="170"/>
      <c r="B379" s="342"/>
      <c r="C379" s="171"/>
      <c r="D379" s="342"/>
      <c r="E379" s="343" t="s">
        <v>162</v>
      </c>
      <c r="F379" s="342"/>
      <c r="G379" s="179"/>
      <c r="H379" s="728" t="s">
        <v>35</v>
      </c>
      <c r="I379" s="269">
        <f ca="1">IFERROR(__xludf.DUMMYFUNCTION("IMPORTRANGE(""https://docs.google.com/spreadsheets/d/1QqKyyYR6Q21VydFLVH3TRQUabQu_ym0Zz7PgGX0-kHA/edit?usp=sharing"",""แผน!EU22"")"),380)</f>
        <v>380</v>
      </c>
      <c r="J379" s="269">
        <f ca="1">IFERROR(__xludf.DUMMYFUNCTION("IMPORTRANGE(""https://docs.google.com/spreadsheets/d/1XWAQStnk-4SwqDmLtmXYiTMKHgktTP8We1SCoS47DrQ/edit?usp=sharing"",""จัดที่ดิน!AJ22"")"),0)</f>
        <v>0</v>
      </c>
      <c r="K379" s="465">
        <f t="shared" ca="1" si="163"/>
        <v>0</v>
      </c>
      <c r="L379" s="163"/>
      <c r="M379" s="163"/>
      <c r="N379" s="163"/>
      <c r="O379" s="163"/>
      <c r="P379" s="163"/>
    </row>
    <row r="380" spans="1:26" ht="18.75">
      <c r="A380" s="170"/>
      <c r="B380" s="342"/>
      <c r="C380" s="171"/>
      <c r="D380" s="342"/>
      <c r="E380" s="342"/>
      <c r="F380" s="342"/>
      <c r="G380" s="179"/>
      <c r="H380" s="728" t="s">
        <v>46</v>
      </c>
      <c r="I380" s="269">
        <v>0</v>
      </c>
      <c r="J380" s="269">
        <f ca="1">IFERROR(__xludf.DUMMYFUNCTION("IMPORTRANGE(""https://docs.google.com/spreadsheets/d/1XWAQStnk-4SwqDmLtmXYiTMKHgktTP8We1SCoS47DrQ/edit?usp=sharing"",""จัดที่ดิน!AK22"")"),0)</f>
        <v>0</v>
      </c>
      <c r="K380" s="465">
        <f t="shared" si="163"/>
        <v>0</v>
      </c>
      <c r="L380" s="163"/>
      <c r="M380" s="163"/>
      <c r="N380" s="163"/>
      <c r="O380" s="163"/>
      <c r="P380" s="163"/>
    </row>
    <row r="381" spans="1:26" ht="18.75">
      <c r="A381" s="170"/>
      <c r="B381" s="342"/>
      <c r="C381" s="171"/>
      <c r="D381" s="342"/>
      <c r="E381" s="343" t="s">
        <v>163</v>
      </c>
      <c r="F381" s="342"/>
      <c r="G381" s="179"/>
      <c r="H381" s="728" t="s">
        <v>35</v>
      </c>
      <c r="I381" s="269">
        <f ca="1">IFERROR(__xludf.DUMMYFUNCTION("IMPORTRANGE(""https://docs.google.com/spreadsheets/d/1QqKyyYR6Q21VydFLVH3TRQUabQu_ym0Zz7PgGX0-kHA/edit?usp=sharing"",""แผน!EU22"")"),380)</f>
        <v>380</v>
      </c>
      <c r="J381" s="269">
        <f ca="1">IFERROR(__xludf.DUMMYFUNCTION("IMPORTRANGE(""https://docs.google.com/spreadsheets/d/1XWAQStnk-4SwqDmLtmXYiTMKHgktTP8We1SCoS47DrQ/edit?usp=sharing"",""จัดที่ดิน!AL22"")"),0)</f>
        <v>0</v>
      </c>
      <c r="K381" s="465">
        <f t="shared" ca="1" si="163"/>
        <v>0</v>
      </c>
      <c r="L381" s="163"/>
      <c r="M381" s="163"/>
      <c r="N381" s="163"/>
      <c r="O381" s="163"/>
      <c r="P381" s="163"/>
    </row>
    <row r="382" spans="1:26" ht="18.75">
      <c r="A382" s="438" t="s">
        <v>164</v>
      </c>
      <c r="B382" s="342"/>
      <c r="C382" s="171"/>
      <c r="D382" s="342"/>
      <c r="E382" s="415"/>
      <c r="F382" s="342"/>
      <c r="G382" s="179"/>
      <c r="H382" s="728" t="s">
        <v>46</v>
      </c>
      <c r="I382" s="269">
        <v>0</v>
      </c>
      <c r="J382" s="269">
        <f ca="1">IFERROR(__xludf.DUMMYFUNCTION("IMPORTRANGE(""https://docs.google.com/spreadsheets/d/1XWAQStnk-4SwqDmLtmXYiTMKHgktTP8We1SCoS47DrQ/edit?usp=sharing"",""จัดที่ดิน!AM22"")"),0)</f>
        <v>0</v>
      </c>
      <c r="K382" s="465">
        <f t="shared" si="163"/>
        <v>0</v>
      </c>
      <c r="L382" s="163"/>
      <c r="M382" s="163"/>
      <c r="N382" s="163"/>
      <c r="O382" s="163"/>
      <c r="P382" s="163"/>
    </row>
    <row r="383" spans="1:26" ht="19.5">
      <c r="A383" s="255"/>
      <c r="B383" s="263"/>
      <c r="C383" s="256"/>
      <c r="D383" s="845" t="s">
        <v>170</v>
      </c>
      <c r="E383" s="256"/>
      <c r="F383" s="256"/>
      <c r="G383" s="258"/>
      <c r="H383" s="423"/>
      <c r="I383" s="260"/>
      <c r="J383" s="260"/>
      <c r="K383" s="261"/>
      <c r="L383" s="261"/>
      <c r="M383" s="261"/>
      <c r="N383" s="261"/>
      <c r="O383" s="261"/>
      <c r="P383" s="261"/>
    </row>
    <row r="384" spans="1:26" ht="19.5">
      <c r="A384" s="170"/>
      <c r="B384" s="171"/>
      <c r="C384" s="33" t="s">
        <v>16</v>
      </c>
      <c r="D384" s="818" t="s">
        <v>38</v>
      </c>
      <c r="E384" s="173"/>
      <c r="F384" s="173"/>
      <c r="G384" s="174"/>
      <c r="H384" s="726"/>
      <c r="I384" s="269"/>
      <c r="J384" s="269"/>
      <c r="K384" s="465"/>
      <c r="L384" s="163"/>
      <c r="M384" s="163"/>
      <c r="N384" s="163"/>
      <c r="O384" s="163"/>
      <c r="P384" s="163"/>
    </row>
    <row r="385" spans="1:26" ht="18.75">
      <c r="A385" s="346"/>
      <c r="B385" s="349"/>
      <c r="C385" s="347"/>
      <c r="D385" s="349"/>
      <c r="E385" s="466" t="s">
        <v>163</v>
      </c>
      <c r="F385" s="349"/>
      <c r="G385" s="350"/>
      <c r="H385" s="467" t="s">
        <v>35</v>
      </c>
      <c r="I385" s="468">
        <f ca="1">IFERROR(__xludf.DUMMYFUNCTION("IMPORTRANGE(""https://docs.google.com/spreadsheets/d/1QqKyyYR6Q21VydFLVH3TRQUabQu_ym0Zz7PgGX0-kHA/edit?usp=sharing"",""แผน!EW22"")"),20)</f>
        <v>20</v>
      </c>
      <c r="J385" s="468">
        <f ca="1">IFERROR(__xludf.DUMMYFUNCTION("IMPORTRANGE(""https://docs.google.com/spreadsheets/d/1XWAQStnk-4SwqDmLtmXYiTMKHgktTP8We1SCoS47DrQ/edit?usp=sharing"",""จัดที่ดิน!AP22"")"),0)</f>
        <v>0</v>
      </c>
      <c r="K385" s="469">
        <f ca="1">IF(I385&gt;0,J385*100/I385,0)</f>
        <v>0</v>
      </c>
      <c r="L385" s="353"/>
      <c r="M385" s="353"/>
      <c r="N385" s="353"/>
      <c r="O385" s="353"/>
      <c r="P385" s="353"/>
    </row>
    <row r="386" spans="1:26" ht="19.5" hidden="1">
      <c r="A386" s="470" t="s">
        <v>171</v>
      </c>
      <c r="B386" s="471"/>
      <c r="C386" s="471"/>
      <c r="D386" s="471"/>
      <c r="E386" s="472"/>
      <c r="F386" s="472"/>
      <c r="G386" s="473"/>
      <c r="H386" s="474"/>
      <c r="I386" s="475"/>
      <c r="J386" s="475"/>
      <c r="K386" s="476"/>
      <c r="L386" s="476"/>
      <c r="M386" s="476"/>
      <c r="N386" s="476"/>
      <c r="O386" s="476"/>
      <c r="P386" s="476"/>
    </row>
    <row r="387" spans="1:26" ht="19.5" hidden="1">
      <c r="A387" s="477" t="s">
        <v>172</v>
      </c>
      <c r="B387" s="478"/>
      <c r="C387" s="478"/>
      <c r="D387" s="479"/>
      <c r="E387" s="478"/>
      <c r="F387" s="478"/>
      <c r="G387" s="478"/>
      <c r="H387" s="480"/>
      <c r="I387" s="481"/>
      <c r="J387" s="481"/>
      <c r="K387" s="482"/>
      <c r="L387" s="482"/>
      <c r="M387" s="482"/>
      <c r="N387" s="482"/>
      <c r="O387" s="482"/>
      <c r="P387" s="482"/>
    </row>
    <row r="388" spans="1:26" ht="19.5" hidden="1">
      <c r="A388" s="483"/>
      <c r="B388" s="484" t="s">
        <v>173</v>
      </c>
      <c r="C388" s="485"/>
      <c r="D388" s="486"/>
      <c r="E388" s="486"/>
      <c r="F388" s="486"/>
      <c r="G388" s="487"/>
      <c r="H388" s="488" t="s">
        <v>69</v>
      </c>
      <c r="I388" s="489">
        <f t="shared" ref="I388:J388" si="164">I400</f>
        <v>0</v>
      </c>
      <c r="J388" s="489">
        <f t="shared" si="164"/>
        <v>0</v>
      </c>
      <c r="K388" s="490">
        <f>IF(I388&gt;0,J388*100/I388,0)</f>
        <v>0</v>
      </c>
      <c r="L388" s="491"/>
      <c r="M388" s="491"/>
      <c r="N388" s="491"/>
      <c r="O388" s="491"/>
      <c r="P388" s="491"/>
    </row>
    <row r="389" spans="1:26" ht="19.5" hidden="1">
      <c r="A389" s="147"/>
      <c r="B389" s="148"/>
      <c r="C389" s="149" t="s">
        <v>16</v>
      </c>
      <c r="D389" s="817" t="s">
        <v>17</v>
      </c>
      <c r="E389" s="148"/>
      <c r="F389" s="148"/>
      <c r="G389" s="151"/>
      <c r="H389" s="152" t="s">
        <v>12</v>
      </c>
      <c r="I389" s="388"/>
      <c r="J389" s="388"/>
      <c r="K389" s="154"/>
      <c r="L389" s="155">
        <f t="shared" ref="L389:N389" ca="1" si="165">L390+L391</f>
        <v>0</v>
      </c>
      <c r="M389" s="155">
        <f t="shared" ca="1" si="165"/>
        <v>0</v>
      </c>
      <c r="N389" s="155">
        <f t="shared" ca="1" si="165"/>
        <v>0</v>
      </c>
      <c r="O389" s="155">
        <f t="shared" ref="O389:O397" ca="1" si="166">IF(L389&gt;0,N389*100/L389,0)</f>
        <v>0</v>
      </c>
      <c r="P389" s="155">
        <f t="shared" ref="P389:P397" ca="1" si="167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2" t="s">
        <v>18</v>
      </c>
      <c r="F390" s="40"/>
      <c r="G390" s="157"/>
      <c r="H390" s="158" t="s">
        <v>12</v>
      </c>
      <c r="I390" s="583"/>
      <c r="J390" s="583"/>
      <c r="K390" s="93"/>
      <c r="L390" s="93">
        <f t="shared" ref="L390:N391" si="168">L393+L396</f>
        <v>0</v>
      </c>
      <c r="M390" s="93">
        <f t="shared" si="168"/>
        <v>0</v>
      </c>
      <c r="N390" s="93">
        <f t="shared" si="168"/>
        <v>0</v>
      </c>
      <c r="O390" s="93">
        <f t="shared" si="166"/>
        <v>0</v>
      </c>
      <c r="P390" s="93">
        <f t="shared" si="167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2" t="s">
        <v>19</v>
      </c>
      <c r="F391" s="40"/>
      <c r="G391" s="157"/>
      <c r="H391" s="158" t="s">
        <v>12</v>
      </c>
      <c r="I391" s="583"/>
      <c r="J391" s="583"/>
      <c r="K391" s="93"/>
      <c r="L391" s="93">
        <f t="shared" ca="1" si="168"/>
        <v>0</v>
      </c>
      <c r="M391" s="93">
        <f t="shared" ca="1" si="168"/>
        <v>0</v>
      </c>
      <c r="N391" s="93">
        <f t="shared" ca="1" si="168"/>
        <v>0</v>
      </c>
      <c r="O391" s="93">
        <f t="shared" ca="1" si="166"/>
        <v>0</v>
      </c>
      <c r="P391" s="93">
        <f t="shared" ca="1" si="167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1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65">
        <f t="shared" ref="L392:N392" ca="1" si="169">L393+L394</f>
        <v>0</v>
      </c>
      <c r="M392" s="465">
        <f t="shared" ca="1" si="169"/>
        <v>0</v>
      </c>
      <c r="N392" s="465">
        <f t="shared" ca="1" si="169"/>
        <v>0</v>
      </c>
      <c r="O392" s="465">
        <f t="shared" ca="1" si="166"/>
        <v>0</v>
      </c>
      <c r="P392" s="465">
        <f t="shared" ca="1" si="167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2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6"/>
        <v>0</v>
      </c>
      <c r="P393" s="93">
        <f t="shared" si="167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2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IFERROR(__xludf.DUMMYFUNCTION("IMPORTRANGE(""https://docs.google.com/spreadsheets/d/1MeEWN-I1oV_STSDYn1IFDPWt_1FKiwhDph83XaGc0o0/edit?usp=sharing"",""งบพรบ!FG22"")"),0)</f>
        <v>0</v>
      </c>
      <c r="M394" s="93">
        <f ca="1">IFERROR(__xludf.DUMMYFUNCTION("IMPORTRANGE(""https://docs.google.com/spreadsheets/d/1MeEWN-I1oV_STSDYn1IFDPWt_1FKiwhDph83XaGc0o0/edit?usp=sharing"",""งบพรบ!FL22"")"),0)</f>
        <v>0</v>
      </c>
      <c r="N394" s="93">
        <f ca="1">IFERROR(__xludf.DUMMYFUNCTION("IMPORTRANGE(""https://docs.google.com/spreadsheets/d/1MeEWN-I1oV_STSDYn1IFDPWt_1FKiwhDph83XaGc0o0/edit?usp=sharing"",""งบพรบ!FN22"")"),0)</f>
        <v>0</v>
      </c>
      <c r="O394" s="93">
        <f t="shared" ca="1" si="166"/>
        <v>0</v>
      </c>
      <c r="P394" s="93">
        <f t="shared" ca="1" si="167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1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65">
        <f t="shared" ref="L395:N395" ca="1" si="170">L396+L397</f>
        <v>0</v>
      </c>
      <c r="M395" s="465">
        <f t="shared" ca="1" si="170"/>
        <v>0</v>
      </c>
      <c r="N395" s="465">
        <f t="shared" ca="1" si="170"/>
        <v>0</v>
      </c>
      <c r="O395" s="465">
        <f t="shared" ca="1" si="166"/>
        <v>0</v>
      </c>
      <c r="P395" s="465">
        <f t="shared" ca="1" si="167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2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6"/>
        <v>0</v>
      </c>
      <c r="P396" s="93">
        <f t="shared" si="167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2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IFERROR(__xludf.DUMMYFUNCTION("IMPORTRANGE(""https://docs.google.com/spreadsheets/d/1MeEWN-I1oV_STSDYn1IFDPWt_1FKiwhDph83XaGc0o0/edit?usp=sharing"",""งบพรบ!FJ22"")"),0)</f>
        <v>0</v>
      </c>
      <c r="M397" s="93">
        <f ca="1">IFERROR(__xludf.DUMMYFUNCTION("IMPORTRANGE(""https://docs.google.com/spreadsheets/d/1MeEWN-I1oV_STSDYn1IFDPWt_1FKiwhDph83XaGc0o0/edit?usp=sharing"",""งบพรบ!FM22"")"),0)</f>
        <v>0</v>
      </c>
      <c r="N397" s="93">
        <f ca="1">IFERROR(__xludf.DUMMYFUNCTION("IMPORTRANGE(""https://docs.google.com/spreadsheets/d/1MeEWN-I1oV_STSDYn1IFDPWt_1FKiwhDph83XaGc0o0/edit?usp=sharing"",""งบพรบ!FO22"")"),0)</f>
        <v>0</v>
      </c>
      <c r="O397" s="93">
        <f t="shared" ca="1" si="166"/>
        <v>0</v>
      </c>
      <c r="P397" s="93">
        <f t="shared" ca="1" si="167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18" t="s">
        <v>38</v>
      </c>
      <c r="E398" s="173"/>
      <c r="F398" s="173"/>
      <c r="G398" s="174"/>
      <c r="H398" s="726"/>
      <c r="I398" s="184"/>
      <c r="J398" s="269"/>
      <c r="K398" s="465"/>
      <c r="L398" s="465"/>
      <c r="M398" s="465"/>
      <c r="N398" s="465"/>
      <c r="O398" s="163"/>
      <c r="P398" s="163"/>
    </row>
    <row r="399" spans="1:26" ht="18.75" hidden="1">
      <c r="A399" s="492"/>
      <c r="B399" s="148"/>
      <c r="C399" s="493"/>
      <c r="D399" s="494" t="s">
        <v>174</v>
      </c>
      <c r="E399" s="383"/>
      <c r="F399" s="148"/>
      <c r="G399" s="151"/>
      <c r="H399" s="495" t="s">
        <v>9</v>
      </c>
      <c r="I399" s="269">
        <v>0</v>
      </c>
      <c r="J399" s="214">
        <v>0</v>
      </c>
      <c r="K399" s="465">
        <f t="shared" ref="K399:K401" si="171">IF(I399&gt;0,J399*100/I399,0)</f>
        <v>0</v>
      </c>
      <c r="L399" s="496"/>
      <c r="M399" s="496"/>
      <c r="N399" s="496"/>
      <c r="O399" s="496"/>
      <c r="P399" s="496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3"/>
      <c r="B400" s="33"/>
      <c r="C400" s="280"/>
      <c r="D400" s="415" t="s">
        <v>175</v>
      </c>
      <c r="E400" s="171"/>
      <c r="F400" s="33"/>
      <c r="G400" s="35"/>
      <c r="H400" s="276" t="s">
        <v>69</v>
      </c>
      <c r="I400" s="269">
        <v>0</v>
      </c>
      <c r="J400" s="214">
        <v>0</v>
      </c>
      <c r="K400" s="465">
        <f t="shared" si="171"/>
        <v>0</v>
      </c>
      <c r="L400" s="465"/>
      <c r="M400" s="465"/>
      <c r="N400" s="465"/>
      <c r="O400" s="465"/>
      <c r="P400" s="465"/>
    </row>
    <row r="401" spans="1:26" ht="19.5" hidden="1">
      <c r="A401" s="483"/>
      <c r="B401" s="484" t="s">
        <v>176</v>
      </c>
      <c r="C401" s="485"/>
      <c r="D401" s="486"/>
      <c r="E401" s="486"/>
      <c r="F401" s="486"/>
      <c r="G401" s="487"/>
      <c r="H401" s="488" t="s">
        <v>69</v>
      </c>
      <c r="I401" s="489">
        <f t="shared" ref="I401:J401" si="172">I412</f>
        <v>0</v>
      </c>
      <c r="J401" s="489">
        <f t="shared" si="172"/>
        <v>0</v>
      </c>
      <c r="K401" s="490">
        <f t="shared" si="171"/>
        <v>0</v>
      </c>
      <c r="L401" s="491"/>
      <c r="M401" s="491"/>
      <c r="N401" s="491"/>
      <c r="O401" s="491"/>
      <c r="P401" s="491"/>
    </row>
    <row r="402" spans="1:26" ht="19.5" hidden="1">
      <c r="A402" s="147"/>
      <c r="B402" s="148"/>
      <c r="C402" s="149" t="s">
        <v>16</v>
      </c>
      <c r="D402" s="817" t="s">
        <v>17</v>
      </c>
      <c r="E402" s="148"/>
      <c r="F402" s="148"/>
      <c r="G402" s="151"/>
      <c r="H402" s="152" t="s">
        <v>12</v>
      </c>
      <c r="I402" s="388"/>
      <c r="J402" s="388"/>
      <c r="K402" s="154"/>
      <c r="L402" s="155">
        <f t="shared" ref="L402:N402" ca="1" si="173">L403+L404</f>
        <v>0</v>
      </c>
      <c r="M402" s="155">
        <f t="shared" ca="1" si="173"/>
        <v>0</v>
      </c>
      <c r="N402" s="155">
        <f t="shared" ca="1" si="173"/>
        <v>0</v>
      </c>
      <c r="O402" s="155">
        <f t="shared" ref="O402:O410" ca="1" si="174">IF(L402&gt;0,N402*100/L402,0)</f>
        <v>0</v>
      </c>
      <c r="P402" s="155">
        <f t="shared" ref="P402:P410" ca="1" si="175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2" t="s">
        <v>18</v>
      </c>
      <c r="F403" s="40"/>
      <c r="G403" s="157"/>
      <c r="H403" s="158" t="s">
        <v>12</v>
      </c>
      <c r="I403" s="583"/>
      <c r="J403" s="583"/>
      <c r="K403" s="93"/>
      <c r="L403" s="93">
        <f t="shared" ref="L403:N404" si="176">L406+L409</f>
        <v>0</v>
      </c>
      <c r="M403" s="93">
        <f t="shared" si="176"/>
        <v>0</v>
      </c>
      <c r="N403" s="93">
        <f t="shared" si="176"/>
        <v>0</v>
      </c>
      <c r="O403" s="93">
        <f t="shared" si="174"/>
        <v>0</v>
      </c>
      <c r="P403" s="93">
        <f t="shared" si="175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2" t="s">
        <v>19</v>
      </c>
      <c r="F404" s="40"/>
      <c r="G404" s="157"/>
      <c r="H404" s="158" t="s">
        <v>12</v>
      </c>
      <c r="I404" s="583"/>
      <c r="J404" s="583"/>
      <c r="K404" s="93"/>
      <c r="L404" s="93">
        <f t="shared" ca="1" si="176"/>
        <v>0</v>
      </c>
      <c r="M404" s="93">
        <f t="shared" ca="1" si="176"/>
        <v>0</v>
      </c>
      <c r="N404" s="93">
        <f t="shared" ca="1" si="176"/>
        <v>0</v>
      </c>
      <c r="O404" s="93">
        <f t="shared" ca="1" si="174"/>
        <v>0</v>
      </c>
      <c r="P404" s="93">
        <f t="shared" ca="1" si="175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1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65">
        <f t="shared" ref="L405:N405" ca="1" si="177">L406+L407</f>
        <v>0</v>
      </c>
      <c r="M405" s="465">
        <f t="shared" ca="1" si="177"/>
        <v>0</v>
      </c>
      <c r="N405" s="465">
        <f t="shared" ca="1" si="177"/>
        <v>0</v>
      </c>
      <c r="O405" s="465">
        <f t="shared" ca="1" si="174"/>
        <v>0</v>
      </c>
      <c r="P405" s="465">
        <f t="shared" ca="1" si="175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2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4"/>
        <v>0</v>
      </c>
      <c r="P406" s="93">
        <f t="shared" si="175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2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IFERROR(__xludf.DUMMYFUNCTION("IMPORTRANGE(""https://docs.google.com/spreadsheets/d/1MeEWN-I1oV_STSDYn1IFDPWt_1FKiwhDph83XaGc0o0/edit?usp=sharing"",""งบพรบ!FQ22"")"),0)</f>
        <v>0</v>
      </c>
      <c r="M407" s="93">
        <f ca="1">IFERROR(__xludf.DUMMYFUNCTION("IMPORTRANGE(""https://docs.google.com/spreadsheets/d/1MeEWN-I1oV_STSDYn1IFDPWt_1FKiwhDph83XaGc0o0/edit?usp=sharing"",""งบพรบ!FV22"")"),0)</f>
        <v>0</v>
      </c>
      <c r="N407" s="93">
        <f ca="1">IFERROR(__xludf.DUMMYFUNCTION("IMPORTRANGE(""https://docs.google.com/spreadsheets/d/1MeEWN-I1oV_STSDYn1IFDPWt_1FKiwhDph83XaGc0o0/edit?usp=sharing"",""งบพรบ!FX22"")"),0)</f>
        <v>0</v>
      </c>
      <c r="O407" s="93">
        <f t="shared" ca="1" si="174"/>
        <v>0</v>
      </c>
      <c r="P407" s="93">
        <f t="shared" ca="1" si="175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1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65">
        <f t="shared" ref="L408:N408" ca="1" si="178">L409+L410</f>
        <v>0</v>
      </c>
      <c r="M408" s="465">
        <f t="shared" ca="1" si="178"/>
        <v>0</v>
      </c>
      <c r="N408" s="465">
        <f t="shared" ca="1" si="178"/>
        <v>0</v>
      </c>
      <c r="O408" s="465">
        <f t="shared" ca="1" si="174"/>
        <v>0</v>
      </c>
      <c r="P408" s="465">
        <f t="shared" ca="1" si="175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2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4"/>
        <v>0</v>
      </c>
      <c r="P409" s="93">
        <f t="shared" si="175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2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IFERROR(__xludf.DUMMYFUNCTION("IMPORTRANGE(""https://docs.google.com/spreadsheets/d/1MeEWN-I1oV_STSDYn1IFDPWt_1FKiwhDph83XaGc0o0/edit?usp=sharing"",""งบพรบ!FT22"")"),0)</f>
        <v>0</v>
      </c>
      <c r="M410" s="93">
        <f ca="1">IFERROR(__xludf.DUMMYFUNCTION("IMPORTRANGE(""https://docs.google.com/spreadsheets/d/1MeEWN-I1oV_STSDYn1IFDPWt_1FKiwhDph83XaGc0o0/edit?usp=sharing"",""งบพรบ!FW22"")"),0)</f>
        <v>0</v>
      </c>
      <c r="N410" s="93">
        <f ca="1">IFERROR(__xludf.DUMMYFUNCTION("IMPORTRANGE(""https://docs.google.com/spreadsheets/d/1MeEWN-I1oV_STSDYn1IFDPWt_1FKiwhDph83XaGc0o0/edit?usp=sharing"",""งบพรบ!FY22"")"),0)</f>
        <v>0</v>
      </c>
      <c r="O410" s="93">
        <f t="shared" ca="1" si="174"/>
        <v>0</v>
      </c>
      <c r="P410" s="93">
        <f t="shared" ca="1" si="175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47" t="s">
        <v>38</v>
      </c>
      <c r="E411" s="498"/>
      <c r="F411" s="498"/>
      <c r="G411" s="499"/>
      <c r="H411" s="726"/>
      <c r="I411" s="269"/>
      <c r="J411" s="269"/>
      <c r="K411" s="465"/>
      <c r="L411" s="163"/>
      <c r="M411" s="163"/>
      <c r="N411" s="163"/>
      <c r="O411" s="163"/>
      <c r="P411" s="163"/>
    </row>
    <row r="412" spans="1:26" ht="18.75" hidden="1">
      <c r="A412" s="170"/>
      <c r="B412" s="342"/>
      <c r="C412" s="342"/>
      <c r="D412" s="415" t="s">
        <v>177</v>
      </c>
      <c r="E412" s="342"/>
      <c r="F412" s="342"/>
      <c r="G412" s="179"/>
      <c r="H412" s="500" t="s">
        <v>69</v>
      </c>
      <c r="I412" s="269">
        <v>0</v>
      </c>
      <c r="J412" s="214">
        <v>0</v>
      </c>
      <c r="K412" s="465">
        <f t="shared" ref="K412:K413" si="179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01"/>
      <c r="B413" s="502"/>
      <c r="C413" s="502"/>
      <c r="D413" s="503" t="s">
        <v>178</v>
      </c>
      <c r="E413" s="502"/>
      <c r="F413" s="502"/>
      <c r="G413" s="504"/>
      <c r="H413" s="505" t="s">
        <v>179</v>
      </c>
      <c r="I413" s="506">
        <v>0</v>
      </c>
      <c r="J413" s="507">
        <v>0</v>
      </c>
      <c r="K413" s="508">
        <f t="shared" si="179"/>
        <v>0</v>
      </c>
      <c r="L413" s="509"/>
      <c r="M413" s="509"/>
      <c r="N413" s="509"/>
      <c r="O413" s="509"/>
      <c r="P413" s="509"/>
    </row>
    <row r="414" spans="1:26" ht="19.5">
      <c r="A414" s="510" t="s">
        <v>180</v>
      </c>
      <c r="B414" s="511"/>
      <c r="C414" s="511"/>
      <c r="D414" s="511"/>
      <c r="E414" s="511"/>
      <c r="F414" s="511"/>
      <c r="G414" s="512"/>
      <c r="H414" s="513"/>
      <c r="I414" s="514"/>
      <c r="J414" s="514"/>
      <c r="K414" s="515"/>
      <c r="L414" s="516">
        <f t="shared" ref="L414:N414" ca="1" si="180">L419+L444+L467+L502+L523+L544+L629+L655+L685+L737+L754+L770+L786+L805</f>
        <v>2173392</v>
      </c>
      <c r="M414" s="516">
        <f t="shared" si="180"/>
        <v>0</v>
      </c>
      <c r="N414" s="516">
        <f t="shared" si="180"/>
        <v>69616.67</v>
      </c>
      <c r="O414" s="516">
        <f ca="1">IF(L414&gt;0,N414*100/L414,0)</f>
        <v>3.2031345472882942</v>
      </c>
      <c r="P414" s="516">
        <f>IF(M414&gt;0,N414*100/M414,0)</f>
        <v>0</v>
      </c>
    </row>
    <row r="415" spans="1:26" ht="19.5">
      <c r="A415" s="517" t="s">
        <v>181</v>
      </c>
      <c r="B415" s="518"/>
      <c r="C415" s="518"/>
      <c r="D415" s="518"/>
      <c r="E415" s="518"/>
      <c r="F415" s="518"/>
      <c r="G415" s="518"/>
      <c r="H415" s="519"/>
      <c r="I415" s="520"/>
      <c r="J415" s="520"/>
      <c r="K415" s="521"/>
      <c r="L415" s="522"/>
      <c r="M415" s="522"/>
      <c r="N415" s="522"/>
      <c r="O415" s="522"/>
      <c r="P415" s="522"/>
    </row>
    <row r="416" spans="1:26" ht="19.5">
      <c r="A416" s="517" t="s">
        <v>182</v>
      </c>
      <c r="B416" s="518"/>
      <c r="C416" s="518"/>
      <c r="D416" s="518"/>
      <c r="E416" s="518"/>
      <c r="F416" s="518"/>
      <c r="G416" s="523"/>
      <c r="H416" s="524"/>
      <c r="I416" s="525"/>
      <c r="J416" s="525"/>
      <c r="K416" s="522"/>
      <c r="L416" s="522"/>
      <c r="M416" s="522"/>
      <c r="N416" s="522"/>
      <c r="O416" s="522"/>
      <c r="P416" s="522"/>
    </row>
    <row r="417" spans="1:26" ht="39">
      <c r="A417" s="526">
        <v>1</v>
      </c>
      <c r="B417" s="528" t="s">
        <v>183</v>
      </c>
      <c r="C417" s="528"/>
      <c r="D417" s="529"/>
      <c r="E417" s="529"/>
      <c r="F417" s="529"/>
      <c r="G417" s="530"/>
      <c r="H417" s="531" t="s">
        <v>35</v>
      </c>
      <c r="I417" s="532">
        <f t="shared" ref="I417:J418" ca="1" si="181">I433</f>
        <v>20</v>
      </c>
      <c r="J417" s="532">
        <f t="shared" ca="1" si="181"/>
        <v>0</v>
      </c>
      <c r="K417" s="533">
        <f t="shared" ref="K417:K418" ca="1" si="182">IF(I417&gt;0,J417*100/I417,0)</f>
        <v>0</v>
      </c>
      <c r="L417" s="534"/>
      <c r="M417" s="534"/>
      <c r="N417" s="534"/>
      <c r="O417" s="534"/>
      <c r="P417" s="534"/>
    </row>
    <row r="418" spans="1:26" ht="19.5">
      <c r="A418" s="535"/>
      <c r="B418" s="526"/>
      <c r="C418" s="528"/>
      <c r="D418" s="529"/>
      <c r="E418" s="529"/>
      <c r="F418" s="529"/>
      <c r="G418" s="530"/>
      <c r="H418" s="531" t="s">
        <v>49</v>
      </c>
      <c r="I418" s="532">
        <f t="shared" ca="1" si="181"/>
        <v>1</v>
      </c>
      <c r="J418" s="532">
        <f t="shared" si="181"/>
        <v>0</v>
      </c>
      <c r="K418" s="533">
        <f t="shared" ca="1" si="182"/>
        <v>0</v>
      </c>
      <c r="L418" s="534"/>
      <c r="M418" s="534"/>
      <c r="N418" s="534"/>
      <c r="O418" s="534"/>
      <c r="P418" s="534"/>
    </row>
    <row r="419" spans="1:26" ht="19.5">
      <c r="A419" s="147"/>
      <c r="B419" s="148"/>
      <c r="C419" s="148" t="s">
        <v>16</v>
      </c>
      <c r="D419" s="848" t="s">
        <v>17</v>
      </c>
      <c r="E419" s="810"/>
      <c r="F419" s="810"/>
      <c r="G419" s="151"/>
      <c r="H419" s="274" t="s">
        <v>12</v>
      </c>
      <c r="I419" s="388"/>
      <c r="J419" s="388"/>
      <c r="K419" s="154"/>
      <c r="L419" s="155">
        <f t="shared" ref="L419:N419" ca="1" si="183">L420+L421</f>
        <v>78660</v>
      </c>
      <c r="M419" s="155">
        <f t="shared" si="183"/>
        <v>0</v>
      </c>
      <c r="N419" s="155">
        <f t="shared" si="183"/>
        <v>0</v>
      </c>
      <c r="O419" s="155">
        <f t="shared" ref="O419:O424" ca="1" si="184">IF(L419&gt;0,N419*100/L419,0)</f>
        <v>0</v>
      </c>
      <c r="P419" s="155">
        <f t="shared" ref="P419:P424" si="185">IF(M419&gt;0,N419*100/M419,0)</f>
        <v>0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536"/>
      <c r="E420" s="222" t="s">
        <v>184</v>
      </c>
      <c r="F420" s="40"/>
      <c r="G420" s="157"/>
      <c r="H420" s="165" t="s">
        <v>12</v>
      </c>
      <c r="I420" s="583"/>
      <c r="J420" s="583"/>
      <c r="K420" s="93"/>
      <c r="L420" s="93">
        <f t="shared" ref="L420:N421" si="186">L423+L430</f>
        <v>0</v>
      </c>
      <c r="M420" s="93">
        <f t="shared" si="186"/>
        <v>0</v>
      </c>
      <c r="N420" s="93">
        <f t="shared" si="186"/>
        <v>0</v>
      </c>
      <c r="O420" s="93">
        <f t="shared" si="184"/>
        <v>0</v>
      </c>
      <c r="P420" s="93">
        <f t="shared" si="185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536"/>
      <c r="E421" s="222" t="s">
        <v>185</v>
      </c>
      <c r="F421" s="40"/>
      <c r="G421" s="157"/>
      <c r="H421" s="165" t="s">
        <v>12</v>
      </c>
      <c r="I421" s="583"/>
      <c r="J421" s="583"/>
      <c r="K421" s="93"/>
      <c r="L421" s="93">
        <f t="shared" ca="1" si="186"/>
        <v>78660</v>
      </c>
      <c r="M421" s="93">
        <f t="shared" si="186"/>
        <v>0</v>
      </c>
      <c r="N421" s="93">
        <f t="shared" si="186"/>
        <v>0</v>
      </c>
      <c r="O421" s="93">
        <f t="shared" ca="1" si="184"/>
        <v>0</v>
      </c>
      <c r="P421" s="93">
        <f t="shared" si="185"/>
        <v>0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0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65">
        <f t="shared" ref="L422:N422" ca="1" si="187">L423+L424</f>
        <v>78660</v>
      </c>
      <c r="M422" s="465">
        <f t="shared" si="187"/>
        <v>0</v>
      </c>
      <c r="N422" s="465">
        <f t="shared" si="187"/>
        <v>0</v>
      </c>
      <c r="O422" s="465">
        <f t="shared" ca="1" si="184"/>
        <v>0</v>
      </c>
      <c r="P422" s="465">
        <f t="shared" si="185"/>
        <v>0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536"/>
      <c r="E423" s="222" t="s">
        <v>184</v>
      </c>
      <c r="F423" s="40"/>
      <c r="G423" s="157"/>
      <c r="H423" s="165" t="s">
        <v>12</v>
      </c>
      <c r="I423" s="583"/>
      <c r="J423" s="583"/>
      <c r="K423" s="93"/>
      <c r="L423" s="93">
        <v>0</v>
      </c>
      <c r="M423" s="93">
        <v>0</v>
      </c>
      <c r="N423" s="93">
        <v>0</v>
      </c>
      <c r="O423" s="93">
        <f t="shared" si="184"/>
        <v>0</v>
      </c>
      <c r="P423" s="93">
        <f t="shared" si="185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536"/>
      <c r="E424" s="222" t="s">
        <v>185</v>
      </c>
      <c r="F424" s="40"/>
      <c r="G424" s="157"/>
      <c r="H424" s="165" t="s">
        <v>12</v>
      </c>
      <c r="I424" s="583"/>
      <c r="J424" s="583"/>
      <c r="K424" s="93"/>
      <c r="L424" s="93">
        <f ca="1">IFERROR(__xludf.DUMMYFUNCTION("IMPORTRANGE(""https://docs.google.com/spreadsheets/d/1QqKyyYR6Q21VydFLVH3TRQUabQu_ym0Zz7PgGX0-kHA/edit?usp=sharing"",""แผน!EY22"")"),78660)</f>
        <v>78660</v>
      </c>
      <c r="M424" s="93">
        <v>0</v>
      </c>
      <c r="N424" s="93">
        <f>N425+N426+N427+N428</f>
        <v>0</v>
      </c>
      <c r="O424" s="93">
        <f t="shared" ca="1" si="184"/>
        <v>0</v>
      </c>
      <c r="P424" s="93">
        <f t="shared" si="185"/>
        <v>0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37"/>
      <c r="B425" s="538"/>
      <c r="C425" s="727"/>
      <c r="D425" s="727"/>
      <c r="E425" s="727"/>
      <c r="F425" s="727" t="s">
        <v>186</v>
      </c>
      <c r="G425" s="189"/>
      <c r="H425" s="161" t="s">
        <v>12</v>
      </c>
      <c r="I425" s="269"/>
      <c r="J425" s="269"/>
      <c r="K425" s="465"/>
      <c r="L425" s="465"/>
      <c r="M425" s="465"/>
      <c r="N425" s="789">
        <v>0</v>
      </c>
      <c r="O425" s="465"/>
      <c r="P425" s="465"/>
      <c r="Q425" s="541"/>
      <c r="R425" s="541"/>
      <c r="S425" s="541"/>
      <c r="T425" s="541"/>
      <c r="U425" s="541"/>
      <c r="V425" s="541"/>
      <c r="W425" s="541"/>
      <c r="X425" s="541"/>
      <c r="Y425" s="541"/>
      <c r="Z425" s="541"/>
    </row>
    <row r="426" spans="1:26" ht="18.75">
      <c r="A426" s="537"/>
      <c r="B426" s="538"/>
      <c r="C426" s="727"/>
      <c r="D426" s="727"/>
      <c r="E426" s="727"/>
      <c r="F426" s="727" t="s">
        <v>187</v>
      </c>
      <c r="G426" s="189"/>
      <c r="H426" s="161" t="s">
        <v>12</v>
      </c>
      <c r="I426" s="269"/>
      <c r="J426" s="269"/>
      <c r="K426" s="465"/>
      <c r="L426" s="465"/>
      <c r="M426" s="465"/>
      <c r="N426" s="789">
        <v>0</v>
      </c>
      <c r="O426" s="465"/>
      <c r="P426" s="465"/>
      <c r="Q426" s="541"/>
      <c r="R426" s="541"/>
      <c r="S426" s="541"/>
      <c r="T426" s="541"/>
      <c r="U426" s="541"/>
      <c r="V426" s="541"/>
      <c r="W426" s="541"/>
      <c r="X426" s="541"/>
      <c r="Y426" s="541"/>
      <c r="Z426" s="541"/>
    </row>
    <row r="427" spans="1:26" ht="18.75">
      <c r="A427" s="537"/>
      <c r="B427" s="538"/>
      <c r="C427" s="727"/>
      <c r="D427" s="727"/>
      <c r="E427" s="727"/>
      <c r="F427" s="727" t="s">
        <v>188</v>
      </c>
      <c r="G427" s="189"/>
      <c r="H427" s="161" t="s">
        <v>12</v>
      </c>
      <c r="I427" s="269"/>
      <c r="J427" s="269"/>
      <c r="K427" s="465"/>
      <c r="L427" s="465"/>
      <c r="M427" s="465"/>
      <c r="N427" s="789">
        <v>0</v>
      </c>
      <c r="O427" s="465"/>
      <c r="P427" s="465"/>
      <c r="Q427" s="541"/>
      <c r="R427" s="541"/>
      <c r="S427" s="541"/>
      <c r="T427" s="541"/>
      <c r="U427" s="541"/>
      <c r="V427" s="541"/>
      <c r="W427" s="541"/>
      <c r="X427" s="541"/>
      <c r="Y427" s="541"/>
      <c r="Z427" s="541"/>
    </row>
    <row r="428" spans="1:26" ht="18.75">
      <c r="A428" s="283"/>
      <c r="B428" s="280"/>
      <c r="C428" s="33"/>
      <c r="D428" s="33"/>
      <c r="E428" s="33"/>
      <c r="F428" s="281" t="s">
        <v>189</v>
      </c>
      <c r="G428" s="213"/>
      <c r="H428" s="161" t="s">
        <v>12</v>
      </c>
      <c r="I428" s="269"/>
      <c r="J428" s="269"/>
      <c r="K428" s="465"/>
      <c r="L428" s="465"/>
      <c r="M428" s="465"/>
      <c r="N428" s="789">
        <v>0</v>
      </c>
      <c r="O428" s="465"/>
      <c r="P428" s="465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0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65">
        <f t="shared" ref="L429:N429" ca="1" si="188">L430+L431</f>
        <v>0</v>
      </c>
      <c r="M429" s="465">
        <f t="shared" si="188"/>
        <v>0</v>
      </c>
      <c r="N429" s="465">
        <f t="shared" si="188"/>
        <v>0</v>
      </c>
      <c r="O429" s="465">
        <f t="shared" ref="O429:O431" ca="1" si="189">IF(L429&gt;0,N429*100/L429,0)</f>
        <v>0</v>
      </c>
      <c r="P429" s="465">
        <f t="shared" ref="P429:P431" si="190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542"/>
      <c r="C430" s="40"/>
      <c r="D430" s="40"/>
      <c r="E430" s="222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89"/>
        <v>0</v>
      </c>
      <c r="P430" s="93">
        <f t="shared" si="190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542"/>
      <c r="C431" s="40"/>
      <c r="D431" s="40"/>
      <c r="E431" s="222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IFERROR(__xludf.DUMMYFUNCTION("IMPORTRANGE(""https://docs.google.com/spreadsheets/d/1QqKyyYR6Q21VydFLVH3TRQUabQu_ym0Zz7PgGX0-kHA/edit?usp=sharing"",""แผน!FB22"")"),0)</f>
        <v>0</v>
      </c>
      <c r="M431" s="93">
        <v>0</v>
      </c>
      <c r="N431" s="93">
        <v>0</v>
      </c>
      <c r="O431" s="93">
        <f t="shared" ca="1" si="189"/>
        <v>0</v>
      </c>
      <c r="P431" s="93">
        <f t="shared" si="190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382"/>
      <c r="B432" s="383"/>
      <c r="C432" s="148" t="s">
        <v>16</v>
      </c>
      <c r="D432" s="849" t="s">
        <v>38</v>
      </c>
      <c r="E432" s="544"/>
      <c r="F432" s="544"/>
      <c r="G432" s="545"/>
      <c r="H432" s="546"/>
      <c r="I432" s="388"/>
      <c r="J432" s="388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190</v>
      </c>
      <c r="E433" s="342"/>
      <c r="F433" s="342"/>
      <c r="G433" s="179"/>
      <c r="H433" s="196" t="s">
        <v>35</v>
      </c>
      <c r="I433" s="647">
        <f ca="1">I435</f>
        <v>20</v>
      </c>
      <c r="J433" s="647">
        <f ca="1">IF(AND(J435=I435,J437=I437,J439=I439),I437+I439,IF(AND(J435=I437,J437=I437),I437,IF(AND(J435=I439,J439=I439),I439,0)))</f>
        <v>0</v>
      </c>
      <c r="K433" s="195">
        <f t="shared" ref="K433:K435" ca="1" si="191">IF(I433&gt;0,J433*100/I433,0)</f>
        <v>0</v>
      </c>
      <c r="L433" s="465"/>
      <c r="M433" s="465"/>
      <c r="N433" s="465"/>
      <c r="O433" s="465"/>
      <c r="P433" s="465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191</v>
      </c>
      <c r="E434" s="342"/>
      <c r="F434" s="342"/>
      <c r="G434" s="179"/>
      <c r="H434" s="196" t="s">
        <v>49</v>
      </c>
      <c r="I434" s="647">
        <f t="shared" ref="I434:J434" ca="1" si="192">I438+I440</f>
        <v>1</v>
      </c>
      <c r="J434" s="647">
        <f t="shared" si="192"/>
        <v>0</v>
      </c>
      <c r="K434" s="195">
        <f t="shared" ca="1" si="191"/>
        <v>0</v>
      </c>
      <c r="L434" s="465"/>
      <c r="M434" s="465"/>
      <c r="N434" s="465"/>
      <c r="O434" s="465"/>
      <c r="P434" s="465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15" t="s">
        <v>192</v>
      </c>
      <c r="E435" s="342"/>
      <c r="F435" s="342"/>
      <c r="G435" s="179"/>
      <c r="H435" s="589" t="s">
        <v>35</v>
      </c>
      <c r="I435" s="547">
        <f ca="1">IFERROR(__xludf.DUMMYFUNCTION("IMPORTRANGE(""https://docs.google.com/spreadsheets/d/1QqKyyYR6Q21VydFLVH3TRQUabQu_ym0Zz7PgGX0-kHA/edit?usp=sharing"",""แผน!FC22"")"),20)</f>
        <v>20</v>
      </c>
      <c r="J435" s="548">
        <v>0</v>
      </c>
      <c r="K435" s="465">
        <f t="shared" ca="1" si="191"/>
        <v>0</v>
      </c>
      <c r="L435" s="465"/>
      <c r="M435" s="465"/>
      <c r="N435" s="465"/>
      <c r="O435" s="465"/>
      <c r="P435" s="465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15" t="s">
        <v>193</v>
      </c>
      <c r="E436" s="342"/>
      <c r="F436" s="342"/>
      <c r="G436" s="179"/>
      <c r="H436" s="589"/>
      <c r="I436" s="269"/>
      <c r="J436" s="269"/>
      <c r="K436" s="465"/>
      <c r="L436" s="465"/>
      <c r="M436" s="465"/>
      <c r="N436" s="465"/>
      <c r="O436" s="465"/>
      <c r="P436" s="465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15" t="s">
        <v>194</v>
      </c>
      <c r="E437" s="342"/>
      <c r="F437" s="342"/>
      <c r="G437" s="179"/>
      <c r="H437" s="589" t="s">
        <v>35</v>
      </c>
      <c r="I437" s="547">
        <f ca="1">IFERROR(__xludf.DUMMYFUNCTION("IMPORTRANGE(""https://docs.google.com/spreadsheets/d/1QqKyyYR6Q21VydFLVH3TRQUabQu_ym0Zz7PgGX0-kHA/edit?usp=sharing"",""แผน!FD22"")"),0)</f>
        <v>0</v>
      </c>
      <c r="J437" s="548">
        <v>0</v>
      </c>
      <c r="K437" s="465">
        <f t="shared" ref="K437:K443" ca="1" si="193">IF(I437&gt;0,J437*100/I437,0)</f>
        <v>0</v>
      </c>
      <c r="L437" s="465"/>
      <c r="M437" s="465"/>
      <c r="N437" s="465"/>
      <c r="O437" s="465"/>
      <c r="P437" s="465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15" t="s">
        <v>195</v>
      </c>
      <c r="E438" s="342"/>
      <c r="F438" s="342"/>
      <c r="G438" s="179"/>
      <c r="H438" s="589" t="s">
        <v>49</v>
      </c>
      <c r="I438" s="269">
        <f ca="1">IFERROR(__xludf.DUMMYFUNCTION("IMPORTRANGE(""https://docs.google.com/spreadsheets/d/1QqKyyYR6Q21VydFLVH3TRQUabQu_ym0Zz7PgGX0-kHA/edit?usp=sharing"",""แผน!FE22"")"),0)</f>
        <v>0</v>
      </c>
      <c r="J438" s="214">
        <v>0</v>
      </c>
      <c r="K438" s="465">
        <f t="shared" ca="1" si="193"/>
        <v>0</v>
      </c>
      <c r="L438" s="465"/>
      <c r="M438" s="465"/>
      <c r="N438" s="465"/>
      <c r="O438" s="465"/>
      <c r="P438" s="465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15" t="s">
        <v>196</v>
      </c>
      <c r="E439" s="342"/>
      <c r="F439" s="342"/>
      <c r="G439" s="179"/>
      <c r="H439" s="589" t="s">
        <v>35</v>
      </c>
      <c r="I439" s="547">
        <f ca="1">IFERROR(__xludf.DUMMYFUNCTION("IMPORTRANGE(""https://docs.google.com/spreadsheets/d/1QqKyyYR6Q21VydFLVH3TRQUabQu_ym0Zz7PgGX0-kHA/edit?usp=sharing"",""แผน!FF22"")"),20)</f>
        <v>20</v>
      </c>
      <c r="J439" s="548">
        <v>0</v>
      </c>
      <c r="K439" s="465">
        <f t="shared" ca="1" si="193"/>
        <v>0</v>
      </c>
      <c r="L439" s="465"/>
      <c r="M439" s="465"/>
      <c r="N439" s="465"/>
      <c r="O439" s="465"/>
      <c r="P439" s="465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15" t="s">
        <v>197</v>
      </c>
      <c r="E440" s="342"/>
      <c r="F440" s="342"/>
      <c r="G440" s="179"/>
      <c r="H440" s="589" t="s">
        <v>49</v>
      </c>
      <c r="I440" s="269">
        <f ca="1">IFERROR(__xludf.DUMMYFUNCTION("IMPORTRANGE(""https://docs.google.com/spreadsheets/d/1QqKyyYR6Q21VydFLVH3TRQUabQu_ym0Zz7PgGX0-kHA/edit?usp=sharing"",""แผน!FG22"")"),1)</f>
        <v>1</v>
      </c>
      <c r="J440" s="214">
        <v>0</v>
      </c>
      <c r="K440" s="465">
        <f t="shared" ca="1" si="193"/>
        <v>0</v>
      </c>
      <c r="L440" s="465"/>
      <c r="M440" s="465"/>
      <c r="N440" s="465"/>
      <c r="O440" s="465"/>
      <c r="P440" s="465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>
      <c r="A441" s="170"/>
      <c r="B441" s="171"/>
      <c r="C441" s="171"/>
      <c r="D441" s="415" t="s">
        <v>198</v>
      </c>
      <c r="E441" s="342"/>
      <c r="F441" s="342"/>
      <c r="G441" s="179"/>
      <c r="H441" s="589" t="s">
        <v>35</v>
      </c>
      <c r="I441" s="269">
        <f ca="1">IFERROR(__xludf.DUMMYFUNCTION("IMPORTRANGE(""https://docs.google.com/spreadsheets/d/1QqKyyYR6Q21VydFLVH3TRQUabQu_ym0Zz7PgGX0-kHA/edit?usp=sharing"",""แผน!FH22"")"),0)</f>
        <v>0</v>
      </c>
      <c r="J441" s="269">
        <v>0</v>
      </c>
      <c r="K441" s="465">
        <f t="shared" ca="1" si="193"/>
        <v>0</v>
      </c>
      <c r="L441" s="465"/>
      <c r="M441" s="465"/>
      <c r="N441" s="465"/>
      <c r="O441" s="465"/>
      <c r="P441" s="465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 hidden="1">
      <c r="A442" s="549">
        <v>2</v>
      </c>
      <c r="B442" s="550" t="s">
        <v>199</v>
      </c>
      <c r="C442" s="551"/>
      <c r="D442" s="551"/>
      <c r="E442" s="551"/>
      <c r="F442" s="551"/>
      <c r="G442" s="552"/>
      <c r="H442" s="553" t="s">
        <v>35</v>
      </c>
      <c r="I442" s="554">
        <f t="shared" ref="I442:J442" ca="1" si="194">I460</f>
        <v>0</v>
      </c>
      <c r="J442" s="554">
        <f t="shared" si="194"/>
        <v>0</v>
      </c>
      <c r="K442" s="555">
        <f t="shared" ca="1" si="193"/>
        <v>0</v>
      </c>
      <c r="L442" s="556"/>
      <c r="M442" s="556"/>
      <c r="N442" s="556"/>
      <c r="O442" s="556"/>
      <c r="P442" s="556"/>
      <c r="Q442" s="541"/>
      <c r="R442" s="541"/>
      <c r="S442" s="541"/>
      <c r="T442" s="541"/>
      <c r="U442" s="541"/>
      <c r="V442" s="541"/>
      <c r="W442" s="541"/>
      <c r="X442" s="541"/>
      <c r="Y442" s="541"/>
      <c r="Z442" s="541"/>
    </row>
    <row r="443" spans="1:26" ht="19.5" hidden="1">
      <c r="A443" s="557"/>
      <c r="B443" s="558"/>
      <c r="C443" s="559"/>
      <c r="D443" s="559"/>
      <c r="E443" s="559"/>
      <c r="F443" s="559"/>
      <c r="G443" s="560"/>
      <c r="H443" s="531" t="s">
        <v>46</v>
      </c>
      <c r="I443" s="532">
        <f t="shared" ref="I443:J443" ca="1" si="195">I462</f>
        <v>0</v>
      </c>
      <c r="J443" s="532">
        <f t="shared" si="195"/>
        <v>0</v>
      </c>
      <c r="K443" s="533">
        <f t="shared" ca="1" si="193"/>
        <v>0</v>
      </c>
      <c r="L443" s="534"/>
      <c r="M443" s="534"/>
      <c r="N443" s="534"/>
      <c r="O443" s="534"/>
      <c r="P443" s="534"/>
      <c r="Q443" s="541"/>
      <c r="R443" s="541"/>
      <c r="S443" s="541"/>
      <c r="T443" s="541"/>
      <c r="U443" s="541"/>
      <c r="V443" s="541"/>
      <c r="W443" s="541"/>
      <c r="X443" s="541"/>
      <c r="Y443" s="541"/>
      <c r="Z443" s="541"/>
    </row>
    <row r="444" spans="1:26" ht="19.5" hidden="1">
      <c r="A444" s="561"/>
      <c r="B444" s="727"/>
      <c r="C444" s="727" t="s">
        <v>16</v>
      </c>
      <c r="D444" s="811" t="s">
        <v>17</v>
      </c>
      <c r="E444" s="805"/>
      <c r="F444" s="805"/>
      <c r="G444" s="189"/>
      <c r="H444" s="562" t="s">
        <v>12</v>
      </c>
      <c r="I444" s="269"/>
      <c r="J444" s="269"/>
      <c r="K444" s="465"/>
      <c r="L444" s="195">
        <f t="shared" ref="L444:N444" ca="1" si="196">L445+L446</f>
        <v>0</v>
      </c>
      <c r="M444" s="195">
        <f t="shared" si="196"/>
        <v>0</v>
      </c>
      <c r="N444" s="195">
        <f t="shared" si="196"/>
        <v>0</v>
      </c>
      <c r="O444" s="195">
        <f t="shared" ref="O444:O449" ca="1" si="197">IF(L444&gt;0,N444*100/L444,0)</f>
        <v>0</v>
      </c>
      <c r="P444" s="195">
        <f t="shared" ref="P444:P449" si="198">IF(M444&gt;0,N444*100/M444,0)</f>
        <v>0</v>
      </c>
      <c r="Q444" s="541"/>
      <c r="R444" s="541"/>
      <c r="S444" s="541"/>
      <c r="T444" s="541"/>
      <c r="U444" s="541"/>
      <c r="V444" s="541"/>
      <c r="W444" s="541"/>
      <c r="X444" s="541"/>
      <c r="Y444" s="541"/>
      <c r="Z444" s="541"/>
    </row>
    <row r="445" spans="1:26" ht="18.75" hidden="1">
      <c r="A445" s="563"/>
      <c r="B445" s="723"/>
      <c r="C445" s="723"/>
      <c r="D445" s="684"/>
      <c r="E445" s="723" t="s">
        <v>184</v>
      </c>
      <c r="F445" s="723"/>
      <c r="G445" s="567"/>
      <c r="H445" s="165" t="s">
        <v>12</v>
      </c>
      <c r="I445" s="583"/>
      <c r="J445" s="583"/>
      <c r="K445" s="93"/>
      <c r="L445" s="93">
        <f t="shared" ref="L445:N446" si="199">L448+L455</f>
        <v>0</v>
      </c>
      <c r="M445" s="93">
        <f t="shared" si="199"/>
        <v>0</v>
      </c>
      <c r="N445" s="93">
        <f t="shared" si="199"/>
        <v>0</v>
      </c>
      <c r="O445" s="93">
        <f t="shared" si="197"/>
        <v>0</v>
      </c>
      <c r="P445" s="93">
        <f t="shared" si="198"/>
        <v>0</v>
      </c>
      <c r="Q445" s="568"/>
      <c r="R445" s="568"/>
      <c r="S445" s="568"/>
      <c r="T445" s="568"/>
      <c r="U445" s="568"/>
      <c r="V445" s="568"/>
      <c r="W445" s="568"/>
      <c r="X445" s="568"/>
      <c r="Y445" s="568"/>
      <c r="Z445" s="568"/>
    </row>
    <row r="446" spans="1:26" ht="18.75" hidden="1">
      <c r="A446" s="563"/>
      <c r="B446" s="571"/>
      <c r="C446" s="723"/>
      <c r="D446" s="684"/>
      <c r="E446" s="723" t="s">
        <v>185</v>
      </c>
      <c r="F446" s="723"/>
      <c r="G446" s="567"/>
      <c r="H446" s="165" t="s">
        <v>12</v>
      </c>
      <c r="I446" s="583"/>
      <c r="J446" s="583"/>
      <c r="K446" s="93"/>
      <c r="L446" s="93">
        <f t="shared" ca="1" si="199"/>
        <v>0</v>
      </c>
      <c r="M446" s="93">
        <f t="shared" si="199"/>
        <v>0</v>
      </c>
      <c r="N446" s="93">
        <f t="shared" si="199"/>
        <v>0</v>
      </c>
      <c r="O446" s="93">
        <f t="shared" ca="1" si="197"/>
        <v>0</v>
      </c>
      <c r="P446" s="93">
        <f t="shared" si="198"/>
        <v>0</v>
      </c>
      <c r="Q446" s="568"/>
      <c r="R446" s="568"/>
      <c r="S446" s="568"/>
      <c r="T446" s="568"/>
      <c r="U446" s="568"/>
      <c r="V446" s="568"/>
      <c r="W446" s="568"/>
      <c r="X446" s="568"/>
      <c r="Y446" s="568"/>
      <c r="Z446" s="568"/>
    </row>
    <row r="447" spans="1:26" ht="18.75" hidden="1">
      <c r="A447" s="561"/>
      <c r="B447" s="538"/>
      <c r="C447" s="727"/>
      <c r="D447" s="570" t="s">
        <v>20</v>
      </c>
      <c r="E447" s="727"/>
      <c r="F447" s="727"/>
      <c r="G447" s="189"/>
      <c r="H447" s="161" t="s">
        <v>12</v>
      </c>
      <c r="I447" s="184"/>
      <c r="J447" s="184"/>
      <c r="K447" s="163"/>
      <c r="L447" s="465">
        <f t="shared" ref="L447:N447" ca="1" si="200">L448+L449</f>
        <v>0</v>
      </c>
      <c r="M447" s="465">
        <f t="shared" si="200"/>
        <v>0</v>
      </c>
      <c r="N447" s="465">
        <f t="shared" si="200"/>
        <v>0</v>
      </c>
      <c r="O447" s="465">
        <f t="shared" ca="1" si="197"/>
        <v>0</v>
      </c>
      <c r="P447" s="465">
        <f t="shared" si="198"/>
        <v>0</v>
      </c>
      <c r="Q447" s="541"/>
      <c r="R447" s="541"/>
      <c r="S447" s="541"/>
      <c r="T447" s="541"/>
      <c r="U447" s="541"/>
      <c r="V447" s="541"/>
      <c r="W447" s="541"/>
      <c r="X447" s="541"/>
      <c r="Y447" s="541"/>
      <c r="Z447" s="541"/>
    </row>
    <row r="448" spans="1:26" ht="18.75" hidden="1">
      <c r="A448" s="563"/>
      <c r="B448" s="571"/>
      <c r="C448" s="723"/>
      <c r="D448" s="684"/>
      <c r="E448" s="723" t="s">
        <v>184</v>
      </c>
      <c r="F448" s="723"/>
      <c r="G448" s="567"/>
      <c r="H448" s="165" t="s">
        <v>12</v>
      </c>
      <c r="I448" s="583"/>
      <c r="J448" s="583"/>
      <c r="K448" s="93"/>
      <c r="L448" s="93">
        <v>0</v>
      </c>
      <c r="M448" s="93">
        <v>0</v>
      </c>
      <c r="N448" s="93">
        <v>0</v>
      </c>
      <c r="O448" s="93">
        <f t="shared" si="197"/>
        <v>0</v>
      </c>
      <c r="P448" s="93">
        <f t="shared" si="198"/>
        <v>0</v>
      </c>
      <c r="Q448" s="568"/>
      <c r="R448" s="568"/>
      <c r="S448" s="568"/>
      <c r="T448" s="568"/>
      <c r="U448" s="568"/>
      <c r="V448" s="568"/>
      <c r="W448" s="568"/>
      <c r="X448" s="568"/>
      <c r="Y448" s="568"/>
      <c r="Z448" s="568"/>
    </row>
    <row r="449" spans="1:26" ht="18.75" hidden="1">
      <c r="A449" s="563"/>
      <c r="B449" s="571"/>
      <c r="C449" s="723"/>
      <c r="D449" s="684"/>
      <c r="E449" s="723" t="s">
        <v>185</v>
      </c>
      <c r="F449" s="723"/>
      <c r="G449" s="567"/>
      <c r="H449" s="165" t="s">
        <v>12</v>
      </c>
      <c r="I449" s="583"/>
      <c r="J449" s="583"/>
      <c r="K449" s="93"/>
      <c r="L449" s="93">
        <f ca="1">IFERROR(__xludf.DUMMYFUNCTION("IMPORTRANGE(""https://docs.google.com/spreadsheets/d/1QqKyyYR6Q21VydFLVH3TRQUabQu_ym0Zz7PgGX0-kHA/edit?usp=sharing"",""แผน!FJ22"")"),0)</f>
        <v>0</v>
      </c>
      <c r="M449" s="93">
        <v>0</v>
      </c>
      <c r="N449" s="93">
        <f>N450+N451+N452+N453</f>
        <v>0</v>
      </c>
      <c r="O449" s="93">
        <f t="shared" ca="1" si="197"/>
        <v>0</v>
      </c>
      <c r="P449" s="93">
        <f t="shared" si="198"/>
        <v>0</v>
      </c>
      <c r="Q449" s="568"/>
      <c r="R449" s="568"/>
      <c r="S449" s="568"/>
      <c r="T449" s="568"/>
      <c r="U449" s="568"/>
      <c r="V449" s="568"/>
      <c r="W449" s="568"/>
      <c r="X449" s="568"/>
      <c r="Y449" s="568"/>
      <c r="Z449" s="568"/>
    </row>
    <row r="450" spans="1:26" ht="18.75" hidden="1">
      <c r="A450" s="537"/>
      <c r="B450" s="538"/>
      <c r="C450" s="727"/>
      <c r="D450" s="727"/>
      <c r="E450" s="727"/>
      <c r="F450" s="727" t="s">
        <v>186</v>
      </c>
      <c r="G450" s="189"/>
      <c r="H450" s="161" t="s">
        <v>12</v>
      </c>
      <c r="I450" s="269"/>
      <c r="J450" s="269"/>
      <c r="K450" s="465"/>
      <c r="L450" s="465"/>
      <c r="M450" s="465"/>
      <c r="N450" s="789">
        <v>0</v>
      </c>
      <c r="O450" s="465"/>
      <c r="P450" s="465"/>
      <c r="Q450" s="541"/>
      <c r="R450" s="541"/>
      <c r="S450" s="541"/>
      <c r="T450" s="541"/>
      <c r="U450" s="541"/>
      <c r="V450" s="541"/>
      <c r="W450" s="541"/>
      <c r="X450" s="541"/>
      <c r="Y450" s="541"/>
      <c r="Z450" s="541"/>
    </row>
    <row r="451" spans="1:26" ht="18.75" hidden="1">
      <c r="A451" s="537"/>
      <c r="B451" s="538"/>
      <c r="C451" s="727"/>
      <c r="D451" s="727"/>
      <c r="E451" s="727"/>
      <c r="F451" s="727" t="s">
        <v>187</v>
      </c>
      <c r="G451" s="189"/>
      <c r="H451" s="161" t="s">
        <v>12</v>
      </c>
      <c r="I451" s="269"/>
      <c r="J451" s="269"/>
      <c r="K451" s="465"/>
      <c r="L451" s="465"/>
      <c r="M451" s="465"/>
      <c r="N451" s="789">
        <v>0</v>
      </c>
      <c r="O451" s="465"/>
      <c r="P451" s="465"/>
      <c r="Q451" s="541"/>
      <c r="R451" s="541"/>
      <c r="S451" s="541"/>
      <c r="T451" s="541"/>
      <c r="U451" s="541"/>
      <c r="V451" s="541"/>
      <c r="W451" s="541"/>
      <c r="X451" s="541"/>
      <c r="Y451" s="541"/>
      <c r="Z451" s="541"/>
    </row>
    <row r="452" spans="1:26" ht="18.75" hidden="1">
      <c r="A452" s="537"/>
      <c r="B452" s="538"/>
      <c r="C452" s="538"/>
      <c r="D452" s="538"/>
      <c r="E452" s="538"/>
      <c r="F452" s="727" t="s">
        <v>188</v>
      </c>
      <c r="G452" s="189"/>
      <c r="H452" s="161" t="s">
        <v>12</v>
      </c>
      <c r="I452" s="269"/>
      <c r="J452" s="269"/>
      <c r="K452" s="465"/>
      <c r="L452" s="465"/>
      <c r="M452" s="465"/>
      <c r="N452" s="789">
        <v>0</v>
      </c>
      <c r="O452" s="465"/>
      <c r="P452" s="465"/>
      <c r="Q452" s="541"/>
      <c r="R452" s="541"/>
      <c r="S452" s="541"/>
      <c r="T452" s="541"/>
      <c r="U452" s="541"/>
      <c r="V452" s="541"/>
      <c r="W452" s="541"/>
      <c r="X452" s="541"/>
      <c r="Y452" s="541"/>
      <c r="Z452" s="541"/>
    </row>
    <row r="453" spans="1:26" ht="18.75" hidden="1">
      <c r="A453" s="537"/>
      <c r="B453" s="538"/>
      <c r="C453" s="538"/>
      <c r="D453" s="538"/>
      <c r="E453" s="538"/>
      <c r="F453" s="727" t="s">
        <v>189</v>
      </c>
      <c r="G453" s="189"/>
      <c r="H453" s="161" t="s">
        <v>12</v>
      </c>
      <c r="I453" s="269"/>
      <c r="J453" s="269"/>
      <c r="K453" s="465"/>
      <c r="L453" s="465"/>
      <c r="M453" s="465"/>
      <c r="N453" s="789">
        <v>0</v>
      </c>
      <c r="O453" s="465"/>
      <c r="P453" s="465"/>
      <c r="Q453" s="541"/>
      <c r="R453" s="541"/>
      <c r="S453" s="541"/>
      <c r="T453" s="541"/>
      <c r="U453" s="541"/>
      <c r="V453" s="541"/>
      <c r="W453" s="541"/>
      <c r="X453" s="541"/>
      <c r="Y453" s="541"/>
      <c r="Z453" s="541"/>
    </row>
    <row r="454" spans="1:26" ht="18.75" hidden="1">
      <c r="A454" s="561"/>
      <c r="B454" s="538"/>
      <c r="C454" s="538"/>
      <c r="D454" s="570" t="s">
        <v>21</v>
      </c>
      <c r="E454" s="538"/>
      <c r="F454" s="727"/>
      <c r="G454" s="189"/>
      <c r="H454" s="168" t="s">
        <v>12</v>
      </c>
      <c r="I454" s="184"/>
      <c r="J454" s="184"/>
      <c r="K454" s="163"/>
      <c r="L454" s="465">
        <f t="shared" ref="L454:N454" ca="1" si="201">L455+L456</f>
        <v>0</v>
      </c>
      <c r="M454" s="465">
        <f t="shared" si="201"/>
        <v>0</v>
      </c>
      <c r="N454" s="465">
        <f t="shared" si="201"/>
        <v>0</v>
      </c>
      <c r="O454" s="465">
        <f t="shared" ref="O454:O456" ca="1" si="202">IF(L454&gt;0,N454*100/L454,0)</f>
        <v>0</v>
      </c>
      <c r="P454" s="465">
        <f t="shared" ref="P454:P456" si="203">IF(M454&gt;0,N454*100/M454,0)</f>
        <v>0</v>
      </c>
      <c r="Q454" s="541"/>
      <c r="R454" s="541"/>
      <c r="S454" s="541"/>
      <c r="T454" s="541"/>
      <c r="U454" s="541"/>
      <c r="V454" s="541"/>
      <c r="W454" s="541"/>
      <c r="X454" s="541"/>
      <c r="Y454" s="541"/>
      <c r="Z454" s="541"/>
    </row>
    <row r="455" spans="1:26" ht="18.75" hidden="1">
      <c r="A455" s="563"/>
      <c r="B455" s="571"/>
      <c r="C455" s="571"/>
      <c r="D455" s="571"/>
      <c r="E455" s="571" t="s">
        <v>18</v>
      </c>
      <c r="F455" s="723"/>
      <c r="G455" s="567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2"/>
        <v>0</v>
      </c>
      <c r="P455" s="93">
        <f t="shared" si="203"/>
        <v>0</v>
      </c>
      <c r="Q455" s="568"/>
      <c r="R455" s="568"/>
      <c r="S455" s="568"/>
      <c r="T455" s="568"/>
      <c r="U455" s="568"/>
      <c r="V455" s="568"/>
      <c r="W455" s="568"/>
      <c r="X455" s="568"/>
      <c r="Y455" s="568"/>
      <c r="Z455" s="568"/>
    </row>
    <row r="456" spans="1:26" ht="18.75" hidden="1">
      <c r="A456" s="563"/>
      <c r="B456" s="571"/>
      <c r="C456" s="571"/>
      <c r="D456" s="571"/>
      <c r="E456" s="571" t="s">
        <v>19</v>
      </c>
      <c r="F456" s="723"/>
      <c r="G456" s="567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IFERROR(__xludf.DUMMYFUNCTION("IMPORTRANGE(""https://docs.google.com/spreadsheets/d/1QqKyyYR6Q21VydFLVH3TRQUabQu_ym0Zz7PgGX0-kHA/edit?usp=sharing"",""แผน!FM22"")"),0)</f>
        <v>0</v>
      </c>
      <c r="M456" s="93">
        <v>0</v>
      </c>
      <c r="N456" s="93">
        <v>0</v>
      </c>
      <c r="O456" s="93">
        <f t="shared" ca="1" si="202"/>
        <v>0</v>
      </c>
      <c r="P456" s="93">
        <f t="shared" si="203"/>
        <v>0</v>
      </c>
      <c r="Q456" s="568"/>
      <c r="R456" s="568"/>
      <c r="S456" s="568"/>
      <c r="T456" s="568"/>
      <c r="U456" s="568"/>
      <c r="V456" s="568"/>
      <c r="W456" s="568"/>
      <c r="X456" s="568"/>
      <c r="Y456" s="568"/>
      <c r="Z456" s="568"/>
    </row>
    <row r="457" spans="1:26" ht="19.5" hidden="1">
      <c r="A457" s="572"/>
      <c r="B457" s="584"/>
      <c r="C457" s="538" t="s">
        <v>16</v>
      </c>
      <c r="D457" s="850" t="s">
        <v>38</v>
      </c>
      <c r="E457" s="575"/>
      <c r="F457" s="725"/>
      <c r="G457" s="577"/>
      <c r="H457" s="726"/>
      <c r="I457" s="269"/>
      <c r="J457" s="269"/>
      <c r="K457" s="465"/>
      <c r="L457" s="465"/>
      <c r="M457" s="465"/>
      <c r="N457" s="465"/>
      <c r="O457" s="465"/>
      <c r="P457" s="465"/>
      <c r="Q457" s="541"/>
      <c r="R457" s="541"/>
      <c r="S457" s="541"/>
      <c r="T457" s="541"/>
      <c r="U457" s="541"/>
      <c r="V457" s="541"/>
      <c r="W457" s="541"/>
      <c r="X457" s="541"/>
      <c r="Y457" s="541"/>
      <c r="Z457" s="541"/>
    </row>
    <row r="458" spans="1:26" ht="18.75" hidden="1">
      <c r="A458" s="578"/>
      <c r="B458" s="580"/>
      <c r="C458" s="580"/>
      <c r="D458" s="580" t="s">
        <v>200</v>
      </c>
      <c r="E458" s="580"/>
      <c r="F458" s="684"/>
      <c r="G458" s="581"/>
      <c r="H458" s="582" t="s">
        <v>35</v>
      </c>
      <c r="I458" s="583">
        <v>0</v>
      </c>
      <c r="J458" s="583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568"/>
      <c r="R458" s="568"/>
      <c r="S458" s="568"/>
      <c r="T458" s="568"/>
      <c r="U458" s="568"/>
      <c r="V458" s="568"/>
      <c r="W458" s="568"/>
      <c r="X458" s="568"/>
      <c r="Y458" s="568"/>
      <c r="Z458" s="568"/>
    </row>
    <row r="459" spans="1:26" ht="18.75" hidden="1">
      <c r="A459" s="578"/>
      <c r="B459" s="580"/>
      <c r="C459" s="580"/>
      <c r="D459" s="580" t="s">
        <v>201</v>
      </c>
      <c r="E459" s="580"/>
      <c r="F459" s="684"/>
      <c r="G459" s="581"/>
      <c r="H459" s="582"/>
      <c r="I459" s="583"/>
      <c r="J459" s="583"/>
      <c r="K459" s="93"/>
      <c r="L459" s="93"/>
      <c r="M459" s="93"/>
      <c r="N459" s="93"/>
      <c r="O459" s="93"/>
      <c r="P459" s="93"/>
      <c r="Q459" s="568"/>
      <c r="R459" s="568"/>
      <c r="S459" s="568"/>
      <c r="T459" s="568"/>
      <c r="U459" s="568"/>
      <c r="V459" s="568"/>
      <c r="W459" s="568"/>
      <c r="X459" s="568"/>
      <c r="Y459" s="568"/>
      <c r="Z459" s="568"/>
    </row>
    <row r="460" spans="1:26" ht="18.75" hidden="1">
      <c r="A460" s="572"/>
      <c r="B460" s="584"/>
      <c r="C460" s="584"/>
      <c r="D460" s="584" t="s">
        <v>202</v>
      </c>
      <c r="E460" s="584"/>
      <c r="F460" s="592"/>
      <c r="G460" s="726"/>
      <c r="H460" s="728" t="s">
        <v>35</v>
      </c>
      <c r="I460" s="269">
        <f ca="1">IFERROR(__xludf.DUMMYFUNCTION("IMPORTRANGE(""https://docs.google.com/spreadsheets/d/1QqKyyYR6Q21VydFLVH3TRQUabQu_ym0Zz7PgGX0-kHA/edit?usp=sharing"",""แผน!FN22"")"),0)</f>
        <v>0</v>
      </c>
      <c r="J460" s="214">
        <v>0</v>
      </c>
      <c r="K460" s="465">
        <f ca="1">IF(I460&gt;0,J460*100/I460,0)</f>
        <v>0</v>
      </c>
      <c r="L460" s="465"/>
      <c r="M460" s="465"/>
      <c r="N460" s="465"/>
      <c r="O460" s="465"/>
      <c r="P460" s="465"/>
      <c r="Q460" s="541"/>
      <c r="R460" s="541"/>
      <c r="S460" s="541"/>
      <c r="T460" s="541"/>
      <c r="U460" s="541"/>
      <c r="V460" s="541"/>
      <c r="W460" s="541"/>
      <c r="X460" s="541"/>
      <c r="Y460" s="541"/>
      <c r="Z460" s="541"/>
    </row>
    <row r="461" spans="1:26" ht="18.75" hidden="1">
      <c r="A461" s="572"/>
      <c r="B461" s="584"/>
      <c r="C461" s="584"/>
      <c r="D461" s="584" t="s">
        <v>203</v>
      </c>
      <c r="E461" s="592"/>
      <c r="F461" s="592"/>
      <c r="G461" s="726"/>
      <c r="H461" s="728"/>
      <c r="I461" s="269"/>
      <c r="J461" s="269"/>
      <c r="K461" s="465"/>
      <c r="L461" s="465"/>
      <c r="M461" s="465"/>
      <c r="N461" s="465"/>
      <c r="O461" s="465"/>
      <c r="P461" s="465"/>
      <c r="Q461" s="541"/>
      <c r="R461" s="541"/>
      <c r="S461" s="541"/>
      <c r="T461" s="541"/>
      <c r="U461" s="541"/>
      <c r="V461" s="541"/>
      <c r="W461" s="541"/>
      <c r="X461" s="541"/>
      <c r="Y461" s="541"/>
      <c r="Z461" s="541"/>
    </row>
    <row r="462" spans="1:26" ht="18.75" hidden="1">
      <c r="A462" s="572"/>
      <c r="B462" s="584"/>
      <c r="C462" s="584"/>
      <c r="D462" s="584" t="s">
        <v>204</v>
      </c>
      <c r="E462" s="592"/>
      <c r="F462" s="592"/>
      <c r="G462" s="726"/>
      <c r="H462" s="728" t="s">
        <v>46</v>
      </c>
      <c r="I462" s="269">
        <f ca="1">IFERROR(__xludf.DUMMYFUNCTION("IMPORTRANGE(""https://docs.google.com/spreadsheets/d/1QqKyyYR6Q21VydFLVH3TRQUabQu_ym0Zz7PgGX0-kHA/edit?usp=sharing"",""แผน!FO22"")"),0)</f>
        <v>0</v>
      </c>
      <c r="J462" s="214">
        <v>0</v>
      </c>
      <c r="K462" s="465">
        <f ca="1">IF(I462&gt;0,J462*100/I462,0)</f>
        <v>0</v>
      </c>
      <c r="L462" s="465"/>
      <c r="M462" s="465"/>
      <c r="N462" s="465"/>
      <c r="O462" s="465"/>
      <c r="P462" s="465"/>
      <c r="Q462" s="541"/>
      <c r="R462" s="541"/>
      <c r="S462" s="541"/>
      <c r="T462" s="541"/>
      <c r="U462" s="541"/>
      <c r="V462" s="541"/>
      <c r="W462" s="541"/>
      <c r="X462" s="541"/>
      <c r="Y462" s="541"/>
      <c r="Z462" s="541"/>
    </row>
    <row r="463" spans="1:26" ht="18.75" hidden="1">
      <c r="A463" s="572"/>
      <c r="B463" s="584"/>
      <c r="C463" s="584"/>
      <c r="D463" s="584" t="s">
        <v>59</v>
      </c>
      <c r="E463" s="592"/>
      <c r="F463" s="727"/>
      <c r="G463" s="189"/>
      <c r="H463" s="728" t="s">
        <v>46</v>
      </c>
      <c r="I463" s="269">
        <f ca="1">IFERROR(__xludf.DUMMYFUNCTION("IMPORTRANGE(""https://docs.google.com/spreadsheets/d/1QqKyyYR6Q21VydFLVH3TRQUabQu_ym0Zz7PgGX0-kHA/edit?usp=sharing"",""แผน!FO22"")"),0)</f>
        <v>0</v>
      </c>
      <c r="J463" s="214">
        <v>0</v>
      </c>
      <c r="K463" s="465"/>
      <c r="L463" s="465"/>
      <c r="M463" s="465"/>
      <c r="N463" s="465"/>
      <c r="O463" s="465"/>
      <c r="P463" s="465"/>
      <c r="Q463" s="541"/>
      <c r="R463" s="541"/>
      <c r="S463" s="541"/>
      <c r="T463" s="541"/>
      <c r="U463" s="541"/>
      <c r="V463" s="541"/>
      <c r="W463" s="541"/>
      <c r="X463" s="541"/>
      <c r="Y463" s="541"/>
      <c r="Z463" s="541"/>
    </row>
    <row r="464" spans="1:26" ht="19.5" hidden="1">
      <c r="A464" s="572"/>
      <c r="B464" s="584"/>
      <c r="C464" s="584"/>
      <c r="D464" s="584"/>
      <c r="E464" s="592"/>
      <c r="F464" s="592"/>
      <c r="G464" s="586"/>
      <c r="H464" s="728" t="s">
        <v>35</v>
      </c>
      <c r="I464" s="269">
        <f ca="1">IFERROR(__xludf.DUMMYFUNCTION("IMPORTRANGE(""https://docs.google.com/spreadsheets/d/1QqKyyYR6Q21VydFLVH3TRQUabQu_ym0Zz7PgGX0-kHA/edit?usp=sharing"",""แผน!FN22"")"),0)</f>
        <v>0</v>
      </c>
      <c r="J464" s="214">
        <v>0</v>
      </c>
      <c r="K464" s="465"/>
      <c r="L464" s="465"/>
      <c r="M464" s="465"/>
      <c r="N464" s="465"/>
      <c r="O464" s="465"/>
      <c r="P464" s="465"/>
      <c r="Q464" s="541"/>
      <c r="R464" s="541"/>
      <c r="S464" s="541"/>
      <c r="T464" s="541"/>
      <c r="U464" s="541"/>
      <c r="V464" s="541"/>
      <c r="W464" s="541"/>
      <c r="X464" s="541"/>
      <c r="Y464" s="541"/>
      <c r="Z464" s="541"/>
    </row>
    <row r="465" spans="1:26" ht="19.5">
      <c r="A465" s="549">
        <v>3</v>
      </c>
      <c r="B465" s="550" t="s">
        <v>205</v>
      </c>
      <c r="C465" s="551"/>
      <c r="D465" s="551"/>
      <c r="E465" s="551"/>
      <c r="F465" s="551"/>
      <c r="G465" s="552"/>
      <c r="H465" s="553" t="s">
        <v>35</v>
      </c>
      <c r="I465" s="554">
        <f ca="1">IFERROR(__xludf.DUMMYFUNCTION("IMPORTRANGE(""https://docs.google.com/spreadsheets/d/1QqKyyYR6Q21VydFLVH3TRQUabQu_ym0Zz7PgGX0-kHA/edit?usp=sharing"",""แผน!FX22"")"),131)</f>
        <v>131</v>
      </c>
      <c r="J465" s="554">
        <f>J485+J489+J492</f>
        <v>117</v>
      </c>
      <c r="K465" s="555">
        <f t="shared" ref="K465:K466" ca="1" si="204">IF(I465&gt;0,J465*100/I465,0)</f>
        <v>89.312977099236647</v>
      </c>
      <c r="L465" s="556"/>
      <c r="M465" s="556"/>
      <c r="N465" s="556"/>
      <c r="O465" s="556"/>
      <c r="P465" s="556"/>
      <c r="Q465" s="541"/>
      <c r="R465" s="541"/>
      <c r="S465" s="541"/>
      <c r="T465" s="541"/>
      <c r="U465" s="541"/>
      <c r="V465" s="541"/>
      <c r="W465" s="541"/>
      <c r="X465" s="541"/>
      <c r="Y465" s="541"/>
      <c r="Z465" s="541"/>
    </row>
    <row r="466" spans="1:26" ht="19.5">
      <c r="A466" s="557"/>
      <c r="B466" s="558"/>
      <c r="C466" s="559"/>
      <c r="D466" s="559"/>
      <c r="E466" s="559"/>
      <c r="F466" s="559"/>
      <c r="G466" s="560"/>
      <c r="H466" s="531" t="s">
        <v>46</v>
      </c>
      <c r="I466" s="532">
        <f ca="1">IFERROR(__xludf.DUMMYFUNCTION("IMPORTRANGE(""https://docs.google.com/spreadsheets/d/1QqKyyYR6Q21VydFLVH3TRQUabQu_ym0Zz7PgGX0-kHA/edit?usp=sharing"",""แผน!FW22"")"),1300)</f>
        <v>1300</v>
      </c>
      <c r="J466" s="532">
        <f>J483+J487</f>
        <v>1170</v>
      </c>
      <c r="K466" s="533">
        <f t="shared" ca="1" si="204"/>
        <v>90</v>
      </c>
      <c r="L466" s="534"/>
      <c r="M466" s="534"/>
      <c r="N466" s="534"/>
      <c r="O466" s="534"/>
      <c r="P466" s="534"/>
      <c r="Q466" s="541"/>
      <c r="R466" s="541"/>
      <c r="S466" s="541"/>
      <c r="T466" s="541"/>
      <c r="U466" s="541"/>
      <c r="V466" s="541"/>
      <c r="W466" s="541"/>
      <c r="X466" s="541"/>
      <c r="Y466" s="541"/>
      <c r="Z466" s="541"/>
    </row>
    <row r="467" spans="1:26" ht="19.5">
      <c r="A467" s="561"/>
      <c r="B467" s="727"/>
      <c r="C467" s="727" t="s">
        <v>16</v>
      </c>
      <c r="D467" s="811" t="s">
        <v>17</v>
      </c>
      <c r="E467" s="805"/>
      <c r="F467" s="805"/>
      <c r="G467" s="189"/>
      <c r="H467" s="562" t="s">
        <v>12</v>
      </c>
      <c r="I467" s="269"/>
      <c r="J467" s="269"/>
      <c r="K467" s="465"/>
      <c r="L467" s="195">
        <f t="shared" ref="L467:N467" ca="1" si="205">L468+L469</f>
        <v>1161548</v>
      </c>
      <c r="M467" s="195">
        <f t="shared" si="205"/>
        <v>0</v>
      </c>
      <c r="N467" s="195">
        <f t="shared" si="205"/>
        <v>42300</v>
      </c>
      <c r="O467" s="195">
        <f t="shared" ref="O467:O472" ca="1" si="206">IF(L467&gt;0,N467*100/L467,0)</f>
        <v>3.6416919490197563</v>
      </c>
      <c r="P467" s="195">
        <f t="shared" ref="P467:P472" si="207">IF(M467&gt;0,N467*100/M467,0)</f>
        <v>0</v>
      </c>
      <c r="Q467" s="541"/>
      <c r="R467" s="541"/>
      <c r="S467" s="541"/>
      <c r="T467" s="541"/>
      <c r="U467" s="541"/>
      <c r="V467" s="541"/>
      <c r="W467" s="541"/>
      <c r="X467" s="541"/>
      <c r="Y467" s="541"/>
      <c r="Z467" s="541"/>
    </row>
    <row r="468" spans="1:26" ht="18.75" hidden="1">
      <c r="A468" s="563"/>
      <c r="B468" s="723"/>
      <c r="C468" s="723"/>
      <c r="D468" s="684"/>
      <c r="E468" s="723" t="s">
        <v>184</v>
      </c>
      <c r="F468" s="723"/>
      <c r="G468" s="567"/>
      <c r="H468" s="165" t="s">
        <v>12</v>
      </c>
      <c r="I468" s="583"/>
      <c r="J468" s="583"/>
      <c r="K468" s="93"/>
      <c r="L468" s="93">
        <f t="shared" ref="L468:N469" si="208">L471+L478</f>
        <v>0</v>
      </c>
      <c r="M468" s="93">
        <f t="shared" si="208"/>
        <v>0</v>
      </c>
      <c r="N468" s="93">
        <f t="shared" si="208"/>
        <v>0</v>
      </c>
      <c r="O468" s="93">
        <f t="shared" si="206"/>
        <v>0</v>
      </c>
      <c r="P468" s="93">
        <f t="shared" si="207"/>
        <v>0</v>
      </c>
      <c r="Q468" s="568"/>
      <c r="R468" s="568"/>
      <c r="S468" s="568"/>
      <c r="T468" s="568"/>
      <c r="U468" s="568"/>
      <c r="V468" s="568"/>
      <c r="W468" s="568"/>
      <c r="X468" s="568"/>
      <c r="Y468" s="568"/>
      <c r="Z468" s="568"/>
    </row>
    <row r="469" spans="1:26" ht="18.75" hidden="1">
      <c r="A469" s="563"/>
      <c r="B469" s="571"/>
      <c r="C469" s="723"/>
      <c r="D469" s="684"/>
      <c r="E469" s="723" t="s">
        <v>185</v>
      </c>
      <c r="F469" s="723"/>
      <c r="G469" s="567"/>
      <c r="H469" s="165" t="s">
        <v>12</v>
      </c>
      <c r="I469" s="583"/>
      <c r="J469" s="583"/>
      <c r="K469" s="93"/>
      <c r="L469" s="93">
        <f t="shared" ca="1" si="208"/>
        <v>1161548</v>
      </c>
      <c r="M469" s="93">
        <f t="shared" si="208"/>
        <v>0</v>
      </c>
      <c r="N469" s="93">
        <f t="shared" si="208"/>
        <v>42300</v>
      </c>
      <c r="O469" s="93">
        <f t="shared" ca="1" si="206"/>
        <v>3.6416919490197563</v>
      </c>
      <c r="P469" s="93">
        <f t="shared" si="207"/>
        <v>0</v>
      </c>
      <c r="Q469" s="568"/>
      <c r="R469" s="568"/>
      <c r="S469" s="568"/>
      <c r="T469" s="568"/>
      <c r="U469" s="568"/>
      <c r="V469" s="568"/>
      <c r="W469" s="568"/>
      <c r="X469" s="568"/>
      <c r="Y469" s="568"/>
      <c r="Z469" s="568"/>
    </row>
    <row r="470" spans="1:26" ht="18.75">
      <c r="A470" s="561"/>
      <c r="B470" s="538"/>
      <c r="C470" s="727"/>
      <c r="D470" s="570" t="s">
        <v>20</v>
      </c>
      <c r="E470" s="727"/>
      <c r="F470" s="727"/>
      <c r="G470" s="189"/>
      <c r="H470" s="161" t="s">
        <v>12</v>
      </c>
      <c r="I470" s="184"/>
      <c r="J470" s="184"/>
      <c r="K470" s="163"/>
      <c r="L470" s="465">
        <f t="shared" ref="L470:N470" ca="1" si="209">L471+L472</f>
        <v>1161548</v>
      </c>
      <c r="M470" s="465">
        <f t="shared" si="209"/>
        <v>0</v>
      </c>
      <c r="N470" s="465">
        <f t="shared" si="209"/>
        <v>42300</v>
      </c>
      <c r="O470" s="465">
        <f t="shared" ca="1" si="206"/>
        <v>3.6416919490197563</v>
      </c>
      <c r="P470" s="465">
        <f t="shared" si="207"/>
        <v>0</v>
      </c>
      <c r="Q470" s="541"/>
      <c r="R470" s="541"/>
      <c r="S470" s="541"/>
      <c r="T470" s="541"/>
      <c r="U470" s="541"/>
      <c r="V470" s="541"/>
      <c r="W470" s="541"/>
      <c r="X470" s="541"/>
      <c r="Y470" s="541"/>
      <c r="Z470" s="541"/>
    </row>
    <row r="471" spans="1:26" ht="18.75" hidden="1">
      <c r="A471" s="563"/>
      <c r="B471" s="571"/>
      <c r="C471" s="723"/>
      <c r="D471" s="684"/>
      <c r="E471" s="723" t="s">
        <v>184</v>
      </c>
      <c r="F471" s="723"/>
      <c r="G471" s="567"/>
      <c r="H471" s="165" t="s">
        <v>12</v>
      </c>
      <c r="I471" s="583"/>
      <c r="J471" s="583"/>
      <c r="K471" s="93"/>
      <c r="L471" s="93">
        <v>0</v>
      </c>
      <c r="M471" s="93">
        <v>0</v>
      </c>
      <c r="N471" s="93">
        <v>0</v>
      </c>
      <c r="O471" s="93">
        <f t="shared" si="206"/>
        <v>0</v>
      </c>
      <c r="P471" s="93">
        <f t="shared" si="207"/>
        <v>0</v>
      </c>
      <c r="Q471" s="568"/>
      <c r="R471" s="568"/>
      <c r="S471" s="568"/>
      <c r="T471" s="568"/>
      <c r="U471" s="568"/>
      <c r="V471" s="568"/>
      <c r="W471" s="568"/>
      <c r="X471" s="568"/>
      <c r="Y471" s="568"/>
      <c r="Z471" s="568"/>
    </row>
    <row r="472" spans="1:26" ht="18.75" hidden="1">
      <c r="A472" s="563"/>
      <c r="B472" s="571"/>
      <c r="C472" s="723"/>
      <c r="D472" s="684"/>
      <c r="E472" s="723" t="s">
        <v>185</v>
      </c>
      <c r="F472" s="723"/>
      <c r="G472" s="567"/>
      <c r="H472" s="165" t="s">
        <v>12</v>
      </c>
      <c r="I472" s="583"/>
      <c r="J472" s="583"/>
      <c r="K472" s="93"/>
      <c r="L472" s="93">
        <f ca="1">IFERROR(__xludf.DUMMYFUNCTION("IMPORTRANGE(""https://docs.google.com/spreadsheets/d/1QqKyyYR6Q21VydFLVH3TRQUabQu_ym0Zz7PgGX0-kHA/edit?usp=sharing"",""แผน!FS22"")"),1161548)</f>
        <v>1161548</v>
      </c>
      <c r="M472" s="93">
        <v>0</v>
      </c>
      <c r="N472" s="93">
        <f>N473+N474+N475+N476</f>
        <v>42300</v>
      </c>
      <c r="O472" s="93">
        <f t="shared" ca="1" si="206"/>
        <v>3.6416919490197563</v>
      </c>
      <c r="P472" s="93">
        <f t="shared" si="207"/>
        <v>0</v>
      </c>
      <c r="Q472" s="568"/>
      <c r="R472" s="568"/>
      <c r="S472" s="568"/>
      <c r="T472" s="568"/>
      <c r="U472" s="568"/>
      <c r="V472" s="568"/>
      <c r="W472" s="568"/>
      <c r="X472" s="568"/>
      <c r="Y472" s="568"/>
      <c r="Z472" s="568"/>
    </row>
    <row r="473" spans="1:26" ht="18.75">
      <c r="A473" s="537"/>
      <c r="B473" s="538"/>
      <c r="C473" s="727"/>
      <c r="D473" s="727"/>
      <c r="E473" s="727"/>
      <c r="F473" s="727" t="s">
        <v>186</v>
      </c>
      <c r="G473" s="189"/>
      <c r="H473" s="161" t="s">
        <v>12</v>
      </c>
      <c r="I473" s="269"/>
      <c r="J473" s="269"/>
      <c r="K473" s="465"/>
      <c r="L473" s="465"/>
      <c r="M473" s="465"/>
      <c r="N473" s="789">
        <v>28060</v>
      </c>
      <c r="O473" s="465"/>
      <c r="P473" s="465"/>
      <c r="Q473" s="541"/>
      <c r="R473" s="541"/>
      <c r="S473" s="541"/>
      <c r="T473" s="541"/>
      <c r="U473" s="541"/>
      <c r="V473" s="541"/>
      <c r="W473" s="541"/>
      <c r="X473" s="541"/>
      <c r="Y473" s="541"/>
      <c r="Z473" s="541"/>
    </row>
    <row r="474" spans="1:26" ht="18.75">
      <c r="A474" s="537"/>
      <c r="B474" s="538"/>
      <c r="C474" s="727"/>
      <c r="D474" s="727"/>
      <c r="E474" s="727"/>
      <c r="F474" s="727" t="s">
        <v>187</v>
      </c>
      <c r="G474" s="189"/>
      <c r="H474" s="161" t="s">
        <v>12</v>
      </c>
      <c r="I474" s="269"/>
      <c r="J474" s="269"/>
      <c r="K474" s="465"/>
      <c r="L474" s="465"/>
      <c r="M474" s="465"/>
      <c r="N474" s="789">
        <v>0</v>
      </c>
      <c r="O474" s="465"/>
      <c r="P474" s="465"/>
      <c r="Q474" s="541"/>
      <c r="R474" s="541"/>
      <c r="S474" s="541"/>
      <c r="T474" s="541"/>
      <c r="U474" s="541"/>
      <c r="V474" s="541"/>
      <c r="W474" s="541"/>
      <c r="X474" s="541"/>
      <c r="Y474" s="541"/>
      <c r="Z474" s="541"/>
    </row>
    <row r="475" spans="1:26" ht="18.75">
      <c r="A475" s="537"/>
      <c r="B475" s="538"/>
      <c r="C475" s="538"/>
      <c r="D475" s="538"/>
      <c r="E475" s="538"/>
      <c r="F475" s="727" t="s">
        <v>188</v>
      </c>
      <c r="G475" s="189"/>
      <c r="H475" s="161" t="s">
        <v>12</v>
      </c>
      <c r="I475" s="269"/>
      <c r="J475" s="269"/>
      <c r="K475" s="465"/>
      <c r="L475" s="465"/>
      <c r="M475" s="465"/>
      <c r="N475" s="789">
        <v>13000</v>
      </c>
      <c r="O475" s="465"/>
      <c r="P475" s="465"/>
      <c r="Q475" s="541"/>
      <c r="R475" s="541"/>
      <c r="S475" s="541"/>
      <c r="T475" s="541"/>
      <c r="U475" s="541"/>
      <c r="V475" s="541"/>
      <c r="W475" s="541"/>
      <c r="X475" s="541"/>
      <c r="Y475" s="541"/>
      <c r="Z475" s="541"/>
    </row>
    <row r="476" spans="1:26" ht="18.75">
      <c r="A476" s="537"/>
      <c r="B476" s="538"/>
      <c r="C476" s="538"/>
      <c r="D476" s="538"/>
      <c r="E476" s="538"/>
      <c r="F476" s="727" t="s">
        <v>189</v>
      </c>
      <c r="G476" s="189"/>
      <c r="H476" s="161" t="s">
        <v>12</v>
      </c>
      <c r="I476" s="269"/>
      <c r="J476" s="269"/>
      <c r="K476" s="465"/>
      <c r="L476" s="465"/>
      <c r="M476" s="465"/>
      <c r="N476" s="789">
        <v>1240</v>
      </c>
      <c r="O476" s="465"/>
      <c r="P476" s="465"/>
      <c r="Q476" s="541"/>
      <c r="R476" s="541"/>
      <c r="S476" s="541"/>
      <c r="T476" s="541"/>
      <c r="U476" s="541"/>
      <c r="V476" s="541"/>
      <c r="W476" s="541"/>
      <c r="X476" s="541"/>
      <c r="Y476" s="541"/>
      <c r="Z476" s="541"/>
    </row>
    <row r="477" spans="1:26" ht="18.75">
      <c r="A477" s="561"/>
      <c r="B477" s="538"/>
      <c r="C477" s="538"/>
      <c r="D477" s="570" t="s">
        <v>21</v>
      </c>
      <c r="E477" s="538"/>
      <c r="F477" s="538"/>
      <c r="G477" s="189"/>
      <c r="H477" s="168" t="s">
        <v>12</v>
      </c>
      <c r="I477" s="184"/>
      <c r="J477" s="184"/>
      <c r="K477" s="163"/>
      <c r="L477" s="465">
        <f t="shared" ref="L477:N477" ca="1" si="210">L478+L479</f>
        <v>0</v>
      </c>
      <c r="M477" s="465">
        <f t="shared" si="210"/>
        <v>0</v>
      </c>
      <c r="N477" s="465">
        <f t="shared" si="210"/>
        <v>0</v>
      </c>
      <c r="O477" s="465">
        <f t="shared" ref="O477:O479" ca="1" si="211">IF(L477&gt;0,N477*100/L477,0)</f>
        <v>0</v>
      </c>
      <c r="P477" s="465">
        <f t="shared" ref="P477:P479" si="212">IF(M477&gt;0,N477*100/M477,0)</f>
        <v>0</v>
      </c>
      <c r="Q477" s="541"/>
      <c r="R477" s="541"/>
      <c r="S477" s="541"/>
      <c r="T477" s="541"/>
      <c r="U477" s="541"/>
      <c r="V477" s="541"/>
      <c r="W477" s="541"/>
      <c r="X477" s="541"/>
      <c r="Y477" s="541"/>
      <c r="Z477" s="541"/>
    </row>
    <row r="478" spans="1:26" ht="18.75" hidden="1">
      <c r="A478" s="563"/>
      <c r="B478" s="571"/>
      <c r="C478" s="571"/>
      <c r="D478" s="571"/>
      <c r="E478" s="571" t="s">
        <v>18</v>
      </c>
      <c r="F478" s="571"/>
      <c r="G478" s="567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1"/>
        <v>0</v>
      </c>
      <c r="P478" s="93">
        <f t="shared" si="212"/>
        <v>0</v>
      </c>
      <c r="Q478" s="568"/>
      <c r="R478" s="568"/>
      <c r="S478" s="568"/>
      <c r="T478" s="568"/>
      <c r="U478" s="568"/>
      <c r="V478" s="568"/>
      <c r="W478" s="568"/>
      <c r="X478" s="568"/>
      <c r="Y478" s="568"/>
      <c r="Z478" s="568"/>
    </row>
    <row r="479" spans="1:26" ht="18.75" hidden="1">
      <c r="A479" s="563"/>
      <c r="B479" s="571"/>
      <c r="C479" s="571"/>
      <c r="D479" s="571"/>
      <c r="E479" s="571" t="s">
        <v>19</v>
      </c>
      <c r="F479" s="571"/>
      <c r="G479" s="567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IFERROR(__xludf.DUMMYFUNCTION("IMPORTRANGE(""https://docs.google.com/spreadsheets/d/1QqKyyYR6Q21VydFLVH3TRQUabQu_ym0Zz7PgGX0-kHA/edit?usp=sharing"",""แผน!FV22"")"),0)</f>
        <v>0</v>
      </c>
      <c r="M479" s="93">
        <v>0</v>
      </c>
      <c r="N479" s="93">
        <v>0</v>
      </c>
      <c r="O479" s="93">
        <f t="shared" ca="1" si="211"/>
        <v>0</v>
      </c>
      <c r="P479" s="93">
        <f t="shared" si="212"/>
        <v>0</v>
      </c>
      <c r="Q479" s="568"/>
      <c r="R479" s="568"/>
      <c r="S479" s="568"/>
      <c r="T479" s="568"/>
      <c r="U479" s="568"/>
      <c r="V479" s="568"/>
      <c r="W479" s="568"/>
      <c r="X479" s="568"/>
      <c r="Y479" s="568"/>
      <c r="Z479" s="568"/>
    </row>
    <row r="480" spans="1:26" ht="19.5">
      <c r="A480" s="572"/>
      <c r="B480" s="584"/>
      <c r="C480" s="538" t="s">
        <v>16</v>
      </c>
      <c r="D480" s="851" t="s">
        <v>38</v>
      </c>
      <c r="E480" s="575"/>
      <c r="F480" s="725"/>
      <c r="G480" s="577"/>
      <c r="H480" s="726"/>
      <c r="I480" s="269"/>
      <c r="J480" s="269"/>
      <c r="K480" s="465"/>
      <c r="L480" s="465"/>
      <c r="M480" s="465"/>
      <c r="N480" s="465"/>
      <c r="O480" s="465"/>
      <c r="P480" s="465"/>
      <c r="Q480" s="541"/>
      <c r="R480" s="541"/>
      <c r="S480" s="541"/>
      <c r="T480" s="541"/>
      <c r="U480" s="541"/>
      <c r="V480" s="541"/>
      <c r="W480" s="541"/>
      <c r="X480" s="541"/>
      <c r="Y480" s="541"/>
      <c r="Z480" s="541"/>
    </row>
    <row r="481" spans="1:26" ht="19.5">
      <c r="A481" s="572"/>
      <c r="B481" s="584"/>
      <c r="C481" s="584"/>
      <c r="D481" s="591" t="s">
        <v>206</v>
      </c>
      <c r="E481" s="584"/>
      <c r="F481" s="584"/>
      <c r="G481" s="726"/>
      <c r="H481" s="189"/>
      <c r="I481" s="269"/>
      <c r="J481" s="269"/>
      <c r="K481" s="465"/>
      <c r="L481" s="465"/>
      <c r="M481" s="465"/>
      <c r="N481" s="465"/>
      <c r="O481" s="465"/>
      <c r="P481" s="465"/>
      <c r="Q481" s="541"/>
      <c r="R481" s="541"/>
      <c r="S481" s="541"/>
      <c r="T481" s="541"/>
      <c r="U481" s="541"/>
      <c r="V481" s="541"/>
      <c r="W481" s="541"/>
      <c r="X481" s="541"/>
      <c r="Y481" s="541"/>
      <c r="Z481" s="541"/>
    </row>
    <row r="482" spans="1:26" ht="18.75">
      <c r="A482" s="572"/>
      <c r="B482" s="584"/>
      <c r="C482" s="584"/>
      <c r="D482" s="584"/>
      <c r="E482" s="584" t="s">
        <v>207</v>
      </c>
      <c r="F482" s="584"/>
      <c r="G482" s="726"/>
      <c r="H482" s="189"/>
      <c r="I482" s="269"/>
      <c r="J482" s="269"/>
      <c r="K482" s="465"/>
      <c r="L482" s="465"/>
      <c r="M482" s="465"/>
      <c r="N482" s="465"/>
      <c r="O482" s="465"/>
      <c r="P482" s="465"/>
      <c r="Q482" s="541"/>
      <c r="R482" s="541"/>
      <c r="S482" s="541"/>
      <c r="T482" s="541"/>
      <c r="U482" s="541"/>
      <c r="V482" s="541"/>
      <c r="W482" s="541"/>
      <c r="X482" s="541"/>
      <c r="Y482" s="541"/>
      <c r="Z482" s="541"/>
    </row>
    <row r="483" spans="1:26" ht="18.75">
      <c r="A483" s="572"/>
      <c r="B483" s="584"/>
      <c r="C483" s="584"/>
      <c r="D483" s="584"/>
      <c r="E483" s="584"/>
      <c r="F483" s="584" t="s">
        <v>208</v>
      </c>
      <c r="G483" s="726"/>
      <c r="H483" s="589" t="s">
        <v>46</v>
      </c>
      <c r="I483" s="269">
        <f ca="1">IFERROR(__xludf.DUMMYFUNCTION("IMPORTRANGE(""https://docs.google.com/spreadsheets/d/1QqKyyYR6Q21VydFLVH3TRQUabQu_ym0Zz7PgGX0-kHA/edit?usp=sharing"",""แผน!FY22"")"),1170)</f>
        <v>1170</v>
      </c>
      <c r="J483" s="214">
        <v>1170</v>
      </c>
      <c r="K483" s="465">
        <f ca="1">IF(I483&gt;0,J483*100/I483,0)</f>
        <v>100</v>
      </c>
      <c r="L483" s="465"/>
      <c r="M483" s="465"/>
      <c r="N483" s="465"/>
      <c r="O483" s="465"/>
      <c r="P483" s="465"/>
      <c r="Q483" s="541"/>
      <c r="R483" s="541"/>
      <c r="S483" s="541"/>
      <c r="T483" s="541"/>
      <c r="U483" s="541"/>
      <c r="V483" s="541"/>
      <c r="W483" s="541"/>
      <c r="X483" s="541"/>
      <c r="Y483" s="541"/>
      <c r="Z483" s="541"/>
    </row>
    <row r="484" spans="1:26" ht="18.75">
      <c r="A484" s="572"/>
      <c r="B484" s="584"/>
      <c r="C484" s="584"/>
      <c r="D484" s="584"/>
      <c r="E484" s="584"/>
      <c r="F484" s="584" t="s">
        <v>209</v>
      </c>
      <c r="G484" s="726"/>
      <c r="H484" s="589" t="s">
        <v>35</v>
      </c>
      <c r="I484" s="269"/>
      <c r="J484" s="214">
        <v>0</v>
      </c>
      <c r="K484" s="465"/>
      <c r="L484" s="465"/>
      <c r="M484" s="465"/>
      <c r="N484" s="465"/>
      <c r="O484" s="465"/>
      <c r="P484" s="465"/>
      <c r="Q484" s="541"/>
      <c r="R484" s="541"/>
      <c r="S484" s="541"/>
      <c r="T484" s="541"/>
      <c r="U484" s="541"/>
      <c r="V484" s="541"/>
      <c r="W484" s="541"/>
      <c r="X484" s="541"/>
      <c r="Y484" s="541"/>
      <c r="Z484" s="541"/>
    </row>
    <row r="485" spans="1:26" ht="18.75">
      <c r="A485" s="572"/>
      <c r="B485" s="584"/>
      <c r="C485" s="584"/>
      <c r="D485" s="584"/>
      <c r="E485" s="584"/>
      <c r="F485" s="584" t="s">
        <v>210</v>
      </c>
      <c r="G485" s="726"/>
      <c r="H485" s="589" t="s">
        <v>35</v>
      </c>
      <c r="I485" s="269">
        <f ca="1">IFERROR(__xludf.DUMMYFUNCTION("IMPORTRANGE(""https://docs.google.com/spreadsheets/d/1QqKyyYR6Q21VydFLVH3TRQUabQu_ym0Zz7PgGX0-kHA/edit?usp=sharing"",""แผน!FZ22"")"),117)</f>
        <v>117</v>
      </c>
      <c r="J485" s="214">
        <v>117</v>
      </c>
      <c r="K485" s="465">
        <f ca="1">IF(I485&gt;0,J485*100/I485,0)</f>
        <v>100</v>
      </c>
      <c r="L485" s="465"/>
      <c r="M485" s="465"/>
      <c r="N485" s="465"/>
      <c r="O485" s="465"/>
      <c r="P485" s="465"/>
      <c r="Q485" s="541"/>
      <c r="R485" s="541"/>
      <c r="S485" s="541"/>
      <c r="T485" s="541"/>
      <c r="U485" s="541"/>
      <c r="V485" s="541"/>
      <c r="W485" s="541"/>
      <c r="X485" s="541"/>
      <c r="Y485" s="541"/>
      <c r="Z485" s="541"/>
    </row>
    <row r="486" spans="1:26" ht="18.75">
      <c r="A486" s="572"/>
      <c r="B486" s="584"/>
      <c r="C486" s="584"/>
      <c r="D486" s="584"/>
      <c r="E486" s="584" t="s">
        <v>62</v>
      </c>
      <c r="F486" s="584"/>
      <c r="G486" s="726"/>
      <c r="H486" s="589"/>
      <c r="I486" s="269"/>
      <c r="J486" s="269"/>
      <c r="K486" s="465"/>
      <c r="L486" s="465"/>
      <c r="M486" s="465"/>
      <c r="N486" s="465"/>
      <c r="O486" s="465"/>
      <c r="P486" s="465"/>
      <c r="Q486" s="541"/>
      <c r="R486" s="541"/>
      <c r="S486" s="541"/>
      <c r="T486" s="541"/>
      <c r="U486" s="541"/>
      <c r="V486" s="541"/>
      <c r="W486" s="541"/>
      <c r="X486" s="541"/>
      <c r="Y486" s="541"/>
      <c r="Z486" s="541"/>
    </row>
    <row r="487" spans="1:26" ht="18.75">
      <c r="A487" s="572"/>
      <c r="B487" s="584"/>
      <c r="C487" s="584"/>
      <c r="D487" s="584"/>
      <c r="E487" s="584"/>
      <c r="F487" s="584" t="s">
        <v>208</v>
      </c>
      <c r="G487" s="726"/>
      <c r="H487" s="589" t="s">
        <v>46</v>
      </c>
      <c r="I487" s="269">
        <f ca="1">IFERROR(__xludf.DUMMYFUNCTION("IMPORTRANGE(""https://docs.google.com/spreadsheets/d/1QqKyyYR6Q21VydFLVH3TRQUabQu_ym0Zz7PgGX0-kHA/edit?usp=sharing"",""แผน!GA22"")"),130)</f>
        <v>130</v>
      </c>
      <c r="J487" s="214">
        <v>0</v>
      </c>
      <c r="K487" s="465">
        <f ca="1">IF(I487&gt;0,J487*100/I487,0)</f>
        <v>0</v>
      </c>
      <c r="L487" s="465"/>
      <c r="M487" s="465"/>
      <c r="N487" s="465"/>
      <c r="O487" s="465"/>
      <c r="P487" s="465"/>
      <c r="Q487" s="541"/>
      <c r="R487" s="541"/>
      <c r="S487" s="541"/>
      <c r="T487" s="541"/>
      <c r="U487" s="541"/>
      <c r="V487" s="541"/>
      <c r="W487" s="541"/>
      <c r="X487" s="541"/>
      <c r="Y487" s="541"/>
      <c r="Z487" s="541"/>
    </row>
    <row r="488" spans="1:26" ht="18.75">
      <c r="A488" s="572"/>
      <c r="B488" s="584"/>
      <c r="C488" s="584"/>
      <c r="D488" s="584"/>
      <c r="E488" s="584"/>
      <c r="F488" s="584" t="s">
        <v>211</v>
      </c>
      <c r="G488" s="726"/>
      <c r="H488" s="589" t="s">
        <v>35</v>
      </c>
      <c r="I488" s="269"/>
      <c r="J488" s="214">
        <v>0</v>
      </c>
      <c r="K488" s="465"/>
      <c r="L488" s="465"/>
      <c r="M488" s="465"/>
      <c r="N488" s="465"/>
      <c r="O488" s="465"/>
      <c r="P488" s="465"/>
      <c r="Q488" s="541"/>
      <c r="R488" s="541"/>
      <c r="S488" s="541"/>
      <c r="T488" s="541"/>
      <c r="U488" s="541"/>
      <c r="V488" s="541"/>
      <c r="W488" s="541"/>
      <c r="X488" s="541"/>
      <c r="Y488" s="541"/>
      <c r="Z488" s="541"/>
    </row>
    <row r="489" spans="1:26" ht="18.75">
      <c r="A489" s="572"/>
      <c r="B489" s="584"/>
      <c r="C489" s="584"/>
      <c r="D489" s="584"/>
      <c r="E489" s="584"/>
      <c r="F489" s="584" t="s">
        <v>212</v>
      </c>
      <c r="G489" s="726"/>
      <c r="H489" s="589" t="s">
        <v>35</v>
      </c>
      <c r="I489" s="269">
        <f ca="1">IFERROR(__xludf.DUMMYFUNCTION("IMPORTRANGE(""https://docs.google.com/spreadsheets/d/1QqKyyYR6Q21VydFLVH3TRQUabQu_ym0Zz7PgGX0-kHA/edit?usp=sharing"",""แผน!GB22"")"),13)</f>
        <v>13</v>
      </c>
      <c r="J489" s="214">
        <v>0</v>
      </c>
      <c r="K489" s="465">
        <f ca="1">IF(I489&gt;0,J489*100/I489,0)</f>
        <v>0</v>
      </c>
      <c r="L489" s="465"/>
      <c r="M489" s="465"/>
      <c r="N489" s="465"/>
      <c r="O489" s="465"/>
      <c r="P489" s="465"/>
      <c r="Q489" s="541"/>
      <c r="R489" s="541"/>
      <c r="S489" s="541"/>
      <c r="T489" s="541"/>
      <c r="U489" s="541"/>
      <c r="V489" s="541"/>
      <c r="W489" s="541"/>
      <c r="X489" s="541"/>
      <c r="Y489" s="541"/>
      <c r="Z489" s="541"/>
    </row>
    <row r="490" spans="1:26" ht="18.75">
      <c r="A490" s="572"/>
      <c r="B490" s="584"/>
      <c r="C490" s="584"/>
      <c r="D490" s="584"/>
      <c r="E490" s="584" t="s">
        <v>63</v>
      </c>
      <c r="F490" s="592"/>
      <c r="G490" s="726"/>
      <c r="H490" s="589"/>
      <c r="I490" s="269"/>
      <c r="J490" s="269"/>
      <c r="K490" s="465"/>
      <c r="L490" s="465"/>
      <c r="M490" s="465"/>
      <c r="N490" s="465"/>
      <c r="O490" s="465"/>
      <c r="P490" s="465"/>
      <c r="Q490" s="541"/>
      <c r="R490" s="541"/>
      <c r="S490" s="541"/>
      <c r="T490" s="541"/>
      <c r="U490" s="541"/>
      <c r="V490" s="541"/>
      <c r="W490" s="541"/>
      <c r="X490" s="541"/>
      <c r="Y490" s="541"/>
      <c r="Z490" s="541"/>
    </row>
    <row r="491" spans="1:26" ht="18.75">
      <c r="A491" s="572"/>
      <c r="B491" s="584"/>
      <c r="C491" s="584"/>
      <c r="D491" s="584"/>
      <c r="E491" s="584"/>
      <c r="F491" s="584" t="s">
        <v>213</v>
      </c>
      <c r="G491" s="726"/>
      <c r="H491" s="589" t="s">
        <v>35</v>
      </c>
      <c r="I491" s="269"/>
      <c r="J491" s="214">
        <v>0</v>
      </c>
      <c r="K491" s="465"/>
      <c r="L491" s="465"/>
      <c r="M491" s="465"/>
      <c r="N491" s="465"/>
      <c r="O491" s="465"/>
      <c r="P491" s="465"/>
      <c r="Q491" s="541"/>
      <c r="R491" s="541"/>
      <c r="S491" s="541"/>
      <c r="T491" s="541"/>
      <c r="U491" s="541"/>
      <c r="V491" s="541"/>
      <c r="W491" s="541"/>
      <c r="X491" s="541"/>
      <c r="Y491" s="541"/>
      <c r="Z491" s="541"/>
    </row>
    <row r="492" spans="1:26" ht="18.75">
      <c r="A492" s="572"/>
      <c r="B492" s="584"/>
      <c r="C492" s="584"/>
      <c r="D492" s="584"/>
      <c r="E492" s="584"/>
      <c r="F492" s="584" t="s">
        <v>214</v>
      </c>
      <c r="G492" s="726"/>
      <c r="H492" s="589" t="s">
        <v>35</v>
      </c>
      <c r="I492" s="269">
        <f ca="1">IFERROR(__xludf.DUMMYFUNCTION("IMPORTRANGE(""https://docs.google.com/spreadsheets/d/1QqKyyYR6Q21VydFLVH3TRQUabQu_ym0Zz7PgGX0-kHA/edit?usp=sharing"",""แผน!GC22"")"),1)</f>
        <v>1</v>
      </c>
      <c r="J492" s="214">
        <v>0</v>
      </c>
      <c r="K492" s="465">
        <f ca="1">IF(I492&gt;0,J492*100/I492,0)</f>
        <v>0</v>
      </c>
      <c r="L492" s="465"/>
      <c r="M492" s="465"/>
      <c r="N492" s="465"/>
      <c r="O492" s="465"/>
      <c r="P492" s="465"/>
      <c r="Q492" s="541"/>
      <c r="R492" s="541"/>
      <c r="S492" s="541"/>
      <c r="T492" s="541"/>
      <c r="U492" s="541"/>
      <c r="V492" s="541"/>
      <c r="W492" s="541"/>
      <c r="X492" s="541"/>
      <c r="Y492" s="541"/>
      <c r="Z492" s="541"/>
    </row>
    <row r="493" spans="1:26" ht="19.5">
      <c r="A493" s="572"/>
      <c r="B493" s="584"/>
      <c r="C493" s="584"/>
      <c r="D493" s="591" t="s">
        <v>59</v>
      </c>
      <c r="E493" s="584"/>
      <c r="F493" s="592"/>
      <c r="G493" s="726"/>
      <c r="H493" s="189"/>
      <c r="I493" s="269"/>
      <c r="J493" s="269"/>
      <c r="K493" s="465"/>
      <c r="L493" s="465"/>
      <c r="M493" s="465"/>
      <c r="N493" s="465"/>
      <c r="O493" s="465"/>
      <c r="P493" s="465"/>
      <c r="Q493" s="541"/>
      <c r="R493" s="541"/>
      <c r="S493" s="541"/>
      <c r="T493" s="541"/>
      <c r="U493" s="541"/>
      <c r="V493" s="541"/>
      <c r="W493" s="541"/>
      <c r="X493" s="541"/>
      <c r="Y493" s="541"/>
      <c r="Z493" s="541"/>
    </row>
    <row r="494" spans="1:26" ht="18.75">
      <c r="A494" s="572"/>
      <c r="B494" s="584"/>
      <c r="C494" s="584"/>
      <c r="D494" s="584"/>
      <c r="E494" s="584" t="s">
        <v>207</v>
      </c>
      <c r="F494" s="592"/>
      <c r="G494" s="726"/>
      <c r="H494" s="189"/>
      <c r="I494" s="269"/>
      <c r="J494" s="269"/>
      <c r="K494" s="465"/>
      <c r="L494" s="465"/>
      <c r="M494" s="465"/>
      <c r="N494" s="465"/>
      <c r="O494" s="465"/>
      <c r="P494" s="465"/>
      <c r="Q494" s="541"/>
      <c r="R494" s="541"/>
      <c r="S494" s="541"/>
      <c r="T494" s="541"/>
      <c r="U494" s="541"/>
      <c r="V494" s="541"/>
      <c r="W494" s="541"/>
      <c r="X494" s="541"/>
      <c r="Y494" s="541"/>
      <c r="Z494" s="541"/>
    </row>
    <row r="495" spans="1:26" ht="18.75">
      <c r="A495" s="572"/>
      <c r="B495" s="584"/>
      <c r="C495" s="584"/>
      <c r="D495" s="584"/>
      <c r="E495" s="584"/>
      <c r="F495" s="592" t="s">
        <v>215</v>
      </c>
      <c r="G495" s="726"/>
      <c r="H495" s="589" t="s">
        <v>46</v>
      </c>
      <c r="I495" s="269">
        <f ca="1">IFERROR(__xludf.DUMMYFUNCTION("IMPORTRANGE(""https://docs.google.com/spreadsheets/d/1QqKyyYR6Q21VydFLVH3TRQUabQu_ym0Zz7PgGX0-kHA/edit?usp=sharing"",""แผน!FY22"")"),1170)</f>
        <v>1170</v>
      </c>
      <c r="J495" s="214">
        <v>0</v>
      </c>
      <c r="K495" s="465">
        <f ca="1">IF(I495&gt;0,J495*100/I495,0)</f>
        <v>0</v>
      </c>
      <c r="L495" s="465"/>
      <c r="M495" s="465"/>
      <c r="N495" s="465"/>
      <c r="O495" s="465"/>
      <c r="P495" s="465"/>
      <c r="Q495" s="541"/>
      <c r="R495" s="541"/>
      <c r="S495" s="541"/>
      <c r="T495" s="541"/>
      <c r="U495" s="541"/>
      <c r="V495" s="541"/>
      <c r="W495" s="541"/>
      <c r="X495" s="541"/>
      <c r="Y495" s="541"/>
      <c r="Z495" s="541"/>
    </row>
    <row r="496" spans="1:26" ht="18.75">
      <c r="A496" s="572"/>
      <c r="B496" s="584"/>
      <c r="C496" s="584"/>
      <c r="D496" s="584"/>
      <c r="E496" s="584"/>
      <c r="F496" s="592" t="s">
        <v>216</v>
      </c>
      <c r="G496" s="726"/>
      <c r="H496" s="589" t="s">
        <v>46</v>
      </c>
      <c r="I496" s="269"/>
      <c r="J496" s="214">
        <v>0</v>
      </c>
      <c r="K496" s="465"/>
      <c r="L496" s="465"/>
      <c r="M496" s="465"/>
      <c r="N496" s="465"/>
      <c r="O496" s="465"/>
      <c r="P496" s="465"/>
      <c r="Q496" s="541"/>
      <c r="R496" s="541"/>
      <c r="S496" s="541"/>
      <c r="T496" s="541"/>
      <c r="U496" s="541"/>
      <c r="V496" s="541"/>
      <c r="W496" s="541"/>
      <c r="X496" s="541"/>
      <c r="Y496" s="541"/>
      <c r="Z496" s="541"/>
    </row>
    <row r="497" spans="1:26" ht="18.75">
      <c r="A497" s="572"/>
      <c r="B497" s="584"/>
      <c r="C497" s="584"/>
      <c r="D497" s="584"/>
      <c r="E497" s="584" t="s">
        <v>62</v>
      </c>
      <c r="F497" s="592"/>
      <c r="G497" s="726"/>
      <c r="H497" s="189"/>
      <c r="I497" s="269"/>
      <c r="J497" s="269"/>
      <c r="K497" s="465"/>
      <c r="L497" s="465"/>
      <c r="M497" s="465"/>
      <c r="N497" s="465"/>
      <c r="O497" s="465"/>
      <c r="P497" s="465"/>
      <c r="Q497" s="541"/>
      <c r="R497" s="541"/>
      <c r="S497" s="541"/>
      <c r="T497" s="541"/>
      <c r="U497" s="541"/>
      <c r="V497" s="541"/>
      <c r="W497" s="541"/>
      <c r="X497" s="541"/>
      <c r="Y497" s="541"/>
      <c r="Z497" s="541"/>
    </row>
    <row r="498" spans="1:26" ht="18.75">
      <c r="A498" s="572"/>
      <c r="B498" s="584"/>
      <c r="C498" s="584"/>
      <c r="D498" s="584"/>
      <c r="E498" s="592"/>
      <c r="F498" s="592" t="s">
        <v>217</v>
      </c>
      <c r="G498" s="726"/>
      <c r="H498" s="589" t="s">
        <v>46</v>
      </c>
      <c r="I498" s="269">
        <f ca="1">IFERROR(__xludf.DUMMYFUNCTION("IMPORTRANGE(""https://docs.google.com/spreadsheets/d/1QqKyyYR6Q21VydFLVH3TRQUabQu_ym0Zz7PgGX0-kHA/edit?usp=sharing"",""แผน!GA22"")"),130)</f>
        <v>130</v>
      </c>
      <c r="J498" s="214">
        <v>0</v>
      </c>
      <c r="K498" s="465">
        <f ca="1">IF(I498&gt;0,J498*100/I498,0)</f>
        <v>0</v>
      </c>
      <c r="L498" s="465"/>
      <c r="M498" s="465"/>
      <c r="N498" s="465"/>
      <c r="O498" s="465"/>
      <c r="P498" s="465"/>
      <c r="Q498" s="541"/>
      <c r="R498" s="541"/>
      <c r="S498" s="541"/>
      <c r="T498" s="541"/>
      <c r="U498" s="541"/>
      <c r="V498" s="541"/>
      <c r="W498" s="541"/>
      <c r="X498" s="541"/>
      <c r="Y498" s="541"/>
      <c r="Z498" s="541"/>
    </row>
    <row r="499" spans="1:26" ht="18.75">
      <c r="A499" s="572"/>
      <c r="B499" s="584"/>
      <c r="C499" s="584"/>
      <c r="D499" s="584"/>
      <c r="E499" s="592"/>
      <c r="F499" s="592" t="s">
        <v>218</v>
      </c>
      <c r="G499" s="726"/>
      <c r="H499" s="589" t="s">
        <v>46</v>
      </c>
      <c r="I499" s="269"/>
      <c r="J499" s="214">
        <v>0</v>
      </c>
      <c r="K499" s="465"/>
      <c r="L499" s="465"/>
      <c r="M499" s="465"/>
      <c r="N499" s="465"/>
      <c r="O499" s="465"/>
      <c r="P499" s="465"/>
      <c r="Q499" s="541"/>
      <c r="R499" s="541"/>
      <c r="S499" s="541"/>
      <c r="T499" s="541"/>
      <c r="U499" s="541"/>
      <c r="V499" s="541"/>
      <c r="W499" s="541"/>
      <c r="X499" s="541"/>
      <c r="Y499" s="541"/>
      <c r="Z499" s="541"/>
    </row>
    <row r="500" spans="1:26" ht="19.5" hidden="1">
      <c r="A500" s="593">
        <v>4</v>
      </c>
      <c r="B500" s="594" t="s">
        <v>219</v>
      </c>
      <c r="C500" s="595"/>
      <c r="D500" s="596"/>
      <c r="E500" s="596"/>
      <c r="F500" s="596"/>
      <c r="G500" s="597"/>
      <c r="H500" s="598" t="s">
        <v>109</v>
      </c>
      <c r="I500" s="599"/>
      <c r="J500" s="599">
        <f t="shared" ref="J500:J501" si="213">J516</f>
        <v>0</v>
      </c>
      <c r="K500" s="600">
        <f t="shared" ref="K500:K501" si="214">IF(I500&gt;0,J500*100/I500,0)</f>
        <v>0</v>
      </c>
      <c r="L500" s="601"/>
      <c r="M500" s="601"/>
      <c r="N500" s="601"/>
      <c r="O500" s="601"/>
      <c r="P500" s="601"/>
      <c r="Q500" s="568"/>
      <c r="R500" s="568"/>
      <c r="S500" s="568"/>
      <c r="T500" s="568"/>
      <c r="U500" s="568"/>
      <c r="V500" s="568"/>
      <c r="W500" s="568"/>
      <c r="X500" s="568"/>
      <c r="Y500" s="568"/>
      <c r="Z500" s="568"/>
    </row>
    <row r="501" spans="1:26" ht="19.5" hidden="1">
      <c r="A501" s="602"/>
      <c r="B501" s="604" t="s">
        <v>220</v>
      </c>
      <c r="C501" s="604"/>
      <c r="D501" s="605"/>
      <c r="E501" s="605"/>
      <c r="F501" s="605"/>
      <c r="G501" s="606"/>
      <c r="H501" s="607" t="s">
        <v>35</v>
      </c>
      <c r="I501" s="608"/>
      <c r="J501" s="608">
        <f t="shared" si="213"/>
        <v>0</v>
      </c>
      <c r="K501" s="609">
        <f t="shared" si="214"/>
        <v>0</v>
      </c>
      <c r="L501" s="610"/>
      <c r="M501" s="610"/>
      <c r="N501" s="610"/>
      <c r="O501" s="610"/>
      <c r="P501" s="610"/>
      <c r="Q501" s="568"/>
      <c r="R501" s="568"/>
      <c r="S501" s="568"/>
      <c r="T501" s="568"/>
      <c r="U501" s="568"/>
      <c r="V501" s="568"/>
      <c r="W501" s="568"/>
      <c r="X501" s="568"/>
      <c r="Y501" s="568"/>
      <c r="Z501" s="568"/>
    </row>
    <row r="502" spans="1:26" ht="19.5" hidden="1">
      <c r="A502" s="563"/>
      <c r="B502" s="723"/>
      <c r="C502" s="723" t="s">
        <v>16</v>
      </c>
      <c r="D502" s="812" t="s">
        <v>17</v>
      </c>
      <c r="E502" s="805"/>
      <c r="F502" s="805"/>
      <c r="G502" s="567"/>
      <c r="H502" s="612" t="s">
        <v>12</v>
      </c>
      <c r="I502" s="583"/>
      <c r="J502" s="583"/>
      <c r="K502" s="93"/>
      <c r="L502" s="613">
        <f t="shared" ref="L502:N502" si="215">L503+L504</f>
        <v>0</v>
      </c>
      <c r="M502" s="613">
        <f t="shared" si="215"/>
        <v>0</v>
      </c>
      <c r="N502" s="613">
        <f t="shared" si="215"/>
        <v>0</v>
      </c>
      <c r="O502" s="613">
        <f t="shared" ref="O502:O507" si="216">IF(L502&gt;0,N502*100/L502,0)</f>
        <v>0</v>
      </c>
      <c r="P502" s="613">
        <f t="shared" ref="P502:P507" si="217">IF(M502&gt;0,N502*100/M502,0)</f>
        <v>0</v>
      </c>
      <c r="Q502" s="568"/>
      <c r="R502" s="568"/>
      <c r="S502" s="568"/>
      <c r="T502" s="568"/>
      <c r="U502" s="568"/>
      <c r="V502" s="568"/>
      <c r="W502" s="568"/>
      <c r="X502" s="568"/>
      <c r="Y502" s="568"/>
      <c r="Z502" s="568"/>
    </row>
    <row r="503" spans="1:26" ht="18.75" hidden="1">
      <c r="A503" s="563"/>
      <c r="B503" s="723"/>
      <c r="C503" s="723"/>
      <c r="D503" s="684"/>
      <c r="E503" s="723" t="s">
        <v>184</v>
      </c>
      <c r="F503" s="723"/>
      <c r="G503" s="567"/>
      <c r="H503" s="165" t="s">
        <v>12</v>
      </c>
      <c r="I503" s="583"/>
      <c r="J503" s="583"/>
      <c r="K503" s="93"/>
      <c r="L503" s="93">
        <f t="shared" ref="L503:N504" si="218">L506+L513</f>
        <v>0</v>
      </c>
      <c r="M503" s="93">
        <f t="shared" si="218"/>
        <v>0</v>
      </c>
      <c r="N503" s="93">
        <f t="shared" si="218"/>
        <v>0</v>
      </c>
      <c r="O503" s="93">
        <f t="shared" si="216"/>
        <v>0</v>
      </c>
      <c r="P503" s="93">
        <f t="shared" si="217"/>
        <v>0</v>
      </c>
      <c r="Q503" s="568"/>
      <c r="R503" s="568"/>
      <c r="S503" s="568"/>
      <c r="T503" s="568"/>
      <c r="U503" s="568"/>
      <c r="V503" s="568"/>
      <c r="W503" s="568"/>
      <c r="X503" s="568"/>
      <c r="Y503" s="568"/>
      <c r="Z503" s="568"/>
    </row>
    <row r="504" spans="1:26" ht="18.75" hidden="1">
      <c r="A504" s="563"/>
      <c r="B504" s="571"/>
      <c r="C504" s="723"/>
      <c r="D504" s="684"/>
      <c r="E504" s="723" t="s">
        <v>185</v>
      </c>
      <c r="F504" s="723"/>
      <c r="G504" s="567"/>
      <c r="H504" s="165" t="s">
        <v>12</v>
      </c>
      <c r="I504" s="583"/>
      <c r="J504" s="583"/>
      <c r="K504" s="93"/>
      <c r="L504" s="93">
        <f t="shared" si="218"/>
        <v>0</v>
      </c>
      <c r="M504" s="93">
        <f t="shared" si="218"/>
        <v>0</v>
      </c>
      <c r="N504" s="93">
        <f t="shared" si="218"/>
        <v>0</v>
      </c>
      <c r="O504" s="93">
        <f t="shared" si="216"/>
        <v>0</v>
      </c>
      <c r="P504" s="93">
        <f t="shared" si="217"/>
        <v>0</v>
      </c>
      <c r="Q504" s="568"/>
      <c r="R504" s="568"/>
      <c r="S504" s="568"/>
      <c r="T504" s="568"/>
      <c r="U504" s="568"/>
      <c r="V504" s="568"/>
      <c r="W504" s="568"/>
      <c r="X504" s="568"/>
      <c r="Y504" s="568"/>
      <c r="Z504" s="568"/>
    </row>
    <row r="505" spans="1:26" ht="18.75" hidden="1">
      <c r="A505" s="563"/>
      <c r="B505" s="571"/>
      <c r="C505" s="723"/>
      <c r="D505" s="614" t="s">
        <v>20</v>
      </c>
      <c r="E505" s="723"/>
      <c r="F505" s="723"/>
      <c r="G505" s="567"/>
      <c r="H505" s="165" t="s">
        <v>12</v>
      </c>
      <c r="I505" s="166"/>
      <c r="J505" s="166"/>
      <c r="K505" s="167"/>
      <c r="L505" s="93">
        <f t="shared" ref="L505:N505" si="219">L506+L507</f>
        <v>0</v>
      </c>
      <c r="M505" s="93">
        <f t="shared" si="219"/>
        <v>0</v>
      </c>
      <c r="N505" s="93">
        <f t="shared" si="219"/>
        <v>0</v>
      </c>
      <c r="O505" s="93">
        <f t="shared" si="216"/>
        <v>0</v>
      </c>
      <c r="P505" s="93">
        <f t="shared" si="217"/>
        <v>0</v>
      </c>
      <c r="Q505" s="568"/>
      <c r="R505" s="568"/>
      <c r="S505" s="568"/>
      <c r="T505" s="568"/>
      <c r="U505" s="568"/>
      <c r="V505" s="568"/>
      <c r="W505" s="568"/>
      <c r="X505" s="568"/>
      <c r="Y505" s="568"/>
      <c r="Z505" s="568"/>
    </row>
    <row r="506" spans="1:26" ht="18.75" hidden="1">
      <c r="A506" s="563"/>
      <c r="B506" s="571"/>
      <c r="C506" s="723"/>
      <c r="D506" s="684"/>
      <c r="E506" s="723" t="s">
        <v>184</v>
      </c>
      <c r="F506" s="723"/>
      <c r="G506" s="567"/>
      <c r="H506" s="165" t="s">
        <v>12</v>
      </c>
      <c r="I506" s="583"/>
      <c r="J506" s="583"/>
      <c r="K506" s="93"/>
      <c r="L506" s="93">
        <v>0</v>
      </c>
      <c r="M506" s="93">
        <v>0</v>
      </c>
      <c r="N506" s="93">
        <v>0</v>
      </c>
      <c r="O506" s="93">
        <f t="shared" si="216"/>
        <v>0</v>
      </c>
      <c r="P506" s="93">
        <f t="shared" si="217"/>
        <v>0</v>
      </c>
      <c r="Q506" s="568"/>
      <c r="R506" s="568"/>
      <c r="S506" s="568"/>
      <c r="T506" s="568"/>
      <c r="U506" s="568"/>
      <c r="V506" s="568"/>
      <c r="W506" s="568"/>
      <c r="X506" s="568"/>
      <c r="Y506" s="568"/>
      <c r="Z506" s="568"/>
    </row>
    <row r="507" spans="1:26" ht="18.75" hidden="1">
      <c r="A507" s="563"/>
      <c r="B507" s="571"/>
      <c r="C507" s="723"/>
      <c r="D507" s="684"/>
      <c r="E507" s="723" t="s">
        <v>185</v>
      </c>
      <c r="F507" s="723"/>
      <c r="G507" s="567"/>
      <c r="H507" s="165" t="s">
        <v>12</v>
      </c>
      <c r="I507" s="583"/>
      <c r="J507" s="583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6"/>
        <v>0</v>
      </c>
      <c r="P507" s="93">
        <f t="shared" si="217"/>
        <v>0</v>
      </c>
      <c r="Q507" s="568"/>
      <c r="R507" s="568"/>
      <c r="S507" s="568"/>
      <c r="T507" s="568"/>
      <c r="U507" s="568"/>
      <c r="V507" s="568"/>
      <c r="W507" s="568"/>
      <c r="X507" s="568"/>
      <c r="Y507" s="568"/>
      <c r="Z507" s="568"/>
    </row>
    <row r="508" spans="1:26" ht="18.75" hidden="1">
      <c r="A508" s="615"/>
      <c r="B508" s="571"/>
      <c r="C508" s="723"/>
      <c r="D508" s="723"/>
      <c r="E508" s="723"/>
      <c r="F508" s="723" t="s">
        <v>186</v>
      </c>
      <c r="G508" s="567"/>
      <c r="H508" s="165" t="s">
        <v>12</v>
      </c>
      <c r="I508" s="583"/>
      <c r="J508" s="583"/>
      <c r="K508" s="93"/>
      <c r="L508" s="93"/>
      <c r="M508" s="93"/>
      <c r="N508" s="93">
        <v>0</v>
      </c>
      <c r="O508" s="93"/>
      <c r="P508" s="93"/>
      <c r="Q508" s="568"/>
      <c r="R508" s="568"/>
      <c r="S508" s="568"/>
      <c r="T508" s="568"/>
      <c r="U508" s="568"/>
      <c r="V508" s="568"/>
      <c r="W508" s="568"/>
      <c r="X508" s="568"/>
      <c r="Y508" s="568"/>
      <c r="Z508" s="568"/>
    </row>
    <row r="509" spans="1:26" ht="18.75" hidden="1">
      <c r="A509" s="615"/>
      <c r="B509" s="571"/>
      <c r="C509" s="723"/>
      <c r="D509" s="723"/>
      <c r="E509" s="723"/>
      <c r="F509" s="723" t="s">
        <v>187</v>
      </c>
      <c r="G509" s="567"/>
      <c r="H509" s="165" t="s">
        <v>12</v>
      </c>
      <c r="I509" s="583"/>
      <c r="J509" s="583"/>
      <c r="K509" s="93"/>
      <c r="L509" s="93"/>
      <c r="M509" s="93"/>
      <c r="N509" s="93">
        <v>0</v>
      </c>
      <c r="O509" s="93"/>
      <c r="P509" s="93"/>
      <c r="Q509" s="568"/>
      <c r="R509" s="568"/>
      <c r="S509" s="568"/>
      <c r="T509" s="568"/>
      <c r="U509" s="568"/>
      <c r="V509" s="568"/>
      <c r="W509" s="568"/>
      <c r="X509" s="568"/>
      <c r="Y509" s="568"/>
      <c r="Z509" s="568"/>
    </row>
    <row r="510" spans="1:26" ht="18.75" hidden="1">
      <c r="A510" s="615"/>
      <c r="B510" s="571"/>
      <c r="C510" s="571"/>
      <c r="D510" s="571"/>
      <c r="E510" s="723"/>
      <c r="F510" s="723" t="s">
        <v>188</v>
      </c>
      <c r="G510" s="567"/>
      <c r="H510" s="165" t="s">
        <v>12</v>
      </c>
      <c r="I510" s="583"/>
      <c r="J510" s="583"/>
      <c r="K510" s="93"/>
      <c r="L510" s="93"/>
      <c r="M510" s="93"/>
      <c r="N510" s="93">
        <v>0</v>
      </c>
      <c r="O510" s="93"/>
      <c r="P510" s="93"/>
      <c r="Q510" s="568"/>
      <c r="R510" s="568"/>
      <c r="S510" s="568"/>
      <c r="T510" s="568"/>
      <c r="U510" s="568"/>
      <c r="V510" s="568"/>
      <c r="W510" s="568"/>
      <c r="X510" s="568"/>
      <c r="Y510" s="568"/>
      <c r="Z510" s="568"/>
    </row>
    <row r="511" spans="1:26" ht="18.75" hidden="1">
      <c r="A511" s="615"/>
      <c r="B511" s="571"/>
      <c r="C511" s="571"/>
      <c r="D511" s="571"/>
      <c r="E511" s="723"/>
      <c r="F511" s="723" t="s">
        <v>189</v>
      </c>
      <c r="G511" s="567"/>
      <c r="H511" s="165" t="s">
        <v>12</v>
      </c>
      <c r="I511" s="583"/>
      <c r="J511" s="583"/>
      <c r="K511" s="93"/>
      <c r="L511" s="93"/>
      <c r="M511" s="93"/>
      <c r="N511" s="93">
        <v>0</v>
      </c>
      <c r="O511" s="93"/>
      <c r="P511" s="93"/>
      <c r="Q511" s="568"/>
      <c r="R511" s="568"/>
      <c r="S511" s="568"/>
      <c r="T511" s="568"/>
      <c r="U511" s="568"/>
      <c r="V511" s="568"/>
      <c r="W511" s="568"/>
      <c r="X511" s="568"/>
      <c r="Y511" s="568"/>
      <c r="Z511" s="568"/>
    </row>
    <row r="512" spans="1:26" ht="18.75" hidden="1">
      <c r="A512" s="563"/>
      <c r="B512" s="571"/>
      <c r="C512" s="571"/>
      <c r="D512" s="614" t="s">
        <v>21</v>
      </c>
      <c r="E512" s="571"/>
      <c r="F512" s="723"/>
      <c r="G512" s="567"/>
      <c r="H512" s="169" t="s">
        <v>12</v>
      </c>
      <c r="I512" s="166"/>
      <c r="J512" s="166"/>
      <c r="K512" s="167"/>
      <c r="L512" s="93">
        <f t="shared" ref="L512:N512" si="220">L513+L514</f>
        <v>0</v>
      </c>
      <c r="M512" s="93">
        <f t="shared" si="220"/>
        <v>0</v>
      </c>
      <c r="N512" s="93">
        <f t="shared" si="220"/>
        <v>0</v>
      </c>
      <c r="O512" s="93">
        <f t="shared" ref="O512:O514" si="221">IF(L512&gt;0,N512*100/L512,0)</f>
        <v>0</v>
      </c>
      <c r="P512" s="93">
        <f t="shared" ref="P512:P514" si="222">IF(M512&gt;0,N512*100/M512,0)</f>
        <v>0</v>
      </c>
      <c r="Q512" s="568"/>
      <c r="R512" s="568"/>
      <c r="S512" s="568"/>
      <c r="T512" s="568"/>
      <c r="U512" s="568"/>
      <c r="V512" s="568"/>
      <c r="W512" s="568"/>
      <c r="X512" s="568"/>
      <c r="Y512" s="568"/>
      <c r="Z512" s="568"/>
    </row>
    <row r="513" spans="1:26" ht="18.75" hidden="1">
      <c r="A513" s="563"/>
      <c r="B513" s="571"/>
      <c r="C513" s="571"/>
      <c r="D513" s="571"/>
      <c r="E513" s="571" t="s">
        <v>18</v>
      </c>
      <c r="F513" s="723"/>
      <c r="G513" s="567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1"/>
        <v>0</v>
      </c>
      <c r="P513" s="93">
        <f t="shared" si="222"/>
        <v>0</v>
      </c>
      <c r="Q513" s="568"/>
      <c r="R513" s="568"/>
      <c r="S513" s="568"/>
      <c r="T513" s="568"/>
      <c r="U513" s="568"/>
      <c r="V513" s="568"/>
      <c r="W513" s="568"/>
      <c r="X513" s="568"/>
      <c r="Y513" s="568"/>
      <c r="Z513" s="568"/>
    </row>
    <row r="514" spans="1:26" ht="18.75" hidden="1">
      <c r="A514" s="563"/>
      <c r="B514" s="571"/>
      <c r="C514" s="571"/>
      <c r="D514" s="723"/>
      <c r="E514" s="571" t="s">
        <v>19</v>
      </c>
      <c r="F514" s="723"/>
      <c r="G514" s="567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1"/>
        <v>0</v>
      </c>
      <c r="P514" s="93">
        <f t="shared" si="222"/>
        <v>0</v>
      </c>
      <c r="Q514" s="568"/>
      <c r="R514" s="568"/>
      <c r="S514" s="568"/>
      <c r="T514" s="568"/>
      <c r="U514" s="568"/>
      <c r="V514" s="568"/>
      <c r="W514" s="568"/>
      <c r="X514" s="568"/>
      <c r="Y514" s="568"/>
      <c r="Z514" s="568"/>
    </row>
    <row r="515" spans="1:26" ht="19.5" hidden="1">
      <c r="A515" s="578"/>
      <c r="B515" s="580"/>
      <c r="C515" s="571" t="s">
        <v>16</v>
      </c>
      <c r="D515" s="852" t="s">
        <v>38</v>
      </c>
      <c r="E515" s="617"/>
      <c r="F515" s="617"/>
      <c r="G515" s="618"/>
      <c r="H515" s="581"/>
      <c r="I515" s="166"/>
      <c r="J515" s="166"/>
      <c r="K515" s="167"/>
      <c r="L515" s="167"/>
      <c r="M515" s="167"/>
      <c r="N515" s="167"/>
      <c r="O515" s="167"/>
      <c r="P515" s="167"/>
      <c r="Q515" s="568"/>
      <c r="R515" s="568"/>
      <c r="S515" s="568"/>
      <c r="T515" s="568"/>
      <c r="U515" s="568"/>
      <c r="V515" s="568"/>
      <c r="W515" s="568"/>
      <c r="X515" s="568"/>
      <c r="Y515" s="568"/>
      <c r="Z515" s="568"/>
    </row>
    <row r="516" spans="1:26" ht="18.75" hidden="1">
      <c r="A516" s="578"/>
      <c r="B516" s="580"/>
      <c r="C516" s="580"/>
      <c r="D516" s="580" t="s">
        <v>221</v>
      </c>
      <c r="E516" s="684"/>
      <c r="F516" s="684"/>
      <c r="G516" s="581"/>
      <c r="H516" s="619" t="s">
        <v>109</v>
      </c>
      <c r="I516" s="583"/>
      <c r="J516" s="583">
        <v>0</v>
      </c>
      <c r="K516" s="167">
        <f t="shared" ref="K516:K517" si="223">IF(I516&gt;0,J516*100/I516,0)</f>
        <v>0</v>
      </c>
      <c r="L516" s="167"/>
      <c r="M516" s="167"/>
      <c r="N516" s="167"/>
      <c r="O516" s="167"/>
      <c r="P516" s="167"/>
      <c r="Q516" s="568"/>
      <c r="R516" s="568"/>
      <c r="S516" s="568"/>
      <c r="T516" s="568"/>
      <c r="U516" s="568"/>
      <c r="V516" s="568"/>
      <c r="W516" s="568"/>
      <c r="X516" s="568"/>
      <c r="Y516" s="568"/>
      <c r="Z516" s="568"/>
    </row>
    <row r="517" spans="1:26" ht="19.5" hidden="1">
      <c r="A517" s="578"/>
      <c r="B517" s="580"/>
      <c r="C517" s="580"/>
      <c r="D517" s="580" t="s">
        <v>222</v>
      </c>
      <c r="E517" s="684"/>
      <c r="F517" s="684"/>
      <c r="G517" s="581"/>
      <c r="H517" s="620" t="s">
        <v>35</v>
      </c>
      <c r="I517" s="621"/>
      <c r="J517" s="621">
        <f>J518+J519</f>
        <v>0</v>
      </c>
      <c r="K517" s="622">
        <f t="shared" si="223"/>
        <v>0</v>
      </c>
      <c r="L517" s="167"/>
      <c r="M517" s="167"/>
      <c r="N517" s="167"/>
      <c r="O517" s="167"/>
      <c r="P517" s="167"/>
      <c r="Q517" s="568"/>
      <c r="R517" s="568"/>
      <c r="S517" s="568"/>
      <c r="T517" s="568"/>
      <c r="U517" s="568"/>
      <c r="V517" s="568"/>
      <c r="W517" s="568"/>
      <c r="X517" s="568"/>
      <c r="Y517" s="568"/>
      <c r="Z517" s="568"/>
    </row>
    <row r="518" spans="1:26" ht="18.75" hidden="1">
      <c r="A518" s="578"/>
      <c r="B518" s="580"/>
      <c r="C518" s="580"/>
      <c r="D518" s="580"/>
      <c r="E518" s="580" t="s">
        <v>223</v>
      </c>
      <c r="F518" s="684"/>
      <c r="G518" s="581"/>
      <c r="H518" s="582" t="s">
        <v>35</v>
      </c>
      <c r="I518" s="583"/>
      <c r="J518" s="583"/>
      <c r="K518" s="167"/>
      <c r="L518" s="167"/>
      <c r="M518" s="167"/>
      <c r="N518" s="167"/>
      <c r="O518" s="167"/>
      <c r="P518" s="167"/>
      <c r="Q518" s="568"/>
      <c r="R518" s="568"/>
      <c r="S518" s="568"/>
      <c r="T518" s="568"/>
      <c r="U518" s="568"/>
      <c r="V518" s="568"/>
      <c r="W518" s="568"/>
      <c r="X518" s="568"/>
      <c r="Y518" s="568"/>
      <c r="Z518" s="568"/>
    </row>
    <row r="519" spans="1:26" ht="18.75" hidden="1">
      <c r="A519" s="578"/>
      <c r="B519" s="580"/>
      <c r="C519" s="580"/>
      <c r="D519" s="580"/>
      <c r="E519" s="580" t="s">
        <v>224</v>
      </c>
      <c r="F519" s="684"/>
      <c r="G519" s="581"/>
      <c r="H519" s="619" t="s">
        <v>35</v>
      </c>
      <c r="I519" s="583"/>
      <c r="J519" s="583"/>
      <c r="K519" s="167"/>
      <c r="L519" s="167"/>
      <c r="M519" s="167"/>
      <c r="N519" s="167"/>
      <c r="O519" s="167"/>
      <c r="P519" s="167"/>
      <c r="Q519" s="568"/>
      <c r="R519" s="568"/>
      <c r="S519" s="568"/>
      <c r="T519" s="568"/>
      <c r="U519" s="568"/>
      <c r="V519" s="568"/>
      <c r="W519" s="568"/>
      <c r="X519" s="568"/>
      <c r="Y519" s="568"/>
      <c r="Z519" s="568"/>
    </row>
    <row r="520" spans="1:26" ht="19.5">
      <c r="A520" s="623" t="s">
        <v>137</v>
      </c>
      <c r="B520" s="624"/>
      <c r="C520" s="624"/>
      <c r="D520" s="625"/>
      <c r="E520" s="625"/>
      <c r="F520" s="625"/>
      <c r="G520" s="626"/>
      <c r="H520" s="627"/>
      <c r="I520" s="628"/>
      <c r="J520" s="628"/>
      <c r="K520" s="629"/>
      <c r="L520" s="629"/>
      <c r="M520" s="629"/>
      <c r="N520" s="629"/>
      <c r="O520" s="629"/>
      <c r="P520" s="629"/>
    </row>
    <row r="521" spans="1:26" ht="19.5" hidden="1">
      <c r="A521" s="630">
        <v>5</v>
      </c>
      <c r="B521" s="631" t="s">
        <v>225</v>
      </c>
      <c r="C521" s="632"/>
      <c r="D521" s="633"/>
      <c r="E521" s="633"/>
      <c r="F521" s="633"/>
      <c r="G521" s="633"/>
      <c r="H521" s="634"/>
      <c r="I521" s="635"/>
      <c r="J521" s="635"/>
      <c r="K521" s="636"/>
      <c r="L521" s="636"/>
      <c r="M521" s="636"/>
      <c r="N521" s="636"/>
      <c r="O521" s="636"/>
      <c r="P521" s="636"/>
      <c r="Q521" s="541"/>
      <c r="R521" s="541"/>
      <c r="S521" s="541"/>
      <c r="T521" s="541"/>
      <c r="U521" s="541"/>
      <c r="V521" s="541"/>
      <c r="W521" s="541"/>
      <c r="X521" s="541"/>
      <c r="Y521" s="541"/>
      <c r="Z521" s="541"/>
    </row>
    <row r="522" spans="1:26" ht="19.5" hidden="1">
      <c r="A522" s="637"/>
      <c r="B522" s="638" t="s">
        <v>226</v>
      </c>
      <c r="C522" s="639"/>
      <c r="D522" s="639"/>
      <c r="E522" s="639"/>
      <c r="F522" s="639"/>
      <c r="G522" s="640"/>
      <c r="H522" s="641" t="s">
        <v>35</v>
      </c>
      <c r="I522" s="672">
        <f t="shared" ref="I522:J522" ca="1" si="224">I537</f>
        <v>0</v>
      </c>
      <c r="J522" s="672">
        <f t="shared" ca="1" si="224"/>
        <v>0</v>
      </c>
      <c r="K522" s="643">
        <f ca="1">IF(I522&gt;0,J522*100/I522,0)</f>
        <v>0</v>
      </c>
      <c r="L522" s="644"/>
      <c r="M522" s="644"/>
      <c r="N522" s="644"/>
      <c r="O522" s="644"/>
      <c r="P522" s="644"/>
      <c r="Q522" s="541"/>
      <c r="R522" s="541"/>
      <c r="S522" s="541"/>
      <c r="T522" s="541"/>
      <c r="U522" s="541"/>
      <c r="V522" s="541"/>
      <c r="W522" s="541"/>
      <c r="X522" s="541"/>
      <c r="Y522" s="541"/>
      <c r="Z522" s="541"/>
    </row>
    <row r="523" spans="1:26" ht="19.5" hidden="1">
      <c r="A523" s="561"/>
      <c r="B523" s="727"/>
      <c r="C523" s="727" t="s">
        <v>16</v>
      </c>
      <c r="D523" s="811" t="s">
        <v>17</v>
      </c>
      <c r="E523" s="805"/>
      <c r="F523" s="805"/>
      <c r="G523" s="189"/>
      <c r="H523" s="562" t="s">
        <v>12</v>
      </c>
      <c r="I523" s="269"/>
      <c r="J523" s="269"/>
      <c r="K523" s="465"/>
      <c r="L523" s="195">
        <f t="shared" ref="L523:N523" ca="1" si="225">L524+L525</f>
        <v>0</v>
      </c>
      <c r="M523" s="195">
        <f t="shared" si="225"/>
        <v>0</v>
      </c>
      <c r="N523" s="195">
        <f t="shared" si="225"/>
        <v>0</v>
      </c>
      <c r="O523" s="195">
        <f t="shared" ref="O523:O528" ca="1" si="226">IF(L523&gt;0,N523*100/L523,0)</f>
        <v>0</v>
      </c>
      <c r="P523" s="195">
        <f t="shared" ref="P523:P528" si="227">IF(M523&gt;0,N523*100/M523,0)</f>
        <v>0</v>
      </c>
      <c r="Q523" s="541"/>
      <c r="R523" s="541"/>
      <c r="S523" s="541"/>
      <c r="T523" s="541"/>
      <c r="U523" s="541"/>
      <c r="V523" s="541"/>
      <c r="W523" s="541"/>
      <c r="X523" s="541"/>
      <c r="Y523" s="541"/>
      <c r="Z523" s="541"/>
    </row>
    <row r="524" spans="1:26" ht="18.75" hidden="1">
      <c r="A524" s="563"/>
      <c r="B524" s="723"/>
      <c r="C524" s="723"/>
      <c r="D524" s="684"/>
      <c r="E524" s="723" t="s">
        <v>184</v>
      </c>
      <c r="F524" s="723"/>
      <c r="G524" s="567"/>
      <c r="H524" s="165" t="s">
        <v>12</v>
      </c>
      <c r="I524" s="583"/>
      <c r="J524" s="583"/>
      <c r="K524" s="93"/>
      <c r="L524" s="93">
        <f t="shared" ref="L524:N525" si="228">L527+L534</f>
        <v>0</v>
      </c>
      <c r="M524" s="93">
        <f t="shared" si="228"/>
        <v>0</v>
      </c>
      <c r="N524" s="93">
        <f t="shared" si="228"/>
        <v>0</v>
      </c>
      <c r="O524" s="93">
        <f t="shared" si="226"/>
        <v>0</v>
      </c>
      <c r="P524" s="93">
        <f t="shared" si="227"/>
        <v>0</v>
      </c>
      <c r="Q524" s="568"/>
      <c r="R524" s="568"/>
      <c r="S524" s="568"/>
      <c r="T524" s="568"/>
      <c r="U524" s="568"/>
      <c r="V524" s="568"/>
      <c r="W524" s="568"/>
      <c r="X524" s="568"/>
      <c r="Y524" s="568"/>
      <c r="Z524" s="568"/>
    </row>
    <row r="525" spans="1:26" ht="18.75" hidden="1">
      <c r="A525" s="563"/>
      <c r="B525" s="571"/>
      <c r="C525" s="723"/>
      <c r="D525" s="684"/>
      <c r="E525" s="723" t="s">
        <v>185</v>
      </c>
      <c r="F525" s="723"/>
      <c r="G525" s="567"/>
      <c r="H525" s="165" t="s">
        <v>12</v>
      </c>
      <c r="I525" s="583"/>
      <c r="J525" s="583"/>
      <c r="K525" s="93"/>
      <c r="L525" s="93">
        <f t="shared" ca="1" si="228"/>
        <v>0</v>
      </c>
      <c r="M525" s="93">
        <f t="shared" si="228"/>
        <v>0</v>
      </c>
      <c r="N525" s="93">
        <f t="shared" si="228"/>
        <v>0</v>
      </c>
      <c r="O525" s="93">
        <f t="shared" ca="1" si="226"/>
        <v>0</v>
      </c>
      <c r="P525" s="93">
        <f t="shared" si="227"/>
        <v>0</v>
      </c>
      <c r="Q525" s="568"/>
      <c r="R525" s="568"/>
      <c r="S525" s="568"/>
      <c r="T525" s="568"/>
      <c r="U525" s="568"/>
      <c r="V525" s="568"/>
      <c r="W525" s="568"/>
      <c r="X525" s="568"/>
      <c r="Y525" s="568"/>
      <c r="Z525" s="568"/>
    </row>
    <row r="526" spans="1:26" ht="18.75" hidden="1">
      <c r="A526" s="561"/>
      <c r="B526" s="538"/>
      <c r="C526" s="727"/>
      <c r="D526" s="570" t="s">
        <v>20</v>
      </c>
      <c r="E526" s="727"/>
      <c r="F526" s="727"/>
      <c r="G526" s="189"/>
      <c r="H526" s="161" t="s">
        <v>12</v>
      </c>
      <c r="I526" s="184"/>
      <c r="J526" s="184"/>
      <c r="K526" s="163"/>
      <c r="L526" s="465">
        <f t="shared" ref="L526:N526" ca="1" si="229">L527+L528</f>
        <v>0</v>
      </c>
      <c r="M526" s="465">
        <f t="shared" si="229"/>
        <v>0</v>
      </c>
      <c r="N526" s="465">
        <f t="shared" si="229"/>
        <v>0</v>
      </c>
      <c r="O526" s="465">
        <f t="shared" ca="1" si="226"/>
        <v>0</v>
      </c>
      <c r="P526" s="465">
        <f t="shared" si="227"/>
        <v>0</v>
      </c>
      <c r="Q526" s="541"/>
      <c r="R526" s="541"/>
      <c r="S526" s="541"/>
      <c r="T526" s="541"/>
      <c r="U526" s="541"/>
      <c r="V526" s="541"/>
      <c r="W526" s="541"/>
      <c r="X526" s="541"/>
      <c r="Y526" s="541"/>
      <c r="Z526" s="541"/>
    </row>
    <row r="527" spans="1:26" ht="18.75" hidden="1">
      <c r="A527" s="563"/>
      <c r="B527" s="571"/>
      <c r="C527" s="723"/>
      <c r="D527" s="684"/>
      <c r="E527" s="723" t="s">
        <v>184</v>
      </c>
      <c r="F527" s="723"/>
      <c r="G527" s="567"/>
      <c r="H527" s="165" t="s">
        <v>12</v>
      </c>
      <c r="I527" s="583"/>
      <c r="J527" s="583"/>
      <c r="K527" s="93"/>
      <c r="L527" s="93">
        <v>0</v>
      </c>
      <c r="M527" s="93">
        <v>0</v>
      </c>
      <c r="N527" s="93">
        <v>0</v>
      </c>
      <c r="O527" s="93">
        <f t="shared" si="226"/>
        <v>0</v>
      </c>
      <c r="P527" s="93">
        <f t="shared" si="227"/>
        <v>0</v>
      </c>
      <c r="Q527" s="568"/>
      <c r="R527" s="568"/>
      <c r="S527" s="568"/>
      <c r="T527" s="568"/>
      <c r="U527" s="568"/>
      <c r="V527" s="568"/>
      <c r="W527" s="568"/>
      <c r="X527" s="568"/>
      <c r="Y527" s="568"/>
      <c r="Z527" s="568"/>
    </row>
    <row r="528" spans="1:26" ht="18.75" hidden="1">
      <c r="A528" s="563"/>
      <c r="B528" s="571"/>
      <c r="C528" s="723"/>
      <c r="D528" s="684"/>
      <c r="E528" s="723" t="s">
        <v>185</v>
      </c>
      <c r="F528" s="723"/>
      <c r="G528" s="567"/>
      <c r="H528" s="165" t="s">
        <v>12</v>
      </c>
      <c r="I528" s="583"/>
      <c r="J528" s="583"/>
      <c r="K528" s="93"/>
      <c r="L528" s="93">
        <f ca="1">IFERROR(__xludf.DUMMYFUNCTION("IMPORTRANGE(""https://docs.google.com/spreadsheets/d/1QqKyyYR6Q21VydFLVH3TRQUabQu_ym0Zz7PgGX0-kHA/edit?usp=sharing"",""แผน!GQ22"")"),0)</f>
        <v>0</v>
      </c>
      <c r="M528" s="93">
        <v>0</v>
      </c>
      <c r="N528" s="93">
        <f>N529+N530+N531+N532</f>
        <v>0</v>
      </c>
      <c r="O528" s="93">
        <f t="shared" ca="1" si="226"/>
        <v>0</v>
      </c>
      <c r="P528" s="93">
        <f t="shared" si="227"/>
        <v>0</v>
      </c>
      <c r="Q528" s="568"/>
      <c r="R528" s="568"/>
      <c r="S528" s="568"/>
      <c r="T528" s="568"/>
      <c r="U528" s="568"/>
      <c r="V528" s="568"/>
      <c r="W528" s="568"/>
      <c r="X528" s="568"/>
      <c r="Y528" s="568"/>
      <c r="Z528" s="568"/>
    </row>
    <row r="529" spans="1:26" ht="18.75" hidden="1">
      <c r="A529" s="537"/>
      <c r="B529" s="538"/>
      <c r="C529" s="727"/>
      <c r="D529" s="727"/>
      <c r="E529" s="727"/>
      <c r="F529" s="727" t="s">
        <v>186</v>
      </c>
      <c r="G529" s="189"/>
      <c r="H529" s="161" t="s">
        <v>12</v>
      </c>
      <c r="I529" s="269"/>
      <c r="J529" s="269"/>
      <c r="K529" s="465"/>
      <c r="L529" s="465"/>
      <c r="M529" s="465"/>
      <c r="N529" s="789">
        <v>0</v>
      </c>
      <c r="O529" s="465"/>
      <c r="P529" s="465"/>
      <c r="Q529" s="541"/>
      <c r="R529" s="541"/>
      <c r="S529" s="541"/>
      <c r="T529" s="541"/>
      <c r="U529" s="541"/>
      <c r="V529" s="541"/>
      <c r="W529" s="541"/>
      <c r="X529" s="541"/>
      <c r="Y529" s="541"/>
      <c r="Z529" s="541"/>
    </row>
    <row r="530" spans="1:26" ht="18.75" hidden="1">
      <c r="A530" s="537"/>
      <c r="B530" s="538"/>
      <c r="C530" s="727"/>
      <c r="D530" s="727"/>
      <c r="E530" s="727"/>
      <c r="F530" s="727" t="s">
        <v>187</v>
      </c>
      <c r="G530" s="189"/>
      <c r="H530" s="161" t="s">
        <v>12</v>
      </c>
      <c r="I530" s="269"/>
      <c r="J530" s="269"/>
      <c r="K530" s="465"/>
      <c r="L530" s="465"/>
      <c r="M530" s="465"/>
      <c r="N530" s="789">
        <v>0</v>
      </c>
      <c r="O530" s="465"/>
      <c r="P530" s="465"/>
      <c r="Q530" s="541"/>
      <c r="R530" s="541"/>
      <c r="S530" s="541"/>
      <c r="T530" s="541"/>
      <c r="U530" s="541"/>
      <c r="V530" s="541"/>
      <c r="W530" s="541"/>
      <c r="X530" s="541"/>
      <c r="Y530" s="541"/>
      <c r="Z530" s="541"/>
    </row>
    <row r="531" spans="1:26" ht="18.75" hidden="1">
      <c r="A531" s="537"/>
      <c r="B531" s="538"/>
      <c r="C531" s="727"/>
      <c r="D531" s="727"/>
      <c r="E531" s="727"/>
      <c r="F531" s="727" t="s">
        <v>188</v>
      </c>
      <c r="G531" s="189"/>
      <c r="H531" s="161" t="s">
        <v>12</v>
      </c>
      <c r="I531" s="269"/>
      <c r="J531" s="269"/>
      <c r="K531" s="465"/>
      <c r="L531" s="465"/>
      <c r="M531" s="465"/>
      <c r="N531" s="789">
        <v>0</v>
      </c>
      <c r="O531" s="465"/>
      <c r="P531" s="465"/>
      <c r="Q531" s="541"/>
      <c r="R531" s="541"/>
      <c r="S531" s="541"/>
      <c r="T531" s="541"/>
      <c r="U531" s="541"/>
      <c r="V531" s="541"/>
      <c r="W531" s="541"/>
      <c r="X531" s="541"/>
      <c r="Y531" s="541"/>
      <c r="Z531" s="541"/>
    </row>
    <row r="532" spans="1:26" ht="18.75" hidden="1">
      <c r="A532" s="537"/>
      <c r="B532" s="538"/>
      <c r="C532" s="727"/>
      <c r="D532" s="727"/>
      <c r="E532" s="727"/>
      <c r="F532" s="727" t="s">
        <v>189</v>
      </c>
      <c r="G532" s="189"/>
      <c r="H532" s="161" t="s">
        <v>12</v>
      </c>
      <c r="I532" s="269"/>
      <c r="J532" s="269"/>
      <c r="K532" s="465"/>
      <c r="L532" s="465"/>
      <c r="M532" s="465"/>
      <c r="N532" s="789">
        <v>0</v>
      </c>
      <c r="O532" s="465"/>
      <c r="P532" s="465"/>
      <c r="Q532" s="541"/>
      <c r="R532" s="541"/>
      <c r="S532" s="541"/>
      <c r="T532" s="541"/>
      <c r="U532" s="541"/>
      <c r="V532" s="541"/>
      <c r="W532" s="541"/>
      <c r="X532" s="541"/>
      <c r="Y532" s="541"/>
      <c r="Z532" s="541"/>
    </row>
    <row r="533" spans="1:26" ht="18.75" hidden="1">
      <c r="A533" s="561"/>
      <c r="B533" s="538"/>
      <c r="C533" s="727"/>
      <c r="D533" s="570" t="s">
        <v>21</v>
      </c>
      <c r="E533" s="727"/>
      <c r="F533" s="727"/>
      <c r="G533" s="189"/>
      <c r="H533" s="168" t="s">
        <v>12</v>
      </c>
      <c r="I533" s="184"/>
      <c r="J533" s="184"/>
      <c r="K533" s="163"/>
      <c r="L533" s="465">
        <f t="shared" ref="L533:N533" ca="1" si="230">L534+L535</f>
        <v>0</v>
      </c>
      <c r="M533" s="465">
        <f t="shared" si="230"/>
        <v>0</v>
      </c>
      <c r="N533" s="465">
        <f t="shared" si="230"/>
        <v>0</v>
      </c>
      <c r="O533" s="465">
        <f t="shared" ref="O533:O535" ca="1" si="231">IF(L533&gt;0,N533*100/L533,0)</f>
        <v>0</v>
      </c>
      <c r="P533" s="465">
        <f t="shared" ref="P533:P535" si="232">IF(M533&gt;0,N533*100/M533,0)</f>
        <v>0</v>
      </c>
      <c r="Q533" s="541"/>
      <c r="R533" s="541"/>
      <c r="S533" s="541"/>
      <c r="T533" s="541"/>
      <c r="U533" s="541"/>
      <c r="V533" s="541"/>
      <c r="W533" s="541"/>
      <c r="X533" s="541"/>
      <c r="Y533" s="541"/>
      <c r="Z533" s="541"/>
    </row>
    <row r="534" spans="1:26" ht="18.75" hidden="1">
      <c r="A534" s="563"/>
      <c r="B534" s="571"/>
      <c r="C534" s="723"/>
      <c r="D534" s="723"/>
      <c r="E534" s="723" t="s">
        <v>18</v>
      </c>
      <c r="F534" s="723"/>
      <c r="G534" s="567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1"/>
        <v>0</v>
      </c>
      <c r="P534" s="93">
        <f t="shared" si="232"/>
        <v>0</v>
      </c>
      <c r="Q534" s="568"/>
      <c r="R534" s="568"/>
      <c r="S534" s="568"/>
      <c r="T534" s="568"/>
      <c r="U534" s="568"/>
      <c r="V534" s="568"/>
      <c r="W534" s="568"/>
      <c r="X534" s="568"/>
      <c r="Y534" s="568"/>
      <c r="Z534" s="568"/>
    </row>
    <row r="535" spans="1:26" ht="18.75" hidden="1">
      <c r="A535" s="563"/>
      <c r="B535" s="571"/>
      <c r="C535" s="723"/>
      <c r="D535" s="723"/>
      <c r="E535" s="723" t="s">
        <v>19</v>
      </c>
      <c r="F535" s="723"/>
      <c r="G535" s="567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IFERROR(__xludf.DUMMYFUNCTION("IMPORTRANGE(""https://docs.google.com/spreadsheets/d/1QqKyyYR6Q21VydFLVH3TRQUabQu_ym0Zz7PgGX0-kHA/edit?usp=sharing"",""แผน!GT22"")"),0)</f>
        <v>0</v>
      </c>
      <c r="M535" s="93">
        <v>0</v>
      </c>
      <c r="N535" s="93">
        <v>0</v>
      </c>
      <c r="O535" s="93">
        <f t="shared" ca="1" si="231"/>
        <v>0</v>
      </c>
      <c r="P535" s="93">
        <f t="shared" si="232"/>
        <v>0</v>
      </c>
      <c r="Q535" s="568"/>
      <c r="R535" s="568"/>
      <c r="S535" s="568"/>
      <c r="T535" s="568"/>
      <c r="U535" s="568"/>
      <c r="V535" s="568"/>
      <c r="W535" s="568"/>
      <c r="X535" s="568"/>
      <c r="Y535" s="568"/>
      <c r="Z535" s="568"/>
    </row>
    <row r="536" spans="1:26" ht="19.5" hidden="1">
      <c r="A536" s="572"/>
      <c r="B536" s="584"/>
      <c r="C536" s="727" t="s">
        <v>16</v>
      </c>
      <c r="D536" s="853" t="s">
        <v>38</v>
      </c>
      <c r="E536" s="725"/>
      <c r="F536" s="725"/>
      <c r="G536" s="577"/>
      <c r="H536" s="726"/>
      <c r="I536" s="184"/>
      <c r="J536" s="184"/>
      <c r="K536" s="163"/>
      <c r="L536" s="163"/>
      <c r="M536" s="163"/>
      <c r="N536" s="163"/>
      <c r="O536" s="163"/>
      <c r="P536" s="163"/>
      <c r="Q536" s="541"/>
      <c r="R536" s="541"/>
      <c r="S536" s="541"/>
      <c r="T536" s="541"/>
      <c r="U536" s="541"/>
      <c r="V536" s="541"/>
      <c r="W536" s="541"/>
      <c r="X536" s="541"/>
      <c r="Y536" s="541"/>
      <c r="Z536" s="541"/>
    </row>
    <row r="537" spans="1:26" ht="19.5" hidden="1">
      <c r="A537" s="537"/>
      <c r="B537" s="538"/>
      <c r="C537" s="727"/>
      <c r="D537" s="727" t="s">
        <v>227</v>
      </c>
      <c r="E537" s="727"/>
      <c r="F537" s="727"/>
      <c r="G537" s="189"/>
      <c r="H537" s="589" t="s">
        <v>35</v>
      </c>
      <c r="I537" s="647">
        <f ca="1">IFERROR(__xludf.DUMMYFUNCTION("IMPORTRANGE(""https://docs.google.com/spreadsheets/d/1QqKyyYR6Q21VydFLVH3TRQUabQu_ym0Zz7PgGX0-kHA/edit?usp=sharing"",""แผน!GU22"")"),0)</f>
        <v>0</v>
      </c>
      <c r="J537" s="647">
        <f ca="1">IF(AND(J538=I538,J539=I539,J540=I540,J541=I541),I537,0)</f>
        <v>0</v>
      </c>
      <c r="K537" s="465">
        <f t="shared" ref="K537:K543" ca="1" si="233">IF(I537&gt;0,J537*100/I537,0)</f>
        <v>0</v>
      </c>
      <c r="L537" s="465"/>
      <c r="M537" s="465"/>
      <c r="N537" s="465"/>
      <c r="O537" s="465"/>
      <c r="P537" s="465"/>
      <c r="Q537" s="648"/>
      <c r="R537" s="648"/>
      <c r="S537" s="648"/>
      <c r="T537" s="648"/>
      <c r="U537" s="648"/>
      <c r="V537" s="648"/>
      <c r="W537" s="648"/>
      <c r="X537" s="648"/>
      <c r="Y537" s="648"/>
      <c r="Z537" s="648"/>
    </row>
    <row r="538" spans="1:26" ht="18.75" hidden="1">
      <c r="A538" s="537"/>
      <c r="B538" s="538"/>
      <c r="C538" s="727"/>
      <c r="D538" s="727"/>
      <c r="E538" s="727" t="s">
        <v>228</v>
      </c>
      <c r="F538" s="727"/>
      <c r="G538" s="189"/>
      <c r="H538" s="589" t="s">
        <v>35</v>
      </c>
      <c r="I538" s="269">
        <f ca="1">IFERROR(__xludf.DUMMYFUNCTION("IMPORTRANGE(""https://docs.google.com/spreadsheets/d/1QqKyyYR6Q21VydFLVH3TRQUabQu_ym0Zz7PgGX0-kHA/edit?usp=sharing"",""แผน!GV22"")"),0)</f>
        <v>0</v>
      </c>
      <c r="J538" s="214">
        <v>0</v>
      </c>
      <c r="K538" s="465">
        <f t="shared" ca="1" si="233"/>
        <v>0</v>
      </c>
      <c r="L538" s="465"/>
      <c r="M538" s="465"/>
      <c r="N538" s="465"/>
      <c r="O538" s="465"/>
      <c r="P538" s="465"/>
      <c r="Q538" s="648"/>
      <c r="R538" s="648"/>
      <c r="S538" s="648"/>
      <c r="T538" s="648"/>
      <c r="U538" s="648"/>
      <c r="V538" s="648"/>
      <c r="W538" s="648"/>
      <c r="X538" s="648"/>
      <c r="Y538" s="648"/>
      <c r="Z538" s="648"/>
    </row>
    <row r="539" spans="1:26" ht="18.75" hidden="1">
      <c r="A539" s="537"/>
      <c r="B539" s="538"/>
      <c r="C539" s="727"/>
      <c r="D539" s="727"/>
      <c r="E539" s="727" t="s">
        <v>229</v>
      </c>
      <c r="F539" s="727"/>
      <c r="G539" s="189"/>
      <c r="H539" s="589" t="s">
        <v>35</v>
      </c>
      <c r="I539" s="269">
        <f ca="1">IFERROR(__xludf.DUMMYFUNCTION("IMPORTRANGE(""https://docs.google.com/spreadsheets/d/1QqKyyYR6Q21VydFLVH3TRQUabQu_ym0Zz7PgGX0-kHA/edit?usp=sharing"",""แผน!GW22"")"),0)</f>
        <v>0</v>
      </c>
      <c r="J539" s="214">
        <v>0</v>
      </c>
      <c r="K539" s="465">
        <f t="shared" ca="1" si="233"/>
        <v>0</v>
      </c>
      <c r="L539" s="465"/>
      <c r="M539" s="465"/>
      <c r="N539" s="465"/>
      <c r="O539" s="465"/>
      <c r="P539" s="465"/>
      <c r="Q539" s="648"/>
      <c r="R539" s="648"/>
      <c r="S539" s="648"/>
      <c r="T539" s="648"/>
      <c r="U539" s="648"/>
      <c r="V539" s="648"/>
      <c r="W539" s="648"/>
      <c r="X539" s="648"/>
      <c r="Y539" s="648"/>
      <c r="Z539" s="648"/>
    </row>
    <row r="540" spans="1:26" ht="18.75" hidden="1">
      <c r="A540" s="537"/>
      <c r="B540" s="538"/>
      <c r="C540" s="727"/>
      <c r="D540" s="727"/>
      <c r="E540" s="727" t="s">
        <v>230</v>
      </c>
      <c r="F540" s="727"/>
      <c r="G540" s="189"/>
      <c r="H540" s="589" t="s">
        <v>35</v>
      </c>
      <c r="I540" s="269">
        <f ca="1">IFERROR(__xludf.DUMMYFUNCTION("IMPORTRANGE(""https://docs.google.com/spreadsheets/d/1QqKyyYR6Q21VydFLVH3TRQUabQu_ym0Zz7PgGX0-kHA/edit?usp=sharing"",""แผน!GX22"")"),0)</f>
        <v>0</v>
      </c>
      <c r="J540" s="214">
        <v>0</v>
      </c>
      <c r="K540" s="465">
        <f t="shared" ca="1" si="233"/>
        <v>0</v>
      </c>
      <c r="L540" s="465"/>
      <c r="M540" s="465"/>
      <c r="N540" s="465"/>
      <c r="O540" s="465"/>
      <c r="P540" s="465"/>
      <c r="Q540" s="648"/>
      <c r="R540" s="648"/>
      <c r="S540" s="648"/>
      <c r="T540" s="648"/>
      <c r="U540" s="648"/>
      <c r="V540" s="648"/>
      <c r="W540" s="648"/>
      <c r="X540" s="648"/>
      <c r="Y540" s="648"/>
      <c r="Z540" s="648"/>
    </row>
    <row r="541" spans="1:26" ht="18.75" hidden="1">
      <c r="A541" s="537"/>
      <c r="B541" s="538"/>
      <c r="C541" s="727"/>
      <c r="D541" s="727"/>
      <c r="E541" s="733" t="s">
        <v>231</v>
      </c>
      <c r="F541" s="727"/>
      <c r="G541" s="189"/>
      <c r="H541" s="589" t="s">
        <v>35</v>
      </c>
      <c r="I541" s="269">
        <f ca="1">IFERROR(__xludf.DUMMYFUNCTION("IMPORTRANGE(""https://docs.google.com/spreadsheets/d/1QqKyyYR6Q21VydFLVH3TRQUabQu_ym0Zz7PgGX0-kHA/edit?usp=sharing"",""แผน!GY22"")"),0)</f>
        <v>0</v>
      </c>
      <c r="J541" s="214">
        <v>0</v>
      </c>
      <c r="K541" s="465">
        <f t="shared" ca="1" si="233"/>
        <v>0</v>
      </c>
      <c r="L541" s="465"/>
      <c r="M541" s="465"/>
      <c r="N541" s="465"/>
      <c r="O541" s="465"/>
      <c r="P541" s="465"/>
      <c r="Q541" s="648"/>
      <c r="R541" s="648"/>
      <c r="S541" s="648"/>
      <c r="T541" s="648"/>
      <c r="U541" s="648"/>
      <c r="V541" s="648"/>
      <c r="W541" s="648"/>
      <c r="X541" s="648"/>
      <c r="Y541" s="648"/>
      <c r="Z541" s="648"/>
    </row>
    <row r="542" spans="1:26" ht="18.75" hidden="1">
      <c r="A542" s="537"/>
      <c r="B542" s="538"/>
      <c r="C542" s="727"/>
      <c r="D542" s="727" t="s">
        <v>59</v>
      </c>
      <c r="E542" s="727"/>
      <c r="F542" s="727"/>
      <c r="G542" s="189"/>
      <c r="H542" s="589" t="s">
        <v>35</v>
      </c>
      <c r="I542" s="269">
        <f ca="1">IFERROR(__xludf.DUMMYFUNCTION("IMPORTRANGE(""https://docs.google.com/spreadsheets/d/1QqKyyYR6Q21VydFLVH3TRQUabQu_ym0Zz7PgGX0-kHA/edit?usp=sharing"",""แผน!GZ22"")"),0)</f>
        <v>0</v>
      </c>
      <c r="J542" s="214">
        <v>0</v>
      </c>
      <c r="K542" s="465">
        <f t="shared" ca="1" si="233"/>
        <v>0</v>
      </c>
      <c r="L542" s="465"/>
      <c r="M542" s="465"/>
      <c r="N542" s="465"/>
      <c r="O542" s="465"/>
      <c r="P542" s="465"/>
      <c r="Q542" s="648"/>
      <c r="R542" s="648"/>
      <c r="S542" s="648"/>
      <c r="T542" s="648"/>
      <c r="U542" s="648"/>
      <c r="V542" s="648"/>
      <c r="W542" s="648"/>
      <c r="X542" s="648"/>
      <c r="Y542" s="648"/>
      <c r="Z542" s="648"/>
    </row>
    <row r="543" spans="1:26" ht="19.5">
      <c r="A543" s="630">
        <v>6</v>
      </c>
      <c r="B543" s="651" t="s">
        <v>232</v>
      </c>
      <c r="C543" s="633"/>
      <c r="D543" s="633"/>
      <c r="E543" s="633"/>
      <c r="F543" s="633"/>
      <c r="G543" s="634"/>
      <c r="H543" s="652" t="s">
        <v>46</v>
      </c>
      <c r="I543" s="653">
        <f t="shared" ref="I543:J543" ca="1" si="234">I559</f>
        <v>37505</v>
      </c>
      <c r="J543" s="653">
        <f t="shared" si="234"/>
        <v>0</v>
      </c>
      <c r="K543" s="654">
        <f t="shared" ca="1" si="233"/>
        <v>0</v>
      </c>
      <c r="L543" s="636"/>
      <c r="M543" s="636"/>
      <c r="N543" s="636"/>
      <c r="O543" s="636"/>
      <c r="P543" s="636"/>
      <c r="Q543" s="541"/>
      <c r="R543" s="541"/>
      <c r="S543" s="541"/>
      <c r="T543" s="541"/>
      <c r="U543" s="541"/>
      <c r="V543" s="541"/>
      <c r="W543" s="541"/>
      <c r="X543" s="541"/>
      <c r="Y543" s="541"/>
      <c r="Z543" s="541"/>
    </row>
    <row r="544" spans="1:26" ht="19.5">
      <c r="A544" s="655"/>
      <c r="B544" s="656"/>
      <c r="C544" s="656" t="s">
        <v>16</v>
      </c>
      <c r="D544" s="854" t="s">
        <v>17</v>
      </c>
      <c r="E544" s="810"/>
      <c r="F544" s="810"/>
      <c r="G544" s="657"/>
      <c r="H544" s="274" t="s">
        <v>12</v>
      </c>
      <c r="I544" s="388"/>
      <c r="J544" s="388"/>
      <c r="K544" s="154"/>
      <c r="L544" s="155">
        <f t="shared" ref="L544:N544" ca="1" si="235">L545+L546</f>
        <v>302229</v>
      </c>
      <c r="M544" s="155">
        <f t="shared" si="235"/>
        <v>0</v>
      </c>
      <c r="N544" s="155">
        <f t="shared" si="235"/>
        <v>14510</v>
      </c>
      <c r="O544" s="155">
        <f t="shared" ref="O544:O549" ca="1" si="236">IF(L544&gt;0,N544*100/L544,0)</f>
        <v>4.8009952717972135</v>
      </c>
      <c r="P544" s="155">
        <f t="shared" ref="P544:P549" si="237">IF(M544&gt;0,N544*100/M544,0)</f>
        <v>0</v>
      </c>
      <c r="Q544" s="541"/>
      <c r="R544" s="541"/>
      <c r="S544" s="541"/>
      <c r="T544" s="541"/>
      <c r="U544" s="541"/>
      <c r="V544" s="541"/>
      <c r="W544" s="541"/>
      <c r="X544" s="541"/>
      <c r="Y544" s="541"/>
      <c r="Z544" s="541"/>
    </row>
    <row r="545" spans="1:26" ht="18.75" hidden="1">
      <c r="A545" s="563"/>
      <c r="B545" s="723"/>
      <c r="C545" s="723"/>
      <c r="D545" s="723"/>
      <c r="E545" s="723" t="s">
        <v>184</v>
      </c>
      <c r="F545" s="723"/>
      <c r="G545" s="567"/>
      <c r="H545" s="165" t="s">
        <v>12</v>
      </c>
      <c r="I545" s="583"/>
      <c r="J545" s="583"/>
      <c r="K545" s="93"/>
      <c r="L545" s="93">
        <f t="shared" ref="L545:L546" si="238">L548+L556</f>
        <v>0</v>
      </c>
      <c r="M545" s="93">
        <f t="shared" ref="M545:N546" si="239">M548+M555</f>
        <v>0</v>
      </c>
      <c r="N545" s="93">
        <f t="shared" si="239"/>
        <v>0</v>
      </c>
      <c r="O545" s="93">
        <f t="shared" si="236"/>
        <v>0</v>
      </c>
      <c r="P545" s="93">
        <f t="shared" si="237"/>
        <v>0</v>
      </c>
      <c r="Q545" s="568"/>
      <c r="R545" s="568"/>
      <c r="S545" s="568"/>
      <c r="T545" s="568"/>
      <c r="U545" s="568"/>
      <c r="V545" s="568"/>
      <c r="W545" s="568"/>
      <c r="X545" s="568"/>
      <c r="Y545" s="568"/>
      <c r="Z545" s="568"/>
    </row>
    <row r="546" spans="1:26" ht="18.75" hidden="1">
      <c r="A546" s="563"/>
      <c r="B546" s="571"/>
      <c r="C546" s="723"/>
      <c r="D546" s="723"/>
      <c r="E546" s="723" t="s">
        <v>185</v>
      </c>
      <c r="F546" s="723"/>
      <c r="G546" s="567"/>
      <c r="H546" s="165" t="s">
        <v>12</v>
      </c>
      <c r="I546" s="583"/>
      <c r="J546" s="583"/>
      <c r="K546" s="93"/>
      <c r="L546" s="93">
        <f t="shared" ca="1" si="238"/>
        <v>302229</v>
      </c>
      <c r="M546" s="93">
        <f t="shared" si="239"/>
        <v>0</v>
      </c>
      <c r="N546" s="93">
        <f t="shared" si="239"/>
        <v>14510</v>
      </c>
      <c r="O546" s="93">
        <f t="shared" ca="1" si="236"/>
        <v>4.8009952717972135</v>
      </c>
      <c r="P546" s="93">
        <f t="shared" si="237"/>
        <v>0</v>
      </c>
      <c r="Q546" s="568"/>
      <c r="R546" s="568"/>
      <c r="S546" s="568"/>
      <c r="T546" s="568"/>
      <c r="U546" s="568"/>
      <c r="V546" s="568"/>
      <c r="W546" s="568"/>
      <c r="X546" s="568"/>
      <c r="Y546" s="568"/>
      <c r="Z546" s="568"/>
    </row>
    <row r="547" spans="1:26" ht="18.75">
      <c r="A547" s="561"/>
      <c r="B547" s="538"/>
      <c r="C547" s="727"/>
      <c r="D547" s="570" t="s">
        <v>20</v>
      </c>
      <c r="E547" s="727"/>
      <c r="F547" s="727"/>
      <c r="G547" s="189"/>
      <c r="H547" s="161" t="s">
        <v>12</v>
      </c>
      <c r="I547" s="184"/>
      <c r="J547" s="184"/>
      <c r="K547" s="163"/>
      <c r="L547" s="465">
        <f t="shared" ref="L547:N547" ca="1" si="240">L548+L549</f>
        <v>302229</v>
      </c>
      <c r="M547" s="465">
        <f t="shared" si="240"/>
        <v>0</v>
      </c>
      <c r="N547" s="465">
        <f t="shared" si="240"/>
        <v>14510</v>
      </c>
      <c r="O547" s="465">
        <f t="shared" ca="1" si="236"/>
        <v>4.8009952717972135</v>
      </c>
      <c r="P547" s="465">
        <f t="shared" si="237"/>
        <v>0</v>
      </c>
      <c r="Q547" s="541"/>
      <c r="R547" s="541"/>
      <c r="S547" s="541"/>
      <c r="T547" s="541"/>
      <c r="U547" s="541"/>
      <c r="V547" s="541"/>
      <c r="W547" s="541"/>
      <c r="X547" s="541"/>
      <c r="Y547" s="541"/>
      <c r="Z547" s="541"/>
    </row>
    <row r="548" spans="1:26" ht="18.75" hidden="1">
      <c r="A548" s="563"/>
      <c r="B548" s="571"/>
      <c r="C548" s="723"/>
      <c r="D548" s="684"/>
      <c r="E548" s="723" t="s">
        <v>184</v>
      </c>
      <c r="F548" s="723"/>
      <c r="G548" s="567"/>
      <c r="H548" s="165" t="s">
        <v>12</v>
      </c>
      <c r="I548" s="583"/>
      <c r="J548" s="583"/>
      <c r="K548" s="93"/>
      <c r="L548" s="93">
        <v>0</v>
      </c>
      <c r="M548" s="93">
        <v>0</v>
      </c>
      <c r="N548" s="93">
        <v>0</v>
      </c>
      <c r="O548" s="93">
        <f t="shared" si="236"/>
        <v>0</v>
      </c>
      <c r="P548" s="93">
        <f t="shared" si="237"/>
        <v>0</v>
      </c>
      <c r="Q548" s="568"/>
      <c r="R548" s="568"/>
      <c r="S548" s="568"/>
      <c r="T548" s="568"/>
      <c r="U548" s="568"/>
      <c r="V548" s="568"/>
      <c r="W548" s="568"/>
      <c r="X548" s="568"/>
      <c r="Y548" s="568"/>
      <c r="Z548" s="568"/>
    </row>
    <row r="549" spans="1:26" ht="18.75" hidden="1">
      <c r="A549" s="563"/>
      <c r="B549" s="571"/>
      <c r="C549" s="723"/>
      <c r="D549" s="684"/>
      <c r="E549" s="723" t="s">
        <v>185</v>
      </c>
      <c r="F549" s="723"/>
      <c r="G549" s="567"/>
      <c r="H549" s="165" t="s">
        <v>12</v>
      </c>
      <c r="I549" s="583"/>
      <c r="J549" s="583"/>
      <c r="K549" s="93"/>
      <c r="L549" s="93">
        <f ca="1">IFERROR(__xludf.DUMMYFUNCTION("IMPORTRANGE(""https://docs.google.com/spreadsheets/d/1QqKyyYR6Q21VydFLVH3TRQUabQu_ym0Zz7PgGX0-kHA/edit?usp=sharing"",""แผน!HB22"")"),302229)</f>
        <v>302229</v>
      </c>
      <c r="M549" s="93">
        <v>0</v>
      </c>
      <c r="N549" s="93">
        <f>N550+N551+N552+N553+N554</f>
        <v>14510</v>
      </c>
      <c r="O549" s="93">
        <f t="shared" ca="1" si="236"/>
        <v>4.8009952717972135</v>
      </c>
      <c r="P549" s="93">
        <f t="shared" si="237"/>
        <v>0</v>
      </c>
      <c r="Q549" s="568"/>
      <c r="R549" s="568"/>
      <c r="S549" s="568"/>
      <c r="T549" s="568"/>
      <c r="U549" s="568"/>
      <c r="V549" s="568"/>
      <c r="W549" s="568"/>
      <c r="X549" s="568"/>
      <c r="Y549" s="568"/>
      <c r="Z549" s="568"/>
    </row>
    <row r="550" spans="1:26" ht="18.75">
      <c r="A550" s="537"/>
      <c r="B550" s="538"/>
      <c r="C550" s="727"/>
      <c r="D550" s="727"/>
      <c r="E550" s="727"/>
      <c r="F550" s="727" t="s">
        <v>186</v>
      </c>
      <c r="G550" s="189"/>
      <c r="H550" s="161" t="s">
        <v>12</v>
      </c>
      <c r="I550" s="269"/>
      <c r="J550" s="269"/>
      <c r="K550" s="465"/>
      <c r="L550" s="465"/>
      <c r="M550" s="465"/>
      <c r="N550" s="789">
        <v>0</v>
      </c>
      <c r="O550" s="465"/>
      <c r="P550" s="465"/>
      <c r="Q550" s="541"/>
      <c r="R550" s="541"/>
      <c r="S550" s="541"/>
      <c r="T550" s="541"/>
      <c r="U550" s="541"/>
      <c r="V550" s="541"/>
      <c r="W550" s="541"/>
      <c r="X550" s="541"/>
      <c r="Y550" s="541"/>
      <c r="Z550" s="541"/>
    </row>
    <row r="551" spans="1:26" ht="18.75">
      <c r="A551" s="537"/>
      <c r="B551" s="538"/>
      <c r="C551" s="538"/>
      <c r="D551" s="538"/>
      <c r="E551" s="727"/>
      <c r="F551" s="727" t="s">
        <v>187</v>
      </c>
      <c r="G551" s="189"/>
      <c r="H551" s="161" t="s">
        <v>12</v>
      </c>
      <c r="I551" s="269"/>
      <c r="J551" s="269"/>
      <c r="K551" s="465"/>
      <c r="L551" s="465"/>
      <c r="M551" s="465"/>
      <c r="N551" s="789">
        <v>0</v>
      </c>
      <c r="O551" s="465"/>
      <c r="P551" s="465"/>
      <c r="Q551" s="541"/>
      <c r="R551" s="541"/>
      <c r="S551" s="541"/>
      <c r="T551" s="541"/>
      <c r="U551" s="541"/>
      <c r="V551" s="541"/>
      <c r="W551" s="541"/>
      <c r="X551" s="541"/>
      <c r="Y551" s="541"/>
      <c r="Z551" s="541"/>
    </row>
    <row r="552" spans="1:26" ht="18.75">
      <c r="A552" s="537"/>
      <c r="B552" s="538"/>
      <c r="C552" s="727"/>
      <c r="D552" s="727"/>
      <c r="E552" s="727"/>
      <c r="F552" s="727" t="s">
        <v>188</v>
      </c>
      <c r="G552" s="189"/>
      <c r="H552" s="161" t="s">
        <v>12</v>
      </c>
      <c r="I552" s="269"/>
      <c r="J552" s="269"/>
      <c r="K552" s="465"/>
      <c r="L552" s="465"/>
      <c r="M552" s="465"/>
      <c r="N552" s="789">
        <v>13000</v>
      </c>
      <c r="O552" s="465"/>
      <c r="P552" s="465"/>
      <c r="Q552" s="541"/>
      <c r="R552" s="541"/>
      <c r="S552" s="541"/>
      <c r="T552" s="541"/>
      <c r="U552" s="541"/>
      <c r="V552" s="541"/>
      <c r="W552" s="541"/>
      <c r="X552" s="541"/>
      <c r="Y552" s="541"/>
      <c r="Z552" s="541"/>
    </row>
    <row r="553" spans="1:26" ht="18.75">
      <c r="A553" s="537"/>
      <c r="B553" s="538"/>
      <c r="C553" s="538"/>
      <c r="D553" s="538"/>
      <c r="E553" s="727"/>
      <c r="F553" s="727" t="s">
        <v>189</v>
      </c>
      <c r="G553" s="189"/>
      <c r="H553" s="161" t="s">
        <v>12</v>
      </c>
      <c r="I553" s="269"/>
      <c r="J553" s="269"/>
      <c r="K553" s="465"/>
      <c r="L553" s="465"/>
      <c r="M553" s="465"/>
      <c r="N553" s="789">
        <v>1510</v>
      </c>
      <c r="O553" s="465"/>
      <c r="P553" s="465"/>
      <c r="Q553" s="541"/>
      <c r="R553" s="541"/>
      <c r="S553" s="541"/>
      <c r="T553" s="541"/>
      <c r="U553" s="541"/>
      <c r="V553" s="541"/>
      <c r="W553" s="541"/>
      <c r="X553" s="541"/>
      <c r="Y553" s="541"/>
      <c r="Z553" s="541"/>
    </row>
    <row r="554" spans="1:26" ht="18.75">
      <c r="A554" s="537"/>
      <c r="B554" s="538"/>
      <c r="C554" s="538"/>
      <c r="D554" s="538"/>
      <c r="E554" s="727"/>
      <c r="F554" s="727" t="s">
        <v>233</v>
      </c>
      <c r="G554" s="189"/>
      <c r="H554" s="161" t="s">
        <v>12</v>
      </c>
      <c r="I554" s="269"/>
      <c r="J554" s="269"/>
      <c r="K554" s="465"/>
      <c r="L554" s="465"/>
      <c r="M554" s="465"/>
      <c r="N554" s="789">
        <v>0</v>
      </c>
      <c r="O554" s="465"/>
      <c r="P554" s="465"/>
      <c r="Q554" s="541"/>
      <c r="R554" s="541"/>
      <c r="S554" s="541"/>
      <c r="T554" s="541"/>
      <c r="U554" s="541"/>
      <c r="V554" s="541"/>
      <c r="W554" s="541"/>
      <c r="X554" s="541"/>
      <c r="Y554" s="541"/>
      <c r="Z554" s="541"/>
    </row>
    <row r="555" spans="1:26" ht="18.75">
      <c r="A555" s="561"/>
      <c r="B555" s="538"/>
      <c r="C555" s="538"/>
      <c r="D555" s="570" t="s">
        <v>21</v>
      </c>
      <c r="E555" s="727"/>
      <c r="F555" s="727"/>
      <c r="G555" s="189"/>
      <c r="H555" s="168" t="s">
        <v>12</v>
      </c>
      <c r="I555" s="184"/>
      <c r="J555" s="184"/>
      <c r="K555" s="163"/>
      <c r="L555" s="465">
        <f t="shared" ref="L555:N555" ca="1" si="241">L556+L557</f>
        <v>0</v>
      </c>
      <c r="M555" s="465">
        <f t="shared" si="241"/>
        <v>0</v>
      </c>
      <c r="N555" s="465">
        <f t="shared" si="241"/>
        <v>0</v>
      </c>
      <c r="O555" s="465">
        <f t="shared" ref="O555:O557" ca="1" si="242">IF(L555&gt;0,N555*100/L555,0)</f>
        <v>0</v>
      </c>
      <c r="P555" s="465">
        <f t="shared" ref="P555:P557" si="243">IF(M555&gt;0,N555*100/M555,0)</f>
        <v>0</v>
      </c>
      <c r="Q555" s="541"/>
      <c r="R555" s="541"/>
      <c r="S555" s="541"/>
      <c r="T555" s="541"/>
      <c r="U555" s="541"/>
      <c r="V555" s="541"/>
      <c r="W555" s="541"/>
      <c r="X555" s="541"/>
      <c r="Y555" s="541"/>
      <c r="Z555" s="541"/>
    </row>
    <row r="556" spans="1:26" ht="18.75" hidden="1">
      <c r="A556" s="563"/>
      <c r="B556" s="571"/>
      <c r="C556" s="571"/>
      <c r="D556" s="723"/>
      <c r="E556" s="723" t="s">
        <v>18</v>
      </c>
      <c r="F556" s="723"/>
      <c r="G556" s="567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2"/>
        <v>0</v>
      </c>
      <c r="P556" s="93">
        <f t="shared" si="243"/>
        <v>0</v>
      </c>
      <c r="Q556" s="568"/>
      <c r="R556" s="568"/>
      <c r="S556" s="568"/>
      <c r="T556" s="568"/>
      <c r="U556" s="568"/>
      <c r="V556" s="568"/>
      <c r="W556" s="568"/>
      <c r="X556" s="568"/>
      <c r="Y556" s="568"/>
      <c r="Z556" s="568"/>
    </row>
    <row r="557" spans="1:26" ht="18.75" hidden="1">
      <c r="A557" s="563"/>
      <c r="B557" s="571"/>
      <c r="C557" s="571"/>
      <c r="D557" s="723"/>
      <c r="E557" s="723" t="s">
        <v>19</v>
      </c>
      <c r="F557" s="723"/>
      <c r="G557" s="567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IFERROR(__xludf.DUMMYFUNCTION("IMPORTRANGE(""https://docs.google.com/spreadsheets/d/1QqKyyYR6Q21VydFLVH3TRQUabQu_ym0Zz7PgGX0-kHA/edit?usp=sharing"",""แผน!HF22"")"),0)</f>
        <v>0</v>
      </c>
      <c r="M557" s="93">
        <v>0</v>
      </c>
      <c r="N557" s="93">
        <v>0</v>
      </c>
      <c r="O557" s="93">
        <f t="shared" ca="1" si="242"/>
        <v>0</v>
      </c>
      <c r="P557" s="93">
        <f t="shared" si="243"/>
        <v>0</v>
      </c>
      <c r="Q557" s="568"/>
      <c r="R557" s="568"/>
      <c r="S557" s="568"/>
      <c r="T557" s="568"/>
      <c r="U557" s="568"/>
      <c r="V557" s="568"/>
      <c r="W557" s="568"/>
      <c r="X557" s="568"/>
      <c r="Y557" s="568"/>
      <c r="Z557" s="568"/>
    </row>
    <row r="558" spans="1:26" ht="19.5">
      <c r="A558" s="572"/>
      <c r="B558" s="584"/>
      <c r="C558" s="538" t="s">
        <v>16</v>
      </c>
      <c r="D558" s="853" t="s">
        <v>38</v>
      </c>
      <c r="E558" s="725"/>
      <c r="F558" s="725"/>
      <c r="G558" s="577"/>
      <c r="H558" s="726"/>
      <c r="I558" s="184"/>
      <c r="J558" s="184"/>
      <c r="K558" s="163"/>
      <c r="L558" s="163"/>
      <c r="M558" s="163"/>
      <c r="N558" s="163"/>
      <c r="O558" s="163"/>
      <c r="P558" s="163"/>
      <c r="Q558" s="541"/>
      <c r="R558" s="541"/>
      <c r="S558" s="541"/>
      <c r="T558" s="541"/>
      <c r="U558" s="541"/>
      <c r="V558" s="541"/>
      <c r="W558" s="541"/>
      <c r="X558" s="541"/>
      <c r="Y558" s="541"/>
      <c r="Z558" s="541"/>
    </row>
    <row r="559" spans="1:26" ht="19.5">
      <c r="A559" s="658"/>
      <c r="B559" s="659" t="s">
        <v>234</v>
      </c>
      <c r="C559" s="660"/>
      <c r="D559" s="660"/>
      <c r="E559" s="639"/>
      <c r="F559" s="639"/>
      <c r="G559" s="640"/>
      <c r="H559" s="661" t="s">
        <v>46</v>
      </c>
      <c r="I559" s="672">
        <f t="shared" ref="I559:J559" ca="1" si="244">I576</f>
        <v>37505</v>
      </c>
      <c r="J559" s="672">
        <f t="shared" si="244"/>
        <v>0</v>
      </c>
      <c r="K559" s="643">
        <f t="shared" ref="K559:K561" ca="1" si="245">IF(I559&gt;0,J559*100/I559,0)</f>
        <v>0</v>
      </c>
      <c r="L559" s="644"/>
      <c r="M559" s="644"/>
      <c r="N559" s="644"/>
      <c r="O559" s="644"/>
      <c r="P559" s="644"/>
      <c r="Q559" s="541"/>
      <c r="R559" s="541"/>
      <c r="S559" s="541"/>
      <c r="T559" s="541"/>
      <c r="U559" s="541"/>
      <c r="V559" s="541"/>
      <c r="W559" s="541"/>
      <c r="X559" s="541"/>
      <c r="Y559" s="541"/>
      <c r="Z559" s="541"/>
    </row>
    <row r="560" spans="1:26" ht="19.5">
      <c r="A560" s="572"/>
      <c r="B560" s="584"/>
      <c r="C560" s="591" t="s">
        <v>235</v>
      </c>
      <c r="D560" s="584"/>
      <c r="E560" s="592"/>
      <c r="F560" s="592"/>
      <c r="G560" s="726"/>
      <c r="H560" s="731" t="s">
        <v>46</v>
      </c>
      <c r="I560" s="193">
        <f ca="1">IFERROR(__xludf.DUMMYFUNCTION("IMPORTRANGE(""https://docs.google.com/spreadsheets/d/1QqKyyYR6Q21VydFLVH3TRQUabQu_ym0Zz7PgGX0-kHA/edit?usp=sharing"",""แผน!HH22"")"),37505)</f>
        <v>37505</v>
      </c>
      <c r="J560" s="193">
        <f t="shared" ref="J560:J561" si="246">J562+J564+J566</f>
        <v>0</v>
      </c>
      <c r="K560" s="379">
        <f t="shared" ca="1" si="245"/>
        <v>0</v>
      </c>
      <c r="L560" s="163"/>
      <c r="M560" s="163"/>
      <c r="N560" s="163"/>
      <c r="O560" s="163"/>
      <c r="P560" s="163"/>
      <c r="Q560" s="541"/>
      <c r="R560" s="541"/>
      <c r="S560" s="541"/>
      <c r="T560" s="541"/>
      <c r="U560" s="541"/>
      <c r="V560" s="541"/>
      <c r="W560" s="541"/>
      <c r="X560" s="541"/>
      <c r="Y560" s="541"/>
      <c r="Z560" s="541"/>
    </row>
    <row r="561" spans="1:26" ht="19.5">
      <c r="A561" s="572"/>
      <c r="B561" s="584"/>
      <c r="C561" s="584"/>
      <c r="D561" s="592"/>
      <c r="E561" s="592"/>
      <c r="F561" s="592"/>
      <c r="G561" s="726"/>
      <c r="H561" s="731" t="s">
        <v>34</v>
      </c>
      <c r="I561" s="193">
        <f ca="1">IFERROR(__xludf.DUMMYFUNCTION("IMPORTRANGE(""https://docs.google.com/spreadsheets/d/1QqKyyYR6Q21VydFLVH3TRQUabQu_ym0Zz7PgGX0-kHA/edit?usp=sharing"",""แผน!HG22"")"),4678)</f>
        <v>4678</v>
      </c>
      <c r="J561" s="193">
        <f t="shared" si="246"/>
        <v>0</v>
      </c>
      <c r="K561" s="379">
        <f t="shared" ca="1" si="245"/>
        <v>0</v>
      </c>
      <c r="L561" s="163"/>
      <c r="M561" s="163"/>
      <c r="N561" s="163"/>
      <c r="O561" s="163"/>
      <c r="P561" s="163"/>
      <c r="Q561" s="541"/>
      <c r="R561" s="541"/>
      <c r="S561" s="541"/>
      <c r="T561" s="541"/>
      <c r="U561" s="541"/>
      <c r="V561" s="541"/>
      <c r="W561" s="541"/>
      <c r="X561" s="541"/>
      <c r="Y561" s="541"/>
      <c r="Z561" s="541"/>
    </row>
    <row r="562" spans="1:26" ht="18.75">
      <c r="A562" s="572"/>
      <c r="B562" s="584"/>
      <c r="C562" s="584"/>
      <c r="D562" s="592" t="s">
        <v>236</v>
      </c>
      <c r="E562" s="592"/>
      <c r="F562" s="592"/>
      <c r="G562" s="726"/>
      <c r="H562" s="728" t="s">
        <v>46</v>
      </c>
      <c r="I562" s="184"/>
      <c r="J562" s="214">
        <v>0</v>
      </c>
      <c r="K562" s="163"/>
      <c r="L562" s="163"/>
      <c r="M562" s="163"/>
      <c r="N562" s="163"/>
      <c r="O562" s="163"/>
      <c r="P562" s="163"/>
      <c r="Q562" s="541"/>
      <c r="R562" s="541"/>
      <c r="S562" s="541"/>
      <c r="T562" s="541"/>
      <c r="U562" s="541"/>
      <c r="V562" s="541"/>
      <c r="W562" s="541"/>
      <c r="X562" s="541"/>
      <c r="Y562" s="541"/>
      <c r="Z562" s="541"/>
    </row>
    <row r="563" spans="1:26" ht="18.75">
      <c r="A563" s="572"/>
      <c r="B563" s="584"/>
      <c r="C563" s="584"/>
      <c r="D563" s="584"/>
      <c r="E563" s="592"/>
      <c r="F563" s="592"/>
      <c r="G563" s="726"/>
      <c r="H563" s="728" t="s">
        <v>34</v>
      </c>
      <c r="I563" s="184"/>
      <c r="J563" s="214">
        <v>0</v>
      </c>
      <c r="K563" s="163"/>
      <c r="L563" s="163"/>
      <c r="M563" s="163"/>
      <c r="N563" s="163"/>
      <c r="O563" s="163"/>
      <c r="P563" s="163"/>
      <c r="Q563" s="541"/>
      <c r="R563" s="541"/>
      <c r="S563" s="541"/>
      <c r="T563" s="541"/>
      <c r="U563" s="541"/>
      <c r="V563" s="541"/>
      <c r="W563" s="541"/>
      <c r="X563" s="541"/>
      <c r="Y563" s="541"/>
      <c r="Z563" s="541"/>
    </row>
    <row r="564" spans="1:26" ht="18.75">
      <c r="A564" s="572"/>
      <c r="B564" s="584"/>
      <c r="C564" s="584"/>
      <c r="D564" s="592" t="s">
        <v>237</v>
      </c>
      <c r="E564" s="592"/>
      <c r="F564" s="592"/>
      <c r="G564" s="726"/>
      <c r="H564" s="728" t="s">
        <v>46</v>
      </c>
      <c r="I564" s="184"/>
      <c r="J564" s="214">
        <v>0</v>
      </c>
      <c r="K564" s="163"/>
      <c r="L564" s="163"/>
      <c r="M564" s="163"/>
      <c r="N564" s="163"/>
      <c r="O564" s="163"/>
      <c r="P564" s="163"/>
      <c r="Q564" s="541"/>
      <c r="R564" s="541"/>
      <c r="S564" s="541"/>
      <c r="T564" s="541"/>
      <c r="U564" s="541"/>
      <c r="V564" s="541"/>
      <c r="W564" s="541"/>
      <c r="X564" s="541"/>
      <c r="Y564" s="541"/>
      <c r="Z564" s="541"/>
    </row>
    <row r="565" spans="1:26" ht="18.75">
      <c r="A565" s="572"/>
      <c r="B565" s="584"/>
      <c r="C565" s="584"/>
      <c r="D565" s="592"/>
      <c r="E565" s="592"/>
      <c r="F565" s="592"/>
      <c r="G565" s="726"/>
      <c r="H565" s="728" t="s">
        <v>34</v>
      </c>
      <c r="I565" s="184"/>
      <c r="J565" s="214">
        <v>0</v>
      </c>
      <c r="K565" s="163"/>
      <c r="L565" s="163"/>
      <c r="M565" s="163"/>
      <c r="N565" s="163"/>
      <c r="O565" s="163"/>
      <c r="P565" s="163"/>
      <c r="Q565" s="541"/>
      <c r="R565" s="541"/>
      <c r="S565" s="541"/>
      <c r="T565" s="541"/>
      <c r="U565" s="541"/>
      <c r="V565" s="541"/>
      <c r="W565" s="541"/>
      <c r="X565" s="541"/>
      <c r="Y565" s="541"/>
      <c r="Z565" s="541"/>
    </row>
    <row r="566" spans="1:26" ht="18.75">
      <c r="A566" s="572"/>
      <c r="B566" s="584"/>
      <c r="C566" s="584"/>
      <c r="D566" s="592" t="s">
        <v>238</v>
      </c>
      <c r="E566" s="592"/>
      <c r="F566" s="592"/>
      <c r="G566" s="726"/>
      <c r="H566" s="728" t="s">
        <v>46</v>
      </c>
      <c r="I566" s="184"/>
      <c r="J566" s="214">
        <v>0</v>
      </c>
      <c r="K566" s="163"/>
      <c r="L566" s="163"/>
      <c r="M566" s="163"/>
      <c r="N566" s="163"/>
      <c r="O566" s="163"/>
      <c r="P566" s="163"/>
      <c r="Q566" s="541"/>
      <c r="R566" s="541"/>
      <c r="S566" s="541"/>
      <c r="T566" s="541"/>
      <c r="U566" s="541"/>
      <c r="V566" s="541"/>
      <c r="W566" s="541"/>
      <c r="X566" s="541"/>
      <c r="Y566" s="541"/>
      <c r="Z566" s="541"/>
    </row>
    <row r="567" spans="1:26" ht="18.75">
      <c r="A567" s="572"/>
      <c r="B567" s="584"/>
      <c r="C567" s="584"/>
      <c r="D567" s="592"/>
      <c r="E567" s="592"/>
      <c r="F567" s="592"/>
      <c r="G567" s="726"/>
      <c r="H567" s="728" t="s">
        <v>34</v>
      </c>
      <c r="I567" s="184"/>
      <c r="J567" s="214">
        <v>0</v>
      </c>
      <c r="K567" s="163"/>
      <c r="L567" s="163"/>
      <c r="M567" s="163"/>
      <c r="N567" s="163"/>
      <c r="O567" s="163"/>
      <c r="P567" s="163"/>
      <c r="Q567" s="541"/>
      <c r="R567" s="541"/>
      <c r="S567" s="541"/>
      <c r="T567" s="541"/>
      <c r="U567" s="541"/>
      <c r="V567" s="541"/>
      <c r="W567" s="541"/>
      <c r="X567" s="541"/>
      <c r="Y567" s="541"/>
      <c r="Z567" s="541"/>
    </row>
    <row r="568" spans="1:26" ht="19.5">
      <c r="A568" s="572"/>
      <c r="B568" s="584"/>
      <c r="C568" s="591" t="s">
        <v>239</v>
      </c>
      <c r="D568" s="592"/>
      <c r="E568" s="592"/>
      <c r="F568" s="592"/>
      <c r="G568" s="726"/>
      <c r="H568" s="731" t="s">
        <v>46</v>
      </c>
      <c r="I568" s="193">
        <f ca="1">IFERROR(__xludf.DUMMYFUNCTION("IMPORTRANGE(""https://docs.google.com/spreadsheets/d/1QqKyyYR6Q21VydFLVH3TRQUabQu_ym0Zz7PgGX0-kHA/edit?usp=sharing"",""แผน!HH22"")"),37505)</f>
        <v>37505</v>
      </c>
      <c r="J568" s="647">
        <f t="shared" ref="J568:J569" si="247">J570+J572+J574</f>
        <v>0</v>
      </c>
      <c r="K568" s="379">
        <f t="shared" ref="K568:K569" ca="1" si="248">IF(I568&gt;0,J568*100/I568,0)</f>
        <v>0</v>
      </c>
      <c r="L568" s="163"/>
      <c r="M568" s="163"/>
      <c r="N568" s="163"/>
      <c r="O568" s="163"/>
      <c r="P568" s="163"/>
      <c r="Q568" s="541"/>
      <c r="R568" s="541"/>
      <c r="S568" s="541"/>
      <c r="T568" s="541"/>
      <c r="U568" s="541"/>
      <c r="V568" s="541"/>
      <c r="W568" s="541"/>
      <c r="X568" s="541"/>
      <c r="Y568" s="541"/>
      <c r="Z568" s="541"/>
    </row>
    <row r="569" spans="1:26" ht="19.5">
      <c r="A569" s="572"/>
      <c r="B569" s="584"/>
      <c r="C569" s="584"/>
      <c r="D569" s="584"/>
      <c r="E569" s="592"/>
      <c r="F569" s="592"/>
      <c r="G569" s="726"/>
      <c r="H569" s="731" t="s">
        <v>34</v>
      </c>
      <c r="I569" s="193">
        <f ca="1">IFERROR(__xludf.DUMMYFUNCTION("IMPORTRANGE(""https://docs.google.com/spreadsheets/d/1QqKyyYR6Q21VydFLVH3TRQUabQu_ym0Zz7PgGX0-kHA/edit?usp=sharing"",""แผน!HG22"")"),4678)</f>
        <v>4678</v>
      </c>
      <c r="J569" s="647">
        <f t="shared" si="247"/>
        <v>0</v>
      </c>
      <c r="K569" s="379">
        <f t="shared" ca="1" si="248"/>
        <v>0</v>
      </c>
      <c r="L569" s="163"/>
      <c r="M569" s="163"/>
      <c r="N569" s="163"/>
      <c r="O569" s="163"/>
      <c r="P569" s="163"/>
      <c r="Q569" s="541"/>
      <c r="R569" s="541"/>
      <c r="S569" s="541"/>
      <c r="T569" s="541"/>
      <c r="U569" s="541"/>
      <c r="V569" s="541"/>
      <c r="W569" s="541"/>
      <c r="X569" s="541"/>
      <c r="Y569" s="541"/>
      <c r="Z569" s="541"/>
    </row>
    <row r="570" spans="1:26" ht="18.75">
      <c r="A570" s="572"/>
      <c r="B570" s="584"/>
      <c r="C570" s="584"/>
      <c r="D570" s="592" t="s">
        <v>240</v>
      </c>
      <c r="E570" s="584"/>
      <c r="F570" s="592"/>
      <c r="G570" s="726"/>
      <c r="H570" s="728" t="s">
        <v>46</v>
      </c>
      <c r="I570" s="184"/>
      <c r="J570" s="214">
        <v>0</v>
      </c>
      <c r="K570" s="163"/>
      <c r="L570" s="163"/>
      <c r="M570" s="163"/>
      <c r="N570" s="163"/>
      <c r="O570" s="163"/>
      <c r="P570" s="163"/>
      <c r="Q570" s="541"/>
      <c r="R570" s="541"/>
      <c r="S570" s="541"/>
      <c r="T570" s="541"/>
      <c r="U570" s="541"/>
      <c r="V570" s="541"/>
      <c r="W570" s="541"/>
      <c r="X570" s="541"/>
      <c r="Y570" s="541"/>
      <c r="Z570" s="541"/>
    </row>
    <row r="571" spans="1:26" ht="18.75">
      <c r="A571" s="572"/>
      <c r="B571" s="584"/>
      <c r="C571" s="584"/>
      <c r="D571" s="584"/>
      <c r="E571" s="592"/>
      <c r="F571" s="592"/>
      <c r="G571" s="726"/>
      <c r="H571" s="728" t="s">
        <v>34</v>
      </c>
      <c r="I571" s="184"/>
      <c r="J571" s="214">
        <v>0</v>
      </c>
      <c r="K571" s="163"/>
      <c r="L571" s="163"/>
      <c r="M571" s="163"/>
      <c r="N571" s="163"/>
      <c r="O571" s="163"/>
      <c r="P571" s="163"/>
      <c r="Q571" s="541"/>
      <c r="R571" s="541"/>
      <c r="S571" s="541"/>
      <c r="T571" s="541"/>
      <c r="U571" s="541"/>
      <c r="V571" s="541"/>
      <c r="W571" s="541"/>
      <c r="X571" s="541"/>
      <c r="Y571" s="541"/>
      <c r="Z571" s="541"/>
    </row>
    <row r="572" spans="1:26" ht="18.75">
      <c r="A572" s="572"/>
      <c r="B572" s="584"/>
      <c r="C572" s="584"/>
      <c r="D572" s="592" t="s">
        <v>241</v>
      </c>
      <c r="E572" s="592"/>
      <c r="F572" s="592"/>
      <c r="G572" s="726"/>
      <c r="H572" s="728" t="s">
        <v>46</v>
      </c>
      <c r="I572" s="184"/>
      <c r="J572" s="214">
        <v>0</v>
      </c>
      <c r="K572" s="163"/>
      <c r="L572" s="163"/>
      <c r="M572" s="163"/>
      <c r="N572" s="163"/>
      <c r="O572" s="163"/>
      <c r="P572" s="163"/>
      <c r="Q572" s="541"/>
      <c r="R572" s="541"/>
      <c r="S572" s="541"/>
      <c r="T572" s="541"/>
      <c r="U572" s="541"/>
      <c r="V572" s="541"/>
      <c r="W572" s="541"/>
      <c r="X572" s="541"/>
      <c r="Y572" s="541"/>
      <c r="Z572" s="541"/>
    </row>
    <row r="573" spans="1:26" ht="18.75">
      <c r="A573" s="572"/>
      <c r="B573" s="584"/>
      <c r="C573" s="584"/>
      <c r="D573" s="592"/>
      <c r="E573" s="592"/>
      <c r="F573" s="592"/>
      <c r="G573" s="726"/>
      <c r="H573" s="728" t="s">
        <v>34</v>
      </c>
      <c r="I573" s="184"/>
      <c r="J573" s="214">
        <v>0</v>
      </c>
      <c r="K573" s="163"/>
      <c r="L573" s="163"/>
      <c r="M573" s="163"/>
      <c r="N573" s="163"/>
      <c r="O573" s="163"/>
      <c r="P573" s="163"/>
      <c r="Q573" s="541"/>
      <c r="R573" s="541"/>
      <c r="S573" s="541"/>
      <c r="T573" s="541"/>
      <c r="U573" s="541"/>
      <c r="V573" s="541"/>
      <c r="W573" s="541"/>
      <c r="X573" s="541"/>
      <c r="Y573" s="541"/>
      <c r="Z573" s="541"/>
    </row>
    <row r="574" spans="1:26" ht="18.75">
      <c r="A574" s="572"/>
      <c r="B574" s="584"/>
      <c r="C574" s="584"/>
      <c r="D574" s="592" t="s">
        <v>242</v>
      </c>
      <c r="E574" s="592"/>
      <c r="F574" s="592"/>
      <c r="G574" s="726"/>
      <c r="H574" s="728" t="s">
        <v>46</v>
      </c>
      <c r="I574" s="184"/>
      <c r="J574" s="214">
        <v>0</v>
      </c>
      <c r="K574" s="163"/>
      <c r="L574" s="163"/>
      <c r="M574" s="163"/>
      <c r="N574" s="163"/>
      <c r="O574" s="163"/>
      <c r="P574" s="163"/>
      <c r="Q574" s="541"/>
      <c r="R574" s="541"/>
      <c r="S574" s="541"/>
      <c r="T574" s="541"/>
      <c r="U574" s="541"/>
      <c r="V574" s="541"/>
      <c r="W574" s="541"/>
      <c r="X574" s="541"/>
      <c r="Y574" s="541"/>
      <c r="Z574" s="541"/>
    </row>
    <row r="575" spans="1:26" ht="18.75">
      <c r="A575" s="572"/>
      <c r="B575" s="584"/>
      <c r="C575" s="584"/>
      <c r="D575" s="584"/>
      <c r="E575" s="592"/>
      <c r="F575" s="592"/>
      <c r="G575" s="726"/>
      <c r="H575" s="728" t="s">
        <v>34</v>
      </c>
      <c r="I575" s="184"/>
      <c r="J575" s="214">
        <v>0</v>
      </c>
      <c r="K575" s="163"/>
      <c r="L575" s="163"/>
      <c r="M575" s="163"/>
      <c r="N575" s="163"/>
      <c r="O575" s="163"/>
      <c r="P575" s="163"/>
      <c r="Q575" s="541"/>
      <c r="R575" s="541"/>
      <c r="S575" s="541"/>
      <c r="T575" s="541"/>
      <c r="U575" s="541"/>
      <c r="V575" s="541"/>
      <c r="W575" s="541"/>
      <c r="X575" s="541"/>
      <c r="Y575" s="541"/>
      <c r="Z575" s="541"/>
    </row>
    <row r="576" spans="1:26" ht="19.5">
      <c r="A576" s="572"/>
      <c r="B576" s="584"/>
      <c r="C576" s="591" t="s">
        <v>243</v>
      </c>
      <c r="D576" s="584"/>
      <c r="E576" s="584"/>
      <c r="F576" s="592"/>
      <c r="G576" s="726"/>
      <c r="H576" s="731" t="s">
        <v>46</v>
      </c>
      <c r="I576" s="193">
        <f ca="1">IFERROR(__xludf.DUMMYFUNCTION("IMPORTRANGE(""https://docs.google.com/spreadsheets/d/1QqKyyYR6Q21VydFLVH3TRQUabQu_ym0Zz7PgGX0-kHA/edit?usp=sharing"",""แผน!HH22"")"),37505)</f>
        <v>37505</v>
      </c>
      <c r="J576" s="647">
        <f t="shared" ref="J576:J577" si="249">J578+J580+J582+J588+J590</f>
        <v>0</v>
      </c>
      <c r="K576" s="379">
        <f t="shared" ref="K576:K577" ca="1" si="250">IF(I576&gt;0,J576*100/I576,0)</f>
        <v>0</v>
      </c>
      <c r="L576" s="163"/>
      <c r="M576" s="163"/>
      <c r="N576" s="163"/>
      <c r="O576" s="163"/>
      <c r="P576" s="163"/>
      <c r="Q576" s="541"/>
      <c r="R576" s="541"/>
      <c r="S576" s="541"/>
      <c r="T576" s="541"/>
      <c r="U576" s="541"/>
      <c r="V576" s="541"/>
      <c r="W576" s="541"/>
      <c r="X576" s="541"/>
      <c r="Y576" s="541"/>
      <c r="Z576" s="541"/>
    </row>
    <row r="577" spans="1:26" ht="19.5">
      <c r="A577" s="572"/>
      <c r="B577" s="584"/>
      <c r="C577" s="584"/>
      <c r="D577" s="584"/>
      <c r="E577" s="592"/>
      <c r="F577" s="592"/>
      <c r="G577" s="726"/>
      <c r="H577" s="731" t="s">
        <v>34</v>
      </c>
      <c r="I577" s="193">
        <f ca="1">IFERROR(__xludf.DUMMYFUNCTION("IMPORTRANGE(""https://docs.google.com/spreadsheets/d/1QqKyyYR6Q21VydFLVH3TRQUabQu_ym0Zz7PgGX0-kHA/edit?usp=sharing"",""แผน!HG22"")"),4678)</f>
        <v>4678</v>
      </c>
      <c r="J577" s="647">
        <f t="shared" si="249"/>
        <v>0</v>
      </c>
      <c r="K577" s="379">
        <f t="shared" ca="1" si="250"/>
        <v>0</v>
      </c>
      <c r="L577" s="163"/>
      <c r="M577" s="163"/>
      <c r="N577" s="163"/>
      <c r="O577" s="163"/>
      <c r="P577" s="163"/>
      <c r="Q577" s="541"/>
      <c r="R577" s="541"/>
      <c r="S577" s="541"/>
      <c r="T577" s="541"/>
      <c r="U577" s="541"/>
      <c r="V577" s="541"/>
      <c r="W577" s="541"/>
      <c r="X577" s="541"/>
      <c r="Y577" s="541"/>
      <c r="Z577" s="541"/>
    </row>
    <row r="578" spans="1:26" ht="18.75">
      <c r="A578" s="572"/>
      <c r="B578" s="584"/>
      <c r="C578" s="584"/>
      <c r="D578" s="592" t="s">
        <v>244</v>
      </c>
      <c r="E578" s="592"/>
      <c r="F578" s="592"/>
      <c r="G578" s="726"/>
      <c r="H578" s="728" t="s">
        <v>46</v>
      </c>
      <c r="I578" s="184"/>
      <c r="J578" s="214">
        <v>0</v>
      </c>
      <c r="K578" s="163"/>
      <c r="L578" s="163"/>
      <c r="M578" s="163"/>
      <c r="N578" s="163"/>
      <c r="O578" s="163"/>
      <c r="P578" s="163"/>
      <c r="Q578" s="541"/>
      <c r="R578" s="541"/>
      <c r="S578" s="541"/>
      <c r="T578" s="541"/>
      <c r="U578" s="541"/>
      <c r="V578" s="541"/>
      <c r="W578" s="541"/>
      <c r="X578" s="541"/>
      <c r="Y578" s="541"/>
      <c r="Z578" s="541"/>
    </row>
    <row r="579" spans="1:26" ht="18.75">
      <c r="A579" s="572"/>
      <c r="B579" s="584"/>
      <c r="C579" s="584"/>
      <c r="D579" s="584"/>
      <c r="E579" s="592"/>
      <c r="F579" s="592"/>
      <c r="G579" s="726"/>
      <c r="H579" s="728" t="s">
        <v>34</v>
      </c>
      <c r="I579" s="184"/>
      <c r="J579" s="214">
        <v>0</v>
      </c>
      <c r="K579" s="163"/>
      <c r="L579" s="163"/>
      <c r="M579" s="163"/>
      <c r="N579" s="163"/>
      <c r="O579" s="163"/>
      <c r="P579" s="163"/>
      <c r="Q579" s="541"/>
      <c r="R579" s="541"/>
      <c r="S579" s="541"/>
      <c r="T579" s="541"/>
      <c r="U579" s="541"/>
      <c r="V579" s="541"/>
      <c r="W579" s="541"/>
      <c r="X579" s="541"/>
      <c r="Y579" s="541"/>
      <c r="Z579" s="541"/>
    </row>
    <row r="580" spans="1:26" ht="18.75">
      <c r="A580" s="572"/>
      <c r="B580" s="584"/>
      <c r="C580" s="584"/>
      <c r="D580" s="592" t="s">
        <v>245</v>
      </c>
      <c r="E580" s="592"/>
      <c r="F580" s="592"/>
      <c r="G580" s="726"/>
      <c r="H580" s="728" t="s">
        <v>46</v>
      </c>
      <c r="I580" s="184"/>
      <c r="J580" s="214">
        <v>0</v>
      </c>
      <c r="K580" s="163"/>
      <c r="L580" s="163"/>
      <c r="M580" s="163"/>
      <c r="N580" s="163"/>
      <c r="O580" s="163"/>
      <c r="P580" s="163"/>
      <c r="Q580" s="541"/>
      <c r="R580" s="541"/>
      <c r="S580" s="541"/>
      <c r="T580" s="541"/>
      <c r="U580" s="541"/>
      <c r="V580" s="541"/>
      <c r="W580" s="541"/>
      <c r="X580" s="541"/>
      <c r="Y580" s="541"/>
      <c r="Z580" s="541"/>
    </row>
    <row r="581" spans="1:26" ht="18.75">
      <c r="A581" s="572"/>
      <c r="B581" s="584"/>
      <c r="C581" s="584"/>
      <c r="D581" s="584"/>
      <c r="E581" s="592"/>
      <c r="F581" s="592"/>
      <c r="G581" s="726"/>
      <c r="H581" s="728" t="s">
        <v>34</v>
      </c>
      <c r="I581" s="184"/>
      <c r="J581" s="214">
        <v>0</v>
      </c>
      <c r="K581" s="163"/>
      <c r="L581" s="163"/>
      <c r="M581" s="163"/>
      <c r="N581" s="163"/>
      <c r="O581" s="163"/>
      <c r="P581" s="163"/>
      <c r="Q581" s="541"/>
      <c r="R581" s="541"/>
      <c r="S581" s="541"/>
      <c r="T581" s="541"/>
      <c r="U581" s="541"/>
      <c r="V581" s="541"/>
      <c r="W581" s="541"/>
      <c r="X581" s="541"/>
      <c r="Y581" s="541"/>
      <c r="Z581" s="541"/>
    </row>
    <row r="582" spans="1:26" ht="19.5">
      <c r="A582" s="572"/>
      <c r="B582" s="584"/>
      <c r="C582" s="584"/>
      <c r="D582" s="592" t="s">
        <v>246</v>
      </c>
      <c r="E582" s="592"/>
      <c r="F582" s="592"/>
      <c r="G582" s="726"/>
      <c r="H582" s="728" t="s">
        <v>46</v>
      </c>
      <c r="I582" s="184"/>
      <c r="J582" s="647">
        <f t="shared" ref="J582:J583" si="251">J584+J586</f>
        <v>0</v>
      </c>
      <c r="K582" s="379"/>
      <c r="L582" s="163"/>
      <c r="M582" s="163"/>
      <c r="N582" s="163"/>
      <c r="O582" s="163"/>
      <c r="P582" s="163"/>
      <c r="Q582" s="541"/>
      <c r="R582" s="541"/>
      <c r="S582" s="541"/>
      <c r="T582" s="541"/>
      <c r="U582" s="541"/>
      <c r="V582" s="541"/>
      <c r="W582" s="541"/>
      <c r="X582" s="541"/>
      <c r="Y582" s="541"/>
      <c r="Z582" s="541"/>
    </row>
    <row r="583" spans="1:26" ht="19.5">
      <c r="A583" s="572"/>
      <c r="B583" s="584"/>
      <c r="C583" s="584"/>
      <c r="D583" s="584"/>
      <c r="E583" s="592"/>
      <c r="F583" s="592"/>
      <c r="G583" s="726"/>
      <c r="H583" s="728" t="s">
        <v>34</v>
      </c>
      <c r="I583" s="184"/>
      <c r="J583" s="647">
        <f t="shared" si="251"/>
        <v>0</v>
      </c>
      <c r="K583" s="379"/>
      <c r="L583" s="163"/>
      <c r="M583" s="163"/>
      <c r="N583" s="163"/>
      <c r="O583" s="163"/>
      <c r="P583" s="163"/>
      <c r="Q583" s="541"/>
      <c r="R583" s="541"/>
      <c r="S583" s="541"/>
      <c r="T583" s="541"/>
      <c r="U583" s="541"/>
      <c r="V583" s="541"/>
      <c r="W583" s="541"/>
      <c r="X583" s="541"/>
      <c r="Y583" s="541"/>
      <c r="Z583" s="541"/>
    </row>
    <row r="584" spans="1:26" ht="18.75">
      <c r="A584" s="572"/>
      <c r="B584" s="584"/>
      <c r="C584" s="584"/>
      <c r="D584" s="584"/>
      <c r="E584" s="592" t="s">
        <v>247</v>
      </c>
      <c r="F584" s="592"/>
      <c r="G584" s="726"/>
      <c r="H584" s="728" t="s">
        <v>46</v>
      </c>
      <c r="I584" s="184"/>
      <c r="J584" s="214">
        <v>0</v>
      </c>
      <c r="K584" s="163"/>
      <c r="L584" s="163"/>
      <c r="M584" s="163"/>
      <c r="N584" s="163"/>
      <c r="O584" s="163"/>
      <c r="P584" s="163"/>
      <c r="Q584" s="541"/>
      <c r="R584" s="541"/>
      <c r="S584" s="541"/>
      <c r="T584" s="541"/>
      <c r="U584" s="541"/>
      <c r="V584" s="541"/>
      <c r="W584" s="541"/>
      <c r="X584" s="541"/>
      <c r="Y584" s="541"/>
      <c r="Z584" s="541"/>
    </row>
    <row r="585" spans="1:26" ht="18.75">
      <c r="A585" s="572"/>
      <c r="B585" s="584"/>
      <c r="C585" s="584"/>
      <c r="D585" s="584"/>
      <c r="E585" s="592"/>
      <c r="F585" s="592"/>
      <c r="G585" s="726"/>
      <c r="H585" s="728" t="s">
        <v>34</v>
      </c>
      <c r="I585" s="184"/>
      <c r="J585" s="214">
        <v>0</v>
      </c>
      <c r="K585" s="163"/>
      <c r="L585" s="163"/>
      <c r="M585" s="163"/>
      <c r="N585" s="163"/>
      <c r="O585" s="163"/>
      <c r="P585" s="163"/>
      <c r="Q585" s="541"/>
      <c r="R585" s="541"/>
      <c r="S585" s="541"/>
      <c r="T585" s="541"/>
      <c r="U585" s="541"/>
      <c r="V585" s="541"/>
      <c r="W585" s="541"/>
      <c r="X585" s="541"/>
      <c r="Y585" s="541"/>
      <c r="Z585" s="541"/>
    </row>
    <row r="586" spans="1:26" ht="18.75">
      <c r="A586" s="572"/>
      <c r="B586" s="584"/>
      <c r="C586" s="584"/>
      <c r="D586" s="584"/>
      <c r="E586" s="592" t="s">
        <v>248</v>
      </c>
      <c r="F586" s="592"/>
      <c r="G586" s="726"/>
      <c r="H586" s="728" t="s">
        <v>46</v>
      </c>
      <c r="I586" s="184"/>
      <c r="J586" s="214">
        <v>0</v>
      </c>
      <c r="K586" s="163"/>
      <c r="L586" s="163"/>
      <c r="M586" s="163"/>
      <c r="N586" s="163"/>
      <c r="O586" s="163"/>
      <c r="P586" s="163"/>
      <c r="Q586" s="541"/>
      <c r="R586" s="541"/>
      <c r="S586" s="541"/>
      <c r="T586" s="541"/>
      <c r="U586" s="541"/>
      <c r="V586" s="541"/>
      <c r="W586" s="541"/>
      <c r="X586" s="541"/>
      <c r="Y586" s="541"/>
      <c r="Z586" s="541"/>
    </row>
    <row r="587" spans="1:26" ht="18.75">
      <c r="A587" s="572"/>
      <c r="B587" s="584"/>
      <c r="C587" s="584"/>
      <c r="D587" s="584"/>
      <c r="E587" s="584"/>
      <c r="F587" s="592"/>
      <c r="G587" s="726"/>
      <c r="H587" s="728" t="s">
        <v>34</v>
      </c>
      <c r="I587" s="184"/>
      <c r="J587" s="214">
        <v>0</v>
      </c>
      <c r="K587" s="163"/>
      <c r="L587" s="163"/>
      <c r="M587" s="163"/>
      <c r="N587" s="163"/>
      <c r="O587" s="163"/>
      <c r="P587" s="163"/>
      <c r="Q587" s="541"/>
      <c r="R587" s="541"/>
      <c r="S587" s="541"/>
      <c r="T587" s="541"/>
      <c r="U587" s="541"/>
      <c r="V587" s="541"/>
      <c r="W587" s="541"/>
      <c r="X587" s="541"/>
      <c r="Y587" s="541"/>
      <c r="Z587" s="541"/>
    </row>
    <row r="588" spans="1:26" ht="18.75">
      <c r="A588" s="572"/>
      <c r="B588" s="584"/>
      <c r="C588" s="584"/>
      <c r="D588" s="592" t="s">
        <v>249</v>
      </c>
      <c r="E588" s="592"/>
      <c r="F588" s="592"/>
      <c r="G588" s="726"/>
      <c r="H588" s="728" t="s">
        <v>46</v>
      </c>
      <c r="I588" s="184"/>
      <c r="J588" s="214">
        <v>0</v>
      </c>
      <c r="K588" s="163"/>
      <c r="L588" s="163"/>
      <c r="M588" s="163"/>
      <c r="N588" s="163"/>
      <c r="O588" s="163"/>
      <c r="P588" s="163"/>
      <c r="Q588" s="541"/>
      <c r="R588" s="541"/>
      <c r="S588" s="541"/>
      <c r="T588" s="541"/>
      <c r="U588" s="541"/>
      <c r="V588" s="541"/>
      <c r="W588" s="541"/>
      <c r="X588" s="541"/>
      <c r="Y588" s="541"/>
      <c r="Z588" s="541"/>
    </row>
    <row r="589" spans="1:26" ht="18.75">
      <c r="A589" s="572"/>
      <c r="B589" s="584"/>
      <c r="C589" s="584"/>
      <c r="D589" s="584"/>
      <c r="E589" s="584"/>
      <c r="F589" s="592"/>
      <c r="G589" s="726"/>
      <c r="H589" s="728" t="s">
        <v>34</v>
      </c>
      <c r="I589" s="184"/>
      <c r="J589" s="214">
        <v>0</v>
      </c>
      <c r="K589" s="163"/>
      <c r="L589" s="163"/>
      <c r="M589" s="163"/>
      <c r="N589" s="163"/>
      <c r="O589" s="163"/>
      <c r="P589" s="163"/>
      <c r="Q589" s="541"/>
      <c r="R589" s="541"/>
      <c r="S589" s="541"/>
      <c r="T589" s="541"/>
      <c r="U589" s="541"/>
      <c r="V589" s="541"/>
      <c r="W589" s="541"/>
      <c r="X589" s="541"/>
      <c r="Y589" s="541"/>
      <c r="Z589" s="541"/>
    </row>
    <row r="590" spans="1:26" ht="18.75">
      <c r="A590" s="572"/>
      <c r="B590" s="584"/>
      <c r="C590" s="584"/>
      <c r="D590" s="592" t="s">
        <v>250</v>
      </c>
      <c r="E590" s="592"/>
      <c r="F590" s="592"/>
      <c r="G590" s="726"/>
      <c r="H590" s="728" t="s">
        <v>46</v>
      </c>
      <c r="I590" s="184"/>
      <c r="J590" s="214">
        <v>0</v>
      </c>
      <c r="K590" s="163"/>
      <c r="L590" s="163"/>
      <c r="M590" s="163"/>
      <c r="N590" s="163"/>
      <c r="O590" s="163"/>
      <c r="P590" s="163"/>
      <c r="Q590" s="541"/>
      <c r="R590" s="541"/>
      <c r="S590" s="541"/>
      <c r="T590" s="541"/>
      <c r="U590" s="541"/>
      <c r="V590" s="541"/>
      <c r="W590" s="541"/>
      <c r="X590" s="541"/>
      <c r="Y590" s="541"/>
      <c r="Z590" s="541"/>
    </row>
    <row r="591" spans="1:26" ht="18.75">
      <c r="A591" s="662"/>
      <c r="B591" s="663"/>
      <c r="C591" s="663"/>
      <c r="D591" s="663"/>
      <c r="E591" s="541"/>
      <c r="F591" s="541"/>
      <c r="G591" s="664"/>
      <c r="H591" s="665" t="s">
        <v>34</v>
      </c>
      <c r="I591" s="666"/>
      <c r="J591" s="667">
        <v>0</v>
      </c>
      <c r="K591" s="668"/>
      <c r="L591" s="668"/>
      <c r="M591" s="668"/>
      <c r="N591" s="668"/>
      <c r="O591" s="668"/>
      <c r="P591" s="668"/>
      <c r="Q591" s="541"/>
      <c r="R591" s="541"/>
      <c r="S591" s="541"/>
      <c r="T591" s="541"/>
      <c r="U591" s="541"/>
      <c r="V591" s="541"/>
      <c r="W591" s="541"/>
      <c r="X591" s="541"/>
      <c r="Y591" s="541"/>
      <c r="Z591" s="541"/>
    </row>
    <row r="592" spans="1:26" ht="19.5" hidden="1">
      <c r="A592" s="658"/>
      <c r="B592" s="659" t="s">
        <v>251</v>
      </c>
      <c r="C592" s="660"/>
      <c r="D592" s="660"/>
      <c r="E592" s="639"/>
      <c r="F592" s="639"/>
      <c r="G592" s="640"/>
      <c r="H592" s="661" t="s">
        <v>46</v>
      </c>
      <c r="I592" s="672">
        <f t="shared" ref="I592:J592" ca="1" si="252">I593</f>
        <v>0</v>
      </c>
      <c r="J592" s="672">
        <f t="shared" si="252"/>
        <v>0</v>
      </c>
      <c r="K592" s="643">
        <f t="shared" ref="K592:K594" ca="1" si="253">IF(I592&gt;0,J592*100/I592,0)</f>
        <v>0</v>
      </c>
      <c r="L592" s="644"/>
      <c r="M592" s="644"/>
      <c r="N592" s="644"/>
      <c r="O592" s="644"/>
      <c r="P592" s="644"/>
      <c r="Q592" s="541"/>
      <c r="R592" s="541"/>
      <c r="S592" s="541"/>
      <c r="T592" s="541"/>
      <c r="U592" s="541"/>
      <c r="V592" s="541"/>
      <c r="W592" s="541"/>
      <c r="X592" s="541"/>
      <c r="Y592" s="541"/>
      <c r="Z592" s="541"/>
    </row>
    <row r="593" spans="1:26" ht="19.5" hidden="1">
      <c r="A593" s="572"/>
      <c r="B593" s="584"/>
      <c r="C593" s="591" t="s">
        <v>252</v>
      </c>
      <c r="D593" s="584"/>
      <c r="E593" s="584"/>
      <c r="F593" s="592"/>
      <c r="G593" s="726"/>
      <c r="H593" s="731" t="s">
        <v>46</v>
      </c>
      <c r="I593" s="193">
        <f ca="1">IFERROR(__xludf.DUMMYFUNCTION("IMPORTRANGE(""https://docs.google.com/spreadsheets/d/1QqKyyYR6Q21VydFLVH3TRQUabQu_ym0Zz7PgGX0-kHA/edit?usp=sharing"",""แผน!HJ22"")"),0)</f>
        <v>0</v>
      </c>
      <c r="J593" s="193">
        <f t="shared" ref="J593:J594" si="254">J595+J603+J609</f>
        <v>0</v>
      </c>
      <c r="K593" s="379">
        <f t="shared" ca="1" si="253"/>
        <v>0</v>
      </c>
      <c r="L593" s="163"/>
      <c r="M593" s="163"/>
      <c r="N593" s="163"/>
      <c r="O593" s="163"/>
      <c r="P593" s="163"/>
      <c r="Q593" s="541"/>
      <c r="R593" s="541"/>
      <c r="S593" s="541"/>
      <c r="T593" s="541"/>
      <c r="U593" s="541"/>
      <c r="V593" s="541"/>
      <c r="W593" s="541"/>
      <c r="X593" s="541"/>
      <c r="Y593" s="541"/>
      <c r="Z593" s="541"/>
    </row>
    <row r="594" spans="1:26" ht="19.5" hidden="1">
      <c r="A594" s="572"/>
      <c r="B594" s="584"/>
      <c r="C594" s="584"/>
      <c r="D594" s="584"/>
      <c r="E594" s="592"/>
      <c r="F594" s="592"/>
      <c r="G594" s="726"/>
      <c r="H594" s="731" t="s">
        <v>34</v>
      </c>
      <c r="I594" s="193">
        <f ca="1">IFERROR(__xludf.DUMMYFUNCTION("IMPORTRANGE(""https://docs.google.com/spreadsheets/d/1QqKyyYR6Q21VydFLVH3TRQUabQu_ym0Zz7PgGX0-kHA/edit?usp=sharing"",""แผน!HI22"")"),0)</f>
        <v>0</v>
      </c>
      <c r="J594" s="193">
        <f t="shared" si="254"/>
        <v>0</v>
      </c>
      <c r="K594" s="379">
        <f t="shared" ca="1" si="253"/>
        <v>0</v>
      </c>
      <c r="L594" s="163"/>
      <c r="M594" s="163"/>
      <c r="N594" s="163"/>
      <c r="O594" s="163"/>
      <c r="P594" s="163"/>
      <c r="Q594" s="541"/>
      <c r="R594" s="541"/>
      <c r="S594" s="541"/>
      <c r="T594" s="541"/>
      <c r="U594" s="541"/>
      <c r="V594" s="541"/>
      <c r="W594" s="541"/>
      <c r="X594" s="541"/>
      <c r="Y594" s="541"/>
      <c r="Z594" s="541"/>
    </row>
    <row r="595" spans="1:26" ht="18.75" hidden="1">
      <c r="A595" s="572"/>
      <c r="B595" s="584"/>
      <c r="C595" s="584" t="s">
        <v>253</v>
      </c>
      <c r="D595" s="584"/>
      <c r="E595" s="584"/>
      <c r="F595" s="592"/>
      <c r="G595" s="726"/>
      <c r="H595" s="728" t="s">
        <v>46</v>
      </c>
      <c r="I595" s="184"/>
      <c r="J595" s="184">
        <f t="shared" ref="J595:J596" si="255">J597+J599</f>
        <v>0</v>
      </c>
      <c r="K595" s="163"/>
      <c r="L595" s="163"/>
      <c r="M595" s="163"/>
      <c r="N595" s="163"/>
      <c r="O595" s="163"/>
      <c r="P595" s="163"/>
      <c r="Q595" s="541"/>
      <c r="R595" s="541"/>
      <c r="S595" s="541"/>
      <c r="T595" s="541"/>
      <c r="U595" s="541"/>
      <c r="V595" s="541"/>
      <c r="W595" s="541"/>
      <c r="X595" s="541"/>
      <c r="Y595" s="541"/>
      <c r="Z595" s="541"/>
    </row>
    <row r="596" spans="1:26" ht="18.75" hidden="1">
      <c r="A596" s="572"/>
      <c r="B596" s="584"/>
      <c r="C596" s="584"/>
      <c r="D596" s="584"/>
      <c r="E596" s="592"/>
      <c r="F596" s="592"/>
      <c r="G596" s="726"/>
      <c r="H596" s="728" t="s">
        <v>34</v>
      </c>
      <c r="I596" s="184"/>
      <c r="J596" s="184">
        <f t="shared" si="255"/>
        <v>0</v>
      </c>
      <c r="K596" s="163"/>
      <c r="L596" s="163"/>
      <c r="M596" s="163"/>
      <c r="N596" s="163"/>
      <c r="O596" s="163"/>
      <c r="P596" s="163"/>
      <c r="Q596" s="541"/>
      <c r="R596" s="541"/>
      <c r="S596" s="541"/>
      <c r="T596" s="541"/>
      <c r="U596" s="541"/>
      <c r="V596" s="541"/>
      <c r="W596" s="541"/>
      <c r="X596" s="541"/>
      <c r="Y596" s="541"/>
      <c r="Z596" s="541"/>
    </row>
    <row r="597" spans="1:26" ht="18.75" hidden="1">
      <c r="A597" s="572"/>
      <c r="B597" s="584"/>
      <c r="C597" s="584"/>
      <c r="D597" s="710" t="s">
        <v>254</v>
      </c>
      <c r="E597" s="592"/>
      <c r="F597" s="592"/>
      <c r="G597" s="726"/>
      <c r="H597" s="728" t="s">
        <v>46</v>
      </c>
      <c r="I597" s="184"/>
      <c r="J597" s="214">
        <v>0</v>
      </c>
      <c r="K597" s="163"/>
      <c r="L597" s="163"/>
      <c r="M597" s="163"/>
      <c r="N597" s="163"/>
      <c r="O597" s="163"/>
      <c r="P597" s="163"/>
      <c r="Q597" s="541"/>
      <c r="R597" s="541"/>
      <c r="S597" s="541"/>
      <c r="T597" s="541"/>
      <c r="U597" s="541"/>
      <c r="V597" s="541"/>
      <c r="W597" s="541"/>
      <c r="X597" s="541"/>
      <c r="Y597" s="541"/>
      <c r="Z597" s="541"/>
    </row>
    <row r="598" spans="1:26" ht="18.75" hidden="1">
      <c r="A598" s="572"/>
      <c r="B598" s="584"/>
      <c r="C598" s="584"/>
      <c r="D598" s="584"/>
      <c r="E598" s="592"/>
      <c r="F598" s="592"/>
      <c r="G598" s="726"/>
      <c r="H598" s="728" t="s">
        <v>34</v>
      </c>
      <c r="I598" s="269"/>
      <c r="J598" s="214">
        <v>0</v>
      </c>
      <c r="K598" s="163"/>
      <c r="L598" s="163"/>
      <c r="M598" s="163"/>
      <c r="N598" s="163"/>
      <c r="O598" s="163"/>
      <c r="P598" s="163"/>
      <c r="Q598" s="541"/>
      <c r="R598" s="541"/>
      <c r="S598" s="541"/>
      <c r="T598" s="541"/>
      <c r="U598" s="541"/>
      <c r="V598" s="541"/>
      <c r="W598" s="541"/>
      <c r="X598" s="541"/>
      <c r="Y598" s="541"/>
      <c r="Z598" s="541"/>
    </row>
    <row r="599" spans="1:26" ht="18.75" hidden="1">
      <c r="A599" s="572"/>
      <c r="B599" s="584"/>
      <c r="C599" s="584"/>
      <c r="D599" s="710" t="s">
        <v>255</v>
      </c>
      <c r="E599" s="592"/>
      <c r="F599" s="592"/>
      <c r="G599" s="726"/>
      <c r="H599" s="728" t="s">
        <v>46</v>
      </c>
      <c r="I599" s="269"/>
      <c r="J599" s="214">
        <v>0</v>
      </c>
      <c r="K599" s="163"/>
      <c r="L599" s="163"/>
      <c r="M599" s="163"/>
      <c r="N599" s="163"/>
      <c r="O599" s="163"/>
      <c r="P599" s="163"/>
      <c r="Q599" s="541"/>
      <c r="R599" s="541"/>
      <c r="S599" s="541"/>
      <c r="T599" s="541"/>
      <c r="U599" s="541"/>
      <c r="V599" s="541"/>
      <c r="W599" s="541"/>
      <c r="X599" s="541"/>
      <c r="Y599" s="541"/>
      <c r="Z599" s="541"/>
    </row>
    <row r="600" spans="1:26" ht="18.75" hidden="1">
      <c r="A600" s="572"/>
      <c r="B600" s="584"/>
      <c r="C600" s="584"/>
      <c r="D600" s="584"/>
      <c r="E600" s="592"/>
      <c r="F600" s="592"/>
      <c r="G600" s="726"/>
      <c r="H600" s="728" t="s">
        <v>34</v>
      </c>
      <c r="I600" s="269"/>
      <c r="J600" s="214">
        <v>0</v>
      </c>
      <c r="K600" s="163"/>
      <c r="L600" s="163"/>
      <c r="M600" s="163"/>
      <c r="N600" s="163"/>
      <c r="O600" s="163"/>
      <c r="P600" s="163"/>
      <c r="Q600" s="541"/>
      <c r="R600" s="541"/>
      <c r="S600" s="541"/>
      <c r="T600" s="541"/>
      <c r="U600" s="541"/>
      <c r="V600" s="541"/>
      <c r="W600" s="541"/>
      <c r="X600" s="541"/>
      <c r="Y600" s="541"/>
      <c r="Z600" s="541"/>
    </row>
    <row r="601" spans="1:26" ht="18.75" hidden="1">
      <c r="A601" s="572"/>
      <c r="B601" s="584"/>
      <c r="C601" s="584"/>
      <c r="D601" s="710" t="s">
        <v>256</v>
      </c>
      <c r="E601" s="592"/>
      <c r="F601" s="592"/>
      <c r="G601" s="726"/>
      <c r="H601" s="728" t="s">
        <v>46</v>
      </c>
      <c r="I601" s="269"/>
      <c r="J601" s="214">
        <v>0</v>
      </c>
      <c r="K601" s="163"/>
      <c r="L601" s="163"/>
      <c r="M601" s="163"/>
      <c r="N601" s="163"/>
      <c r="O601" s="163"/>
      <c r="P601" s="163"/>
      <c r="Q601" s="541"/>
      <c r="R601" s="541"/>
      <c r="S601" s="541"/>
      <c r="T601" s="541"/>
      <c r="U601" s="541"/>
      <c r="V601" s="541"/>
      <c r="W601" s="541"/>
      <c r="X601" s="541"/>
      <c r="Y601" s="541"/>
      <c r="Z601" s="541"/>
    </row>
    <row r="602" spans="1:26" ht="18.75" hidden="1">
      <c r="A602" s="572"/>
      <c r="B602" s="584"/>
      <c r="C602" s="584"/>
      <c r="D602" s="584"/>
      <c r="E602" s="592"/>
      <c r="F602" s="592"/>
      <c r="G602" s="726"/>
      <c r="H602" s="728" t="s">
        <v>34</v>
      </c>
      <c r="I602" s="269"/>
      <c r="J602" s="214">
        <v>0</v>
      </c>
      <c r="K602" s="163"/>
      <c r="L602" s="163"/>
      <c r="M602" s="163"/>
      <c r="N602" s="163"/>
      <c r="O602" s="163"/>
      <c r="P602" s="163"/>
      <c r="Q602" s="541"/>
      <c r="R602" s="541"/>
      <c r="S602" s="541"/>
      <c r="T602" s="541"/>
      <c r="U602" s="541"/>
      <c r="V602" s="541"/>
      <c r="W602" s="541"/>
      <c r="X602" s="541"/>
      <c r="Y602" s="541"/>
      <c r="Z602" s="541"/>
    </row>
    <row r="603" spans="1:26" ht="18.75" hidden="1">
      <c r="A603" s="572"/>
      <c r="B603" s="584"/>
      <c r="C603" s="669" t="s">
        <v>257</v>
      </c>
      <c r="D603" s="584"/>
      <c r="E603" s="584"/>
      <c r="F603" s="592"/>
      <c r="G603" s="726"/>
      <c r="H603" s="728" t="s">
        <v>46</v>
      </c>
      <c r="I603" s="269"/>
      <c r="J603" s="269">
        <f t="shared" ref="J603:J604" si="256">J605+J607</f>
        <v>0</v>
      </c>
      <c r="K603" s="163"/>
      <c r="L603" s="163"/>
      <c r="M603" s="163"/>
      <c r="N603" s="163"/>
      <c r="O603" s="163"/>
      <c r="P603" s="163"/>
      <c r="Q603" s="541"/>
      <c r="R603" s="541"/>
      <c r="S603" s="541"/>
      <c r="T603" s="541"/>
      <c r="U603" s="541"/>
      <c r="V603" s="541"/>
      <c r="W603" s="541"/>
      <c r="X603" s="541"/>
      <c r="Y603" s="541"/>
      <c r="Z603" s="541"/>
    </row>
    <row r="604" spans="1:26" ht="18.75" hidden="1">
      <c r="A604" s="572"/>
      <c r="B604" s="584"/>
      <c r="C604" s="584"/>
      <c r="D604" s="584"/>
      <c r="E604" s="592"/>
      <c r="F604" s="592"/>
      <c r="G604" s="726"/>
      <c r="H604" s="728" t="s">
        <v>34</v>
      </c>
      <c r="I604" s="269"/>
      <c r="J604" s="269">
        <f t="shared" si="256"/>
        <v>0</v>
      </c>
      <c r="K604" s="163"/>
      <c r="L604" s="163"/>
      <c r="M604" s="163"/>
      <c r="N604" s="163"/>
      <c r="O604" s="163"/>
      <c r="P604" s="163"/>
      <c r="Q604" s="541"/>
      <c r="R604" s="541"/>
      <c r="S604" s="541"/>
      <c r="T604" s="541"/>
      <c r="U604" s="541"/>
      <c r="V604" s="541"/>
      <c r="W604" s="541"/>
      <c r="X604" s="541"/>
      <c r="Y604" s="541"/>
      <c r="Z604" s="541"/>
    </row>
    <row r="605" spans="1:26" ht="18.75" hidden="1">
      <c r="A605" s="572"/>
      <c r="B605" s="584"/>
      <c r="C605" s="584"/>
      <c r="D605" s="669" t="s">
        <v>258</v>
      </c>
      <c r="E605" s="592"/>
      <c r="F605" s="592"/>
      <c r="G605" s="726"/>
      <c r="H605" s="728" t="s">
        <v>46</v>
      </c>
      <c r="I605" s="269"/>
      <c r="J605" s="214">
        <v>0</v>
      </c>
      <c r="K605" s="163"/>
      <c r="L605" s="163"/>
      <c r="M605" s="163"/>
      <c r="N605" s="163"/>
      <c r="O605" s="163"/>
      <c r="P605" s="163"/>
      <c r="Q605" s="541"/>
      <c r="R605" s="541"/>
      <c r="S605" s="541"/>
      <c r="T605" s="541"/>
      <c r="U605" s="541"/>
      <c r="V605" s="541"/>
      <c r="W605" s="541"/>
      <c r="X605" s="541"/>
      <c r="Y605" s="541"/>
      <c r="Z605" s="541"/>
    </row>
    <row r="606" spans="1:26" ht="18.75" hidden="1">
      <c r="A606" s="572"/>
      <c r="B606" s="584"/>
      <c r="C606" s="584"/>
      <c r="D606" s="584"/>
      <c r="E606" s="584"/>
      <c r="F606" s="592"/>
      <c r="G606" s="726"/>
      <c r="H606" s="728" t="s">
        <v>34</v>
      </c>
      <c r="I606" s="269"/>
      <c r="J606" s="214">
        <v>0</v>
      </c>
      <c r="K606" s="163"/>
      <c r="L606" s="163"/>
      <c r="M606" s="163"/>
      <c r="N606" s="163"/>
      <c r="O606" s="163"/>
      <c r="P606" s="163"/>
      <c r="Q606" s="541"/>
      <c r="R606" s="541"/>
      <c r="S606" s="541"/>
      <c r="T606" s="541"/>
      <c r="U606" s="541"/>
      <c r="V606" s="541"/>
      <c r="W606" s="541"/>
      <c r="X606" s="541"/>
      <c r="Y606" s="541"/>
      <c r="Z606" s="541"/>
    </row>
    <row r="607" spans="1:26" ht="18.75" hidden="1">
      <c r="A607" s="572"/>
      <c r="B607" s="584"/>
      <c r="C607" s="584"/>
      <c r="D607" s="669" t="s">
        <v>259</v>
      </c>
      <c r="E607" s="584"/>
      <c r="F607" s="592"/>
      <c r="G607" s="726"/>
      <c r="H607" s="728" t="s">
        <v>46</v>
      </c>
      <c r="I607" s="269"/>
      <c r="J607" s="214">
        <v>0</v>
      </c>
      <c r="K607" s="163"/>
      <c r="L607" s="163"/>
      <c r="M607" s="163"/>
      <c r="N607" s="163"/>
      <c r="O607" s="163"/>
      <c r="P607" s="163"/>
      <c r="Q607" s="541"/>
      <c r="R607" s="541"/>
      <c r="S607" s="541"/>
      <c r="T607" s="541"/>
      <c r="U607" s="541"/>
      <c r="V607" s="541"/>
      <c r="W607" s="541"/>
      <c r="X607" s="541"/>
      <c r="Y607" s="541"/>
      <c r="Z607" s="541"/>
    </row>
    <row r="608" spans="1:26" ht="18.75" hidden="1">
      <c r="A608" s="572"/>
      <c r="B608" s="584"/>
      <c r="C608" s="584"/>
      <c r="D608" s="584"/>
      <c r="E608" s="592"/>
      <c r="F608" s="592"/>
      <c r="G608" s="726"/>
      <c r="H608" s="728" t="s">
        <v>34</v>
      </c>
      <c r="I608" s="269"/>
      <c r="J608" s="214">
        <v>0</v>
      </c>
      <c r="K608" s="163"/>
      <c r="L608" s="163"/>
      <c r="M608" s="163"/>
      <c r="N608" s="163"/>
      <c r="O608" s="163"/>
      <c r="P608" s="163"/>
      <c r="Q608" s="541"/>
      <c r="R608" s="541"/>
      <c r="S608" s="541"/>
      <c r="T608" s="541"/>
      <c r="U608" s="541"/>
      <c r="V608" s="541"/>
      <c r="W608" s="541"/>
      <c r="X608" s="541"/>
      <c r="Y608" s="541"/>
      <c r="Z608" s="541"/>
    </row>
    <row r="609" spans="1:26" ht="18.75" hidden="1">
      <c r="A609" s="572"/>
      <c r="B609" s="584"/>
      <c r="C609" s="584" t="s">
        <v>260</v>
      </c>
      <c r="D609" s="584"/>
      <c r="E609" s="584"/>
      <c r="F609" s="592"/>
      <c r="G609" s="726"/>
      <c r="H609" s="728" t="s">
        <v>46</v>
      </c>
      <c r="I609" s="269"/>
      <c r="J609" s="214">
        <v>0</v>
      </c>
      <c r="K609" s="163"/>
      <c r="L609" s="163"/>
      <c r="M609" s="163"/>
      <c r="N609" s="163"/>
      <c r="O609" s="163"/>
      <c r="P609" s="163"/>
      <c r="Q609" s="541"/>
      <c r="R609" s="541"/>
      <c r="S609" s="541"/>
      <c r="T609" s="541"/>
      <c r="U609" s="541"/>
      <c r="V609" s="541"/>
      <c r="W609" s="541"/>
      <c r="X609" s="541"/>
      <c r="Y609" s="541"/>
      <c r="Z609" s="541"/>
    </row>
    <row r="610" spans="1:26" ht="18.75" hidden="1">
      <c r="A610" s="572"/>
      <c r="B610" s="584"/>
      <c r="C610" s="584"/>
      <c r="D610" s="584"/>
      <c r="E610" s="592"/>
      <c r="F610" s="592"/>
      <c r="G610" s="726"/>
      <c r="H610" s="728" t="s">
        <v>34</v>
      </c>
      <c r="I610" s="269"/>
      <c r="J610" s="214">
        <v>0</v>
      </c>
      <c r="K610" s="163"/>
      <c r="L610" s="163"/>
      <c r="M610" s="163"/>
      <c r="N610" s="163"/>
      <c r="O610" s="163"/>
      <c r="P610" s="163"/>
      <c r="Q610" s="541"/>
      <c r="R610" s="541"/>
      <c r="S610" s="541"/>
      <c r="T610" s="541"/>
      <c r="U610" s="541"/>
      <c r="V610" s="541"/>
      <c r="W610" s="541"/>
      <c r="X610" s="541"/>
      <c r="Y610" s="541"/>
      <c r="Z610" s="541"/>
    </row>
    <row r="611" spans="1:26" ht="19.5">
      <c r="A611" s="658"/>
      <c r="B611" s="670" t="s">
        <v>261</v>
      </c>
      <c r="C611" s="660"/>
      <c r="D611" s="660"/>
      <c r="E611" s="639"/>
      <c r="F611" s="639"/>
      <c r="G611" s="640"/>
      <c r="H611" s="671" t="s">
        <v>46</v>
      </c>
      <c r="I611" s="672">
        <v>0</v>
      </c>
      <c r="J611" s="672">
        <f>J614+J616</f>
        <v>0</v>
      </c>
      <c r="K611" s="643">
        <f t="shared" ref="K611:K613" si="257">IF(I611&gt;0,J611*100/I611,0)</f>
        <v>0</v>
      </c>
      <c r="L611" s="644"/>
      <c r="M611" s="644"/>
      <c r="N611" s="644"/>
      <c r="O611" s="644"/>
      <c r="P611" s="644"/>
      <c r="Q611" s="541"/>
      <c r="R611" s="541"/>
      <c r="S611" s="541"/>
      <c r="T611" s="541"/>
      <c r="U611" s="541"/>
      <c r="V611" s="541"/>
      <c r="W611" s="541"/>
      <c r="X611" s="541"/>
      <c r="Y611" s="541"/>
      <c r="Z611" s="541"/>
    </row>
    <row r="612" spans="1:26" ht="19.5" hidden="1">
      <c r="A612" s="673"/>
      <c r="B612" s="683"/>
      <c r="C612" s="675" t="s">
        <v>262</v>
      </c>
      <c r="D612" s="683"/>
      <c r="E612" s="683"/>
      <c r="F612" s="676"/>
      <c r="G612" s="677"/>
      <c r="H612" s="678" t="s">
        <v>46</v>
      </c>
      <c r="I612" s="680">
        <v>0</v>
      </c>
      <c r="J612" s="680">
        <f t="shared" ref="J612:J613" si="258">J614+J616</f>
        <v>0</v>
      </c>
      <c r="K612" s="681">
        <f t="shared" si="257"/>
        <v>0</v>
      </c>
      <c r="L612" s="682"/>
      <c r="M612" s="682"/>
      <c r="N612" s="682"/>
      <c r="O612" s="682"/>
      <c r="P612" s="682"/>
      <c r="Q612" s="568"/>
      <c r="R612" s="568"/>
      <c r="S612" s="568"/>
      <c r="T612" s="568"/>
      <c r="U612" s="568"/>
      <c r="V612" s="568"/>
      <c r="W612" s="568"/>
      <c r="X612" s="568"/>
      <c r="Y612" s="568"/>
      <c r="Z612" s="568"/>
    </row>
    <row r="613" spans="1:26" ht="19.5" hidden="1">
      <c r="A613" s="673"/>
      <c r="B613" s="683"/>
      <c r="C613" s="683" t="s">
        <v>263</v>
      </c>
      <c r="D613" s="683"/>
      <c r="E613" s="683"/>
      <c r="F613" s="676"/>
      <c r="G613" s="677"/>
      <c r="H613" s="678" t="s">
        <v>34</v>
      </c>
      <c r="I613" s="680">
        <v>0</v>
      </c>
      <c r="J613" s="680">
        <f t="shared" si="258"/>
        <v>0</v>
      </c>
      <c r="K613" s="681">
        <f t="shared" si="257"/>
        <v>0</v>
      </c>
      <c r="L613" s="682"/>
      <c r="M613" s="682"/>
      <c r="N613" s="682"/>
      <c r="O613" s="682"/>
      <c r="P613" s="682"/>
      <c r="Q613" s="568"/>
      <c r="R613" s="568"/>
      <c r="S613" s="568"/>
      <c r="T613" s="568"/>
      <c r="U613" s="568"/>
      <c r="V613" s="568"/>
      <c r="W613" s="568"/>
      <c r="X613" s="568"/>
      <c r="Y613" s="568"/>
      <c r="Z613" s="568"/>
    </row>
    <row r="614" spans="1:26" ht="18.75" hidden="1">
      <c r="A614" s="578"/>
      <c r="B614" s="580"/>
      <c r="C614" s="580"/>
      <c r="D614" s="684" t="s">
        <v>264</v>
      </c>
      <c r="E614" s="580"/>
      <c r="F614" s="684"/>
      <c r="G614" s="581"/>
      <c r="H614" s="582" t="s">
        <v>46</v>
      </c>
      <c r="I614" s="583"/>
      <c r="J614" s="583">
        <v>0</v>
      </c>
      <c r="K614" s="167"/>
      <c r="L614" s="167"/>
      <c r="M614" s="167"/>
      <c r="N614" s="167"/>
      <c r="O614" s="167"/>
      <c r="P614" s="167"/>
      <c r="Q614" s="568"/>
      <c r="R614" s="568"/>
      <c r="S614" s="568"/>
      <c r="T614" s="568"/>
      <c r="U614" s="568"/>
      <c r="V614" s="568"/>
      <c r="W614" s="568"/>
      <c r="X614" s="568"/>
      <c r="Y614" s="568"/>
      <c r="Z614" s="568"/>
    </row>
    <row r="615" spans="1:26" ht="18.75" hidden="1">
      <c r="A615" s="578"/>
      <c r="B615" s="580"/>
      <c r="C615" s="580"/>
      <c r="D615" s="580"/>
      <c r="E615" s="580"/>
      <c r="F615" s="684"/>
      <c r="G615" s="581"/>
      <c r="H615" s="582" t="s">
        <v>34</v>
      </c>
      <c r="I615" s="583"/>
      <c r="J615" s="583">
        <v>0</v>
      </c>
      <c r="K615" s="167"/>
      <c r="L615" s="167"/>
      <c r="M615" s="167"/>
      <c r="N615" s="167"/>
      <c r="O615" s="167"/>
      <c r="P615" s="167"/>
      <c r="Q615" s="568"/>
      <c r="R615" s="568"/>
      <c r="S615" s="568"/>
      <c r="T615" s="568"/>
      <c r="U615" s="568"/>
      <c r="V615" s="568"/>
      <c r="W615" s="568"/>
      <c r="X615" s="568"/>
      <c r="Y615" s="568"/>
      <c r="Z615" s="568"/>
    </row>
    <row r="616" spans="1:26" ht="18.75" hidden="1">
      <c r="A616" s="578"/>
      <c r="B616" s="580"/>
      <c r="C616" s="580"/>
      <c r="D616" s="685" t="s">
        <v>264</v>
      </c>
      <c r="E616" s="684"/>
      <c r="F616" s="684"/>
      <c r="G616" s="581"/>
      <c r="H616" s="582" t="s">
        <v>46</v>
      </c>
      <c r="I616" s="583"/>
      <c r="J616" s="583">
        <v>0</v>
      </c>
      <c r="K616" s="167"/>
      <c r="L616" s="167"/>
      <c r="M616" s="167"/>
      <c r="N616" s="167"/>
      <c r="O616" s="167"/>
      <c r="P616" s="167"/>
      <c r="Q616" s="568"/>
      <c r="R616" s="568"/>
      <c r="S616" s="568"/>
      <c r="T616" s="568"/>
      <c r="U616" s="568"/>
      <c r="V616" s="568"/>
      <c r="W616" s="568"/>
      <c r="X616" s="568"/>
      <c r="Y616" s="568"/>
      <c r="Z616" s="568"/>
    </row>
    <row r="617" spans="1:26" ht="18.75" hidden="1">
      <c r="A617" s="578"/>
      <c r="B617" s="580"/>
      <c r="C617" s="580"/>
      <c r="D617" s="580"/>
      <c r="E617" s="684"/>
      <c r="F617" s="684"/>
      <c r="G617" s="581"/>
      <c r="H617" s="582" t="s">
        <v>34</v>
      </c>
      <c r="I617" s="583"/>
      <c r="J617" s="583">
        <v>0</v>
      </c>
      <c r="K617" s="167"/>
      <c r="L617" s="167"/>
      <c r="M617" s="167"/>
      <c r="N617" s="167"/>
      <c r="O617" s="167"/>
      <c r="P617" s="167"/>
      <c r="Q617" s="568"/>
      <c r="R617" s="568"/>
      <c r="S617" s="568"/>
      <c r="T617" s="568"/>
      <c r="U617" s="568"/>
      <c r="V617" s="568"/>
      <c r="W617" s="568"/>
      <c r="X617" s="568"/>
      <c r="Y617" s="568"/>
      <c r="Z617" s="568"/>
    </row>
    <row r="618" spans="1:26" ht="18.75" hidden="1">
      <c r="A618" s="578"/>
      <c r="B618" s="580"/>
      <c r="C618" s="580"/>
      <c r="D618" s="685" t="s">
        <v>265</v>
      </c>
      <c r="E618" s="684"/>
      <c r="F618" s="684"/>
      <c r="G618" s="581"/>
      <c r="H618" s="582" t="s">
        <v>46</v>
      </c>
      <c r="I618" s="583"/>
      <c r="J618" s="583">
        <v>0</v>
      </c>
      <c r="K618" s="167"/>
      <c r="L618" s="167"/>
      <c r="M618" s="167"/>
      <c r="N618" s="167"/>
      <c r="O618" s="167"/>
      <c r="P618" s="167"/>
      <c r="Q618" s="568"/>
      <c r="R618" s="568"/>
      <c r="S618" s="568"/>
      <c r="T618" s="568"/>
      <c r="U618" s="568"/>
      <c r="V618" s="568"/>
      <c r="W618" s="568"/>
      <c r="X618" s="568"/>
      <c r="Y618" s="568"/>
      <c r="Z618" s="568"/>
    </row>
    <row r="619" spans="1:26" ht="18.75" hidden="1">
      <c r="A619" s="578"/>
      <c r="B619" s="580"/>
      <c r="C619" s="580"/>
      <c r="D619" s="580"/>
      <c r="E619" s="684"/>
      <c r="F619" s="684"/>
      <c r="G619" s="581"/>
      <c r="H619" s="582" t="s">
        <v>34</v>
      </c>
      <c r="I619" s="583"/>
      <c r="J619" s="583">
        <v>0</v>
      </c>
      <c r="K619" s="167"/>
      <c r="L619" s="167"/>
      <c r="M619" s="167"/>
      <c r="N619" s="167"/>
      <c r="O619" s="167"/>
      <c r="P619" s="167"/>
      <c r="Q619" s="568"/>
      <c r="R619" s="568"/>
      <c r="S619" s="568"/>
      <c r="T619" s="568"/>
      <c r="U619" s="568"/>
      <c r="V619" s="568"/>
      <c r="W619" s="568"/>
      <c r="X619" s="568"/>
      <c r="Y619" s="568"/>
      <c r="Z619" s="568"/>
    </row>
    <row r="620" spans="1:26" ht="19.5">
      <c r="A620" s="686"/>
      <c r="B620" s="695"/>
      <c r="C620" s="688" t="s">
        <v>266</v>
      </c>
      <c r="D620" s="695"/>
      <c r="E620" s="695"/>
      <c r="F620" s="689"/>
      <c r="G620" s="690"/>
      <c r="H620" s="691" t="s">
        <v>46</v>
      </c>
      <c r="I620" s="692">
        <f ca="1">IFERROR(__xludf.DUMMYFUNCTION("IMPORTRANGE(""https://docs.google.com/spreadsheets/d/1QqKyyYR6Q21VydFLVH3TRQUabQu_ym0Zz7PgGX0-kHA/edit?usp=sharing"",""แผน!HL22"")"),0)</f>
        <v>0</v>
      </c>
      <c r="J620" s="692">
        <f t="shared" ref="J620:J621" si="259">J622+J624+J626</f>
        <v>0</v>
      </c>
      <c r="K620" s="693">
        <f t="shared" ref="K620:K621" ca="1" si="260">IF(I620&gt;0,J620*100/I620,0)</f>
        <v>0</v>
      </c>
      <c r="L620" s="694"/>
      <c r="M620" s="694"/>
      <c r="N620" s="694"/>
      <c r="O620" s="694"/>
      <c r="P620" s="694"/>
      <c r="Q620" s="541"/>
      <c r="R620" s="541"/>
      <c r="S620" s="541"/>
      <c r="T620" s="541"/>
      <c r="U620" s="541"/>
      <c r="V620" s="541"/>
      <c r="W620" s="541"/>
      <c r="X620" s="541"/>
      <c r="Y620" s="541"/>
      <c r="Z620" s="541"/>
    </row>
    <row r="621" spans="1:26" ht="19.5">
      <c r="A621" s="686"/>
      <c r="B621" s="695"/>
      <c r="C621" s="695" t="s">
        <v>267</v>
      </c>
      <c r="D621" s="695"/>
      <c r="E621" s="695"/>
      <c r="F621" s="689"/>
      <c r="G621" s="690"/>
      <c r="H621" s="691" t="s">
        <v>34</v>
      </c>
      <c r="I621" s="692">
        <f ca="1">IFERROR(__xludf.DUMMYFUNCTION("IMPORTRANGE(""https://docs.google.com/spreadsheets/d/1QqKyyYR6Q21VydFLVH3TRQUabQu_ym0Zz7PgGX0-kHA/edit?usp=sharing"",""แผน!HK22"")"),0)</f>
        <v>0</v>
      </c>
      <c r="J621" s="692">
        <f t="shared" si="259"/>
        <v>0</v>
      </c>
      <c r="K621" s="693">
        <f t="shared" ca="1" si="260"/>
        <v>0</v>
      </c>
      <c r="L621" s="694"/>
      <c r="M621" s="694"/>
      <c r="N621" s="694"/>
      <c r="O621" s="694"/>
      <c r="P621" s="694"/>
      <c r="Q621" s="541"/>
      <c r="R621" s="541"/>
      <c r="S621" s="541"/>
      <c r="T621" s="541"/>
      <c r="U621" s="541"/>
      <c r="V621" s="541"/>
      <c r="W621" s="541"/>
      <c r="X621" s="541"/>
      <c r="Y621" s="541"/>
      <c r="Z621" s="541"/>
    </row>
    <row r="622" spans="1:26" ht="18.75">
      <c r="A622" s="572"/>
      <c r="B622" s="584"/>
      <c r="C622" s="584"/>
      <c r="D622" s="710" t="s">
        <v>268</v>
      </c>
      <c r="E622" s="592"/>
      <c r="F622" s="592"/>
      <c r="G622" s="726"/>
      <c r="H622" s="728" t="s">
        <v>46</v>
      </c>
      <c r="I622" s="269"/>
      <c r="J622" s="214">
        <v>0</v>
      </c>
      <c r="K622" s="163"/>
      <c r="L622" s="163"/>
      <c r="M622" s="163"/>
      <c r="N622" s="163"/>
      <c r="O622" s="163"/>
      <c r="P622" s="163"/>
      <c r="Q622" s="541"/>
      <c r="R622" s="541"/>
      <c r="S622" s="541"/>
      <c r="T622" s="541"/>
      <c r="U622" s="541"/>
      <c r="V622" s="541"/>
      <c r="W622" s="541"/>
      <c r="X622" s="541"/>
      <c r="Y622" s="541"/>
      <c r="Z622" s="541"/>
    </row>
    <row r="623" spans="1:26" ht="18.75">
      <c r="A623" s="572"/>
      <c r="B623" s="584"/>
      <c r="C623" s="584"/>
      <c r="D623" s="584"/>
      <c r="E623" s="592"/>
      <c r="F623" s="592"/>
      <c r="G623" s="726"/>
      <c r="H623" s="728" t="s">
        <v>34</v>
      </c>
      <c r="I623" s="269"/>
      <c r="J623" s="214">
        <v>0</v>
      </c>
      <c r="K623" s="163"/>
      <c r="L623" s="163"/>
      <c r="M623" s="163"/>
      <c r="N623" s="163"/>
      <c r="O623" s="163"/>
      <c r="P623" s="163"/>
      <c r="Q623" s="541"/>
      <c r="R623" s="541"/>
      <c r="S623" s="541"/>
      <c r="T623" s="541"/>
      <c r="U623" s="541"/>
      <c r="V623" s="541"/>
      <c r="W623" s="541"/>
      <c r="X623" s="541"/>
      <c r="Y623" s="541"/>
      <c r="Z623" s="541"/>
    </row>
    <row r="624" spans="1:26" ht="18.75">
      <c r="A624" s="572"/>
      <c r="B624" s="584"/>
      <c r="C624" s="584"/>
      <c r="D624" s="710" t="s">
        <v>264</v>
      </c>
      <c r="E624" s="592"/>
      <c r="F624" s="592"/>
      <c r="G624" s="726"/>
      <c r="H624" s="728" t="s">
        <v>46</v>
      </c>
      <c r="I624" s="269"/>
      <c r="J624" s="214">
        <v>0</v>
      </c>
      <c r="K624" s="163"/>
      <c r="L624" s="163"/>
      <c r="M624" s="163"/>
      <c r="N624" s="163"/>
      <c r="O624" s="163"/>
      <c r="P624" s="163"/>
      <c r="Q624" s="541"/>
      <c r="R624" s="541"/>
      <c r="S624" s="541"/>
      <c r="T624" s="541"/>
      <c r="U624" s="541"/>
      <c r="V624" s="541"/>
      <c r="W624" s="541"/>
      <c r="X624" s="541"/>
      <c r="Y624" s="541"/>
      <c r="Z624" s="541"/>
    </row>
    <row r="625" spans="1:26" ht="18.75">
      <c r="A625" s="572"/>
      <c r="B625" s="584"/>
      <c r="C625" s="584"/>
      <c r="D625" s="584"/>
      <c r="E625" s="592"/>
      <c r="F625" s="592"/>
      <c r="G625" s="726"/>
      <c r="H625" s="728" t="s">
        <v>34</v>
      </c>
      <c r="I625" s="269"/>
      <c r="J625" s="214">
        <v>0</v>
      </c>
      <c r="K625" s="163"/>
      <c r="L625" s="163"/>
      <c r="M625" s="163"/>
      <c r="N625" s="163"/>
      <c r="O625" s="163"/>
      <c r="P625" s="163"/>
      <c r="Q625" s="541"/>
      <c r="R625" s="541"/>
      <c r="S625" s="541"/>
      <c r="T625" s="541"/>
      <c r="U625" s="541"/>
      <c r="V625" s="541"/>
      <c r="W625" s="541"/>
      <c r="X625" s="541"/>
      <c r="Y625" s="541"/>
      <c r="Z625" s="541"/>
    </row>
    <row r="626" spans="1:26" ht="18.75">
      <c r="A626" s="572"/>
      <c r="B626" s="584"/>
      <c r="C626" s="584"/>
      <c r="D626" s="710" t="s">
        <v>269</v>
      </c>
      <c r="E626" s="592"/>
      <c r="F626" s="592"/>
      <c r="G626" s="726"/>
      <c r="H626" s="728" t="s">
        <v>46</v>
      </c>
      <c r="I626" s="269"/>
      <c r="J626" s="214">
        <v>0</v>
      </c>
      <c r="K626" s="163"/>
      <c r="L626" s="163"/>
      <c r="M626" s="163"/>
      <c r="N626" s="163"/>
      <c r="O626" s="163"/>
      <c r="P626" s="163"/>
      <c r="Q626" s="541"/>
      <c r="R626" s="541"/>
      <c r="S626" s="541"/>
      <c r="T626" s="541"/>
      <c r="U626" s="541"/>
      <c r="V626" s="541"/>
      <c r="W626" s="541"/>
      <c r="X626" s="541"/>
      <c r="Y626" s="541"/>
      <c r="Z626" s="541"/>
    </row>
    <row r="627" spans="1:26" ht="18.75">
      <c r="A627" s="696"/>
      <c r="B627" s="697"/>
      <c r="C627" s="697"/>
      <c r="D627" s="697"/>
      <c r="E627" s="698"/>
      <c r="F627" s="698"/>
      <c r="G627" s="699"/>
      <c r="H627" s="390" t="s">
        <v>34</v>
      </c>
      <c r="I627" s="468"/>
      <c r="J627" s="392">
        <v>0</v>
      </c>
      <c r="K627" s="353"/>
      <c r="L627" s="353"/>
      <c r="M627" s="353"/>
      <c r="N627" s="353"/>
      <c r="O627" s="353"/>
      <c r="P627" s="353"/>
      <c r="Q627" s="541"/>
      <c r="R627" s="541"/>
      <c r="S627" s="541"/>
      <c r="T627" s="541"/>
      <c r="U627" s="541"/>
      <c r="V627" s="541"/>
      <c r="W627" s="541"/>
      <c r="X627" s="541"/>
      <c r="Y627" s="541"/>
      <c r="Z627" s="541"/>
    </row>
    <row r="628" spans="1:26" ht="19.5">
      <c r="A628" s="700">
        <v>7</v>
      </c>
      <c r="B628" s="701" t="s">
        <v>270</v>
      </c>
      <c r="C628" s="702"/>
      <c r="D628" s="702"/>
      <c r="E628" s="702"/>
      <c r="F628" s="702"/>
      <c r="G628" s="703"/>
      <c r="H628" s="704" t="s">
        <v>35</v>
      </c>
      <c r="I628" s="705">
        <f t="shared" ref="I628:J628" ca="1" si="261">I651</f>
        <v>100</v>
      </c>
      <c r="J628" s="705">
        <f t="shared" ca="1" si="261"/>
        <v>0</v>
      </c>
      <c r="K628" s="706">
        <f ca="1">IF(I628&gt;0,J628*100/I628,0)</f>
        <v>0</v>
      </c>
      <c r="L628" s="707"/>
      <c r="M628" s="707"/>
      <c r="N628" s="707"/>
      <c r="O628" s="707"/>
      <c r="P628" s="707"/>
      <c r="Q628" s="541"/>
      <c r="R628" s="541"/>
      <c r="S628" s="541"/>
      <c r="T628" s="541"/>
      <c r="U628" s="541"/>
      <c r="V628" s="541"/>
      <c r="W628" s="541"/>
      <c r="X628" s="541"/>
      <c r="Y628" s="541"/>
      <c r="Z628" s="541"/>
    </row>
    <row r="629" spans="1:26" ht="19.5">
      <c r="A629" s="561"/>
      <c r="B629" s="727"/>
      <c r="C629" s="727" t="s">
        <v>16</v>
      </c>
      <c r="D629" s="811" t="s">
        <v>17</v>
      </c>
      <c r="E629" s="805"/>
      <c r="F629" s="805"/>
      <c r="G629" s="189"/>
      <c r="H629" s="562" t="s">
        <v>12</v>
      </c>
      <c r="I629" s="269"/>
      <c r="J629" s="269"/>
      <c r="K629" s="465"/>
      <c r="L629" s="195">
        <f t="shared" ref="L629:N629" ca="1" si="262">L630+L631</f>
        <v>354995</v>
      </c>
      <c r="M629" s="195">
        <f t="shared" si="262"/>
        <v>0</v>
      </c>
      <c r="N629" s="195">
        <f t="shared" si="262"/>
        <v>12806.67</v>
      </c>
      <c r="O629" s="195">
        <f t="shared" ref="O629:O634" ca="1" si="263">IF(L629&gt;0,N629*100/L629,0)</f>
        <v>3.6075634868096733</v>
      </c>
      <c r="P629" s="195">
        <f t="shared" ref="P629:P634" si="264">IF(M629&gt;0,N629*100/M629,0)</f>
        <v>0</v>
      </c>
      <c r="Q629" s="541"/>
      <c r="R629" s="541"/>
      <c r="S629" s="541"/>
      <c r="T629" s="541"/>
      <c r="U629" s="541"/>
      <c r="V629" s="541"/>
      <c r="W629" s="541"/>
      <c r="X629" s="541"/>
      <c r="Y629" s="541"/>
      <c r="Z629" s="541"/>
    </row>
    <row r="630" spans="1:26" ht="18.75" hidden="1">
      <c r="A630" s="563"/>
      <c r="B630" s="723"/>
      <c r="C630" s="723"/>
      <c r="D630" s="684"/>
      <c r="E630" s="723" t="s">
        <v>184</v>
      </c>
      <c r="F630" s="723"/>
      <c r="G630" s="567"/>
      <c r="H630" s="165" t="s">
        <v>12</v>
      </c>
      <c r="I630" s="583"/>
      <c r="J630" s="583"/>
      <c r="K630" s="93"/>
      <c r="L630" s="93">
        <f t="shared" ref="L630:N631" si="265">L633+L640</f>
        <v>0</v>
      </c>
      <c r="M630" s="93">
        <f t="shared" si="265"/>
        <v>0</v>
      </c>
      <c r="N630" s="93">
        <f t="shared" si="265"/>
        <v>0</v>
      </c>
      <c r="O630" s="93">
        <f t="shared" si="263"/>
        <v>0</v>
      </c>
      <c r="P630" s="93">
        <f t="shared" si="264"/>
        <v>0</v>
      </c>
      <c r="Q630" s="568"/>
      <c r="R630" s="568"/>
      <c r="S630" s="568"/>
      <c r="T630" s="568"/>
      <c r="U630" s="568"/>
      <c r="V630" s="568"/>
      <c r="W630" s="568"/>
      <c r="X630" s="568"/>
      <c r="Y630" s="568"/>
      <c r="Z630" s="568"/>
    </row>
    <row r="631" spans="1:26" ht="18.75" hidden="1">
      <c r="A631" s="563"/>
      <c r="B631" s="571"/>
      <c r="C631" s="723"/>
      <c r="D631" s="684"/>
      <c r="E631" s="723" t="s">
        <v>185</v>
      </c>
      <c r="F631" s="723"/>
      <c r="G631" s="567"/>
      <c r="H631" s="165" t="s">
        <v>12</v>
      </c>
      <c r="I631" s="583"/>
      <c r="J631" s="583"/>
      <c r="K631" s="93"/>
      <c r="L631" s="93">
        <f t="shared" ca="1" si="265"/>
        <v>354995</v>
      </c>
      <c r="M631" s="93">
        <f t="shared" si="265"/>
        <v>0</v>
      </c>
      <c r="N631" s="93">
        <f t="shared" si="265"/>
        <v>12806.67</v>
      </c>
      <c r="O631" s="93">
        <f t="shared" ca="1" si="263"/>
        <v>3.6075634868096733</v>
      </c>
      <c r="P631" s="93">
        <f t="shared" si="264"/>
        <v>0</v>
      </c>
      <c r="Q631" s="568"/>
      <c r="R631" s="568"/>
      <c r="S631" s="568"/>
      <c r="T631" s="568"/>
      <c r="U631" s="568"/>
      <c r="V631" s="568"/>
      <c r="W631" s="568"/>
      <c r="X631" s="568"/>
      <c r="Y631" s="568"/>
      <c r="Z631" s="568"/>
    </row>
    <row r="632" spans="1:26" ht="18.75">
      <c r="A632" s="561"/>
      <c r="B632" s="538"/>
      <c r="C632" s="727"/>
      <c r="D632" s="570" t="s">
        <v>20</v>
      </c>
      <c r="E632" s="727"/>
      <c r="F632" s="727"/>
      <c r="G632" s="189"/>
      <c r="H632" s="161" t="s">
        <v>12</v>
      </c>
      <c r="I632" s="184"/>
      <c r="J632" s="184"/>
      <c r="K632" s="163"/>
      <c r="L632" s="465">
        <f t="shared" ref="L632:N632" ca="1" si="266">L633+L634</f>
        <v>354995</v>
      </c>
      <c r="M632" s="465">
        <f t="shared" si="266"/>
        <v>0</v>
      </c>
      <c r="N632" s="465">
        <f t="shared" si="266"/>
        <v>12806.67</v>
      </c>
      <c r="O632" s="465">
        <f t="shared" ca="1" si="263"/>
        <v>3.6075634868096733</v>
      </c>
      <c r="P632" s="465">
        <f t="shared" si="264"/>
        <v>0</v>
      </c>
      <c r="Q632" s="541"/>
      <c r="R632" s="541"/>
      <c r="S632" s="541"/>
      <c r="T632" s="541"/>
      <c r="U632" s="541"/>
      <c r="V632" s="541"/>
      <c r="W632" s="541"/>
      <c r="X632" s="541"/>
      <c r="Y632" s="541"/>
      <c r="Z632" s="541"/>
    </row>
    <row r="633" spans="1:26" ht="18.75" hidden="1">
      <c r="A633" s="563"/>
      <c r="B633" s="571"/>
      <c r="C633" s="723"/>
      <c r="D633" s="684"/>
      <c r="E633" s="723" t="s">
        <v>184</v>
      </c>
      <c r="F633" s="723"/>
      <c r="G633" s="567"/>
      <c r="H633" s="165" t="s">
        <v>12</v>
      </c>
      <c r="I633" s="583"/>
      <c r="J633" s="583"/>
      <c r="K633" s="93"/>
      <c r="L633" s="93">
        <v>0</v>
      </c>
      <c r="M633" s="93">
        <v>0</v>
      </c>
      <c r="N633" s="93">
        <v>0</v>
      </c>
      <c r="O633" s="93">
        <f t="shared" si="263"/>
        <v>0</v>
      </c>
      <c r="P633" s="93">
        <f t="shared" si="264"/>
        <v>0</v>
      </c>
      <c r="Q633" s="568"/>
      <c r="R633" s="568"/>
      <c r="S633" s="568"/>
      <c r="T633" s="568"/>
      <c r="U633" s="568"/>
      <c r="V633" s="568"/>
      <c r="W633" s="568"/>
      <c r="X633" s="568"/>
      <c r="Y633" s="568"/>
      <c r="Z633" s="568"/>
    </row>
    <row r="634" spans="1:26" ht="18.75" hidden="1">
      <c r="A634" s="563"/>
      <c r="B634" s="571"/>
      <c r="C634" s="723"/>
      <c r="D634" s="684"/>
      <c r="E634" s="723" t="s">
        <v>185</v>
      </c>
      <c r="F634" s="723"/>
      <c r="G634" s="567"/>
      <c r="H634" s="165" t="s">
        <v>12</v>
      </c>
      <c r="I634" s="583"/>
      <c r="J634" s="583"/>
      <c r="K634" s="93"/>
      <c r="L634" s="93">
        <f ca="1">IFERROR(__xludf.DUMMYFUNCTION("IMPORTRANGE(""https://docs.google.com/spreadsheets/d/1QqKyyYR6Q21VydFLVH3TRQUabQu_ym0Zz7PgGX0-kHA/edit?usp=sharing"",""แผน!HN22"")"),354995)</f>
        <v>354995</v>
      </c>
      <c r="M634" s="93">
        <v>0</v>
      </c>
      <c r="N634" s="93">
        <f>N635+N636+N637+N638</f>
        <v>12806.67</v>
      </c>
      <c r="O634" s="93">
        <f t="shared" ca="1" si="263"/>
        <v>3.6075634868096733</v>
      </c>
      <c r="P634" s="93">
        <f t="shared" si="264"/>
        <v>0</v>
      </c>
      <c r="Q634" s="568"/>
      <c r="R634" s="568"/>
      <c r="S634" s="568"/>
      <c r="T634" s="568"/>
      <c r="U634" s="568"/>
      <c r="V634" s="568"/>
      <c r="W634" s="568"/>
      <c r="X634" s="568"/>
      <c r="Y634" s="568"/>
      <c r="Z634" s="568"/>
    </row>
    <row r="635" spans="1:26" ht="18.75">
      <c r="A635" s="537"/>
      <c r="B635" s="538"/>
      <c r="C635" s="727"/>
      <c r="D635" s="727"/>
      <c r="E635" s="727"/>
      <c r="F635" s="727" t="s">
        <v>186</v>
      </c>
      <c r="G635" s="189"/>
      <c r="H635" s="161" t="s">
        <v>12</v>
      </c>
      <c r="I635" s="269"/>
      <c r="J635" s="269"/>
      <c r="K635" s="465"/>
      <c r="L635" s="465"/>
      <c r="M635" s="465"/>
      <c r="N635" s="789">
        <v>0</v>
      </c>
      <c r="O635" s="465"/>
      <c r="P635" s="465"/>
      <c r="Q635" s="541"/>
      <c r="R635" s="541"/>
      <c r="S635" s="541"/>
      <c r="T635" s="541"/>
      <c r="U635" s="541"/>
      <c r="V635" s="541"/>
      <c r="W635" s="541"/>
      <c r="X635" s="541"/>
      <c r="Y635" s="541"/>
      <c r="Z635" s="541"/>
    </row>
    <row r="636" spans="1:26" ht="18.75">
      <c r="A636" s="537"/>
      <c r="B636" s="538"/>
      <c r="C636" s="727"/>
      <c r="D636" s="727"/>
      <c r="E636" s="727"/>
      <c r="F636" s="727" t="s">
        <v>187</v>
      </c>
      <c r="G636" s="189"/>
      <c r="H636" s="161" t="s">
        <v>12</v>
      </c>
      <c r="I636" s="269"/>
      <c r="J636" s="269"/>
      <c r="K636" s="465"/>
      <c r="L636" s="465"/>
      <c r="M636" s="465"/>
      <c r="N636" s="789">
        <v>0</v>
      </c>
      <c r="O636" s="465"/>
      <c r="P636" s="465"/>
      <c r="Q636" s="541"/>
      <c r="R636" s="541"/>
      <c r="S636" s="541"/>
      <c r="T636" s="541"/>
      <c r="U636" s="541"/>
      <c r="V636" s="541"/>
      <c r="W636" s="541"/>
      <c r="X636" s="541"/>
      <c r="Y636" s="541"/>
      <c r="Z636" s="541"/>
    </row>
    <row r="637" spans="1:26" ht="18.75">
      <c r="A637" s="537"/>
      <c r="B637" s="538"/>
      <c r="C637" s="727"/>
      <c r="D637" s="727"/>
      <c r="E637" s="727"/>
      <c r="F637" s="727" t="s">
        <v>188</v>
      </c>
      <c r="G637" s="189"/>
      <c r="H637" s="161" t="s">
        <v>12</v>
      </c>
      <c r="I637" s="269"/>
      <c r="J637" s="269"/>
      <c r="K637" s="465"/>
      <c r="L637" s="465"/>
      <c r="M637" s="465"/>
      <c r="N637" s="789">
        <v>12566.67</v>
      </c>
      <c r="O637" s="465"/>
      <c r="P637" s="465"/>
      <c r="Q637" s="541"/>
      <c r="R637" s="541"/>
      <c r="S637" s="541"/>
      <c r="T637" s="541"/>
      <c r="U637" s="541"/>
      <c r="V637" s="541"/>
      <c r="W637" s="541"/>
      <c r="X637" s="541"/>
      <c r="Y637" s="541"/>
      <c r="Z637" s="541"/>
    </row>
    <row r="638" spans="1:26" ht="18.75">
      <c r="A638" s="537"/>
      <c r="B638" s="538"/>
      <c r="C638" s="727"/>
      <c r="D638" s="727"/>
      <c r="E638" s="727"/>
      <c r="F638" s="727" t="s">
        <v>189</v>
      </c>
      <c r="G638" s="189"/>
      <c r="H638" s="161" t="s">
        <v>12</v>
      </c>
      <c r="I638" s="269"/>
      <c r="J638" s="269"/>
      <c r="K638" s="465"/>
      <c r="L638" s="465"/>
      <c r="M638" s="465"/>
      <c r="N638" s="789">
        <v>240</v>
      </c>
      <c r="O638" s="465"/>
      <c r="P638" s="465"/>
      <c r="Q638" s="541"/>
      <c r="R638" s="541"/>
      <c r="S638" s="541"/>
      <c r="T638" s="541"/>
      <c r="U638" s="541"/>
      <c r="V638" s="541"/>
      <c r="W638" s="541"/>
      <c r="X638" s="541"/>
      <c r="Y638" s="541"/>
      <c r="Z638" s="541"/>
    </row>
    <row r="639" spans="1:26" ht="18.75">
      <c r="A639" s="561"/>
      <c r="B639" s="538"/>
      <c r="C639" s="727"/>
      <c r="D639" s="570" t="s">
        <v>21</v>
      </c>
      <c r="E639" s="727"/>
      <c r="F639" s="727"/>
      <c r="G639" s="189"/>
      <c r="H639" s="168" t="s">
        <v>12</v>
      </c>
      <c r="I639" s="184"/>
      <c r="J639" s="184"/>
      <c r="K639" s="163"/>
      <c r="L639" s="465">
        <f t="shared" ref="L639:N639" ca="1" si="267">L640+L641</f>
        <v>0</v>
      </c>
      <c r="M639" s="465">
        <f t="shared" si="267"/>
        <v>0</v>
      </c>
      <c r="N639" s="465">
        <f t="shared" si="267"/>
        <v>0</v>
      </c>
      <c r="O639" s="465">
        <f t="shared" ref="O639:O641" ca="1" si="268">IF(L639&gt;0,N639*100/L639,0)</f>
        <v>0</v>
      </c>
      <c r="P639" s="465">
        <f t="shared" ref="P639:P641" si="269">IF(M639&gt;0,N639*100/M639,0)</f>
        <v>0</v>
      </c>
      <c r="Q639" s="541"/>
      <c r="R639" s="541"/>
      <c r="S639" s="541"/>
      <c r="T639" s="541"/>
      <c r="U639" s="541"/>
      <c r="V639" s="541"/>
      <c r="W639" s="541"/>
      <c r="X639" s="541"/>
      <c r="Y639" s="541"/>
      <c r="Z639" s="541"/>
    </row>
    <row r="640" spans="1:26" ht="18.75" hidden="1">
      <c r="A640" s="563"/>
      <c r="B640" s="571"/>
      <c r="C640" s="723"/>
      <c r="D640" s="723"/>
      <c r="E640" s="723" t="s">
        <v>18</v>
      </c>
      <c r="F640" s="723"/>
      <c r="G640" s="567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8"/>
        <v>0</v>
      </c>
      <c r="P640" s="93">
        <f t="shared" si="269"/>
        <v>0</v>
      </c>
      <c r="Q640" s="568"/>
      <c r="R640" s="568"/>
      <c r="S640" s="568"/>
      <c r="T640" s="568"/>
      <c r="U640" s="568"/>
      <c r="V640" s="568"/>
      <c r="W640" s="568"/>
      <c r="X640" s="568"/>
      <c r="Y640" s="568"/>
      <c r="Z640" s="568"/>
    </row>
    <row r="641" spans="1:26" ht="18.75" hidden="1">
      <c r="A641" s="563"/>
      <c r="B641" s="571"/>
      <c r="C641" s="723"/>
      <c r="D641" s="723"/>
      <c r="E641" s="723" t="s">
        <v>19</v>
      </c>
      <c r="F641" s="723"/>
      <c r="G641" s="567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IFERROR(__xludf.DUMMYFUNCTION("IMPORTRANGE(""https://docs.google.com/spreadsheets/d/1QqKyyYR6Q21VydFLVH3TRQUabQu_ym0Zz7PgGX0-kHA/edit?usp=sharing"",""แผน!HQ22"")"),0)</f>
        <v>0</v>
      </c>
      <c r="M641" s="93">
        <v>0</v>
      </c>
      <c r="N641" s="93">
        <v>0</v>
      </c>
      <c r="O641" s="93">
        <f t="shared" ca="1" si="268"/>
        <v>0</v>
      </c>
      <c r="P641" s="93">
        <f t="shared" si="269"/>
        <v>0</v>
      </c>
      <c r="Q641" s="568"/>
      <c r="R641" s="568"/>
      <c r="S641" s="568"/>
      <c r="T641" s="568"/>
      <c r="U641" s="568"/>
      <c r="V641" s="568"/>
      <c r="W641" s="568"/>
      <c r="X641" s="568"/>
      <c r="Y641" s="568"/>
      <c r="Z641" s="568"/>
    </row>
    <row r="642" spans="1:26" ht="19.5">
      <c r="A642" s="572"/>
      <c r="B642" s="584"/>
      <c r="C642" s="727" t="s">
        <v>16</v>
      </c>
      <c r="D642" s="853" t="s">
        <v>38</v>
      </c>
      <c r="E642" s="725"/>
      <c r="F642" s="725"/>
      <c r="G642" s="577"/>
      <c r="H642" s="726"/>
      <c r="I642" s="184"/>
      <c r="J642" s="184"/>
      <c r="K642" s="163"/>
      <c r="L642" s="163"/>
      <c r="M642" s="163"/>
      <c r="N642" s="163"/>
      <c r="O642" s="163"/>
      <c r="P642" s="163"/>
      <c r="Q642" s="541"/>
      <c r="R642" s="541"/>
      <c r="S642" s="541"/>
      <c r="T642" s="541"/>
      <c r="U642" s="541"/>
      <c r="V642" s="541"/>
      <c r="W642" s="541"/>
      <c r="X642" s="541"/>
      <c r="Y642" s="541"/>
      <c r="Z642" s="541"/>
    </row>
    <row r="643" spans="1:26" ht="18.75">
      <c r="A643" s="708"/>
      <c r="B643" s="538"/>
      <c r="C643" s="727"/>
      <c r="D643" s="592"/>
      <c r="E643" s="710" t="s">
        <v>271</v>
      </c>
      <c r="F643" s="592"/>
      <c r="G643" s="726"/>
      <c r="H643" s="728" t="s">
        <v>272</v>
      </c>
      <c r="I643" s="269">
        <f ca="1">IFERROR(__xludf.DUMMYFUNCTION("IMPORTRANGE(""https://docs.google.com/spreadsheets/d/1QqKyyYR6Q21VydFLVH3TRQUabQu_ym0Zz7PgGX0-kHA/edit?usp=sharing"",""แผน!HR22"")"),0)</f>
        <v>0</v>
      </c>
      <c r="J643" s="214">
        <v>0</v>
      </c>
      <c r="K643" s="163">
        <f t="shared" ref="K643:K652" ca="1" si="270">IF(I643&gt;0,J643*100/I643,0)</f>
        <v>0</v>
      </c>
      <c r="L643" s="163"/>
      <c r="M643" s="163"/>
      <c r="N643" s="465"/>
      <c r="O643" s="163"/>
      <c r="P643" s="163"/>
      <c r="Q643" s="541"/>
      <c r="R643" s="541"/>
      <c r="S643" s="541"/>
      <c r="T643" s="541"/>
      <c r="U643" s="541"/>
      <c r="V643" s="541"/>
      <c r="W643" s="541"/>
      <c r="X643" s="541"/>
      <c r="Y643" s="541"/>
      <c r="Z643" s="541"/>
    </row>
    <row r="644" spans="1:26" ht="18.75">
      <c r="A644" s="708"/>
      <c r="B644" s="538"/>
      <c r="C644" s="727"/>
      <c r="D644" s="592"/>
      <c r="E644" s="710" t="s">
        <v>273</v>
      </c>
      <c r="F644" s="592"/>
      <c r="G644" s="726"/>
      <c r="H644" s="728" t="s">
        <v>274</v>
      </c>
      <c r="I644" s="269">
        <f ca="1">IFERROR(__xludf.DUMMYFUNCTION("IMPORTRANGE(""https://docs.google.com/spreadsheets/d/1QqKyyYR6Q21VydFLVH3TRQUabQu_ym0Zz7PgGX0-kHA/edit?usp=sharing"",""แผน!HR22"")"),0)</f>
        <v>0</v>
      </c>
      <c r="J644" s="214">
        <v>0</v>
      </c>
      <c r="K644" s="163">
        <f t="shared" ca="1" si="270"/>
        <v>0</v>
      </c>
      <c r="L644" s="163"/>
      <c r="M644" s="163"/>
      <c r="N644" s="465"/>
      <c r="O644" s="163"/>
      <c r="P644" s="163"/>
      <c r="Q644" s="541"/>
      <c r="R644" s="541"/>
      <c r="S644" s="541"/>
      <c r="T644" s="541"/>
      <c r="U644" s="541"/>
      <c r="V644" s="541"/>
      <c r="W644" s="541"/>
      <c r="X644" s="541"/>
      <c r="Y644" s="541"/>
      <c r="Z644" s="541"/>
    </row>
    <row r="645" spans="1:26" ht="18.75">
      <c r="A645" s="708"/>
      <c r="B645" s="538"/>
      <c r="C645" s="727"/>
      <c r="D645" s="592"/>
      <c r="E645" s="710" t="s">
        <v>275</v>
      </c>
      <c r="F645" s="592"/>
      <c r="G645" s="726"/>
      <c r="H645" s="728" t="s">
        <v>34</v>
      </c>
      <c r="I645" s="269">
        <v>0</v>
      </c>
      <c r="J645" s="269">
        <f ca="1">IFERROR(__xludf.DUMMYFUNCTION("IMPORTRANGE(""https://docs.google.com/spreadsheets/d/1XWAQStnk-4SwqDmLtmXYiTMKHgktTP8We1SCoS47DrQ/edit?usp=sharing"",""จัดที่ดิน!AS22"")"),0)</f>
        <v>0</v>
      </c>
      <c r="K645" s="163">
        <f t="shared" si="270"/>
        <v>0</v>
      </c>
      <c r="L645" s="163"/>
      <c r="M645" s="163"/>
      <c r="N645" s="465"/>
      <c r="O645" s="163"/>
      <c r="P645" s="163"/>
      <c r="Q645" s="541"/>
      <c r="R645" s="541"/>
      <c r="S645" s="541"/>
      <c r="T645" s="541"/>
      <c r="U645" s="541"/>
      <c r="V645" s="541"/>
      <c r="W645" s="541"/>
      <c r="X645" s="541"/>
      <c r="Y645" s="541"/>
      <c r="Z645" s="541"/>
    </row>
    <row r="646" spans="1:26" ht="18.75">
      <c r="A646" s="708"/>
      <c r="B646" s="538"/>
      <c r="C646" s="727"/>
      <c r="D646" s="592"/>
      <c r="E646" s="592"/>
      <c r="F646" s="592"/>
      <c r="G646" s="726"/>
      <c r="H646" s="728" t="s">
        <v>46</v>
      </c>
      <c r="I646" s="269">
        <v>0</v>
      </c>
      <c r="J646" s="269">
        <f ca="1">IFERROR(__xludf.DUMMYFUNCTION("IMPORTRANGE(""https://docs.google.com/spreadsheets/d/1XWAQStnk-4SwqDmLtmXYiTMKHgktTP8We1SCoS47DrQ/edit?usp=sharing"",""จัดที่ดิน!AT22"")"),0)</f>
        <v>0</v>
      </c>
      <c r="K646" s="465">
        <f t="shared" si="270"/>
        <v>0</v>
      </c>
      <c r="L646" s="163"/>
      <c r="M646" s="163"/>
      <c r="N646" s="465"/>
      <c r="O646" s="163"/>
      <c r="P646" s="163"/>
      <c r="Q646" s="541"/>
      <c r="R646" s="541"/>
      <c r="S646" s="541"/>
      <c r="T646" s="541"/>
      <c r="U646" s="541"/>
      <c r="V646" s="541"/>
      <c r="W646" s="541"/>
      <c r="X646" s="541"/>
      <c r="Y646" s="541"/>
      <c r="Z646" s="541"/>
    </row>
    <row r="647" spans="1:26" ht="18.75">
      <c r="A647" s="708"/>
      <c r="B647" s="538"/>
      <c r="C647" s="727"/>
      <c r="D647" s="592"/>
      <c r="E647" s="710" t="s">
        <v>162</v>
      </c>
      <c r="F647" s="592"/>
      <c r="G647" s="726"/>
      <c r="H647" s="728" t="s">
        <v>35</v>
      </c>
      <c r="I647" s="269">
        <f ca="1">IFERROR(__xludf.DUMMYFUNCTION("IMPORTRANGE(""https://docs.google.com/spreadsheets/d/1QqKyyYR6Q21VydFLVH3TRQUabQu_ym0Zz7PgGX0-kHA/edit?usp=sharing"",""แผน!HS22"")"),100)</f>
        <v>100</v>
      </c>
      <c r="J647" s="269">
        <f ca="1">IFERROR(__xludf.DUMMYFUNCTION("IMPORTRANGE(""https://docs.google.com/spreadsheets/d/1XWAQStnk-4SwqDmLtmXYiTMKHgktTP8We1SCoS47DrQ/edit?usp=sharing"",""จัดที่ดิน!AU22"")"),0)</f>
        <v>0</v>
      </c>
      <c r="K647" s="163">
        <f t="shared" ca="1" si="270"/>
        <v>0</v>
      </c>
      <c r="L647" s="163"/>
      <c r="M647" s="163"/>
      <c r="N647" s="163"/>
      <c r="O647" s="163"/>
      <c r="P647" s="163"/>
      <c r="Q647" s="541"/>
      <c r="R647" s="541"/>
      <c r="S647" s="541"/>
      <c r="T647" s="541"/>
      <c r="U647" s="541"/>
      <c r="V647" s="541"/>
      <c r="W647" s="541"/>
      <c r="X647" s="541"/>
      <c r="Y647" s="541"/>
      <c r="Z647" s="541"/>
    </row>
    <row r="648" spans="1:26" ht="18.75">
      <c r="A648" s="708"/>
      <c r="B648" s="538"/>
      <c r="C648" s="727"/>
      <c r="D648" s="592"/>
      <c r="E648" s="592"/>
      <c r="F648" s="592"/>
      <c r="G648" s="726"/>
      <c r="H648" s="728" t="s">
        <v>46</v>
      </c>
      <c r="I648" s="269">
        <v>0</v>
      </c>
      <c r="J648" s="269">
        <f ca="1">IFERROR(__xludf.DUMMYFUNCTION("IMPORTRANGE(""https://docs.google.com/spreadsheets/d/1XWAQStnk-4SwqDmLtmXYiTMKHgktTP8We1SCoS47DrQ/edit?usp=sharing"",""จัดที่ดิน!AV22"")"),0)</f>
        <v>0</v>
      </c>
      <c r="K648" s="465">
        <f t="shared" si="270"/>
        <v>0</v>
      </c>
      <c r="L648" s="163"/>
      <c r="M648" s="163"/>
      <c r="N648" s="163"/>
      <c r="O648" s="163"/>
      <c r="P648" s="163"/>
      <c r="Q648" s="541"/>
      <c r="R648" s="541"/>
      <c r="S648" s="541"/>
      <c r="T648" s="541"/>
      <c r="U648" s="541"/>
      <c r="V648" s="541"/>
      <c r="W648" s="541"/>
      <c r="X648" s="541"/>
      <c r="Y648" s="541"/>
      <c r="Z648" s="541"/>
    </row>
    <row r="649" spans="1:26" ht="18.75">
      <c r="A649" s="708"/>
      <c r="B649" s="538"/>
      <c r="C649" s="727"/>
      <c r="D649" s="592"/>
      <c r="E649" s="710" t="s">
        <v>276</v>
      </c>
      <c r="F649" s="592"/>
      <c r="G649" s="726"/>
      <c r="H649" s="728" t="s">
        <v>35</v>
      </c>
      <c r="I649" s="269">
        <f ca="1">IFERROR(__xludf.DUMMYFUNCTION("IMPORTRANGE(""https://docs.google.com/spreadsheets/d/1QqKyyYR6Q21VydFLVH3TRQUabQu_ym0Zz7PgGX0-kHA/edit?usp=sharing"",""แผน!HS22"")"),100)</f>
        <v>100</v>
      </c>
      <c r="J649" s="269">
        <f ca="1">IFERROR(__xludf.DUMMYFUNCTION("IMPORTRANGE(""https://docs.google.com/spreadsheets/d/1XWAQStnk-4SwqDmLtmXYiTMKHgktTP8We1SCoS47DrQ/edit?usp=sharing"",""จัดที่ดิน!AW22"")"),0)</f>
        <v>0</v>
      </c>
      <c r="K649" s="163">
        <f t="shared" ca="1" si="270"/>
        <v>0</v>
      </c>
      <c r="L649" s="163"/>
      <c r="M649" s="163"/>
      <c r="N649" s="163"/>
      <c r="O649" s="163"/>
      <c r="P649" s="163"/>
      <c r="Q649" s="541"/>
      <c r="R649" s="541"/>
      <c r="S649" s="541"/>
      <c r="T649" s="541"/>
      <c r="U649" s="541"/>
      <c r="V649" s="541"/>
      <c r="W649" s="541"/>
      <c r="X649" s="541"/>
      <c r="Y649" s="541"/>
      <c r="Z649" s="541"/>
    </row>
    <row r="650" spans="1:26" ht="18.75">
      <c r="A650" s="708"/>
      <c r="B650" s="538"/>
      <c r="C650" s="727"/>
      <c r="D650" s="592"/>
      <c r="E650" s="592"/>
      <c r="F650" s="592"/>
      <c r="G650" s="726"/>
      <c r="H650" s="728" t="s">
        <v>46</v>
      </c>
      <c r="I650" s="269">
        <v>0</v>
      </c>
      <c r="J650" s="269">
        <f ca="1">IFERROR(__xludf.DUMMYFUNCTION("IMPORTRANGE(""https://docs.google.com/spreadsheets/d/1XWAQStnk-4SwqDmLtmXYiTMKHgktTP8We1SCoS47DrQ/edit?usp=sharing"",""จัดที่ดิน!AX22"")"),0)</f>
        <v>0</v>
      </c>
      <c r="K650" s="465">
        <f t="shared" si="270"/>
        <v>0</v>
      </c>
      <c r="L650" s="163"/>
      <c r="M650" s="163"/>
      <c r="N650" s="163"/>
      <c r="O650" s="163"/>
      <c r="P650" s="163"/>
      <c r="Q650" s="541"/>
      <c r="R650" s="541"/>
      <c r="S650" s="541"/>
      <c r="T650" s="541"/>
      <c r="U650" s="541"/>
      <c r="V650" s="541"/>
      <c r="W650" s="541"/>
      <c r="X650" s="541"/>
      <c r="Y650" s="541"/>
      <c r="Z650" s="541"/>
    </row>
    <row r="651" spans="1:26" ht="18.75">
      <c r="A651" s="708"/>
      <c r="B651" s="538"/>
      <c r="C651" s="727"/>
      <c r="D651" s="592"/>
      <c r="E651" s="710" t="s">
        <v>277</v>
      </c>
      <c r="F651" s="592"/>
      <c r="G651" s="726"/>
      <c r="H651" s="728" t="s">
        <v>35</v>
      </c>
      <c r="I651" s="269">
        <f ca="1">IFERROR(__xludf.DUMMYFUNCTION("IMPORTRANGE(""https://docs.google.com/spreadsheets/d/1QqKyyYR6Q21VydFLVH3TRQUabQu_ym0Zz7PgGX0-kHA/edit?usp=sharing"",""แผน!HS22"")"),100)</f>
        <v>100</v>
      </c>
      <c r="J651" s="269">
        <f ca="1">IFERROR(__xludf.DUMMYFUNCTION("IMPORTRANGE(""https://docs.google.com/spreadsheets/d/1XWAQStnk-4SwqDmLtmXYiTMKHgktTP8We1SCoS47DrQ/edit?usp=sharing"",""จัดที่ดิน!AY22"")"),0)</f>
        <v>0</v>
      </c>
      <c r="K651" s="163">
        <f t="shared" ca="1" si="270"/>
        <v>0</v>
      </c>
      <c r="L651" s="163"/>
      <c r="M651" s="163"/>
      <c r="N651" s="163"/>
      <c r="O651" s="163"/>
      <c r="P651" s="163"/>
      <c r="Q651" s="541"/>
      <c r="R651" s="541"/>
      <c r="S651" s="541"/>
      <c r="T651" s="541"/>
      <c r="U651" s="541"/>
      <c r="V651" s="541"/>
      <c r="W651" s="541"/>
      <c r="X651" s="541"/>
      <c r="Y651" s="541"/>
      <c r="Z651" s="541"/>
    </row>
    <row r="652" spans="1:26" ht="18.75">
      <c r="A652" s="711"/>
      <c r="B652" s="712"/>
      <c r="C652" s="713"/>
      <c r="D652" s="698"/>
      <c r="E652" s="698"/>
      <c r="F652" s="698"/>
      <c r="G652" s="699"/>
      <c r="H652" s="467" t="s">
        <v>46</v>
      </c>
      <c r="I652" s="468">
        <v>0</v>
      </c>
      <c r="J652" s="468">
        <f ca="1">IFERROR(__xludf.DUMMYFUNCTION("IMPORTRANGE(""https://docs.google.com/spreadsheets/d/1XWAQStnk-4SwqDmLtmXYiTMKHgktTP8We1SCoS47DrQ/edit?usp=sharing"",""จัดที่ดิน!AZ22"")"),0)</f>
        <v>0</v>
      </c>
      <c r="K652" s="469">
        <f t="shared" si="270"/>
        <v>0</v>
      </c>
      <c r="L652" s="353"/>
      <c r="M652" s="353"/>
      <c r="N652" s="353"/>
      <c r="O652" s="353"/>
      <c r="P652" s="353"/>
      <c r="Q652" s="541"/>
      <c r="R652" s="541"/>
      <c r="S652" s="541"/>
      <c r="T652" s="541"/>
      <c r="U652" s="541"/>
      <c r="V652" s="541"/>
      <c r="W652" s="541"/>
      <c r="X652" s="541"/>
      <c r="Y652" s="541"/>
      <c r="Z652" s="541"/>
    </row>
    <row r="653" spans="1:26" ht="19.5">
      <c r="A653" s="714">
        <v>8</v>
      </c>
      <c r="B653" s="701" t="s">
        <v>278</v>
      </c>
      <c r="C653" s="702"/>
      <c r="D653" s="702"/>
      <c r="E653" s="702"/>
      <c r="F653" s="702"/>
      <c r="G653" s="703"/>
      <c r="H653" s="703"/>
      <c r="I653" s="715"/>
      <c r="J653" s="715"/>
      <c r="K653" s="707"/>
      <c r="L653" s="707"/>
      <c r="M653" s="707"/>
      <c r="N653" s="707"/>
      <c r="O653" s="707"/>
      <c r="P653" s="707"/>
      <c r="Q653" s="541"/>
      <c r="R653" s="541"/>
      <c r="S653" s="541"/>
      <c r="T653" s="541"/>
      <c r="U653" s="541"/>
      <c r="V653" s="541"/>
      <c r="W653" s="541"/>
      <c r="X653" s="541"/>
      <c r="Y653" s="541"/>
      <c r="Z653" s="541"/>
    </row>
    <row r="654" spans="1:26" ht="19.5">
      <c r="A654" s="639"/>
      <c r="B654" s="638" t="s">
        <v>279</v>
      </c>
      <c r="C654" s="639"/>
      <c r="D654" s="639"/>
      <c r="E654" s="639"/>
      <c r="F654" s="639"/>
      <c r="G654" s="640"/>
      <c r="H654" s="671" t="s">
        <v>46</v>
      </c>
      <c r="I654" s="672">
        <f t="shared" ref="I654:J654" ca="1" si="271">I669</f>
        <v>50</v>
      </c>
      <c r="J654" s="672">
        <f t="shared" si="271"/>
        <v>0</v>
      </c>
      <c r="K654" s="643">
        <f ca="1">IF(I654&gt;0,J654*100/I654,0)</f>
        <v>0</v>
      </c>
      <c r="L654" s="644"/>
      <c r="M654" s="644"/>
      <c r="N654" s="644"/>
      <c r="O654" s="644"/>
      <c r="P654" s="644"/>
      <c r="Q654" s="541"/>
      <c r="R654" s="541"/>
      <c r="S654" s="541"/>
      <c r="T654" s="541"/>
      <c r="U654" s="541"/>
      <c r="V654" s="541"/>
      <c r="W654" s="541"/>
      <c r="X654" s="541"/>
      <c r="Y654" s="541"/>
      <c r="Z654" s="541"/>
    </row>
    <row r="655" spans="1:26" ht="19.5">
      <c r="A655" s="561"/>
      <c r="B655" s="727"/>
      <c r="C655" s="727" t="s">
        <v>16</v>
      </c>
      <c r="D655" s="811" t="s">
        <v>17</v>
      </c>
      <c r="E655" s="805"/>
      <c r="F655" s="805"/>
      <c r="G655" s="189"/>
      <c r="H655" s="562" t="s">
        <v>12</v>
      </c>
      <c r="I655" s="269"/>
      <c r="J655" s="269"/>
      <c r="K655" s="465"/>
      <c r="L655" s="195">
        <f t="shared" ref="L655:N655" ca="1" si="272">L656+L657</f>
        <v>9400</v>
      </c>
      <c r="M655" s="195">
        <f t="shared" si="272"/>
        <v>0</v>
      </c>
      <c r="N655" s="195">
        <f t="shared" si="272"/>
        <v>0</v>
      </c>
      <c r="O655" s="195">
        <f t="shared" ref="O655:O660" ca="1" si="273">IF(L655&gt;0,N655*100/L655,0)</f>
        <v>0</v>
      </c>
      <c r="P655" s="195">
        <f t="shared" ref="P655:P660" si="274">IF(M655&gt;0,N655*100/M655,0)</f>
        <v>0</v>
      </c>
      <c r="Q655" s="541"/>
      <c r="R655" s="541"/>
      <c r="S655" s="541"/>
      <c r="T655" s="541"/>
      <c r="U655" s="541"/>
      <c r="V655" s="541"/>
      <c r="W655" s="541"/>
      <c r="X655" s="541"/>
      <c r="Y655" s="541"/>
      <c r="Z655" s="541"/>
    </row>
    <row r="656" spans="1:26" ht="18.75" hidden="1">
      <c r="A656" s="563"/>
      <c r="B656" s="723"/>
      <c r="C656" s="723"/>
      <c r="D656" s="684"/>
      <c r="E656" s="723" t="s">
        <v>184</v>
      </c>
      <c r="F656" s="723"/>
      <c r="G656" s="567"/>
      <c r="H656" s="165" t="s">
        <v>12</v>
      </c>
      <c r="I656" s="583"/>
      <c r="J656" s="583"/>
      <c r="K656" s="93"/>
      <c r="L656" s="93">
        <f t="shared" ref="L656:N657" si="275">L659+L666</f>
        <v>0</v>
      </c>
      <c r="M656" s="93">
        <f t="shared" si="275"/>
        <v>0</v>
      </c>
      <c r="N656" s="93">
        <f t="shared" si="275"/>
        <v>0</v>
      </c>
      <c r="O656" s="93">
        <f t="shared" si="273"/>
        <v>0</v>
      </c>
      <c r="P656" s="93">
        <f t="shared" si="274"/>
        <v>0</v>
      </c>
      <c r="Q656" s="568"/>
      <c r="R656" s="568"/>
      <c r="S656" s="568"/>
      <c r="T656" s="568"/>
      <c r="U656" s="568"/>
      <c r="V656" s="568"/>
      <c r="W656" s="568"/>
      <c r="X656" s="568"/>
      <c r="Y656" s="568"/>
      <c r="Z656" s="568"/>
    </row>
    <row r="657" spans="1:26" ht="18.75" hidden="1">
      <c r="A657" s="563"/>
      <c r="B657" s="571"/>
      <c r="C657" s="723"/>
      <c r="D657" s="684"/>
      <c r="E657" s="723" t="s">
        <v>185</v>
      </c>
      <c r="F657" s="723"/>
      <c r="G657" s="567"/>
      <c r="H657" s="165" t="s">
        <v>12</v>
      </c>
      <c r="I657" s="583"/>
      <c r="J657" s="583"/>
      <c r="K657" s="93"/>
      <c r="L657" s="93">
        <f t="shared" ca="1" si="275"/>
        <v>9400</v>
      </c>
      <c r="M657" s="93">
        <f t="shared" si="275"/>
        <v>0</v>
      </c>
      <c r="N657" s="93">
        <f t="shared" si="275"/>
        <v>0</v>
      </c>
      <c r="O657" s="93">
        <f t="shared" ca="1" si="273"/>
        <v>0</v>
      </c>
      <c r="P657" s="93">
        <f t="shared" si="274"/>
        <v>0</v>
      </c>
      <c r="Q657" s="568"/>
      <c r="R657" s="568"/>
      <c r="S657" s="568"/>
      <c r="T657" s="568"/>
      <c r="U657" s="568"/>
      <c r="V657" s="568"/>
      <c r="W657" s="568"/>
      <c r="X657" s="568"/>
      <c r="Y657" s="568"/>
      <c r="Z657" s="568"/>
    </row>
    <row r="658" spans="1:26" ht="18.75">
      <c r="A658" s="561"/>
      <c r="B658" s="538"/>
      <c r="C658" s="727"/>
      <c r="D658" s="570" t="s">
        <v>20</v>
      </c>
      <c r="E658" s="727"/>
      <c r="F658" s="727"/>
      <c r="G658" s="189"/>
      <c r="H658" s="161" t="s">
        <v>12</v>
      </c>
      <c r="I658" s="184"/>
      <c r="J658" s="184"/>
      <c r="K658" s="163"/>
      <c r="L658" s="465">
        <f t="shared" ref="L658:N658" ca="1" si="276">L659+L660</f>
        <v>9400</v>
      </c>
      <c r="M658" s="465">
        <f t="shared" si="276"/>
        <v>0</v>
      </c>
      <c r="N658" s="465">
        <f t="shared" si="276"/>
        <v>0</v>
      </c>
      <c r="O658" s="465">
        <f t="shared" ca="1" si="273"/>
        <v>0</v>
      </c>
      <c r="P658" s="465">
        <f t="shared" si="274"/>
        <v>0</v>
      </c>
      <c r="Q658" s="541"/>
      <c r="R658" s="541"/>
      <c r="S658" s="541"/>
      <c r="T658" s="541"/>
      <c r="U658" s="541"/>
      <c r="V658" s="541"/>
      <c r="W658" s="541"/>
      <c r="X658" s="541"/>
      <c r="Y658" s="541"/>
      <c r="Z658" s="541"/>
    </row>
    <row r="659" spans="1:26" ht="18.75" hidden="1">
      <c r="A659" s="563"/>
      <c r="B659" s="571"/>
      <c r="C659" s="723"/>
      <c r="D659" s="684"/>
      <c r="E659" s="723" t="s">
        <v>184</v>
      </c>
      <c r="F659" s="723"/>
      <c r="G659" s="567"/>
      <c r="H659" s="165" t="s">
        <v>12</v>
      </c>
      <c r="I659" s="583"/>
      <c r="J659" s="583"/>
      <c r="K659" s="93"/>
      <c r="L659" s="93">
        <v>0</v>
      </c>
      <c r="M659" s="93">
        <v>0</v>
      </c>
      <c r="N659" s="93">
        <v>0</v>
      </c>
      <c r="O659" s="93">
        <f t="shared" si="273"/>
        <v>0</v>
      </c>
      <c r="P659" s="93">
        <f t="shared" si="274"/>
        <v>0</v>
      </c>
      <c r="Q659" s="568"/>
      <c r="R659" s="568"/>
      <c r="S659" s="568"/>
      <c r="T659" s="568"/>
      <c r="U659" s="568"/>
      <c r="V659" s="568"/>
      <c r="W659" s="568"/>
      <c r="X659" s="568"/>
      <c r="Y659" s="568"/>
      <c r="Z659" s="568"/>
    </row>
    <row r="660" spans="1:26" ht="18.75" hidden="1">
      <c r="A660" s="563"/>
      <c r="B660" s="571"/>
      <c r="C660" s="723"/>
      <c r="D660" s="684"/>
      <c r="E660" s="723" t="s">
        <v>185</v>
      </c>
      <c r="F660" s="723"/>
      <c r="G660" s="567"/>
      <c r="H660" s="165" t="s">
        <v>12</v>
      </c>
      <c r="I660" s="583"/>
      <c r="J660" s="583"/>
      <c r="K660" s="93"/>
      <c r="L660" s="93">
        <f ca="1">IFERROR(__xludf.DUMMYFUNCTION("IMPORTRANGE(""https://docs.google.com/spreadsheets/d/1QqKyyYR6Q21VydFLVH3TRQUabQu_ym0Zz7PgGX0-kHA/edit?usp=sharing"",""แผน!HV22"")"),9400)</f>
        <v>9400</v>
      </c>
      <c r="M660" s="93">
        <v>0</v>
      </c>
      <c r="N660" s="93">
        <f>N661+N662+N663+N664</f>
        <v>0</v>
      </c>
      <c r="O660" s="93">
        <f t="shared" ca="1" si="273"/>
        <v>0</v>
      </c>
      <c r="P660" s="93">
        <f t="shared" si="274"/>
        <v>0</v>
      </c>
      <c r="Q660" s="568"/>
      <c r="R660" s="568"/>
      <c r="S660" s="568"/>
      <c r="T660" s="568"/>
      <c r="U660" s="568"/>
      <c r="V660" s="568"/>
      <c r="W660" s="568"/>
      <c r="X660" s="568"/>
      <c r="Y660" s="568"/>
      <c r="Z660" s="568"/>
    </row>
    <row r="661" spans="1:26" ht="18.75">
      <c r="A661" s="537"/>
      <c r="B661" s="538"/>
      <c r="C661" s="727"/>
      <c r="D661" s="727"/>
      <c r="E661" s="727"/>
      <c r="F661" s="727" t="s">
        <v>186</v>
      </c>
      <c r="G661" s="189"/>
      <c r="H661" s="161" t="s">
        <v>12</v>
      </c>
      <c r="I661" s="269"/>
      <c r="J661" s="269"/>
      <c r="K661" s="465"/>
      <c r="L661" s="465"/>
      <c r="M661" s="465"/>
      <c r="N661" s="789">
        <v>0</v>
      </c>
      <c r="O661" s="465"/>
      <c r="P661" s="465"/>
      <c r="Q661" s="541"/>
      <c r="R661" s="541"/>
      <c r="S661" s="541"/>
      <c r="T661" s="541"/>
      <c r="U661" s="541"/>
      <c r="V661" s="541"/>
      <c r="W661" s="541"/>
      <c r="X661" s="541"/>
      <c r="Y661" s="541"/>
      <c r="Z661" s="541"/>
    </row>
    <row r="662" spans="1:26" ht="18.75">
      <c r="A662" s="537"/>
      <c r="B662" s="538"/>
      <c r="C662" s="727"/>
      <c r="D662" s="727"/>
      <c r="E662" s="727"/>
      <c r="F662" s="727" t="s">
        <v>187</v>
      </c>
      <c r="G662" s="189"/>
      <c r="H662" s="161" t="s">
        <v>12</v>
      </c>
      <c r="I662" s="269"/>
      <c r="J662" s="269"/>
      <c r="K662" s="465"/>
      <c r="L662" s="465"/>
      <c r="M662" s="465"/>
      <c r="N662" s="789">
        <v>0</v>
      </c>
      <c r="O662" s="465"/>
      <c r="P662" s="465"/>
      <c r="Q662" s="541"/>
      <c r="R662" s="541"/>
      <c r="S662" s="541"/>
      <c r="T662" s="541"/>
      <c r="U662" s="541"/>
      <c r="V662" s="541"/>
      <c r="W662" s="541"/>
      <c r="X662" s="541"/>
      <c r="Y662" s="541"/>
      <c r="Z662" s="541"/>
    </row>
    <row r="663" spans="1:26" ht="18.75">
      <c r="A663" s="537"/>
      <c r="B663" s="538"/>
      <c r="C663" s="538"/>
      <c r="D663" s="727"/>
      <c r="E663" s="727"/>
      <c r="F663" s="727" t="s">
        <v>188</v>
      </c>
      <c r="G663" s="189"/>
      <c r="H663" s="161" t="s">
        <v>12</v>
      </c>
      <c r="I663" s="269"/>
      <c r="J663" s="269"/>
      <c r="K663" s="465"/>
      <c r="L663" s="465"/>
      <c r="M663" s="465"/>
      <c r="N663" s="789">
        <v>0</v>
      </c>
      <c r="O663" s="465"/>
      <c r="P663" s="465"/>
      <c r="Q663" s="541"/>
      <c r="R663" s="541"/>
      <c r="S663" s="541"/>
      <c r="T663" s="541"/>
      <c r="U663" s="541"/>
      <c r="V663" s="541"/>
      <c r="W663" s="541"/>
      <c r="X663" s="541"/>
      <c r="Y663" s="541"/>
      <c r="Z663" s="541"/>
    </row>
    <row r="664" spans="1:26" ht="18.75">
      <c r="A664" s="537"/>
      <c r="B664" s="538"/>
      <c r="C664" s="538"/>
      <c r="D664" s="538"/>
      <c r="E664" s="727"/>
      <c r="F664" s="727" t="s">
        <v>189</v>
      </c>
      <c r="G664" s="189"/>
      <c r="H664" s="161" t="s">
        <v>12</v>
      </c>
      <c r="I664" s="269"/>
      <c r="J664" s="269"/>
      <c r="K664" s="465"/>
      <c r="L664" s="465"/>
      <c r="M664" s="465"/>
      <c r="N664" s="789">
        <v>0</v>
      </c>
      <c r="O664" s="465"/>
      <c r="P664" s="465"/>
      <c r="Q664" s="541"/>
      <c r="R664" s="541"/>
      <c r="S664" s="541"/>
      <c r="T664" s="541"/>
      <c r="U664" s="541"/>
      <c r="V664" s="541"/>
      <c r="W664" s="541"/>
      <c r="X664" s="541"/>
      <c r="Y664" s="541"/>
      <c r="Z664" s="541"/>
    </row>
    <row r="665" spans="1:26" ht="18.75">
      <c r="A665" s="561"/>
      <c r="B665" s="538"/>
      <c r="C665" s="538"/>
      <c r="D665" s="570" t="s">
        <v>21</v>
      </c>
      <c r="E665" s="727"/>
      <c r="F665" s="727"/>
      <c r="G665" s="189"/>
      <c r="H665" s="168" t="s">
        <v>12</v>
      </c>
      <c r="I665" s="184"/>
      <c r="J665" s="184"/>
      <c r="K665" s="163"/>
      <c r="L665" s="465">
        <f t="shared" ref="L665:N665" si="277">L666+L667</f>
        <v>0</v>
      </c>
      <c r="M665" s="465">
        <f t="shared" si="277"/>
        <v>0</v>
      </c>
      <c r="N665" s="465">
        <f t="shared" si="277"/>
        <v>0</v>
      </c>
      <c r="O665" s="465">
        <f t="shared" ref="O665:O667" si="278">IF(L665&gt;0,N665*100/L665,0)</f>
        <v>0</v>
      </c>
      <c r="P665" s="465">
        <f t="shared" ref="P665:P667" si="279">IF(M665&gt;0,N665*100/M665,0)</f>
        <v>0</v>
      </c>
      <c r="Q665" s="541"/>
      <c r="R665" s="541"/>
      <c r="S665" s="541"/>
      <c r="T665" s="541"/>
      <c r="U665" s="541"/>
      <c r="V665" s="541"/>
      <c r="W665" s="541"/>
      <c r="X665" s="541"/>
      <c r="Y665" s="541"/>
      <c r="Z665" s="541"/>
    </row>
    <row r="666" spans="1:26" ht="18.75" hidden="1">
      <c r="A666" s="563"/>
      <c r="B666" s="571"/>
      <c r="C666" s="571"/>
      <c r="D666" s="571"/>
      <c r="E666" s="723" t="s">
        <v>18</v>
      </c>
      <c r="F666" s="723"/>
      <c r="G666" s="567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8"/>
        <v>0</v>
      </c>
      <c r="P666" s="93">
        <f t="shared" si="279"/>
        <v>0</v>
      </c>
      <c r="Q666" s="568"/>
      <c r="R666" s="568"/>
      <c r="S666" s="568"/>
      <c r="T666" s="568"/>
      <c r="U666" s="568"/>
      <c r="V666" s="568"/>
      <c r="W666" s="568"/>
      <c r="X666" s="568"/>
      <c r="Y666" s="568"/>
      <c r="Z666" s="568"/>
    </row>
    <row r="667" spans="1:26" ht="18.75" hidden="1">
      <c r="A667" s="563"/>
      <c r="B667" s="571"/>
      <c r="C667" s="571"/>
      <c r="D667" s="571"/>
      <c r="E667" s="723" t="s">
        <v>19</v>
      </c>
      <c r="F667" s="723"/>
      <c r="G667" s="567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8"/>
        <v>0</v>
      </c>
      <c r="P667" s="93">
        <f t="shared" si="279"/>
        <v>0</v>
      </c>
      <c r="Q667" s="568"/>
      <c r="R667" s="568"/>
      <c r="S667" s="568"/>
      <c r="T667" s="568"/>
      <c r="U667" s="568"/>
      <c r="V667" s="568"/>
      <c r="W667" s="568"/>
      <c r="X667" s="568"/>
      <c r="Y667" s="568"/>
      <c r="Z667" s="568"/>
    </row>
    <row r="668" spans="1:26" ht="19.5">
      <c r="A668" s="572"/>
      <c r="B668" s="584"/>
      <c r="C668" s="538" t="s">
        <v>16</v>
      </c>
      <c r="D668" s="850" t="s">
        <v>38</v>
      </c>
      <c r="E668" s="725"/>
      <c r="F668" s="725"/>
      <c r="G668" s="577"/>
      <c r="H668" s="726"/>
      <c r="I668" s="184"/>
      <c r="J668" s="184"/>
      <c r="K668" s="163"/>
      <c r="L668" s="163"/>
      <c r="M668" s="163"/>
      <c r="N668" s="163"/>
      <c r="O668" s="163"/>
      <c r="P668" s="163"/>
      <c r="Q668" s="541"/>
      <c r="R668" s="541"/>
      <c r="S668" s="541"/>
      <c r="T668" s="541"/>
      <c r="U668" s="541"/>
      <c r="V668" s="541"/>
      <c r="W668" s="541"/>
      <c r="X668" s="541"/>
      <c r="Y668" s="541"/>
      <c r="Z668" s="541"/>
    </row>
    <row r="669" spans="1:26" ht="19.5">
      <c r="A669" s="572"/>
      <c r="B669" s="584"/>
      <c r="C669" s="584"/>
      <c r="D669" s="584" t="s">
        <v>280</v>
      </c>
      <c r="E669" s="592"/>
      <c r="F669" s="592"/>
      <c r="G669" s="726"/>
      <c r="H669" s="731" t="s">
        <v>46</v>
      </c>
      <c r="I669" s="647">
        <f ca="1">IFERROR(__xludf.DUMMYFUNCTION("IMPORTRANGE(""https://docs.google.com/spreadsheets/d/1QqKyyYR6Q21VydFLVH3TRQUabQu_ym0Zz7PgGX0-kHA/edit?usp=sharing"",""แผน!IA22"")"),50)</f>
        <v>50</v>
      </c>
      <c r="J669" s="647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41"/>
      <c r="R669" s="541"/>
      <c r="S669" s="541"/>
      <c r="T669" s="541"/>
      <c r="U669" s="541"/>
      <c r="V669" s="541"/>
      <c r="W669" s="541"/>
      <c r="X669" s="541"/>
      <c r="Y669" s="541"/>
      <c r="Z669" s="541"/>
    </row>
    <row r="670" spans="1:26" ht="18.75">
      <c r="A670" s="572"/>
      <c r="B670" s="584"/>
      <c r="C670" s="584"/>
      <c r="D670" s="584"/>
      <c r="E670" s="592" t="s">
        <v>281</v>
      </c>
      <c r="F670" s="592"/>
      <c r="G670" s="726"/>
      <c r="H670" s="728" t="s">
        <v>69</v>
      </c>
      <c r="I670" s="269">
        <f ca="1">IFERROR(__xludf.DUMMYFUNCTION("IMPORTRANGE(""https://docs.google.com/spreadsheets/d/1QqKyyYR6Q21VydFLVH3TRQUabQu_ym0Zz7PgGX0-kHA/edit?usp=sharing"",""แผน!HZ22"")"),4)</f>
        <v>4</v>
      </c>
      <c r="J670" s="214">
        <v>0</v>
      </c>
      <c r="K670" s="465">
        <f ca="1">IF(I670&gt;0,(J670*100)/I670,0)</f>
        <v>0</v>
      </c>
      <c r="L670" s="163"/>
      <c r="M670" s="163"/>
      <c r="N670" s="163"/>
      <c r="O670" s="163"/>
      <c r="P670" s="163"/>
      <c r="Q670" s="541"/>
      <c r="R670" s="541"/>
      <c r="S670" s="541"/>
      <c r="T670" s="541"/>
      <c r="U670" s="541"/>
      <c r="V670" s="541"/>
      <c r="W670" s="541"/>
      <c r="X670" s="541"/>
      <c r="Y670" s="541"/>
      <c r="Z670" s="541"/>
    </row>
    <row r="671" spans="1:26" ht="18.75">
      <c r="A671" s="572"/>
      <c r="B671" s="584"/>
      <c r="C671" s="584"/>
      <c r="D671" s="584"/>
      <c r="E671" s="592" t="s">
        <v>282</v>
      </c>
      <c r="F671" s="592"/>
      <c r="G671" s="726"/>
      <c r="H671" s="728" t="s">
        <v>69</v>
      </c>
      <c r="I671" s="269">
        <f ca="1">IFERROR(__xludf.DUMMYFUNCTION("IMPORTRANGE(""https://docs.google.com/spreadsheets/d/1QqKyyYR6Q21VydFLVH3TRQUabQu_ym0Zz7PgGX0-kHA/edit?usp=sharing"",""แผน!HZ22"")"),4)</f>
        <v>4</v>
      </c>
      <c r="J671" s="214">
        <v>0</v>
      </c>
      <c r="K671" s="465">
        <f ca="1">IF(I$671&gt;0,J671*100/I$671,0)</f>
        <v>0</v>
      </c>
      <c r="L671" s="163"/>
      <c r="M671" s="163"/>
      <c r="N671" s="163"/>
      <c r="O671" s="163"/>
      <c r="P671" s="163"/>
      <c r="Q671" s="541"/>
      <c r="R671" s="541"/>
      <c r="S671" s="541"/>
      <c r="T671" s="541"/>
      <c r="U671" s="541"/>
      <c r="V671" s="541"/>
      <c r="W671" s="541"/>
      <c r="X671" s="541"/>
      <c r="Y671" s="541"/>
      <c r="Z671" s="541"/>
    </row>
    <row r="672" spans="1:26" ht="18.75">
      <c r="A672" s="572"/>
      <c r="B672" s="584"/>
      <c r="C672" s="584"/>
      <c r="D672" s="584"/>
      <c r="E672" s="592" t="s">
        <v>283</v>
      </c>
      <c r="F672" s="592"/>
      <c r="G672" s="726"/>
      <c r="H672" s="728" t="s">
        <v>46</v>
      </c>
      <c r="I672" s="269"/>
      <c r="J672" s="214">
        <v>0</v>
      </c>
      <c r="K672" s="465">
        <f t="shared" ref="K672:K675" ca="1" si="280">IF(I$669&gt;0,J672*100/I$669,0)</f>
        <v>0</v>
      </c>
      <c r="L672" s="163"/>
      <c r="M672" s="163"/>
      <c r="N672" s="163"/>
      <c r="O672" s="163"/>
      <c r="P672" s="163"/>
      <c r="Q672" s="541"/>
      <c r="R672" s="541"/>
      <c r="S672" s="541"/>
      <c r="T672" s="541"/>
      <c r="U672" s="541"/>
      <c r="V672" s="541"/>
      <c r="W672" s="541"/>
      <c r="X672" s="541"/>
      <c r="Y672" s="541"/>
      <c r="Z672" s="541"/>
    </row>
    <row r="673" spans="1:26" ht="18.75">
      <c r="A673" s="572"/>
      <c r="B673" s="584"/>
      <c r="C673" s="584"/>
      <c r="D673" s="584"/>
      <c r="E673" s="592" t="s">
        <v>284</v>
      </c>
      <c r="F673" s="592"/>
      <c r="G673" s="726"/>
      <c r="H673" s="728" t="s">
        <v>46</v>
      </c>
      <c r="I673" s="269"/>
      <c r="J673" s="214">
        <v>0</v>
      </c>
      <c r="K673" s="465">
        <f t="shared" ca="1" si="280"/>
        <v>0</v>
      </c>
      <c r="L673" s="163"/>
      <c r="M673" s="163"/>
      <c r="N673" s="163"/>
      <c r="O673" s="163"/>
      <c r="P673" s="163"/>
      <c r="Q673" s="541"/>
      <c r="R673" s="541"/>
      <c r="S673" s="541"/>
      <c r="T673" s="541"/>
      <c r="U673" s="541"/>
      <c r="V673" s="541"/>
      <c r="W673" s="541"/>
      <c r="X673" s="541"/>
      <c r="Y673" s="541"/>
      <c r="Z673" s="541"/>
    </row>
    <row r="674" spans="1:26" ht="18.75">
      <c r="A674" s="572"/>
      <c r="B674" s="584"/>
      <c r="C674" s="584"/>
      <c r="D674" s="584"/>
      <c r="E674" s="592" t="s">
        <v>285</v>
      </c>
      <c r="F674" s="592"/>
      <c r="G674" s="726"/>
      <c r="H674" s="728" t="s">
        <v>46</v>
      </c>
      <c r="I674" s="269"/>
      <c r="J674" s="214">
        <v>0</v>
      </c>
      <c r="K674" s="465">
        <f t="shared" ca="1" si="280"/>
        <v>0</v>
      </c>
      <c r="L674" s="163"/>
      <c r="M674" s="163"/>
      <c r="N674" s="163"/>
      <c r="O674" s="163"/>
      <c r="P674" s="163"/>
      <c r="Q674" s="541"/>
      <c r="R674" s="541"/>
      <c r="S674" s="541"/>
      <c r="T674" s="541"/>
      <c r="U674" s="541"/>
      <c r="V674" s="541"/>
      <c r="W674" s="541"/>
      <c r="X674" s="541"/>
      <c r="Y674" s="541"/>
      <c r="Z674" s="541"/>
    </row>
    <row r="675" spans="1:26" ht="19.5">
      <c r="A675" s="572"/>
      <c r="B675" s="584"/>
      <c r="C675" s="584"/>
      <c r="D675" s="584"/>
      <c r="E675" s="592" t="s">
        <v>286</v>
      </c>
      <c r="F675" s="592"/>
      <c r="G675" s="726"/>
      <c r="H675" s="728" t="s">
        <v>46</v>
      </c>
      <c r="I675" s="269"/>
      <c r="J675" s="647">
        <f>J676+J677</f>
        <v>0</v>
      </c>
      <c r="K675" s="195">
        <f t="shared" ca="1" si="280"/>
        <v>0</v>
      </c>
      <c r="L675" s="163"/>
      <c r="M675" s="163"/>
      <c r="N675" s="163"/>
      <c r="O675" s="163"/>
      <c r="P675" s="163"/>
      <c r="Q675" s="541"/>
      <c r="R675" s="541"/>
      <c r="S675" s="541"/>
      <c r="T675" s="541"/>
      <c r="U675" s="541"/>
      <c r="V675" s="541"/>
      <c r="W675" s="541"/>
      <c r="X675" s="541"/>
      <c r="Y675" s="541"/>
      <c r="Z675" s="541"/>
    </row>
    <row r="676" spans="1:26" ht="18.75">
      <c r="A676" s="572"/>
      <c r="B676" s="584"/>
      <c r="C676" s="584"/>
      <c r="D676" s="584"/>
      <c r="E676" s="592"/>
      <c r="F676" s="592" t="s">
        <v>287</v>
      </c>
      <c r="G676" s="726"/>
      <c r="H676" s="728" t="s">
        <v>46</v>
      </c>
      <c r="I676" s="269"/>
      <c r="J676" s="214">
        <v>0</v>
      </c>
      <c r="K676" s="465"/>
      <c r="L676" s="163"/>
      <c r="M676" s="163"/>
      <c r="N676" s="163"/>
      <c r="O676" s="163"/>
      <c r="P676" s="163"/>
      <c r="Q676" s="541"/>
      <c r="R676" s="541"/>
      <c r="S676" s="541"/>
      <c r="T676" s="541"/>
      <c r="U676" s="541"/>
      <c r="V676" s="541"/>
      <c r="W676" s="541"/>
      <c r="X676" s="541"/>
      <c r="Y676" s="541"/>
      <c r="Z676" s="541"/>
    </row>
    <row r="677" spans="1:26" ht="18.75">
      <c r="A677" s="572"/>
      <c r="B677" s="584"/>
      <c r="C677" s="584"/>
      <c r="D677" s="584"/>
      <c r="E677" s="592"/>
      <c r="F677" s="592" t="s">
        <v>288</v>
      </c>
      <c r="G677" s="726"/>
      <c r="H677" s="728" t="s">
        <v>46</v>
      </c>
      <c r="I677" s="269"/>
      <c r="J677" s="214">
        <v>0</v>
      </c>
      <c r="K677" s="465"/>
      <c r="L677" s="163"/>
      <c r="M677" s="163"/>
      <c r="N677" s="163"/>
      <c r="O677" s="163"/>
      <c r="P677" s="163"/>
      <c r="Q677" s="541"/>
      <c r="R677" s="541"/>
      <c r="S677" s="541"/>
      <c r="T677" s="541"/>
      <c r="U677" s="541"/>
      <c r="V677" s="541"/>
      <c r="W677" s="541"/>
      <c r="X677" s="541"/>
      <c r="Y677" s="541"/>
      <c r="Z677" s="541"/>
    </row>
    <row r="678" spans="1:26" ht="19.5">
      <c r="A678" s="572"/>
      <c r="B678" s="584"/>
      <c r="C678" s="584"/>
      <c r="D678" s="584" t="s">
        <v>289</v>
      </c>
      <c r="E678" s="592"/>
      <c r="F678" s="592"/>
      <c r="G678" s="726"/>
      <c r="H678" s="728" t="s">
        <v>46</v>
      </c>
      <c r="I678" s="647">
        <f ca="1">IFERROR(__xludf.DUMMYFUNCTION("IMPORTRANGE(""https://docs.google.com/spreadsheets/d/1QqKyyYR6Q21VydFLVH3TRQUabQu_ym0Zz7PgGX0-kHA/edit?usp=sharing"",""แผน!IB22"")"),0)</f>
        <v>0</v>
      </c>
      <c r="J678" s="647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41"/>
      <c r="R678" s="541"/>
      <c r="S678" s="541"/>
      <c r="T678" s="541"/>
      <c r="U678" s="541"/>
      <c r="V678" s="541"/>
      <c r="W678" s="541"/>
      <c r="X678" s="541"/>
      <c r="Y678" s="541"/>
      <c r="Z678" s="541"/>
    </row>
    <row r="679" spans="1:26" ht="18.75">
      <c r="A679" s="572"/>
      <c r="B679" s="584"/>
      <c r="C679" s="584"/>
      <c r="D679" s="584"/>
      <c r="E679" s="592" t="s">
        <v>290</v>
      </c>
      <c r="F679" s="592"/>
      <c r="G679" s="726"/>
      <c r="H679" s="728" t="s">
        <v>46</v>
      </c>
      <c r="I679" s="269"/>
      <c r="J679" s="269">
        <f>J680+J681</f>
        <v>0</v>
      </c>
      <c r="K679" s="465"/>
      <c r="L679" s="163"/>
      <c r="M679" s="163"/>
      <c r="N679" s="163"/>
      <c r="O679" s="163"/>
      <c r="P679" s="163"/>
      <c r="Q679" s="541"/>
      <c r="R679" s="541"/>
      <c r="S679" s="541"/>
      <c r="T679" s="541"/>
      <c r="U679" s="541"/>
      <c r="V679" s="541"/>
      <c r="W679" s="541"/>
      <c r="X679" s="541"/>
      <c r="Y679" s="541"/>
      <c r="Z679" s="541"/>
    </row>
    <row r="680" spans="1:26" ht="18.75">
      <c r="A680" s="572"/>
      <c r="B680" s="584"/>
      <c r="C680" s="584"/>
      <c r="D680" s="584"/>
      <c r="E680" s="592"/>
      <c r="F680" s="592" t="s">
        <v>287</v>
      </c>
      <c r="G680" s="726"/>
      <c r="H680" s="728" t="s">
        <v>46</v>
      </c>
      <c r="I680" s="269"/>
      <c r="J680" s="214">
        <v>0</v>
      </c>
      <c r="K680" s="465"/>
      <c r="L680" s="163"/>
      <c r="M680" s="163"/>
      <c r="N680" s="163"/>
      <c r="O680" s="163"/>
      <c r="P680" s="163"/>
      <c r="Q680" s="541"/>
      <c r="R680" s="541"/>
      <c r="S680" s="541"/>
      <c r="T680" s="541"/>
      <c r="U680" s="541"/>
      <c r="V680" s="541"/>
      <c r="W680" s="541"/>
      <c r="X680" s="541"/>
      <c r="Y680" s="541"/>
      <c r="Z680" s="541"/>
    </row>
    <row r="681" spans="1:26" ht="18.75">
      <c r="A681" s="572"/>
      <c r="B681" s="584"/>
      <c r="C681" s="584"/>
      <c r="D681" s="584"/>
      <c r="E681" s="592"/>
      <c r="F681" s="592" t="s">
        <v>288</v>
      </c>
      <c r="G681" s="726"/>
      <c r="H681" s="728" t="s">
        <v>46</v>
      </c>
      <c r="I681" s="269"/>
      <c r="J681" s="214">
        <v>0</v>
      </c>
      <c r="K681" s="465"/>
      <c r="L681" s="163"/>
      <c r="M681" s="163"/>
      <c r="N681" s="163"/>
      <c r="O681" s="163"/>
      <c r="P681" s="163"/>
      <c r="Q681" s="541"/>
      <c r="R681" s="541"/>
      <c r="S681" s="541"/>
      <c r="T681" s="541"/>
      <c r="U681" s="541"/>
      <c r="V681" s="541"/>
      <c r="W681" s="541"/>
      <c r="X681" s="541"/>
      <c r="Y681" s="541"/>
      <c r="Z681" s="541"/>
    </row>
    <row r="682" spans="1:26" ht="18.75">
      <c r="A682" s="572"/>
      <c r="B682" s="584"/>
      <c r="C682" s="584"/>
      <c r="D682" s="584"/>
      <c r="E682" s="592" t="s">
        <v>291</v>
      </c>
      <c r="F682" s="592"/>
      <c r="G682" s="726"/>
      <c r="H682" s="728" t="s">
        <v>46</v>
      </c>
      <c r="I682" s="269"/>
      <c r="J682" s="214">
        <v>0</v>
      </c>
      <c r="K682" s="465"/>
      <c r="L682" s="163"/>
      <c r="M682" s="163"/>
      <c r="N682" s="163"/>
      <c r="O682" s="163"/>
      <c r="P682" s="163"/>
      <c r="Q682" s="541"/>
      <c r="R682" s="541"/>
      <c r="S682" s="541"/>
      <c r="T682" s="541"/>
      <c r="U682" s="541"/>
      <c r="V682" s="541"/>
      <c r="W682" s="541"/>
      <c r="X682" s="541"/>
      <c r="Y682" s="541"/>
      <c r="Z682" s="541"/>
    </row>
    <row r="683" spans="1:26" ht="18.75">
      <c r="A683" s="572"/>
      <c r="B683" s="584"/>
      <c r="C683" s="584"/>
      <c r="D683" s="584"/>
      <c r="E683" s="592"/>
      <c r="F683" s="592" t="s">
        <v>292</v>
      </c>
      <c r="G683" s="726"/>
      <c r="H683" s="728" t="s">
        <v>46</v>
      </c>
      <c r="I683" s="269"/>
      <c r="J683" s="214">
        <v>0</v>
      </c>
      <c r="K683" s="465"/>
      <c r="L683" s="163"/>
      <c r="M683" s="163"/>
      <c r="N683" s="163"/>
      <c r="O683" s="163"/>
      <c r="P683" s="163"/>
      <c r="Q683" s="541"/>
      <c r="R683" s="541"/>
      <c r="S683" s="541"/>
      <c r="T683" s="541"/>
      <c r="U683" s="541"/>
      <c r="V683" s="541"/>
      <c r="W683" s="541"/>
      <c r="X683" s="541"/>
      <c r="Y683" s="541"/>
      <c r="Z683" s="541"/>
    </row>
    <row r="684" spans="1:26" ht="19.5" hidden="1">
      <c r="A684" s="717"/>
      <c r="B684" s="718" t="s">
        <v>293</v>
      </c>
      <c r="C684" s="717"/>
      <c r="D684" s="717"/>
      <c r="E684" s="717"/>
      <c r="F684" s="717"/>
      <c r="G684" s="719"/>
      <c r="H684" s="719"/>
      <c r="I684" s="720"/>
      <c r="J684" s="720"/>
      <c r="K684" s="721"/>
      <c r="L684" s="721"/>
      <c r="M684" s="721"/>
      <c r="N684" s="721"/>
      <c r="O684" s="721"/>
      <c r="P684" s="721"/>
      <c r="Q684" s="541"/>
      <c r="R684" s="541"/>
      <c r="S684" s="541"/>
      <c r="T684" s="541"/>
      <c r="U684" s="541"/>
      <c r="V684" s="541"/>
      <c r="W684" s="541"/>
      <c r="X684" s="541"/>
      <c r="Y684" s="541"/>
      <c r="Z684" s="541"/>
    </row>
    <row r="685" spans="1:26" ht="19.5" hidden="1">
      <c r="A685" s="561"/>
      <c r="B685" s="727"/>
      <c r="C685" s="727" t="s">
        <v>16</v>
      </c>
      <c r="D685" s="811" t="s">
        <v>17</v>
      </c>
      <c r="E685" s="805"/>
      <c r="F685" s="805"/>
      <c r="G685" s="189"/>
      <c r="H685" s="562" t="s">
        <v>12</v>
      </c>
      <c r="I685" s="269"/>
      <c r="J685" s="269"/>
      <c r="K685" s="465"/>
      <c r="L685" s="195">
        <f t="shared" ref="L685:N685" ca="1" si="281">L686+L687</f>
        <v>0</v>
      </c>
      <c r="M685" s="195">
        <f t="shared" si="281"/>
        <v>0</v>
      </c>
      <c r="N685" s="195">
        <f t="shared" si="281"/>
        <v>0</v>
      </c>
      <c r="O685" s="195">
        <f t="shared" ref="O685:O688" ca="1" si="282">IF(L685&gt;0,N685*100/L685,0)</f>
        <v>0</v>
      </c>
      <c r="P685" s="195">
        <f t="shared" ref="P685:P688" si="283">IF(M685&gt;0,N685*100/M685,0)</f>
        <v>0</v>
      </c>
      <c r="Q685" s="541"/>
      <c r="R685" s="541"/>
      <c r="S685" s="541"/>
      <c r="T685" s="541"/>
      <c r="U685" s="541"/>
      <c r="V685" s="541"/>
      <c r="W685" s="541"/>
      <c r="X685" s="541"/>
      <c r="Y685" s="541"/>
      <c r="Z685" s="541"/>
    </row>
    <row r="686" spans="1:26" ht="18.75" hidden="1">
      <c r="A686" s="563"/>
      <c r="B686" s="723"/>
      <c r="C686" s="723"/>
      <c r="D686" s="684"/>
      <c r="E686" s="723" t="s">
        <v>184</v>
      </c>
      <c r="F686" s="723"/>
      <c r="G686" s="567"/>
      <c r="H686" s="165" t="s">
        <v>12</v>
      </c>
      <c r="I686" s="583"/>
      <c r="J686" s="583"/>
      <c r="K686" s="93"/>
      <c r="L686" s="93">
        <f t="shared" ref="L686:N687" si="284">L689+L696</f>
        <v>0</v>
      </c>
      <c r="M686" s="93">
        <f t="shared" si="284"/>
        <v>0</v>
      </c>
      <c r="N686" s="93">
        <f t="shared" si="284"/>
        <v>0</v>
      </c>
      <c r="O686" s="93">
        <f t="shared" si="282"/>
        <v>0</v>
      </c>
      <c r="P686" s="93">
        <f t="shared" si="283"/>
        <v>0</v>
      </c>
      <c r="Q686" s="568"/>
      <c r="R686" s="568"/>
      <c r="S686" s="568"/>
      <c r="T686" s="568"/>
      <c r="U686" s="568"/>
      <c r="V686" s="568"/>
      <c r="W686" s="568"/>
      <c r="X686" s="568"/>
      <c r="Y686" s="568"/>
      <c r="Z686" s="568"/>
    </row>
    <row r="687" spans="1:26" ht="18.75" hidden="1">
      <c r="A687" s="563"/>
      <c r="B687" s="571"/>
      <c r="C687" s="723"/>
      <c r="D687" s="684"/>
      <c r="E687" s="723" t="s">
        <v>185</v>
      </c>
      <c r="F687" s="723"/>
      <c r="G687" s="567"/>
      <c r="H687" s="165" t="s">
        <v>12</v>
      </c>
      <c r="I687" s="583"/>
      <c r="J687" s="583"/>
      <c r="K687" s="93"/>
      <c r="L687" s="93">
        <f t="shared" ca="1" si="284"/>
        <v>0</v>
      </c>
      <c r="M687" s="93">
        <f t="shared" si="284"/>
        <v>0</v>
      </c>
      <c r="N687" s="93">
        <f t="shared" si="284"/>
        <v>0</v>
      </c>
      <c r="O687" s="93">
        <f t="shared" ca="1" si="282"/>
        <v>0</v>
      </c>
      <c r="P687" s="93">
        <f t="shared" si="283"/>
        <v>0</v>
      </c>
      <c r="Q687" s="568"/>
      <c r="R687" s="568"/>
      <c r="S687" s="568"/>
      <c r="T687" s="568"/>
      <c r="U687" s="568"/>
      <c r="V687" s="568"/>
      <c r="W687" s="568"/>
      <c r="X687" s="568"/>
      <c r="Y687" s="568"/>
      <c r="Z687" s="568"/>
    </row>
    <row r="688" spans="1:26" ht="18.75" hidden="1">
      <c r="A688" s="561"/>
      <c r="B688" s="538"/>
      <c r="C688" s="727"/>
      <c r="D688" s="570" t="s">
        <v>20</v>
      </c>
      <c r="E688" s="727"/>
      <c r="F688" s="727"/>
      <c r="G688" s="189"/>
      <c r="H688" s="161" t="s">
        <v>12</v>
      </c>
      <c r="I688" s="184"/>
      <c r="J688" s="184"/>
      <c r="K688" s="163"/>
      <c r="L688" s="465">
        <f t="shared" ref="L688:N688" ca="1" si="285">L689+L690</f>
        <v>0</v>
      </c>
      <c r="M688" s="465">
        <f t="shared" si="285"/>
        <v>0</v>
      </c>
      <c r="N688" s="465">
        <f t="shared" si="285"/>
        <v>0</v>
      </c>
      <c r="O688" s="465">
        <f t="shared" ca="1" si="282"/>
        <v>0</v>
      </c>
      <c r="P688" s="465">
        <f t="shared" si="283"/>
        <v>0</v>
      </c>
      <c r="Q688" s="541"/>
      <c r="R688" s="541"/>
      <c r="S688" s="541"/>
      <c r="T688" s="541"/>
      <c r="U688" s="541"/>
      <c r="V688" s="541"/>
      <c r="W688" s="541"/>
      <c r="X688" s="541"/>
      <c r="Y688" s="541"/>
      <c r="Z688" s="541"/>
    </row>
    <row r="689" spans="1:26" ht="18.75" hidden="1">
      <c r="A689" s="563"/>
      <c r="B689" s="571"/>
      <c r="C689" s="723"/>
      <c r="D689" s="684"/>
      <c r="E689" s="723" t="s">
        <v>184</v>
      </c>
      <c r="F689" s="723"/>
      <c r="G689" s="567"/>
      <c r="H689" s="165" t="s">
        <v>12</v>
      </c>
      <c r="I689" s="583"/>
      <c r="J689" s="583"/>
      <c r="K689" s="93"/>
      <c r="L689" s="93">
        <v>0</v>
      </c>
      <c r="M689" s="93">
        <v>0</v>
      </c>
      <c r="N689" s="93">
        <v>0</v>
      </c>
      <c r="O689" s="93"/>
      <c r="P689" s="93"/>
      <c r="Q689" s="568"/>
      <c r="R689" s="568"/>
      <c r="S689" s="568"/>
      <c r="T689" s="568"/>
      <c r="U689" s="568"/>
      <c r="V689" s="568"/>
      <c r="W689" s="568"/>
      <c r="X689" s="568"/>
      <c r="Y689" s="568"/>
      <c r="Z689" s="568"/>
    </row>
    <row r="690" spans="1:26" ht="18.75" hidden="1">
      <c r="A690" s="563"/>
      <c r="B690" s="571"/>
      <c r="C690" s="723"/>
      <c r="D690" s="684"/>
      <c r="E690" s="723" t="s">
        <v>185</v>
      </c>
      <c r="F690" s="723"/>
      <c r="G690" s="567"/>
      <c r="H690" s="165" t="s">
        <v>12</v>
      </c>
      <c r="I690" s="583"/>
      <c r="J690" s="583"/>
      <c r="K690" s="93"/>
      <c r="L690" s="93">
        <f ca="1">IFERROR(__xludf.DUMMYFUNCTION("IMPORTRANGE(""https://docs.google.com/spreadsheets/d/1QqKyyYR6Q21VydFLVH3TRQUabQu_ym0Zz7PgGX0-kHA/edit?usp=sharing"",""แผน!HW22"")"),0)</f>
        <v>0</v>
      </c>
      <c r="M690" s="93">
        <v>0</v>
      </c>
      <c r="N690" s="93">
        <f>N691+N692+N693+N694</f>
        <v>0</v>
      </c>
      <c r="O690" s="93">
        <f ca="1">IF(L690&gt;0,N690*100/L690,0)</f>
        <v>0</v>
      </c>
      <c r="P690" s="93">
        <f>IF(M690&gt;0,N690*100/M690,0)</f>
        <v>0</v>
      </c>
      <c r="Q690" s="568"/>
      <c r="R690" s="568"/>
      <c r="S690" s="568"/>
      <c r="T690" s="568"/>
      <c r="U690" s="568"/>
      <c r="V690" s="568"/>
      <c r="W690" s="568"/>
      <c r="X690" s="568"/>
      <c r="Y690" s="568"/>
      <c r="Z690" s="568"/>
    </row>
    <row r="691" spans="1:26" ht="18.75" hidden="1">
      <c r="A691" s="537"/>
      <c r="B691" s="538"/>
      <c r="C691" s="727"/>
      <c r="D691" s="727"/>
      <c r="E691" s="727"/>
      <c r="F691" s="727" t="s">
        <v>186</v>
      </c>
      <c r="G691" s="189"/>
      <c r="H691" s="161" t="s">
        <v>12</v>
      </c>
      <c r="I691" s="269"/>
      <c r="J691" s="269"/>
      <c r="K691" s="465"/>
      <c r="L691" s="465"/>
      <c r="M691" s="465"/>
      <c r="N691" s="789">
        <v>0</v>
      </c>
      <c r="O691" s="465"/>
      <c r="P691" s="465"/>
      <c r="Q691" s="541"/>
      <c r="R691" s="541"/>
      <c r="S691" s="541"/>
      <c r="T691" s="541"/>
      <c r="U691" s="541"/>
      <c r="V691" s="541"/>
      <c r="W691" s="541"/>
      <c r="X691" s="541"/>
      <c r="Y691" s="541"/>
      <c r="Z691" s="541"/>
    </row>
    <row r="692" spans="1:26" ht="18.75" hidden="1">
      <c r="A692" s="537"/>
      <c r="B692" s="538"/>
      <c r="C692" s="727"/>
      <c r="D692" s="727"/>
      <c r="E692" s="727"/>
      <c r="F692" s="727" t="s">
        <v>187</v>
      </c>
      <c r="G692" s="189"/>
      <c r="H692" s="161" t="s">
        <v>12</v>
      </c>
      <c r="I692" s="269"/>
      <c r="J692" s="269"/>
      <c r="K692" s="465"/>
      <c r="L692" s="465"/>
      <c r="M692" s="465"/>
      <c r="N692" s="789">
        <v>0</v>
      </c>
      <c r="O692" s="465"/>
      <c r="P692" s="465"/>
      <c r="Q692" s="541"/>
      <c r="R692" s="541"/>
      <c r="S692" s="541"/>
      <c r="T692" s="541"/>
      <c r="U692" s="541"/>
      <c r="V692" s="541"/>
      <c r="W692" s="541"/>
      <c r="X692" s="541"/>
      <c r="Y692" s="541"/>
      <c r="Z692" s="541"/>
    </row>
    <row r="693" spans="1:26" ht="18.75" hidden="1">
      <c r="A693" s="537"/>
      <c r="B693" s="538"/>
      <c r="C693" s="727"/>
      <c r="D693" s="727"/>
      <c r="E693" s="727"/>
      <c r="F693" s="727" t="s">
        <v>188</v>
      </c>
      <c r="G693" s="189"/>
      <c r="H693" s="161" t="s">
        <v>12</v>
      </c>
      <c r="I693" s="269"/>
      <c r="J693" s="269"/>
      <c r="K693" s="465"/>
      <c r="L693" s="465"/>
      <c r="M693" s="465"/>
      <c r="N693" s="789">
        <v>0</v>
      </c>
      <c r="O693" s="465"/>
      <c r="P693" s="465"/>
      <c r="Q693" s="541"/>
      <c r="R693" s="541"/>
      <c r="S693" s="541"/>
      <c r="T693" s="541"/>
      <c r="U693" s="541"/>
      <c r="V693" s="541"/>
      <c r="W693" s="541"/>
      <c r="X693" s="541"/>
      <c r="Y693" s="541"/>
      <c r="Z693" s="541"/>
    </row>
    <row r="694" spans="1:26" ht="18.75" hidden="1">
      <c r="A694" s="537"/>
      <c r="B694" s="538"/>
      <c r="C694" s="727"/>
      <c r="D694" s="727"/>
      <c r="E694" s="727"/>
      <c r="F694" s="727" t="s">
        <v>189</v>
      </c>
      <c r="G694" s="189"/>
      <c r="H694" s="161" t="s">
        <v>12</v>
      </c>
      <c r="I694" s="269"/>
      <c r="J694" s="269"/>
      <c r="K694" s="465"/>
      <c r="L694" s="465"/>
      <c r="M694" s="465"/>
      <c r="N694" s="789">
        <v>0</v>
      </c>
      <c r="O694" s="465"/>
      <c r="P694" s="465"/>
      <c r="Q694" s="541"/>
      <c r="R694" s="541"/>
      <c r="S694" s="541"/>
      <c r="T694" s="541"/>
      <c r="U694" s="541"/>
      <c r="V694" s="541"/>
      <c r="W694" s="541"/>
      <c r="X694" s="541"/>
      <c r="Y694" s="541"/>
      <c r="Z694" s="541"/>
    </row>
    <row r="695" spans="1:26" ht="18.75" hidden="1">
      <c r="A695" s="561"/>
      <c r="B695" s="538"/>
      <c r="C695" s="727"/>
      <c r="D695" s="570" t="s">
        <v>21</v>
      </c>
      <c r="E695" s="727"/>
      <c r="F695" s="727"/>
      <c r="G695" s="189"/>
      <c r="H695" s="168" t="s">
        <v>12</v>
      </c>
      <c r="I695" s="184"/>
      <c r="J695" s="184"/>
      <c r="K695" s="163"/>
      <c r="L695" s="465">
        <f t="shared" ref="L695:N695" si="286">L696+L697</f>
        <v>0</v>
      </c>
      <c r="M695" s="465">
        <f t="shared" si="286"/>
        <v>0</v>
      </c>
      <c r="N695" s="465">
        <f t="shared" si="286"/>
        <v>0</v>
      </c>
      <c r="O695" s="465">
        <f t="shared" ref="O695:O697" si="287">IF(L695&gt;0,N695*100/L695,0)</f>
        <v>0</v>
      </c>
      <c r="P695" s="465">
        <f t="shared" ref="P695:P697" si="288">IF(M695&gt;0,N695*100/M695,0)</f>
        <v>0</v>
      </c>
      <c r="Q695" s="541"/>
      <c r="R695" s="541"/>
      <c r="S695" s="541"/>
      <c r="T695" s="541"/>
      <c r="U695" s="541"/>
      <c r="V695" s="541"/>
      <c r="W695" s="541"/>
      <c r="X695" s="541"/>
      <c r="Y695" s="541"/>
      <c r="Z695" s="541"/>
    </row>
    <row r="696" spans="1:26" ht="18.75" hidden="1">
      <c r="A696" s="563"/>
      <c r="B696" s="571"/>
      <c r="C696" s="723"/>
      <c r="D696" s="723"/>
      <c r="E696" s="723" t="s">
        <v>18</v>
      </c>
      <c r="F696" s="723"/>
      <c r="G696" s="567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7"/>
        <v>0</v>
      </c>
      <c r="P696" s="93">
        <f t="shared" si="288"/>
        <v>0</v>
      </c>
      <c r="Q696" s="568"/>
      <c r="R696" s="568"/>
      <c r="S696" s="568"/>
      <c r="T696" s="568"/>
      <c r="U696" s="568"/>
      <c r="V696" s="568"/>
      <c r="W696" s="568"/>
      <c r="X696" s="568"/>
      <c r="Y696" s="568"/>
      <c r="Z696" s="568"/>
    </row>
    <row r="697" spans="1:26" ht="18.75" hidden="1">
      <c r="A697" s="563"/>
      <c r="B697" s="571"/>
      <c r="C697" s="723"/>
      <c r="D697" s="723"/>
      <c r="E697" s="723" t="s">
        <v>19</v>
      </c>
      <c r="F697" s="723"/>
      <c r="G697" s="567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7"/>
        <v>0</v>
      </c>
      <c r="P697" s="93">
        <f t="shared" si="288"/>
        <v>0</v>
      </c>
      <c r="Q697" s="568"/>
      <c r="R697" s="568"/>
      <c r="S697" s="568"/>
      <c r="T697" s="568"/>
      <c r="U697" s="568"/>
      <c r="V697" s="568"/>
      <c r="W697" s="568"/>
      <c r="X697" s="568"/>
      <c r="Y697" s="568"/>
      <c r="Z697" s="568"/>
    </row>
    <row r="698" spans="1:26" ht="19.5" hidden="1">
      <c r="A698" s="572"/>
      <c r="B698" s="584"/>
      <c r="C698" s="727" t="s">
        <v>16</v>
      </c>
      <c r="D698" s="855" t="s">
        <v>38</v>
      </c>
      <c r="E698" s="725"/>
      <c r="F698" s="725"/>
      <c r="G698" s="577"/>
      <c r="H698" s="726"/>
      <c r="I698" s="184"/>
      <c r="J698" s="184"/>
      <c r="K698" s="163"/>
      <c r="L698" s="163"/>
      <c r="M698" s="163"/>
      <c r="N698" s="163"/>
      <c r="O698" s="163"/>
      <c r="P698" s="163"/>
      <c r="Q698" s="541"/>
      <c r="R698" s="541"/>
      <c r="S698" s="541"/>
      <c r="T698" s="541"/>
      <c r="U698" s="541"/>
      <c r="V698" s="541"/>
      <c r="W698" s="541"/>
      <c r="X698" s="541"/>
      <c r="Y698" s="541"/>
      <c r="Z698" s="541"/>
    </row>
    <row r="699" spans="1:26" ht="18.75" hidden="1">
      <c r="A699" s="708"/>
      <c r="B699" s="727"/>
      <c r="C699" s="727"/>
      <c r="D699" s="727" t="s">
        <v>294</v>
      </c>
      <c r="E699" s="727"/>
      <c r="F699" s="727"/>
      <c r="G699" s="189"/>
      <c r="H699" s="728" t="s">
        <v>46</v>
      </c>
      <c r="I699" s="729">
        <f ca="1">IFERROR(__xludf.DUMMYFUNCTION("IMPORTRANGE(""https://docs.google.com/spreadsheets/d/1QqKyyYR6Q21VydFLVH3TRQUabQu_ym0Zz7PgGX0-kHA/edit?usp=sharing"",""แผน!IC22"")"),0)</f>
        <v>0</v>
      </c>
      <c r="J699" s="269">
        <f ca="1">IFERROR(__xludf.DUMMYFUNCTION("IMPORTRANGE(""https://docs.google.com/spreadsheets/d/1XWAQStnk-4SwqDmLtmXYiTMKHgktTP8We1SCoS47DrQ/edit?usp=sharing"",""จัดที่ดิน!BB22"")"),0)</f>
        <v>0</v>
      </c>
      <c r="K699" s="465">
        <f t="shared" ref="K699:K701" ca="1" si="289">IF(I699&gt;0,J699*100/I699,0)</f>
        <v>0</v>
      </c>
      <c r="L699" s="465"/>
      <c r="M699" s="189"/>
      <c r="N699" s="730"/>
      <c r="O699" s="465"/>
      <c r="P699" s="465"/>
      <c r="Q699" s="541"/>
      <c r="R699" s="541"/>
      <c r="S699" s="541"/>
      <c r="T699" s="541"/>
      <c r="U699" s="541"/>
      <c r="V699" s="541"/>
      <c r="W699" s="541"/>
      <c r="X699" s="541"/>
      <c r="Y699" s="541"/>
      <c r="Z699" s="541"/>
    </row>
    <row r="700" spans="1:26" ht="18.75" hidden="1">
      <c r="A700" s="708"/>
      <c r="B700" s="727"/>
      <c r="C700" s="727"/>
      <c r="D700" s="727" t="s">
        <v>295</v>
      </c>
      <c r="E700" s="727"/>
      <c r="F700" s="727"/>
      <c r="G700" s="189"/>
      <c r="H700" s="728" t="s">
        <v>35</v>
      </c>
      <c r="I700" s="729">
        <f ca="1">IFERROR(__xludf.DUMMYFUNCTION("IMPORTRANGE(""https://docs.google.com/spreadsheets/d/1QqKyyYR6Q21VydFLVH3TRQUabQu_ym0Zz7PgGX0-kHA/edit?usp=sharing"",""แผน!ID22"")"),0)</f>
        <v>0</v>
      </c>
      <c r="J700" s="269">
        <f ca="1">IFERROR(__xludf.DUMMYFUNCTION("IMPORTRANGE(""https://docs.google.com/spreadsheets/d/1XWAQStnk-4SwqDmLtmXYiTMKHgktTP8We1SCoS47DrQ/edit?usp=sharing"",""จัดที่ดิน!BD22"")"),0)</f>
        <v>0</v>
      </c>
      <c r="K700" s="465">
        <f t="shared" ca="1" si="289"/>
        <v>0</v>
      </c>
      <c r="L700" s="465"/>
      <c r="M700" s="189"/>
      <c r="N700" s="730"/>
      <c r="O700" s="465"/>
      <c r="P700" s="465"/>
      <c r="Q700" s="541"/>
      <c r="R700" s="541"/>
      <c r="S700" s="541"/>
      <c r="T700" s="541"/>
      <c r="U700" s="541"/>
      <c r="V700" s="541"/>
      <c r="W700" s="541"/>
      <c r="X700" s="541"/>
      <c r="Y700" s="541"/>
      <c r="Z700" s="541"/>
    </row>
    <row r="701" spans="1:26" ht="19.5" hidden="1">
      <c r="A701" s="708"/>
      <c r="B701" s="727"/>
      <c r="C701" s="727"/>
      <c r="D701" s="727" t="s">
        <v>296</v>
      </c>
      <c r="E701" s="727"/>
      <c r="F701" s="727"/>
      <c r="G701" s="189"/>
      <c r="H701" s="731" t="s">
        <v>46</v>
      </c>
      <c r="I701" s="732">
        <f ca="1">IFERROR(__xludf.DUMMYFUNCTION("IMPORTRANGE(""https://docs.google.com/spreadsheets/d/1QqKyyYR6Q21VydFLVH3TRQUabQu_ym0Zz7PgGX0-kHA/edit?usp=sharing"",""แผน!IE22"")"),0)</f>
        <v>0</v>
      </c>
      <c r="J701" s="647">
        <f>J704+J707</f>
        <v>0</v>
      </c>
      <c r="K701" s="195">
        <f t="shared" ca="1" si="289"/>
        <v>0</v>
      </c>
      <c r="L701" s="465"/>
      <c r="M701" s="189"/>
      <c r="N701" s="730"/>
      <c r="O701" s="465"/>
      <c r="P701" s="465"/>
      <c r="Q701" s="541"/>
      <c r="R701" s="541"/>
      <c r="S701" s="541"/>
      <c r="T701" s="541"/>
      <c r="U701" s="541"/>
      <c r="V701" s="541"/>
      <c r="W701" s="541"/>
      <c r="X701" s="541"/>
      <c r="Y701" s="541"/>
      <c r="Z701" s="541"/>
    </row>
    <row r="702" spans="1:26" ht="18.75" hidden="1">
      <c r="A702" s="708"/>
      <c r="B702" s="727"/>
      <c r="C702" s="727"/>
      <c r="D702" s="727"/>
      <c r="E702" s="727" t="s">
        <v>297</v>
      </c>
      <c r="F702" s="727"/>
      <c r="G702" s="189"/>
      <c r="H702" s="728" t="s">
        <v>35</v>
      </c>
      <c r="I702" s="729"/>
      <c r="J702" s="214">
        <v>0</v>
      </c>
      <c r="K702" s="465"/>
      <c r="L702" s="465"/>
      <c r="M702" s="189"/>
      <c r="N702" s="730"/>
      <c r="O702" s="465"/>
      <c r="P702" s="465"/>
      <c r="Q702" s="541"/>
      <c r="R702" s="541"/>
      <c r="S702" s="541"/>
      <c r="T702" s="541"/>
      <c r="U702" s="541"/>
      <c r="V702" s="541"/>
      <c r="W702" s="541"/>
      <c r="X702" s="541"/>
      <c r="Y702" s="541"/>
      <c r="Z702" s="541"/>
    </row>
    <row r="703" spans="1:26" ht="18.75" hidden="1">
      <c r="A703" s="708"/>
      <c r="B703" s="727"/>
      <c r="C703" s="727"/>
      <c r="D703" s="727"/>
      <c r="E703" s="727"/>
      <c r="F703" s="727"/>
      <c r="G703" s="189"/>
      <c r="H703" s="728" t="s">
        <v>34</v>
      </c>
      <c r="I703" s="729"/>
      <c r="J703" s="214">
        <v>0</v>
      </c>
      <c r="K703" s="465"/>
      <c r="L703" s="465"/>
      <c r="M703" s="189"/>
      <c r="N703" s="730"/>
      <c r="O703" s="465"/>
      <c r="P703" s="465"/>
      <c r="Q703" s="541"/>
      <c r="R703" s="541"/>
      <c r="S703" s="541"/>
      <c r="T703" s="541"/>
      <c r="U703" s="541"/>
      <c r="V703" s="541"/>
      <c r="W703" s="541"/>
      <c r="X703" s="541"/>
      <c r="Y703" s="541"/>
      <c r="Z703" s="541"/>
    </row>
    <row r="704" spans="1:26" ht="18.75" hidden="1">
      <c r="A704" s="708"/>
      <c r="B704" s="727"/>
      <c r="C704" s="727"/>
      <c r="D704" s="727"/>
      <c r="E704" s="727"/>
      <c r="F704" s="727"/>
      <c r="G704" s="189"/>
      <c r="H704" s="728" t="s">
        <v>46</v>
      </c>
      <c r="I704" s="729">
        <f ca="1">IFERROR(__xludf.DUMMYFUNCTION("IMPORTRANGE(""https://docs.google.com/spreadsheets/d/1QqKyyYR6Q21VydFLVH3TRQUabQu_ym0Zz7PgGX0-kHA/edit?usp=sharing"",""แผน!IF22"")"),0)</f>
        <v>0</v>
      </c>
      <c r="J704" s="214">
        <v>0</v>
      </c>
      <c r="K704" s="465"/>
      <c r="L704" s="465"/>
      <c r="M704" s="189"/>
      <c r="N704" s="730"/>
      <c r="O704" s="465"/>
      <c r="P704" s="465"/>
      <c r="Q704" s="541"/>
      <c r="R704" s="541"/>
      <c r="S704" s="541"/>
      <c r="T704" s="541"/>
      <c r="U704" s="541"/>
      <c r="V704" s="541"/>
      <c r="W704" s="541"/>
      <c r="X704" s="541"/>
      <c r="Y704" s="541"/>
      <c r="Z704" s="541"/>
    </row>
    <row r="705" spans="1:26" ht="18.75" hidden="1">
      <c r="A705" s="708"/>
      <c r="B705" s="727"/>
      <c r="C705" s="727"/>
      <c r="D705" s="727"/>
      <c r="E705" s="727" t="s">
        <v>298</v>
      </c>
      <c r="F705" s="727"/>
      <c r="G705" s="189"/>
      <c r="H705" s="728" t="s">
        <v>35</v>
      </c>
      <c r="I705" s="729"/>
      <c r="J705" s="214">
        <v>0</v>
      </c>
      <c r="K705" s="465"/>
      <c r="L705" s="465"/>
      <c r="M705" s="189"/>
      <c r="N705" s="730"/>
      <c r="O705" s="465"/>
      <c r="P705" s="465"/>
      <c r="Q705" s="541"/>
      <c r="R705" s="541"/>
      <c r="S705" s="541"/>
      <c r="T705" s="541"/>
      <c r="U705" s="541"/>
      <c r="V705" s="541"/>
      <c r="W705" s="541"/>
      <c r="X705" s="541"/>
      <c r="Y705" s="541"/>
      <c r="Z705" s="541"/>
    </row>
    <row r="706" spans="1:26" ht="18.75" hidden="1">
      <c r="A706" s="708"/>
      <c r="B706" s="727"/>
      <c r="C706" s="727"/>
      <c r="D706" s="727"/>
      <c r="E706" s="727"/>
      <c r="F706" s="727"/>
      <c r="G706" s="189"/>
      <c r="H706" s="728" t="s">
        <v>34</v>
      </c>
      <c r="I706" s="729"/>
      <c r="J706" s="214">
        <v>0</v>
      </c>
      <c r="K706" s="465"/>
      <c r="L706" s="465"/>
      <c r="M706" s="189"/>
      <c r="N706" s="730"/>
      <c r="O706" s="465"/>
      <c r="P706" s="465"/>
      <c r="Q706" s="541"/>
      <c r="R706" s="541"/>
      <c r="S706" s="541"/>
      <c r="T706" s="541"/>
      <c r="U706" s="541"/>
      <c r="V706" s="541"/>
      <c r="W706" s="541"/>
      <c r="X706" s="541"/>
      <c r="Y706" s="541"/>
      <c r="Z706" s="541"/>
    </row>
    <row r="707" spans="1:26" ht="18.75" hidden="1">
      <c r="A707" s="708"/>
      <c r="B707" s="727"/>
      <c r="C707" s="727"/>
      <c r="D707" s="727"/>
      <c r="E707" s="727"/>
      <c r="F707" s="727"/>
      <c r="G707" s="189"/>
      <c r="H707" s="728" t="s">
        <v>46</v>
      </c>
      <c r="I707" s="729">
        <f ca="1">IFERROR(__xludf.DUMMYFUNCTION("IMPORTRANGE(""https://docs.google.com/spreadsheets/d/1QqKyyYR6Q21VydFLVH3TRQUabQu_ym0Zz7PgGX0-kHA/edit?usp=sharing"",""แผน!IG22"")"),0)</f>
        <v>0</v>
      </c>
      <c r="J707" s="214">
        <v>0</v>
      </c>
      <c r="K707" s="465"/>
      <c r="L707" s="465"/>
      <c r="M707" s="189"/>
      <c r="N707" s="730"/>
      <c r="O707" s="465"/>
      <c r="P707" s="465"/>
      <c r="Q707" s="541"/>
      <c r="R707" s="541"/>
      <c r="S707" s="541"/>
      <c r="T707" s="541"/>
      <c r="U707" s="541"/>
      <c r="V707" s="541"/>
      <c r="W707" s="541"/>
      <c r="X707" s="541"/>
      <c r="Y707" s="541"/>
      <c r="Z707" s="541"/>
    </row>
    <row r="708" spans="1:26" ht="19.5" hidden="1">
      <c r="A708" s="708"/>
      <c r="B708" s="727"/>
      <c r="C708" s="727"/>
      <c r="D708" s="733" t="s">
        <v>299</v>
      </c>
      <c r="E708" s="727"/>
      <c r="F708" s="727"/>
      <c r="G708" s="189"/>
      <c r="H708" s="731" t="s">
        <v>46</v>
      </c>
      <c r="I708" s="732">
        <f ca="1">IFERROR(__xludf.DUMMYFUNCTION("IMPORTRANGE(""https://docs.google.com/spreadsheets/d/1QqKyyYR6Q21VydFLVH3TRQUabQu_ym0Zz7PgGX0-kHA/edit?usp=sharing"",""แผน!IH22"")"),0)</f>
        <v>0</v>
      </c>
      <c r="J708" s="647">
        <f>J714+J717</f>
        <v>0</v>
      </c>
      <c r="K708" s="195">
        <f ca="1">IF(I708&gt;0,J708*100/I708,0)</f>
        <v>0</v>
      </c>
      <c r="L708" s="465"/>
      <c r="M708" s="189"/>
      <c r="N708" s="730"/>
      <c r="O708" s="465"/>
      <c r="P708" s="465"/>
      <c r="Q708" s="541"/>
      <c r="R708" s="541"/>
      <c r="S708" s="541"/>
      <c r="T708" s="541"/>
      <c r="U708" s="541"/>
      <c r="V708" s="541"/>
      <c r="W708" s="541"/>
      <c r="X708" s="541"/>
      <c r="Y708" s="541"/>
      <c r="Z708" s="541"/>
    </row>
    <row r="709" spans="1:26" ht="18.75" hidden="1">
      <c r="A709" s="708"/>
      <c r="B709" s="727"/>
      <c r="C709" s="727"/>
      <c r="D709" s="727"/>
      <c r="E709" s="727" t="s">
        <v>300</v>
      </c>
      <c r="F709" s="727"/>
      <c r="G709" s="189"/>
      <c r="H709" s="728" t="s">
        <v>34</v>
      </c>
      <c r="I709" s="729"/>
      <c r="J709" s="214">
        <v>0</v>
      </c>
      <c r="K709" s="465"/>
      <c r="L709" s="730"/>
      <c r="M709" s="189"/>
      <c r="N709" s="730"/>
      <c r="O709" s="465"/>
      <c r="P709" s="465"/>
      <c r="Q709" s="541"/>
      <c r="R709" s="541"/>
      <c r="S709" s="541"/>
      <c r="T709" s="541"/>
      <c r="U709" s="541"/>
      <c r="V709" s="541"/>
      <c r="W709" s="541"/>
      <c r="X709" s="541"/>
      <c r="Y709" s="541"/>
      <c r="Z709" s="541"/>
    </row>
    <row r="710" spans="1:26" ht="18.75" hidden="1">
      <c r="A710" s="708"/>
      <c r="B710" s="727"/>
      <c r="C710" s="727"/>
      <c r="D710" s="727"/>
      <c r="E710" s="727"/>
      <c r="F710" s="727"/>
      <c r="G710" s="189"/>
      <c r="H710" s="728" t="s">
        <v>46</v>
      </c>
      <c r="I710" s="729"/>
      <c r="J710" s="214">
        <v>0</v>
      </c>
      <c r="K710" s="465"/>
      <c r="L710" s="730"/>
      <c r="M710" s="189"/>
      <c r="N710" s="730"/>
      <c r="O710" s="465"/>
      <c r="P710" s="465"/>
      <c r="Q710" s="541"/>
      <c r="R710" s="541"/>
      <c r="S710" s="541"/>
      <c r="T710" s="541"/>
      <c r="U710" s="541"/>
      <c r="V710" s="541"/>
      <c r="W710" s="541"/>
      <c r="X710" s="541"/>
      <c r="Y710" s="541"/>
      <c r="Z710" s="541"/>
    </row>
    <row r="711" spans="1:26" ht="18.75" hidden="1">
      <c r="A711" s="708"/>
      <c r="B711" s="727"/>
      <c r="C711" s="727"/>
      <c r="D711" s="727"/>
      <c r="E711" s="727" t="s">
        <v>301</v>
      </c>
      <c r="F711" s="727"/>
      <c r="G711" s="189"/>
      <c r="H711" s="726"/>
      <c r="I711" s="729"/>
      <c r="J711" s="269"/>
      <c r="K711" s="465"/>
      <c r="L711" s="730"/>
      <c r="M711" s="189"/>
      <c r="N711" s="730"/>
      <c r="O711" s="465"/>
      <c r="P711" s="465"/>
      <c r="Q711" s="541"/>
      <c r="R711" s="541"/>
      <c r="S711" s="541"/>
      <c r="T711" s="541"/>
      <c r="U711" s="541"/>
      <c r="V711" s="541"/>
      <c r="W711" s="541"/>
      <c r="X711" s="541"/>
      <c r="Y711" s="541"/>
      <c r="Z711" s="541"/>
    </row>
    <row r="712" spans="1:26" ht="18.75" hidden="1">
      <c r="A712" s="708"/>
      <c r="B712" s="727"/>
      <c r="C712" s="727"/>
      <c r="D712" s="727"/>
      <c r="E712" s="727"/>
      <c r="F712" s="727" t="s">
        <v>302</v>
      </c>
      <c r="G712" s="189"/>
      <c r="H712" s="728" t="s">
        <v>35</v>
      </c>
      <c r="I712" s="729"/>
      <c r="J712" s="214">
        <v>0</v>
      </c>
      <c r="K712" s="465"/>
      <c r="L712" s="730"/>
      <c r="M712" s="189"/>
      <c r="N712" s="730"/>
      <c r="O712" s="465"/>
      <c r="P712" s="465"/>
      <c r="Q712" s="541"/>
      <c r="R712" s="541"/>
      <c r="S712" s="541"/>
      <c r="T712" s="541"/>
      <c r="U712" s="541"/>
      <c r="V712" s="541"/>
      <c r="W712" s="541"/>
      <c r="X712" s="541"/>
      <c r="Y712" s="541"/>
      <c r="Z712" s="541"/>
    </row>
    <row r="713" spans="1:26" ht="18.75" hidden="1">
      <c r="A713" s="708"/>
      <c r="B713" s="727"/>
      <c r="C713" s="727"/>
      <c r="D713" s="727"/>
      <c r="E713" s="727"/>
      <c r="F713" s="727"/>
      <c r="G713" s="189"/>
      <c r="H713" s="728" t="s">
        <v>34</v>
      </c>
      <c r="I713" s="729"/>
      <c r="J713" s="214">
        <v>0</v>
      </c>
      <c r="K713" s="465"/>
      <c r="L713" s="730"/>
      <c r="M713" s="189"/>
      <c r="N713" s="730"/>
      <c r="O713" s="465"/>
      <c r="P713" s="465"/>
      <c r="Q713" s="541"/>
      <c r="R713" s="541"/>
      <c r="S713" s="541"/>
      <c r="T713" s="541"/>
      <c r="U713" s="541"/>
      <c r="V713" s="541"/>
      <c r="W713" s="541"/>
      <c r="X713" s="541"/>
      <c r="Y713" s="541"/>
      <c r="Z713" s="541"/>
    </row>
    <row r="714" spans="1:26" ht="18.75" hidden="1">
      <c r="A714" s="708"/>
      <c r="B714" s="727"/>
      <c r="C714" s="727"/>
      <c r="D714" s="727"/>
      <c r="E714" s="727"/>
      <c r="F714" s="727"/>
      <c r="G714" s="189"/>
      <c r="H714" s="728" t="s">
        <v>46</v>
      </c>
      <c r="I714" s="729"/>
      <c r="J714" s="214">
        <v>0</v>
      </c>
      <c r="K714" s="465"/>
      <c r="L714" s="730"/>
      <c r="M714" s="189"/>
      <c r="N714" s="730"/>
      <c r="O714" s="465"/>
      <c r="P714" s="465"/>
      <c r="Q714" s="541"/>
      <c r="R714" s="541"/>
      <c r="S714" s="541"/>
      <c r="T714" s="541"/>
      <c r="U714" s="541"/>
      <c r="V714" s="541"/>
      <c r="W714" s="541"/>
      <c r="X714" s="541"/>
      <c r="Y714" s="541"/>
      <c r="Z714" s="541"/>
    </row>
    <row r="715" spans="1:26" ht="18.75" hidden="1">
      <c r="A715" s="708"/>
      <c r="B715" s="727"/>
      <c r="C715" s="727"/>
      <c r="D715" s="727"/>
      <c r="E715" s="727"/>
      <c r="F715" s="727" t="s">
        <v>303</v>
      </c>
      <c r="G715" s="189"/>
      <c r="H715" s="728" t="s">
        <v>35</v>
      </c>
      <c r="I715" s="729"/>
      <c r="J715" s="214">
        <v>0</v>
      </c>
      <c r="K715" s="465"/>
      <c r="L715" s="730"/>
      <c r="M715" s="189"/>
      <c r="N715" s="730"/>
      <c r="O715" s="465"/>
      <c r="P715" s="465"/>
      <c r="Q715" s="541"/>
      <c r="R715" s="541"/>
      <c r="S715" s="541"/>
      <c r="T715" s="541"/>
      <c r="U715" s="541"/>
      <c r="V715" s="541"/>
      <c r="W715" s="541"/>
      <c r="X715" s="541"/>
      <c r="Y715" s="541"/>
      <c r="Z715" s="541"/>
    </row>
    <row r="716" spans="1:26" ht="18.75" hidden="1">
      <c r="A716" s="708"/>
      <c r="B716" s="727"/>
      <c r="C716" s="727"/>
      <c r="D716" s="727"/>
      <c r="E716" s="727"/>
      <c r="F716" s="727"/>
      <c r="G716" s="189"/>
      <c r="H716" s="728" t="s">
        <v>34</v>
      </c>
      <c r="I716" s="729"/>
      <c r="J716" s="214">
        <v>0</v>
      </c>
      <c r="K716" s="465"/>
      <c r="L716" s="730"/>
      <c r="M716" s="189"/>
      <c r="N716" s="730"/>
      <c r="O716" s="465"/>
      <c r="P716" s="465"/>
      <c r="Q716" s="541"/>
      <c r="R716" s="541"/>
      <c r="S716" s="541"/>
      <c r="T716" s="541"/>
      <c r="U716" s="541"/>
      <c r="V716" s="541"/>
      <c r="W716" s="541"/>
      <c r="X716" s="541"/>
      <c r="Y716" s="541"/>
      <c r="Z716" s="541"/>
    </row>
    <row r="717" spans="1:26" ht="18.75" hidden="1">
      <c r="A717" s="708"/>
      <c r="B717" s="727"/>
      <c r="C717" s="727"/>
      <c r="D717" s="727"/>
      <c r="E717" s="727"/>
      <c r="F717" s="727"/>
      <c r="G717" s="189"/>
      <c r="H717" s="728" t="s">
        <v>46</v>
      </c>
      <c r="I717" s="729"/>
      <c r="J717" s="214">
        <v>0</v>
      </c>
      <c r="K717" s="465"/>
      <c r="L717" s="730"/>
      <c r="M717" s="189"/>
      <c r="N717" s="730"/>
      <c r="O717" s="465"/>
      <c r="P717" s="465"/>
      <c r="Q717" s="541"/>
      <c r="R717" s="541"/>
      <c r="S717" s="541"/>
      <c r="T717" s="541"/>
      <c r="U717" s="541"/>
      <c r="V717" s="541"/>
      <c r="W717" s="541"/>
      <c r="X717" s="541"/>
      <c r="Y717" s="541"/>
      <c r="Z717" s="541"/>
    </row>
    <row r="718" spans="1:26" ht="18.75" hidden="1">
      <c r="A718" s="708"/>
      <c r="B718" s="727"/>
      <c r="C718" s="727"/>
      <c r="D718" s="727" t="s">
        <v>304</v>
      </c>
      <c r="E718" s="727"/>
      <c r="F718" s="727"/>
      <c r="G718" s="189"/>
      <c r="H718" s="728" t="s">
        <v>35</v>
      </c>
      <c r="I718" s="729"/>
      <c r="J718" s="269">
        <f ca="1">IFERROR(__xludf.DUMMYFUNCTION("IMPORTRANGE(""https://docs.google.com/spreadsheets/d/1XWAQStnk-4SwqDmLtmXYiTMKHgktTP8We1SCoS47DrQ/edit?usp=sharing"",""จัดที่ดิน!BF22"")"),0)</f>
        <v>0</v>
      </c>
      <c r="K718" s="465"/>
      <c r="L718" s="465"/>
      <c r="M718" s="189"/>
      <c r="N718" s="730"/>
      <c r="O718" s="465"/>
      <c r="P718" s="465"/>
      <c r="Q718" s="541"/>
      <c r="R718" s="541"/>
      <c r="S718" s="541"/>
      <c r="T718" s="541"/>
      <c r="U718" s="541"/>
      <c r="V718" s="541"/>
      <c r="W718" s="541"/>
      <c r="X718" s="541"/>
      <c r="Y718" s="541"/>
      <c r="Z718" s="541"/>
    </row>
    <row r="719" spans="1:26" ht="18.75" hidden="1">
      <c r="A719" s="708"/>
      <c r="B719" s="727"/>
      <c r="C719" s="727"/>
      <c r="D719" s="727"/>
      <c r="E719" s="727"/>
      <c r="F719" s="727"/>
      <c r="G719" s="189"/>
      <c r="H719" s="728" t="s">
        <v>34</v>
      </c>
      <c r="I719" s="729"/>
      <c r="J719" s="269">
        <f ca="1">IFERROR(__xludf.DUMMYFUNCTION("IMPORTRANGE(""https://docs.google.com/spreadsheets/d/1XWAQStnk-4SwqDmLtmXYiTMKHgktTP8We1SCoS47DrQ/edit?usp=sharing"",""จัดที่ดิน!BG22"")"),0)</f>
        <v>0</v>
      </c>
      <c r="K719" s="465"/>
      <c r="L719" s="730"/>
      <c r="M719" s="189"/>
      <c r="N719" s="730"/>
      <c r="O719" s="465"/>
      <c r="P719" s="465"/>
      <c r="Q719" s="541"/>
      <c r="R719" s="541"/>
      <c r="S719" s="541"/>
      <c r="T719" s="541"/>
      <c r="U719" s="541"/>
      <c r="V719" s="541"/>
      <c r="W719" s="541"/>
      <c r="X719" s="541"/>
      <c r="Y719" s="541"/>
      <c r="Z719" s="541"/>
    </row>
    <row r="720" spans="1:26" ht="18.75" hidden="1">
      <c r="A720" s="708"/>
      <c r="B720" s="727"/>
      <c r="C720" s="727"/>
      <c r="D720" s="727"/>
      <c r="E720" s="727"/>
      <c r="F720" s="727"/>
      <c r="G720" s="189"/>
      <c r="H720" s="728" t="s">
        <v>46</v>
      </c>
      <c r="I720" s="729">
        <f ca="1">IFERROR(__xludf.DUMMYFUNCTION("IMPORTRANGE(""https://docs.google.com/spreadsheets/d/1QqKyyYR6Q21VydFLVH3TRQUabQu_ym0Zz7PgGX0-kHA/edit?usp=sharing"",""แผน!II22"")"),0)</f>
        <v>0</v>
      </c>
      <c r="J720" s="269">
        <f ca="1">IFERROR(__xludf.DUMMYFUNCTION("IMPORTRANGE(""https://docs.google.com/spreadsheets/d/1XWAQStnk-4SwqDmLtmXYiTMKHgktTP8We1SCoS47DrQ/edit?usp=sharing"",""จัดที่ดิน!BH22"")"),0)</f>
        <v>0</v>
      </c>
      <c r="K720" s="465">
        <f t="shared" ref="K720:K723" ca="1" si="290">IF(I720&gt;0,J720*100/I720,0)</f>
        <v>0</v>
      </c>
      <c r="L720" s="730"/>
      <c r="M720" s="189"/>
      <c r="N720" s="730"/>
      <c r="O720" s="465"/>
      <c r="P720" s="465"/>
      <c r="Q720" s="541"/>
      <c r="R720" s="541"/>
      <c r="S720" s="541"/>
      <c r="T720" s="541"/>
      <c r="U720" s="541"/>
      <c r="V720" s="541"/>
      <c r="W720" s="541"/>
      <c r="X720" s="541"/>
      <c r="Y720" s="541"/>
      <c r="Z720" s="541"/>
    </row>
    <row r="721" spans="1:26" ht="19.5" hidden="1">
      <c r="A721" s="708"/>
      <c r="B721" s="727"/>
      <c r="C721" s="727"/>
      <c r="D721" s="727" t="s">
        <v>305</v>
      </c>
      <c r="E721" s="727"/>
      <c r="F721" s="727"/>
      <c r="G721" s="189"/>
      <c r="H721" s="731" t="s">
        <v>35</v>
      </c>
      <c r="I721" s="732">
        <f ca="1">IFERROR(__xludf.DUMMYFUNCTION("IMPORTRANGE(""https://docs.google.com/spreadsheets/d/1QqKyyYR6Q21VydFLVH3TRQUabQu_ym0Zz7PgGX0-kHA/edit?usp=sharing"",""แผน!IJ22"")"),0)</f>
        <v>0</v>
      </c>
      <c r="J721" s="647">
        <f ca="1">J723+J726</f>
        <v>0</v>
      </c>
      <c r="K721" s="195">
        <f t="shared" ca="1" si="290"/>
        <v>0</v>
      </c>
      <c r="L721" s="730"/>
      <c r="M721" s="189"/>
      <c r="N721" s="730"/>
      <c r="O721" s="465"/>
      <c r="P721" s="465"/>
      <c r="Q721" s="541"/>
      <c r="R721" s="541"/>
      <c r="S721" s="541"/>
      <c r="T721" s="541"/>
      <c r="U721" s="541"/>
      <c r="V721" s="541"/>
      <c r="W721" s="541"/>
      <c r="X721" s="541"/>
      <c r="Y721" s="541"/>
      <c r="Z721" s="541"/>
    </row>
    <row r="722" spans="1:26" ht="19.5" hidden="1">
      <c r="A722" s="708"/>
      <c r="B722" s="727"/>
      <c r="C722" s="727"/>
      <c r="D722" s="727"/>
      <c r="E722" s="727"/>
      <c r="F722" s="727"/>
      <c r="G722" s="189"/>
      <c r="H722" s="731" t="s">
        <v>46</v>
      </c>
      <c r="I722" s="732">
        <f ca="1">IFERROR(__xludf.DUMMYFUNCTION("IMPORTRANGE(""https://docs.google.com/spreadsheets/d/1QqKyyYR6Q21VydFLVH3TRQUabQu_ym0Zz7PgGX0-kHA/edit?usp=sharing"",""แผน!IK22"")"),0)</f>
        <v>0</v>
      </c>
      <c r="J722" s="647">
        <f ca="1">J725+J728</f>
        <v>0</v>
      </c>
      <c r="K722" s="195">
        <f t="shared" ca="1" si="290"/>
        <v>0</v>
      </c>
      <c r="L722" s="465"/>
      <c r="M722" s="189"/>
      <c r="N722" s="730"/>
      <c r="O722" s="465"/>
      <c r="P722" s="465"/>
      <c r="Q722" s="541"/>
      <c r="R722" s="541"/>
      <c r="S722" s="541"/>
      <c r="T722" s="541"/>
      <c r="U722" s="541"/>
      <c r="V722" s="541"/>
      <c r="W722" s="541"/>
      <c r="X722" s="541"/>
      <c r="Y722" s="541"/>
      <c r="Z722" s="541"/>
    </row>
    <row r="723" spans="1:26" ht="18.75" hidden="1">
      <c r="A723" s="708"/>
      <c r="B723" s="727"/>
      <c r="C723" s="727"/>
      <c r="D723" s="727"/>
      <c r="E723" s="727" t="s">
        <v>306</v>
      </c>
      <c r="F723" s="727"/>
      <c r="G723" s="189"/>
      <c r="H723" s="728" t="s">
        <v>35</v>
      </c>
      <c r="I723" s="729">
        <f ca="1">IFERROR(__xludf.DUMMYFUNCTION("IMPORTRANGE(""https://docs.google.com/spreadsheets/d/1QqKyyYR6Q21VydFLVH3TRQUabQu_ym0Zz7PgGX0-kHA/edit?usp=sharing"",""แผน!IL22"")"),0)</f>
        <v>0</v>
      </c>
      <c r="J723" s="269">
        <f ca="1">IFERROR(__xludf.DUMMYFUNCTION("IMPORTRANGE(""https://docs.google.com/spreadsheets/d/1XWAQStnk-4SwqDmLtmXYiTMKHgktTP8We1SCoS47DrQ/edit?usp=sharing"",""จัดที่ดิน!BM22"")"),0)</f>
        <v>0</v>
      </c>
      <c r="K723" s="465">
        <f t="shared" ca="1" si="290"/>
        <v>0</v>
      </c>
      <c r="L723" s="465"/>
      <c r="M723" s="189"/>
      <c r="N723" s="730"/>
      <c r="O723" s="465"/>
      <c r="P723" s="465"/>
      <c r="Q723" s="541"/>
      <c r="R723" s="541"/>
      <c r="S723" s="541"/>
      <c r="T723" s="541"/>
      <c r="U723" s="541"/>
      <c r="V723" s="541"/>
      <c r="W723" s="541"/>
      <c r="X723" s="541"/>
      <c r="Y723" s="541"/>
      <c r="Z723" s="541"/>
    </row>
    <row r="724" spans="1:26" ht="18.75" hidden="1">
      <c r="A724" s="708"/>
      <c r="B724" s="727"/>
      <c r="C724" s="727"/>
      <c r="D724" s="727"/>
      <c r="E724" s="727"/>
      <c r="F724" s="727"/>
      <c r="G724" s="189"/>
      <c r="H724" s="728" t="s">
        <v>34</v>
      </c>
      <c r="I724" s="729"/>
      <c r="J724" s="269">
        <f ca="1">IFERROR(__xludf.DUMMYFUNCTION("IMPORTRANGE(""https://docs.google.com/spreadsheets/d/1XWAQStnk-4SwqDmLtmXYiTMKHgktTP8We1SCoS47DrQ/edit?usp=sharing"",""จัดที่ดิน!BN22"")"),0)</f>
        <v>0</v>
      </c>
      <c r="K724" s="465"/>
      <c r="L724" s="730"/>
      <c r="M724" s="189"/>
      <c r="N724" s="730"/>
      <c r="O724" s="465"/>
      <c r="P724" s="465"/>
      <c r="Q724" s="541"/>
      <c r="R724" s="541"/>
      <c r="S724" s="541"/>
      <c r="T724" s="541"/>
      <c r="U724" s="541"/>
      <c r="V724" s="541"/>
      <c r="W724" s="541"/>
      <c r="X724" s="541"/>
      <c r="Y724" s="541"/>
      <c r="Z724" s="541"/>
    </row>
    <row r="725" spans="1:26" ht="18.75" hidden="1">
      <c r="A725" s="708"/>
      <c r="B725" s="727"/>
      <c r="C725" s="727"/>
      <c r="D725" s="727"/>
      <c r="E725" s="727"/>
      <c r="F725" s="727"/>
      <c r="G725" s="189"/>
      <c r="H725" s="728" t="s">
        <v>46</v>
      </c>
      <c r="I725" s="729">
        <f ca="1">IFERROR(__xludf.DUMMYFUNCTION("IMPORTRANGE(""https://docs.google.com/spreadsheets/d/1QqKyyYR6Q21VydFLVH3TRQUabQu_ym0Zz7PgGX0-kHA/edit?usp=sharing"",""แผน!IM22"")"),0)</f>
        <v>0</v>
      </c>
      <c r="J725" s="269">
        <f ca="1">IFERROR(__xludf.DUMMYFUNCTION("IMPORTRANGE(""https://docs.google.com/spreadsheets/d/1XWAQStnk-4SwqDmLtmXYiTMKHgktTP8We1SCoS47DrQ/edit?usp=sharing"",""จัดที่ดิน!BO22"")"),0)</f>
        <v>0</v>
      </c>
      <c r="K725" s="465">
        <f t="shared" ref="K725:K726" ca="1" si="291">IF(I725&gt;0,J725*100/I725,0)</f>
        <v>0</v>
      </c>
      <c r="L725" s="730"/>
      <c r="M725" s="189"/>
      <c r="N725" s="730"/>
      <c r="O725" s="465"/>
      <c r="P725" s="465"/>
      <c r="Q725" s="541"/>
      <c r="R725" s="541"/>
      <c r="S725" s="541"/>
      <c r="T725" s="541"/>
      <c r="U725" s="541"/>
      <c r="V725" s="541"/>
      <c r="W725" s="541"/>
      <c r="X725" s="541"/>
      <c r="Y725" s="541"/>
      <c r="Z725" s="541"/>
    </row>
    <row r="726" spans="1:26" ht="18.75" hidden="1">
      <c r="A726" s="708"/>
      <c r="B726" s="727"/>
      <c r="C726" s="727"/>
      <c r="D726" s="727"/>
      <c r="E726" s="727" t="s">
        <v>307</v>
      </c>
      <c r="F726" s="727"/>
      <c r="G726" s="189"/>
      <c r="H726" s="728" t="s">
        <v>35</v>
      </c>
      <c r="I726" s="729">
        <f ca="1">IFERROR(__xludf.DUMMYFUNCTION("IMPORTRANGE(""https://docs.google.com/spreadsheets/d/1QqKyyYR6Q21VydFLVH3TRQUabQu_ym0Zz7PgGX0-kHA/edit?usp=sharing"",""แผน!IN22"")"),0)</f>
        <v>0</v>
      </c>
      <c r="J726" s="269">
        <f ca="1">IFERROR(__xludf.DUMMYFUNCTION("IMPORTRANGE(""https://docs.google.com/spreadsheets/d/1XWAQStnk-4SwqDmLtmXYiTMKHgktTP8We1SCoS47DrQ/edit?usp=sharing"",""จัดที่ดิน!BR22"")"),0)</f>
        <v>0</v>
      </c>
      <c r="K726" s="465">
        <f t="shared" ca="1" si="291"/>
        <v>0</v>
      </c>
      <c r="L726" s="465"/>
      <c r="M726" s="189"/>
      <c r="N726" s="730"/>
      <c r="O726" s="465"/>
      <c r="P726" s="465"/>
      <c r="Q726" s="541"/>
      <c r="R726" s="541"/>
      <c r="S726" s="541"/>
      <c r="T726" s="541"/>
      <c r="U726" s="541"/>
      <c r="V726" s="541"/>
      <c r="W726" s="541"/>
      <c r="X726" s="541"/>
      <c r="Y726" s="541"/>
      <c r="Z726" s="541"/>
    </row>
    <row r="727" spans="1:26" ht="18.75" hidden="1">
      <c r="A727" s="708"/>
      <c r="B727" s="727"/>
      <c r="C727" s="727"/>
      <c r="D727" s="727"/>
      <c r="E727" s="727"/>
      <c r="F727" s="727"/>
      <c r="G727" s="189"/>
      <c r="H727" s="728" t="s">
        <v>34</v>
      </c>
      <c r="I727" s="729"/>
      <c r="J727" s="269">
        <f ca="1">IFERROR(__xludf.DUMMYFUNCTION("IMPORTRANGE(""https://docs.google.com/spreadsheets/d/1XWAQStnk-4SwqDmLtmXYiTMKHgktTP8We1SCoS47DrQ/edit?usp=sharing"",""จัดที่ดิน!BS22"")"),0)</f>
        <v>0</v>
      </c>
      <c r="K727" s="465"/>
      <c r="L727" s="730"/>
      <c r="M727" s="189"/>
      <c r="N727" s="730"/>
      <c r="O727" s="465"/>
      <c r="P727" s="465"/>
      <c r="Q727" s="541"/>
      <c r="R727" s="541"/>
      <c r="S727" s="541"/>
      <c r="T727" s="541"/>
      <c r="U727" s="541"/>
      <c r="V727" s="541"/>
      <c r="W727" s="541"/>
      <c r="X727" s="541"/>
      <c r="Y727" s="541"/>
      <c r="Z727" s="541"/>
    </row>
    <row r="728" spans="1:26" ht="18.75" hidden="1">
      <c r="A728" s="708"/>
      <c r="B728" s="727"/>
      <c r="C728" s="727"/>
      <c r="D728" s="727"/>
      <c r="E728" s="727"/>
      <c r="F728" s="727"/>
      <c r="G728" s="189"/>
      <c r="H728" s="728" t="s">
        <v>46</v>
      </c>
      <c r="I728" s="729">
        <f ca="1">IFERROR(__xludf.DUMMYFUNCTION("IMPORTRANGE(""https://docs.google.com/spreadsheets/d/1QqKyyYR6Q21VydFLVH3TRQUabQu_ym0Zz7PgGX0-kHA/edit?usp=sharing"",""แผน!IO22"")"),0)</f>
        <v>0</v>
      </c>
      <c r="J728" s="269">
        <f ca="1">IFERROR(__xludf.DUMMYFUNCTION("IMPORTRANGE(""https://docs.google.com/spreadsheets/d/1XWAQStnk-4SwqDmLtmXYiTMKHgktTP8We1SCoS47DrQ/edit?usp=sharing"",""จัดที่ดิน!BT22"")"),0)</f>
        <v>0</v>
      </c>
      <c r="K728" s="465">
        <f t="shared" ref="K728:K729" ca="1" si="292">IF(I728&gt;0,J728*100/I728,0)</f>
        <v>0</v>
      </c>
      <c r="L728" s="730"/>
      <c r="M728" s="189"/>
      <c r="N728" s="730"/>
      <c r="O728" s="465"/>
      <c r="P728" s="465"/>
      <c r="Q728" s="541"/>
      <c r="R728" s="541"/>
      <c r="S728" s="541"/>
      <c r="T728" s="541"/>
      <c r="U728" s="541"/>
      <c r="V728" s="541"/>
      <c r="W728" s="541"/>
      <c r="X728" s="541"/>
      <c r="Y728" s="541"/>
      <c r="Z728" s="541"/>
    </row>
    <row r="729" spans="1:26" ht="19.5" hidden="1">
      <c r="A729" s="708"/>
      <c r="B729" s="727"/>
      <c r="C729" s="727"/>
      <c r="D729" s="727" t="s">
        <v>308</v>
      </c>
      <c r="E729" s="727"/>
      <c r="F729" s="727"/>
      <c r="G729" s="189"/>
      <c r="H729" s="731" t="s">
        <v>46</v>
      </c>
      <c r="I729" s="732">
        <f ca="1">IFERROR(__xludf.DUMMYFUNCTION("IMPORTRANGE(""https://docs.google.com/spreadsheets/d/1QqKyyYR6Q21VydFLVH3TRQUabQu_ym0Zz7PgGX0-kHA/edit?usp=sharing"",""แผน!IP22"")"),0)</f>
        <v>0</v>
      </c>
      <c r="J729" s="647">
        <f>J732+J735</f>
        <v>0</v>
      </c>
      <c r="K729" s="195">
        <f t="shared" ca="1" si="292"/>
        <v>0</v>
      </c>
      <c r="L729" s="465"/>
      <c r="M729" s="189"/>
      <c r="N729" s="730"/>
      <c r="O729" s="465"/>
      <c r="P729" s="465"/>
      <c r="Q729" s="541"/>
      <c r="R729" s="541"/>
      <c r="S729" s="541"/>
      <c r="T729" s="541"/>
      <c r="U729" s="541"/>
      <c r="V729" s="541"/>
      <c r="W729" s="541"/>
      <c r="X729" s="541"/>
      <c r="Y729" s="541"/>
      <c r="Z729" s="541"/>
    </row>
    <row r="730" spans="1:26" ht="18.75" hidden="1">
      <c r="A730" s="708"/>
      <c r="B730" s="727"/>
      <c r="C730" s="727"/>
      <c r="D730" s="727"/>
      <c r="E730" s="727" t="s">
        <v>309</v>
      </c>
      <c r="F730" s="727"/>
      <c r="G730" s="189"/>
      <c r="H730" s="728" t="s">
        <v>35</v>
      </c>
      <c r="I730" s="729"/>
      <c r="J730" s="214">
        <v>0</v>
      </c>
      <c r="K730" s="465"/>
      <c r="L730" s="730"/>
      <c r="M730" s="465"/>
      <c r="N730" s="730"/>
      <c r="O730" s="465"/>
      <c r="P730" s="465"/>
      <c r="Q730" s="541"/>
      <c r="R730" s="541"/>
      <c r="S730" s="541"/>
      <c r="T730" s="541"/>
      <c r="U730" s="541"/>
      <c r="V730" s="541"/>
      <c r="W730" s="541"/>
      <c r="X730" s="541"/>
      <c r="Y730" s="541"/>
      <c r="Z730" s="541"/>
    </row>
    <row r="731" spans="1:26" ht="18.75" hidden="1">
      <c r="A731" s="708"/>
      <c r="B731" s="727"/>
      <c r="C731" s="727"/>
      <c r="D731" s="727"/>
      <c r="E731" s="727"/>
      <c r="F731" s="727"/>
      <c r="G731" s="189"/>
      <c r="H731" s="728" t="s">
        <v>34</v>
      </c>
      <c r="I731" s="729"/>
      <c r="J731" s="214">
        <v>0</v>
      </c>
      <c r="K731" s="465"/>
      <c r="L731" s="730"/>
      <c r="M731" s="465"/>
      <c r="N731" s="730"/>
      <c r="O731" s="465"/>
      <c r="P731" s="465"/>
      <c r="Q731" s="541"/>
      <c r="R731" s="541"/>
      <c r="S731" s="541"/>
      <c r="T731" s="541"/>
      <c r="U731" s="541"/>
      <c r="V731" s="541"/>
      <c r="W731" s="541"/>
      <c r="X731" s="541"/>
      <c r="Y731" s="541"/>
      <c r="Z731" s="541"/>
    </row>
    <row r="732" spans="1:26" ht="18.75" hidden="1">
      <c r="A732" s="708"/>
      <c r="B732" s="727"/>
      <c r="C732" s="727"/>
      <c r="D732" s="727"/>
      <c r="E732" s="727"/>
      <c r="F732" s="727"/>
      <c r="G732" s="189"/>
      <c r="H732" s="728" t="s">
        <v>46</v>
      </c>
      <c r="I732" s="729"/>
      <c r="J732" s="214">
        <v>0</v>
      </c>
      <c r="K732" s="465"/>
      <c r="L732" s="730"/>
      <c r="M732" s="465"/>
      <c r="N732" s="730"/>
      <c r="O732" s="465"/>
      <c r="P732" s="465"/>
      <c r="Q732" s="541"/>
      <c r="R732" s="541"/>
      <c r="S732" s="541"/>
      <c r="T732" s="541"/>
      <c r="U732" s="541"/>
      <c r="V732" s="541"/>
      <c r="W732" s="541"/>
      <c r="X732" s="541"/>
      <c r="Y732" s="541"/>
      <c r="Z732" s="541"/>
    </row>
    <row r="733" spans="1:26" ht="18.75" hidden="1">
      <c r="A733" s="708"/>
      <c r="B733" s="727"/>
      <c r="C733" s="727"/>
      <c r="D733" s="727"/>
      <c r="E733" s="727" t="s">
        <v>310</v>
      </c>
      <c r="F733" s="727"/>
      <c r="G733" s="189"/>
      <c r="H733" s="728" t="s">
        <v>35</v>
      </c>
      <c r="I733" s="729"/>
      <c r="J733" s="214">
        <v>0</v>
      </c>
      <c r="K733" s="465"/>
      <c r="L733" s="730"/>
      <c r="M733" s="465"/>
      <c r="N733" s="730"/>
      <c r="O733" s="465"/>
      <c r="P733" s="465"/>
      <c r="Q733" s="541"/>
      <c r="R733" s="541"/>
      <c r="S733" s="541"/>
      <c r="T733" s="541"/>
      <c r="U733" s="541"/>
      <c r="V733" s="541"/>
      <c r="W733" s="541"/>
      <c r="X733" s="541"/>
      <c r="Y733" s="541"/>
      <c r="Z733" s="541"/>
    </row>
    <row r="734" spans="1:26" ht="18.75" hidden="1">
      <c r="A734" s="708"/>
      <c r="B734" s="727"/>
      <c r="C734" s="727"/>
      <c r="D734" s="727"/>
      <c r="E734" s="727"/>
      <c r="F734" s="727"/>
      <c r="G734" s="189"/>
      <c r="H734" s="728" t="s">
        <v>34</v>
      </c>
      <c r="I734" s="729"/>
      <c r="J734" s="214">
        <v>0</v>
      </c>
      <c r="K734" s="465"/>
      <c r="L734" s="730"/>
      <c r="M734" s="465"/>
      <c r="N734" s="730"/>
      <c r="O734" s="465"/>
      <c r="P734" s="465"/>
      <c r="Q734" s="541"/>
      <c r="R734" s="541"/>
      <c r="S734" s="541"/>
      <c r="T734" s="541"/>
      <c r="U734" s="541"/>
      <c r="V734" s="541"/>
      <c r="W734" s="541"/>
      <c r="X734" s="541"/>
      <c r="Y734" s="541"/>
      <c r="Z734" s="541"/>
    </row>
    <row r="735" spans="1:26" ht="19.5" hidden="1">
      <c r="A735" s="734"/>
      <c r="B735" s="735" t="s">
        <v>311</v>
      </c>
      <c r="C735" s="698"/>
      <c r="D735" s="698"/>
      <c r="E735" s="698"/>
      <c r="F735" s="698"/>
      <c r="G735" s="699"/>
      <c r="H735" s="390" t="s">
        <v>46</v>
      </c>
      <c r="I735" s="736"/>
      <c r="J735" s="392">
        <v>0</v>
      </c>
      <c r="K735" s="469"/>
      <c r="L735" s="737"/>
      <c r="M735" s="469"/>
      <c r="N735" s="737"/>
      <c r="O735" s="469"/>
      <c r="P735" s="469"/>
      <c r="Q735" s="541"/>
      <c r="R735" s="541"/>
      <c r="S735" s="541"/>
      <c r="T735" s="541"/>
      <c r="U735" s="541"/>
      <c r="V735" s="541"/>
      <c r="W735" s="541"/>
      <c r="X735" s="541"/>
      <c r="Y735" s="541"/>
      <c r="Z735" s="541"/>
    </row>
    <row r="736" spans="1:26" ht="19.5" hidden="1">
      <c r="A736" s="738">
        <v>9</v>
      </c>
      <c r="B736" s="739" t="s">
        <v>312</v>
      </c>
      <c r="C736" s="740"/>
      <c r="D736" s="740"/>
      <c r="E736" s="740"/>
      <c r="F736" s="740"/>
      <c r="G736" s="741"/>
      <c r="H736" s="742" t="s">
        <v>46</v>
      </c>
      <c r="I736" s="743"/>
      <c r="J736" s="743">
        <f>J751</f>
        <v>0</v>
      </c>
      <c r="K736" s="744">
        <f>IF(I736&gt;0,J736*100/I736,0)</f>
        <v>0</v>
      </c>
      <c r="L736" s="745"/>
      <c r="M736" s="745"/>
      <c r="N736" s="745"/>
      <c r="O736" s="745"/>
      <c r="P736" s="745"/>
      <c r="Q736" s="568"/>
      <c r="R736" s="568"/>
      <c r="S736" s="568"/>
      <c r="T736" s="568"/>
      <c r="U736" s="568"/>
      <c r="V736" s="568"/>
      <c r="W736" s="568"/>
      <c r="X736" s="568"/>
      <c r="Y736" s="568"/>
      <c r="Z736" s="568"/>
    </row>
    <row r="737" spans="1:26" ht="19.5" hidden="1">
      <c r="A737" s="563"/>
      <c r="B737" s="723"/>
      <c r="C737" s="723" t="s">
        <v>16</v>
      </c>
      <c r="D737" s="812" t="s">
        <v>17</v>
      </c>
      <c r="E737" s="805"/>
      <c r="F737" s="805"/>
      <c r="G737" s="567"/>
      <c r="H737" s="612" t="s">
        <v>12</v>
      </c>
      <c r="I737" s="583"/>
      <c r="J737" s="583"/>
      <c r="K737" s="93"/>
      <c r="L737" s="613">
        <f t="shared" ref="L737:N737" si="293">L738+L739</f>
        <v>0</v>
      </c>
      <c r="M737" s="613">
        <f t="shared" si="293"/>
        <v>0</v>
      </c>
      <c r="N737" s="613">
        <f t="shared" si="293"/>
        <v>0</v>
      </c>
      <c r="O737" s="613">
        <f t="shared" ref="O737:O742" si="294">IF(L737&gt;0,N737*100/L737,0)</f>
        <v>0</v>
      </c>
      <c r="P737" s="613">
        <f t="shared" ref="P737:P742" si="295">IF(M737&gt;0,N737*100/M737,0)</f>
        <v>0</v>
      </c>
      <c r="Q737" s="568"/>
      <c r="R737" s="568"/>
      <c r="S737" s="568"/>
      <c r="T737" s="568"/>
      <c r="U737" s="568"/>
      <c r="V737" s="568"/>
      <c r="W737" s="568"/>
      <c r="X737" s="568"/>
      <c r="Y737" s="568"/>
      <c r="Z737" s="568"/>
    </row>
    <row r="738" spans="1:26" ht="18.75" hidden="1">
      <c r="A738" s="563"/>
      <c r="B738" s="723"/>
      <c r="C738" s="723"/>
      <c r="D738" s="684"/>
      <c r="E738" s="723" t="s">
        <v>184</v>
      </c>
      <c r="F738" s="723"/>
      <c r="G738" s="567"/>
      <c r="H738" s="165" t="s">
        <v>12</v>
      </c>
      <c r="I738" s="583"/>
      <c r="J738" s="583"/>
      <c r="K738" s="93"/>
      <c r="L738" s="93">
        <f t="shared" ref="L738:N739" si="296">L741+L748</f>
        <v>0</v>
      </c>
      <c r="M738" s="93">
        <f t="shared" si="296"/>
        <v>0</v>
      </c>
      <c r="N738" s="93">
        <f t="shared" si="296"/>
        <v>0</v>
      </c>
      <c r="O738" s="93">
        <f t="shared" si="294"/>
        <v>0</v>
      </c>
      <c r="P738" s="93">
        <f t="shared" si="295"/>
        <v>0</v>
      </c>
      <c r="Q738" s="568"/>
      <c r="R738" s="568"/>
      <c r="S738" s="568"/>
      <c r="T738" s="568"/>
      <c r="U738" s="568"/>
      <c r="V738" s="568"/>
      <c r="W738" s="568"/>
      <c r="X738" s="568"/>
      <c r="Y738" s="568"/>
      <c r="Z738" s="568"/>
    </row>
    <row r="739" spans="1:26" ht="18.75" hidden="1">
      <c r="A739" s="563"/>
      <c r="B739" s="571"/>
      <c r="C739" s="723"/>
      <c r="D739" s="684"/>
      <c r="E739" s="723" t="s">
        <v>185</v>
      </c>
      <c r="F739" s="723"/>
      <c r="G739" s="567"/>
      <c r="H739" s="165" t="s">
        <v>12</v>
      </c>
      <c r="I739" s="583"/>
      <c r="J739" s="583"/>
      <c r="K739" s="93"/>
      <c r="L739" s="93">
        <f t="shared" si="296"/>
        <v>0</v>
      </c>
      <c r="M739" s="93">
        <f t="shared" si="296"/>
        <v>0</v>
      </c>
      <c r="N739" s="93">
        <f t="shared" si="296"/>
        <v>0</v>
      </c>
      <c r="O739" s="93">
        <f t="shared" si="294"/>
        <v>0</v>
      </c>
      <c r="P739" s="93">
        <f t="shared" si="295"/>
        <v>0</v>
      </c>
      <c r="Q739" s="568"/>
      <c r="R739" s="568"/>
      <c r="S739" s="568"/>
      <c r="T739" s="568"/>
      <c r="U739" s="568"/>
      <c r="V739" s="568"/>
      <c r="W739" s="568"/>
      <c r="X739" s="568"/>
      <c r="Y739" s="568"/>
      <c r="Z739" s="568"/>
    </row>
    <row r="740" spans="1:26" ht="19.5" hidden="1">
      <c r="A740" s="563"/>
      <c r="B740" s="571"/>
      <c r="C740" s="723"/>
      <c r="D740" s="611" t="s">
        <v>20</v>
      </c>
      <c r="E740" s="723"/>
      <c r="F740" s="723"/>
      <c r="G740" s="567"/>
      <c r="H740" s="612" t="s">
        <v>12</v>
      </c>
      <c r="I740" s="166"/>
      <c r="J740" s="166"/>
      <c r="K740" s="167"/>
      <c r="L740" s="613">
        <f t="shared" ref="L740:N740" si="297">L741+L742</f>
        <v>0</v>
      </c>
      <c r="M740" s="613">
        <f t="shared" si="297"/>
        <v>0</v>
      </c>
      <c r="N740" s="613">
        <f t="shared" si="297"/>
        <v>0</v>
      </c>
      <c r="O740" s="613">
        <f t="shared" si="294"/>
        <v>0</v>
      </c>
      <c r="P740" s="613">
        <f t="shared" si="295"/>
        <v>0</v>
      </c>
      <c r="Q740" s="568"/>
      <c r="R740" s="568"/>
      <c r="S740" s="568"/>
      <c r="T740" s="568"/>
      <c r="U740" s="568"/>
      <c r="V740" s="568"/>
      <c r="W740" s="568"/>
      <c r="X740" s="568"/>
      <c r="Y740" s="568"/>
      <c r="Z740" s="568"/>
    </row>
    <row r="741" spans="1:26" ht="18.75" hidden="1">
      <c r="A741" s="563"/>
      <c r="B741" s="571"/>
      <c r="C741" s="723"/>
      <c r="D741" s="684"/>
      <c r="E741" s="723" t="s">
        <v>184</v>
      </c>
      <c r="F741" s="723"/>
      <c r="G741" s="567"/>
      <c r="H741" s="165" t="s">
        <v>12</v>
      </c>
      <c r="I741" s="583"/>
      <c r="J741" s="583"/>
      <c r="K741" s="93"/>
      <c r="L741" s="93">
        <v>0</v>
      </c>
      <c r="M741" s="93">
        <v>0</v>
      </c>
      <c r="N741" s="93">
        <v>0</v>
      </c>
      <c r="O741" s="93">
        <f t="shared" si="294"/>
        <v>0</v>
      </c>
      <c r="P741" s="93">
        <f t="shared" si="295"/>
        <v>0</v>
      </c>
      <c r="Q741" s="568"/>
      <c r="R741" s="568"/>
      <c r="S741" s="568"/>
      <c r="T741" s="568"/>
      <c r="U741" s="568"/>
      <c r="V741" s="568"/>
      <c r="W741" s="568"/>
      <c r="X741" s="568"/>
      <c r="Y741" s="568"/>
      <c r="Z741" s="568"/>
    </row>
    <row r="742" spans="1:26" ht="18.75" hidden="1">
      <c r="A742" s="563"/>
      <c r="B742" s="571"/>
      <c r="C742" s="723"/>
      <c r="D742" s="684"/>
      <c r="E742" s="723" t="s">
        <v>185</v>
      </c>
      <c r="F742" s="723"/>
      <c r="G742" s="567"/>
      <c r="H742" s="165" t="s">
        <v>12</v>
      </c>
      <c r="I742" s="583"/>
      <c r="J742" s="583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4"/>
        <v>0</v>
      </c>
      <c r="P742" s="93">
        <f t="shared" si="295"/>
        <v>0</v>
      </c>
      <c r="Q742" s="568"/>
      <c r="R742" s="568"/>
      <c r="S742" s="568"/>
      <c r="T742" s="568"/>
      <c r="U742" s="568"/>
      <c r="V742" s="568"/>
      <c r="W742" s="568"/>
      <c r="X742" s="568"/>
      <c r="Y742" s="568"/>
      <c r="Z742" s="568"/>
    </row>
    <row r="743" spans="1:26" ht="18.75" hidden="1">
      <c r="A743" s="615"/>
      <c r="B743" s="571"/>
      <c r="C743" s="723"/>
      <c r="D743" s="723"/>
      <c r="E743" s="723"/>
      <c r="F743" s="723" t="s">
        <v>186</v>
      </c>
      <c r="G743" s="567"/>
      <c r="H743" s="165" t="s">
        <v>12</v>
      </c>
      <c r="I743" s="583"/>
      <c r="J743" s="583"/>
      <c r="K743" s="93"/>
      <c r="L743" s="93"/>
      <c r="M743" s="93"/>
      <c r="N743" s="93"/>
      <c r="O743" s="93"/>
      <c r="P743" s="93"/>
      <c r="Q743" s="568"/>
      <c r="R743" s="568"/>
      <c r="S743" s="568"/>
      <c r="T743" s="568"/>
      <c r="U743" s="568"/>
      <c r="V743" s="568"/>
      <c r="W743" s="568"/>
      <c r="X743" s="568"/>
      <c r="Y743" s="568"/>
      <c r="Z743" s="568"/>
    </row>
    <row r="744" spans="1:26" ht="18.75" hidden="1">
      <c r="A744" s="615"/>
      <c r="B744" s="571"/>
      <c r="C744" s="723"/>
      <c r="D744" s="723"/>
      <c r="E744" s="723"/>
      <c r="F744" s="723" t="s">
        <v>187</v>
      </c>
      <c r="G744" s="567"/>
      <c r="H744" s="165" t="s">
        <v>12</v>
      </c>
      <c r="I744" s="583"/>
      <c r="J744" s="583"/>
      <c r="K744" s="93"/>
      <c r="L744" s="93"/>
      <c r="M744" s="93"/>
      <c r="N744" s="93"/>
      <c r="O744" s="93"/>
      <c r="P744" s="93"/>
      <c r="Q744" s="568"/>
      <c r="R744" s="568"/>
      <c r="S744" s="568"/>
      <c r="T744" s="568"/>
      <c r="U744" s="568"/>
      <c r="V744" s="568"/>
      <c r="W744" s="568"/>
      <c r="X744" s="568"/>
      <c r="Y744" s="568"/>
      <c r="Z744" s="568"/>
    </row>
    <row r="745" spans="1:26" ht="18.75" hidden="1">
      <c r="A745" s="615"/>
      <c r="B745" s="571"/>
      <c r="C745" s="723"/>
      <c r="D745" s="723"/>
      <c r="E745" s="723"/>
      <c r="F745" s="723" t="s">
        <v>188</v>
      </c>
      <c r="G745" s="567"/>
      <c r="H745" s="165" t="s">
        <v>12</v>
      </c>
      <c r="I745" s="583"/>
      <c r="J745" s="583"/>
      <c r="K745" s="93"/>
      <c r="L745" s="93"/>
      <c r="M745" s="93"/>
      <c r="N745" s="93"/>
      <c r="O745" s="93"/>
      <c r="P745" s="93"/>
      <c r="Q745" s="568"/>
      <c r="R745" s="568"/>
      <c r="S745" s="568"/>
      <c r="T745" s="568"/>
      <c r="U745" s="568"/>
      <c r="V745" s="568"/>
      <c r="W745" s="568"/>
      <c r="X745" s="568"/>
      <c r="Y745" s="568"/>
      <c r="Z745" s="568"/>
    </row>
    <row r="746" spans="1:26" ht="18.75" hidden="1">
      <c r="A746" s="615"/>
      <c r="B746" s="571"/>
      <c r="C746" s="723"/>
      <c r="D746" s="723"/>
      <c r="E746" s="723"/>
      <c r="F746" s="723" t="s">
        <v>189</v>
      </c>
      <c r="G746" s="567"/>
      <c r="H746" s="165" t="s">
        <v>12</v>
      </c>
      <c r="I746" s="583"/>
      <c r="J746" s="583"/>
      <c r="K746" s="93"/>
      <c r="L746" s="93"/>
      <c r="M746" s="93"/>
      <c r="N746" s="93"/>
      <c r="O746" s="93"/>
      <c r="P746" s="93"/>
      <c r="Q746" s="568"/>
      <c r="R746" s="568"/>
      <c r="S746" s="568"/>
      <c r="T746" s="568"/>
      <c r="U746" s="568"/>
      <c r="V746" s="568"/>
      <c r="W746" s="568"/>
      <c r="X746" s="568"/>
      <c r="Y746" s="568"/>
      <c r="Z746" s="568"/>
    </row>
    <row r="747" spans="1:26" ht="19.5" hidden="1">
      <c r="A747" s="563"/>
      <c r="B747" s="571"/>
      <c r="C747" s="723"/>
      <c r="D747" s="611" t="s">
        <v>21</v>
      </c>
      <c r="E747" s="723"/>
      <c r="F747" s="723"/>
      <c r="G747" s="567"/>
      <c r="H747" s="747" t="s">
        <v>12</v>
      </c>
      <c r="I747" s="166"/>
      <c r="J747" s="166"/>
      <c r="K747" s="167"/>
      <c r="L747" s="613">
        <f t="shared" ref="L747:N747" si="298">L748+L749</f>
        <v>0</v>
      </c>
      <c r="M747" s="613">
        <f t="shared" si="298"/>
        <v>0</v>
      </c>
      <c r="N747" s="613">
        <f t="shared" si="298"/>
        <v>0</v>
      </c>
      <c r="O747" s="613">
        <f t="shared" ref="O747:O749" si="299">IF(L747&gt;0,N747*100/L747,0)</f>
        <v>0</v>
      </c>
      <c r="P747" s="613">
        <f t="shared" ref="P747:P749" si="300">IF(M747&gt;0,N747*100/M747,0)</f>
        <v>0</v>
      </c>
      <c r="Q747" s="568"/>
      <c r="R747" s="568"/>
      <c r="S747" s="568"/>
      <c r="T747" s="568"/>
      <c r="U747" s="568"/>
      <c r="V747" s="568"/>
      <c r="W747" s="568"/>
      <c r="X747" s="568"/>
      <c r="Y747" s="568"/>
      <c r="Z747" s="568"/>
    </row>
    <row r="748" spans="1:26" ht="18.75" hidden="1">
      <c r="A748" s="563"/>
      <c r="B748" s="571"/>
      <c r="C748" s="723"/>
      <c r="D748" s="723"/>
      <c r="E748" s="723" t="s">
        <v>18</v>
      </c>
      <c r="F748" s="723"/>
      <c r="G748" s="567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299"/>
        <v>0</v>
      </c>
      <c r="P748" s="93">
        <f t="shared" si="300"/>
        <v>0</v>
      </c>
      <c r="Q748" s="568"/>
      <c r="R748" s="568"/>
      <c r="S748" s="568"/>
      <c r="T748" s="568"/>
      <c r="U748" s="568"/>
      <c r="V748" s="568"/>
      <c r="W748" s="568"/>
      <c r="X748" s="568"/>
      <c r="Y748" s="568"/>
      <c r="Z748" s="568"/>
    </row>
    <row r="749" spans="1:26" ht="18.75" hidden="1">
      <c r="A749" s="563"/>
      <c r="B749" s="571"/>
      <c r="C749" s="723"/>
      <c r="D749" s="723"/>
      <c r="E749" s="723" t="s">
        <v>19</v>
      </c>
      <c r="F749" s="723"/>
      <c r="G749" s="567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299"/>
        <v>0</v>
      </c>
      <c r="P749" s="93">
        <f t="shared" si="300"/>
        <v>0</v>
      </c>
      <c r="Q749" s="568"/>
      <c r="R749" s="568"/>
      <c r="S749" s="568"/>
      <c r="T749" s="568"/>
      <c r="U749" s="568"/>
      <c r="V749" s="568"/>
      <c r="W749" s="568"/>
      <c r="X749" s="568"/>
      <c r="Y749" s="568"/>
      <c r="Z749" s="568"/>
    </row>
    <row r="750" spans="1:26" ht="19.5" hidden="1">
      <c r="A750" s="578"/>
      <c r="B750" s="580"/>
      <c r="C750" s="723" t="s">
        <v>16</v>
      </c>
      <c r="D750" s="856" t="s">
        <v>38</v>
      </c>
      <c r="E750" s="617"/>
      <c r="F750" s="617"/>
      <c r="G750" s="618"/>
      <c r="H750" s="581"/>
      <c r="I750" s="166"/>
      <c r="J750" s="166"/>
      <c r="K750" s="167"/>
      <c r="L750" s="167"/>
      <c r="M750" s="167"/>
      <c r="N750" s="167"/>
      <c r="O750" s="167"/>
      <c r="P750" s="167"/>
      <c r="Q750" s="568"/>
      <c r="R750" s="568"/>
      <c r="S750" s="568"/>
      <c r="T750" s="568"/>
      <c r="U750" s="568"/>
      <c r="V750" s="568"/>
      <c r="W750" s="568"/>
      <c r="X750" s="568"/>
      <c r="Y750" s="568"/>
      <c r="Z750" s="568"/>
    </row>
    <row r="751" spans="1:26" ht="18.75" hidden="1">
      <c r="A751" s="615"/>
      <c r="B751" s="571"/>
      <c r="C751" s="723"/>
      <c r="D751" s="723"/>
      <c r="E751" s="723" t="s">
        <v>313</v>
      </c>
      <c r="F751" s="723"/>
      <c r="G751" s="567"/>
      <c r="H751" s="165" t="s">
        <v>46</v>
      </c>
      <c r="I751" s="583"/>
      <c r="J751" s="583"/>
      <c r="K751" s="93"/>
      <c r="L751" s="93"/>
      <c r="M751" s="93"/>
      <c r="N751" s="93"/>
      <c r="O751" s="93"/>
      <c r="P751" s="93"/>
      <c r="Q751" s="568"/>
      <c r="R751" s="568"/>
      <c r="S751" s="568"/>
      <c r="T751" s="568"/>
      <c r="U751" s="568"/>
      <c r="V751" s="568"/>
      <c r="W751" s="568"/>
      <c r="X751" s="568"/>
      <c r="Y751" s="568"/>
      <c r="Z751" s="568"/>
    </row>
    <row r="752" spans="1:26" ht="18.75" hidden="1">
      <c r="A752" s="615"/>
      <c r="B752" s="571"/>
      <c r="C752" s="723"/>
      <c r="D752" s="723"/>
      <c r="E752" s="723"/>
      <c r="F752" s="723"/>
      <c r="G752" s="567"/>
      <c r="H752" s="165" t="s">
        <v>314</v>
      </c>
      <c r="I752" s="583"/>
      <c r="J752" s="583"/>
      <c r="K752" s="93"/>
      <c r="L752" s="93"/>
      <c r="M752" s="93"/>
      <c r="N752" s="93"/>
      <c r="O752" s="93"/>
      <c r="P752" s="93"/>
      <c r="Q752" s="568"/>
      <c r="R752" s="568"/>
      <c r="S752" s="568"/>
      <c r="T752" s="568"/>
      <c r="U752" s="568"/>
      <c r="V752" s="568"/>
      <c r="W752" s="568"/>
      <c r="X752" s="568"/>
      <c r="Y752" s="568"/>
      <c r="Z752" s="568"/>
    </row>
    <row r="753" spans="1:26" ht="19.5" hidden="1">
      <c r="A753" s="749">
        <v>10</v>
      </c>
      <c r="B753" s="750" t="s">
        <v>315</v>
      </c>
      <c r="C753" s="751"/>
      <c r="D753" s="751"/>
      <c r="E753" s="751"/>
      <c r="F753" s="751"/>
      <c r="G753" s="752"/>
      <c r="H753" s="753" t="s">
        <v>46</v>
      </c>
      <c r="I753" s="754"/>
      <c r="J753" s="754">
        <f>J768</f>
        <v>0</v>
      </c>
      <c r="K753" s="755">
        <f>IF(I753&gt;0,J753*100/I753,0)</f>
        <v>0</v>
      </c>
      <c r="L753" s="756"/>
      <c r="M753" s="756"/>
      <c r="N753" s="756"/>
      <c r="O753" s="756"/>
      <c r="P753" s="756"/>
      <c r="Q753" s="568"/>
      <c r="R753" s="568"/>
      <c r="S753" s="568"/>
      <c r="T753" s="568"/>
      <c r="U753" s="568"/>
      <c r="V753" s="568"/>
      <c r="W753" s="568"/>
      <c r="X753" s="568"/>
      <c r="Y753" s="568"/>
      <c r="Z753" s="568"/>
    </row>
    <row r="754" spans="1:26" ht="19.5" hidden="1">
      <c r="A754" s="563"/>
      <c r="B754" s="723"/>
      <c r="C754" s="723" t="s">
        <v>16</v>
      </c>
      <c r="D754" s="812" t="s">
        <v>17</v>
      </c>
      <c r="E754" s="805"/>
      <c r="F754" s="805"/>
      <c r="G754" s="567"/>
      <c r="H754" s="612" t="s">
        <v>12</v>
      </c>
      <c r="I754" s="583"/>
      <c r="J754" s="583"/>
      <c r="K754" s="93"/>
      <c r="L754" s="613">
        <f t="shared" ref="L754:N754" si="301">L755+L756</f>
        <v>0</v>
      </c>
      <c r="M754" s="613">
        <f t="shared" si="301"/>
        <v>0</v>
      </c>
      <c r="N754" s="613">
        <f t="shared" si="301"/>
        <v>0</v>
      </c>
      <c r="O754" s="613">
        <f t="shared" ref="O754:O759" si="302">IF(L754&gt;0,N754*100/L754,0)</f>
        <v>0</v>
      </c>
      <c r="P754" s="613">
        <f t="shared" ref="P754:P759" si="303">IF(M754&gt;0,N754*100/M754,0)</f>
        <v>0</v>
      </c>
      <c r="Q754" s="568"/>
      <c r="R754" s="568"/>
      <c r="S754" s="568"/>
      <c r="T754" s="568"/>
      <c r="U754" s="568"/>
      <c r="V754" s="568"/>
      <c r="W754" s="568"/>
      <c r="X754" s="568"/>
      <c r="Y754" s="568"/>
      <c r="Z754" s="568"/>
    </row>
    <row r="755" spans="1:26" ht="18.75" hidden="1">
      <c r="A755" s="563"/>
      <c r="B755" s="723"/>
      <c r="C755" s="723"/>
      <c r="D755" s="684"/>
      <c r="E755" s="723" t="s">
        <v>184</v>
      </c>
      <c r="F755" s="723"/>
      <c r="G755" s="567"/>
      <c r="H755" s="165" t="s">
        <v>12</v>
      </c>
      <c r="I755" s="583"/>
      <c r="J755" s="583"/>
      <c r="K755" s="93"/>
      <c r="L755" s="93">
        <f t="shared" ref="L755:N756" si="304">L758+L765</f>
        <v>0</v>
      </c>
      <c r="M755" s="93">
        <f t="shared" si="304"/>
        <v>0</v>
      </c>
      <c r="N755" s="93">
        <f t="shared" si="304"/>
        <v>0</v>
      </c>
      <c r="O755" s="93">
        <f t="shared" si="302"/>
        <v>0</v>
      </c>
      <c r="P755" s="93">
        <f t="shared" si="303"/>
        <v>0</v>
      </c>
      <c r="Q755" s="568"/>
      <c r="R755" s="568"/>
      <c r="S755" s="568"/>
      <c r="T755" s="568"/>
      <c r="U755" s="568"/>
      <c r="V755" s="568"/>
      <c r="W755" s="568"/>
      <c r="X755" s="568"/>
      <c r="Y755" s="568"/>
      <c r="Z755" s="568"/>
    </row>
    <row r="756" spans="1:26" ht="18.75" hidden="1">
      <c r="A756" s="563"/>
      <c r="B756" s="571"/>
      <c r="C756" s="723"/>
      <c r="D756" s="684"/>
      <c r="E756" s="723" t="s">
        <v>185</v>
      </c>
      <c r="F756" s="723"/>
      <c r="G756" s="567"/>
      <c r="H756" s="165" t="s">
        <v>12</v>
      </c>
      <c r="I756" s="583"/>
      <c r="J756" s="583"/>
      <c r="K756" s="93"/>
      <c r="L756" s="93">
        <f t="shared" si="304"/>
        <v>0</v>
      </c>
      <c r="M756" s="93">
        <f t="shared" si="304"/>
        <v>0</v>
      </c>
      <c r="N756" s="93">
        <f t="shared" si="304"/>
        <v>0</v>
      </c>
      <c r="O756" s="93">
        <f t="shared" si="302"/>
        <v>0</v>
      </c>
      <c r="P756" s="93">
        <f t="shared" si="303"/>
        <v>0</v>
      </c>
      <c r="Q756" s="568"/>
      <c r="R756" s="568"/>
      <c r="S756" s="568"/>
      <c r="T756" s="568"/>
      <c r="U756" s="568"/>
      <c r="V756" s="568"/>
      <c r="W756" s="568"/>
      <c r="X756" s="568"/>
      <c r="Y756" s="568"/>
      <c r="Z756" s="568"/>
    </row>
    <row r="757" spans="1:26" ht="19.5" hidden="1">
      <c r="A757" s="563"/>
      <c r="B757" s="571"/>
      <c r="C757" s="723"/>
      <c r="D757" s="611" t="s">
        <v>20</v>
      </c>
      <c r="E757" s="723"/>
      <c r="F757" s="723"/>
      <c r="G757" s="567"/>
      <c r="H757" s="612" t="s">
        <v>12</v>
      </c>
      <c r="I757" s="166"/>
      <c r="J757" s="166"/>
      <c r="K757" s="167"/>
      <c r="L757" s="613">
        <f t="shared" ref="L757:N757" si="305">L758+L759</f>
        <v>0</v>
      </c>
      <c r="M757" s="613">
        <f t="shared" si="305"/>
        <v>0</v>
      </c>
      <c r="N757" s="613">
        <f t="shared" si="305"/>
        <v>0</v>
      </c>
      <c r="O757" s="613">
        <f t="shared" si="302"/>
        <v>0</v>
      </c>
      <c r="P757" s="613">
        <f t="shared" si="303"/>
        <v>0</v>
      </c>
      <c r="Q757" s="568"/>
      <c r="R757" s="568"/>
      <c r="S757" s="568"/>
      <c r="T757" s="568"/>
      <c r="U757" s="568"/>
      <c r="V757" s="568"/>
      <c r="W757" s="568"/>
      <c r="X757" s="568"/>
      <c r="Y757" s="568"/>
      <c r="Z757" s="568"/>
    </row>
    <row r="758" spans="1:26" ht="18.75" hidden="1">
      <c r="A758" s="563"/>
      <c r="B758" s="571"/>
      <c r="C758" s="723"/>
      <c r="D758" s="684"/>
      <c r="E758" s="723" t="s">
        <v>184</v>
      </c>
      <c r="F758" s="723"/>
      <c r="G758" s="567"/>
      <c r="H758" s="165" t="s">
        <v>12</v>
      </c>
      <c r="I758" s="583"/>
      <c r="J758" s="583"/>
      <c r="K758" s="93"/>
      <c r="L758" s="93">
        <v>0</v>
      </c>
      <c r="M758" s="93">
        <v>0</v>
      </c>
      <c r="N758" s="93">
        <v>0</v>
      </c>
      <c r="O758" s="93">
        <f t="shared" si="302"/>
        <v>0</v>
      </c>
      <c r="P758" s="93">
        <f t="shared" si="303"/>
        <v>0</v>
      </c>
      <c r="Q758" s="568"/>
      <c r="R758" s="568"/>
      <c r="S758" s="568"/>
      <c r="T758" s="568"/>
      <c r="U758" s="568"/>
      <c r="V758" s="568"/>
      <c r="W758" s="568"/>
      <c r="X758" s="568"/>
      <c r="Y758" s="568"/>
      <c r="Z758" s="568"/>
    </row>
    <row r="759" spans="1:26" ht="18.75" hidden="1">
      <c r="A759" s="563"/>
      <c r="B759" s="571"/>
      <c r="C759" s="723"/>
      <c r="D759" s="684"/>
      <c r="E759" s="723" t="s">
        <v>185</v>
      </c>
      <c r="F759" s="723"/>
      <c r="G759" s="567"/>
      <c r="H759" s="165" t="s">
        <v>12</v>
      </c>
      <c r="I759" s="583"/>
      <c r="J759" s="583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2"/>
        <v>0</v>
      </c>
      <c r="P759" s="93">
        <f t="shared" si="303"/>
        <v>0</v>
      </c>
      <c r="Q759" s="568"/>
      <c r="R759" s="568"/>
      <c r="S759" s="568"/>
      <c r="T759" s="568"/>
      <c r="U759" s="568"/>
      <c r="V759" s="568"/>
      <c r="W759" s="568"/>
      <c r="X759" s="568"/>
      <c r="Y759" s="568"/>
      <c r="Z759" s="568"/>
    </row>
    <row r="760" spans="1:26" ht="18.75" hidden="1">
      <c r="A760" s="615"/>
      <c r="B760" s="571"/>
      <c r="C760" s="723"/>
      <c r="D760" s="723"/>
      <c r="E760" s="723"/>
      <c r="F760" s="723" t="s">
        <v>186</v>
      </c>
      <c r="G760" s="567"/>
      <c r="H760" s="165" t="s">
        <v>12</v>
      </c>
      <c r="I760" s="583"/>
      <c r="J760" s="583"/>
      <c r="K760" s="93"/>
      <c r="L760" s="93"/>
      <c r="M760" s="93"/>
      <c r="N760" s="93"/>
      <c r="O760" s="93"/>
      <c r="P760" s="93"/>
      <c r="Q760" s="568"/>
      <c r="R760" s="568"/>
      <c r="S760" s="568"/>
      <c r="T760" s="568"/>
      <c r="U760" s="568"/>
      <c r="V760" s="568"/>
      <c r="W760" s="568"/>
      <c r="X760" s="568"/>
      <c r="Y760" s="568"/>
      <c r="Z760" s="568"/>
    </row>
    <row r="761" spans="1:26" ht="18.75" hidden="1">
      <c r="A761" s="615"/>
      <c r="B761" s="571"/>
      <c r="C761" s="723"/>
      <c r="D761" s="723"/>
      <c r="E761" s="723"/>
      <c r="F761" s="723" t="s">
        <v>187</v>
      </c>
      <c r="G761" s="567"/>
      <c r="H761" s="165" t="s">
        <v>12</v>
      </c>
      <c r="I761" s="583"/>
      <c r="J761" s="583"/>
      <c r="K761" s="93"/>
      <c r="L761" s="93"/>
      <c r="M761" s="93"/>
      <c r="N761" s="93"/>
      <c r="O761" s="93"/>
      <c r="P761" s="93"/>
      <c r="Q761" s="568"/>
      <c r="R761" s="568"/>
      <c r="S761" s="568"/>
      <c r="T761" s="568"/>
      <c r="U761" s="568"/>
      <c r="V761" s="568"/>
      <c r="W761" s="568"/>
      <c r="X761" s="568"/>
      <c r="Y761" s="568"/>
      <c r="Z761" s="568"/>
    </row>
    <row r="762" spans="1:26" ht="18.75" hidden="1">
      <c r="A762" s="615"/>
      <c r="B762" s="571"/>
      <c r="C762" s="723"/>
      <c r="D762" s="723"/>
      <c r="E762" s="723"/>
      <c r="F762" s="723" t="s">
        <v>188</v>
      </c>
      <c r="G762" s="567"/>
      <c r="H762" s="165" t="s">
        <v>12</v>
      </c>
      <c r="I762" s="583"/>
      <c r="J762" s="583"/>
      <c r="K762" s="93"/>
      <c r="L762" s="93"/>
      <c r="M762" s="93"/>
      <c r="N762" s="93"/>
      <c r="O762" s="93"/>
      <c r="P762" s="93"/>
      <c r="Q762" s="568"/>
      <c r="R762" s="568"/>
      <c r="S762" s="568"/>
      <c r="T762" s="568"/>
      <c r="U762" s="568"/>
      <c r="V762" s="568"/>
      <c r="W762" s="568"/>
      <c r="X762" s="568"/>
      <c r="Y762" s="568"/>
      <c r="Z762" s="568"/>
    </row>
    <row r="763" spans="1:26" ht="18.75" hidden="1">
      <c r="A763" s="615"/>
      <c r="B763" s="571"/>
      <c r="C763" s="723"/>
      <c r="D763" s="723"/>
      <c r="E763" s="723"/>
      <c r="F763" s="723" t="s">
        <v>189</v>
      </c>
      <c r="G763" s="567"/>
      <c r="H763" s="165" t="s">
        <v>12</v>
      </c>
      <c r="I763" s="583"/>
      <c r="J763" s="583"/>
      <c r="K763" s="93"/>
      <c r="L763" s="93"/>
      <c r="M763" s="93"/>
      <c r="N763" s="93"/>
      <c r="O763" s="93"/>
      <c r="P763" s="93"/>
      <c r="Q763" s="568"/>
      <c r="R763" s="568"/>
      <c r="S763" s="568"/>
      <c r="T763" s="568"/>
      <c r="U763" s="568"/>
      <c r="V763" s="568"/>
      <c r="W763" s="568"/>
      <c r="X763" s="568"/>
      <c r="Y763" s="568"/>
      <c r="Z763" s="568"/>
    </row>
    <row r="764" spans="1:26" ht="19.5" hidden="1">
      <c r="A764" s="563"/>
      <c r="B764" s="571"/>
      <c r="C764" s="723"/>
      <c r="D764" s="611" t="s">
        <v>21</v>
      </c>
      <c r="E764" s="723"/>
      <c r="F764" s="723"/>
      <c r="G764" s="567"/>
      <c r="H764" s="747" t="s">
        <v>12</v>
      </c>
      <c r="I764" s="166"/>
      <c r="J764" s="166"/>
      <c r="K764" s="167"/>
      <c r="L764" s="613">
        <f t="shared" ref="L764:N764" si="306">L765+L766</f>
        <v>0</v>
      </c>
      <c r="M764" s="613">
        <f t="shared" si="306"/>
        <v>0</v>
      </c>
      <c r="N764" s="613">
        <f t="shared" si="306"/>
        <v>0</v>
      </c>
      <c r="O764" s="613">
        <f t="shared" ref="O764:O766" si="307">IF(L764&gt;0,N764*100/L764,0)</f>
        <v>0</v>
      </c>
      <c r="P764" s="613">
        <f t="shared" ref="P764:P766" si="308">IF(M764&gt;0,N764*100/M764,0)</f>
        <v>0</v>
      </c>
      <c r="Q764" s="568"/>
      <c r="R764" s="568"/>
      <c r="S764" s="568"/>
      <c r="T764" s="568"/>
      <c r="U764" s="568"/>
      <c r="V764" s="568"/>
      <c r="W764" s="568"/>
      <c r="X764" s="568"/>
      <c r="Y764" s="568"/>
      <c r="Z764" s="568"/>
    </row>
    <row r="765" spans="1:26" ht="18.75" hidden="1">
      <c r="A765" s="563"/>
      <c r="B765" s="571"/>
      <c r="C765" s="723"/>
      <c r="D765" s="723"/>
      <c r="E765" s="723" t="s">
        <v>18</v>
      </c>
      <c r="F765" s="723"/>
      <c r="G765" s="567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7"/>
        <v>0</v>
      </c>
      <c r="P765" s="93">
        <f t="shared" si="308"/>
        <v>0</v>
      </c>
      <c r="Q765" s="568"/>
      <c r="R765" s="568"/>
      <c r="S765" s="568"/>
      <c r="T765" s="568"/>
      <c r="U765" s="568"/>
      <c r="V765" s="568"/>
      <c r="W765" s="568"/>
      <c r="X765" s="568"/>
      <c r="Y765" s="568"/>
      <c r="Z765" s="568"/>
    </row>
    <row r="766" spans="1:26" ht="18.75" hidden="1">
      <c r="A766" s="563"/>
      <c r="B766" s="571"/>
      <c r="C766" s="723"/>
      <c r="D766" s="723"/>
      <c r="E766" s="723" t="s">
        <v>19</v>
      </c>
      <c r="F766" s="723"/>
      <c r="G766" s="567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7"/>
        <v>0</v>
      </c>
      <c r="P766" s="93">
        <f t="shared" si="308"/>
        <v>0</v>
      </c>
      <c r="Q766" s="568"/>
      <c r="R766" s="568"/>
      <c r="S766" s="568"/>
      <c r="T766" s="568"/>
      <c r="U766" s="568"/>
      <c r="V766" s="568"/>
      <c r="W766" s="568"/>
      <c r="X766" s="568"/>
      <c r="Y766" s="568"/>
      <c r="Z766" s="568"/>
    </row>
    <row r="767" spans="1:26" ht="19.5" hidden="1">
      <c r="A767" s="578"/>
      <c r="B767" s="580"/>
      <c r="C767" s="723" t="s">
        <v>16</v>
      </c>
      <c r="D767" s="856" t="s">
        <v>38</v>
      </c>
      <c r="E767" s="617"/>
      <c r="F767" s="617"/>
      <c r="G767" s="618"/>
      <c r="H767" s="581"/>
      <c r="I767" s="166"/>
      <c r="J767" s="166"/>
      <c r="K767" s="167"/>
      <c r="L767" s="167"/>
      <c r="M767" s="167"/>
      <c r="N767" s="167"/>
      <c r="O767" s="167"/>
      <c r="P767" s="167"/>
      <c r="Q767" s="568"/>
      <c r="R767" s="568"/>
      <c r="S767" s="568"/>
      <c r="T767" s="568"/>
      <c r="U767" s="568"/>
      <c r="V767" s="568"/>
      <c r="W767" s="568"/>
      <c r="X767" s="568"/>
      <c r="Y767" s="568"/>
      <c r="Z767" s="568"/>
    </row>
    <row r="768" spans="1:26" ht="18.75" hidden="1">
      <c r="A768" s="615"/>
      <c r="B768" s="571"/>
      <c r="C768" s="723"/>
      <c r="D768" s="723"/>
      <c r="E768" s="723" t="s">
        <v>316</v>
      </c>
      <c r="F768" s="723"/>
      <c r="G768" s="567"/>
      <c r="H768" s="165" t="s">
        <v>46</v>
      </c>
      <c r="I768" s="583"/>
      <c r="J768" s="583"/>
      <c r="K768" s="93"/>
      <c r="L768" s="93"/>
      <c r="M768" s="93"/>
      <c r="N768" s="93"/>
      <c r="O768" s="93"/>
      <c r="P768" s="93"/>
      <c r="Q768" s="568"/>
      <c r="R768" s="568"/>
      <c r="S768" s="568"/>
      <c r="T768" s="568"/>
      <c r="U768" s="568"/>
      <c r="V768" s="568"/>
      <c r="W768" s="568"/>
      <c r="X768" s="568"/>
      <c r="Y768" s="568"/>
      <c r="Z768" s="568"/>
    </row>
    <row r="769" spans="1:26" ht="19.5" hidden="1">
      <c r="A769" s="757">
        <v>11</v>
      </c>
      <c r="B769" s="758" t="s">
        <v>317</v>
      </c>
      <c r="C769" s="759"/>
      <c r="D769" s="759"/>
      <c r="E769" s="759"/>
      <c r="F769" s="759"/>
      <c r="G769" s="760"/>
      <c r="H769" s="761" t="s">
        <v>46</v>
      </c>
      <c r="I769" s="762"/>
      <c r="J769" s="762">
        <f>J784</f>
        <v>0</v>
      </c>
      <c r="K769" s="763">
        <f>IF(I769&gt;0,J769*100/I769,0)</f>
        <v>0</v>
      </c>
      <c r="L769" s="764"/>
      <c r="M769" s="764"/>
      <c r="N769" s="764"/>
      <c r="O769" s="764"/>
      <c r="P769" s="764"/>
      <c r="Q769" s="568"/>
      <c r="R769" s="568"/>
      <c r="S769" s="568"/>
      <c r="T769" s="568"/>
      <c r="U769" s="568"/>
      <c r="V769" s="568"/>
      <c r="W769" s="568"/>
      <c r="X769" s="568"/>
      <c r="Y769" s="568"/>
      <c r="Z769" s="568"/>
    </row>
    <row r="770" spans="1:26" ht="19.5" hidden="1">
      <c r="A770" s="563"/>
      <c r="B770" s="723"/>
      <c r="C770" s="723" t="s">
        <v>16</v>
      </c>
      <c r="D770" s="812" t="s">
        <v>17</v>
      </c>
      <c r="E770" s="805"/>
      <c r="F770" s="805"/>
      <c r="G770" s="567"/>
      <c r="H770" s="612" t="s">
        <v>12</v>
      </c>
      <c r="I770" s="583"/>
      <c r="J770" s="583"/>
      <c r="K770" s="93"/>
      <c r="L770" s="613">
        <f t="shared" ref="L770:N770" si="309">L771+L772</f>
        <v>0</v>
      </c>
      <c r="M770" s="613">
        <f t="shared" si="309"/>
        <v>0</v>
      </c>
      <c r="N770" s="613">
        <f t="shared" si="309"/>
        <v>0</v>
      </c>
      <c r="O770" s="613">
        <f t="shared" ref="O770:O775" si="310">IF(L770&gt;0,N770*100/L770,0)</f>
        <v>0</v>
      </c>
      <c r="P770" s="613">
        <f t="shared" ref="P770:P775" si="311">IF(M770&gt;0,N770*100/M770,0)</f>
        <v>0</v>
      </c>
      <c r="Q770" s="568"/>
      <c r="R770" s="568"/>
      <c r="S770" s="568"/>
      <c r="T770" s="568"/>
      <c r="U770" s="568"/>
      <c r="V770" s="568"/>
      <c r="W770" s="568"/>
      <c r="X770" s="568"/>
      <c r="Y770" s="568"/>
      <c r="Z770" s="568"/>
    </row>
    <row r="771" spans="1:26" ht="18.75" hidden="1">
      <c r="A771" s="563"/>
      <c r="B771" s="723"/>
      <c r="C771" s="723"/>
      <c r="D771" s="684"/>
      <c r="E771" s="723" t="s">
        <v>184</v>
      </c>
      <c r="F771" s="723"/>
      <c r="G771" s="567"/>
      <c r="H771" s="165" t="s">
        <v>12</v>
      </c>
      <c r="I771" s="583"/>
      <c r="J771" s="583"/>
      <c r="K771" s="93"/>
      <c r="L771" s="93">
        <f t="shared" ref="L771:N772" si="312">L774+L781</f>
        <v>0</v>
      </c>
      <c r="M771" s="93">
        <f t="shared" si="312"/>
        <v>0</v>
      </c>
      <c r="N771" s="93">
        <f t="shared" si="312"/>
        <v>0</v>
      </c>
      <c r="O771" s="93">
        <f t="shared" si="310"/>
        <v>0</v>
      </c>
      <c r="P771" s="93">
        <f t="shared" si="311"/>
        <v>0</v>
      </c>
      <c r="Q771" s="568"/>
      <c r="R771" s="568"/>
      <c r="S771" s="568"/>
      <c r="T771" s="568"/>
      <c r="U771" s="568"/>
      <c r="V771" s="568"/>
      <c r="W771" s="568"/>
      <c r="X771" s="568"/>
      <c r="Y771" s="568"/>
      <c r="Z771" s="568"/>
    </row>
    <row r="772" spans="1:26" ht="18.75" hidden="1">
      <c r="A772" s="563"/>
      <c r="B772" s="571"/>
      <c r="C772" s="723"/>
      <c r="D772" s="684"/>
      <c r="E772" s="723" t="s">
        <v>185</v>
      </c>
      <c r="F772" s="723"/>
      <c r="G772" s="567"/>
      <c r="H772" s="165" t="s">
        <v>12</v>
      </c>
      <c r="I772" s="583"/>
      <c r="J772" s="583"/>
      <c r="K772" s="93"/>
      <c r="L772" s="93">
        <f t="shared" si="312"/>
        <v>0</v>
      </c>
      <c r="M772" s="93">
        <f t="shared" si="312"/>
        <v>0</v>
      </c>
      <c r="N772" s="93">
        <f t="shared" si="312"/>
        <v>0</v>
      </c>
      <c r="O772" s="93">
        <f t="shared" si="310"/>
        <v>0</v>
      </c>
      <c r="P772" s="93">
        <f t="shared" si="311"/>
        <v>0</v>
      </c>
      <c r="Q772" s="568"/>
      <c r="R772" s="568"/>
      <c r="S772" s="568"/>
      <c r="T772" s="568"/>
      <c r="U772" s="568"/>
      <c r="V772" s="568"/>
      <c r="W772" s="568"/>
      <c r="X772" s="568"/>
      <c r="Y772" s="568"/>
      <c r="Z772" s="568"/>
    </row>
    <row r="773" spans="1:26" ht="19.5" hidden="1">
      <c r="A773" s="563"/>
      <c r="B773" s="571"/>
      <c r="C773" s="723"/>
      <c r="D773" s="611" t="s">
        <v>20</v>
      </c>
      <c r="E773" s="723"/>
      <c r="F773" s="723"/>
      <c r="G773" s="567"/>
      <c r="H773" s="612" t="s">
        <v>12</v>
      </c>
      <c r="I773" s="166"/>
      <c r="J773" s="166"/>
      <c r="K773" s="167"/>
      <c r="L773" s="613">
        <f t="shared" ref="L773:N773" si="313">L774+L775</f>
        <v>0</v>
      </c>
      <c r="M773" s="613">
        <f t="shared" si="313"/>
        <v>0</v>
      </c>
      <c r="N773" s="613">
        <f t="shared" si="313"/>
        <v>0</v>
      </c>
      <c r="O773" s="613">
        <f t="shared" si="310"/>
        <v>0</v>
      </c>
      <c r="P773" s="613">
        <f t="shared" si="311"/>
        <v>0</v>
      </c>
      <c r="Q773" s="568"/>
      <c r="R773" s="568"/>
      <c r="S773" s="568"/>
      <c r="T773" s="568"/>
      <c r="U773" s="568"/>
      <c r="V773" s="568"/>
      <c r="W773" s="568"/>
      <c r="X773" s="568"/>
      <c r="Y773" s="568"/>
      <c r="Z773" s="568"/>
    </row>
    <row r="774" spans="1:26" ht="18.75" hidden="1">
      <c r="A774" s="563"/>
      <c r="B774" s="571"/>
      <c r="C774" s="723"/>
      <c r="D774" s="684"/>
      <c r="E774" s="723" t="s">
        <v>184</v>
      </c>
      <c r="F774" s="723"/>
      <c r="G774" s="567"/>
      <c r="H774" s="165" t="s">
        <v>12</v>
      </c>
      <c r="I774" s="583"/>
      <c r="J774" s="583"/>
      <c r="K774" s="93"/>
      <c r="L774" s="93">
        <v>0</v>
      </c>
      <c r="M774" s="93">
        <v>0</v>
      </c>
      <c r="N774" s="93">
        <v>0</v>
      </c>
      <c r="O774" s="93">
        <f t="shared" si="310"/>
        <v>0</v>
      </c>
      <c r="P774" s="93">
        <f t="shared" si="311"/>
        <v>0</v>
      </c>
      <c r="Q774" s="568"/>
      <c r="R774" s="568"/>
      <c r="S774" s="568"/>
      <c r="T774" s="568"/>
      <c r="U774" s="568"/>
      <c r="V774" s="568"/>
      <c r="W774" s="568"/>
      <c r="X774" s="568"/>
      <c r="Y774" s="568"/>
      <c r="Z774" s="568"/>
    </row>
    <row r="775" spans="1:26" ht="18.75" hidden="1">
      <c r="A775" s="563"/>
      <c r="B775" s="571"/>
      <c r="C775" s="723"/>
      <c r="D775" s="684"/>
      <c r="E775" s="723" t="s">
        <v>185</v>
      </c>
      <c r="F775" s="723"/>
      <c r="G775" s="567"/>
      <c r="H775" s="165" t="s">
        <v>12</v>
      </c>
      <c r="I775" s="583"/>
      <c r="J775" s="583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0"/>
        <v>0</v>
      </c>
      <c r="P775" s="93">
        <f t="shared" si="311"/>
        <v>0</v>
      </c>
      <c r="Q775" s="568"/>
      <c r="R775" s="568"/>
      <c r="S775" s="568"/>
      <c r="T775" s="568"/>
      <c r="U775" s="568"/>
      <c r="V775" s="568"/>
      <c r="W775" s="568"/>
      <c r="X775" s="568"/>
      <c r="Y775" s="568"/>
      <c r="Z775" s="568"/>
    </row>
    <row r="776" spans="1:26" ht="18.75" hidden="1">
      <c r="A776" s="615"/>
      <c r="B776" s="571"/>
      <c r="C776" s="723"/>
      <c r="D776" s="723"/>
      <c r="E776" s="723"/>
      <c r="F776" s="723" t="s">
        <v>186</v>
      </c>
      <c r="G776" s="567"/>
      <c r="H776" s="165" t="s">
        <v>12</v>
      </c>
      <c r="I776" s="583"/>
      <c r="J776" s="583"/>
      <c r="K776" s="93"/>
      <c r="L776" s="93"/>
      <c r="M776" s="93"/>
      <c r="N776" s="93"/>
      <c r="O776" s="93"/>
      <c r="P776" s="93"/>
      <c r="Q776" s="568"/>
      <c r="R776" s="568"/>
      <c r="S776" s="568"/>
      <c r="T776" s="568"/>
      <c r="U776" s="568"/>
      <c r="V776" s="568"/>
      <c r="W776" s="568"/>
      <c r="X776" s="568"/>
      <c r="Y776" s="568"/>
      <c r="Z776" s="568"/>
    </row>
    <row r="777" spans="1:26" ht="18.75" hidden="1">
      <c r="A777" s="615"/>
      <c r="B777" s="571"/>
      <c r="C777" s="723"/>
      <c r="D777" s="723"/>
      <c r="E777" s="723"/>
      <c r="F777" s="723" t="s">
        <v>187</v>
      </c>
      <c r="G777" s="567"/>
      <c r="H777" s="165" t="s">
        <v>12</v>
      </c>
      <c r="I777" s="583"/>
      <c r="J777" s="583"/>
      <c r="K777" s="93"/>
      <c r="L777" s="93"/>
      <c r="M777" s="93"/>
      <c r="N777" s="93"/>
      <c r="O777" s="93"/>
      <c r="P777" s="93"/>
      <c r="Q777" s="568"/>
      <c r="R777" s="568"/>
      <c r="S777" s="568"/>
      <c r="T777" s="568"/>
      <c r="U777" s="568"/>
      <c r="V777" s="568"/>
      <c r="W777" s="568"/>
      <c r="X777" s="568"/>
      <c r="Y777" s="568"/>
      <c r="Z777" s="568"/>
    </row>
    <row r="778" spans="1:26" ht="18.75" hidden="1">
      <c r="A778" s="615"/>
      <c r="B778" s="571"/>
      <c r="C778" s="723"/>
      <c r="D778" s="723"/>
      <c r="E778" s="723"/>
      <c r="F778" s="723" t="s">
        <v>188</v>
      </c>
      <c r="G778" s="567"/>
      <c r="H778" s="165" t="s">
        <v>12</v>
      </c>
      <c r="I778" s="583"/>
      <c r="J778" s="583"/>
      <c r="K778" s="93"/>
      <c r="L778" s="93"/>
      <c r="M778" s="93"/>
      <c r="N778" s="93"/>
      <c r="O778" s="93"/>
      <c r="P778" s="93"/>
      <c r="Q778" s="568"/>
      <c r="R778" s="568"/>
      <c r="S778" s="568"/>
      <c r="T778" s="568"/>
      <c r="U778" s="568"/>
      <c r="V778" s="568"/>
      <c r="W778" s="568"/>
      <c r="X778" s="568"/>
      <c r="Y778" s="568"/>
      <c r="Z778" s="568"/>
    </row>
    <row r="779" spans="1:26" ht="18.75" hidden="1">
      <c r="A779" s="615"/>
      <c r="B779" s="571"/>
      <c r="C779" s="723"/>
      <c r="D779" s="723"/>
      <c r="E779" s="723"/>
      <c r="F779" s="723" t="s">
        <v>189</v>
      </c>
      <c r="G779" s="567"/>
      <c r="H779" s="165" t="s">
        <v>12</v>
      </c>
      <c r="I779" s="583"/>
      <c r="J779" s="583"/>
      <c r="K779" s="93"/>
      <c r="L779" s="93"/>
      <c r="M779" s="93"/>
      <c r="N779" s="93"/>
      <c r="O779" s="93"/>
      <c r="P779" s="93"/>
      <c r="Q779" s="568"/>
      <c r="R779" s="568"/>
      <c r="S779" s="568"/>
      <c r="T779" s="568"/>
      <c r="U779" s="568"/>
      <c r="V779" s="568"/>
      <c r="W779" s="568"/>
      <c r="X779" s="568"/>
      <c r="Y779" s="568"/>
      <c r="Z779" s="568"/>
    </row>
    <row r="780" spans="1:26" ht="19.5" hidden="1">
      <c r="A780" s="563"/>
      <c r="B780" s="571"/>
      <c r="C780" s="723"/>
      <c r="D780" s="611" t="s">
        <v>21</v>
      </c>
      <c r="E780" s="723"/>
      <c r="F780" s="723"/>
      <c r="G780" s="567"/>
      <c r="H780" s="747" t="s">
        <v>12</v>
      </c>
      <c r="I780" s="166"/>
      <c r="J780" s="166"/>
      <c r="K780" s="167"/>
      <c r="L780" s="613">
        <f t="shared" ref="L780:N780" si="314">L781+L782</f>
        <v>0</v>
      </c>
      <c r="M780" s="613">
        <f t="shared" si="314"/>
        <v>0</v>
      </c>
      <c r="N780" s="613">
        <f t="shared" si="314"/>
        <v>0</v>
      </c>
      <c r="O780" s="613">
        <f t="shared" ref="O780:O782" si="315">IF(L780&gt;0,N780*100/L780,0)</f>
        <v>0</v>
      </c>
      <c r="P780" s="613">
        <f t="shared" ref="P780:P782" si="316">IF(M780&gt;0,N780*100/M780,0)</f>
        <v>0</v>
      </c>
      <c r="Q780" s="568"/>
      <c r="R780" s="568"/>
      <c r="S780" s="568"/>
      <c r="T780" s="568"/>
      <c r="U780" s="568"/>
      <c r="V780" s="568"/>
      <c r="W780" s="568"/>
      <c r="X780" s="568"/>
      <c r="Y780" s="568"/>
      <c r="Z780" s="568"/>
    </row>
    <row r="781" spans="1:26" ht="18.75" hidden="1">
      <c r="A781" s="563"/>
      <c r="B781" s="571"/>
      <c r="C781" s="723"/>
      <c r="D781" s="723"/>
      <c r="E781" s="723" t="s">
        <v>18</v>
      </c>
      <c r="F781" s="723"/>
      <c r="G781" s="567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5"/>
        <v>0</v>
      </c>
      <c r="P781" s="93">
        <f t="shared" si="316"/>
        <v>0</v>
      </c>
      <c r="Q781" s="568"/>
      <c r="R781" s="568"/>
      <c r="S781" s="568"/>
      <c r="T781" s="568"/>
      <c r="U781" s="568"/>
      <c r="V781" s="568"/>
      <c r="W781" s="568"/>
      <c r="X781" s="568"/>
      <c r="Y781" s="568"/>
      <c r="Z781" s="568"/>
    </row>
    <row r="782" spans="1:26" ht="18.75" hidden="1">
      <c r="A782" s="563"/>
      <c r="B782" s="571"/>
      <c r="C782" s="723"/>
      <c r="D782" s="723"/>
      <c r="E782" s="723" t="s">
        <v>19</v>
      </c>
      <c r="F782" s="723"/>
      <c r="G782" s="567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5"/>
        <v>0</v>
      </c>
      <c r="P782" s="93">
        <f t="shared" si="316"/>
        <v>0</v>
      </c>
      <c r="Q782" s="568"/>
      <c r="R782" s="568"/>
      <c r="S782" s="568"/>
      <c r="T782" s="568"/>
      <c r="U782" s="568"/>
      <c r="V782" s="568"/>
      <c r="W782" s="568"/>
      <c r="X782" s="568"/>
      <c r="Y782" s="568"/>
      <c r="Z782" s="568"/>
    </row>
    <row r="783" spans="1:26" ht="19.5" hidden="1">
      <c r="A783" s="578"/>
      <c r="B783" s="580"/>
      <c r="C783" s="723" t="s">
        <v>16</v>
      </c>
      <c r="D783" s="856" t="s">
        <v>38</v>
      </c>
      <c r="E783" s="617"/>
      <c r="F783" s="617"/>
      <c r="G783" s="618"/>
      <c r="H783" s="765"/>
      <c r="I783" s="166"/>
      <c r="J783" s="166"/>
      <c r="K783" s="167"/>
      <c r="L783" s="167"/>
      <c r="M783" s="167"/>
      <c r="N783" s="167"/>
      <c r="O783" s="167"/>
      <c r="P783" s="167"/>
      <c r="Q783" s="568"/>
      <c r="R783" s="568"/>
      <c r="S783" s="568"/>
      <c r="T783" s="568"/>
      <c r="U783" s="568"/>
      <c r="V783" s="568"/>
      <c r="W783" s="568"/>
      <c r="X783" s="568"/>
      <c r="Y783" s="568"/>
      <c r="Z783" s="568"/>
    </row>
    <row r="784" spans="1:26" ht="18.75" hidden="1">
      <c r="A784" s="615"/>
      <c r="B784" s="571"/>
      <c r="C784" s="723"/>
      <c r="D784" s="723"/>
      <c r="E784" s="723" t="s">
        <v>318</v>
      </c>
      <c r="F784" s="723"/>
      <c r="G784" s="567"/>
      <c r="H784" s="165" t="s">
        <v>46</v>
      </c>
      <c r="I784" s="583"/>
      <c r="J784" s="583"/>
      <c r="K784" s="93"/>
      <c r="L784" s="93"/>
      <c r="M784" s="93"/>
      <c r="N784" s="93"/>
      <c r="O784" s="93"/>
      <c r="P784" s="93"/>
      <c r="Q784" s="568"/>
      <c r="R784" s="568"/>
      <c r="S784" s="568"/>
      <c r="T784" s="568"/>
      <c r="U784" s="568"/>
      <c r="V784" s="568"/>
      <c r="W784" s="568"/>
      <c r="X784" s="568"/>
      <c r="Y784" s="568"/>
      <c r="Z784" s="568"/>
    </row>
    <row r="785" spans="1:26" ht="19.5">
      <c r="A785" s="766">
        <v>12</v>
      </c>
      <c r="B785" s="767" t="s">
        <v>319</v>
      </c>
      <c r="C785" s="768"/>
      <c r="D785" s="768"/>
      <c r="E785" s="768"/>
      <c r="F785" s="768"/>
      <c r="G785" s="769"/>
      <c r="H785" s="770" t="s">
        <v>46</v>
      </c>
      <c r="I785" s="771">
        <f t="shared" ref="I785:J785" ca="1" si="317">I800</f>
        <v>4000</v>
      </c>
      <c r="J785" s="771">
        <f t="shared" ca="1" si="317"/>
        <v>0</v>
      </c>
      <c r="K785" s="772">
        <f ca="1">IF(I785&gt;0,J785*100/I785,0)</f>
        <v>0</v>
      </c>
      <c r="L785" s="773"/>
      <c r="M785" s="773"/>
      <c r="N785" s="773"/>
      <c r="O785" s="773"/>
      <c r="P785" s="773"/>
      <c r="Q785" s="541"/>
      <c r="R785" s="541"/>
      <c r="S785" s="541"/>
      <c r="T785" s="541"/>
      <c r="U785" s="541"/>
      <c r="V785" s="541"/>
      <c r="W785" s="541"/>
      <c r="X785" s="541"/>
      <c r="Y785" s="541"/>
      <c r="Z785" s="541"/>
    </row>
    <row r="786" spans="1:26" ht="19.5">
      <c r="A786" s="561"/>
      <c r="B786" s="538"/>
      <c r="C786" s="727" t="s">
        <v>16</v>
      </c>
      <c r="D786" s="811" t="s">
        <v>17</v>
      </c>
      <c r="E786" s="805"/>
      <c r="F786" s="805"/>
      <c r="G786" s="189"/>
      <c r="H786" s="562" t="s">
        <v>12</v>
      </c>
      <c r="I786" s="269"/>
      <c r="J786" s="269"/>
      <c r="K786" s="465"/>
      <c r="L786" s="195">
        <f t="shared" ref="L786:N786" ca="1" si="318">L787+L788</f>
        <v>266560</v>
      </c>
      <c r="M786" s="195">
        <f t="shared" si="318"/>
        <v>0</v>
      </c>
      <c r="N786" s="195">
        <f t="shared" si="318"/>
        <v>0</v>
      </c>
      <c r="O786" s="195">
        <f t="shared" ref="O786:O791" ca="1" si="319">IF(L786&gt;0,N786*100/L786,0)</f>
        <v>0</v>
      </c>
      <c r="P786" s="195">
        <f t="shared" ref="P786:P791" si="320">IF(M786&gt;0,N786*100/M786,0)</f>
        <v>0</v>
      </c>
      <c r="Q786" s="541"/>
      <c r="R786" s="541"/>
      <c r="S786" s="541"/>
      <c r="T786" s="541"/>
      <c r="U786" s="541"/>
      <c r="V786" s="541"/>
      <c r="W786" s="541"/>
      <c r="X786" s="541"/>
      <c r="Y786" s="541"/>
      <c r="Z786" s="541"/>
    </row>
    <row r="787" spans="1:26" ht="18.75" hidden="1">
      <c r="A787" s="563"/>
      <c r="B787" s="571"/>
      <c r="C787" s="723"/>
      <c r="D787" s="684"/>
      <c r="E787" s="723" t="s">
        <v>184</v>
      </c>
      <c r="F787" s="723"/>
      <c r="G787" s="567"/>
      <c r="H787" s="165" t="s">
        <v>12</v>
      </c>
      <c r="I787" s="583"/>
      <c r="J787" s="583"/>
      <c r="K787" s="93"/>
      <c r="L787" s="93">
        <f t="shared" ref="L787:N788" si="321">L790+L797</f>
        <v>0</v>
      </c>
      <c r="M787" s="93">
        <f t="shared" si="321"/>
        <v>0</v>
      </c>
      <c r="N787" s="93">
        <f t="shared" si="321"/>
        <v>0</v>
      </c>
      <c r="O787" s="93">
        <f t="shared" si="319"/>
        <v>0</v>
      </c>
      <c r="P787" s="93">
        <f t="shared" si="320"/>
        <v>0</v>
      </c>
      <c r="Q787" s="568"/>
      <c r="R787" s="568"/>
      <c r="S787" s="568"/>
      <c r="T787" s="568"/>
      <c r="U787" s="568"/>
      <c r="V787" s="568"/>
      <c r="W787" s="568"/>
      <c r="X787" s="568"/>
      <c r="Y787" s="568"/>
      <c r="Z787" s="568"/>
    </row>
    <row r="788" spans="1:26" ht="18.75" hidden="1">
      <c r="A788" s="563"/>
      <c r="B788" s="571"/>
      <c r="C788" s="571"/>
      <c r="D788" s="580"/>
      <c r="E788" s="723" t="s">
        <v>185</v>
      </c>
      <c r="F788" s="723"/>
      <c r="G788" s="567"/>
      <c r="H788" s="165" t="s">
        <v>12</v>
      </c>
      <c r="I788" s="583"/>
      <c r="J788" s="583"/>
      <c r="K788" s="93"/>
      <c r="L788" s="93">
        <f t="shared" ca="1" si="321"/>
        <v>266560</v>
      </c>
      <c r="M788" s="93">
        <f t="shared" si="321"/>
        <v>0</v>
      </c>
      <c r="N788" s="93">
        <f t="shared" si="321"/>
        <v>0</v>
      </c>
      <c r="O788" s="93">
        <f t="shared" ca="1" si="319"/>
        <v>0</v>
      </c>
      <c r="P788" s="93">
        <f t="shared" si="320"/>
        <v>0</v>
      </c>
      <c r="Q788" s="568"/>
      <c r="R788" s="568"/>
      <c r="S788" s="568"/>
      <c r="T788" s="568"/>
      <c r="U788" s="568"/>
      <c r="V788" s="568"/>
      <c r="W788" s="568"/>
      <c r="X788" s="568"/>
      <c r="Y788" s="568"/>
      <c r="Z788" s="568"/>
    </row>
    <row r="789" spans="1:26" ht="18.75">
      <c r="A789" s="561"/>
      <c r="B789" s="538"/>
      <c r="C789" s="538"/>
      <c r="D789" s="570" t="s">
        <v>20</v>
      </c>
      <c r="E789" s="727"/>
      <c r="F789" s="727"/>
      <c r="G789" s="189"/>
      <c r="H789" s="161" t="s">
        <v>12</v>
      </c>
      <c r="I789" s="184"/>
      <c r="J789" s="184"/>
      <c r="K789" s="163"/>
      <c r="L789" s="465">
        <f t="shared" ref="L789:N789" ca="1" si="322">L790+L791</f>
        <v>266560</v>
      </c>
      <c r="M789" s="465">
        <f t="shared" si="322"/>
        <v>0</v>
      </c>
      <c r="N789" s="465">
        <f t="shared" si="322"/>
        <v>0</v>
      </c>
      <c r="O789" s="465">
        <f t="shared" ca="1" si="319"/>
        <v>0</v>
      </c>
      <c r="P789" s="465">
        <f t="shared" si="320"/>
        <v>0</v>
      </c>
      <c r="Q789" s="541"/>
      <c r="R789" s="541"/>
      <c r="S789" s="541"/>
      <c r="T789" s="541"/>
      <c r="U789" s="541"/>
      <c r="V789" s="541"/>
      <c r="W789" s="541"/>
      <c r="X789" s="541"/>
      <c r="Y789" s="541"/>
      <c r="Z789" s="541"/>
    </row>
    <row r="790" spans="1:26" ht="18.75" hidden="1">
      <c r="A790" s="563"/>
      <c r="B790" s="571"/>
      <c r="C790" s="571"/>
      <c r="D790" s="580"/>
      <c r="E790" s="723" t="s">
        <v>184</v>
      </c>
      <c r="F790" s="723"/>
      <c r="G790" s="567"/>
      <c r="H790" s="165" t="s">
        <v>12</v>
      </c>
      <c r="I790" s="583"/>
      <c r="J790" s="583"/>
      <c r="K790" s="93"/>
      <c r="L790" s="93">
        <v>0</v>
      </c>
      <c r="M790" s="93">
        <v>0</v>
      </c>
      <c r="N790" s="93">
        <v>0</v>
      </c>
      <c r="O790" s="93">
        <f t="shared" si="319"/>
        <v>0</v>
      </c>
      <c r="P790" s="93">
        <f t="shared" si="320"/>
        <v>0</v>
      </c>
      <c r="Q790" s="568"/>
      <c r="R790" s="568"/>
      <c r="S790" s="568"/>
      <c r="T790" s="568"/>
      <c r="U790" s="568"/>
      <c r="V790" s="568"/>
      <c r="W790" s="568"/>
      <c r="X790" s="568"/>
      <c r="Y790" s="568"/>
      <c r="Z790" s="568"/>
    </row>
    <row r="791" spans="1:26" ht="18.75" hidden="1">
      <c r="A791" s="563"/>
      <c r="B791" s="571"/>
      <c r="C791" s="571"/>
      <c r="D791" s="580"/>
      <c r="E791" s="723" t="s">
        <v>185</v>
      </c>
      <c r="F791" s="723"/>
      <c r="G791" s="567"/>
      <c r="H791" s="165" t="s">
        <v>12</v>
      </c>
      <c r="I791" s="583"/>
      <c r="J791" s="583"/>
      <c r="K791" s="93"/>
      <c r="L791" s="93">
        <f ca="1">IFERROR(__xludf.DUMMYFUNCTION("IMPORTRANGE(""https://docs.google.com/spreadsheets/d/1QqKyyYR6Q21VydFLVH3TRQUabQu_ym0Zz7PgGX0-kHA/edit?usp=sharing"",""แผน!JJ22"")"),266560)</f>
        <v>266560</v>
      </c>
      <c r="M791" s="93">
        <v>0</v>
      </c>
      <c r="N791" s="93">
        <f>N792+N793+N794+N795</f>
        <v>0</v>
      </c>
      <c r="O791" s="93">
        <f t="shared" ca="1" si="319"/>
        <v>0</v>
      </c>
      <c r="P791" s="93">
        <f t="shared" si="320"/>
        <v>0</v>
      </c>
      <c r="Q791" s="568"/>
      <c r="R791" s="568"/>
      <c r="S791" s="568"/>
      <c r="T791" s="568"/>
      <c r="U791" s="568"/>
      <c r="V791" s="568"/>
      <c r="W791" s="568"/>
      <c r="X791" s="568"/>
      <c r="Y791" s="568"/>
      <c r="Z791" s="568"/>
    </row>
    <row r="792" spans="1:26" ht="18.75">
      <c r="A792" s="537"/>
      <c r="B792" s="538"/>
      <c r="C792" s="727"/>
      <c r="D792" s="727"/>
      <c r="E792" s="727"/>
      <c r="F792" s="727" t="s">
        <v>186</v>
      </c>
      <c r="G792" s="189"/>
      <c r="H792" s="161" t="s">
        <v>12</v>
      </c>
      <c r="I792" s="269"/>
      <c r="J792" s="269"/>
      <c r="K792" s="465"/>
      <c r="L792" s="465"/>
      <c r="M792" s="465"/>
      <c r="N792" s="789">
        <v>0</v>
      </c>
      <c r="O792" s="465"/>
      <c r="P792" s="465"/>
      <c r="Q792" s="541"/>
      <c r="R792" s="541"/>
      <c r="S792" s="541"/>
      <c r="T792" s="541"/>
      <c r="U792" s="541"/>
      <c r="V792" s="541"/>
      <c r="W792" s="541"/>
      <c r="X792" s="541"/>
      <c r="Y792" s="541"/>
      <c r="Z792" s="541"/>
    </row>
    <row r="793" spans="1:26" ht="18.75">
      <c r="A793" s="537"/>
      <c r="B793" s="538"/>
      <c r="C793" s="727"/>
      <c r="D793" s="727"/>
      <c r="E793" s="727"/>
      <c r="F793" s="727" t="s">
        <v>187</v>
      </c>
      <c r="G793" s="189"/>
      <c r="H793" s="161" t="s">
        <v>12</v>
      </c>
      <c r="I793" s="269"/>
      <c r="J793" s="269"/>
      <c r="K793" s="465"/>
      <c r="L793" s="465"/>
      <c r="M793" s="465"/>
      <c r="N793" s="789">
        <v>0</v>
      </c>
      <c r="O793" s="465"/>
      <c r="P793" s="465"/>
      <c r="Q793" s="541"/>
      <c r="R793" s="541"/>
      <c r="S793" s="541"/>
      <c r="T793" s="541"/>
      <c r="U793" s="541"/>
      <c r="V793" s="541"/>
      <c r="W793" s="541"/>
      <c r="X793" s="541"/>
      <c r="Y793" s="541"/>
      <c r="Z793" s="541"/>
    </row>
    <row r="794" spans="1:26" ht="18.75">
      <c r="A794" s="537"/>
      <c r="B794" s="538"/>
      <c r="C794" s="727"/>
      <c r="D794" s="727"/>
      <c r="E794" s="727"/>
      <c r="F794" s="727" t="s">
        <v>188</v>
      </c>
      <c r="G794" s="189"/>
      <c r="H794" s="161" t="s">
        <v>12</v>
      </c>
      <c r="I794" s="269"/>
      <c r="J794" s="269"/>
      <c r="K794" s="465"/>
      <c r="L794" s="465"/>
      <c r="M794" s="465"/>
      <c r="N794" s="789">
        <v>0</v>
      </c>
      <c r="O794" s="465"/>
      <c r="P794" s="465"/>
      <c r="Q794" s="541"/>
      <c r="R794" s="541"/>
      <c r="S794" s="541"/>
      <c r="T794" s="541"/>
      <c r="U794" s="541"/>
      <c r="V794" s="541"/>
      <c r="W794" s="541"/>
      <c r="X794" s="541"/>
      <c r="Y794" s="541"/>
      <c r="Z794" s="541"/>
    </row>
    <row r="795" spans="1:26" ht="18.75">
      <c r="A795" s="537"/>
      <c r="B795" s="538"/>
      <c r="C795" s="727"/>
      <c r="D795" s="727"/>
      <c r="E795" s="727"/>
      <c r="F795" s="727" t="s">
        <v>189</v>
      </c>
      <c r="G795" s="189"/>
      <c r="H795" s="161" t="s">
        <v>12</v>
      </c>
      <c r="I795" s="269"/>
      <c r="J795" s="269"/>
      <c r="K795" s="465"/>
      <c r="L795" s="465"/>
      <c r="M795" s="465"/>
      <c r="N795" s="789">
        <v>0</v>
      </c>
      <c r="O795" s="465"/>
      <c r="P795" s="465"/>
      <c r="Q795" s="541"/>
      <c r="R795" s="541"/>
      <c r="S795" s="541"/>
      <c r="T795" s="541"/>
      <c r="U795" s="541"/>
      <c r="V795" s="541"/>
      <c r="W795" s="541"/>
      <c r="X795" s="541"/>
      <c r="Y795" s="541"/>
      <c r="Z795" s="541"/>
    </row>
    <row r="796" spans="1:26" ht="18.75">
      <c r="A796" s="561"/>
      <c r="B796" s="538"/>
      <c r="C796" s="727"/>
      <c r="D796" s="570" t="s">
        <v>21</v>
      </c>
      <c r="E796" s="727"/>
      <c r="F796" s="727"/>
      <c r="G796" s="189"/>
      <c r="H796" s="168" t="s">
        <v>12</v>
      </c>
      <c r="I796" s="184"/>
      <c r="J796" s="184"/>
      <c r="K796" s="163"/>
      <c r="L796" s="465">
        <f t="shared" ref="L796:N796" si="323">L797+L798</f>
        <v>0</v>
      </c>
      <c r="M796" s="465">
        <f t="shared" si="323"/>
        <v>0</v>
      </c>
      <c r="N796" s="465">
        <f t="shared" si="323"/>
        <v>0</v>
      </c>
      <c r="O796" s="465">
        <f t="shared" ref="O796:O798" si="324">IF(L796&gt;0,N796*100/L796,0)</f>
        <v>0</v>
      </c>
      <c r="P796" s="465">
        <f t="shared" ref="P796:P798" si="325">IF(M796&gt;0,N796*100/M796,0)</f>
        <v>0</v>
      </c>
      <c r="Q796" s="541"/>
      <c r="R796" s="541"/>
      <c r="S796" s="541"/>
      <c r="T796" s="541"/>
      <c r="U796" s="541"/>
      <c r="V796" s="541"/>
      <c r="W796" s="541"/>
      <c r="X796" s="541"/>
      <c r="Y796" s="541"/>
      <c r="Z796" s="541"/>
    </row>
    <row r="797" spans="1:26" ht="18.75" hidden="1">
      <c r="A797" s="563"/>
      <c r="B797" s="571"/>
      <c r="C797" s="723"/>
      <c r="D797" s="723"/>
      <c r="E797" s="723" t="s">
        <v>18</v>
      </c>
      <c r="F797" s="723"/>
      <c r="G797" s="567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4"/>
        <v>0</v>
      </c>
      <c r="P797" s="93">
        <f t="shared" si="325"/>
        <v>0</v>
      </c>
      <c r="Q797" s="568"/>
      <c r="R797" s="568"/>
      <c r="S797" s="568"/>
      <c r="T797" s="568"/>
      <c r="U797" s="568"/>
      <c r="V797" s="568"/>
      <c r="W797" s="568"/>
      <c r="X797" s="568"/>
      <c r="Y797" s="568"/>
      <c r="Z797" s="568"/>
    </row>
    <row r="798" spans="1:26" ht="18.75" hidden="1">
      <c r="A798" s="563"/>
      <c r="B798" s="571"/>
      <c r="C798" s="723"/>
      <c r="D798" s="723"/>
      <c r="E798" s="723" t="s">
        <v>19</v>
      </c>
      <c r="F798" s="723"/>
      <c r="G798" s="567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4"/>
        <v>0</v>
      </c>
      <c r="P798" s="93">
        <f t="shared" si="325"/>
        <v>0</v>
      </c>
      <c r="Q798" s="568"/>
      <c r="R798" s="568"/>
      <c r="S798" s="568"/>
      <c r="T798" s="568"/>
      <c r="U798" s="568"/>
      <c r="V798" s="568"/>
      <c r="W798" s="568"/>
      <c r="X798" s="568"/>
      <c r="Y798" s="568"/>
      <c r="Z798" s="568"/>
    </row>
    <row r="799" spans="1:26" ht="19.5">
      <c r="A799" s="572"/>
      <c r="B799" s="584"/>
      <c r="C799" s="727" t="s">
        <v>16</v>
      </c>
      <c r="D799" s="855" t="s">
        <v>38</v>
      </c>
      <c r="E799" s="725"/>
      <c r="F799" s="725"/>
      <c r="G799" s="577"/>
      <c r="H799" s="774"/>
      <c r="I799" s="184"/>
      <c r="J799" s="184"/>
      <c r="K799" s="163"/>
      <c r="L799" s="163"/>
      <c r="M799" s="163"/>
      <c r="N799" s="163"/>
      <c r="O799" s="163"/>
      <c r="P799" s="163"/>
      <c r="Q799" s="541"/>
      <c r="R799" s="541"/>
      <c r="S799" s="541"/>
      <c r="T799" s="541"/>
      <c r="U799" s="541"/>
      <c r="V799" s="541"/>
      <c r="W799" s="541"/>
      <c r="X799" s="541"/>
      <c r="Y799" s="541"/>
      <c r="Z799" s="541"/>
    </row>
    <row r="800" spans="1:26" ht="18.75">
      <c r="A800" s="572"/>
      <c r="B800" s="584"/>
      <c r="C800" s="584"/>
      <c r="D800" s="584"/>
      <c r="E800" s="592"/>
      <c r="F800" s="592" t="s">
        <v>320</v>
      </c>
      <c r="G800" s="726"/>
      <c r="H800" s="185" t="s">
        <v>46</v>
      </c>
      <c r="I800" s="184">
        <f ca="1">IFERROR(__xludf.DUMMYFUNCTION("IMPORTRANGE(""https://docs.google.com/spreadsheets/d/1QqKyyYR6Q21VydFLVH3TRQUabQu_ym0Zz7PgGX0-kHA/edit?usp=sharing"",""แผน!JN22"")"),4000)</f>
        <v>4000</v>
      </c>
      <c r="J800" s="184">
        <f ca="1">IFERROR(__xludf.DUMMYFUNCTION("IMPORTRANGE(""https://docs.google.com/spreadsheets/d/1MaWodYyGHDf7siQLGxnXhG4mBNTNIuy296niS2xXulU/edit?usp=sharing"",""RTK!H22"")"),0)</f>
        <v>0</v>
      </c>
      <c r="K800" s="465">
        <f ca="1">IF(I800&gt;0,J800*100/I800,0)</f>
        <v>0</v>
      </c>
      <c r="L800" s="465"/>
      <c r="M800" s="465"/>
      <c r="N800" s="465"/>
      <c r="O800" s="163"/>
      <c r="P800" s="163"/>
      <c r="Q800" s="541"/>
      <c r="R800" s="541"/>
      <c r="S800" s="541"/>
      <c r="T800" s="541"/>
      <c r="U800" s="541"/>
      <c r="V800" s="541"/>
      <c r="W800" s="541"/>
      <c r="X800" s="541"/>
      <c r="Y800" s="541"/>
      <c r="Z800" s="541"/>
    </row>
    <row r="801" spans="1:26" ht="18.75">
      <c r="A801" s="572"/>
      <c r="B801" s="584"/>
      <c r="C801" s="584"/>
      <c r="D801" s="584"/>
      <c r="E801" s="592"/>
      <c r="F801" s="592"/>
      <c r="G801" s="726"/>
      <c r="H801" s="161" t="s">
        <v>34</v>
      </c>
      <c r="I801" s="184"/>
      <c r="J801" s="269">
        <f ca="1">IFERROR(__xludf.DUMMYFUNCTION("IMPORTRANGE(""https://docs.google.com/spreadsheets/d/1MaWodYyGHDf7siQLGxnXhG4mBNTNIuy296niS2xXulU/edit?usp=sharing"",""RTK!I22"")"),0)</f>
        <v>0</v>
      </c>
      <c r="K801" s="465"/>
      <c r="L801" s="465"/>
      <c r="M801" s="465"/>
      <c r="N801" s="465"/>
      <c r="O801" s="163"/>
      <c r="P801" s="163"/>
      <c r="Q801" s="541"/>
      <c r="R801" s="541"/>
      <c r="S801" s="541"/>
      <c r="T801" s="541"/>
      <c r="U801" s="541"/>
      <c r="V801" s="541"/>
      <c r="W801" s="541"/>
      <c r="X801" s="541"/>
      <c r="Y801" s="541"/>
      <c r="Z801" s="541"/>
    </row>
    <row r="802" spans="1:26" ht="18.75" hidden="1">
      <c r="A802" s="578"/>
      <c r="B802" s="580"/>
      <c r="C802" s="580"/>
      <c r="D802" s="580"/>
      <c r="E802" s="684"/>
      <c r="F802" s="684" t="s">
        <v>321</v>
      </c>
      <c r="G802" s="581"/>
      <c r="H802" s="619" t="s">
        <v>46</v>
      </c>
      <c r="I802" s="166"/>
      <c r="J802" s="583"/>
      <c r="K802" s="167">
        <f>IF(I802&gt;0,J802*100/I802,0)</f>
        <v>0</v>
      </c>
      <c r="L802" s="167"/>
      <c r="M802" s="167"/>
      <c r="N802" s="167"/>
      <c r="O802" s="167"/>
      <c r="P802" s="167"/>
      <c r="Q802" s="568"/>
      <c r="R802" s="568"/>
      <c r="S802" s="568"/>
      <c r="T802" s="568"/>
      <c r="U802" s="568"/>
      <c r="V802" s="568"/>
      <c r="W802" s="568"/>
      <c r="X802" s="568"/>
      <c r="Y802" s="568"/>
      <c r="Z802" s="568"/>
    </row>
    <row r="803" spans="1:26" ht="18.75" hidden="1">
      <c r="A803" s="578"/>
      <c r="B803" s="580"/>
      <c r="C803" s="580"/>
      <c r="D803" s="580"/>
      <c r="E803" s="684"/>
      <c r="F803" s="684"/>
      <c r="G803" s="581"/>
      <c r="H803" s="619" t="s">
        <v>34</v>
      </c>
      <c r="I803" s="166"/>
      <c r="J803" s="583"/>
      <c r="K803" s="167"/>
      <c r="L803" s="167"/>
      <c r="M803" s="167"/>
      <c r="N803" s="167"/>
      <c r="O803" s="167"/>
      <c r="P803" s="167"/>
      <c r="Q803" s="568"/>
      <c r="R803" s="568"/>
      <c r="S803" s="568"/>
      <c r="T803" s="568"/>
      <c r="U803" s="568"/>
      <c r="V803" s="568"/>
      <c r="W803" s="568"/>
      <c r="X803" s="568"/>
      <c r="Y803" s="568"/>
      <c r="Z803" s="568"/>
    </row>
    <row r="804" spans="1:26" ht="19.5" hidden="1">
      <c r="A804" s="757">
        <v>13</v>
      </c>
      <c r="B804" s="758" t="s">
        <v>322</v>
      </c>
      <c r="C804" s="759"/>
      <c r="D804" s="775"/>
      <c r="E804" s="759"/>
      <c r="F804" s="759"/>
      <c r="G804" s="760"/>
      <c r="H804" s="761" t="s">
        <v>46</v>
      </c>
      <c r="I804" s="762"/>
      <c r="J804" s="762">
        <f>J819</f>
        <v>0</v>
      </c>
      <c r="K804" s="763">
        <f>IF(I804&gt;0,J804*100/I804,0)</f>
        <v>0</v>
      </c>
      <c r="L804" s="764"/>
      <c r="M804" s="764"/>
      <c r="N804" s="764"/>
      <c r="O804" s="764"/>
      <c r="P804" s="764"/>
      <c r="Q804" s="568"/>
      <c r="R804" s="568"/>
      <c r="S804" s="568"/>
      <c r="T804" s="568"/>
      <c r="U804" s="568"/>
      <c r="V804" s="568"/>
      <c r="W804" s="568"/>
      <c r="X804" s="568"/>
      <c r="Y804" s="568"/>
      <c r="Z804" s="568"/>
    </row>
    <row r="805" spans="1:26" ht="19.5" hidden="1">
      <c r="A805" s="563"/>
      <c r="B805" s="723"/>
      <c r="C805" s="723" t="s">
        <v>16</v>
      </c>
      <c r="D805" s="812" t="s">
        <v>17</v>
      </c>
      <c r="E805" s="805"/>
      <c r="F805" s="805"/>
      <c r="G805" s="567"/>
      <c r="H805" s="612" t="s">
        <v>12</v>
      </c>
      <c r="I805" s="583"/>
      <c r="J805" s="583"/>
      <c r="K805" s="93"/>
      <c r="L805" s="613">
        <f t="shared" ref="L805:N805" si="326">L806+L807</f>
        <v>0</v>
      </c>
      <c r="M805" s="613">
        <f t="shared" si="326"/>
        <v>0</v>
      </c>
      <c r="N805" s="613">
        <f t="shared" si="326"/>
        <v>0</v>
      </c>
      <c r="O805" s="613">
        <f t="shared" ref="O805:O810" si="327">IF(L805&gt;0,N805*100/L805,0)</f>
        <v>0</v>
      </c>
      <c r="P805" s="613">
        <f t="shared" ref="P805:P810" si="328">IF(M805&gt;0,N805*100/M805,0)</f>
        <v>0</v>
      </c>
      <c r="Q805" s="568"/>
      <c r="R805" s="568"/>
      <c r="S805" s="568"/>
      <c r="T805" s="568"/>
      <c r="U805" s="568"/>
      <c r="V805" s="568"/>
      <c r="W805" s="568"/>
      <c r="X805" s="568"/>
      <c r="Y805" s="568"/>
      <c r="Z805" s="568"/>
    </row>
    <row r="806" spans="1:26" ht="18.75" hidden="1">
      <c r="A806" s="563"/>
      <c r="B806" s="723"/>
      <c r="C806" s="723"/>
      <c r="D806" s="580"/>
      <c r="E806" s="723" t="s">
        <v>184</v>
      </c>
      <c r="F806" s="723"/>
      <c r="G806" s="567"/>
      <c r="H806" s="165" t="s">
        <v>12</v>
      </c>
      <c r="I806" s="583"/>
      <c r="J806" s="583"/>
      <c r="K806" s="93"/>
      <c r="L806" s="93">
        <f t="shared" ref="L806:N807" si="329">L809+L816</f>
        <v>0</v>
      </c>
      <c r="M806" s="93">
        <f t="shared" si="329"/>
        <v>0</v>
      </c>
      <c r="N806" s="93">
        <f t="shared" si="329"/>
        <v>0</v>
      </c>
      <c r="O806" s="93">
        <f t="shared" si="327"/>
        <v>0</v>
      </c>
      <c r="P806" s="93">
        <f t="shared" si="328"/>
        <v>0</v>
      </c>
      <c r="Q806" s="568"/>
      <c r="R806" s="568"/>
      <c r="S806" s="568"/>
      <c r="T806" s="568"/>
      <c r="U806" s="568"/>
      <c r="V806" s="568"/>
      <c r="W806" s="568"/>
      <c r="X806" s="568"/>
      <c r="Y806" s="568"/>
      <c r="Z806" s="568"/>
    </row>
    <row r="807" spans="1:26" ht="18.75" hidden="1">
      <c r="A807" s="563"/>
      <c r="B807" s="723"/>
      <c r="C807" s="723"/>
      <c r="D807" s="580"/>
      <c r="E807" s="723" t="s">
        <v>185</v>
      </c>
      <c r="F807" s="723"/>
      <c r="G807" s="567"/>
      <c r="H807" s="165" t="s">
        <v>12</v>
      </c>
      <c r="I807" s="583"/>
      <c r="J807" s="583"/>
      <c r="K807" s="93"/>
      <c r="L807" s="93">
        <f t="shared" si="329"/>
        <v>0</v>
      </c>
      <c r="M807" s="93">
        <f t="shared" si="329"/>
        <v>0</v>
      </c>
      <c r="N807" s="93">
        <f t="shared" si="329"/>
        <v>0</v>
      </c>
      <c r="O807" s="93">
        <f t="shared" si="327"/>
        <v>0</v>
      </c>
      <c r="P807" s="93">
        <f t="shared" si="328"/>
        <v>0</v>
      </c>
      <c r="Q807" s="568"/>
      <c r="R807" s="568"/>
      <c r="S807" s="568"/>
      <c r="T807" s="568"/>
      <c r="U807" s="568"/>
      <c r="V807" s="568"/>
      <c r="W807" s="568"/>
      <c r="X807" s="568"/>
      <c r="Y807" s="568"/>
      <c r="Z807" s="568"/>
    </row>
    <row r="808" spans="1:26" ht="19.5" hidden="1">
      <c r="A808" s="563"/>
      <c r="B808" s="571"/>
      <c r="C808" s="723"/>
      <c r="D808" s="857" t="s">
        <v>20</v>
      </c>
      <c r="E808" s="805"/>
      <c r="F808" s="805"/>
      <c r="G808" s="567"/>
      <c r="H808" s="612" t="s">
        <v>12</v>
      </c>
      <c r="I808" s="166"/>
      <c r="J808" s="166"/>
      <c r="K808" s="167"/>
      <c r="L808" s="613">
        <f t="shared" ref="L808:N808" si="330">L809+L810</f>
        <v>0</v>
      </c>
      <c r="M808" s="613">
        <f t="shared" si="330"/>
        <v>0</v>
      </c>
      <c r="N808" s="613">
        <f t="shared" si="330"/>
        <v>0</v>
      </c>
      <c r="O808" s="613">
        <f t="shared" si="327"/>
        <v>0</v>
      </c>
      <c r="P808" s="613">
        <f t="shared" si="328"/>
        <v>0</v>
      </c>
      <c r="Q808" s="568"/>
      <c r="R808" s="568"/>
      <c r="S808" s="568"/>
      <c r="T808" s="568"/>
      <c r="U808" s="568"/>
      <c r="V808" s="568"/>
      <c r="W808" s="568"/>
      <c r="X808" s="568"/>
      <c r="Y808" s="568"/>
      <c r="Z808" s="568"/>
    </row>
    <row r="809" spans="1:26" ht="18.75" hidden="1">
      <c r="A809" s="563"/>
      <c r="B809" s="723"/>
      <c r="C809" s="723"/>
      <c r="D809" s="580"/>
      <c r="E809" s="723" t="s">
        <v>184</v>
      </c>
      <c r="F809" s="723"/>
      <c r="G809" s="567"/>
      <c r="H809" s="165" t="s">
        <v>12</v>
      </c>
      <c r="I809" s="583"/>
      <c r="J809" s="583"/>
      <c r="K809" s="93"/>
      <c r="L809" s="93">
        <v>0</v>
      </c>
      <c r="M809" s="93">
        <v>0</v>
      </c>
      <c r="N809" s="93">
        <v>0</v>
      </c>
      <c r="O809" s="93">
        <f t="shared" si="327"/>
        <v>0</v>
      </c>
      <c r="P809" s="93">
        <f t="shared" si="328"/>
        <v>0</v>
      </c>
      <c r="Q809" s="568"/>
      <c r="R809" s="568"/>
      <c r="S809" s="568"/>
      <c r="T809" s="568"/>
      <c r="U809" s="568"/>
      <c r="V809" s="568"/>
      <c r="W809" s="568"/>
      <c r="X809" s="568"/>
      <c r="Y809" s="568"/>
      <c r="Z809" s="568"/>
    </row>
    <row r="810" spans="1:26" ht="18.75" hidden="1">
      <c r="A810" s="563"/>
      <c r="B810" s="723"/>
      <c r="C810" s="723"/>
      <c r="D810" s="580"/>
      <c r="E810" s="723" t="s">
        <v>185</v>
      </c>
      <c r="F810" s="723"/>
      <c r="G810" s="567"/>
      <c r="H810" s="165" t="s">
        <v>12</v>
      </c>
      <c r="I810" s="583"/>
      <c r="J810" s="583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7"/>
        <v>0</v>
      </c>
      <c r="P810" s="93">
        <f t="shared" si="328"/>
        <v>0</v>
      </c>
      <c r="Q810" s="568"/>
      <c r="R810" s="568"/>
      <c r="S810" s="568"/>
      <c r="T810" s="568"/>
      <c r="U810" s="568"/>
      <c r="V810" s="568"/>
      <c r="W810" s="568"/>
      <c r="X810" s="568"/>
      <c r="Y810" s="568"/>
      <c r="Z810" s="568"/>
    </row>
    <row r="811" spans="1:26" ht="18.75" hidden="1">
      <c r="A811" s="615"/>
      <c r="B811" s="571"/>
      <c r="C811" s="723"/>
      <c r="D811" s="571"/>
      <c r="E811" s="723"/>
      <c r="F811" s="723" t="s">
        <v>186</v>
      </c>
      <c r="G811" s="567"/>
      <c r="H811" s="165" t="s">
        <v>12</v>
      </c>
      <c r="I811" s="583"/>
      <c r="J811" s="583"/>
      <c r="K811" s="93"/>
      <c r="L811" s="93"/>
      <c r="M811" s="93"/>
      <c r="N811" s="93"/>
      <c r="O811" s="93"/>
      <c r="P811" s="93"/>
      <c r="Q811" s="568"/>
      <c r="R811" s="568"/>
      <c r="S811" s="568"/>
      <c r="T811" s="568"/>
      <c r="U811" s="568"/>
      <c r="V811" s="568"/>
      <c r="W811" s="568"/>
      <c r="X811" s="568"/>
      <c r="Y811" s="568"/>
      <c r="Z811" s="568"/>
    </row>
    <row r="812" spans="1:26" ht="18.75" hidden="1">
      <c r="A812" s="615"/>
      <c r="B812" s="571"/>
      <c r="C812" s="723"/>
      <c r="D812" s="571"/>
      <c r="E812" s="723"/>
      <c r="F812" s="723" t="s">
        <v>187</v>
      </c>
      <c r="G812" s="567"/>
      <c r="H812" s="165" t="s">
        <v>12</v>
      </c>
      <c r="I812" s="583"/>
      <c r="J812" s="583"/>
      <c r="K812" s="93"/>
      <c r="L812" s="93"/>
      <c r="M812" s="93"/>
      <c r="N812" s="93"/>
      <c r="O812" s="93"/>
      <c r="P812" s="93"/>
      <c r="Q812" s="568"/>
      <c r="R812" s="568"/>
      <c r="S812" s="568"/>
      <c r="T812" s="568"/>
      <c r="U812" s="568"/>
      <c r="V812" s="568"/>
      <c r="W812" s="568"/>
      <c r="X812" s="568"/>
      <c r="Y812" s="568"/>
      <c r="Z812" s="568"/>
    </row>
    <row r="813" spans="1:26" ht="18.75" hidden="1">
      <c r="A813" s="615"/>
      <c r="B813" s="571"/>
      <c r="C813" s="723"/>
      <c r="D813" s="571"/>
      <c r="E813" s="723"/>
      <c r="F813" s="723" t="s">
        <v>188</v>
      </c>
      <c r="G813" s="567"/>
      <c r="H813" s="165" t="s">
        <v>12</v>
      </c>
      <c r="I813" s="583"/>
      <c r="J813" s="583"/>
      <c r="K813" s="93"/>
      <c r="L813" s="93"/>
      <c r="M813" s="93"/>
      <c r="N813" s="93"/>
      <c r="O813" s="93"/>
      <c r="P813" s="93"/>
      <c r="Q813" s="568"/>
      <c r="R813" s="568"/>
      <c r="S813" s="568"/>
      <c r="T813" s="568"/>
      <c r="U813" s="568"/>
      <c r="V813" s="568"/>
      <c r="W813" s="568"/>
      <c r="X813" s="568"/>
      <c r="Y813" s="568"/>
      <c r="Z813" s="568"/>
    </row>
    <row r="814" spans="1:26" ht="18.75" hidden="1">
      <c r="A814" s="615"/>
      <c r="B814" s="571"/>
      <c r="C814" s="723"/>
      <c r="D814" s="571"/>
      <c r="E814" s="723"/>
      <c r="F814" s="723" t="s">
        <v>189</v>
      </c>
      <c r="G814" s="567"/>
      <c r="H814" s="165" t="s">
        <v>12</v>
      </c>
      <c r="I814" s="583"/>
      <c r="J814" s="583"/>
      <c r="K814" s="93"/>
      <c r="L814" s="93"/>
      <c r="M814" s="93"/>
      <c r="N814" s="93"/>
      <c r="O814" s="93"/>
      <c r="P814" s="93"/>
      <c r="Q814" s="568"/>
      <c r="R814" s="568"/>
      <c r="S814" s="568"/>
      <c r="T814" s="568"/>
      <c r="U814" s="568"/>
      <c r="V814" s="568"/>
      <c r="W814" s="568"/>
      <c r="X814" s="568"/>
      <c r="Y814" s="568"/>
      <c r="Z814" s="568"/>
    </row>
    <row r="815" spans="1:26" ht="19.5" hidden="1">
      <c r="A815" s="563"/>
      <c r="B815" s="571"/>
      <c r="C815" s="723"/>
      <c r="D815" s="857" t="s">
        <v>21</v>
      </c>
      <c r="E815" s="805"/>
      <c r="F815" s="805"/>
      <c r="G815" s="567"/>
      <c r="H815" s="747" t="s">
        <v>12</v>
      </c>
      <c r="I815" s="166"/>
      <c r="J815" s="166"/>
      <c r="K815" s="167"/>
      <c r="L815" s="613">
        <f t="shared" ref="L815:N815" si="331">L816+L817</f>
        <v>0</v>
      </c>
      <c r="M815" s="613">
        <f t="shared" si="331"/>
        <v>0</v>
      </c>
      <c r="N815" s="613">
        <f t="shared" si="331"/>
        <v>0</v>
      </c>
      <c r="O815" s="613">
        <f t="shared" ref="O815:O817" si="332">IF(L815&gt;0,N815*100/L815,0)</f>
        <v>0</v>
      </c>
      <c r="P815" s="613">
        <f t="shared" ref="P815:P817" si="333">IF(M815&gt;0,N815*100/M815,0)</f>
        <v>0</v>
      </c>
      <c r="Q815" s="568"/>
      <c r="R815" s="568"/>
      <c r="S815" s="568"/>
      <c r="T815" s="568"/>
      <c r="U815" s="568"/>
      <c r="V815" s="568"/>
      <c r="W815" s="568"/>
      <c r="X815" s="568"/>
      <c r="Y815" s="568"/>
      <c r="Z815" s="568"/>
    </row>
    <row r="816" spans="1:26" ht="18.75" hidden="1">
      <c r="A816" s="563"/>
      <c r="B816" s="571"/>
      <c r="C816" s="723"/>
      <c r="D816" s="571"/>
      <c r="E816" s="723" t="s">
        <v>18</v>
      </c>
      <c r="F816" s="723"/>
      <c r="G816" s="567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2"/>
        <v>0</v>
      </c>
      <c r="P816" s="93">
        <f t="shared" si="333"/>
        <v>0</v>
      </c>
      <c r="Q816" s="568"/>
      <c r="R816" s="568"/>
      <c r="S816" s="568"/>
      <c r="T816" s="568"/>
      <c r="U816" s="568"/>
      <c r="V816" s="568"/>
      <c r="W816" s="568"/>
      <c r="X816" s="568"/>
      <c r="Y816" s="568"/>
      <c r="Z816" s="568"/>
    </row>
    <row r="817" spans="1:26" ht="18.75" hidden="1">
      <c r="A817" s="563"/>
      <c r="B817" s="571"/>
      <c r="C817" s="723"/>
      <c r="D817" s="571"/>
      <c r="E817" s="723" t="s">
        <v>19</v>
      </c>
      <c r="F817" s="723"/>
      <c r="G817" s="567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2"/>
        <v>0</v>
      </c>
      <c r="P817" s="93">
        <f t="shared" si="333"/>
        <v>0</v>
      </c>
      <c r="Q817" s="568"/>
      <c r="R817" s="568"/>
      <c r="S817" s="568"/>
      <c r="T817" s="568"/>
      <c r="U817" s="568"/>
      <c r="V817" s="568"/>
      <c r="W817" s="568"/>
      <c r="X817" s="568"/>
      <c r="Y817" s="568"/>
      <c r="Z817" s="568"/>
    </row>
    <row r="818" spans="1:26" ht="19.5" hidden="1">
      <c r="A818" s="578"/>
      <c r="B818" s="580"/>
      <c r="C818" s="723" t="s">
        <v>16</v>
      </c>
      <c r="D818" s="858" t="s">
        <v>38</v>
      </c>
      <c r="E818" s="617"/>
      <c r="F818" s="617"/>
      <c r="G818" s="618"/>
      <c r="H818" s="581"/>
      <c r="I818" s="166"/>
      <c r="J818" s="166"/>
      <c r="K818" s="167"/>
      <c r="L818" s="167"/>
      <c r="M818" s="167"/>
      <c r="N818" s="167"/>
      <c r="O818" s="167"/>
      <c r="P818" s="167"/>
      <c r="Q818" s="568"/>
      <c r="R818" s="568"/>
      <c r="S818" s="568"/>
      <c r="T818" s="568"/>
      <c r="U818" s="568"/>
      <c r="V818" s="568"/>
      <c r="W818" s="568"/>
      <c r="X818" s="568"/>
      <c r="Y818" s="568"/>
      <c r="Z818" s="568"/>
    </row>
    <row r="819" spans="1:26" ht="19.5" hidden="1" thickBot="1">
      <c r="A819" s="777"/>
      <c r="B819" s="778"/>
      <c r="C819" s="780"/>
      <c r="D819" s="778"/>
      <c r="E819" s="780" t="s">
        <v>323</v>
      </c>
      <c r="F819" s="780"/>
      <c r="G819" s="781"/>
      <c r="H819" s="782" t="s">
        <v>46</v>
      </c>
      <c r="I819" s="783"/>
      <c r="J819" s="783"/>
      <c r="K819" s="784"/>
      <c r="L819" s="784"/>
      <c r="M819" s="784"/>
      <c r="N819" s="784"/>
      <c r="O819" s="784"/>
      <c r="P819" s="784"/>
      <c r="Q819" s="568"/>
      <c r="R819" s="568"/>
      <c r="S819" s="568"/>
      <c r="T819" s="568"/>
      <c r="U819" s="568"/>
      <c r="V819" s="568"/>
      <c r="W819" s="568"/>
      <c r="X819" s="568"/>
      <c r="Y819" s="568"/>
      <c r="Z819" s="568"/>
    </row>
    <row r="820" spans="1:26" ht="19.5">
      <c r="A820" s="785" t="s">
        <v>332</v>
      </c>
      <c r="B820" s="786"/>
      <c r="C820" s="786"/>
      <c r="D820" s="787"/>
      <c r="E820" s="786"/>
      <c r="F820" s="786"/>
      <c r="G820" s="788"/>
      <c r="H820" s="788"/>
      <c r="I820" s="214"/>
      <c r="J820" s="214"/>
      <c r="K820" s="789"/>
      <c r="L820" s="789"/>
      <c r="M820" s="789"/>
      <c r="N820" s="789"/>
      <c r="O820" s="789"/>
      <c r="P820" s="789"/>
      <c r="Q820" s="541"/>
      <c r="R820" s="541"/>
      <c r="S820" s="541"/>
      <c r="T820" s="541"/>
      <c r="U820" s="541"/>
      <c r="V820" s="541"/>
      <c r="W820" s="541"/>
      <c r="X820" s="541"/>
      <c r="Y820" s="541"/>
      <c r="Z820" s="541"/>
    </row>
    <row r="821" spans="1:26" ht="18.75">
      <c r="A821" s="708"/>
      <c r="B821" s="727" t="s">
        <v>325</v>
      </c>
      <c r="C821" s="727"/>
      <c r="D821" s="538"/>
      <c r="E821" s="727"/>
      <c r="F821" s="727"/>
      <c r="G821" s="189"/>
      <c r="H821" s="589" t="s">
        <v>12</v>
      </c>
      <c r="I821" s="269">
        <f ca="1">IFERROR(__xludf.DUMMYFUNCTION("IMPORTRANGE(""https://docs.google.com/spreadsheets/d/19vJNZY_5yjcGF2XGBMNZRCAIB0Kwfpjp8YEOfu-bneM/edit?usp=sharing"",""งานกองทุน!D22"")"),3983214.83)</f>
        <v>3983214.83</v>
      </c>
      <c r="J821" s="269">
        <f ca="1">IFERROR(__xludf.DUMMYFUNCTION("IMPORTRANGE(""https://docs.google.com/spreadsheets/d/19vJNZY_5yjcGF2XGBMNZRCAIB0Kwfpjp8YEOfu-bneM/edit?usp=sharing"",""งานกองทุน!F22"")"),0)</f>
        <v>0</v>
      </c>
      <c r="K821" s="465">
        <f t="shared" ref="K821:K828" ca="1" si="334">IF(I821&gt;0,J821*100/I821,0)</f>
        <v>0</v>
      </c>
      <c r="L821" s="465"/>
      <c r="M821" s="465"/>
      <c r="N821" s="465"/>
      <c r="O821" s="465"/>
      <c r="P821" s="465"/>
      <c r="Q821" s="541"/>
      <c r="R821" s="541"/>
      <c r="S821" s="541"/>
      <c r="T821" s="541"/>
      <c r="U821" s="541"/>
      <c r="V821" s="541"/>
      <c r="W821" s="541"/>
      <c r="X821" s="541"/>
      <c r="Y821" s="541"/>
      <c r="Z821" s="541"/>
    </row>
    <row r="822" spans="1:26" ht="18.75">
      <c r="A822" s="708"/>
      <c r="B822" s="727"/>
      <c r="C822" s="727"/>
      <c r="D822" s="538"/>
      <c r="E822" s="727"/>
      <c r="F822" s="727"/>
      <c r="G822" s="189"/>
      <c r="H822" s="589" t="s">
        <v>35</v>
      </c>
      <c r="I822" s="269">
        <f ca="1">IFERROR(__xludf.DUMMYFUNCTION("IMPORTRANGE(""https://docs.google.com/spreadsheets/d/19vJNZY_5yjcGF2XGBMNZRCAIB0Kwfpjp8YEOfu-bneM/edit?usp=sharing"",""งานกองทุน!C22"")"),308)</f>
        <v>308</v>
      </c>
      <c r="J822" s="269">
        <f ca="1">IFERROR(__xludf.DUMMYFUNCTION("IMPORTRANGE(""https://docs.google.com/spreadsheets/d/19vJNZY_5yjcGF2XGBMNZRCAIB0Kwfpjp8YEOfu-bneM/edit?usp=sharing"",""งานกองทุน!E22"")"),0)</f>
        <v>0</v>
      </c>
      <c r="K822" s="465">
        <f t="shared" ca="1" si="334"/>
        <v>0</v>
      </c>
      <c r="L822" s="465"/>
      <c r="M822" s="465"/>
      <c r="N822" s="465"/>
      <c r="O822" s="465"/>
      <c r="P822" s="465"/>
      <c r="Q822" s="541"/>
      <c r="R822" s="541"/>
      <c r="S822" s="541"/>
      <c r="T822" s="541"/>
      <c r="U822" s="541"/>
      <c r="V822" s="541"/>
      <c r="W822" s="541"/>
      <c r="X822" s="541"/>
      <c r="Y822" s="541"/>
      <c r="Z822" s="541"/>
    </row>
    <row r="823" spans="1:26" ht="18.75">
      <c r="A823" s="708"/>
      <c r="B823" s="727" t="s">
        <v>326</v>
      </c>
      <c r="C823" s="727"/>
      <c r="D823" s="538"/>
      <c r="E823" s="727"/>
      <c r="F823" s="727"/>
      <c r="G823" s="189"/>
      <c r="H823" s="589" t="s">
        <v>12</v>
      </c>
      <c r="I823" s="269">
        <f ca="1">IFERROR(__xludf.DUMMYFUNCTION("IMPORTRANGE(""https://docs.google.com/spreadsheets/d/19vJNZY_5yjcGF2XGBMNZRCAIB0Kwfpjp8YEOfu-bneM/edit?usp=sharing"",""งานกองทุน!I22"")"),2514470.56)</f>
        <v>2514470.56</v>
      </c>
      <c r="J823" s="269">
        <f ca="1">IFERROR(__xludf.DUMMYFUNCTION("IMPORTRANGE(""https://docs.google.com/spreadsheets/d/19vJNZY_5yjcGF2XGBMNZRCAIB0Kwfpjp8YEOfu-bneM/edit?usp=sharing"",""งานกองทุน!K22"")"),4799.37)</f>
        <v>4799.37</v>
      </c>
      <c r="K823" s="465">
        <f t="shared" ca="1" si="334"/>
        <v>0.19087000167542229</v>
      </c>
      <c r="L823" s="465"/>
      <c r="M823" s="465"/>
      <c r="N823" s="465"/>
      <c r="O823" s="465"/>
      <c r="P823" s="465"/>
      <c r="Q823" s="541"/>
      <c r="R823" s="541"/>
      <c r="S823" s="541"/>
      <c r="T823" s="541"/>
      <c r="U823" s="541"/>
      <c r="V823" s="541"/>
      <c r="W823" s="541"/>
      <c r="X823" s="541"/>
      <c r="Y823" s="541"/>
      <c r="Z823" s="541"/>
    </row>
    <row r="824" spans="1:26" ht="18.75">
      <c r="A824" s="708"/>
      <c r="B824" s="727"/>
      <c r="C824" s="727"/>
      <c r="D824" s="538"/>
      <c r="E824" s="727"/>
      <c r="F824" s="727"/>
      <c r="G824" s="189"/>
      <c r="H824" s="589" t="s">
        <v>35</v>
      </c>
      <c r="I824" s="269">
        <f ca="1">IFERROR(__xludf.DUMMYFUNCTION("IMPORTRANGE(""https://docs.google.com/spreadsheets/d/19vJNZY_5yjcGF2XGBMNZRCAIB0Kwfpjp8YEOfu-bneM/edit?usp=sharing"",""งานกองทุน!H22"")"),91)</f>
        <v>91</v>
      </c>
      <c r="J824" s="269">
        <f ca="1">IFERROR(__xludf.DUMMYFUNCTION("IMPORTRANGE(""https://docs.google.com/spreadsheets/d/19vJNZY_5yjcGF2XGBMNZRCAIB0Kwfpjp8YEOfu-bneM/edit?usp=sharing"",""งานกองทุน!J22"")"),3)</f>
        <v>3</v>
      </c>
      <c r="K824" s="465">
        <f t="shared" ca="1" si="334"/>
        <v>3.2967032967032965</v>
      </c>
      <c r="L824" s="465"/>
      <c r="M824" s="465"/>
      <c r="N824" s="465"/>
      <c r="O824" s="465"/>
      <c r="P824" s="465"/>
      <c r="Q824" s="541"/>
      <c r="R824" s="541"/>
      <c r="S824" s="541"/>
      <c r="T824" s="541"/>
      <c r="U824" s="541"/>
      <c r="V824" s="541"/>
      <c r="W824" s="541"/>
      <c r="X824" s="541"/>
      <c r="Y824" s="541"/>
      <c r="Z824" s="541"/>
    </row>
    <row r="825" spans="1:26" ht="18.75">
      <c r="A825" s="708"/>
      <c r="B825" s="727" t="s">
        <v>327</v>
      </c>
      <c r="C825" s="727"/>
      <c r="D825" s="538"/>
      <c r="E825" s="727"/>
      <c r="F825" s="727"/>
      <c r="G825" s="189"/>
      <c r="H825" s="589" t="s">
        <v>12</v>
      </c>
      <c r="I825" s="269">
        <f ca="1">IFERROR(__xludf.DUMMYFUNCTION("IMPORTRANGE(""https://docs.google.com/spreadsheets/d/19vJNZY_5yjcGF2XGBMNZRCAIB0Kwfpjp8YEOfu-bneM/edit?usp=sharing"",""งานกองทุน!N22"")"),0)</f>
        <v>0</v>
      </c>
      <c r="J825" s="269">
        <f ca="1">IFERROR(__xludf.DUMMYFUNCTION("IMPORTRANGE(""https://docs.google.com/spreadsheets/d/19vJNZY_5yjcGF2XGBMNZRCAIB0Kwfpjp8YEOfu-bneM/edit?usp=sharing"",""งานกองทุน!P22"")"),0)</f>
        <v>0</v>
      </c>
      <c r="K825" s="465">
        <f t="shared" ca="1" si="334"/>
        <v>0</v>
      </c>
      <c r="L825" s="465"/>
      <c r="M825" s="465"/>
      <c r="N825" s="465"/>
      <c r="O825" s="465"/>
      <c r="P825" s="465"/>
      <c r="Q825" s="541"/>
      <c r="R825" s="541"/>
      <c r="S825" s="541"/>
      <c r="T825" s="541"/>
      <c r="U825" s="541"/>
      <c r="V825" s="541"/>
      <c r="W825" s="541"/>
      <c r="X825" s="541"/>
      <c r="Y825" s="541"/>
      <c r="Z825" s="541"/>
    </row>
    <row r="826" spans="1:26" ht="18.75">
      <c r="A826" s="708"/>
      <c r="B826" s="727"/>
      <c r="C826" s="727"/>
      <c r="D826" s="538"/>
      <c r="E826" s="727"/>
      <c r="F826" s="727"/>
      <c r="G826" s="189"/>
      <c r="H826" s="589" t="s">
        <v>35</v>
      </c>
      <c r="I826" s="269">
        <f ca="1">IFERROR(__xludf.DUMMYFUNCTION("IMPORTRANGE(""https://docs.google.com/spreadsheets/d/19vJNZY_5yjcGF2XGBMNZRCAIB0Kwfpjp8YEOfu-bneM/edit?usp=sharing"",""งานกองทุน!M22"")"),0)</f>
        <v>0</v>
      </c>
      <c r="J826" s="269">
        <f ca="1">IFERROR(__xludf.DUMMYFUNCTION("IMPORTRANGE(""https://docs.google.com/spreadsheets/d/19vJNZY_5yjcGF2XGBMNZRCAIB0Kwfpjp8YEOfu-bneM/edit?usp=sharing"",""งานกองทุน!O22"")"),0)</f>
        <v>0</v>
      </c>
      <c r="K826" s="465">
        <f t="shared" ca="1" si="334"/>
        <v>0</v>
      </c>
      <c r="L826" s="465"/>
      <c r="M826" s="465"/>
      <c r="N826" s="465"/>
      <c r="O826" s="465"/>
      <c r="P826" s="465"/>
      <c r="Q826" s="541"/>
      <c r="R826" s="541"/>
      <c r="S826" s="541"/>
      <c r="T826" s="541"/>
      <c r="U826" s="541"/>
      <c r="V826" s="541"/>
      <c r="W826" s="541"/>
      <c r="X826" s="541"/>
      <c r="Y826" s="541"/>
      <c r="Z826" s="541"/>
    </row>
    <row r="827" spans="1:26" ht="18.75">
      <c r="A827" s="708"/>
      <c r="B827" s="727" t="s">
        <v>328</v>
      </c>
      <c r="C827" s="727"/>
      <c r="D827" s="538"/>
      <c r="E827" s="727"/>
      <c r="F827" s="727"/>
      <c r="G827" s="189"/>
      <c r="H827" s="589" t="s">
        <v>12</v>
      </c>
      <c r="I827" s="269">
        <f ca="1">IFERROR(__xludf.DUMMYFUNCTION("IMPORTRANGE(""https://docs.google.com/spreadsheets/d/19vJNZY_5yjcGF2XGBMNZRCAIB0Kwfpjp8YEOfu-bneM/edit?usp=sharing"",""งานกองทุน!S22"")"),4350000)</f>
        <v>4350000</v>
      </c>
      <c r="J827" s="269">
        <f ca="1">IFERROR(__xludf.DUMMYFUNCTION("IMPORTRANGE(""https://docs.google.com/spreadsheets/d/19vJNZY_5yjcGF2XGBMNZRCAIB0Kwfpjp8YEOfu-bneM/edit?usp=sharing"",""งานกองทุน!U22"")"),0)</f>
        <v>0</v>
      </c>
      <c r="K827" s="465">
        <f t="shared" ca="1" si="334"/>
        <v>0</v>
      </c>
      <c r="L827" s="465"/>
      <c r="M827" s="465"/>
      <c r="N827" s="465"/>
      <c r="O827" s="465"/>
      <c r="P827" s="465"/>
      <c r="Q827" s="541"/>
      <c r="R827" s="541"/>
      <c r="S827" s="541"/>
      <c r="T827" s="541"/>
      <c r="U827" s="541"/>
      <c r="V827" s="541"/>
      <c r="W827" s="541"/>
      <c r="X827" s="541"/>
      <c r="Y827" s="541"/>
      <c r="Z827" s="541"/>
    </row>
    <row r="828" spans="1:26" ht="18.75">
      <c r="A828" s="711"/>
      <c r="B828" s="713"/>
      <c r="C828" s="713"/>
      <c r="D828" s="712"/>
      <c r="E828" s="713"/>
      <c r="F828" s="713"/>
      <c r="G828" s="790"/>
      <c r="H828" s="791" t="s">
        <v>35</v>
      </c>
      <c r="I828" s="468">
        <f ca="1">IFERROR(__xludf.DUMMYFUNCTION("IMPORTRANGE(""https://docs.google.com/spreadsheets/d/19vJNZY_5yjcGF2XGBMNZRCAIB0Kwfpjp8YEOfu-bneM/edit?usp=sharing"",""งานกองทุน!R22"")"),174)</f>
        <v>174</v>
      </c>
      <c r="J828" s="468">
        <f ca="1">IFERROR(__xludf.DUMMYFUNCTION("IMPORTRANGE(""https://docs.google.com/spreadsheets/d/19vJNZY_5yjcGF2XGBMNZRCAIB0Kwfpjp8YEOfu-bneM/edit?usp=sharing"",""งานกองทุน!T22"")"),9)</f>
        <v>9</v>
      </c>
      <c r="K828" s="469">
        <f t="shared" ca="1" si="334"/>
        <v>5.1724137931034484</v>
      </c>
      <c r="L828" s="469"/>
      <c r="M828" s="469"/>
      <c r="N828" s="469"/>
      <c r="O828" s="469"/>
      <c r="P828" s="469"/>
      <c r="Q828" s="541"/>
      <c r="R828" s="541"/>
      <c r="S828" s="541"/>
      <c r="T828" s="541"/>
      <c r="U828" s="541"/>
      <c r="V828" s="541"/>
      <c r="W828" s="541"/>
      <c r="X828" s="541"/>
      <c r="Y828" s="541"/>
      <c r="Z828" s="541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1" fitToHeight="0" pageOrder="overThenDown" orientation="portrait" cellComments="atEnd" r:id="rId1"/>
  <headerFooter>
    <oddFooter>&amp;Cหน้า &amp;P/&amp;N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F6D3FF-3774-4AF8-A361-FA89B43D5034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activeCell="S28" sqref="S28"/>
      <selection pane="bottomLeft" activeCell="L4" sqref="L4"/>
    </sheetView>
  </sheetViews>
  <sheetFormatPr defaultColWidth="12.5703125" defaultRowHeight="15.75" customHeight="1"/>
  <cols>
    <col min="1" max="1" width="4.7109375" customWidth="1"/>
    <col min="2" max="3" width="3.28515625" customWidth="1"/>
    <col min="4" max="6" width="5.85546875" customWidth="1"/>
    <col min="7" max="7" width="56.42578125" customWidth="1"/>
    <col min="8" max="8" width="9.42578125" customWidth="1"/>
    <col min="9" max="9" width="18.7109375" bestFit="1" customWidth="1"/>
    <col min="10" max="10" width="14.42578125" bestFit="1" customWidth="1"/>
    <col min="11" max="11" width="12.5703125" customWidth="1"/>
    <col min="12" max="14" width="21.28515625" bestFit="1" customWidth="1"/>
    <col min="15" max="15" width="20.140625" bestFit="1" customWidth="1"/>
    <col min="16" max="16" width="22" bestFit="1" customWidth="1"/>
  </cols>
  <sheetData>
    <row r="1" spans="1:26" ht="19.5">
      <c r="A1" s="792" t="s">
        <v>0</v>
      </c>
      <c r="B1" s="793"/>
      <c r="C1" s="793"/>
      <c r="D1" s="793"/>
      <c r="E1" s="793"/>
      <c r="F1" s="793"/>
      <c r="G1" s="793"/>
      <c r="H1" s="793"/>
      <c r="I1" s="793"/>
      <c r="J1" s="793"/>
      <c r="K1" s="793"/>
      <c r="L1" s="793"/>
      <c r="M1" s="793"/>
      <c r="N1" s="793"/>
      <c r="O1" s="793"/>
      <c r="P1" s="793"/>
    </row>
    <row r="2" spans="1:26" ht="19.5">
      <c r="A2" s="792" t="s">
        <v>345</v>
      </c>
      <c r="B2" s="793"/>
      <c r="C2" s="793"/>
      <c r="D2" s="793"/>
      <c r="E2" s="793"/>
      <c r="F2" s="793"/>
      <c r="G2" s="793"/>
      <c r="H2" s="793"/>
      <c r="I2" s="793"/>
      <c r="J2" s="793"/>
      <c r="K2" s="793"/>
      <c r="L2" s="793"/>
      <c r="M2" s="793"/>
      <c r="N2" s="793"/>
      <c r="O2" s="793"/>
      <c r="P2" s="793"/>
    </row>
    <row r="3" spans="1:26" ht="19.5">
      <c r="A3" s="792" t="s">
        <v>355</v>
      </c>
      <c r="B3" s="793"/>
      <c r="C3" s="793"/>
      <c r="D3" s="793"/>
      <c r="E3" s="793"/>
      <c r="F3" s="793"/>
      <c r="G3" s="793"/>
      <c r="H3" s="793"/>
      <c r="I3" s="793"/>
      <c r="J3" s="793"/>
      <c r="K3" s="793"/>
      <c r="L3" s="793"/>
      <c r="M3" s="793"/>
      <c r="N3" s="793"/>
      <c r="O3" s="793"/>
      <c r="P3" s="793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00" t="s">
        <v>2</v>
      </c>
      <c r="B5" s="793"/>
      <c r="C5" s="793"/>
      <c r="D5" s="793"/>
      <c r="E5" s="793"/>
      <c r="F5" s="793"/>
      <c r="G5" s="801"/>
      <c r="H5" s="794" t="s">
        <v>3</v>
      </c>
      <c r="I5" s="796" t="s">
        <v>4</v>
      </c>
      <c r="J5" s="797"/>
      <c r="K5" s="795"/>
      <c r="L5" s="798" t="s">
        <v>5</v>
      </c>
      <c r="M5" s="795"/>
      <c r="N5" s="799" t="s">
        <v>6</v>
      </c>
      <c r="O5" s="797"/>
      <c r="P5" s="795"/>
    </row>
    <row r="6" spans="1:26" ht="19.5">
      <c r="A6" s="802"/>
      <c r="B6" s="797"/>
      <c r="C6" s="797"/>
      <c r="D6" s="797"/>
      <c r="E6" s="797"/>
      <c r="F6" s="797"/>
      <c r="G6" s="795"/>
      <c r="H6" s="795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03" t="s">
        <v>15</v>
      </c>
      <c r="B7" s="797"/>
      <c r="C7" s="797"/>
      <c r="D7" s="797"/>
      <c r="E7" s="797"/>
      <c r="F7" s="797"/>
      <c r="G7" s="795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7657747</v>
      </c>
      <c r="M8" s="22">
        <f t="shared" ca="1" si="0"/>
        <v>2777809</v>
      </c>
      <c r="N8" s="22">
        <f t="shared" ca="1" si="0"/>
        <v>1817579.57</v>
      </c>
      <c r="O8" s="22">
        <f t="shared" ref="O8:O16" ca="1" si="1">IF(L8&gt;0,N8*100/L8,0)</f>
        <v>23.735173935623624</v>
      </c>
      <c r="P8" s="22">
        <f t="shared" ref="P8:P16" ca="1" si="2">IF(M8&gt;0,N8*100/M8,0)</f>
        <v>65.432129062869336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7657747</v>
      </c>
      <c r="M10" s="30">
        <f t="shared" ca="1" si="3"/>
        <v>2777809</v>
      </c>
      <c r="N10" s="30">
        <f t="shared" ca="1" si="3"/>
        <v>1817579.57</v>
      </c>
      <c r="O10" s="30">
        <f t="shared" ca="1" si="1"/>
        <v>23.735173935623624</v>
      </c>
      <c r="P10" s="30">
        <f t="shared" ca="1" si="2"/>
        <v>65.432129062869336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589" t="s">
        <v>12</v>
      </c>
      <c r="I11" s="269"/>
      <c r="J11" s="269"/>
      <c r="K11" s="465"/>
      <c r="L11" s="465">
        <f t="shared" ref="L11:N11" ca="1" si="4">L12+L13</f>
        <v>6930847</v>
      </c>
      <c r="M11" s="465">
        <f t="shared" ca="1" si="4"/>
        <v>2050909</v>
      </c>
      <c r="N11" s="465">
        <f t="shared" ca="1" si="4"/>
        <v>1094179.57</v>
      </c>
      <c r="O11" s="465">
        <f t="shared" ca="1" si="1"/>
        <v>15.787097449994206</v>
      </c>
      <c r="P11" s="465">
        <f t="shared" ca="1" si="2"/>
        <v>53.350956575840272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2" t="s">
        <v>18</v>
      </c>
      <c r="F12" s="40"/>
      <c r="G12" s="42"/>
      <c r="H12" s="43" t="s">
        <v>12</v>
      </c>
      <c r="I12" s="583"/>
      <c r="J12" s="583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2" t="s">
        <v>19</v>
      </c>
      <c r="F13" s="40"/>
      <c r="G13" s="42"/>
      <c r="H13" s="43" t="s">
        <v>12</v>
      </c>
      <c r="I13" s="583"/>
      <c r="J13" s="583"/>
      <c r="K13" s="93"/>
      <c r="L13" s="93">
        <f t="shared" ca="1" si="5"/>
        <v>6930847</v>
      </c>
      <c r="M13" s="93">
        <f t="shared" ca="1" si="5"/>
        <v>2050909</v>
      </c>
      <c r="N13" s="93">
        <f t="shared" ca="1" si="5"/>
        <v>1094179.57</v>
      </c>
      <c r="O13" s="93">
        <f t="shared" ca="1" si="1"/>
        <v>15.787097449994206</v>
      </c>
      <c r="P13" s="93">
        <f t="shared" ca="1" si="2"/>
        <v>53.350956575840272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589" t="s">
        <v>12</v>
      </c>
      <c r="I14" s="269"/>
      <c r="J14" s="269"/>
      <c r="K14" s="465"/>
      <c r="L14" s="465">
        <f t="shared" ref="L14:N14" ca="1" si="6">L15+L16</f>
        <v>726900</v>
      </c>
      <c r="M14" s="465">
        <f t="shared" ca="1" si="6"/>
        <v>726900</v>
      </c>
      <c r="N14" s="465">
        <f t="shared" ca="1" si="6"/>
        <v>723400</v>
      </c>
      <c r="O14" s="465">
        <f t="shared" ca="1" si="1"/>
        <v>99.518503232906866</v>
      </c>
      <c r="P14" s="465">
        <f t="shared" ca="1" si="2"/>
        <v>99.518503232906866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2" t="s">
        <v>18</v>
      </c>
      <c r="F15" s="40"/>
      <c r="G15" s="42"/>
      <c r="H15" s="43" t="s">
        <v>12</v>
      </c>
      <c r="I15" s="583"/>
      <c r="J15" s="583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726900</v>
      </c>
      <c r="M16" s="52">
        <f t="shared" ca="1" si="7"/>
        <v>726900</v>
      </c>
      <c r="N16" s="52">
        <f t="shared" ca="1" si="7"/>
        <v>723400</v>
      </c>
      <c r="O16" s="52">
        <f t="shared" ca="1" si="1"/>
        <v>99.518503232906866</v>
      </c>
      <c r="P16" s="52">
        <f t="shared" ca="1" si="2"/>
        <v>99.518503232906866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03" t="s">
        <v>22</v>
      </c>
      <c r="B17" s="797"/>
      <c r="C17" s="797"/>
      <c r="D17" s="797"/>
      <c r="E17" s="797"/>
      <c r="F17" s="797"/>
      <c r="G17" s="795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4835024</v>
      </c>
      <c r="M18" s="22">
        <f t="shared" ca="1" si="8"/>
        <v>2777809</v>
      </c>
      <c r="N18" s="22">
        <f t="shared" ca="1" si="8"/>
        <v>1545311.57</v>
      </c>
      <c r="O18" s="22">
        <f t="shared" ref="O18:O26" ca="1" si="9">IF(L18&gt;0,N18*100/L18,0)</f>
        <v>31.960783855467934</v>
      </c>
      <c r="P18" s="22">
        <f t="shared" ref="P18:P26" ca="1" si="10">IF(M18&gt;0,N18*100/M18,0)</f>
        <v>55.630591232154551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4835024</v>
      </c>
      <c r="M20" s="30">
        <f t="shared" ca="1" si="11"/>
        <v>2777809</v>
      </c>
      <c r="N20" s="30">
        <f t="shared" ca="1" si="11"/>
        <v>1545311.57</v>
      </c>
      <c r="O20" s="30">
        <f t="shared" ca="1" si="9"/>
        <v>31.960783855467934</v>
      </c>
      <c r="P20" s="30">
        <f t="shared" ca="1" si="10"/>
        <v>55.630591232154551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589" t="s">
        <v>12</v>
      </c>
      <c r="I21" s="269"/>
      <c r="J21" s="269"/>
      <c r="K21" s="465"/>
      <c r="L21" s="465">
        <f t="shared" ref="L21:N21" ca="1" si="12">L22+L23</f>
        <v>4108124</v>
      </c>
      <c r="M21" s="465">
        <f t="shared" ca="1" si="12"/>
        <v>2050909</v>
      </c>
      <c r="N21" s="465">
        <f t="shared" ca="1" si="12"/>
        <v>821911.57000000007</v>
      </c>
      <c r="O21" s="465">
        <f t="shared" ca="1" si="9"/>
        <v>20.006980558522578</v>
      </c>
      <c r="P21" s="465">
        <f t="shared" ca="1" si="10"/>
        <v>40.07547726398392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2" t="s">
        <v>18</v>
      </c>
      <c r="F22" s="40"/>
      <c r="G22" s="42"/>
      <c r="H22" s="43" t="s">
        <v>12</v>
      </c>
      <c r="I22" s="583"/>
      <c r="J22" s="583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2" t="s">
        <v>19</v>
      </c>
      <c r="F23" s="40"/>
      <c r="G23" s="42"/>
      <c r="H23" s="43" t="s">
        <v>12</v>
      </c>
      <c r="I23" s="583"/>
      <c r="J23" s="583"/>
      <c r="K23" s="93"/>
      <c r="L23" s="93">
        <f t="shared" ca="1" si="13"/>
        <v>4108124</v>
      </c>
      <c r="M23" s="93">
        <f t="shared" ca="1" si="13"/>
        <v>2050909</v>
      </c>
      <c r="N23" s="93">
        <f t="shared" ca="1" si="13"/>
        <v>821911.57000000007</v>
      </c>
      <c r="O23" s="93">
        <f t="shared" ca="1" si="9"/>
        <v>20.006980558522578</v>
      </c>
      <c r="P23" s="93">
        <f t="shared" ca="1" si="10"/>
        <v>40.07547726398392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589" t="s">
        <v>12</v>
      </c>
      <c r="I24" s="269"/>
      <c r="J24" s="269"/>
      <c r="K24" s="465"/>
      <c r="L24" s="465">
        <f t="shared" ref="L24:N24" ca="1" si="14">L25+L26</f>
        <v>726900</v>
      </c>
      <c r="M24" s="465">
        <f t="shared" ca="1" si="14"/>
        <v>726900</v>
      </c>
      <c r="N24" s="465">
        <f t="shared" ca="1" si="14"/>
        <v>723400</v>
      </c>
      <c r="O24" s="465">
        <f t="shared" ca="1" si="9"/>
        <v>99.518503232906866</v>
      </c>
      <c r="P24" s="465">
        <f t="shared" ca="1" si="10"/>
        <v>99.518503232906866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2" t="s">
        <v>18</v>
      </c>
      <c r="F25" s="40"/>
      <c r="G25" s="42"/>
      <c r="H25" s="43" t="s">
        <v>12</v>
      </c>
      <c r="I25" s="583"/>
      <c r="J25" s="583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726900</v>
      </c>
      <c r="M26" s="52">
        <f t="shared" ca="1" si="15"/>
        <v>726900</v>
      </c>
      <c r="N26" s="52">
        <f t="shared" ca="1" si="15"/>
        <v>723400</v>
      </c>
      <c r="O26" s="52">
        <f t="shared" ca="1" si="9"/>
        <v>99.518503232906866</v>
      </c>
      <c r="P26" s="52">
        <f t="shared" ca="1" si="10"/>
        <v>99.518503232906866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03" t="s">
        <v>23</v>
      </c>
      <c r="B27" s="797"/>
      <c r="C27" s="797"/>
      <c r="D27" s="797"/>
      <c r="E27" s="797"/>
      <c r="F27" s="797"/>
      <c r="G27" s="795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2822723</v>
      </c>
      <c r="M28" s="22">
        <f t="shared" si="16"/>
        <v>0</v>
      </c>
      <c r="N28" s="22">
        <f t="shared" si="16"/>
        <v>272268</v>
      </c>
      <c r="O28" s="22">
        <f t="shared" ref="O28:O37" ca="1" si="17">IF(L28&gt;0,N28*100/L28,0)</f>
        <v>9.645579817785876</v>
      </c>
      <c r="P28" s="22">
        <f t="shared" ref="P28:P37" si="18">IF(M28&gt;0,N28*100/M28,0)</f>
        <v>0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2822723</v>
      </c>
      <c r="M30" s="30">
        <f t="shared" si="19"/>
        <v>0</v>
      </c>
      <c r="N30" s="30">
        <f t="shared" si="19"/>
        <v>272268</v>
      </c>
      <c r="O30" s="30">
        <f t="shared" ca="1" si="17"/>
        <v>9.645579817785876</v>
      </c>
      <c r="P30" s="30">
        <f t="shared" si="18"/>
        <v>0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589" t="s">
        <v>12</v>
      </c>
      <c r="I31" s="269"/>
      <c r="J31" s="269"/>
      <c r="K31" s="465"/>
      <c r="L31" s="465">
        <f t="shared" ref="L31:N31" ca="1" si="20">L32+L33</f>
        <v>2822723</v>
      </c>
      <c r="M31" s="465">
        <f t="shared" si="20"/>
        <v>0</v>
      </c>
      <c r="N31" s="465">
        <f t="shared" si="20"/>
        <v>272268</v>
      </c>
      <c r="O31" s="465">
        <f t="shared" ca="1" si="17"/>
        <v>9.645579817785876</v>
      </c>
      <c r="P31" s="465">
        <f t="shared" si="18"/>
        <v>0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2" t="s">
        <v>18</v>
      </c>
      <c r="F32" s="40"/>
      <c r="G32" s="42"/>
      <c r="H32" s="43" t="s">
        <v>12</v>
      </c>
      <c r="I32" s="583"/>
      <c r="J32" s="583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2" t="s">
        <v>19</v>
      </c>
      <c r="F33" s="40"/>
      <c r="G33" s="42"/>
      <c r="H33" s="43" t="s">
        <v>12</v>
      </c>
      <c r="I33" s="583"/>
      <c r="J33" s="583"/>
      <c r="K33" s="93"/>
      <c r="L33" s="93">
        <f t="shared" ca="1" si="21"/>
        <v>2822723</v>
      </c>
      <c r="M33" s="93">
        <f t="shared" si="21"/>
        <v>0</v>
      </c>
      <c r="N33" s="93">
        <f t="shared" si="21"/>
        <v>272268</v>
      </c>
      <c r="O33" s="93">
        <f t="shared" ca="1" si="17"/>
        <v>9.645579817785876</v>
      </c>
      <c r="P33" s="93">
        <f t="shared" si="18"/>
        <v>0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589" t="s">
        <v>12</v>
      </c>
      <c r="I34" s="269"/>
      <c r="J34" s="269"/>
      <c r="K34" s="465"/>
      <c r="L34" s="465">
        <f t="shared" ref="L34:N34" ca="1" si="22">L35+L36</f>
        <v>0</v>
      </c>
      <c r="M34" s="465">
        <f t="shared" si="22"/>
        <v>0</v>
      </c>
      <c r="N34" s="465">
        <f t="shared" si="22"/>
        <v>0</v>
      </c>
      <c r="O34" s="465">
        <f t="shared" ca="1" si="17"/>
        <v>0</v>
      </c>
      <c r="P34" s="465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2" t="s">
        <v>18</v>
      </c>
      <c r="F35" s="40"/>
      <c r="G35" s="42"/>
      <c r="H35" s="43" t="s">
        <v>12</v>
      </c>
      <c r="I35" s="583"/>
      <c r="J35" s="583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53" t="s">
        <v>24</v>
      </c>
      <c r="B37" s="54"/>
      <c r="C37" s="54"/>
      <c r="D37" s="54"/>
      <c r="E37" s="54"/>
      <c r="F37" s="54"/>
      <c r="G37" s="55"/>
      <c r="H37" s="56"/>
      <c r="I37" s="392"/>
      <c r="J37" s="392"/>
      <c r="K37" s="58"/>
      <c r="L37" s="59">
        <f t="shared" ref="L37:N37" ca="1" si="24">L41+L53+L66+L88+L119+L132+L149+L165+L181+L261+L277+L298+L315+L328+L345+L389+L402</f>
        <v>4835024</v>
      </c>
      <c r="M37" s="59">
        <f t="shared" ca="1" si="24"/>
        <v>2777809</v>
      </c>
      <c r="N37" s="59">
        <f t="shared" ca="1" si="24"/>
        <v>1545311.57</v>
      </c>
      <c r="O37" s="59">
        <f t="shared" ca="1" si="17"/>
        <v>31.960783855467934</v>
      </c>
      <c r="P37" s="59">
        <f t="shared" ca="1" si="18"/>
        <v>55.630591232154551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04" t="s">
        <v>27</v>
      </c>
      <c r="C40" s="805"/>
      <c r="D40" s="805"/>
      <c r="E40" s="805"/>
      <c r="F40" s="805"/>
      <c r="G40" s="806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15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508544</v>
      </c>
      <c r="M41" s="85">
        <f t="shared" ca="1" si="25"/>
        <v>257544</v>
      </c>
      <c r="N41" s="85">
        <f t="shared" ca="1" si="25"/>
        <v>150243</v>
      </c>
      <c r="O41" s="85">
        <f t="shared" ref="O41:O49" ca="1" si="26">IF(L41&gt;0,N41*100/L41,0)</f>
        <v>29.5437562924742</v>
      </c>
      <c r="P41" s="85">
        <f t="shared" ref="P41:P49" ca="1" si="27">IF(M41&gt;0,N41*100/M41,0)</f>
        <v>58.336827881837664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508544</v>
      </c>
      <c r="M43" s="92">
        <f t="shared" ca="1" si="28"/>
        <v>257544</v>
      </c>
      <c r="N43" s="92">
        <f t="shared" ca="1" si="28"/>
        <v>150243</v>
      </c>
      <c r="O43" s="92">
        <f t="shared" ca="1" si="26"/>
        <v>29.5437562924742</v>
      </c>
      <c r="P43" s="92">
        <f t="shared" ca="1" si="27"/>
        <v>58.336827881837664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589" t="s">
        <v>12</v>
      </c>
      <c r="I44" s="269"/>
      <c r="J44" s="269"/>
      <c r="K44" s="465"/>
      <c r="L44" s="465">
        <f t="shared" ref="L44:N44" ca="1" si="29">L45+L46</f>
        <v>508544</v>
      </c>
      <c r="M44" s="465">
        <f t="shared" ca="1" si="29"/>
        <v>257544</v>
      </c>
      <c r="N44" s="465">
        <f t="shared" ca="1" si="29"/>
        <v>150243</v>
      </c>
      <c r="O44" s="465">
        <f t="shared" ca="1" si="26"/>
        <v>29.5437562924742</v>
      </c>
      <c r="P44" s="465">
        <f t="shared" ca="1" si="27"/>
        <v>58.336827881837664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2" t="s">
        <v>18</v>
      </c>
      <c r="F45" s="40"/>
      <c r="G45" s="42"/>
      <c r="H45" s="43" t="s">
        <v>12</v>
      </c>
      <c r="I45" s="583"/>
      <c r="J45" s="583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2" t="s">
        <v>19</v>
      </c>
      <c r="F46" s="40"/>
      <c r="G46" s="42"/>
      <c r="H46" s="43" t="s">
        <v>12</v>
      </c>
      <c r="I46" s="583"/>
      <c r="J46" s="583"/>
      <c r="K46" s="93"/>
      <c r="L46" s="93">
        <f ca="1">IFERROR(__xludf.DUMMYFUNCTION("IMPORTRANGE(""https://docs.google.com/spreadsheets/d/1MeEWN-I1oV_STSDYn1IFDPWt_1FKiwhDph83XaGc0o0/edit?usp=sharing"",""งบพรบ!M23"")"),508544)</f>
        <v>508544</v>
      </c>
      <c r="M46" s="93">
        <f ca="1">IFERROR(__xludf.DUMMYFUNCTION("IMPORTRANGE(""https://docs.google.com/spreadsheets/d/1MeEWN-I1oV_STSDYn1IFDPWt_1FKiwhDph83XaGc0o0/edit?usp=sharing"",""งบพรบ!R23"")"),257544)</f>
        <v>257544</v>
      </c>
      <c r="N46" s="93">
        <f ca="1">IFERROR(__xludf.DUMMYFUNCTION("IMPORTRANGE(""https://docs.google.com/spreadsheets/d/1MeEWN-I1oV_STSDYn1IFDPWt_1FKiwhDph83XaGc0o0/edit?usp=sharing"",""งบพรบ!T23"")"),150243)</f>
        <v>150243</v>
      </c>
      <c r="O46" s="93">
        <f t="shared" ca="1" si="26"/>
        <v>29.5437562924742</v>
      </c>
      <c r="P46" s="93">
        <f t="shared" ca="1" si="27"/>
        <v>58.336827881837664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589" t="s">
        <v>12</v>
      </c>
      <c r="I47" s="269"/>
      <c r="J47" s="269"/>
      <c r="K47" s="465"/>
      <c r="L47" s="465">
        <f t="shared" ref="L47:N47" ca="1" si="30">L48+L49</f>
        <v>0</v>
      </c>
      <c r="M47" s="465">
        <f t="shared" ca="1" si="30"/>
        <v>0</v>
      </c>
      <c r="N47" s="465">
        <f t="shared" ca="1" si="30"/>
        <v>0</v>
      </c>
      <c r="O47" s="465">
        <f t="shared" ca="1" si="26"/>
        <v>0</v>
      </c>
      <c r="P47" s="465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2" t="s">
        <v>18</v>
      </c>
      <c r="F48" s="40"/>
      <c r="G48" s="42"/>
      <c r="H48" s="43" t="s">
        <v>12</v>
      </c>
      <c r="I48" s="583"/>
      <c r="J48" s="583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IFERROR(__xludf.DUMMYFUNCTION("IMPORTRANGE(""https://docs.google.com/spreadsheets/d/1MeEWN-I1oV_STSDYn1IFDPWt_1FKiwhDph83XaGc0o0/edit?usp=sharing"",""งบพรบ!P23"")"),0)</f>
        <v>0</v>
      </c>
      <c r="M49" s="52">
        <f ca="1">IFERROR(__xludf.DUMMYFUNCTION("IMPORTRANGE(""https://docs.google.com/spreadsheets/d/1MeEWN-I1oV_STSDYn1IFDPWt_1FKiwhDph83XaGc0o0/edit?usp=sharing"",""งบพรบ!S23"")"),0)</f>
        <v>0</v>
      </c>
      <c r="N49" s="52">
        <f ca="1">IFERROR(__xludf.DUMMYFUNCTION("IMPORTRANGE(""https://docs.google.com/spreadsheets/d/1MeEWN-I1oV_STSDYn1IFDPWt_1FKiwhDph83XaGc0o0/edit?usp=sharing"",""งบพรบ!U23"")"),0)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07" t="s">
        <v>28</v>
      </c>
      <c r="B50" s="797"/>
      <c r="C50" s="797"/>
      <c r="D50" s="797"/>
      <c r="E50" s="797"/>
      <c r="F50" s="797"/>
      <c r="G50" s="795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08" t="s">
        <v>29</v>
      </c>
      <c r="C51" s="805"/>
      <c r="D51" s="805"/>
      <c r="E51" s="805"/>
      <c r="F51" s="805"/>
      <c r="G51" s="806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16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1299900</v>
      </c>
      <c r="M53" s="116">
        <f t="shared" ca="1" si="31"/>
        <v>894100</v>
      </c>
      <c r="N53" s="116">
        <f t="shared" ca="1" si="31"/>
        <v>780511.57000000007</v>
      </c>
      <c r="O53" s="116">
        <f t="shared" ref="O53:O61" ca="1" si="32">IF(L53&gt;0,N53*100/L53,0)</f>
        <v>60.043970305408109</v>
      </c>
      <c r="P53" s="116">
        <f t="shared" ref="P53:P61" ca="1" si="33">IF(M53&gt;0,N53*100/M53,0)</f>
        <v>87.295780114081197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1299900</v>
      </c>
      <c r="M55" s="123">
        <f t="shared" ca="1" si="34"/>
        <v>894100</v>
      </c>
      <c r="N55" s="123">
        <f t="shared" ca="1" si="34"/>
        <v>780511.57000000007</v>
      </c>
      <c r="O55" s="123">
        <f t="shared" ca="1" si="32"/>
        <v>60.043970305408109</v>
      </c>
      <c r="P55" s="123">
        <f t="shared" ca="1" si="33"/>
        <v>87.295780114081197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589" t="s">
        <v>12</v>
      </c>
      <c r="I56" s="269"/>
      <c r="J56" s="269"/>
      <c r="K56" s="465"/>
      <c r="L56" s="465">
        <f t="shared" ref="L56:N56" ca="1" si="35">L57+L58</f>
        <v>811600</v>
      </c>
      <c r="M56" s="465">
        <f t="shared" ca="1" si="35"/>
        <v>405800</v>
      </c>
      <c r="N56" s="465">
        <f t="shared" ca="1" si="35"/>
        <v>295711.57</v>
      </c>
      <c r="O56" s="465">
        <f t="shared" ca="1" si="32"/>
        <v>36.435629620502709</v>
      </c>
      <c r="P56" s="465">
        <f t="shared" ca="1" si="33"/>
        <v>72.871259241005419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2" t="s">
        <v>18</v>
      </c>
      <c r="F57" s="40"/>
      <c r="G57" s="42"/>
      <c r="H57" s="43" t="s">
        <v>12</v>
      </c>
      <c r="I57" s="583"/>
      <c r="J57" s="583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2" t="s">
        <v>19</v>
      </c>
      <c r="F58" s="40"/>
      <c r="G58" s="42"/>
      <c r="H58" s="43" t="s">
        <v>12</v>
      </c>
      <c r="I58" s="583"/>
      <c r="J58" s="583"/>
      <c r="K58" s="93"/>
      <c r="L58" s="93">
        <f ca="1">IFERROR(__xludf.DUMMYFUNCTION("IMPORTRANGE(""https://docs.google.com/spreadsheets/d/1MeEWN-I1oV_STSDYn1IFDPWt_1FKiwhDph83XaGc0o0/edit?usp=sharing"",""งบพรบ!W23"")"),811600)</f>
        <v>811600</v>
      </c>
      <c r="M58" s="93">
        <f ca="1">IFERROR(__xludf.DUMMYFUNCTION("IMPORTRANGE(""https://docs.google.com/spreadsheets/d/1MeEWN-I1oV_STSDYn1IFDPWt_1FKiwhDph83XaGc0o0/edit?usp=sharing"",""งบพรบ!AB23"")"),405800)</f>
        <v>405800</v>
      </c>
      <c r="N58" s="93">
        <f ca="1">IFERROR(__xludf.DUMMYFUNCTION("IMPORTRANGE(""https://docs.google.com/spreadsheets/d/1MeEWN-I1oV_STSDYn1IFDPWt_1FKiwhDph83XaGc0o0/edit?usp=sharing"",""งบพรบ!AD23"")"),295711.57)</f>
        <v>295711.57</v>
      </c>
      <c r="O58" s="93">
        <f t="shared" ca="1" si="32"/>
        <v>36.435629620502709</v>
      </c>
      <c r="P58" s="93">
        <f t="shared" ca="1" si="33"/>
        <v>72.871259241005419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589" t="s">
        <v>12</v>
      </c>
      <c r="I59" s="269"/>
      <c r="J59" s="269"/>
      <c r="K59" s="465"/>
      <c r="L59" s="465">
        <f t="shared" ref="L59:N59" ca="1" si="36">L60+L61</f>
        <v>488300</v>
      </c>
      <c r="M59" s="465">
        <f t="shared" ca="1" si="36"/>
        <v>488300</v>
      </c>
      <c r="N59" s="465">
        <f t="shared" ca="1" si="36"/>
        <v>484800</v>
      </c>
      <c r="O59" s="465">
        <f t="shared" ca="1" si="32"/>
        <v>99.283227524063079</v>
      </c>
      <c r="P59" s="465">
        <f t="shared" ca="1" si="33"/>
        <v>99.283227524063079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2" t="s">
        <v>18</v>
      </c>
      <c r="F60" s="40"/>
      <c r="G60" s="42"/>
      <c r="H60" s="43" t="s">
        <v>12</v>
      </c>
      <c r="I60" s="583"/>
      <c r="J60" s="583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IFERROR(__xludf.DUMMYFUNCTION("IMPORTRANGE(""https://docs.google.com/spreadsheets/d/1MeEWN-I1oV_STSDYn1IFDPWt_1FKiwhDph83XaGc0o0/edit?usp=sharing"",""งบพรบ!Z23"")"),488300)</f>
        <v>488300</v>
      </c>
      <c r="M61" s="52">
        <f ca="1">IFERROR(__xludf.DUMMYFUNCTION("IMPORTRANGE(""https://docs.google.com/spreadsheets/d/1MeEWN-I1oV_STSDYn1IFDPWt_1FKiwhDph83XaGc0o0/edit?usp=sharing"",""งบพรบ!AC23"")"),488300)</f>
        <v>488300</v>
      </c>
      <c r="N61" s="52">
        <f ca="1">IFERROR(__xludf.DUMMYFUNCTION("IMPORTRANGE(""https://docs.google.com/spreadsheets/d/1MeEWN-I1oV_STSDYn1IFDPWt_1FKiwhDph83XaGc0o0/edit?usp=sharing"",""งบพรบ!AE23"")"),484800)</f>
        <v>484800</v>
      </c>
      <c r="O61" s="52">
        <f t="shared" ca="1" si="32"/>
        <v>99.283227524063079</v>
      </c>
      <c r="P61" s="52">
        <f t="shared" ca="1" si="33"/>
        <v>99.283227524063079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>
      <c r="A64" s="138"/>
      <c r="B64" s="208" t="s">
        <v>33</v>
      </c>
      <c r="C64" s="140"/>
      <c r="D64" s="141"/>
      <c r="E64" s="140"/>
      <c r="F64" s="140"/>
      <c r="G64" s="142"/>
      <c r="H64" s="143" t="s">
        <v>34</v>
      </c>
      <c r="I64" s="144">
        <f t="shared" ref="I64:J65" ca="1" si="37">I76</f>
        <v>1</v>
      </c>
      <c r="J64" s="144">
        <f t="shared" si="37"/>
        <v>0</v>
      </c>
      <c r="K64" s="145">
        <f t="shared" ref="K64:K65" ca="1" si="38">IF(I64&gt;0,J64*100/I64,0)</f>
        <v>0</v>
      </c>
      <c r="L64" s="146"/>
      <c r="M64" s="146"/>
      <c r="N64" s="146"/>
      <c r="O64" s="146"/>
      <c r="P64" s="146"/>
    </row>
    <row r="65" spans="1:26" ht="19.5">
      <c r="A65" s="138"/>
      <c r="B65" s="140"/>
      <c r="C65" s="140"/>
      <c r="D65" s="141"/>
      <c r="E65" s="140"/>
      <c r="F65" s="140"/>
      <c r="G65" s="142"/>
      <c r="H65" s="143" t="s">
        <v>35</v>
      </c>
      <c r="I65" s="144">
        <f t="shared" ca="1" si="37"/>
        <v>35</v>
      </c>
      <c r="J65" s="144">
        <f t="shared" si="37"/>
        <v>0</v>
      </c>
      <c r="K65" s="145">
        <f t="shared" ca="1" si="38"/>
        <v>0</v>
      </c>
      <c r="L65" s="146"/>
      <c r="M65" s="146"/>
      <c r="N65" s="146"/>
      <c r="O65" s="146"/>
      <c r="P65" s="146"/>
    </row>
    <row r="66" spans="1:26" ht="19.5">
      <c r="A66" s="147"/>
      <c r="B66" s="148"/>
      <c r="C66" s="149" t="s">
        <v>16</v>
      </c>
      <c r="D66" s="817" t="s">
        <v>17</v>
      </c>
      <c r="E66" s="148"/>
      <c r="F66" s="148"/>
      <c r="G66" s="151"/>
      <c r="H66" s="152" t="s">
        <v>12</v>
      </c>
      <c r="I66" s="388"/>
      <c r="J66" s="388"/>
      <c r="K66" s="154"/>
      <c r="L66" s="155">
        <f t="shared" ref="L66:N66" ca="1" si="39">L67+L68</f>
        <v>640000</v>
      </c>
      <c r="M66" s="155">
        <f t="shared" ca="1" si="39"/>
        <v>314000</v>
      </c>
      <c r="N66" s="155">
        <f t="shared" ca="1" si="39"/>
        <v>55129</v>
      </c>
      <c r="O66" s="155">
        <f t="shared" ref="O66:O74" ca="1" si="40">IF(L66&gt;0,N66*100/L66,0)</f>
        <v>8.6139062499999994</v>
      </c>
      <c r="P66" s="155">
        <f t="shared" ref="P66:P74" ca="1" si="41">IF(M66&gt;0,N66*100/M66,0)</f>
        <v>17.557006369426752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2" t="s">
        <v>18</v>
      </c>
      <c r="F67" s="40"/>
      <c r="G67" s="157"/>
      <c r="H67" s="158" t="s">
        <v>12</v>
      </c>
      <c r="I67" s="583"/>
      <c r="J67" s="583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2" t="s">
        <v>19</v>
      </c>
      <c r="F68" s="40"/>
      <c r="G68" s="157"/>
      <c r="H68" s="158" t="s">
        <v>12</v>
      </c>
      <c r="I68" s="583"/>
      <c r="J68" s="583"/>
      <c r="K68" s="93"/>
      <c r="L68" s="93">
        <f t="shared" ca="1" si="42"/>
        <v>640000</v>
      </c>
      <c r="M68" s="93">
        <f t="shared" ca="1" si="42"/>
        <v>314000</v>
      </c>
      <c r="N68" s="93">
        <f t="shared" ca="1" si="42"/>
        <v>55129</v>
      </c>
      <c r="O68" s="93">
        <f t="shared" ca="1" si="40"/>
        <v>8.6139062499999994</v>
      </c>
      <c r="P68" s="93">
        <f t="shared" ca="1" si="41"/>
        <v>17.557006369426752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>
      <c r="A69" s="159"/>
      <c r="B69" s="33"/>
      <c r="C69" s="281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65">
        <f t="shared" ref="L69:N69" ca="1" si="43">L70+L71</f>
        <v>640000</v>
      </c>
      <c r="M69" s="465">
        <f t="shared" ca="1" si="43"/>
        <v>314000</v>
      </c>
      <c r="N69" s="465">
        <f t="shared" ca="1" si="43"/>
        <v>55129</v>
      </c>
      <c r="O69" s="465">
        <f t="shared" ca="1" si="40"/>
        <v>8.6139062499999994</v>
      </c>
      <c r="P69" s="465">
        <f t="shared" ca="1" si="41"/>
        <v>17.557006369426752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2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2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IFERROR(__xludf.DUMMYFUNCTION("IMPORTRANGE(""https://docs.google.com/spreadsheets/d/1MeEWN-I1oV_STSDYn1IFDPWt_1FKiwhDph83XaGc0o0/edit?usp=sharing"",""งบพรบ!AG23"")"),640000)</f>
        <v>640000</v>
      </c>
      <c r="M71" s="93">
        <f ca="1">IFERROR(__xludf.DUMMYFUNCTION("IMPORTRANGE(""https://docs.google.com/spreadsheets/d/1MeEWN-I1oV_STSDYn1IFDPWt_1FKiwhDph83XaGc0o0/edit?usp=sharing"",""งบพรบ!AL23"")"),314000)</f>
        <v>314000</v>
      </c>
      <c r="N71" s="93">
        <f ca="1">IFERROR(__xludf.DUMMYFUNCTION("IMPORTRANGE(""https://docs.google.com/spreadsheets/d/1MeEWN-I1oV_STSDYn1IFDPWt_1FKiwhDph83XaGc0o0/edit?usp=sharing"",""งบพรบ!AN23"")"),55129)</f>
        <v>55129</v>
      </c>
      <c r="O71" s="93">
        <f t="shared" ca="1" si="40"/>
        <v>8.6139062499999994</v>
      </c>
      <c r="P71" s="93">
        <f t="shared" ca="1" si="41"/>
        <v>17.557006369426752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>
      <c r="A72" s="159"/>
      <c r="B72" s="33"/>
      <c r="C72" s="281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65">
        <f t="shared" ref="L72:N72" ca="1" si="44">L73+L74</f>
        <v>0</v>
      </c>
      <c r="M72" s="465">
        <f t="shared" ca="1" si="44"/>
        <v>0</v>
      </c>
      <c r="N72" s="465">
        <f t="shared" ca="1" si="44"/>
        <v>0</v>
      </c>
      <c r="O72" s="465">
        <f t="shared" ca="1" si="40"/>
        <v>0</v>
      </c>
      <c r="P72" s="465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2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2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IFERROR(__xludf.DUMMYFUNCTION("IMPORTRANGE(""https://docs.google.com/spreadsheets/d/1MeEWN-I1oV_STSDYn1IFDPWt_1FKiwhDph83XaGc0o0/edit?usp=sharing"",""งบพรบ!AJ23"")"),0)</f>
        <v>0</v>
      </c>
      <c r="M74" s="93">
        <f ca="1">IFERROR(__xludf.DUMMYFUNCTION("IMPORTRANGE(""https://docs.google.com/spreadsheets/d/1MeEWN-I1oV_STSDYn1IFDPWt_1FKiwhDph83XaGc0o0/edit?usp=sharing"",""งบพรบ!AM23"")"),0)</f>
        <v>0</v>
      </c>
      <c r="N74" s="93">
        <f ca="1">IFERROR(__xludf.DUMMYFUNCTION("IMPORTRANGE(""https://docs.google.com/spreadsheets/d/1MeEWN-I1oV_STSDYn1IFDPWt_1FKiwhDph83XaGc0o0/edit?usp=sharing"",""งบพรบ!AO23"")"),0)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>
      <c r="A75" s="170"/>
      <c r="B75" s="171"/>
      <c r="C75" s="164" t="s">
        <v>16</v>
      </c>
      <c r="D75" s="818" t="s">
        <v>38</v>
      </c>
      <c r="E75" s="173"/>
      <c r="F75" s="173"/>
      <c r="G75" s="174"/>
      <c r="H75" s="726"/>
      <c r="I75" s="184"/>
      <c r="J75" s="184"/>
      <c r="K75" s="163"/>
      <c r="L75" s="163"/>
      <c r="M75" s="163"/>
      <c r="N75" s="163"/>
      <c r="O75" s="163"/>
      <c r="P75" s="163"/>
    </row>
    <row r="76" spans="1:26" ht="19.5">
      <c r="A76" s="170"/>
      <c r="B76" s="171"/>
      <c r="C76" s="171"/>
      <c r="D76" s="343" t="s">
        <v>39</v>
      </c>
      <c r="E76" s="415"/>
      <c r="F76" s="342"/>
      <c r="G76" s="179"/>
      <c r="H76" s="180" t="s">
        <v>34</v>
      </c>
      <c r="I76" s="269">
        <f t="shared" ref="I76:J77" ca="1" si="45">I78+I80+I82</f>
        <v>1</v>
      </c>
      <c r="J76" s="269">
        <f t="shared" si="45"/>
        <v>0</v>
      </c>
      <c r="K76" s="163">
        <f t="shared" ref="K76:K84" ca="1" si="46">IF(I76&gt;0,J76*100/I76,0)</f>
        <v>0</v>
      </c>
      <c r="L76" s="163"/>
      <c r="M76" s="163"/>
      <c r="N76" s="163"/>
      <c r="O76" s="163"/>
      <c r="P76" s="163"/>
    </row>
    <row r="77" spans="1:26" ht="19.5">
      <c r="A77" s="170"/>
      <c r="B77" s="171"/>
      <c r="C77" s="171"/>
      <c r="D77" s="171"/>
      <c r="E77" s="342"/>
      <c r="F77" s="342"/>
      <c r="G77" s="179"/>
      <c r="H77" s="180" t="s">
        <v>35</v>
      </c>
      <c r="I77" s="269">
        <f t="shared" ca="1" si="45"/>
        <v>35</v>
      </c>
      <c r="J77" s="269">
        <f t="shared" si="45"/>
        <v>0</v>
      </c>
      <c r="K77" s="163">
        <f t="shared" ca="1" si="46"/>
        <v>0</v>
      </c>
      <c r="L77" s="163"/>
      <c r="M77" s="163"/>
      <c r="N77" s="163"/>
      <c r="O77" s="163"/>
      <c r="P77" s="163"/>
    </row>
    <row r="78" spans="1:26" ht="18.75">
      <c r="A78" s="170"/>
      <c r="B78" s="171"/>
      <c r="C78" s="171"/>
      <c r="D78" s="171"/>
      <c r="E78" s="415" t="s">
        <v>40</v>
      </c>
      <c r="F78" s="415"/>
      <c r="G78" s="179"/>
      <c r="H78" s="728" t="s">
        <v>34</v>
      </c>
      <c r="I78" s="184">
        <f ca="1">IFERROR(__xludf.DUMMYFUNCTION("IMPORTRANGE(""https://docs.google.com/spreadsheets/d/1QqKyyYR6Q21VydFLVH3TRQUabQu_ym0Zz7PgGX0-kHA/edit?usp=sharing"",""แผน!H23"")"),0)</f>
        <v>0</v>
      </c>
      <c r="J78" s="214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>
      <c r="A79" s="170"/>
      <c r="B79" s="171"/>
      <c r="C79" s="171"/>
      <c r="D79" s="171"/>
      <c r="E79" s="342"/>
      <c r="F79" s="342"/>
      <c r="G79" s="179"/>
      <c r="H79" s="728" t="s">
        <v>35</v>
      </c>
      <c r="I79" s="184">
        <f ca="1">IFERROR(__xludf.DUMMYFUNCTION("IMPORTRANGE(""https://docs.google.com/spreadsheets/d/1QqKyyYR6Q21VydFLVH3TRQUabQu_ym0Zz7PgGX0-kHA/edit?usp=sharing"",""แผน!I23"")"),0)</f>
        <v>0</v>
      </c>
      <c r="J79" s="214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>
      <c r="A80" s="170"/>
      <c r="B80" s="171"/>
      <c r="C80" s="171"/>
      <c r="D80" s="171"/>
      <c r="E80" s="415" t="s">
        <v>41</v>
      </c>
      <c r="F80" s="415"/>
      <c r="G80" s="179"/>
      <c r="H80" s="728" t="s">
        <v>34</v>
      </c>
      <c r="I80" s="184">
        <f ca="1">IFERROR(__xludf.DUMMYFUNCTION("IMPORTRANGE(""https://docs.google.com/spreadsheets/d/1QqKyyYR6Q21VydFLVH3TRQUabQu_ym0Zz7PgGX0-kHA/edit?usp=sharing"",""แผน!F23"")"),0)</f>
        <v>0</v>
      </c>
      <c r="J80" s="214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>
      <c r="A81" s="170"/>
      <c r="B81" s="171"/>
      <c r="C81" s="171"/>
      <c r="D81" s="171"/>
      <c r="E81" s="342"/>
      <c r="F81" s="342"/>
      <c r="G81" s="179"/>
      <c r="H81" s="728" t="s">
        <v>35</v>
      </c>
      <c r="I81" s="184">
        <f ca="1">IFERROR(__xludf.DUMMYFUNCTION("IMPORTRANGE(""https://docs.google.com/spreadsheets/d/1QqKyyYR6Q21VydFLVH3TRQUabQu_ym0Zz7PgGX0-kHA/edit?usp=sharing"",""แผน!G23"")"),0)</f>
        <v>0</v>
      </c>
      <c r="J81" s="214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>
      <c r="A82" s="170"/>
      <c r="B82" s="171"/>
      <c r="C82" s="171"/>
      <c r="D82" s="171"/>
      <c r="E82" s="415" t="s">
        <v>42</v>
      </c>
      <c r="F82" s="415"/>
      <c r="G82" s="179"/>
      <c r="H82" s="728" t="s">
        <v>34</v>
      </c>
      <c r="I82" s="184">
        <f ca="1">IFERROR(__xludf.DUMMYFUNCTION("IMPORTRANGE(""https://docs.google.com/spreadsheets/d/1QqKyyYR6Q21VydFLVH3TRQUabQu_ym0Zz7PgGX0-kHA/edit?usp=sharing"",""แผน!D23"")"),1)</f>
        <v>1</v>
      </c>
      <c r="J82" s="214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>
      <c r="A83" s="170"/>
      <c r="B83" s="171"/>
      <c r="C83" s="171"/>
      <c r="D83" s="171"/>
      <c r="E83" s="342"/>
      <c r="F83" s="342"/>
      <c r="G83" s="179"/>
      <c r="H83" s="728" t="s">
        <v>35</v>
      </c>
      <c r="I83" s="184">
        <f ca="1">IFERROR(__xludf.DUMMYFUNCTION("IMPORTRANGE(""https://docs.google.com/spreadsheets/d/1QqKyyYR6Q21VydFLVH3TRQUabQu_ym0Zz7PgGX0-kHA/edit?usp=sharing"",""แผน!E23"")"),35)</f>
        <v>35</v>
      </c>
      <c r="J83" s="214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>
      <c r="A84" s="170"/>
      <c r="B84" s="171"/>
      <c r="C84" s="171"/>
      <c r="D84" s="343" t="s">
        <v>43</v>
      </c>
      <c r="E84" s="415"/>
      <c r="F84" s="342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IFERROR(__xludf.DUMMYFUNCTION("IMPORTRANGE(""https://docs.google.com/spreadsheets/d/1QqKyyYR6Q21VydFLVH3TRQUabQu_ym0Zz7PgGX0-kHA/edit?usp=sharing"",""แผน!J23"")"),1)</f>
        <v>1</v>
      </c>
      <c r="J84" s="214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8" t="s">
        <v>45</v>
      </c>
      <c r="C86" s="140"/>
      <c r="D86" s="141"/>
      <c r="E86" s="140"/>
      <c r="F86" s="140"/>
      <c r="G86" s="142"/>
      <c r="H86" s="143" t="s">
        <v>46</v>
      </c>
      <c r="I86" s="144">
        <f t="shared" ref="I86:J87" ca="1" si="47">I98</f>
        <v>75</v>
      </c>
      <c r="J86" s="144">
        <f t="shared" si="47"/>
        <v>0</v>
      </c>
      <c r="K86" s="145">
        <f t="shared" ref="K86:K87" ca="1" si="48">IF(I86&gt;0,J86*100/I86,0)</f>
        <v>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143" t="s">
        <v>35</v>
      </c>
      <c r="I87" s="144">
        <f t="shared" ca="1" si="47"/>
        <v>25</v>
      </c>
      <c r="J87" s="144">
        <f t="shared" si="47"/>
        <v>0</v>
      </c>
      <c r="K87" s="145">
        <f t="shared" ca="1" si="48"/>
        <v>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17" t="s">
        <v>17</v>
      </c>
      <c r="E88" s="148"/>
      <c r="F88" s="148"/>
      <c r="G88" s="151"/>
      <c r="H88" s="152" t="s">
        <v>12</v>
      </c>
      <c r="I88" s="388"/>
      <c r="J88" s="388"/>
      <c r="K88" s="154"/>
      <c r="L88" s="155">
        <f t="shared" ref="L88:N88" ca="1" si="49">L89+L90</f>
        <v>420300</v>
      </c>
      <c r="M88" s="155">
        <f t="shared" ca="1" si="49"/>
        <v>196450</v>
      </c>
      <c r="N88" s="155">
        <f t="shared" ca="1" si="49"/>
        <v>68933</v>
      </c>
      <c r="O88" s="155">
        <f t="shared" ref="O88:O96" ca="1" si="50">IF(L88&gt;0,N88*100/L88,0)</f>
        <v>16.400904116107544</v>
      </c>
      <c r="P88" s="155">
        <f t="shared" ref="P88:P96" ca="1" si="51">IF(M88&gt;0,N88*100/M88,0)</f>
        <v>35.089335708831761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2" t="s">
        <v>18</v>
      </c>
      <c r="F89" s="40"/>
      <c r="G89" s="157"/>
      <c r="H89" s="158" t="s">
        <v>12</v>
      </c>
      <c r="I89" s="583"/>
      <c r="J89" s="583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2" t="s">
        <v>19</v>
      </c>
      <c r="F90" s="40"/>
      <c r="G90" s="157"/>
      <c r="H90" s="158" t="s">
        <v>12</v>
      </c>
      <c r="I90" s="583"/>
      <c r="J90" s="583"/>
      <c r="K90" s="93"/>
      <c r="L90" s="93">
        <f t="shared" ca="1" si="52"/>
        <v>420300</v>
      </c>
      <c r="M90" s="93">
        <f t="shared" ca="1" si="52"/>
        <v>196450</v>
      </c>
      <c r="N90" s="93">
        <f t="shared" ca="1" si="52"/>
        <v>68933</v>
      </c>
      <c r="O90" s="93">
        <f t="shared" ca="1" si="50"/>
        <v>16.400904116107544</v>
      </c>
      <c r="P90" s="93">
        <f t="shared" ca="1" si="51"/>
        <v>35.089335708831761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1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65">
        <f t="shared" ref="L91:N91" ca="1" si="53">L92+L93</f>
        <v>420300</v>
      </c>
      <c r="M91" s="465">
        <f t="shared" ca="1" si="53"/>
        <v>196450</v>
      </c>
      <c r="N91" s="465">
        <f t="shared" ca="1" si="53"/>
        <v>68933</v>
      </c>
      <c r="O91" s="465">
        <f t="shared" ca="1" si="50"/>
        <v>16.400904116107544</v>
      </c>
      <c r="P91" s="465">
        <f t="shared" ca="1" si="51"/>
        <v>35.089335708831761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2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2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IFERROR(__xludf.DUMMYFUNCTION("IMPORTRANGE(""https://docs.google.com/spreadsheets/d/1MeEWN-I1oV_STSDYn1IFDPWt_1FKiwhDph83XaGc0o0/edit?usp=sharing"",""งบพรบ!AQ23"")"),420300)</f>
        <v>420300</v>
      </c>
      <c r="M93" s="93">
        <f ca="1">IFERROR(__xludf.DUMMYFUNCTION("IMPORTRANGE(""https://docs.google.com/spreadsheets/d/1MeEWN-I1oV_STSDYn1IFDPWt_1FKiwhDph83XaGc0o0/edit?usp=sharing"",""งบพรบ!AV23"")"),196450)</f>
        <v>196450</v>
      </c>
      <c r="N93" s="93">
        <f ca="1">IFERROR(__xludf.DUMMYFUNCTION("IMPORTRANGE(""https://docs.google.com/spreadsheets/d/1MeEWN-I1oV_STSDYn1IFDPWt_1FKiwhDph83XaGc0o0/edit?usp=sharing"",""งบพรบ!AX23"")"),68933)</f>
        <v>68933</v>
      </c>
      <c r="O93" s="93">
        <f t="shared" ca="1" si="50"/>
        <v>16.400904116107544</v>
      </c>
      <c r="P93" s="93">
        <f t="shared" ca="1" si="51"/>
        <v>35.089335708831761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1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65">
        <f t="shared" ref="L94:N94" ca="1" si="54">L95+L96</f>
        <v>0</v>
      </c>
      <c r="M94" s="465">
        <f t="shared" ca="1" si="54"/>
        <v>0</v>
      </c>
      <c r="N94" s="465">
        <f t="shared" ca="1" si="54"/>
        <v>0</v>
      </c>
      <c r="O94" s="465">
        <f t="shared" ca="1" si="50"/>
        <v>0</v>
      </c>
      <c r="P94" s="465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2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2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IFERROR(__xludf.DUMMYFUNCTION("IMPORTRANGE(""https://docs.google.com/spreadsheets/d/1MeEWN-I1oV_STSDYn1IFDPWt_1FKiwhDph83XaGc0o0/edit?usp=sharing"",""งบพรบ!AT23"")"),0)</f>
        <v>0</v>
      </c>
      <c r="M96" s="93">
        <f ca="1">IFERROR(__xludf.DUMMYFUNCTION("IMPORTRANGE(""https://docs.google.com/spreadsheets/d/1MeEWN-I1oV_STSDYn1IFDPWt_1FKiwhDph83XaGc0o0/edit?usp=sharing"",""งบพรบ!AW23"")"),0)</f>
        <v>0</v>
      </c>
      <c r="N96" s="93">
        <f ca="1">IFERROR(__xludf.DUMMYFUNCTION("IMPORTRANGE(""https://docs.google.com/spreadsheets/d/1MeEWN-I1oV_STSDYn1IFDPWt_1FKiwhDph83XaGc0o0/edit?usp=sharing"",""งบพรบ!AY23"")"),0)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18" t="s">
        <v>38</v>
      </c>
      <c r="E97" s="173"/>
      <c r="F97" s="173"/>
      <c r="G97" s="174"/>
      <c r="H97" s="726"/>
      <c r="I97" s="184"/>
      <c r="J97" s="269"/>
      <c r="K97" s="465"/>
      <c r="L97" s="465"/>
      <c r="M97" s="465"/>
      <c r="N97" s="465"/>
      <c r="O97" s="163"/>
      <c r="P97" s="163"/>
    </row>
    <row r="98" spans="1:16" ht="18.75">
      <c r="A98" s="170"/>
      <c r="B98" s="171"/>
      <c r="C98" s="171"/>
      <c r="D98" s="415" t="s">
        <v>47</v>
      </c>
      <c r="E98" s="415"/>
      <c r="F98" s="342"/>
      <c r="G98" s="179"/>
      <c r="H98" s="589" t="s">
        <v>46</v>
      </c>
      <c r="I98" s="269">
        <f ca="1">IFERROR(__xludf.DUMMYFUNCTION("IMPORTRANGE(""https://docs.google.com/spreadsheets/d/1QqKyyYR6Q21VydFLVH3TRQUabQu_ym0Zz7PgGX0-kHA/edit?usp=sharing"",""แผน!K23"")"),75)</f>
        <v>75</v>
      </c>
      <c r="J98" s="269">
        <f>J102</f>
        <v>0</v>
      </c>
      <c r="K98" s="465">
        <f t="shared" ref="K98:K100" ca="1" si="55">IF(I98&gt;0,J98*100/I98,0)</f>
        <v>0</v>
      </c>
      <c r="L98" s="465"/>
      <c r="M98" s="465"/>
      <c r="N98" s="465"/>
      <c r="O98" s="163"/>
      <c r="P98" s="163"/>
    </row>
    <row r="99" spans="1:16" ht="18.75">
      <c r="A99" s="170"/>
      <c r="B99" s="171"/>
      <c r="C99" s="171"/>
      <c r="D99" s="415" t="s">
        <v>48</v>
      </c>
      <c r="E99" s="415"/>
      <c r="F99" s="342"/>
      <c r="G99" s="179"/>
      <c r="H99" s="589" t="s">
        <v>35</v>
      </c>
      <c r="I99" s="269">
        <f ca="1">IFERROR(__xludf.DUMMYFUNCTION("IMPORTRANGE(""https://docs.google.com/spreadsheets/d/1QqKyyYR6Q21VydFLVH3TRQUabQu_ym0Zz7PgGX0-kHA/edit?usp=sharing"",""แผน!L23"")"),25)</f>
        <v>25</v>
      </c>
      <c r="J99" s="269">
        <f>J104</f>
        <v>0</v>
      </c>
      <c r="K99" s="465">
        <f t="shared" ca="1" si="55"/>
        <v>0</v>
      </c>
      <c r="L99" s="465"/>
      <c r="M99" s="465"/>
      <c r="N99" s="465"/>
      <c r="O99" s="163"/>
      <c r="P99" s="163"/>
    </row>
    <row r="100" spans="1:16" ht="18.75">
      <c r="A100" s="170"/>
      <c r="B100" s="171"/>
      <c r="C100" s="171"/>
      <c r="D100" s="171"/>
      <c r="E100" s="342"/>
      <c r="F100" s="342"/>
      <c r="G100" s="179"/>
      <c r="H100" s="589" t="s">
        <v>49</v>
      </c>
      <c r="I100" s="269">
        <f ca="1">IFERROR(__xludf.DUMMYFUNCTION("IMPORTRANGE(""https://docs.google.com/spreadsheets/d/1QqKyyYR6Q21VydFLVH3TRQUabQu_ym0Zz7PgGX0-kHA/edit?usp=sharing"",""แผน!M23"")"),2)</f>
        <v>2</v>
      </c>
      <c r="J100" s="269">
        <f>J107+J110</f>
        <v>0</v>
      </c>
      <c r="K100" s="465">
        <f t="shared" ca="1" si="55"/>
        <v>0</v>
      </c>
      <c r="L100" s="465"/>
      <c r="M100" s="465"/>
      <c r="N100" s="465"/>
      <c r="O100" s="163"/>
      <c r="P100" s="163"/>
    </row>
    <row r="101" spans="1:16" ht="19.5">
      <c r="A101" s="170"/>
      <c r="B101" s="171"/>
      <c r="C101" s="171"/>
      <c r="D101" s="342"/>
      <c r="E101" s="191" t="s">
        <v>50</v>
      </c>
      <c r="F101" s="342"/>
      <c r="G101" s="179"/>
      <c r="H101" s="589"/>
      <c r="I101" s="269"/>
      <c r="J101" s="269"/>
      <c r="K101" s="465"/>
      <c r="L101" s="465"/>
      <c r="M101" s="465"/>
      <c r="N101" s="465"/>
      <c r="O101" s="163"/>
      <c r="P101" s="163"/>
    </row>
    <row r="102" spans="1:16" ht="18.75">
      <c r="A102" s="170"/>
      <c r="B102" s="171"/>
      <c r="C102" s="171"/>
      <c r="D102" s="342"/>
      <c r="E102" s="592" t="s">
        <v>47</v>
      </c>
      <c r="F102" s="342"/>
      <c r="G102" s="179"/>
      <c r="H102" s="589" t="s">
        <v>46</v>
      </c>
      <c r="I102" s="269">
        <f ca="1">IFERROR(__xludf.DUMMYFUNCTION("IMPORTRANGE(""https://docs.google.com/spreadsheets/d/1QqKyyYR6Q21VydFLVH3TRQUabQu_ym0Zz7PgGX0-kHA/edit?usp=sharing"",""แผน!N23"")"),75)</f>
        <v>75</v>
      </c>
      <c r="J102" s="214">
        <v>0</v>
      </c>
      <c r="K102" s="465">
        <f t="shared" ref="K102:K104" ca="1" si="56">IF(I102&gt;0,J102*100/I102,0)</f>
        <v>0</v>
      </c>
      <c r="L102" s="465"/>
      <c r="M102" s="465"/>
      <c r="N102" s="465"/>
      <c r="O102" s="163"/>
      <c r="P102" s="163"/>
    </row>
    <row r="103" spans="1:16" ht="19.5">
      <c r="A103" s="170"/>
      <c r="B103" s="171"/>
      <c r="C103" s="171"/>
      <c r="D103" s="342"/>
      <c r="E103" s="415" t="s">
        <v>51</v>
      </c>
      <c r="F103" s="342"/>
      <c r="G103" s="179"/>
      <c r="H103" s="589" t="s">
        <v>35</v>
      </c>
      <c r="I103" s="269">
        <f ca="1">IFERROR(__xludf.DUMMYFUNCTION("IMPORTRANGE(""https://docs.google.com/spreadsheets/d/1QqKyyYR6Q21VydFLVH3TRQUabQu_ym0Zz7PgGX0-kHA/edit?usp=sharing"",""แผน!O23"")"),25)</f>
        <v>25</v>
      </c>
      <c r="J103" s="214">
        <v>0</v>
      </c>
      <c r="K103" s="465">
        <f t="shared" ca="1" si="56"/>
        <v>0</v>
      </c>
      <c r="L103" s="465"/>
      <c r="M103" s="465"/>
      <c r="N103" s="465"/>
      <c r="O103" s="163"/>
      <c r="P103" s="163"/>
    </row>
    <row r="104" spans="1:16" ht="18.75">
      <c r="A104" s="170"/>
      <c r="B104" s="171"/>
      <c r="C104" s="171"/>
      <c r="D104" s="342"/>
      <c r="E104" s="188" t="s">
        <v>52</v>
      </c>
      <c r="F104" s="342"/>
      <c r="G104" s="179"/>
      <c r="H104" s="589" t="s">
        <v>35</v>
      </c>
      <c r="I104" s="269">
        <f ca="1">IFERROR(__xludf.DUMMYFUNCTION("IMPORTRANGE(""https://docs.google.com/spreadsheets/d/1QqKyyYR6Q21VydFLVH3TRQUabQu_ym0Zz7PgGX0-kHA/edit?usp=sharing"",""แผน!O23"")"),25)</f>
        <v>25</v>
      </c>
      <c r="J104" s="214">
        <v>0</v>
      </c>
      <c r="K104" s="465">
        <f t="shared" ca="1" si="56"/>
        <v>0</v>
      </c>
      <c r="L104" s="465"/>
      <c r="M104" s="465"/>
      <c r="N104" s="465"/>
      <c r="O104" s="163"/>
      <c r="P104" s="163"/>
    </row>
    <row r="105" spans="1:16" ht="19.5">
      <c r="A105" s="170"/>
      <c r="B105" s="171"/>
      <c r="C105" s="171"/>
      <c r="D105" s="342"/>
      <c r="E105" s="191" t="s">
        <v>53</v>
      </c>
      <c r="F105" s="342"/>
      <c r="G105" s="179"/>
      <c r="H105" s="189"/>
      <c r="I105" s="269"/>
      <c r="J105" s="269"/>
      <c r="K105" s="465"/>
      <c r="L105" s="465"/>
      <c r="M105" s="465"/>
      <c r="N105" s="465"/>
      <c r="O105" s="163"/>
      <c r="P105" s="163"/>
    </row>
    <row r="106" spans="1:16" ht="19.5">
      <c r="A106" s="170"/>
      <c r="B106" s="171"/>
      <c r="C106" s="171"/>
      <c r="D106" s="342"/>
      <c r="E106" s="415" t="s">
        <v>54</v>
      </c>
      <c r="F106" s="342"/>
      <c r="G106" s="179"/>
      <c r="H106" s="589" t="s">
        <v>49</v>
      </c>
      <c r="I106" s="269">
        <f ca="1">IFERROR(__xludf.DUMMYFUNCTION("IMPORTRANGE(""https://docs.google.com/spreadsheets/d/1QqKyyYR6Q21VydFLVH3TRQUabQu_ym0Zz7PgGX0-kHA/edit?usp=sharing"",""แผน!P23"")"),1)</f>
        <v>1</v>
      </c>
      <c r="J106" s="214">
        <v>0</v>
      </c>
      <c r="K106" s="465">
        <f t="shared" ref="K106:K107" ca="1" si="57">IF(I106&gt;0,J106*100/I106,0)</f>
        <v>0</v>
      </c>
      <c r="L106" s="465"/>
      <c r="M106" s="465"/>
      <c r="N106" s="465"/>
      <c r="O106" s="163"/>
      <c r="P106" s="163"/>
    </row>
    <row r="107" spans="1:16" ht="18.75">
      <c r="A107" s="170"/>
      <c r="B107" s="171"/>
      <c r="C107" s="171"/>
      <c r="D107" s="342"/>
      <c r="E107" s="188" t="s">
        <v>55</v>
      </c>
      <c r="F107" s="342"/>
      <c r="G107" s="179"/>
      <c r="H107" s="589" t="s">
        <v>49</v>
      </c>
      <c r="I107" s="269">
        <f ca="1">IFERROR(__xludf.DUMMYFUNCTION("IMPORTRANGE(""https://docs.google.com/spreadsheets/d/1QqKyyYR6Q21VydFLVH3TRQUabQu_ym0Zz7PgGX0-kHA/edit?usp=sharing"",""แผน!P23"")"),1)</f>
        <v>1</v>
      </c>
      <c r="J107" s="214">
        <v>0</v>
      </c>
      <c r="K107" s="465">
        <f t="shared" ca="1" si="57"/>
        <v>0</v>
      </c>
      <c r="L107" s="465"/>
      <c r="M107" s="465"/>
      <c r="N107" s="465"/>
      <c r="O107" s="163"/>
      <c r="P107" s="163"/>
    </row>
    <row r="108" spans="1:16" ht="19.5">
      <c r="A108" s="170"/>
      <c r="B108" s="171"/>
      <c r="C108" s="171"/>
      <c r="D108" s="342"/>
      <c r="E108" s="191" t="s">
        <v>56</v>
      </c>
      <c r="F108" s="342"/>
      <c r="G108" s="179"/>
      <c r="H108" s="189"/>
      <c r="I108" s="269"/>
      <c r="J108" s="269"/>
      <c r="K108" s="465"/>
      <c r="L108" s="465"/>
      <c r="M108" s="465"/>
      <c r="N108" s="465"/>
      <c r="O108" s="163"/>
      <c r="P108" s="163"/>
    </row>
    <row r="109" spans="1:16" ht="19.5">
      <c r="A109" s="170"/>
      <c r="B109" s="171"/>
      <c r="C109" s="171"/>
      <c r="D109" s="342"/>
      <c r="E109" s="415" t="s">
        <v>57</v>
      </c>
      <c r="F109" s="342"/>
      <c r="G109" s="179"/>
      <c r="H109" s="589" t="s">
        <v>49</v>
      </c>
      <c r="I109" s="269">
        <f ca="1">IFERROR(__xludf.DUMMYFUNCTION("IMPORTRANGE(""https://docs.google.com/spreadsheets/d/1QqKyyYR6Q21VydFLVH3TRQUabQu_ym0Zz7PgGX0-kHA/edit?usp=sharing"",""แผน!Q23"")"),1)</f>
        <v>1</v>
      </c>
      <c r="J109" s="214">
        <v>0</v>
      </c>
      <c r="K109" s="465">
        <f t="shared" ref="K109:K116" ca="1" si="58">IF(I109&gt;0,J109*100/I109,0)</f>
        <v>0</v>
      </c>
      <c r="L109" s="465"/>
      <c r="M109" s="465"/>
      <c r="N109" s="465"/>
      <c r="O109" s="163"/>
      <c r="P109" s="163"/>
    </row>
    <row r="110" spans="1:16" ht="18.75">
      <c r="A110" s="170"/>
      <c r="B110" s="171"/>
      <c r="C110" s="171"/>
      <c r="D110" s="342"/>
      <c r="E110" s="190" t="s">
        <v>58</v>
      </c>
      <c r="F110" s="342"/>
      <c r="G110" s="179"/>
      <c r="H110" s="589" t="s">
        <v>49</v>
      </c>
      <c r="I110" s="269">
        <f ca="1">IFERROR(__xludf.DUMMYFUNCTION("IMPORTRANGE(""https://docs.google.com/spreadsheets/d/1QqKyyYR6Q21VydFLVH3TRQUabQu_ym0Zz7PgGX0-kHA/edit?usp=sharing"",""แผน!Q23"")"),1)</f>
        <v>1</v>
      </c>
      <c r="J110" s="214">
        <v>0</v>
      </c>
      <c r="K110" s="465">
        <f t="shared" ca="1" si="58"/>
        <v>0</v>
      </c>
      <c r="L110" s="465"/>
      <c r="M110" s="465"/>
      <c r="N110" s="465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342"/>
      <c r="G111" s="179"/>
      <c r="H111" s="731" t="s">
        <v>35</v>
      </c>
      <c r="I111" s="193">
        <f ca="1">IFERROR(__xludf.DUMMYFUNCTION("IMPORTRANGE(""https://docs.google.com/spreadsheets/d/1QqKyyYR6Q21VydFLVH3TRQUabQu_ym0Zz7PgGX0-kHA/edit?usp=sharing"",""แผน!R23"")"),25)</f>
        <v>25</v>
      </c>
      <c r="J111" s="647">
        <f>J114</f>
        <v>0</v>
      </c>
      <c r="K111" s="195">
        <f t="shared" ca="1" si="58"/>
        <v>0</v>
      </c>
      <c r="L111" s="465"/>
      <c r="M111" s="465"/>
      <c r="N111" s="465"/>
      <c r="O111" s="163"/>
      <c r="P111" s="163"/>
    </row>
    <row r="112" spans="1:16" ht="19.5">
      <c r="A112" s="170"/>
      <c r="B112" s="171"/>
      <c r="C112" s="171"/>
      <c r="D112" s="171"/>
      <c r="E112" s="342"/>
      <c r="F112" s="342"/>
      <c r="G112" s="179"/>
      <c r="H112" s="196" t="s">
        <v>49</v>
      </c>
      <c r="I112" s="193">
        <f t="shared" ref="I112:J112" ca="1" si="59">I115+I116</f>
        <v>2</v>
      </c>
      <c r="J112" s="647">
        <f t="shared" si="59"/>
        <v>0</v>
      </c>
      <c r="K112" s="195">
        <f t="shared" ca="1" si="58"/>
        <v>0</v>
      </c>
      <c r="L112" s="465"/>
      <c r="M112" s="465"/>
      <c r="N112" s="465"/>
      <c r="O112" s="163"/>
      <c r="P112" s="163"/>
    </row>
    <row r="113" spans="1:26" ht="19.5">
      <c r="A113" s="170"/>
      <c r="B113" s="171"/>
      <c r="C113" s="171"/>
      <c r="D113" s="171"/>
      <c r="E113" s="494" t="s">
        <v>60</v>
      </c>
      <c r="F113" s="342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IFERROR(__xludf.DUMMYFUNCTION("IMPORTRANGE(""https://docs.google.com/spreadsheets/d/1QqKyyYR6Q21VydFLVH3TRQUabQu_ym0Zz7PgGX0-kHA/edit?usp=sharing"",""แผน!R23"")"),25)</f>
        <v>25</v>
      </c>
      <c r="J113" s="214">
        <v>0</v>
      </c>
      <c r="K113" s="465">
        <f t="shared" ca="1" si="58"/>
        <v>0</v>
      </c>
      <c r="L113" s="465"/>
      <c r="M113" s="465"/>
      <c r="N113" s="465"/>
      <c r="O113" s="163"/>
      <c r="P113" s="163"/>
    </row>
    <row r="114" spans="1:26" ht="19.5">
      <c r="A114" s="170"/>
      <c r="B114" s="171"/>
      <c r="C114" s="171"/>
      <c r="D114" s="171"/>
      <c r="E114" s="415" t="s">
        <v>61</v>
      </c>
      <c r="F114" s="342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IFERROR(__xludf.DUMMYFUNCTION("IMPORTRANGE(""https://docs.google.com/spreadsheets/d/1QqKyyYR6Q21VydFLVH3TRQUabQu_ym0Zz7PgGX0-kHA/edit?usp=sharing"",""แผน!R23"")"),25)</f>
        <v>25</v>
      </c>
      <c r="J114" s="214">
        <v>0</v>
      </c>
      <c r="K114" s="465">
        <f t="shared" ca="1" si="58"/>
        <v>0</v>
      </c>
      <c r="L114" s="465"/>
      <c r="M114" s="465"/>
      <c r="N114" s="465"/>
      <c r="O114" s="163"/>
      <c r="P114" s="163"/>
    </row>
    <row r="115" spans="1:26" ht="18.75">
      <c r="A115" s="170"/>
      <c r="B115" s="171"/>
      <c r="C115" s="171"/>
      <c r="D115" s="171"/>
      <c r="E115" s="415" t="s">
        <v>62</v>
      </c>
      <c r="F115" s="342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IFERROR(__xludf.DUMMYFUNCTION("IMPORTRANGE(""https://docs.google.com/spreadsheets/d/1QqKyyYR6Q21VydFLVH3TRQUabQu_ym0Zz7PgGX0-kHA/edit?usp=sharing"",""แผน!S23"")"),1)</f>
        <v>1</v>
      </c>
      <c r="J115" s="214">
        <v>0</v>
      </c>
      <c r="K115" s="465">
        <f t="shared" ca="1" si="58"/>
        <v>0</v>
      </c>
      <c r="L115" s="465"/>
      <c r="M115" s="465"/>
      <c r="N115" s="465"/>
      <c r="O115" s="163"/>
      <c r="P115" s="163"/>
    </row>
    <row r="116" spans="1:26" ht="18.75">
      <c r="A116" s="170"/>
      <c r="B116" s="171"/>
      <c r="C116" s="171"/>
      <c r="D116" s="171"/>
      <c r="E116" s="415" t="s">
        <v>63</v>
      </c>
      <c r="F116" s="342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IFERROR(__xludf.DUMMYFUNCTION("IMPORTRANGE(""https://docs.google.com/spreadsheets/d/1QqKyyYR6Q21VydFLVH3TRQUabQu_ym0Zz7PgGX0-kHA/edit?usp=sharing"",""แผน!T23"")"),1)</f>
        <v>1</v>
      </c>
      <c r="J116" s="214">
        <v>0</v>
      </c>
      <c r="K116" s="465">
        <f t="shared" ca="1" si="58"/>
        <v>0</v>
      </c>
      <c r="L116" s="465"/>
      <c r="M116" s="465"/>
      <c r="N116" s="465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8" t="s">
        <v>65</v>
      </c>
      <c r="C118" s="204"/>
      <c r="D118" s="141"/>
      <c r="E118" s="140"/>
      <c r="F118" s="140"/>
      <c r="G118" s="142"/>
      <c r="H118" s="143"/>
      <c r="I118" s="205"/>
      <c r="J118" s="205"/>
      <c r="K118" s="146"/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17" t="s">
        <v>17</v>
      </c>
      <c r="E119" s="148"/>
      <c r="F119" s="148"/>
      <c r="G119" s="151"/>
      <c r="H119" s="152" t="s">
        <v>12</v>
      </c>
      <c r="I119" s="388"/>
      <c r="J119" s="388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2" t="s">
        <v>18</v>
      </c>
      <c r="F120" s="40"/>
      <c r="G120" s="157"/>
      <c r="H120" s="158" t="s">
        <v>12</v>
      </c>
      <c r="I120" s="583"/>
      <c r="J120" s="583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2" t="s">
        <v>19</v>
      </c>
      <c r="F121" s="40"/>
      <c r="G121" s="157"/>
      <c r="H121" s="158" t="s">
        <v>12</v>
      </c>
      <c r="I121" s="583"/>
      <c r="J121" s="583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1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65">
        <f t="shared" ref="L122:N122" ca="1" si="64">L123+L124</f>
        <v>0</v>
      </c>
      <c r="M122" s="465">
        <f t="shared" ca="1" si="64"/>
        <v>0</v>
      </c>
      <c r="N122" s="465">
        <f t="shared" ca="1" si="64"/>
        <v>0</v>
      </c>
      <c r="O122" s="465">
        <f t="shared" ca="1" si="61"/>
        <v>0</v>
      </c>
      <c r="P122" s="465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2"/>
      <c r="D123" s="40"/>
      <c r="E123" s="222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2"/>
      <c r="D124" s="40"/>
      <c r="E124" s="222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IFERROR(__xludf.DUMMYFUNCTION("IMPORTRANGE(""https://docs.google.com/spreadsheets/d/1MeEWN-I1oV_STSDYn1IFDPWt_1FKiwhDph83XaGc0o0/edit?usp=sharing"",""งบพรบ!BA23"")"),0)</f>
        <v>0</v>
      </c>
      <c r="M124" s="93">
        <f ca="1">IFERROR(__xludf.DUMMYFUNCTION("IMPORTRANGE(""https://docs.google.com/spreadsheets/d/1MeEWN-I1oV_STSDYn1IFDPWt_1FKiwhDph83XaGc0o0/edit?usp=sharing"",""งบพรบ!BF23"")"),0)</f>
        <v>0</v>
      </c>
      <c r="N124" s="93">
        <f ca="1">IFERROR(__xludf.DUMMYFUNCTION("IMPORTRANGE(""https://docs.google.com/spreadsheets/d/1MeEWN-I1oV_STSDYn1IFDPWt_1FKiwhDph83XaGc0o0/edit?usp=sharing"",""งบพรบ!BH23"")"),0)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1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65">
        <f t="shared" ref="L125:N125" ca="1" si="65">L126+L127</f>
        <v>0</v>
      </c>
      <c r="M125" s="465">
        <f t="shared" ca="1" si="65"/>
        <v>0</v>
      </c>
      <c r="N125" s="465">
        <f t="shared" ca="1" si="65"/>
        <v>0</v>
      </c>
      <c r="O125" s="465">
        <f t="shared" ca="1" si="61"/>
        <v>0</v>
      </c>
      <c r="P125" s="465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2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2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IFERROR(__xludf.DUMMYFUNCTION("IMPORTRANGE(""https://docs.google.com/spreadsheets/d/1MeEWN-I1oV_STSDYn1IFDPWt_1FKiwhDph83XaGc0o0/edit?usp=sharing"",""งบพรบ!BD23"")"),0)</f>
        <v>0</v>
      </c>
      <c r="M127" s="93">
        <f ca="1">IFERROR(__xludf.DUMMYFUNCTION("IMPORTRANGE(""https://docs.google.com/spreadsheets/d/1MeEWN-I1oV_STSDYn1IFDPWt_1FKiwhDph83XaGc0o0/edit?usp=sharing"",""งบพรบ!BG23"")"),0)</f>
        <v>0</v>
      </c>
      <c r="N127" s="93">
        <f ca="1">IFERROR(__xludf.DUMMYFUNCTION("IMPORTRANGE(""https://docs.google.com/spreadsheets/d/1MeEWN-I1oV_STSDYn1IFDPWt_1FKiwhDph83XaGc0o0/edit?usp=sharing"",""งบพรบ!BI23"")"),0)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>
      <c r="A128" s="131" t="s">
        <v>66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>
      <c r="A129" s="138"/>
      <c r="B129" s="208" t="s">
        <v>67</v>
      </c>
      <c r="C129" s="204"/>
      <c r="D129" s="141"/>
      <c r="E129" s="140"/>
      <c r="F129" s="140"/>
      <c r="G129" s="140"/>
      <c r="H129" s="207"/>
      <c r="I129" s="205"/>
      <c r="J129" s="205"/>
      <c r="K129" s="146"/>
      <c r="L129" s="146"/>
      <c r="M129" s="146"/>
      <c r="N129" s="146"/>
      <c r="O129" s="146"/>
      <c r="P129" s="146"/>
    </row>
    <row r="130" spans="1:26" ht="19.5">
      <c r="A130" s="138"/>
      <c r="B130" s="208"/>
      <c r="C130" s="209" t="s">
        <v>68</v>
      </c>
      <c r="D130" s="141"/>
      <c r="E130" s="140"/>
      <c r="F130" s="140"/>
      <c r="G130" s="142"/>
      <c r="H130" s="143" t="s">
        <v>69</v>
      </c>
      <c r="I130" s="144">
        <f t="shared" ref="I130:J130" ca="1" si="66">I146</f>
        <v>1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>
      <c r="A131" s="138"/>
      <c r="B131" s="208"/>
      <c r="C131" s="209" t="s">
        <v>70</v>
      </c>
      <c r="D131" s="141"/>
      <c r="E131" s="140"/>
      <c r="F131" s="140"/>
      <c r="G131" s="142"/>
      <c r="H131" s="143" t="s">
        <v>35</v>
      </c>
      <c r="I131" s="144">
        <f t="shared" ref="I131:J131" ca="1" si="68">I143</f>
        <v>10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>
      <c r="A132" s="147"/>
      <c r="B132" s="148"/>
      <c r="C132" s="149" t="s">
        <v>16</v>
      </c>
      <c r="D132" s="817" t="s">
        <v>17</v>
      </c>
      <c r="E132" s="148"/>
      <c r="F132" s="148"/>
      <c r="G132" s="151"/>
      <c r="H132" s="152" t="s">
        <v>12</v>
      </c>
      <c r="I132" s="388"/>
      <c r="J132" s="388"/>
      <c r="K132" s="154"/>
      <c r="L132" s="155">
        <f t="shared" ref="L132:N132" ca="1" si="69">L133+L134</f>
        <v>239255</v>
      </c>
      <c r="M132" s="155">
        <f t="shared" ca="1" si="69"/>
        <v>177400</v>
      </c>
      <c r="N132" s="155">
        <f t="shared" ca="1" si="69"/>
        <v>115480</v>
      </c>
      <c r="O132" s="155">
        <f t="shared" ref="O132:O140" ca="1" si="70">IF(L132&gt;0,N132*100/L132,0)</f>
        <v>48.266493908173288</v>
      </c>
      <c r="P132" s="155">
        <f t="shared" ref="P132:P140" ca="1" si="71">IF(M132&gt;0,N132*100/M132,0)</f>
        <v>65.095828635851177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2" t="s">
        <v>18</v>
      </c>
      <c r="F133" s="40"/>
      <c r="G133" s="157"/>
      <c r="H133" s="158" t="s">
        <v>12</v>
      </c>
      <c r="I133" s="583"/>
      <c r="J133" s="583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2" t="s">
        <v>19</v>
      </c>
      <c r="F134" s="40"/>
      <c r="G134" s="157"/>
      <c r="H134" s="158" t="s">
        <v>12</v>
      </c>
      <c r="I134" s="583"/>
      <c r="J134" s="583"/>
      <c r="K134" s="93"/>
      <c r="L134" s="93">
        <f t="shared" ca="1" si="72"/>
        <v>239255</v>
      </c>
      <c r="M134" s="93">
        <f t="shared" ca="1" si="72"/>
        <v>177400</v>
      </c>
      <c r="N134" s="93">
        <f t="shared" ca="1" si="72"/>
        <v>115480</v>
      </c>
      <c r="O134" s="93">
        <f t="shared" ca="1" si="70"/>
        <v>48.266493908173288</v>
      </c>
      <c r="P134" s="93">
        <f t="shared" ca="1" si="71"/>
        <v>65.095828635851177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>
      <c r="A135" s="159"/>
      <c r="B135" s="33"/>
      <c r="C135" s="281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65">
        <f t="shared" ref="L135:N135" ca="1" si="73">L136+L137</f>
        <v>136255</v>
      </c>
      <c r="M135" s="465">
        <f t="shared" ca="1" si="73"/>
        <v>74400</v>
      </c>
      <c r="N135" s="465">
        <f t="shared" ca="1" si="73"/>
        <v>12480</v>
      </c>
      <c r="O135" s="465">
        <f t="shared" ca="1" si="70"/>
        <v>9.1592969065355394</v>
      </c>
      <c r="P135" s="465">
        <f t="shared" ca="1" si="71"/>
        <v>16.774193548387096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2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2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IFERROR(__xludf.DUMMYFUNCTION("IMPORTRANGE(""https://docs.google.com/spreadsheets/d/1MeEWN-I1oV_STSDYn1IFDPWt_1FKiwhDph83XaGc0o0/edit?usp=sharing"",""งบพรบ!BK23"")"),136255)</f>
        <v>136255</v>
      </c>
      <c r="M137" s="93">
        <f ca="1">IFERROR(__xludf.DUMMYFUNCTION("IMPORTRANGE(""https://docs.google.com/spreadsheets/d/1MeEWN-I1oV_STSDYn1IFDPWt_1FKiwhDph83XaGc0o0/edit?usp=sharing"",""งบพรบ!BP23"")"),74400)</f>
        <v>74400</v>
      </c>
      <c r="N137" s="93">
        <f ca="1">IFERROR(__xludf.DUMMYFUNCTION("IMPORTRANGE(""https://docs.google.com/spreadsheets/d/1MeEWN-I1oV_STSDYn1IFDPWt_1FKiwhDph83XaGc0o0/edit?usp=sharing"",""งบพรบ!BR23"")"),12480)</f>
        <v>12480</v>
      </c>
      <c r="O137" s="93">
        <f t="shared" ca="1" si="70"/>
        <v>9.1592969065355394</v>
      </c>
      <c r="P137" s="93">
        <f t="shared" ca="1" si="71"/>
        <v>16.774193548387096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>
      <c r="A138" s="159"/>
      <c r="B138" s="33"/>
      <c r="C138" s="281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65">
        <f t="shared" ref="L138:N138" ca="1" si="74">L139+L140</f>
        <v>103000</v>
      </c>
      <c r="M138" s="465">
        <f t="shared" ca="1" si="74"/>
        <v>103000</v>
      </c>
      <c r="N138" s="465">
        <f t="shared" ca="1" si="74"/>
        <v>103000</v>
      </c>
      <c r="O138" s="465">
        <f t="shared" ca="1" si="70"/>
        <v>100</v>
      </c>
      <c r="P138" s="465">
        <f t="shared" ca="1" si="71"/>
        <v>100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2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2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IFERROR(__xludf.DUMMYFUNCTION("IMPORTRANGE(""https://docs.google.com/spreadsheets/d/1MeEWN-I1oV_STSDYn1IFDPWt_1FKiwhDph83XaGc0o0/edit?usp=sharing"",""งบพรบ!BN23"")"),103000)</f>
        <v>103000</v>
      </c>
      <c r="M140" s="93">
        <f ca="1">IFERROR(__xludf.DUMMYFUNCTION("IMPORTRANGE(""https://docs.google.com/spreadsheets/d/1MeEWN-I1oV_STSDYn1IFDPWt_1FKiwhDph83XaGc0o0/edit?usp=sharing"",""งบพรบ!BQ23"")"),103000)</f>
        <v>103000</v>
      </c>
      <c r="N140" s="93">
        <f ca="1">IFERROR(__xludf.DUMMYFUNCTION("IMPORTRANGE(""https://docs.google.com/spreadsheets/d/1MeEWN-I1oV_STSDYn1IFDPWt_1FKiwhDph83XaGc0o0/edit?usp=sharing"",""งบพรบ!BS23"")"),103000)</f>
        <v>103000</v>
      </c>
      <c r="O140" s="93">
        <f t="shared" ca="1" si="70"/>
        <v>100</v>
      </c>
      <c r="P140" s="93">
        <f t="shared" ca="1" si="71"/>
        <v>100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>
      <c r="A141" s="170"/>
      <c r="B141" s="171"/>
      <c r="C141" s="149" t="s">
        <v>16</v>
      </c>
      <c r="D141" s="818" t="s">
        <v>38</v>
      </c>
      <c r="E141" s="173"/>
      <c r="F141" s="173"/>
      <c r="G141" s="174"/>
      <c r="H141" s="168"/>
      <c r="I141" s="269"/>
      <c r="J141" s="269"/>
      <c r="K141" s="465"/>
      <c r="L141" s="465"/>
      <c r="M141" s="465"/>
      <c r="N141" s="465"/>
      <c r="O141" s="465"/>
      <c r="P141" s="465"/>
    </row>
    <row r="142" spans="1:26" ht="19.5">
      <c r="A142" s="159"/>
      <c r="B142" s="33"/>
      <c r="C142" s="210"/>
      <c r="D142" s="281" t="s">
        <v>71</v>
      </c>
      <c r="E142" s="34"/>
      <c r="F142" s="33"/>
      <c r="G142" s="213"/>
      <c r="H142" s="168"/>
      <c r="I142" s="269"/>
      <c r="J142" s="214">
        <v>0</v>
      </c>
      <c r="K142" s="465"/>
      <c r="L142" s="465"/>
      <c r="M142" s="465"/>
      <c r="N142" s="465"/>
      <c r="O142" s="465"/>
      <c r="P142" s="465"/>
    </row>
    <row r="143" spans="1:26" ht="19.5">
      <c r="A143" s="159"/>
      <c r="B143" s="33"/>
      <c r="C143" s="210"/>
      <c r="D143" s="281" t="s">
        <v>72</v>
      </c>
      <c r="E143" s="34"/>
      <c r="F143" s="33"/>
      <c r="G143" s="213"/>
      <c r="H143" s="168" t="s">
        <v>35</v>
      </c>
      <c r="I143" s="269">
        <f ca="1">I145</f>
        <v>10</v>
      </c>
      <c r="J143" s="269">
        <f ca="1">IF(AND(J144&gt;=I144,J145&gt;=I145),J145,0)</f>
        <v>0</v>
      </c>
      <c r="K143" s="465">
        <f t="shared" ref="K143:K146" ca="1" si="75">IF(I143&gt;0,J143*100/I143,0)</f>
        <v>0</v>
      </c>
      <c r="L143" s="465"/>
      <c r="M143" s="465"/>
      <c r="N143" s="465"/>
      <c r="O143" s="465"/>
      <c r="P143" s="465"/>
    </row>
    <row r="144" spans="1:26" ht="19.5">
      <c r="A144" s="159"/>
      <c r="B144" s="33"/>
      <c r="C144" s="210"/>
      <c r="D144" s="342"/>
      <c r="E144" s="281" t="s">
        <v>73</v>
      </c>
      <c r="F144" s="33"/>
      <c r="G144" s="213"/>
      <c r="H144" s="168" t="s">
        <v>35</v>
      </c>
      <c r="I144" s="269">
        <f ca="1">IFERROR(__xludf.DUMMYFUNCTION("IMPORTRANGE(""https://docs.google.com/spreadsheets/d/1QqKyyYR6Q21VydFLVH3TRQUabQu_ym0Zz7PgGX0-kHA/edit?usp=sharing"",""แผน!U23"")"),5)</f>
        <v>5</v>
      </c>
      <c r="J144" s="214">
        <v>0</v>
      </c>
      <c r="K144" s="465">
        <f t="shared" ca="1" si="75"/>
        <v>0</v>
      </c>
      <c r="L144" s="465"/>
      <c r="M144" s="465"/>
      <c r="N144" s="465"/>
      <c r="O144" s="465"/>
      <c r="P144" s="465"/>
    </row>
    <row r="145" spans="1:26" ht="19.5">
      <c r="A145" s="159"/>
      <c r="B145" s="33"/>
      <c r="C145" s="210"/>
      <c r="D145" s="342"/>
      <c r="E145" s="281" t="s">
        <v>74</v>
      </c>
      <c r="F145" s="33"/>
      <c r="G145" s="213"/>
      <c r="H145" s="168" t="s">
        <v>35</v>
      </c>
      <c r="I145" s="269">
        <f ca="1">IFERROR(__xludf.DUMMYFUNCTION("IMPORTRANGE(""https://docs.google.com/spreadsheets/d/1QqKyyYR6Q21VydFLVH3TRQUabQu_ym0Zz7PgGX0-kHA/edit?usp=sharing"",""แผน!V23"")"),10)</f>
        <v>10</v>
      </c>
      <c r="J145" s="214">
        <v>0</v>
      </c>
      <c r="K145" s="465">
        <f t="shared" ca="1" si="75"/>
        <v>0</v>
      </c>
      <c r="L145" s="465"/>
      <c r="M145" s="465"/>
      <c r="N145" s="465"/>
      <c r="O145" s="465"/>
      <c r="P145" s="465"/>
    </row>
    <row r="146" spans="1:26" ht="19.5">
      <c r="A146" s="159"/>
      <c r="B146" s="33"/>
      <c r="C146" s="210"/>
      <c r="D146" s="281" t="s">
        <v>75</v>
      </c>
      <c r="E146" s="34"/>
      <c r="F146" s="33"/>
      <c r="G146" s="213"/>
      <c r="H146" s="168" t="s">
        <v>69</v>
      </c>
      <c r="I146" s="269">
        <f ca="1">IFERROR(__xludf.DUMMYFUNCTION("IMPORTRANGE(""https://docs.google.com/spreadsheets/d/1QqKyyYR6Q21VydFLVH3TRQUabQu_ym0Zz7PgGX0-kHA/edit?usp=sharing"",""แผน!W23"")"),1)</f>
        <v>1</v>
      </c>
      <c r="J146" s="214">
        <v>0</v>
      </c>
      <c r="K146" s="465">
        <f t="shared" ca="1" si="75"/>
        <v>0</v>
      </c>
      <c r="L146" s="465"/>
      <c r="M146" s="465"/>
      <c r="N146" s="465"/>
      <c r="O146" s="465"/>
      <c r="P146" s="465"/>
    </row>
    <row r="147" spans="1:26" ht="19.5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>
      <c r="A148" s="216"/>
      <c r="B148" s="208" t="s">
        <v>77</v>
      </c>
      <c r="C148" s="208"/>
      <c r="D148" s="208"/>
      <c r="E148" s="819"/>
      <c r="F148" s="218"/>
      <c r="G148" s="219"/>
      <c r="H148" s="220" t="s">
        <v>35</v>
      </c>
      <c r="I148" s="144">
        <f t="shared" ref="I148:J148" ca="1" si="76">I159</f>
        <v>20</v>
      </c>
      <c r="J148" s="144">
        <f t="shared" si="76"/>
        <v>13</v>
      </c>
      <c r="K148" s="145">
        <f ca="1">IF(I148&gt;0,J148*100/I148,0)</f>
        <v>65</v>
      </c>
      <c r="L148" s="145"/>
      <c r="M148" s="145"/>
      <c r="N148" s="145"/>
      <c r="O148" s="145"/>
      <c r="P148" s="145"/>
      <c r="Q148" s="221"/>
      <c r="R148" s="221"/>
      <c r="S148" s="221"/>
      <c r="T148" s="221"/>
      <c r="U148" s="221"/>
      <c r="V148" s="221"/>
      <c r="W148" s="221"/>
      <c r="X148" s="221"/>
      <c r="Y148" s="221"/>
      <c r="Z148" s="221"/>
    </row>
    <row r="149" spans="1:26" ht="19.5">
      <c r="A149" s="147"/>
      <c r="B149" s="148"/>
      <c r="C149" s="149" t="s">
        <v>16</v>
      </c>
      <c r="D149" s="817" t="s">
        <v>17</v>
      </c>
      <c r="E149" s="148"/>
      <c r="F149" s="148"/>
      <c r="G149" s="151"/>
      <c r="H149" s="152" t="s">
        <v>12</v>
      </c>
      <c r="I149" s="388"/>
      <c r="J149" s="388"/>
      <c r="K149" s="154"/>
      <c r="L149" s="155">
        <f t="shared" ref="L149:N149" ca="1" si="77">L150+L151</f>
        <v>10000</v>
      </c>
      <c r="M149" s="155">
        <f t="shared" ca="1" si="77"/>
        <v>10000</v>
      </c>
      <c r="N149" s="155">
        <f t="shared" ca="1" si="77"/>
        <v>0</v>
      </c>
      <c r="O149" s="155">
        <f t="shared" ref="O149:O157" ca="1" si="78">IF(L149&gt;0,N149*100/L149,0)</f>
        <v>0</v>
      </c>
      <c r="P149" s="155">
        <f t="shared" ref="P149:P157" ca="1" si="79">IF(M149&gt;0,N149*100/M149,0)</f>
        <v>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2" t="s">
        <v>18</v>
      </c>
      <c r="F150" s="40"/>
      <c r="G150" s="157"/>
      <c r="H150" s="158" t="s">
        <v>12</v>
      </c>
      <c r="I150" s="583"/>
      <c r="J150" s="583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2" t="s">
        <v>19</v>
      </c>
      <c r="F151" s="40"/>
      <c r="G151" s="157"/>
      <c r="H151" s="158" t="s">
        <v>12</v>
      </c>
      <c r="I151" s="583"/>
      <c r="J151" s="583"/>
      <c r="K151" s="93"/>
      <c r="L151" s="93">
        <f t="shared" ca="1" si="80"/>
        <v>10000</v>
      </c>
      <c r="M151" s="93">
        <f t="shared" ca="1" si="80"/>
        <v>10000</v>
      </c>
      <c r="N151" s="93">
        <f t="shared" ca="1" si="80"/>
        <v>0</v>
      </c>
      <c r="O151" s="93">
        <f t="shared" ca="1" si="78"/>
        <v>0</v>
      </c>
      <c r="P151" s="93">
        <f t="shared" ca="1" si="79"/>
        <v>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>
      <c r="A152" s="159"/>
      <c r="B152" s="33"/>
      <c r="C152" s="281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65">
        <f t="shared" ref="L152:N152" ca="1" si="81">L153+L154</f>
        <v>10000</v>
      </c>
      <c r="M152" s="465">
        <f t="shared" ca="1" si="81"/>
        <v>10000</v>
      </c>
      <c r="N152" s="465">
        <f t="shared" ca="1" si="81"/>
        <v>0</v>
      </c>
      <c r="O152" s="465">
        <f t="shared" ca="1" si="78"/>
        <v>0</v>
      </c>
      <c r="P152" s="465">
        <f t="shared" ca="1" si="79"/>
        <v>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2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2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IFERROR(__xludf.DUMMYFUNCTION("IMPORTRANGE(""https://docs.google.com/spreadsheets/d/1MeEWN-I1oV_STSDYn1IFDPWt_1FKiwhDph83XaGc0o0/edit?usp=sharing"",""งบพรบ!BU23"")"),10000)</f>
        <v>10000</v>
      </c>
      <c r="M154" s="93">
        <f ca="1">IFERROR(__xludf.DUMMYFUNCTION("IMPORTRANGE(""https://docs.google.com/spreadsheets/d/1MeEWN-I1oV_STSDYn1IFDPWt_1FKiwhDph83XaGc0o0/edit?usp=sharing"",""งบพรบ!BZ23"")"),10000)</f>
        <v>10000</v>
      </c>
      <c r="N154" s="93">
        <f ca="1">IFERROR(__xludf.DUMMYFUNCTION("IMPORTRANGE(""https://docs.google.com/spreadsheets/d/1MeEWN-I1oV_STSDYn1IFDPWt_1FKiwhDph83XaGc0o0/edit?usp=sharing"",""งบพรบ!CB23"")"),0)</f>
        <v>0</v>
      </c>
      <c r="O154" s="93">
        <f t="shared" ca="1" si="78"/>
        <v>0</v>
      </c>
      <c r="P154" s="93">
        <f t="shared" ca="1" si="79"/>
        <v>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>
      <c r="A155" s="159"/>
      <c r="B155" s="33"/>
      <c r="C155" s="281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65">
        <f t="shared" ref="L155:N155" ca="1" si="82">L156+L157</f>
        <v>0</v>
      </c>
      <c r="M155" s="465">
        <f t="shared" ca="1" si="82"/>
        <v>0</v>
      </c>
      <c r="N155" s="465">
        <f t="shared" ca="1" si="82"/>
        <v>0</v>
      </c>
      <c r="O155" s="465">
        <f t="shared" ca="1" si="78"/>
        <v>0</v>
      </c>
      <c r="P155" s="465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2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2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IFERROR(__xludf.DUMMYFUNCTION("IMPORTRANGE(""https://docs.google.com/spreadsheets/d/1MeEWN-I1oV_STSDYn1IFDPWt_1FKiwhDph83XaGc0o0/edit?usp=sharing"",""งบพรบ!BX23"")"),0)</f>
        <v>0</v>
      </c>
      <c r="M157" s="93">
        <f ca="1">IFERROR(__xludf.DUMMYFUNCTION("IMPORTRANGE(""https://docs.google.com/spreadsheets/d/1MeEWN-I1oV_STSDYn1IFDPWt_1FKiwhDph83XaGc0o0/edit?usp=sharing"",""งบพรบ!CA23"")"),0)</f>
        <v>0</v>
      </c>
      <c r="N157" s="93">
        <f ca="1">IFERROR(__xludf.DUMMYFUNCTION("IMPORTRANGE(""https://docs.google.com/spreadsheets/d/1MeEWN-I1oV_STSDYn1IFDPWt_1FKiwhDph83XaGc0o0/edit?usp=sharing"",""งบพรบ!CC23"")"),0)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>
      <c r="A158" s="170"/>
      <c r="B158" s="171"/>
      <c r="C158" s="164" t="s">
        <v>16</v>
      </c>
      <c r="D158" s="818" t="s">
        <v>38</v>
      </c>
      <c r="E158" s="173"/>
      <c r="F158" s="173"/>
      <c r="G158" s="174"/>
      <c r="H158" s="168"/>
      <c r="I158" s="269"/>
      <c r="J158" s="269"/>
      <c r="K158" s="465"/>
      <c r="L158" s="465"/>
      <c r="M158" s="465"/>
      <c r="N158" s="465"/>
      <c r="O158" s="465"/>
      <c r="P158" s="465"/>
    </row>
    <row r="159" spans="1:26" ht="19.5">
      <c r="A159" s="159"/>
      <c r="B159" s="33"/>
      <c r="C159" s="210"/>
      <c r="D159" s="281" t="s">
        <v>78</v>
      </c>
      <c r="E159" s="34"/>
      <c r="F159" s="33"/>
      <c r="G159" s="213"/>
      <c r="H159" s="168" t="s">
        <v>35</v>
      </c>
      <c r="I159" s="269">
        <f ca="1">IFERROR(__xludf.DUMMYFUNCTION("IMPORTRANGE(""https://docs.google.com/spreadsheets/d/1QqKyyYR6Q21VydFLVH3TRQUabQu_ym0Zz7PgGX0-kHA/edit?usp=sharing"",""แผน!X23"")"),20)</f>
        <v>20</v>
      </c>
      <c r="J159" s="214">
        <v>13</v>
      </c>
      <c r="K159" s="465">
        <f ca="1">IF(I159&gt;0,J159*100/I159,0)</f>
        <v>65</v>
      </c>
      <c r="L159" s="465"/>
      <c r="M159" s="465"/>
      <c r="N159" s="465"/>
      <c r="O159" s="465"/>
      <c r="P159" s="465"/>
    </row>
    <row r="160" spans="1:26" ht="19.5" hidden="1">
      <c r="A160" s="156"/>
      <c r="B160" s="40"/>
      <c r="C160" s="164"/>
      <c r="D160" s="222" t="s">
        <v>79</v>
      </c>
      <c r="E160" s="223"/>
      <c r="F160" s="40"/>
      <c r="G160" s="157"/>
      <c r="H160" s="169" t="s">
        <v>35</v>
      </c>
      <c r="I160" s="583"/>
      <c r="J160" s="583"/>
      <c r="K160" s="93"/>
      <c r="L160" s="93"/>
      <c r="M160" s="93"/>
      <c r="N160" s="93"/>
      <c r="O160" s="93"/>
      <c r="P160" s="93"/>
      <c r="Q160" s="224"/>
      <c r="R160" s="224"/>
      <c r="S160" s="224"/>
      <c r="T160" s="224"/>
      <c r="U160" s="224"/>
      <c r="V160" s="224"/>
      <c r="W160" s="224"/>
      <c r="X160" s="224"/>
      <c r="Y160" s="224"/>
      <c r="Z160" s="224"/>
    </row>
    <row r="161" spans="1:26" ht="19.5" hidden="1">
      <c r="A161" s="225"/>
      <c r="B161" s="226"/>
      <c r="C161" s="227"/>
      <c r="D161" s="228" t="s">
        <v>80</v>
      </c>
      <c r="E161" s="820"/>
      <c r="F161" s="226"/>
      <c r="G161" s="230"/>
      <c r="H161" s="231" t="s">
        <v>35</v>
      </c>
      <c r="I161" s="232"/>
      <c r="J161" s="232"/>
      <c r="K161" s="233"/>
      <c r="L161" s="233"/>
      <c r="M161" s="233"/>
      <c r="N161" s="233"/>
      <c r="O161" s="233"/>
      <c r="P161" s="233"/>
      <c r="Q161" s="224"/>
      <c r="R161" s="224"/>
      <c r="S161" s="224"/>
      <c r="T161" s="224"/>
      <c r="U161" s="224"/>
      <c r="V161" s="224"/>
      <c r="W161" s="224"/>
      <c r="X161" s="224"/>
      <c r="Y161" s="224"/>
      <c r="Z161" s="224"/>
    </row>
    <row r="162" spans="1:26" ht="19.5">
      <c r="A162" s="234" t="s">
        <v>81</v>
      </c>
      <c r="B162" s="235"/>
      <c r="C162" s="235"/>
      <c r="D162" s="235"/>
      <c r="E162" s="236"/>
      <c r="F162" s="236"/>
      <c r="G162" s="237"/>
      <c r="H162" s="238"/>
      <c r="I162" s="239"/>
      <c r="J162" s="239"/>
      <c r="K162" s="240"/>
      <c r="L162" s="240"/>
      <c r="M162" s="240"/>
      <c r="N162" s="240"/>
      <c r="O162" s="240"/>
      <c r="P162" s="240"/>
    </row>
    <row r="163" spans="1:26" ht="19.5">
      <c r="A163" s="241" t="s">
        <v>82</v>
      </c>
      <c r="B163" s="242"/>
      <c r="C163" s="242"/>
      <c r="D163" s="243"/>
      <c r="E163" s="243"/>
      <c r="F163" s="243"/>
      <c r="G163" s="244"/>
      <c r="H163" s="245"/>
      <c r="I163" s="246"/>
      <c r="J163" s="246"/>
      <c r="K163" s="247"/>
      <c r="L163" s="247"/>
      <c r="M163" s="247"/>
      <c r="N163" s="247"/>
      <c r="O163" s="247"/>
      <c r="P163" s="247"/>
    </row>
    <row r="164" spans="1:26" ht="19.5">
      <c r="A164" s="248"/>
      <c r="B164" s="249" t="s">
        <v>83</v>
      </c>
      <c r="C164" s="250"/>
      <c r="D164" s="173"/>
      <c r="E164" s="173"/>
      <c r="F164" s="173"/>
      <c r="G164" s="174"/>
      <c r="H164" s="251" t="s">
        <v>35</v>
      </c>
      <c r="I164" s="252">
        <f t="shared" ref="I164:J164" ca="1" si="83">I174+I177</f>
        <v>11</v>
      </c>
      <c r="J164" s="252">
        <f t="shared" si="83"/>
        <v>0</v>
      </c>
      <c r="K164" s="253">
        <f ca="1">IF(I164&gt;0,J164*100/I164,0)</f>
        <v>0</v>
      </c>
      <c r="L164" s="254"/>
      <c r="M164" s="254"/>
      <c r="N164" s="254"/>
      <c r="O164" s="254"/>
      <c r="P164" s="254"/>
    </row>
    <row r="165" spans="1:26" ht="19.5">
      <c r="A165" s="147"/>
      <c r="B165" s="148"/>
      <c r="C165" s="149" t="s">
        <v>16</v>
      </c>
      <c r="D165" s="817" t="s">
        <v>17</v>
      </c>
      <c r="E165" s="148"/>
      <c r="F165" s="148"/>
      <c r="G165" s="151"/>
      <c r="H165" s="152" t="s">
        <v>12</v>
      </c>
      <c r="I165" s="388"/>
      <c r="J165" s="388"/>
      <c r="K165" s="154"/>
      <c r="L165" s="155">
        <f t="shared" ref="L165:N165" ca="1" si="84">L166+L167</f>
        <v>22055</v>
      </c>
      <c r="M165" s="155">
        <f t="shared" ca="1" si="84"/>
        <v>22055</v>
      </c>
      <c r="N165" s="155">
        <f t="shared" ca="1" si="84"/>
        <v>0</v>
      </c>
      <c r="O165" s="155">
        <f t="shared" ref="O165:O173" ca="1" si="85">IF(L165&gt;0,N165*100/L165,0)</f>
        <v>0</v>
      </c>
      <c r="P165" s="155">
        <f t="shared" ref="P165:P173" ca="1" si="86">IF(M165&gt;0,N165*100/M165,0)</f>
        <v>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2" t="s">
        <v>18</v>
      </c>
      <c r="F166" s="40"/>
      <c r="G166" s="157"/>
      <c r="H166" s="158" t="s">
        <v>12</v>
      </c>
      <c r="I166" s="583"/>
      <c r="J166" s="583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2" t="s">
        <v>19</v>
      </c>
      <c r="F167" s="40"/>
      <c r="G167" s="157"/>
      <c r="H167" s="158" t="s">
        <v>12</v>
      </c>
      <c r="I167" s="583"/>
      <c r="J167" s="583"/>
      <c r="K167" s="93"/>
      <c r="L167" s="93">
        <f t="shared" ca="1" si="87"/>
        <v>22055</v>
      </c>
      <c r="M167" s="93">
        <f t="shared" ca="1" si="87"/>
        <v>22055</v>
      </c>
      <c r="N167" s="93">
        <f t="shared" ca="1" si="87"/>
        <v>0</v>
      </c>
      <c r="O167" s="93">
        <f t="shared" ca="1" si="85"/>
        <v>0</v>
      </c>
      <c r="P167" s="93">
        <f t="shared" ca="1" si="86"/>
        <v>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1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65">
        <f t="shared" ref="L168:N168" ca="1" si="88">L169+L170</f>
        <v>22055</v>
      </c>
      <c r="M168" s="465">
        <f t="shared" ca="1" si="88"/>
        <v>22055</v>
      </c>
      <c r="N168" s="465">
        <f t="shared" ca="1" si="88"/>
        <v>0</v>
      </c>
      <c r="O168" s="465">
        <f t="shared" ca="1" si="85"/>
        <v>0</v>
      </c>
      <c r="P168" s="465">
        <f t="shared" ca="1" si="86"/>
        <v>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2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2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IFERROR(__xludf.DUMMYFUNCTION("IMPORTRANGE(""https://docs.google.com/spreadsheets/d/1MeEWN-I1oV_STSDYn1IFDPWt_1FKiwhDph83XaGc0o0/edit?usp=sharing"",""งบพรบ!CE23"")"),22055)</f>
        <v>22055</v>
      </c>
      <c r="M170" s="93">
        <f ca="1">IFERROR(__xludf.DUMMYFUNCTION("IMPORTRANGE(""https://docs.google.com/spreadsheets/d/1MeEWN-I1oV_STSDYn1IFDPWt_1FKiwhDph83XaGc0o0/edit?usp=sharing"",""งบพรบ!CJ23"")"),22055)</f>
        <v>22055</v>
      </c>
      <c r="N170" s="93">
        <f ca="1">IFERROR(__xludf.DUMMYFUNCTION("IMPORTRANGE(""https://docs.google.com/spreadsheets/d/1MeEWN-I1oV_STSDYn1IFDPWt_1FKiwhDph83XaGc0o0/edit?usp=sharing"",""งบพรบ!CL23"")"),0)</f>
        <v>0</v>
      </c>
      <c r="O170" s="93">
        <f t="shared" ca="1" si="85"/>
        <v>0</v>
      </c>
      <c r="P170" s="93">
        <f t="shared" ca="1" si="86"/>
        <v>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1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65">
        <f t="shared" ref="L171:N171" ca="1" si="89">L172+L173</f>
        <v>0</v>
      </c>
      <c r="M171" s="465">
        <f t="shared" ca="1" si="89"/>
        <v>0</v>
      </c>
      <c r="N171" s="465">
        <f t="shared" ca="1" si="89"/>
        <v>0</v>
      </c>
      <c r="O171" s="465">
        <f t="shared" ca="1" si="85"/>
        <v>0</v>
      </c>
      <c r="P171" s="465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2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2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IFERROR(__xludf.DUMMYFUNCTION("IMPORTRANGE(""https://docs.google.com/spreadsheets/d/1MeEWN-I1oV_STSDYn1IFDPWt_1FKiwhDph83XaGc0o0/edit?usp=sharing"",""งบพรบ!CH23"")"),0)</f>
        <v>0</v>
      </c>
      <c r="M173" s="93">
        <f ca="1">IFERROR(__xludf.DUMMYFUNCTION("IMPORTRANGE(""https://docs.google.com/spreadsheets/d/1MeEWN-I1oV_STSDYn1IFDPWt_1FKiwhDph83XaGc0o0/edit?usp=sharing"",""งบพรบ!CK23"")"),0)</f>
        <v>0</v>
      </c>
      <c r="N173" s="93">
        <f ca="1">IFERROR(__xludf.DUMMYFUNCTION("IMPORTRANGE(""https://docs.google.com/spreadsheets/d/1MeEWN-I1oV_STSDYn1IFDPWt_1FKiwhDph83XaGc0o0/edit?usp=sharing"",""งบพรบ!CM23"")"),0)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5"/>
      <c r="B174" s="256"/>
      <c r="C174" s="257" t="s">
        <v>84</v>
      </c>
      <c r="D174" s="256"/>
      <c r="E174" s="256"/>
      <c r="F174" s="256"/>
      <c r="G174" s="258"/>
      <c r="H174" s="259" t="s">
        <v>35</v>
      </c>
      <c r="I174" s="260">
        <f t="shared" ref="I174:J174" ca="1" si="90">I176</f>
        <v>11</v>
      </c>
      <c r="J174" s="260">
        <f t="shared" si="90"/>
        <v>0</v>
      </c>
      <c r="K174" s="261">
        <f ca="1">IF(I174&gt;0,J174*100/I174,0)</f>
        <v>0</v>
      </c>
      <c r="L174" s="261"/>
      <c r="M174" s="261"/>
      <c r="N174" s="261"/>
      <c r="O174" s="261"/>
      <c r="P174" s="261"/>
    </row>
    <row r="175" spans="1:26" ht="19.5">
      <c r="A175" s="170"/>
      <c r="B175" s="171"/>
      <c r="C175" s="164" t="s">
        <v>16</v>
      </c>
      <c r="D175" s="818" t="s">
        <v>38</v>
      </c>
      <c r="E175" s="173"/>
      <c r="F175" s="173"/>
      <c r="G175" s="174"/>
      <c r="H175" s="726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10" t="s">
        <v>85</v>
      </c>
      <c r="E176" s="342"/>
      <c r="F176" s="342"/>
      <c r="G176" s="179"/>
      <c r="H176" s="589" t="s">
        <v>35</v>
      </c>
      <c r="I176" s="269">
        <f ca="1">IFERROR(__xludf.DUMMYFUNCTION("IMPORTRANGE(""https://docs.google.com/spreadsheets/d/1QqKyyYR6Q21VydFLVH3TRQUabQu_ym0Zz7PgGX0-kHA/edit?usp=sharing"",""แผน!Y23"")"),11)</f>
        <v>11</v>
      </c>
      <c r="J176" s="214">
        <v>0</v>
      </c>
      <c r="K176" s="163">
        <f ca="1">IF(I176&gt;0,J176*100/I176,0)</f>
        <v>0</v>
      </c>
      <c r="L176" s="163"/>
      <c r="M176" s="163"/>
      <c r="N176" s="163"/>
      <c r="O176" s="163"/>
      <c r="P176" s="163"/>
    </row>
    <row r="177" spans="1:26" ht="19.5" hidden="1">
      <c r="A177" s="255"/>
      <c r="B177" s="263"/>
      <c r="C177" s="264" t="s">
        <v>86</v>
      </c>
      <c r="D177" s="263"/>
      <c r="E177" s="256"/>
      <c r="F177" s="256"/>
      <c r="G177" s="258"/>
      <c r="H177" s="265" t="s">
        <v>35</v>
      </c>
      <c r="I177" s="260"/>
      <c r="J177" s="260">
        <f>J179</f>
        <v>0</v>
      </c>
      <c r="K177" s="261"/>
      <c r="L177" s="261"/>
      <c r="M177" s="261"/>
      <c r="N177" s="261"/>
      <c r="O177" s="261"/>
      <c r="P177" s="261"/>
    </row>
    <row r="178" spans="1:26" ht="19.5" hidden="1">
      <c r="A178" s="170"/>
      <c r="B178" s="171"/>
      <c r="C178" s="164" t="s">
        <v>16</v>
      </c>
      <c r="D178" s="266" t="s">
        <v>38</v>
      </c>
      <c r="E178" s="173"/>
      <c r="F178" s="173"/>
      <c r="G178" s="174"/>
      <c r="H178" s="726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267" t="s">
        <v>87</v>
      </c>
      <c r="E179" s="342"/>
      <c r="F179" s="268"/>
      <c r="G179" s="179"/>
      <c r="H179" s="43" t="s">
        <v>35</v>
      </c>
      <c r="I179" s="269"/>
      <c r="J179" s="269"/>
      <c r="K179" s="163"/>
      <c r="L179" s="163"/>
      <c r="M179" s="163"/>
      <c r="N179" s="163"/>
      <c r="O179" s="163"/>
      <c r="P179" s="163"/>
    </row>
    <row r="180" spans="1:26" ht="19.5">
      <c r="A180" s="248"/>
      <c r="B180" s="249" t="s">
        <v>88</v>
      </c>
      <c r="C180" s="250"/>
      <c r="D180" s="173"/>
      <c r="E180" s="173"/>
      <c r="F180" s="173"/>
      <c r="G180" s="174"/>
      <c r="H180" s="251" t="s">
        <v>35</v>
      </c>
      <c r="I180" s="821"/>
      <c r="J180" s="821">
        <f>J225+J226</f>
        <v>0</v>
      </c>
      <c r="K180" s="254">
        <f>IF(I180&gt;0,J180*100/I180,0)</f>
        <v>0</v>
      </c>
      <c r="L180" s="254"/>
      <c r="M180" s="254"/>
      <c r="N180" s="254"/>
      <c r="O180" s="254"/>
      <c r="P180" s="254"/>
    </row>
    <row r="181" spans="1:26" ht="19.5">
      <c r="A181" s="147"/>
      <c r="B181" s="148"/>
      <c r="C181" s="149" t="s">
        <v>16</v>
      </c>
      <c r="D181" s="817" t="s">
        <v>17</v>
      </c>
      <c r="E181" s="148"/>
      <c r="F181" s="148"/>
      <c r="G181" s="151"/>
      <c r="H181" s="152" t="s">
        <v>12</v>
      </c>
      <c r="I181" s="388"/>
      <c r="J181" s="388"/>
      <c r="K181" s="154"/>
      <c r="L181" s="155">
        <f t="shared" ref="L181:N181" ca="1" si="91">L182+L183</f>
        <v>111200</v>
      </c>
      <c r="M181" s="155">
        <f t="shared" ca="1" si="91"/>
        <v>49000</v>
      </c>
      <c r="N181" s="155">
        <f t="shared" ca="1" si="91"/>
        <v>0</v>
      </c>
      <c r="O181" s="155">
        <f t="shared" ref="O181:O189" ca="1" si="92">IF(L181&gt;0,N181*100/L181,0)</f>
        <v>0</v>
      </c>
      <c r="P181" s="155">
        <f t="shared" ref="P181:P189" ca="1" si="93">IF(M181&gt;0,N181*100/M181,0)</f>
        <v>0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2" t="s">
        <v>18</v>
      </c>
      <c r="F182" s="40"/>
      <c r="G182" s="157"/>
      <c r="H182" s="158" t="s">
        <v>12</v>
      </c>
      <c r="I182" s="583"/>
      <c r="J182" s="583"/>
      <c r="K182" s="93"/>
      <c r="L182" s="93">
        <f t="shared" ref="L182:N183" si="94">L185+L188</f>
        <v>0</v>
      </c>
      <c r="M182" s="93">
        <f t="shared" si="94"/>
        <v>0</v>
      </c>
      <c r="N182" s="93">
        <f t="shared" si="94"/>
        <v>0</v>
      </c>
      <c r="O182" s="93">
        <f t="shared" si="92"/>
        <v>0</v>
      </c>
      <c r="P182" s="93">
        <f t="shared" si="93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2" t="s">
        <v>19</v>
      </c>
      <c r="F183" s="40"/>
      <c r="G183" s="157"/>
      <c r="H183" s="158" t="s">
        <v>12</v>
      </c>
      <c r="I183" s="583"/>
      <c r="J183" s="583"/>
      <c r="K183" s="93"/>
      <c r="L183" s="93">
        <f t="shared" ca="1" si="94"/>
        <v>111200</v>
      </c>
      <c r="M183" s="93">
        <f t="shared" ca="1" si="94"/>
        <v>49000</v>
      </c>
      <c r="N183" s="93">
        <f t="shared" ca="1" si="94"/>
        <v>0</v>
      </c>
      <c r="O183" s="93">
        <f t="shared" ca="1" si="92"/>
        <v>0</v>
      </c>
      <c r="P183" s="93">
        <f t="shared" ca="1" si="93"/>
        <v>0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1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65">
        <f t="shared" ref="L184:N184" ca="1" si="95">L185+L186</f>
        <v>111200</v>
      </c>
      <c r="M184" s="465">
        <f t="shared" ca="1" si="95"/>
        <v>49000</v>
      </c>
      <c r="N184" s="465">
        <f t="shared" ca="1" si="95"/>
        <v>0</v>
      </c>
      <c r="O184" s="465">
        <f t="shared" ca="1" si="92"/>
        <v>0</v>
      </c>
      <c r="P184" s="465">
        <f t="shared" ca="1" si="93"/>
        <v>0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2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2"/>
        <v>0</v>
      </c>
      <c r="P185" s="93">
        <f t="shared" si="93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2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IFERROR(__xludf.DUMMYFUNCTION("IMPORTRANGE(""https://docs.google.com/spreadsheets/d/1MeEWN-I1oV_STSDYn1IFDPWt_1FKiwhDph83XaGc0o0/edit?usp=sharing"",""งบพรบ!CO23"")"),111200)</f>
        <v>111200</v>
      </c>
      <c r="M186" s="93">
        <f ca="1">IFERROR(__xludf.DUMMYFUNCTION("IMPORTRANGE(""https://docs.google.com/spreadsheets/d/1MeEWN-I1oV_STSDYn1IFDPWt_1FKiwhDph83XaGc0o0/edit?usp=sharing"",""งบพรบ!CT23"")"),49000)</f>
        <v>49000</v>
      </c>
      <c r="N186" s="93">
        <f ca="1">IFERROR(__xludf.DUMMYFUNCTION("IMPORTRANGE(""https://docs.google.com/spreadsheets/d/1MeEWN-I1oV_STSDYn1IFDPWt_1FKiwhDph83XaGc0o0/edit?usp=sharing"",""งบพรบ!CV23"")"),0)</f>
        <v>0</v>
      </c>
      <c r="O186" s="93">
        <f t="shared" ca="1" si="92"/>
        <v>0</v>
      </c>
      <c r="P186" s="93">
        <f t="shared" ca="1" si="93"/>
        <v>0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1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65">
        <f t="shared" ref="L187:N187" ca="1" si="96">L188+L189</f>
        <v>0</v>
      </c>
      <c r="M187" s="465">
        <f t="shared" ca="1" si="96"/>
        <v>0</v>
      </c>
      <c r="N187" s="465">
        <f t="shared" ca="1" si="96"/>
        <v>0</v>
      </c>
      <c r="O187" s="465">
        <f t="shared" ca="1" si="92"/>
        <v>0</v>
      </c>
      <c r="P187" s="465">
        <f t="shared" ca="1" si="93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2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2"/>
        <v>0</v>
      </c>
      <c r="P188" s="93">
        <f t="shared" si="93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2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IFERROR(__xludf.DUMMYFUNCTION("IMPORTRANGE(""https://docs.google.com/spreadsheets/d/1MeEWN-I1oV_STSDYn1IFDPWt_1FKiwhDph83XaGc0o0/edit?usp=sharing"",""งบพรบ!CR23"")"),0)</f>
        <v>0</v>
      </c>
      <c r="M189" s="93">
        <f ca="1">IFERROR(__xludf.DUMMYFUNCTION("IMPORTRANGE(""https://docs.google.com/spreadsheets/d/1MeEWN-I1oV_STSDYn1IFDPWt_1FKiwhDph83XaGc0o0/edit?usp=sharing"",""งบพรบ!CU23"")"),0)</f>
        <v>0</v>
      </c>
      <c r="N189" s="93">
        <f ca="1">IFERROR(__xludf.DUMMYFUNCTION("IMPORTRANGE(""https://docs.google.com/spreadsheets/d/1MeEWN-I1oV_STSDYn1IFDPWt_1FKiwhDph83XaGc0o0/edit?usp=sharing"",""งบพรบ!CW23"")"),0)</f>
        <v>0</v>
      </c>
      <c r="O189" s="93">
        <f t="shared" ca="1" si="92"/>
        <v>0</v>
      </c>
      <c r="P189" s="93">
        <f t="shared" ca="1" si="93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5"/>
      <c r="B190" s="263"/>
      <c r="C190" s="339" t="s">
        <v>89</v>
      </c>
      <c r="D190" s="256"/>
      <c r="E190" s="256"/>
      <c r="F190" s="256"/>
      <c r="G190" s="258"/>
      <c r="H190" s="259" t="s">
        <v>90</v>
      </c>
      <c r="I190" s="271">
        <f t="shared" ref="I190:J190" ca="1" si="97">I193</f>
        <v>4</v>
      </c>
      <c r="J190" s="271">
        <f t="shared" si="97"/>
        <v>0</v>
      </c>
      <c r="K190" s="272">
        <f ca="1">IF(I190&gt;0,J190*100/I190,0)</f>
        <v>0</v>
      </c>
      <c r="L190" s="261"/>
      <c r="M190" s="261"/>
      <c r="N190" s="261"/>
      <c r="O190" s="261"/>
      <c r="P190" s="261"/>
    </row>
    <row r="191" spans="1:26" ht="19.5">
      <c r="A191" s="147"/>
      <c r="B191" s="148"/>
      <c r="C191" s="149" t="s">
        <v>16</v>
      </c>
      <c r="D191" s="822" t="s">
        <v>17</v>
      </c>
      <c r="E191" s="148"/>
      <c r="F191" s="148"/>
      <c r="G191" s="151"/>
      <c r="H191" s="274" t="s">
        <v>12</v>
      </c>
      <c r="I191" s="388"/>
      <c r="J191" s="388"/>
      <c r="K191" s="154"/>
      <c r="L191" s="155">
        <f ca="1">IFERROR(__xludf.DUMMYFUNCTION("IMPORTRANGE(""https://docs.google.com/spreadsheets/d/1QqKyyYR6Q21VydFLVH3TRQUabQu_ym0Zz7PgGX0-kHA/edit?usp=sharing"",""แผน!Z23"")"),6000)</f>
        <v>6000</v>
      </c>
      <c r="M191" s="155"/>
      <c r="N191" s="275">
        <v>0</v>
      </c>
      <c r="O191" s="155">
        <f ca="1">IF(L191&gt;0,N191*100/L191,0)</f>
        <v>0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0" t="s">
        <v>16</v>
      </c>
      <c r="D192" s="818" t="s">
        <v>38</v>
      </c>
      <c r="E192" s="173"/>
      <c r="F192" s="173"/>
      <c r="G192" s="174"/>
      <c r="H192" s="726"/>
      <c r="I192" s="269"/>
      <c r="J192" s="269"/>
      <c r="K192" s="465"/>
      <c r="L192" s="465"/>
      <c r="M192" s="465"/>
      <c r="N192" s="465"/>
      <c r="O192" s="465"/>
      <c r="P192" s="465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15" t="s">
        <v>91</v>
      </c>
      <c r="E193" s="342"/>
      <c r="F193" s="342"/>
      <c r="G193" s="179"/>
      <c r="H193" s="728" t="s">
        <v>90</v>
      </c>
      <c r="I193" s="269">
        <f ca="1">IFERROR(__xludf.DUMMYFUNCTION("IMPORTRANGE(""https://docs.google.com/spreadsheets/d/1QqKyyYR6Q21VydFLVH3TRQUabQu_ym0Zz7PgGX0-kHA/edit?usp=sharing"",""แผน!AC23"")"),4)</f>
        <v>4</v>
      </c>
      <c r="J193" s="214">
        <v>0</v>
      </c>
      <c r="K193" s="465">
        <f ca="1">IF(I193&gt;0,J193*100/I193,0)</f>
        <v>0</v>
      </c>
      <c r="L193" s="465"/>
      <c r="M193" s="465"/>
      <c r="N193" s="465"/>
      <c r="O193" s="465"/>
      <c r="P193" s="465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15" t="s">
        <v>92</v>
      </c>
      <c r="E194" s="342"/>
      <c r="F194" s="342"/>
      <c r="G194" s="179"/>
      <c r="H194" s="276" t="s">
        <v>35</v>
      </c>
      <c r="I194" s="269"/>
      <c r="J194" s="269">
        <f>J195+J196</f>
        <v>0</v>
      </c>
      <c r="K194" s="465"/>
      <c r="L194" s="465"/>
      <c r="M194" s="465"/>
      <c r="N194" s="465"/>
      <c r="O194" s="465"/>
      <c r="P194" s="465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15" t="s">
        <v>93</v>
      </c>
      <c r="F195" s="342"/>
      <c r="G195" s="179"/>
      <c r="H195" s="276" t="s">
        <v>35</v>
      </c>
      <c r="I195" s="269"/>
      <c r="J195" s="214">
        <v>0</v>
      </c>
      <c r="K195" s="465"/>
      <c r="L195" s="465"/>
      <c r="M195" s="465"/>
      <c r="N195" s="465"/>
      <c r="O195" s="465"/>
      <c r="P195" s="465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15" t="s">
        <v>94</v>
      </c>
      <c r="F196" s="342"/>
      <c r="G196" s="179"/>
      <c r="H196" s="276" t="s">
        <v>35</v>
      </c>
      <c r="I196" s="269"/>
      <c r="J196" s="214">
        <v>0</v>
      </c>
      <c r="K196" s="465"/>
      <c r="L196" s="465"/>
      <c r="M196" s="465"/>
      <c r="N196" s="465"/>
      <c r="O196" s="465"/>
      <c r="P196" s="465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5"/>
      <c r="B197" s="263"/>
      <c r="C197" s="339" t="s">
        <v>95</v>
      </c>
      <c r="D197" s="256"/>
      <c r="E197" s="256"/>
      <c r="F197" s="256"/>
      <c r="G197" s="258"/>
      <c r="H197" s="277" t="s">
        <v>96</v>
      </c>
      <c r="I197" s="271">
        <f t="shared" ref="I197:J197" ca="1" si="98">I204</f>
        <v>2</v>
      </c>
      <c r="J197" s="271">
        <f t="shared" si="98"/>
        <v>0</v>
      </c>
      <c r="K197" s="272">
        <f ca="1">IF(I197&gt;0,J197*100/I197,0)</f>
        <v>0</v>
      </c>
      <c r="L197" s="261"/>
      <c r="M197" s="261"/>
      <c r="N197" s="261"/>
      <c r="O197" s="261"/>
      <c r="P197" s="261"/>
    </row>
    <row r="198" spans="1:26" ht="19.5">
      <c r="A198" s="147"/>
      <c r="B198" s="148"/>
      <c r="C198" s="149" t="s">
        <v>16</v>
      </c>
      <c r="D198" s="822" t="s">
        <v>17</v>
      </c>
      <c r="E198" s="148"/>
      <c r="F198" s="148"/>
      <c r="G198" s="151"/>
      <c r="H198" s="274" t="s">
        <v>12</v>
      </c>
      <c r="I198" s="387"/>
      <c r="J198" s="387"/>
      <c r="K198" s="279"/>
      <c r="L198" s="155">
        <f ca="1">L199+L200+L201+L202</f>
        <v>26000</v>
      </c>
      <c r="M198" s="155"/>
      <c r="N198" s="155">
        <f>N199+N200+N201+N202</f>
        <v>0</v>
      </c>
      <c r="O198" s="155">
        <f ca="1">IF(L198&gt;0,N198*100/L198,0)</f>
        <v>0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0"/>
      <c r="C199" s="33"/>
      <c r="D199" s="281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65">
        <f ca="1">IFERROR(__xludf.DUMMYFUNCTION("IMPORTRANGE(""https://docs.google.com/spreadsheets/d/1QqKyyYR6Q21VydFLVH3TRQUabQu_ym0Zz7PgGX0-kHA/edit?usp=sharing"",""แผน!AE23"")"),2000)</f>
        <v>2000</v>
      </c>
      <c r="M199" s="465"/>
      <c r="N199" s="789"/>
      <c r="O199" s="465"/>
      <c r="P199" s="465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3"/>
      <c r="B200" s="280"/>
      <c r="C200" s="210"/>
      <c r="D200" s="281" t="s">
        <v>98</v>
      </c>
      <c r="E200" s="33"/>
      <c r="F200" s="33"/>
      <c r="G200" s="35"/>
      <c r="H200" s="589" t="s">
        <v>12</v>
      </c>
      <c r="I200" s="269"/>
      <c r="J200" s="269"/>
      <c r="K200" s="465"/>
      <c r="L200" s="465">
        <f ca="1">IFERROR(__xludf.DUMMYFUNCTION("IMPORTRANGE(""https://docs.google.com/spreadsheets/d/1QqKyyYR6Q21VydFLVH3TRQUabQu_ym0Zz7PgGX0-kHA/edit?usp=sharing"",""แผน!AF23"")"),16000)</f>
        <v>16000</v>
      </c>
      <c r="M200" s="465"/>
      <c r="N200" s="789">
        <v>0</v>
      </c>
      <c r="O200" s="465"/>
      <c r="P200" s="465"/>
      <c r="Q200" s="285"/>
      <c r="R200" s="285"/>
      <c r="S200" s="285"/>
      <c r="T200" s="285"/>
      <c r="U200" s="285"/>
      <c r="V200" s="285"/>
      <c r="W200" s="285"/>
      <c r="X200" s="285"/>
      <c r="Y200" s="285"/>
      <c r="Z200" s="285"/>
    </row>
    <row r="201" spans="1:26" ht="19.5">
      <c r="A201" s="283"/>
      <c r="B201" s="280"/>
      <c r="C201" s="210"/>
      <c r="D201" s="281" t="s">
        <v>99</v>
      </c>
      <c r="E201" s="33"/>
      <c r="F201" s="33"/>
      <c r="G201" s="35"/>
      <c r="H201" s="589" t="s">
        <v>12</v>
      </c>
      <c r="I201" s="269"/>
      <c r="J201" s="269"/>
      <c r="K201" s="465"/>
      <c r="L201" s="465">
        <f ca="1">IFERROR(__xludf.DUMMYFUNCTION("IMPORTRANGE(""https://docs.google.com/spreadsheets/d/1QqKyyYR6Q21VydFLVH3TRQUabQu_ym0Zz7PgGX0-kHA/edit?usp=sharing"",""แผน!AG23"")"),8000)</f>
        <v>8000</v>
      </c>
      <c r="M201" s="465"/>
      <c r="N201" s="789">
        <v>0</v>
      </c>
      <c r="O201" s="465"/>
      <c r="P201" s="465"/>
      <c r="Q201" s="285"/>
      <c r="R201" s="285"/>
      <c r="S201" s="285"/>
      <c r="T201" s="285"/>
      <c r="U201" s="285"/>
      <c r="V201" s="285"/>
      <c r="W201" s="285"/>
      <c r="X201" s="285"/>
      <c r="Y201" s="285"/>
      <c r="Z201" s="285"/>
    </row>
    <row r="202" spans="1:26" ht="19.5">
      <c r="A202" s="283"/>
      <c r="B202" s="280"/>
      <c r="C202" s="210"/>
      <c r="D202" s="281" t="s">
        <v>100</v>
      </c>
      <c r="E202" s="33"/>
      <c r="F202" s="33"/>
      <c r="G202" s="35"/>
      <c r="H202" s="589" t="s">
        <v>12</v>
      </c>
      <c r="I202" s="269"/>
      <c r="J202" s="269"/>
      <c r="K202" s="465"/>
      <c r="L202" s="465">
        <f ca="1">IFERROR(__xludf.DUMMYFUNCTION("IMPORTRANGE(""https://docs.google.com/spreadsheets/d/1QqKyyYR6Q21VydFLVH3TRQUabQu_ym0Zz7PgGX0-kHA/edit?usp=sharing"",""แผน!AH23"")"),0)</f>
        <v>0</v>
      </c>
      <c r="M202" s="465"/>
      <c r="N202" s="789">
        <v>0</v>
      </c>
      <c r="O202" s="465"/>
      <c r="P202" s="465"/>
      <c r="Q202" s="285"/>
      <c r="R202" s="285"/>
      <c r="S202" s="285"/>
      <c r="T202" s="285"/>
      <c r="U202" s="285"/>
      <c r="V202" s="285"/>
      <c r="W202" s="285"/>
      <c r="X202" s="285"/>
      <c r="Y202" s="285"/>
      <c r="Z202" s="285"/>
    </row>
    <row r="203" spans="1:26" ht="19.5">
      <c r="A203" s="170"/>
      <c r="B203" s="171"/>
      <c r="C203" s="210" t="s">
        <v>16</v>
      </c>
      <c r="D203" s="818" t="s">
        <v>38</v>
      </c>
      <c r="E203" s="173"/>
      <c r="F203" s="173"/>
      <c r="G203" s="174"/>
      <c r="H203" s="726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343" t="s">
        <v>101</v>
      </c>
      <c r="E204" s="342"/>
      <c r="F204" s="342"/>
      <c r="G204" s="179"/>
      <c r="H204" s="726" t="s">
        <v>96</v>
      </c>
      <c r="I204" s="269">
        <f ca="1">IFERROR(__xludf.DUMMYFUNCTION("IMPORTRANGE(""https://docs.google.com/spreadsheets/d/1QqKyyYR6Q21VydFLVH3TRQUabQu_ym0Zz7PgGX0-kHA/edit?usp=sharing"",""แผน!AI23"")"),2)</f>
        <v>2</v>
      </c>
      <c r="J204" s="214">
        <v>0</v>
      </c>
      <c r="K204" s="163">
        <f ca="1">IF(I204&gt;0,J204*100/I204,0)</f>
        <v>0</v>
      </c>
      <c r="L204" s="465"/>
      <c r="M204" s="465"/>
      <c r="N204" s="465"/>
      <c r="O204" s="465"/>
      <c r="P204" s="465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15" t="s">
        <v>59</v>
      </c>
      <c r="E205" s="342"/>
      <c r="F205" s="342"/>
      <c r="G205" s="179"/>
      <c r="H205" s="726"/>
      <c r="I205" s="269"/>
      <c r="J205" s="269"/>
      <c r="K205" s="163"/>
      <c r="L205" s="465"/>
      <c r="M205" s="465"/>
      <c r="N205" s="465"/>
      <c r="O205" s="465"/>
      <c r="P205" s="465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342"/>
      <c r="E206" s="494" t="s">
        <v>102</v>
      </c>
      <c r="F206" s="286"/>
      <c r="G206" s="287"/>
      <c r="H206" s="288" t="s">
        <v>96</v>
      </c>
      <c r="I206" s="269">
        <v>2</v>
      </c>
      <c r="J206" s="214">
        <v>0</v>
      </c>
      <c r="K206" s="163">
        <f t="shared" ref="K206:K208" si="99">IF(I206&gt;0,J206*100/I206,0)</f>
        <v>0</v>
      </c>
      <c r="L206" s="465"/>
      <c r="M206" s="465"/>
      <c r="N206" s="465"/>
      <c r="O206" s="465"/>
      <c r="P206" s="465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15"/>
      <c r="E207" s="415" t="s">
        <v>103</v>
      </c>
      <c r="F207" s="342"/>
      <c r="G207" s="342"/>
      <c r="H207" s="289" t="s">
        <v>104</v>
      </c>
      <c r="I207" s="269">
        <v>0</v>
      </c>
      <c r="J207" s="214">
        <v>0</v>
      </c>
      <c r="K207" s="163">
        <f t="shared" si="99"/>
        <v>0</v>
      </c>
      <c r="L207" s="465"/>
      <c r="M207" s="465"/>
      <c r="N207" s="465"/>
      <c r="O207" s="465"/>
      <c r="P207" s="465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>
      <c r="A208" s="255"/>
      <c r="B208" s="263"/>
      <c r="C208" s="339" t="s">
        <v>105</v>
      </c>
      <c r="D208" s="256"/>
      <c r="E208" s="256"/>
      <c r="F208" s="290"/>
      <c r="G208" s="258"/>
      <c r="H208" s="277" t="s">
        <v>96</v>
      </c>
      <c r="I208" s="271">
        <f t="shared" ref="I208:J208" ca="1" si="100">I215</f>
        <v>2</v>
      </c>
      <c r="J208" s="271">
        <f t="shared" si="100"/>
        <v>0</v>
      </c>
      <c r="K208" s="272">
        <f t="shared" ca="1" si="99"/>
        <v>0</v>
      </c>
      <c r="L208" s="261"/>
      <c r="M208" s="261"/>
      <c r="N208" s="261"/>
      <c r="O208" s="261"/>
      <c r="P208" s="261"/>
    </row>
    <row r="209" spans="1:26" ht="19.5">
      <c r="A209" s="147"/>
      <c r="B209" s="148"/>
      <c r="C209" s="149" t="s">
        <v>16</v>
      </c>
      <c r="D209" s="822" t="s">
        <v>17</v>
      </c>
      <c r="E209" s="148"/>
      <c r="F209" s="148"/>
      <c r="G209" s="151"/>
      <c r="H209" s="274" t="s">
        <v>12</v>
      </c>
      <c r="I209" s="387"/>
      <c r="J209" s="387"/>
      <c r="K209" s="279"/>
      <c r="L209" s="155">
        <f ca="1">L210+L211+L212</f>
        <v>28000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>
      <c r="A210" s="159"/>
      <c r="B210" s="280"/>
      <c r="C210" s="33"/>
      <c r="D210" s="281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65">
        <f ca="1">IFERROR(__xludf.DUMMYFUNCTION("IMPORTRANGE(""https://docs.google.com/spreadsheets/d/1QqKyyYR6Q21VydFLVH3TRQUabQu_ym0Zz7PgGX0-kHA/edit?usp=sharing"",""แผน!AK23"")"),2000)</f>
        <v>2000</v>
      </c>
      <c r="M210" s="465"/>
      <c r="N210" s="789">
        <v>0</v>
      </c>
      <c r="O210" s="465"/>
      <c r="P210" s="465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>
      <c r="A211" s="283"/>
      <c r="B211" s="280"/>
      <c r="C211" s="291"/>
      <c r="D211" s="281" t="s">
        <v>99</v>
      </c>
      <c r="E211" s="33"/>
      <c r="F211" s="33"/>
      <c r="G211" s="35"/>
      <c r="H211" s="161" t="s">
        <v>12</v>
      </c>
      <c r="I211" s="269"/>
      <c r="J211" s="269"/>
      <c r="K211" s="465"/>
      <c r="L211" s="465">
        <f ca="1">IFERROR(__xludf.DUMMYFUNCTION("IMPORTRANGE(""https://docs.google.com/spreadsheets/d/1QqKyyYR6Q21VydFLVH3TRQUabQu_ym0Zz7PgGX0-kHA/edit?usp=sharing"",""แผน!AL23"")"),10000)</f>
        <v>10000</v>
      </c>
      <c r="M211" s="465"/>
      <c r="N211" s="789">
        <v>0</v>
      </c>
      <c r="O211" s="465"/>
      <c r="P211" s="465"/>
      <c r="Q211" s="285"/>
      <c r="R211" s="285"/>
      <c r="S211" s="285"/>
      <c r="T211" s="285"/>
      <c r="U211" s="285"/>
      <c r="V211" s="285"/>
      <c r="W211" s="285"/>
      <c r="X211" s="285"/>
      <c r="Y211" s="285"/>
      <c r="Z211" s="285"/>
    </row>
    <row r="212" spans="1:26" ht="19.5">
      <c r="A212" s="283"/>
      <c r="B212" s="280"/>
      <c r="C212" s="291"/>
      <c r="D212" s="281" t="s">
        <v>98</v>
      </c>
      <c r="E212" s="33"/>
      <c r="F212" s="33"/>
      <c r="G212" s="35"/>
      <c r="H212" s="161" t="s">
        <v>12</v>
      </c>
      <c r="I212" s="269"/>
      <c r="J212" s="269"/>
      <c r="K212" s="465"/>
      <c r="L212" s="465">
        <f ca="1">IFERROR(__xludf.DUMMYFUNCTION("IMPORTRANGE(""https://docs.google.com/spreadsheets/d/1QqKyyYR6Q21VydFLVH3TRQUabQu_ym0Zz7PgGX0-kHA/edit?usp=sharing"",""แผน!AM23"")"),16000)</f>
        <v>16000</v>
      </c>
      <c r="M212" s="465"/>
      <c r="N212" s="789">
        <v>0</v>
      </c>
      <c r="O212" s="465"/>
      <c r="P212" s="465"/>
      <c r="Q212" s="285"/>
      <c r="R212" s="285"/>
      <c r="S212" s="285"/>
      <c r="T212" s="285"/>
      <c r="U212" s="285"/>
      <c r="V212" s="285"/>
      <c r="W212" s="285"/>
      <c r="X212" s="285"/>
      <c r="Y212" s="285"/>
      <c r="Z212" s="285"/>
    </row>
    <row r="213" spans="1:26" ht="19.5">
      <c r="A213" s="170"/>
      <c r="B213" s="171"/>
      <c r="C213" s="291" t="s">
        <v>16</v>
      </c>
      <c r="D213" s="818" t="s">
        <v>38</v>
      </c>
      <c r="E213" s="173"/>
      <c r="F213" s="173"/>
      <c r="G213" s="174"/>
      <c r="H213" s="726"/>
      <c r="I213" s="184"/>
      <c r="J213" s="269"/>
      <c r="K213" s="465"/>
      <c r="L213" s="465"/>
      <c r="M213" s="465"/>
      <c r="N213" s="465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>
      <c r="A214" s="170"/>
      <c r="B214" s="171"/>
      <c r="C214" s="171"/>
      <c r="D214" s="343" t="s">
        <v>106</v>
      </c>
      <c r="E214" s="342"/>
      <c r="F214" s="342"/>
      <c r="G214" s="179"/>
      <c r="H214" s="726" t="s">
        <v>96</v>
      </c>
      <c r="I214" s="269">
        <f ca="1">IFERROR(__xludf.DUMMYFUNCTION("IMPORTRANGE(""https://docs.google.com/spreadsheets/d/1QqKyyYR6Q21VydFLVH3TRQUabQu_ym0Zz7PgGX0-kHA/edit?usp=sharing"",""แผน!AN23"")"),2)</f>
        <v>2</v>
      </c>
      <c r="J214" s="214">
        <v>0</v>
      </c>
      <c r="K214" s="465">
        <f t="shared" ref="K214:K216" ca="1" si="101">IF(I214&gt;0,J214*100/I214,0)</f>
        <v>0</v>
      </c>
      <c r="L214" s="465"/>
      <c r="M214" s="465"/>
      <c r="N214" s="465"/>
      <c r="O214" s="465"/>
      <c r="P214" s="465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>
      <c r="A215" s="170"/>
      <c r="B215" s="171"/>
      <c r="C215" s="171"/>
      <c r="D215" s="343" t="s">
        <v>107</v>
      </c>
      <c r="E215" s="342"/>
      <c r="F215" s="342"/>
      <c r="G215" s="179"/>
      <c r="H215" s="726" t="s">
        <v>96</v>
      </c>
      <c r="I215" s="269">
        <f ca="1">IFERROR(__xludf.DUMMYFUNCTION("IMPORTRANGE(""https://docs.google.com/spreadsheets/d/1QqKyyYR6Q21VydFLVH3TRQUabQu_ym0Zz7PgGX0-kHA/edit?usp=sharing"",""แผน!AN23"")"),2)</f>
        <v>2</v>
      </c>
      <c r="J215" s="214">
        <v>0</v>
      </c>
      <c r="K215" s="465">
        <f t="shared" ca="1" si="101"/>
        <v>0</v>
      </c>
      <c r="L215" s="465"/>
      <c r="M215" s="465"/>
      <c r="N215" s="465"/>
      <c r="O215" s="465"/>
      <c r="P215" s="465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5"/>
      <c r="B216" s="263"/>
      <c r="C216" s="339" t="s">
        <v>108</v>
      </c>
      <c r="D216" s="256"/>
      <c r="E216" s="256"/>
      <c r="F216" s="290"/>
      <c r="G216" s="258"/>
      <c r="H216" s="259" t="s">
        <v>109</v>
      </c>
      <c r="I216" s="271">
        <f t="shared" ref="I216:J216" ca="1" si="102">I224</f>
        <v>128000</v>
      </c>
      <c r="J216" s="271">
        <f t="shared" si="102"/>
        <v>0</v>
      </c>
      <c r="K216" s="272">
        <f t="shared" ca="1" si="101"/>
        <v>0</v>
      </c>
      <c r="L216" s="261"/>
      <c r="M216" s="261"/>
      <c r="N216" s="261"/>
      <c r="O216" s="261"/>
      <c r="P216" s="261"/>
    </row>
    <row r="217" spans="1:26" ht="19.5">
      <c r="A217" s="147"/>
      <c r="B217" s="148"/>
      <c r="C217" s="149" t="s">
        <v>16</v>
      </c>
      <c r="D217" s="822" t="s">
        <v>17</v>
      </c>
      <c r="E217" s="148"/>
      <c r="F217" s="148"/>
      <c r="G217" s="151"/>
      <c r="H217" s="274" t="s">
        <v>12</v>
      </c>
      <c r="I217" s="387"/>
      <c r="J217" s="387"/>
      <c r="K217" s="279"/>
      <c r="L217" s="155">
        <f ca="1">L218+L219+L220</f>
        <v>51200</v>
      </c>
      <c r="M217" s="155"/>
      <c r="N217" s="155">
        <f>N218+N219+N220</f>
        <v>0</v>
      </c>
      <c r="O217" s="155">
        <f ca="1">IF(L217&gt;0,N217*100/L217,0)</f>
        <v>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0"/>
      <c r="C218" s="33"/>
      <c r="D218" s="281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65">
        <f ca="1">IFERROR(__xludf.DUMMYFUNCTION("IMPORTRANGE(""https://docs.google.com/spreadsheets/d/1QqKyyYR6Q21VydFLVH3TRQUabQu_ym0Zz7PgGX0-kHA/edit?usp=sharing"",""แผน!AP23"")"),8000)</f>
        <v>8000</v>
      </c>
      <c r="M218" s="465"/>
      <c r="N218" s="789">
        <v>0</v>
      </c>
      <c r="O218" s="465"/>
      <c r="P218" s="465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3"/>
      <c r="B219" s="280"/>
      <c r="C219" s="291"/>
      <c r="D219" s="281" t="s">
        <v>110</v>
      </c>
      <c r="E219" s="33"/>
      <c r="F219" s="33"/>
      <c r="G219" s="35"/>
      <c r="H219" s="161" t="s">
        <v>12</v>
      </c>
      <c r="I219" s="269"/>
      <c r="J219" s="269"/>
      <c r="K219" s="465"/>
      <c r="L219" s="465">
        <f ca="1">IFERROR(__xludf.DUMMYFUNCTION("IMPORTRANGE(""https://docs.google.com/spreadsheets/d/1QqKyyYR6Q21VydFLVH3TRQUabQu_ym0Zz7PgGX0-kHA/edit?usp=sharing"",""แผน!AQ23"")"),33200)</f>
        <v>33200</v>
      </c>
      <c r="M219" s="465"/>
      <c r="N219" s="789">
        <v>0</v>
      </c>
      <c r="O219" s="465"/>
      <c r="P219" s="465"/>
      <c r="Q219" s="285"/>
      <c r="R219" s="285"/>
      <c r="S219" s="285"/>
      <c r="T219" s="285"/>
      <c r="U219" s="285"/>
      <c r="V219" s="285"/>
      <c r="W219" s="285"/>
      <c r="X219" s="285"/>
      <c r="Y219" s="285"/>
      <c r="Z219" s="285"/>
    </row>
    <row r="220" spans="1:26" ht="19.5">
      <c r="A220" s="283"/>
      <c r="B220" s="280"/>
      <c r="C220" s="291"/>
      <c r="D220" s="281" t="s">
        <v>98</v>
      </c>
      <c r="E220" s="33"/>
      <c r="F220" s="33"/>
      <c r="G220" s="35"/>
      <c r="H220" s="161" t="s">
        <v>12</v>
      </c>
      <c r="I220" s="269"/>
      <c r="J220" s="269"/>
      <c r="K220" s="465"/>
      <c r="L220" s="465">
        <f ca="1">IFERROR(__xludf.DUMMYFUNCTION("IMPORTRANGE(""https://docs.google.com/spreadsheets/d/1QqKyyYR6Q21VydFLVH3TRQUabQu_ym0Zz7PgGX0-kHA/edit?usp=sharing"",""แผน!AR23"")"),10000)</f>
        <v>10000</v>
      </c>
      <c r="M220" s="465"/>
      <c r="N220" s="789">
        <v>0</v>
      </c>
      <c r="O220" s="465"/>
      <c r="P220" s="465"/>
      <c r="Q220" s="285"/>
      <c r="R220" s="285"/>
      <c r="S220" s="285"/>
      <c r="T220" s="285"/>
      <c r="U220" s="285"/>
      <c r="V220" s="285"/>
      <c r="W220" s="285"/>
      <c r="X220" s="285"/>
      <c r="Y220" s="285"/>
      <c r="Z220" s="285"/>
    </row>
    <row r="221" spans="1:26" ht="19.5">
      <c r="A221" s="170"/>
      <c r="B221" s="171"/>
      <c r="C221" s="291" t="s">
        <v>16</v>
      </c>
      <c r="D221" s="818" t="s">
        <v>38</v>
      </c>
      <c r="E221" s="173"/>
      <c r="F221" s="173"/>
      <c r="G221" s="174"/>
      <c r="H221" s="726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1" t="s">
        <v>111</v>
      </c>
      <c r="E222" s="342"/>
      <c r="F222" s="342"/>
      <c r="G222" s="179"/>
      <c r="H222" s="726"/>
      <c r="I222" s="269"/>
      <c r="J222" s="269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343" t="s">
        <v>112</v>
      </c>
      <c r="F223" s="342"/>
      <c r="G223" s="179"/>
      <c r="H223" s="728" t="s">
        <v>109</v>
      </c>
      <c r="I223" s="269">
        <f ca="1">IFERROR(__xludf.DUMMYFUNCTION("IMPORTRANGE(""https://docs.google.com/spreadsheets/d/1QqKyyYR6Q21VydFLVH3TRQUabQu_ym0Zz7PgGX0-kHA/edit?usp=sharing"",""แผน!AT23"")"),128000)</f>
        <v>128000</v>
      </c>
      <c r="J223" s="214">
        <v>0</v>
      </c>
      <c r="K223" s="163">
        <f t="shared" ref="K223:K226" ca="1" si="103">IF(I223&gt;0,J223*100/I223,0)</f>
        <v>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343" t="s">
        <v>113</v>
      </c>
      <c r="F224" s="342"/>
      <c r="G224" s="179"/>
      <c r="H224" s="728" t="s">
        <v>109</v>
      </c>
      <c r="I224" s="269">
        <f ca="1">IFERROR(__xludf.DUMMYFUNCTION("IMPORTRANGE(""https://docs.google.com/spreadsheets/d/1QqKyyYR6Q21VydFLVH3TRQUabQu_ym0Zz7PgGX0-kHA/edit?usp=sharing"",""แผน!AT23"")"),128000)</f>
        <v>128000</v>
      </c>
      <c r="J224" s="214">
        <v>0</v>
      </c>
      <c r="K224" s="163">
        <f t="shared" ca="1" si="103"/>
        <v>0</v>
      </c>
      <c r="L224" s="465"/>
      <c r="M224" s="465"/>
      <c r="N224" s="465"/>
      <c r="O224" s="465"/>
      <c r="P224" s="465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1" t="s">
        <v>114</v>
      </c>
      <c r="E225" s="342"/>
      <c r="F225" s="342"/>
      <c r="G225" s="179"/>
      <c r="H225" s="728" t="s">
        <v>35</v>
      </c>
      <c r="I225" s="269">
        <f ca="1">IFERROR(__xludf.DUMMYFUNCTION("IMPORTRANGE(""https://docs.google.com/spreadsheets/d/1QqKyyYR6Q21VydFLVH3TRQUabQu_ym0Zz7PgGX0-kHA/edit?usp=sharing"",""แผน!AS23"")"),10)</f>
        <v>10</v>
      </c>
      <c r="J225" s="214">
        <v>0</v>
      </c>
      <c r="K225" s="163">
        <f t="shared" ca="1" si="103"/>
        <v>0</v>
      </c>
      <c r="L225" s="465"/>
      <c r="M225" s="465"/>
      <c r="N225" s="465"/>
      <c r="O225" s="465"/>
      <c r="P225" s="465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5"/>
      <c r="B226" s="263"/>
      <c r="C226" s="823" t="s">
        <v>115</v>
      </c>
      <c r="D226" s="256"/>
      <c r="E226" s="256"/>
      <c r="F226" s="256"/>
      <c r="G226" s="258"/>
      <c r="H226" s="265" t="s">
        <v>35</v>
      </c>
      <c r="I226" s="824">
        <f t="shared" ref="I226:J226" ca="1" si="104">I237+I248</f>
        <v>0</v>
      </c>
      <c r="J226" s="824">
        <f t="shared" si="104"/>
        <v>0</v>
      </c>
      <c r="K226" s="825">
        <f t="shared" ca="1" si="103"/>
        <v>0</v>
      </c>
      <c r="L226" s="261"/>
      <c r="M226" s="261"/>
      <c r="N226" s="261"/>
      <c r="O226" s="261"/>
      <c r="P226" s="261"/>
    </row>
    <row r="227" spans="1:26" ht="19.5" hidden="1">
      <c r="A227" s="826"/>
      <c r="B227" s="827"/>
      <c r="C227" s="828" t="s">
        <v>16</v>
      </c>
      <c r="D227" s="829" t="s">
        <v>17</v>
      </c>
      <c r="E227" s="827"/>
      <c r="F227" s="827"/>
      <c r="G227" s="830"/>
      <c r="H227" s="831" t="s">
        <v>12</v>
      </c>
      <c r="I227" s="832"/>
      <c r="J227" s="832"/>
      <c r="K227" s="833"/>
      <c r="L227" s="834">
        <f t="shared" ref="L227:L231" ca="1" si="105">L238+L249</f>
        <v>0</v>
      </c>
      <c r="M227" s="834"/>
      <c r="N227" s="834">
        <f t="shared" ref="N227:N231" si="106">N238+N249</f>
        <v>0</v>
      </c>
      <c r="O227" s="835"/>
      <c r="P227" s="835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542"/>
      <c r="C228" s="40"/>
      <c r="D228" s="222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5"/>
        <v>0</v>
      </c>
      <c r="M228" s="93"/>
      <c r="N228" s="93">
        <f t="shared" si="106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836"/>
      <c r="B229" s="542"/>
      <c r="C229" s="837"/>
      <c r="D229" s="222" t="s">
        <v>98</v>
      </c>
      <c r="E229" s="40"/>
      <c r="F229" s="40"/>
      <c r="G229" s="42"/>
      <c r="H229" s="165" t="s">
        <v>12</v>
      </c>
      <c r="I229" s="583"/>
      <c r="J229" s="583"/>
      <c r="K229" s="93"/>
      <c r="L229" s="93">
        <f t="shared" ca="1" si="105"/>
        <v>0</v>
      </c>
      <c r="M229" s="93"/>
      <c r="N229" s="93">
        <f t="shared" si="106"/>
        <v>0</v>
      </c>
      <c r="O229" s="93"/>
      <c r="P229" s="93"/>
      <c r="Q229" s="838"/>
      <c r="R229" s="838"/>
      <c r="S229" s="838"/>
      <c r="T229" s="838"/>
      <c r="U229" s="838"/>
      <c r="V229" s="838"/>
      <c r="W229" s="838"/>
      <c r="X229" s="838"/>
      <c r="Y229" s="838"/>
      <c r="Z229" s="838"/>
    </row>
    <row r="230" spans="1:26" ht="19.5" hidden="1">
      <c r="A230" s="836"/>
      <c r="B230" s="542"/>
      <c r="C230" s="837"/>
      <c r="D230" s="222" t="s">
        <v>116</v>
      </c>
      <c r="E230" s="40"/>
      <c r="F230" s="40"/>
      <c r="G230" s="42"/>
      <c r="H230" s="165" t="s">
        <v>12</v>
      </c>
      <c r="I230" s="583"/>
      <c r="J230" s="583"/>
      <c r="K230" s="93"/>
      <c r="L230" s="93">
        <f t="shared" ca="1" si="105"/>
        <v>0</v>
      </c>
      <c r="M230" s="93"/>
      <c r="N230" s="93">
        <f t="shared" si="106"/>
        <v>0</v>
      </c>
      <c r="O230" s="93"/>
      <c r="P230" s="93"/>
      <c r="Q230" s="838"/>
      <c r="R230" s="838"/>
      <c r="S230" s="838"/>
      <c r="T230" s="838"/>
      <c r="U230" s="838"/>
      <c r="V230" s="838"/>
      <c r="W230" s="838"/>
      <c r="X230" s="838"/>
      <c r="Y230" s="838"/>
      <c r="Z230" s="838"/>
    </row>
    <row r="231" spans="1:26" ht="19.5" hidden="1">
      <c r="A231" s="836"/>
      <c r="B231" s="542"/>
      <c r="C231" s="837"/>
      <c r="D231" s="222" t="s">
        <v>100</v>
      </c>
      <c r="E231" s="40"/>
      <c r="F231" s="40"/>
      <c r="G231" s="42"/>
      <c r="H231" s="165" t="s">
        <v>12</v>
      </c>
      <c r="I231" s="583"/>
      <c r="J231" s="583"/>
      <c r="K231" s="93"/>
      <c r="L231" s="93">
        <f t="shared" ca="1" si="105"/>
        <v>0</v>
      </c>
      <c r="M231" s="93"/>
      <c r="N231" s="93">
        <f t="shared" si="106"/>
        <v>0</v>
      </c>
      <c r="O231" s="93"/>
      <c r="P231" s="93"/>
      <c r="Q231" s="838"/>
      <c r="R231" s="838"/>
      <c r="S231" s="838"/>
      <c r="T231" s="838"/>
      <c r="U231" s="838"/>
      <c r="V231" s="838"/>
      <c r="W231" s="838"/>
      <c r="X231" s="838"/>
      <c r="Y231" s="838"/>
      <c r="Z231" s="838"/>
    </row>
    <row r="232" spans="1:26" ht="19.5" hidden="1">
      <c r="A232" s="839"/>
      <c r="B232" s="840"/>
      <c r="C232" s="837" t="s">
        <v>16</v>
      </c>
      <c r="D232" s="266" t="s">
        <v>38</v>
      </c>
      <c r="E232" s="841"/>
      <c r="F232" s="841"/>
      <c r="G232" s="842"/>
      <c r="H232" s="581"/>
      <c r="I232" s="166"/>
      <c r="J232" s="583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839"/>
      <c r="B233" s="840"/>
      <c r="C233" s="840"/>
      <c r="D233" s="268" t="s">
        <v>117</v>
      </c>
      <c r="E233" s="536"/>
      <c r="F233" s="536"/>
      <c r="G233" s="843"/>
      <c r="H233" s="582" t="s">
        <v>35</v>
      </c>
      <c r="I233" s="583">
        <f t="shared" ref="I233:J233" ca="1" si="107">I244+I255</f>
        <v>0</v>
      </c>
      <c r="J233" s="583">
        <f t="shared" si="107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839"/>
      <c r="B234" s="840"/>
      <c r="C234" s="840"/>
      <c r="D234" s="844" t="s">
        <v>43</v>
      </c>
      <c r="E234" s="536"/>
      <c r="F234" s="536"/>
      <c r="G234" s="843"/>
      <c r="H234" s="582"/>
      <c r="I234" s="583"/>
      <c r="J234" s="583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839"/>
      <c r="B235" s="840"/>
      <c r="C235" s="840"/>
      <c r="D235" s="840"/>
      <c r="E235" s="267" t="s">
        <v>118</v>
      </c>
      <c r="F235" s="536"/>
      <c r="G235" s="843"/>
      <c r="H235" s="582" t="s">
        <v>35</v>
      </c>
      <c r="I235" s="583">
        <f t="shared" ref="I235:J236" si="108">I246+I257</f>
        <v>0</v>
      </c>
      <c r="J235" s="583">
        <f t="shared" si="108"/>
        <v>0</v>
      </c>
      <c r="K235" s="93">
        <f t="shared" ref="K235:K237" si="109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839"/>
      <c r="B236" s="840"/>
      <c r="C236" s="840"/>
      <c r="D236" s="840"/>
      <c r="E236" s="267" t="s">
        <v>119</v>
      </c>
      <c r="F236" s="536"/>
      <c r="G236" s="843"/>
      <c r="H236" s="582" t="s">
        <v>69</v>
      </c>
      <c r="I236" s="583">
        <f t="shared" si="108"/>
        <v>0</v>
      </c>
      <c r="J236" s="583">
        <f t="shared" si="108"/>
        <v>0</v>
      </c>
      <c r="K236" s="93">
        <f t="shared" si="109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5"/>
      <c r="B237" s="263"/>
      <c r="C237" s="339" t="s">
        <v>330</v>
      </c>
      <c r="D237" s="256"/>
      <c r="E237" s="256"/>
      <c r="F237" s="256"/>
      <c r="G237" s="258"/>
      <c r="H237" s="259" t="s">
        <v>35</v>
      </c>
      <c r="I237" s="271">
        <f t="shared" ref="I237:J237" ca="1" si="110">I244</f>
        <v>0</v>
      </c>
      <c r="J237" s="271">
        <f t="shared" si="110"/>
        <v>0</v>
      </c>
      <c r="K237" s="272">
        <f t="shared" ca="1" si="109"/>
        <v>0</v>
      </c>
      <c r="L237" s="261"/>
      <c r="M237" s="261"/>
      <c r="N237" s="261"/>
      <c r="O237" s="261"/>
      <c r="P237" s="261"/>
    </row>
    <row r="238" spans="1:26" ht="19.5" hidden="1">
      <c r="A238" s="147"/>
      <c r="B238" s="148"/>
      <c r="C238" s="149" t="s">
        <v>16</v>
      </c>
      <c r="D238" s="817" t="s">
        <v>17</v>
      </c>
      <c r="E238" s="148"/>
      <c r="F238" s="148"/>
      <c r="G238" s="151"/>
      <c r="H238" s="274" t="s">
        <v>12</v>
      </c>
      <c r="I238" s="387"/>
      <c r="J238" s="387"/>
      <c r="K238" s="279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3"/>
      <c r="B239" s="314"/>
      <c r="C239" s="315"/>
      <c r="D239" s="324" t="s">
        <v>97</v>
      </c>
      <c r="E239" s="315"/>
      <c r="F239" s="315"/>
      <c r="G239" s="317"/>
      <c r="H239" s="318" t="s">
        <v>12</v>
      </c>
      <c r="I239" s="319"/>
      <c r="J239" s="319"/>
      <c r="K239" s="320"/>
      <c r="L239" s="321">
        <f ca="1">IFERROR(__xludf.DUMMYFUNCTION("IMPORTRANGE(""https://docs.google.com/spreadsheets/d/1QqKyyYR6Q21VydFLVH3TRQUabQu_ym0Zz7PgGX0-kHA/edit?usp=sharing"",""แผน!AV23"")"),0)</f>
        <v>0</v>
      </c>
      <c r="M239" s="321"/>
      <c r="N239" s="340">
        <v>0</v>
      </c>
      <c r="O239" s="321"/>
      <c r="P239" s="321"/>
      <c r="Q239" s="312"/>
      <c r="R239" s="312"/>
      <c r="S239" s="312"/>
      <c r="T239" s="312"/>
      <c r="U239" s="312"/>
      <c r="V239" s="312"/>
      <c r="W239" s="312"/>
      <c r="X239" s="312"/>
      <c r="Y239" s="312"/>
      <c r="Z239" s="312"/>
    </row>
    <row r="240" spans="1:26" ht="19.5" hidden="1">
      <c r="A240" s="322"/>
      <c r="B240" s="314"/>
      <c r="C240" s="323"/>
      <c r="D240" s="324" t="s">
        <v>98</v>
      </c>
      <c r="E240" s="315"/>
      <c r="F240" s="315"/>
      <c r="G240" s="317"/>
      <c r="H240" s="318" t="s">
        <v>12</v>
      </c>
      <c r="I240" s="325"/>
      <c r="J240" s="325"/>
      <c r="K240" s="321"/>
      <c r="L240" s="321">
        <f ca="1">IFERROR(__xludf.DUMMYFUNCTION("IMPORTRANGE(""https://docs.google.com/spreadsheets/d/1QqKyyYR6Q21VydFLVH3TRQUabQu_ym0Zz7PgGX0-kHA/edit?usp=sharing"",""แผน!AW23"")"),0)</f>
        <v>0</v>
      </c>
      <c r="M240" s="321"/>
      <c r="N240" s="340">
        <v>0</v>
      </c>
      <c r="O240" s="321"/>
      <c r="P240" s="321"/>
      <c r="Q240" s="326"/>
      <c r="R240" s="326"/>
      <c r="S240" s="326"/>
      <c r="T240" s="326"/>
      <c r="U240" s="326"/>
      <c r="V240" s="326"/>
      <c r="W240" s="326"/>
      <c r="X240" s="326"/>
      <c r="Y240" s="326"/>
      <c r="Z240" s="326"/>
    </row>
    <row r="241" spans="1:26" ht="19.5" hidden="1">
      <c r="A241" s="322"/>
      <c r="B241" s="314"/>
      <c r="C241" s="323"/>
      <c r="D241" s="324" t="s">
        <v>116</v>
      </c>
      <c r="E241" s="315"/>
      <c r="F241" s="315"/>
      <c r="G241" s="317"/>
      <c r="H241" s="318" t="s">
        <v>12</v>
      </c>
      <c r="I241" s="325"/>
      <c r="J241" s="325"/>
      <c r="K241" s="321"/>
      <c r="L241" s="321">
        <f ca="1">IFERROR(__xludf.DUMMYFUNCTION("IMPORTRANGE(""https://docs.google.com/spreadsheets/d/1QqKyyYR6Q21VydFLVH3TRQUabQu_ym0Zz7PgGX0-kHA/edit?usp=sharing"",""แผน!AX23"")"),0)</f>
        <v>0</v>
      </c>
      <c r="M241" s="321"/>
      <c r="N241" s="340">
        <v>0</v>
      </c>
      <c r="O241" s="321"/>
      <c r="P241" s="321"/>
      <c r="Q241" s="326"/>
      <c r="R241" s="326"/>
      <c r="S241" s="326"/>
      <c r="T241" s="326"/>
      <c r="U241" s="326"/>
      <c r="V241" s="326"/>
      <c r="W241" s="326"/>
      <c r="X241" s="326"/>
      <c r="Y241" s="326"/>
      <c r="Z241" s="326"/>
    </row>
    <row r="242" spans="1:26" ht="19.5" hidden="1">
      <c r="A242" s="322"/>
      <c r="B242" s="314"/>
      <c r="C242" s="323"/>
      <c r="D242" s="324" t="s">
        <v>100</v>
      </c>
      <c r="E242" s="315"/>
      <c r="F242" s="315"/>
      <c r="G242" s="317"/>
      <c r="H242" s="318" t="s">
        <v>12</v>
      </c>
      <c r="I242" s="325"/>
      <c r="J242" s="325"/>
      <c r="K242" s="321"/>
      <c r="L242" s="321">
        <f ca="1">IFERROR(__xludf.DUMMYFUNCTION("IMPORTRANGE(""https://docs.google.com/spreadsheets/d/1QqKyyYR6Q21VydFLVH3TRQUabQu_ym0Zz7PgGX0-kHA/edit?usp=sharing"",""แผน!AY23"")"),0)</f>
        <v>0</v>
      </c>
      <c r="M242" s="321"/>
      <c r="N242" s="340">
        <v>0</v>
      </c>
      <c r="O242" s="321"/>
      <c r="P242" s="321"/>
      <c r="Q242" s="326"/>
      <c r="R242" s="326"/>
      <c r="S242" s="326"/>
      <c r="T242" s="326"/>
      <c r="U242" s="326"/>
      <c r="V242" s="326"/>
      <c r="W242" s="326"/>
      <c r="X242" s="326"/>
      <c r="Y242" s="326"/>
      <c r="Z242" s="326"/>
    </row>
    <row r="243" spans="1:26" ht="19.5" hidden="1">
      <c r="A243" s="170"/>
      <c r="B243" s="171"/>
      <c r="C243" s="291" t="s">
        <v>16</v>
      </c>
      <c r="D243" s="818" t="s">
        <v>38</v>
      </c>
      <c r="E243" s="173"/>
      <c r="F243" s="173"/>
      <c r="G243" s="174"/>
      <c r="H243" s="726"/>
      <c r="I243" s="184"/>
      <c r="J243" s="269"/>
      <c r="K243" s="465"/>
      <c r="L243" s="465"/>
      <c r="M243" s="465"/>
      <c r="N243" s="465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15" t="s">
        <v>117</v>
      </c>
      <c r="E244" s="342"/>
      <c r="F244" s="342"/>
      <c r="G244" s="179"/>
      <c r="H244" s="728" t="s">
        <v>35</v>
      </c>
      <c r="I244" s="269">
        <f ca="1">IFERROR(__xludf.DUMMYFUNCTION("IMPORTRANGE(""https://docs.google.com/spreadsheets/d/1QqKyyYR6Q21VydFLVH3TRQUabQu_ym0Zz7PgGX0-kHA/edit?usp=sharing"",""แผน!BE23"")"),0)</f>
        <v>0</v>
      </c>
      <c r="J244" s="214">
        <v>0</v>
      </c>
      <c r="K244" s="465">
        <f ca="1">IF(I244&gt;0,J244*100/I244,0)</f>
        <v>0</v>
      </c>
      <c r="L244" s="465"/>
      <c r="M244" s="465"/>
      <c r="N244" s="465"/>
      <c r="O244" s="465"/>
      <c r="P244" s="465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341" t="s">
        <v>43</v>
      </c>
      <c r="E245" s="342"/>
      <c r="F245" s="342"/>
      <c r="G245" s="179"/>
      <c r="H245" s="728"/>
      <c r="I245" s="269"/>
      <c r="J245" s="269"/>
      <c r="K245" s="465"/>
      <c r="L245" s="465"/>
      <c r="M245" s="465"/>
      <c r="N245" s="465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343" t="s">
        <v>118</v>
      </c>
      <c r="F246" s="342"/>
      <c r="G246" s="179"/>
      <c r="H246" s="728" t="s">
        <v>35</v>
      </c>
      <c r="I246" s="269"/>
      <c r="J246" s="214">
        <v>0</v>
      </c>
      <c r="K246" s="465">
        <f t="shared" ref="K246:K248" si="111">IF(I246&gt;0,J246*100/I246,0)</f>
        <v>0</v>
      </c>
      <c r="L246" s="465"/>
      <c r="M246" s="465"/>
      <c r="N246" s="465"/>
      <c r="O246" s="465"/>
      <c r="P246" s="465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343" t="s">
        <v>119</v>
      </c>
      <c r="F247" s="342"/>
      <c r="G247" s="179"/>
      <c r="H247" s="728" t="s">
        <v>69</v>
      </c>
      <c r="I247" s="269"/>
      <c r="J247" s="214">
        <v>0</v>
      </c>
      <c r="K247" s="465">
        <f t="shared" si="111"/>
        <v>0</v>
      </c>
      <c r="L247" s="465"/>
      <c r="M247" s="465"/>
      <c r="N247" s="465"/>
      <c r="O247" s="465"/>
      <c r="P247" s="465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5"/>
      <c r="B248" s="263"/>
      <c r="C248" s="339" t="s">
        <v>331</v>
      </c>
      <c r="D248" s="256"/>
      <c r="E248" s="256"/>
      <c r="F248" s="256"/>
      <c r="G248" s="258"/>
      <c r="H248" s="259" t="s">
        <v>35</v>
      </c>
      <c r="I248" s="271">
        <f t="shared" ref="I248:J248" ca="1" si="112">I255</f>
        <v>0</v>
      </c>
      <c r="J248" s="271">
        <f t="shared" si="112"/>
        <v>0</v>
      </c>
      <c r="K248" s="272">
        <f t="shared" ca="1" si="111"/>
        <v>0</v>
      </c>
      <c r="L248" s="261"/>
      <c r="M248" s="261"/>
      <c r="N248" s="261"/>
      <c r="O248" s="261"/>
      <c r="P248" s="261"/>
    </row>
    <row r="249" spans="1:26" ht="19.5" hidden="1">
      <c r="A249" s="147"/>
      <c r="B249" s="148"/>
      <c r="C249" s="149" t="s">
        <v>16</v>
      </c>
      <c r="D249" s="822" t="s">
        <v>17</v>
      </c>
      <c r="E249" s="148"/>
      <c r="F249" s="148"/>
      <c r="G249" s="151"/>
      <c r="H249" s="274" t="s">
        <v>12</v>
      </c>
      <c r="I249" s="387"/>
      <c r="J249" s="387"/>
      <c r="K249" s="279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3"/>
      <c r="B250" s="314"/>
      <c r="C250" s="315"/>
      <c r="D250" s="324" t="s">
        <v>97</v>
      </c>
      <c r="E250" s="315"/>
      <c r="F250" s="315"/>
      <c r="G250" s="317"/>
      <c r="H250" s="318" t="s">
        <v>12</v>
      </c>
      <c r="I250" s="319"/>
      <c r="J250" s="319"/>
      <c r="K250" s="320"/>
      <c r="L250" s="321">
        <f ca="1">IFERROR(__xludf.DUMMYFUNCTION("IMPORTRANGE(""https://docs.google.com/spreadsheets/d/1QqKyyYR6Q21VydFLVH3TRQUabQu_ym0Zz7PgGX0-kHA/edit?usp=sharing"",""แผน!AZ23"")"),0)</f>
        <v>0</v>
      </c>
      <c r="M250" s="321"/>
      <c r="N250" s="340">
        <v>0</v>
      </c>
      <c r="O250" s="321"/>
      <c r="P250" s="321"/>
      <c r="Q250" s="312"/>
      <c r="R250" s="312"/>
      <c r="S250" s="312"/>
      <c r="T250" s="312"/>
      <c r="U250" s="312"/>
      <c r="V250" s="312"/>
      <c r="W250" s="312"/>
      <c r="X250" s="312"/>
      <c r="Y250" s="312"/>
      <c r="Z250" s="312"/>
    </row>
    <row r="251" spans="1:26" ht="19.5" hidden="1">
      <c r="A251" s="322"/>
      <c r="B251" s="314"/>
      <c r="C251" s="323"/>
      <c r="D251" s="324" t="s">
        <v>98</v>
      </c>
      <c r="E251" s="315"/>
      <c r="F251" s="315"/>
      <c r="G251" s="317"/>
      <c r="H251" s="318" t="s">
        <v>12</v>
      </c>
      <c r="I251" s="325"/>
      <c r="J251" s="325"/>
      <c r="K251" s="321"/>
      <c r="L251" s="321">
        <f ca="1">IFERROR(__xludf.DUMMYFUNCTION("IMPORTRANGE(""https://docs.google.com/spreadsheets/d/1QqKyyYR6Q21VydFLVH3TRQUabQu_ym0Zz7PgGX0-kHA/edit?usp=sharing"",""แผน!BA23"")"),0)</f>
        <v>0</v>
      </c>
      <c r="M251" s="321"/>
      <c r="N251" s="340">
        <v>0</v>
      </c>
      <c r="O251" s="321"/>
      <c r="P251" s="321"/>
      <c r="Q251" s="326"/>
      <c r="R251" s="326"/>
      <c r="S251" s="326"/>
      <c r="T251" s="326"/>
      <c r="U251" s="326"/>
      <c r="V251" s="326"/>
      <c r="W251" s="326"/>
      <c r="X251" s="326"/>
      <c r="Y251" s="326"/>
      <c r="Z251" s="326"/>
    </row>
    <row r="252" spans="1:26" ht="19.5" hidden="1">
      <c r="A252" s="322"/>
      <c r="B252" s="314"/>
      <c r="C252" s="323"/>
      <c r="D252" s="324" t="s">
        <v>116</v>
      </c>
      <c r="E252" s="315"/>
      <c r="F252" s="315"/>
      <c r="G252" s="317"/>
      <c r="H252" s="318" t="s">
        <v>12</v>
      </c>
      <c r="I252" s="325"/>
      <c r="J252" s="325"/>
      <c r="K252" s="321"/>
      <c r="L252" s="321">
        <f ca="1">IFERROR(__xludf.DUMMYFUNCTION("IMPORTRANGE(""https://docs.google.com/spreadsheets/d/1QqKyyYR6Q21VydFLVH3TRQUabQu_ym0Zz7PgGX0-kHA/edit?usp=sharing"",""แผน!BB23"")"),0)</f>
        <v>0</v>
      </c>
      <c r="M252" s="321"/>
      <c r="N252" s="340">
        <v>0</v>
      </c>
      <c r="O252" s="321"/>
      <c r="P252" s="321"/>
      <c r="Q252" s="326"/>
      <c r="R252" s="326"/>
      <c r="S252" s="326"/>
      <c r="T252" s="326"/>
      <c r="U252" s="326"/>
      <c r="V252" s="326"/>
      <c r="W252" s="326"/>
      <c r="X252" s="326"/>
      <c r="Y252" s="326"/>
      <c r="Z252" s="326"/>
    </row>
    <row r="253" spans="1:26" ht="19.5" hidden="1">
      <c r="A253" s="322"/>
      <c r="B253" s="314"/>
      <c r="C253" s="323"/>
      <c r="D253" s="324" t="s">
        <v>100</v>
      </c>
      <c r="E253" s="315"/>
      <c r="F253" s="315"/>
      <c r="G253" s="317"/>
      <c r="H253" s="318" t="s">
        <v>12</v>
      </c>
      <c r="I253" s="325"/>
      <c r="J253" s="325"/>
      <c r="K253" s="321"/>
      <c r="L253" s="321">
        <f ca="1">IFERROR(__xludf.DUMMYFUNCTION("IMPORTRANGE(""https://docs.google.com/spreadsheets/d/1QqKyyYR6Q21VydFLVH3TRQUabQu_ym0Zz7PgGX0-kHA/edit?usp=sharing"",""แผน!BC23"")"),0)</f>
        <v>0</v>
      </c>
      <c r="M253" s="321"/>
      <c r="N253" s="340">
        <v>0</v>
      </c>
      <c r="O253" s="321"/>
      <c r="P253" s="321"/>
      <c r="Q253" s="326"/>
      <c r="R253" s="326"/>
      <c r="S253" s="326"/>
      <c r="T253" s="326"/>
      <c r="U253" s="326"/>
      <c r="V253" s="326"/>
      <c r="W253" s="326"/>
      <c r="X253" s="326"/>
      <c r="Y253" s="326"/>
      <c r="Z253" s="326"/>
    </row>
    <row r="254" spans="1:26" ht="19.5" hidden="1">
      <c r="A254" s="170"/>
      <c r="B254" s="171"/>
      <c r="C254" s="291" t="s">
        <v>16</v>
      </c>
      <c r="D254" s="818" t="s">
        <v>38</v>
      </c>
      <c r="E254" s="173"/>
      <c r="F254" s="173"/>
      <c r="G254" s="174"/>
      <c r="H254" s="726"/>
      <c r="I254" s="184"/>
      <c r="J254" s="269"/>
      <c r="K254" s="465"/>
      <c r="L254" s="465"/>
      <c r="M254" s="465"/>
      <c r="N254" s="465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15" t="s">
        <v>117</v>
      </c>
      <c r="E255" s="342"/>
      <c r="F255" s="342"/>
      <c r="G255" s="179"/>
      <c r="H255" s="728" t="s">
        <v>35</v>
      </c>
      <c r="I255" s="269">
        <f ca="1">IFERROR(__xludf.DUMMYFUNCTION("IMPORTRANGE(""https://docs.google.com/spreadsheets/d/1QqKyyYR6Q21VydFLVH3TRQUabQu_ym0Zz7PgGX0-kHA/edit?usp=sharing"",""แผน!BF23"")"),0)</f>
        <v>0</v>
      </c>
      <c r="J255" s="214">
        <v>0</v>
      </c>
      <c r="K255" s="465">
        <f ca="1">IF(I255&gt;0,J255*100/I255,0)</f>
        <v>0</v>
      </c>
      <c r="L255" s="465"/>
      <c r="M255" s="465"/>
      <c r="N255" s="465"/>
      <c r="O255" s="465"/>
      <c r="P255" s="465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341" t="s">
        <v>43</v>
      </c>
      <c r="E256" s="342"/>
      <c r="F256" s="342"/>
      <c r="G256" s="179"/>
      <c r="H256" s="728"/>
      <c r="I256" s="269"/>
      <c r="J256" s="269"/>
      <c r="K256" s="465"/>
      <c r="L256" s="465"/>
      <c r="M256" s="465"/>
      <c r="N256" s="465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343" t="s">
        <v>118</v>
      </c>
      <c r="F257" s="342"/>
      <c r="G257" s="179"/>
      <c r="H257" s="728" t="s">
        <v>35</v>
      </c>
      <c r="I257" s="269"/>
      <c r="J257" s="214">
        <v>0</v>
      </c>
      <c r="K257" s="465">
        <f t="shared" ref="K257:K258" si="113">IF(I257&gt;0,J257*100/I257,0)</f>
        <v>0</v>
      </c>
      <c r="L257" s="465"/>
      <c r="M257" s="465"/>
      <c r="N257" s="465"/>
      <c r="O257" s="465"/>
      <c r="P257" s="465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343" t="s">
        <v>119</v>
      </c>
      <c r="F258" s="342"/>
      <c r="G258" s="179"/>
      <c r="H258" s="728" t="s">
        <v>69</v>
      </c>
      <c r="I258" s="269"/>
      <c r="J258" s="214">
        <v>0</v>
      </c>
      <c r="K258" s="465">
        <f t="shared" si="113"/>
        <v>0</v>
      </c>
      <c r="L258" s="465"/>
      <c r="M258" s="465"/>
      <c r="N258" s="465"/>
      <c r="O258" s="465"/>
      <c r="P258" s="465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1" t="s">
        <v>122</v>
      </c>
      <c r="B259" s="242"/>
      <c r="C259" s="242"/>
      <c r="D259" s="243"/>
      <c r="E259" s="243"/>
      <c r="F259" s="243"/>
      <c r="G259" s="244"/>
      <c r="H259" s="245"/>
      <c r="I259" s="246"/>
      <c r="J259" s="246"/>
      <c r="K259" s="247"/>
      <c r="L259" s="247"/>
      <c r="M259" s="247"/>
      <c r="N259" s="247"/>
      <c r="O259" s="247"/>
      <c r="P259" s="247"/>
    </row>
    <row r="260" spans="1:26" ht="19.5">
      <c r="A260" s="248"/>
      <c r="B260" s="249" t="s">
        <v>123</v>
      </c>
      <c r="C260" s="250"/>
      <c r="D260" s="173"/>
      <c r="E260" s="173"/>
      <c r="F260" s="173"/>
      <c r="G260" s="174"/>
      <c r="H260" s="251" t="s">
        <v>35</v>
      </c>
      <c r="I260" s="252">
        <f t="shared" ref="I260:J260" ca="1" si="114">I271</f>
        <v>22</v>
      </c>
      <c r="J260" s="252">
        <f t="shared" si="114"/>
        <v>0</v>
      </c>
      <c r="K260" s="253">
        <f ca="1">IF(I260&gt;0,J260*100/I260,0)</f>
        <v>0</v>
      </c>
      <c r="L260" s="254"/>
      <c r="M260" s="254"/>
      <c r="N260" s="254"/>
      <c r="O260" s="254"/>
      <c r="P260" s="254"/>
    </row>
    <row r="261" spans="1:26" ht="19.5">
      <c r="A261" s="147"/>
      <c r="B261" s="148"/>
      <c r="C261" s="149" t="s">
        <v>16</v>
      </c>
      <c r="D261" s="817" t="s">
        <v>17</v>
      </c>
      <c r="E261" s="148"/>
      <c r="F261" s="148"/>
      <c r="G261" s="151"/>
      <c r="H261" s="152" t="s">
        <v>12</v>
      </c>
      <c r="I261" s="388"/>
      <c r="J261" s="388"/>
      <c r="K261" s="154"/>
      <c r="L261" s="155">
        <f t="shared" ref="L261:N261" ca="1" si="115">L262+L263</f>
        <v>26900</v>
      </c>
      <c r="M261" s="155">
        <f t="shared" ca="1" si="115"/>
        <v>23900</v>
      </c>
      <c r="N261" s="155">
        <f t="shared" ca="1" si="115"/>
        <v>2620</v>
      </c>
      <c r="O261" s="155">
        <f t="shared" ref="O261:O269" ca="1" si="116">IF(L261&gt;0,N261*100/L261,0)</f>
        <v>9.7397769516728623</v>
      </c>
      <c r="P261" s="155">
        <f t="shared" ref="P261:P269" ca="1" si="117">IF(M261&gt;0,N261*100/M261,0)</f>
        <v>10.96234309623431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2" t="s">
        <v>18</v>
      </c>
      <c r="F262" s="40"/>
      <c r="G262" s="157"/>
      <c r="H262" s="158" t="s">
        <v>12</v>
      </c>
      <c r="I262" s="583"/>
      <c r="J262" s="583"/>
      <c r="K262" s="93"/>
      <c r="L262" s="93">
        <f t="shared" ref="L262:N263" si="118">L265+L268</f>
        <v>0</v>
      </c>
      <c r="M262" s="93">
        <f t="shared" si="118"/>
        <v>0</v>
      </c>
      <c r="N262" s="93">
        <f t="shared" si="118"/>
        <v>0</v>
      </c>
      <c r="O262" s="93">
        <f t="shared" si="116"/>
        <v>0</v>
      </c>
      <c r="P262" s="93">
        <f t="shared" si="117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2" t="s">
        <v>19</v>
      </c>
      <c r="F263" s="40"/>
      <c r="G263" s="157"/>
      <c r="H263" s="158" t="s">
        <v>12</v>
      </c>
      <c r="I263" s="583"/>
      <c r="J263" s="583"/>
      <c r="K263" s="93"/>
      <c r="L263" s="93">
        <f t="shared" ca="1" si="118"/>
        <v>26900</v>
      </c>
      <c r="M263" s="93">
        <f t="shared" ca="1" si="118"/>
        <v>23900</v>
      </c>
      <c r="N263" s="93">
        <f t="shared" ca="1" si="118"/>
        <v>2620</v>
      </c>
      <c r="O263" s="93">
        <f t="shared" ca="1" si="116"/>
        <v>9.7397769516728623</v>
      </c>
      <c r="P263" s="93">
        <f t="shared" ca="1" si="117"/>
        <v>10.96234309623431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1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65">
        <f t="shared" ref="L264:N264" ca="1" si="119">L265+L266</f>
        <v>26900</v>
      </c>
      <c r="M264" s="465">
        <f t="shared" ca="1" si="119"/>
        <v>23900</v>
      </c>
      <c r="N264" s="465">
        <f t="shared" ca="1" si="119"/>
        <v>2620</v>
      </c>
      <c r="O264" s="465">
        <f t="shared" ca="1" si="116"/>
        <v>9.7397769516728623</v>
      </c>
      <c r="P264" s="465">
        <f t="shared" ca="1" si="117"/>
        <v>10.96234309623431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2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6"/>
        <v>0</v>
      </c>
      <c r="P265" s="93">
        <f t="shared" si="117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2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IFERROR(__xludf.DUMMYFUNCTION("IMPORTRANGE(""https://docs.google.com/spreadsheets/d/1MeEWN-I1oV_STSDYn1IFDPWt_1FKiwhDph83XaGc0o0/edit?usp=sharing"",""งบพรบ!CY23"")"),26900)</f>
        <v>26900</v>
      </c>
      <c r="M266" s="93">
        <f ca="1">IFERROR(__xludf.DUMMYFUNCTION("IMPORTRANGE(""https://docs.google.com/spreadsheets/d/1MeEWN-I1oV_STSDYn1IFDPWt_1FKiwhDph83XaGc0o0/edit?usp=sharing"",""งบพรบ!DD23"")"),23900)</f>
        <v>23900</v>
      </c>
      <c r="N266" s="93">
        <f ca="1">IFERROR(__xludf.DUMMYFUNCTION("IMPORTRANGE(""https://docs.google.com/spreadsheets/d/1MeEWN-I1oV_STSDYn1IFDPWt_1FKiwhDph83XaGc0o0/edit?usp=sharing"",""งบพรบ!DF23"")"),2620)</f>
        <v>2620</v>
      </c>
      <c r="O266" s="93">
        <f t="shared" ca="1" si="116"/>
        <v>9.7397769516728623</v>
      </c>
      <c r="P266" s="93">
        <f t="shared" ca="1" si="117"/>
        <v>10.96234309623431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1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65">
        <f t="shared" ref="L267:N267" ca="1" si="120">L268+L269</f>
        <v>0</v>
      </c>
      <c r="M267" s="465">
        <f t="shared" ca="1" si="120"/>
        <v>0</v>
      </c>
      <c r="N267" s="465">
        <f t="shared" ca="1" si="120"/>
        <v>0</v>
      </c>
      <c r="O267" s="465">
        <f t="shared" ca="1" si="116"/>
        <v>0</v>
      </c>
      <c r="P267" s="465">
        <f t="shared" ca="1" si="117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2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6"/>
        <v>0</v>
      </c>
      <c r="P268" s="93">
        <f t="shared" si="117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2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IFERROR(__xludf.DUMMYFUNCTION("IMPORTRANGE(""https://docs.google.com/spreadsheets/d/1MeEWN-I1oV_STSDYn1IFDPWt_1FKiwhDph83XaGc0o0/edit?usp=sharing"",""งบพรบ!DB23"")"),0)</f>
        <v>0</v>
      </c>
      <c r="M269" s="93">
        <f ca="1">IFERROR(__xludf.DUMMYFUNCTION("IMPORTRANGE(""https://docs.google.com/spreadsheets/d/1MeEWN-I1oV_STSDYn1IFDPWt_1FKiwhDph83XaGc0o0/edit?usp=sharing"",""งบพรบ!DE23"")"),0)</f>
        <v>0</v>
      </c>
      <c r="N269" s="93">
        <f ca="1">IFERROR(__xludf.DUMMYFUNCTION("IMPORTRANGE(""https://docs.google.com/spreadsheets/d/1MeEWN-I1oV_STSDYn1IFDPWt_1FKiwhDph83XaGc0o0/edit?usp=sharing"",""งบพรบ!DG23"")"),0)</f>
        <v>0</v>
      </c>
      <c r="O269" s="93">
        <f t="shared" ca="1" si="116"/>
        <v>0</v>
      </c>
      <c r="P269" s="93">
        <f t="shared" ca="1" si="117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1" t="s">
        <v>16</v>
      </c>
      <c r="D270" s="818" t="s">
        <v>38</v>
      </c>
      <c r="E270" s="173"/>
      <c r="F270" s="173"/>
      <c r="G270" s="174"/>
      <c r="H270" s="726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44" t="s">
        <v>124</v>
      </c>
      <c r="E271" s="342"/>
      <c r="F271" s="268"/>
      <c r="G271" s="179"/>
      <c r="H271" s="345" t="s">
        <v>35</v>
      </c>
      <c r="I271" s="269">
        <f ca="1">IFERROR(__xludf.DUMMYFUNCTION("IMPORTRANGE(""https://docs.google.com/spreadsheets/d/1QqKyyYR6Q21VydFLVH3TRQUabQu_ym0Zz7PgGX0-kHA/edit?usp=sharing"",""แผน!EA23"")"),22)</f>
        <v>22</v>
      </c>
      <c r="J271" s="214">
        <v>0</v>
      </c>
      <c r="K271" s="163">
        <f ca="1">IF(I271&gt;0,J271*100/I271,0)</f>
        <v>0</v>
      </c>
      <c r="L271" s="163"/>
      <c r="M271" s="163"/>
      <c r="N271" s="163"/>
      <c r="O271" s="163"/>
      <c r="P271" s="163"/>
    </row>
    <row r="272" spans="1:26" ht="18.75" hidden="1">
      <c r="A272" s="346"/>
      <c r="B272" s="347"/>
      <c r="C272" s="347"/>
      <c r="D272" s="348" t="s">
        <v>125</v>
      </c>
      <c r="E272" s="349"/>
      <c r="F272" s="349"/>
      <c r="G272" s="350"/>
      <c r="H272" s="50" t="s">
        <v>35</v>
      </c>
      <c r="I272" s="468">
        <v>0</v>
      </c>
      <c r="J272" s="468">
        <v>0</v>
      </c>
      <c r="K272" s="353">
        <v>0</v>
      </c>
      <c r="L272" s="353"/>
      <c r="M272" s="353"/>
      <c r="N272" s="353"/>
      <c r="O272" s="353"/>
      <c r="P272" s="353"/>
    </row>
    <row r="273" spans="1:26" ht="19.5">
      <c r="A273" s="354" t="s">
        <v>126</v>
      </c>
      <c r="B273" s="355"/>
      <c r="C273" s="355"/>
      <c r="D273" s="355"/>
      <c r="E273" s="356"/>
      <c r="F273" s="356"/>
      <c r="G273" s="357"/>
      <c r="H273" s="358"/>
      <c r="I273" s="359"/>
      <c r="J273" s="359"/>
      <c r="K273" s="360"/>
      <c r="L273" s="360"/>
      <c r="M273" s="360"/>
      <c r="N273" s="360"/>
      <c r="O273" s="360"/>
      <c r="P273" s="360"/>
    </row>
    <row r="274" spans="1:26" ht="19.5">
      <c r="A274" s="361" t="s">
        <v>127</v>
      </c>
      <c r="B274" s="362"/>
      <c r="C274" s="363"/>
      <c r="D274" s="362"/>
      <c r="E274" s="362"/>
      <c r="F274" s="362"/>
      <c r="G274" s="362"/>
      <c r="H274" s="364"/>
      <c r="I274" s="365"/>
      <c r="J274" s="366"/>
      <c r="K274" s="367"/>
      <c r="L274" s="367"/>
      <c r="M274" s="367"/>
      <c r="N274" s="367"/>
      <c r="O274" s="367"/>
      <c r="P274" s="367"/>
    </row>
    <row r="275" spans="1:26" ht="19.5">
      <c r="A275" s="368"/>
      <c r="B275" s="377" t="s">
        <v>128</v>
      </c>
      <c r="C275" s="370"/>
      <c r="D275" s="371"/>
      <c r="E275" s="370"/>
      <c r="F275" s="370"/>
      <c r="G275" s="372"/>
      <c r="H275" s="373" t="s">
        <v>35</v>
      </c>
      <c r="I275" s="374">
        <f t="shared" ref="I275:J275" ca="1" si="121">I288</f>
        <v>80</v>
      </c>
      <c r="J275" s="374">
        <f t="shared" ca="1" si="121"/>
        <v>0</v>
      </c>
      <c r="K275" s="375">
        <f t="shared" ref="K275:K276" ca="1" si="122">IF(I275&gt;0,J275*100/I275,0)</f>
        <v>0</v>
      </c>
      <c r="L275" s="376"/>
      <c r="M275" s="376"/>
      <c r="N275" s="376"/>
      <c r="O275" s="376"/>
      <c r="P275" s="376"/>
    </row>
    <row r="276" spans="1:26" ht="19.5">
      <c r="A276" s="368"/>
      <c r="B276" s="377"/>
      <c r="C276" s="370"/>
      <c r="D276" s="371"/>
      <c r="E276" s="370"/>
      <c r="F276" s="370"/>
      <c r="G276" s="372"/>
      <c r="H276" s="373" t="s">
        <v>46</v>
      </c>
      <c r="I276" s="374">
        <f t="shared" ref="I276:J276" ca="1" si="123">I287</f>
        <v>800</v>
      </c>
      <c r="J276" s="374">
        <f t="shared" si="123"/>
        <v>800</v>
      </c>
      <c r="K276" s="375">
        <f t="shared" ca="1" si="122"/>
        <v>100</v>
      </c>
      <c r="L276" s="376"/>
      <c r="M276" s="376"/>
      <c r="N276" s="376"/>
      <c r="O276" s="376"/>
      <c r="P276" s="376"/>
    </row>
    <row r="277" spans="1:26" ht="19.5">
      <c r="A277" s="147"/>
      <c r="B277" s="148"/>
      <c r="C277" s="149" t="s">
        <v>16</v>
      </c>
      <c r="D277" s="817" t="s">
        <v>17</v>
      </c>
      <c r="E277" s="148"/>
      <c r="F277" s="148"/>
      <c r="G277" s="151"/>
      <c r="H277" s="152" t="s">
        <v>12</v>
      </c>
      <c r="I277" s="388"/>
      <c r="J277" s="388"/>
      <c r="K277" s="154"/>
      <c r="L277" s="155">
        <f t="shared" ref="L277:N277" ca="1" si="124">L278+L279</f>
        <v>286680</v>
      </c>
      <c r="M277" s="155">
        <f t="shared" ca="1" si="124"/>
        <v>120560</v>
      </c>
      <c r="N277" s="155">
        <f t="shared" ca="1" si="124"/>
        <v>114745</v>
      </c>
      <c r="O277" s="155">
        <f t="shared" ref="O277:O285" ca="1" si="125">IF(L277&gt;0,N277*100/L277,0)</f>
        <v>40.025463931910146</v>
      </c>
      <c r="P277" s="155">
        <f t="shared" ref="P277:P285" ca="1" si="126">IF(M277&gt;0,N277*100/M277,0)</f>
        <v>95.176675514266762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2" t="s">
        <v>18</v>
      </c>
      <c r="F278" s="40"/>
      <c r="G278" s="157"/>
      <c r="H278" s="158" t="s">
        <v>12</v>
      </c>
      <c r="I278" s="583"/>
      <c r="J278" s="583"/>
      <c r="K278" s="93"/>
      <c r="L278" s="93">
        <f t="shared" ref="L278:N279" si="127">L281+L284</f>
        <v>0</v>
      </c>
      <c r="M278" s="93">
        <f t="shared" si="127"/>
        <v>0</v>
      </c>
      <c r="N278" s="93">
        <f t="shared" si="127"/>
        <v>0</v>
      </c>
      <c r="O278" s="93">
        <f t="shared" si="125"/>
        <v>0</v>
      </c>
      <c r="P278" s="93">
        <f t="shared" si="126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2" t="s">
        <v>19</v>
      </c>
      <c r="F279" s="40"/>
      <c r="G279" s="157"/>
      <c r="H279" s="158" t="s">
        <v>12</v>
      </c>
      <c r="I279" s="583"/>
      <c r="J279" s="583"/>
      <c r="K279" s="93"/>
      <c r="L279" s="93">
        <f t="shared" ca="1" si="127"/>
        <v>286680</v>
      </c>
      <c r="M279" s="93">
        <f t="shared" ca="1" si="127"/>
        <v>120560</v>
      </c>
      <c r="N279" s="93">
        <f t="shared" ca="1" si="127"/>
        <v>114745</v>
      </c>
      <c r="O279" s="93">
        <f t="shared" ca="1" si="125"/>
        <v>40.025463931910146</v>
      </c>
      <c r="P279" s="93">
        <f t="shared" ca="1" si="126"/>
        <v>95.176675514266762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>
      <c r="A280" s="159"/>
      <c r="B280" s="33"/>
      <c r="C280" s="281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65">
        <f t="shared" ref="L280:N280" ca="1" si="128">L281+L282</f>
        <v>286680</v>
      </c>
      <c r="M280" s="465">
        <f t="shared" ca="1" si="128"/>
        <v>120560</v>
      </c>
      <c r="N280" s="465">
        <f t="shared" ca="1" si="128"/>
        <v>114745</v>
      </c>
      <c r="O280" s="465">
        <f t="shared" ca="1" si="125"/>
        <v>40.025463931910146</v>
      </c>
      <c r="P280" s="465">
        <f t="shared" ca="1" si="126"/>
        <v>95.176675514266762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2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5"/>
        <v>0</v>
      </c>
      <c r="P281" s="93">
        <f t="shared" si="126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2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IFERROR(__xludf.DUMMYFUNCTION("IMPORTRANGE(""https://docs.google.com/spreadsheets/d/1MeEWN-I1oV_STSDYn1IFDPWt_1FKiwhDph83XaGc0o0/edit?usp=sharing"",""งบพรบ!DI23"")"),286680)</f>
        <v>286680</v>
      </c>
      <c r="M282" s="93">
        <f ca="1">IFERROR(__xludf.DUMMYFUNCTION("IMPORTRANGE(""https://docs.google.com/spreadsheets/d/1MeEWN-I1oV_STSDYn1IFDPWt_1FKiwhDph83XaGc0o0/edit?usp=sharing"",""งบพรบ!DN23"")"),120560)</f>
        <v>120560</v>
      </c>
      <c r="N282" s="93">
        <f ca="1">IFERROR(__xludf.DUMMYFUNCTION("IMPORTRANGE(""https://docs.google.com/spreadsheets/d/1MeEWN-I1oV_STSDYn1IFDPWt_1FKiwhDph83XaGc0o0/edit?usp=sharing"",""งบพรบ!DP23"")"),114745)</f>
        <v>114745</v>
      </c>
      <c r="O282" s="93">
        <f t="shared" ca="1" si="125"/>
        <v>40.025463931910146</v>
      </c>
      <c r="P282" s="93">
        <f t="shared" ca="1" si="126"/>
        <v>95.176675514266762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>
      <c r="A283" s="159"/>
      <c r="B283" s="33"/>
      <c r="C283" s="281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65">
        <f t="shared" ref="L283:N283" ca="1" si="129">L284+L285</f>
        <v>0</v>
      </c>
      <c r="M283" s="465">
        <f t="shared" ca="1" si="129"/>
        <v>0</v>
      </c>
      <c r="N283" s="465">
        <f t="shared" ca="1" si="129"/>
        <v>0</v>
      </c>
      <c r="O283" s="465">
        <f t="shared" ca="1" si="125"/>
        <v>0</v>
      </c>
      <c r="P283" s="465">
        <f t="shared" ca="1" si="126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2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5"/>
        <v>0</v>
      </c>
      <c r="P284" s="93">
        <f t="shared" si="126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2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IFERROR(__xludf.DUMMYFUNCTION("IMPORTRANGE(""https://docs.google.com/spreadsheets/d/1MeEWN-I1oV_STSDYn1IFDPWt_1FKiwhDph83XaGc0o0/edit?usp=sharing"",""งบพรบ!DL23"")"),0)</f>
        <v>0</v>
      </c>
      <c r="M285" s="93">
        <f ca="1">IFERROR(__xludf.DUMMYFUNCTION("IMPORTRANGE(""https://docs.google.com/spreadsheets/d/1MeEWN-I1oV_STSDYn1IFDPWt_1FKiwhDph83XaGc0o0/edit?usp=sharing"",""งบพรบ!DO23"")"),0)</f>
        <v>0</v>
      </c>
      <c r="N285" s="93">
        <f ca="1">IFERROR(__xludf.DUMMYFUNCTION("IMPORTRANGE(""https://docs.google.com/spreadsheets/d/1MeEWN-I1oV_STSDYn1IFDPWt_1FKiwhDph83XaGc0o0/edit?usp=sharing"",""งบพรบ!DQ23"")"),0)</f>
        <v>0</v>
      </c>
      <c r="O285" s="93">
        <f t="shared" ca="1" si="125"/>
        <v>0</v>
      </c>
      <c r="P285" s="93">
        <f t="shared" ca="1" si="126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>
      <c r="A286" s="170"/>
      <c r="B286" s="171"/>
      <c r="C286" s="164" t="s">
        <v>16</v>
      </c>
      <c r="D286" s="818" t="s">
        <v>38</v>
      </c>
      <c r="E286" s="173"/>
      <c r="F286" s="173"/>
      <c r="G286" s="174"/>
      <c r="H286" s="726"/>
      <c r="I286" s="184"/>
      <c r="J286" s="184"/>
      <c r="K286" s="163"/>
      <c r="L286" s="163"/>
      <c r="M286" s="163"/>
      <c r="N286" s="163"/>
      <c r="O286" s="163"/>
      <c r="P286" s="163"/>
    </row>
    <row r="287" spans="1:26" ht="18.75">
      <c r="A287" s="170"/>
      <c r="B287" s="171"/>
      <c r="C287" s="171"/>
      <c r="D287" s="592" t="s">
        <v>129</v>
      </c>
      <c r="E287" s="171"/>
      <c r="F287" s="342"/>
      <c r="G287" s="179"/>
      <c r="H287" s="185" t="s">
        <v>46</v>
      </c>
      <c r="I287" s="269">
        <f ca="1">IFERROR(__xludf.DUMMYFUNCTION("IMPORTRANGE(""https://docs.google.com/spreadsheets/d/1QqKyyYR6Q21VydFLVH3TRQUabQu_ym0Zz7PgGX0-kHA/edit?usp=sharing"",""แผน!EC23"")"),800)</f>
        <v>800</v>
      </c>
      <c r="J287" s="214">
        <v>800</v>
      </c>
      <c r="K287" s="163">
        <f t="shared" ref="K287:K288" ca="1" si="130">IF(I287&gt;0,J287*100/I287,0)</f>
        <v>100</v>
      </c>
      <c r="L287" s="163"/>
      <c r="M287" s="163"/>
      <c r="N287" s="163"/>
      <c r="O287" s="163"/>
      <c r="P287" s="163"/>
    </row>
    <row r="288" spans="1:26" ht="19.5">
      <c r="A288" s="170"/>
      <c r="B288" s="171"/>
      <c r="C288" s="171"/>
      <c r="D288" s="592" t="s">
        <v>130</v>
      </c>
      <c r="E288" s="171"/>
      <c r="F288" s="342"/>
      <c r="G288" s="179"/>
      <c r="H288" s="180" t="s">
        <v>35</v>
      </c>
      <c r="I288" s="647">
        <f ca="1">IFERROR(__xludf.DUMMYFUNCTION("IMPORTRANGE(""https://docs.google.com/spreadsheets/d/1QqKyyYR6Q21VydFLVH3TRQUabQu_ym0Zz7PgGX0-kHA/edit?usp=sharing"",""แผน!EB23"")"),80)</f>
        <v>80</v>
      </c>
      <c r="J288" s="647">
        <f ca="1">IF(AND(J291&gt;=I288,J294&gt;=I288),J294,0)</f>
        <v>0</v>
      </c>
      <c r="K288" s="379">
        <f t="shared" ca="1" si="130"/>
        <v>0</v>
      </c>
      <c r="L288" s="163"/>
      <c r="M288" s="163"/>
      <c r="N288" s="163"/>
      <c r="O288" s="163"/>
      <c r="P288" s="163"/>
    </row>
    <row r="289" spans="1:26" ht="19.5">
      <c r="A289" s="170"/>
      <c r="B289" s="171"/>
      <c r="C289" s="171"/>
      <c r="D289" s="380"/>
      <c r="E289" s="381" t="s">
        <v>131</v>
      </c>
      <c r="F289" s="342"/>
      <c r="G289" s="179"/>
      <c r="H289" s="728"/>
      <c r="I289" s="184"/>
      <c r="J289" s="269"/>
      <c r="K289" s="163"/>
      <c r="L289" s="163"/>
      <c r="M289" s="163"/>
      <c r="N289" s="163"/>
      <c r="O289" s="163"/>
      <c r="P289" s="163"/>
    </row>
    <row r="290" spans="1:26" ht="19.5">
      <c r="A290" s="170"/>
      <c r="B290" s="171"/>
      <c r="C290" s="171"/>
      <c r="D290" s="380"/>
      <c r="E290" s="592" t="s">
        <v>132</v>
      </c>
      <c r="F290" s="342"/>
      <c r="G290" s="179"/>
      <c r="H290" s="728" t="s">
        <v>35</v>
      </c>
      <c r="I290" s="184">
        <f ca="1">IFERROR(__xludf.DUMMYFUNCTION("IMPORTRANGE(""https://docs.google.com/spreadsheets/d/1QqKyyYR6Q21VydFLVH3TRQUabQu_ym0Zz7PgGX0-kHA/edit?usp=sharing"",""แผน!EB23"")"),80)</f>
        <v>80</v>
      </c>
      <c r="J290" s="214">
        <v>80</v>
      </c>
      <c r="K290" s="163">
        <f t="shared" ref="K290:K291" ca="1" si="131">IF(I290&gt;0,J290*100/I290,0)</f>
        <v>100</v>
      </c>
      <c r="L290" s="163"/>
      <c r="M290" s="163"/>
      <c r="N290" s="163"/>
      <c r="O290" s="163"/>
      <c r="P290" s="163"/>
    </row>
    <row r="291" spans="1:26" ht="19.5">
      <c r="A291" s="170"/>
      <c r="B291" s="171"/>
      <c r="C291" s="171"/>
      <c r="D291" s="342"/>
      <c r="E291" s="592" t="s">
        <v>133</v>
      </c>
      <c r="F291" s="342"/>
      <c r="G291" s="179"/>
      <c r="H291" s="728" t="s">
        <v>35</v>
      </c>
      <c r="I291" s="184">
        <f ca="1">IFERROR(__xludf.DUMMYFUNCTION("IMPORTRANGE(""https://docs.google.com/spreadsheets/d/1QqKyyYR6Q21VydFLVH3TRQUabQu_ym0Zz7PgGX0-kHA/edit?usp=sharing"",""แผน!EB23"")"),80)</f>
        <v>80</v>
      </c>
      <c r="J291" s="214">
        <v>80</v>
      </c>
      <c r="K291" s="163">
        <f t="shared" ca="1" si="131"/>
        <v>100</v>
      </c>
      <c r="L291" s="163"/>
      <c r="M291" s="163"/>
      <c r="N291" s="163"/>
      <c r="O291" s="163"/>
      <c r="P291" s="163"/>
    </row>
    <row r="292" spans="1:26" ht="19.5">
      <c r="A292" s="382"/>
      <c r="B292" s="383"/>
      <c r="C292" s="383"/>
      <c r="D292" s="384"/>
      <c r="E292" s="385" t="s">
        <v>134</v>
      </c>
      <c r="F292" s="286"/>
      <c r="G292" s="287"/>
      <c r="H292" s="386"/>
      <c r="I292" s="387"/>
      <c r="J292" s="388"/>
      <c r="K292" s="279"/>
      <c r="L292" s="279"/>
      <c r="M292" s="279"/>
      <c r="N292" s="279"/>
      <c r="O292" s="279"/>
      <c r="P292" s="279"/>
    </row>
    <row r="293" spans="1:26" ht="19.5">
      <c r="A293" s="170"/>
      <c r="B293" s="171"/>
      <c r="C293" s="171"/>
      <c r="D293" s="380"/>
      <c r="E293" s="592" t="s">
        <v>132</v>
      </c>
      <c r="F293" s="342"/>
      <c r="G293" s="179"/>
      <c r="H293" s="728" t="s">
        <v>35</v>
      </c>
      <c r="I293" s="184">
        <f ca="1">IFERROR(__xludf.DUMMYFUNCTION("IMPORTRANGE(""https://docs.google.com/spreadsheets/d/1QqKyyYR6Q21VydFLVH3TRQUabQu_ym0Zz7PgGX0-kHA/edit?usp=sharing"",""แผน!EB23"")"),80)</f>
        <v>80</v>
      </c>
      <c r="J293" s="214">
        <v>0</v>
      </c>
      <c r="K293" s="163">
        <f t="shared" ref="K293:K294" ca="1" si="132">IF(I293&gt;0,J293*100/I293,0)</f>
        <v>0</v>
      </c>
      <c r="L293" s="163"/>
      <c r="M293" s="163"/>
      <c r="N293" s="163"/>
      <c r="O293" s="163"/>
      <c r="P293" s="163"/>
    </row>
    <row r="294" spans="1:26" ht="19.5">
      <c r="A294" s="346"/>
      <c r="B294" s="347"/>
      <c r="C294" s="347"/>
      <c r="D294" s="349"/>
      <c r="E294" s="698" t="s">
        <v>136</v>
      </c>
      <c r="F294" s="349"/>
      <c r="G294" s="350"/>
      <c r="H294" s="390" t="s">
        <v>35</v>
      </c>
      <c r="I294" s="391">
        <f ca="1">IFERROR(__xludf.DUMMYFUNCTION("IMPORTRANGE(""https://docs.google.com/spreadsheets/d/1QqKyyYR6Q21VydFLVH3TRQUabQu_ym0Zz7PgGX0-kHA/edit?usp=sharing"",""แผน!EB23"")"),80)</f>
        <v>80</v>
      </c>
      <c r="J294" s="392">
        <v>0</v>
      </c>
      <c r="K294" s="353">
        <f t="shared" ca="1" si="132"/>
        <v>0</v>
      </c>
      <c r="L294" s="353"/>
      <c r="M294" s="353"/>
      <c r="N294" s="353"/>
      <c r="O294" s="353"/>
      <c r="P294" s="353"/>
    </row>
    <row r="295" spans="1:26" ht="19.5">
      <c r="A295" s="393" t="s">
        <v>137</v>
      </c>
      <c r="B295" s="394"/>
      <c r="C295" s="394"/>
      <c r="D295" s="394"/>
      <c r="E295" s="395"/>
      <c r="F295" s="395"/>
      <c r="G295" s="396"/>
      <c r="H295" s="397"/>
      <c r="I295" s="398"/>
      <c r="J295" s="398"/>
      <c r="K295" s="399"/>
      <c r="L295" s="399"/>
      <c r="M295" s="399"/>
      <c r="N295" s="399"/>
      <c r="O295" s="399"/>
      <c r="P295" s="399"/>
    </row>
    <row r="296" spans="1:26" ht="19.5">
      <c r="A296" s="400" t="s">
        <v>138</v>
      </c>
      <c r="B296" s="401"/>
      <c r="C296" s="401"/>
      <c r="D296" s="402"/>
      <c r="E296" s="402"/>
      <c r="F296" s="402"/>
      <c r="G296" s="403"/>
      <c r="H296" s="404"/>
      <c r="I296" s="405"/>
      <c r="J296" s="405"/>
      <c r="K296" s="406"/>
      <c r="L296" s="406"/>
      <c r="M296" s="406"/>
      <c r="N296" s="406"/>
      <c r="O296" s="406"/>
      <c r="P296" s="406"/>
    </row>
    <row r="297" spans="1:26" ht="19.5">
      <c r="A297" s="407"/>
      <c r="B297" s="408" t="s">
        <v>139</v>
      </c>
      <c r="C297" s="409"/>
      <c r="D297" s="409"/>
      <c r="E297" s="409"/>
      <c r="F297" s="409"/>
      <c r="G297" s="410"/>
      <c r="H297" s="411" t="s">
        <v>35</v>
      </c>
      <c r="I297" s="412">
        <f t="shared" ref="I297:J297" ca="1" si="133">I309</f>
        <v>25</v>
      </c>
      <c r="J297" s="412">
        <f t="shared" si="133"/>
        <v>0</v>
      </c>
      <c r="K297" s="413">
        <f ca="1">IF(I297&gt;0,J297*100/I297,0)</f>
        <v>0</v>
      </c>
      <c r="L297" s="414"/>
      <c r="M297" s="414"/>
      <c r="N297" s="414"/>
      <c r="O297" s="414"/>
      <c r="P297" s="414"/>
    </row>
    <row r="298" spans="1:26" ht="19.5">
      <c r="A298" s="147"/>
      <c r="B298" s="148"/>
      <c r="C298" s="149" t="s">
        <v>16</v>
      </c>
      <c r="D298" s="817" t="s">
        <v>17</v>
      </c>
      <c r="E298" s="148"/>
      <c r="F298" s="148"/>
      <c r="G298" s="151"/>
      <c r="H298" s="152" t="s">
        <v>12</v>
      </c>
      <c r="I298" s="388"/>
      <c r="J298" s="388"/>
      <c r="K298" s="154"/>
      <c r="L298" s="155">
        <f t="shared" ref="L298:N298" ca="1" si="134">L299+L300</f>
        <v>101000</v>
      </c>
      <c r="M298" s="155">
        <f t="shared" ca="1" si="134"/>
        <v>60400</v>
      </c>
      <c r="N298" s="155">
        <f t="shared" ca="1" si="134"/>
        <v>0</v>
      </c>
      <c r="O298" s="155">
        <f t="shared" ref="O298:O306" ca="1" si="135">IF(L298&gt;0,N298*100/L298,0)</f>
        <v>0</v>
      </c>
      <c r="P298" s="155">
        <f t="shared" ref="P298:P306" ca="1" si="136">IF(M298&gt;0,N298*100/M298,0)</f>
        <v>0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2" t="s">
        <v>18</v>
      </c>
      <c r="F299" s="40"/>
      <c r="G299" s="157"/>
      <c r="H299" s="158" t="s">
        <v>12</v>
      </c>
      <c r="I299" s="583"/>
      <c r="J299" s="583"/>
      <c r="K299" s="93"/>
      <c r="L299" s="93">
        <f t="shared" ref="L299:N300" si="137">L302+L305</f>
        <v>0</v>
      </c>
      <c r="M299" s="93">
        <f t="shared" si="137"/>
        <v>0</v>
      </c>
      <c r="N299" s="93">
        <f t="shared" si="137"/>
        <v>0</v>
      </c>
      <c r="O299" s="93">
        <f t="shared" si="135"/>
        <v>0</v>
      </c>
      <c r="P299" s="93">
        <f t="shared" si="136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2" t="s">
        <v>19</v>
      </c>
      <c r="F300" s="40"/>
      <c r="G300" s="157"/>
      <c r="H300" s="158" t="s">
        <v>12</v>
      </c>
      <c r="I300" s="583"/>
      <c r="J300" s="583"/>
      <c r="K300" s="93"/>
      <c r="L300" s="93">
        <f t="shared" ca="1" si="137"/>
        <v>101000</v>
      </c>
      <c r="M300" s="93">
        <f t="shared" ca="1" si="137"/>
        <v>60400</v>
      </c>
      <c r="N300" s="93">
        <f t="shared" ca="1" si="137"/>
        <v>0</v>
      </c>
      <c r="O300" s="93">
        <f t="shared" ca="1" si="135"/>
        <v>0</v>
      </c>
      <c r="P300" s="93">
        <f t="shared" ca="1" si="136"/>
        <v>0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>
      <c r="A301" s="159"/>
      <c r="B301" s="33"/>
      <c r="C301" s="281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65">
        <f t="shared" ref="L301:N301" ca="1" si="138">L302+L303</f>
        <v>101000</v>
      </c>
      <c r="M301" s="465">
        <f t="shared" ca="1" si="138"/>
        <v>60400</v>
      </c>
      <c r="N301" s="465">
        <f t="shared" ca="1" si="138"/>
        <v>0</v>
      </c>
      <c r="O301" s="465">
        <f t="shared" ca="1" si="135"/>
        <v>0</v>
      </c>
      <c r="P301" s="465">
        <f t="shared" ca="1" si="136"/>
        <v>0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2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5"/>
        <v>0</v>
      </c>
      <c r="P302" s="93">
        <f t="shared" si="136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2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IFERROR(__xludf.DUMMYFUNCTION("IMPORTRANGE(""https://docs.google.com/spreadsheets/d/1MeEWN-I1oV_STSDYn1IFDPWt_1FKiwhDph83XaGc0o0/edit?usp=sharing"",""งบพรบ!DS23"")"),101000)</f>
        <v>101000</v>
      </c>
      <c r="M303" s="93">
        <f ca="1">IFERROR(__xludf.DUMMYFUNCTION("IMPORTRANGE(""https://docs.google.com/spreadsheets/d/1MeEWN-I1oV_STSDYn1IFDPWt_1FKiwhDph83XaGc0o0/edit?usp=sharing"",""งบพรบ!DX23"")"),60400)</f>
        <v>60400</v>
      </c>
      <c r="N303" s="93">
        <f ca="1">IFERROR(__xludf.DUMMYFUNCTION("IMPORTRANGE(""https://docs.google.com/spreadsheets/d/1MeEWN-I1oV_STSDYn1IFDPWt_1FKiwhDph83XaGc0o0/edit?usp=sharing"",""งบพรบ!DZ23"")"),0)</f>
        <v>0</v>
      </c>
      <c r="O303" s="93">
        <f t="shared" ca="1" si="135"/>
        <v>0</v>
      </c>
      <c r="P303" s="93">
        <f t="shared" ca="1" si="136"/>
        <v>0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>
      <c r="A304" s="159"/>
      <c r="B304" s="33"/>
      <c r="C304" s="281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65">
        <f t="shared" ref="L304:N304" ca="1" si="139">L305+L306</f>
        <v>0</v>
      </c>
      <c r="M304" s="465">
        <f t="shared" ca="1" si="139"/>
        <v>0</v>
      </c>
      <c r="N304" s="465">
        <f t="shared" ca="1" si="139"/>
        <v>0</v>
      </c>
      <c r="O304" s="465">
        <f t="shared" ca="1" si="135"/>
        <v>0</v>
      </c>
      <c r="P304" s="465">
        <f t="shared" ca="1" si="136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2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5"/>
        <v>0</v>
      </c>
      <c r="P305" s="93">
        <f t="shared" si="136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2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IFERROR(__xludf.DUMMYFUNCTION("IMPORTRANGE(""https://docs.google.com/spreadsheets/d/1MeEWN-I1oV_STSDYn1IFDPWt_1FKiwhDph83XaGc0o0/edit?usp=sharing"",""งบพรบ!DV23"")"),0)</f>
        <v>0</v>
      </c>
      <c r="M306" s="93">
        <f ca="1">IFERROR(__xludf.DUMMYFUNCTION("IMPORTRANGE(""https://docs.google.com/spreadsheets/d/1MeEWN-I1oV_STSDYn1IFDPWt_1FKiwhDph83XaGc0o0/edit?usp=sharing"",""งบพรบ!DY23"")"),0)</f>
        <v>0</v>
      </c>
      <c r="N306" s="93">
        <f ca="1">IFERROR(__xludf.DUMMYFUNCTION("IMPORTRANGE(""https://docs.google.com/spreadsheets/d/1MeEWN-I1oV_STSDYn1IFDPWt_1FKiwhDph83XaGc0o0/edit?usp=sharing"",""งบพรบ!EA23"")"),0)</f>
        <v>0</v>
      </c>
      <c r="O306" s="93">
        <f t="shared" ca="1" si="135"/>
        <v>0</v>
      </c>
      <c r="P306" s="93">
        <f t="shared" ca="1" si="136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>
      <c r="A307" s="170"/>
      <c r="B307" s="171"/>
      <c r="C307" s="164" t="s">
        <v>16</v>
      </c>
      <c r="D307" s="818" t="s">
        <v>38</v>
      </c>
      <c r="E307" s="173"/>
      <c r="F307" s="173"/>
      <c r="G307" s="174"/>
      <c r="H307" s="726"/>
      <c r="I307" s="269"/>
      <c r="J307" s="269"/>
      <c r="K307" s="465"/>
      <c r="L307" s="465"/>
      <c r="M307" s="465"/>
      <c r="N307" s="465"/>
      <c r="O307" s="465"/>
      <c r="P307" s="465"/>
    </row>
    <row r="308" spans="1:26" ht="18.75">
      <c r="A308" s="170"/>
      <c r="B308" s="171"/>
      <c r="C308" s="171"/>
      <c r="D308" s="415" t="s">
        <v>140</v>
      </c>
      <c r="E308" s="415"/>
      <c r="F308" s="415"/>
      <c r="G308" s="179"/>
      <c r="H308" s="728"/>
      <c r="I308" s="269"/>
      <c r="J308" s="214">
        <v>0</v>
      </c>
      <c r="K308" s="465"/>
      <c r="L308" s="465"/>
      <c r="M308" s="465"/>
      <c r="N308" s="465"/>
      <c r="O308" s="465"/>
      <c r="P308" s="465"/>
    </row>
    <row r="309" spans="1:26" ht="18.75">
      <c r="A309" s="170"/>
      <c r="B309" s="171"/>
      <c r="C309" s="171"/>
      <c r="D309" s="415" t="s">
        <v>141</v>
      </c>
      <c r="E309" s="415"/>
      <c r="F309" s="415"/>
      <c r="G309" s="179"/>
      <c r="H309" s="728" t="s">
        <v>35</v>
      </c>
      <c r="I309" s="269">
        <f ca="1">IFERROR(__xludf.DUMMYFUNCTION("IMPORTRANGE(""https://docs.google.com/spreadsheets/d/1QqKyyYR6Q21VydFLVH3TRQUabQu_ym0Zz7PgGX0-kHA/edit?usp=sharing"",""แผน!ED23"")"),25)</f>
        <v>25</v>
      </c>
      <c r="J309" s="214">
        <v>0</v>
      </c>
      <c r="K309" s="465">
        <f t="shared" ref="K309:K312" ca="1" si="140">IF(I309&gt;0,J309*100/I309,0)</f>
        <v>0</v>
      </c>
      <c r="L309" s="465"/>
      <c r="M309" s="465"/>
      <c r="N309" s="465"/>
      <c r="O309" s="465"/>
      <c r="P309" s="465"/>
    </row>
    <row r="310" spans="1:26" ht="18.75">
      <c r="A310" s="170"/>
      <c r="B310" s="171"/>
      <c r="C310" s="171"/>
      <c r="D310" s="415" t="s">
        <v>142</v>
      </c>
      <c r="E310" s="415"/>
      <c r="F310" s="415"/>
      <c r="G310" s="179"/>
      <c r="H310" s="728" t="s">
        <v>35</v>
      </c>
      <c r="I310" s="269">
        <f ca="1">IFERROR(__xludf.DUMMYFUNCTION("IMPORTRANGE(""https://docs.google.com/spreadsheets/d/1QqKyyYR6Q21VydFLVH3TRQUabQu_ym0Zz7PgGX0-kHA/edit?usp=sharing"",""แผน!ED23"")"),25)</f>
        <v>25</v>
      </c>
      <c r="J310" s="214">
        <v>0</v>
      </c>
      <c r="K310" s="465">
        <f t="shared" ca="1" si="140"/>
        <v>0</v>
      </c>
      <c r="L310" s="465"/>
      <c r="M310" s="465"/>
      <c r="N310" s="465"/>
      <c r="O310" s="465"/>
      <c r="P310" s="465"/>
    </row>
    <row r="311" spans="1:26" ht="18.75">
      <c r="A311" s="170"/>
      <c r="B311" s="171"/>
      <c r="C311" s="171"/>
      <c r="D311" s="415" t="s">
        <v>59</v>
      </c>
      <c r="E311" s="415"/>
      <c r="F311" s="415"/>
      <c r="G311" s="179"/>
      <c r="H311" s="728" t="s">
        <v>35</v>
      </c>
      <c r="I311" s="269">
        <f ca="1">IFERROR(__xludf.DUMMYFUNCTION("IMPORTRANGE(""https://docs.google.com/spreadsheets/d/1QqKyyYR6Q21VydFLVH3TRQUabQu_ym0Zz7PgGX0-kHA/edit?usp=sharing"",""แผน!ED23"")"),25)</f>
        <v>25</v>
      </c>
      <c r="J311" s="214">
        <v>0</v>
      </c>
      <c r="K311" s="465">
        <f t="shared" ca="1" si="140"/>
        <v>0</v>
      </c>
      <c r="L311" s="465"/>
      <c r="M311" s="465"/>
      <c r="N311" s="465"/>
      <c r="O311" s="465"/>
      <c r="P311" s="465"/>
    </row>
    <row r="312" spans="1:26" ht="18.75">
      <c r="A312" s="170"/>
      <c r="B312" s="171"/>
      <c r="C312" s="171"/>
      <c r="D312" s="415" t="s">
        <v>143</v>
      </c>
      <c r="E312" s="415"/>
      <c r="F312" s="415"/>
      <c r="G312" s="179"/>
      <c r="H312" s="728" t="s">
        <v>35</v>
      </c>
      <c r="I312" s="269">
        <f ca="1">IFERROR(__xludf.DUMMYFUNCTION("IMPORTRANGE(""https://docs.google.com/spreadsheets/d/1QqKyyYR6Q21VydFLVH3TRQUabQu_ym0Zz7PgGX0-kHA/edit?usp=sharing"",""แผน!EE23"")"),5)</f>
        <v>5</v>
      </c>
      <c r="J312" s="214">
        <v>0</v>
      </c>
      <c r="K312" s="465">
        <f t="shared" ca="1" si="140"/>
        <v>0</v>
      </c>
      <c r="L312" s="465"/>
      <c r="M312" s="465"/>
      <c r="N312" s="465"/>
      <c r="O312" s="465"/>
      <c r="P312" s="465"/>
    </row>
    <row r="313" spans="1:26" ht="19.5" hidden="1">
      <c r="A313" s="400" t="s">
        <v>144</v>
      </c>
      <c r="B313" s="401"/>
      <c r="C313" s="401"/>
      <c r="D313" s="402"/>
      <c r="E313" s="401"/>
      <c r="F313" s="401"/>
      <c r="G313" s="401"/>
      <c r="H313" s="417"/>
      <c r="I313" s="405"/>
      <c r="J313" s="405"/>
      <c r="K313" s="406"/>
      <c r="L313" s="406"/>
      <c r="M313" s="406"/>
      <c r="N313" s="406"/>
      <c r="O313" s="406"/>
      <c r="P313" s="406"/>
    </row>
    <row r="314" spans="1:26" ht="19.5" hidden="1">
      <c r="A314" s="418"/>
      <c r="B314" s="408" t="s">
        <v>145</v>
      </c>
      <c r="C314" s="419"/>
      <c r="D314" s="420"/>
      <c r="E314" s="409"/>
      <c r="F314" s="409"/>
      <c r="G314" s="410"/>
      <c r="H314" s="411" t="s">
        <v>146</v>
      </c>
      <c r="I314" s="412">
        <f t="shared" ref="I314:J314" ca="1" si="141">I325</f>
        <v>0</v>
      </c>
      <c r="J314" s="412">
        <f t="shared" si="141"/>
        <v>0</v>
      </c>
      <c r="K314" s="413">
        <f ca="1">IF(I314&gt;0,J314*100/I314,0)</f>
        <v>0</v>
      </c>
      <c r="L314" s="414"/>
      <c r="M314" s="414"/>
      <c r="N314" s="414"/>
      <c r="O314" s="414"/>
      <c r="P314" s="414"/>
    </row>
    <row r="315" spans="1:26" ht="19.5" hidden="1">
      <c r="A315" s="147"/>
      <c r="B315" s="148"/>
      <c r="C315" s="149" t="s">
        <v>16</v>
      </c>
      <c r="D315" s="817" t="s">
        <v>17</v>
      </c>
      <c r="E315" s="148"/>
      <c r="F315" s="148"/>
      <c r="G315" s="151"/>
      <c r="H315" s="152" t="s">
        <v>12</v>
      </c>
      <c r="I315" s="388"/>
      <c r="J315" s="388"/>
      <c r="K315" s="154"/>
      <c r="L315" s="155">
        <f t="shared" ref="L315:N315" ca="1" si="142">L316+L317</f>
        <v>0</v>
      </c>
      <c r="M315" s="155">
        <f t="shared" ca="1" si="142"/>
        <v>0</v>
      </c>
      <c r="N315" s="155">
        <f t="shared" ca="1" si="142"/>
        <v>0</v>
      </c>
      <c r="O315" s="155">
        <f t="shared" ref="O315:O323" ca="1" si="143">IF(L315&gt;0,N315*100/L315,0)</f>
        <v>0</v>
      </c>
      <c r="P315" s="155">
        <f t="shared" ref="P315:P323" ca="1" si="144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2" t="s">
        <v>18</v>
      </c>
      <c r="F316" s="40"/>
      <c r="G316" s="157"/>
      <c r="H316" s="158" t="s">
        <v>12</v>
      </c>
      <c r="I316" s="583"/>
      <c r="J316" s="583"/>
      <c r="K316" s="93"/>
      <c r="L316" s="93">
        <f t="shared" ref="L316:N317" si="145">L319+L322</f>
        <v>0</v>
      </c>
      <c r="M316" s="93">
        <f t="shared" si="145"/>
        <v>0</v>
      </c>
      <c r="N316" s="93">
        <f t="shared" si="145"/>
        <v>0</v>
      </c>
      <c r="O316" s="93">
        <f t="shared" si="143"/>
        <v>0</v>
      </c>
      <c r="P316" s="93">
        <f t="shared" si="144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2" t="s">
        <v>19</v>
      </c>
      <c r="F317" s="40"/>
      <c r="G317" s="157"/>
      <c r="H317" s="158" t="s">
        <v>12</v>
      </c>
      <c r="I317" s="583"/>
      <c r="J317" s="583"/>
      <c r="K317" s="93"/>
      <c r="L317" s="93">
        <f t="shared" ca="1" si="145"/>
        <v>0</v>
      </c>
      <c r="M317" s="93">
        <f t="shared" ca="1" si="145"/>
        <v>0</v>
      </c>
      <c r="N317" s="93">
        <f t="shared" ca="1" si="145"/>
        <v>0</v>
      </c>
      <c r="O317" s="93">
        <f t="shared" ca="1" si="143"/>
        <v>0</v>
      </c>
      <c r="P317" s="93">
        <f t="shared" ca="1" si="144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1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65">
        <f t="shared" ref="L318:N318" ca="1" si="146">L319+L320</f>
        <v>0</v>
      </c>
      <c r="M318" s="465">
        <f t="shared" ca="1" si="146"/>
        <v>0</v>
      </c>
      <c r="N318" s="465">
        <f t="shared" ca="1" si="146"/>
        <v>0</v>
      </c>
      <c r="O318" s="465">
        <f t="shared" ca="1" si="143"/>
        <v>0</v>
      </c>
      <c r="P318" s="465">
        <f t="shared" ca="1" si="144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2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3"/>
        <v>0</v>
      </c>
      <c r="P319" s="93">
        <f t="shared" si="144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2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IFERROR(__xludf.DUMMYFUNCTION("IMPORTRANGE(""https://docs.google.com/spreadsheets/d/1MeEWN-I1oV_STSDYn1IFDPWt_1FKiwhDph83XaGc0o0/edit?usp=sharing"",""งบพรบ!EC23"")"),0)</f>
        <v>0</v>
      </c>
      <c r="M320" s="93">
        <f ca="1">IFERROR(__xludf.DUMMYFUNCTION("IMPORTRANGE(""https://docs.google.com/spreadsheets/d/1MeEWN-I1oV_STSDYn1IFDPWt_1FKiwhDph83XaGc0o0/edit?usp=sharing"",""งบพรบ!EH23"")"),0)</f>
        <v>0</v>
      </c>
      <c r="N320" s="93">
        <f ca="1">IFERROR(__xludf.DUMMYFUNCTION("IMPORTRANGE(""https://docs.google.com/spreadsheets/d/1MeEWN-I1oV_STSDYn1IFDPWt_1FKiwhDph83XaGc0o0/edit?usp=sharing"",""งบพรบ!EJ23"")"),0)</f>
        <v>0</v>
      </c>
      <c r="O320" s="93">
        <f t="shared" ca="1" si="143"/>
        <v>0</v>
      </c>
      <c r="P320" s="93">
        <f t="shared" ca="1" si="144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1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65">
        <f t="shared" ref="L321:N321" ca="1" si="147">L322+L323</f>
        <v>0</v>
      </c>
      <c r="M321" s="465">
        <f t="shared" ca="1" si="147"/>
        <v>0</v>
      </c>
      <c r="N321" s="465">
        <f t="shared" ca="1" si="147"/>
        <v>0</v>
      </c>
      <c r="O321" s="465">
        <f t="shared" ca="1" si="143"/>
        <v>0</v>
      </c>
      <c r="P321" s="465">
        <f t="shared" ca="1" si="144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2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3"/>
        <v>0</v>
      </c>
      <c r="P322" s="93">
        <f t="shared" si="144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2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IFERROR(__xludf.DUMMYFUNCTION("IMPORTRANGE(""https://docs.google.com/spreadsheets/d/1MeEWN-I1oV_STSDYn1IFDPWt_1FKiwhDph83XaGc0o0/edit?usp=sharing"",""งบพรบ!EF23"")"),0)</f>
        <v>0</v>
      </c>
      <c r="M323" s="93">
        <f ca="1">IFERROR(__xludf.DUMMYFUNCTION("IMPORTRANGE(""https://docs.google.com/spreadsheets/d/1MeEWN-I1oV_STSDYn1IFDPWt_1FKiwhDph83XaGc0o0/edit?usp=sharing"",""งบพรบ!EI23"")"),0)</f>
        <v>0</v>
      </c>
      <c r="N323" s="93">
        <f ca="1">IFERROR(__xludf.DUMMYFUNCTION("IMPORTRANGE(""https://docs.google.com/spreadsheets/d/1MeEWN-I1oV_STSDYn1IFDPWt_1FKiwhDph83XaGc0o0/edit?usp=sharing"",""งบพรบ!EK23"")"),0)</f>
        <v>0</v>
      </c>
      <c r="O323" s="93">
        <f t="shared" ca="1" si="143"/>
        <v>0</v>
      </c>
      <c r="P323" s="93">
        <f t="shared" ca="1" si="144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18" t="s">
        <v>38</v>
      </c>
      <c r="E324" s="173"/>
      <c r="F324" s="173"/>
      <c r="G324" s="174"/>
      <c r="H324" s="726"/>
      <c r="I324" s="184"/>
      <c r="J324" s="269"/>
      <c r="K324" s="465"/>
      <c r="L324" s="465"/>
      <c r="M324" s="465"/>
      <c r="N324" s="465"/>
      <c r="O324" s="163"/>
      <c r="P324" s="163"/>
    </row>
    <row r="325" spans="1:26" ht="18.75" hidden="1">
      <c r="A325" s="170"/>
      <c r="B325" s="171"/>
      <c r="C325" s="171"/>
      <c r="D325" s="343" t="s">
        <v>147</v>
      </c>
      <c r="E325" s="342"/>
      <c r="F325" s="415"/>
      <c r="G325" s="179"/>
      <c r="H325" s="589" t="s">
        <v>146</v>
      </c>
      <c r="I325" s="269">
        <f ca="1">IFERROR(__xludf.DUMMYFUNCTION("IMPORTRANGE(""https://docs.google.com/spreadsheets/d/1QqKyyYR6Q21VydFLVH3TRQUabQu_ym0Zz7PgGX0-kHA/edit?usp=sharing"",""แผน!EF23"")"),0)</f>
        <v>0</v>
      </c>
      <c r="J325" s="214">
        <v>0</v>
      </c>
      <c r="K325" s="465">
        <f ca="1">IF(I325&gt;0,J325*100/I325,0)</f>
        <v>0</v>
      </c>
      <c r="L325" s="465"/>
      <c r="M325" s="465"/>
      <c r="N325" s="465"/>
      <c r="O325" s="163"/>
      <c r="P325" s="163"/>
    </row>
    <row r="326" spans="1:26" ht="19.5">
      <c r="A326" s="400" t="s">
        <v>148</v>
      </c>
      <c r="B326" s="401"/>
      <c r="C326" s="401"/>
      <c r="D326" s="402"/>
      <c r="E326" s="401"/>
      <c r="F326" s="401"/>
      <c r="G326" s="401"/>
      <c r="H326" s="417"/>
      <c r="I326" s="405"/>
      <c r="J326" s="405"/>
      <c r="K326" s="406"/>
      <c r="L326" s="406"/>
      <c r="M326" s="406"/>
      <c r="N326" s="406"/>
      <c r="O326" s="406"/>
      <c r="P326" s="406"/>
    </row>
    <row r="327" spans="1:26" ht="19.5">
      <c r="A327" s="407"/>
      <c r="B327" s="408" t="s">
        <v>149</v>
      </c>
      <c r="C327" s="420"/>
      <c r="D327" s="409"/>
      <c r="E327" s="409"/>
      <c r="F327" s="409"/>
      <c r="G327" s="410"/>
      <c r="H327" s="411" t="s">
        <v>35</v>
      </c>
      <c r="I327" s="412">
        <f ca="1">IFERROR(__xludf.DUMMYFUNCTION("IMPORTRANGE(""https://docs.google.com/spreadsheets/d/1QqKyyYR6Q21VydFLVH3TRQUabQu_ym0Zz7PgGX0-kHA/edit?usp=sharing"",""แผน!EG23"")"),7600)</f>
        <v>7600</v>
      </c>
      <c r="J327" s="412">
        <f ca="1">J338+J341+J342+J343</f>
        <v>2537</v>
      </c>
      <c r="K327" s="413">
        <f ca="1">IF(I327&gt;0,J327*100/I327,0)</f>
        <v>33.381578947368418</v>
      </c>
      <c r="L327" s="414"/>
      <c r="M327" s="414"/>
      <c r="N327" s="414"/>
      <c r="O327" s="414"/>
      <c r="P327" s="414"/>
    </row>
    <row r="328" spans="1:26" ht="19.5">
      <c r="A328" s="147"/>
      <c r="B328" s="148"/>
      <c r="C328" s="149" t="s">
        <v>16</v>
      </c>
      <c r="D328" s="817" t="s">
        <v>17</v>
      </c>
      <c r="E328" s="148"/>
      <c r="F328" s="148"/>
      <c r="G328" s="151"/>
      <c r="H328" s="152" t="s">
        <v>12</v>
      </c>
      <c r="I328" s="388"/>
      <c r="J328" s="388"/>
      <c r="K328" s="154"/>
      <c r="L328" s="155">
        <f t="shared" ref="L328:N328" ca="1" si="148">L329+L330</f>
        <v>182000</v>
      </c>
      <c r="M328" s="155">
        <f t="shared" ca="1" si="148"/>
        <v>91000</v>
      </c>
      <c r="N328" s="155">
        <f t="shared" ca="1" si="148"/>
        <v>37220</v>
      </c>
      <c r="O328" s="155">
        <f t="shared" ref="O328:O336" ca="1" si="149">IF(L328&gt;0,N328*100/L328,0)</f>
        <v>20.450549450549449</v>
      </c>
      <c r="P328" s="155">
        <f t="shared" ref="P328:P336" ca="1" si="150">IF(M328&gt;0,N328*100/M328,0)</f>
        <v>40.901098901098898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2" t="s">
        <v>18</v>
      </c>
      <c r="F329" s="40"/>
      <c r="G329" s="157"/>
      <c r="H329" s="158" t="s">
        <v>12</v>
      </c>
      <c r="I329" s="583"/>
      <c r="J329" s="583"/>
      <c r="K329" s="93"/>
      <c r="L329" s="93">
        <f t="shared" ref="L329:N330" si="151">L332+L335</f>
        <v>0</v>
      </c>
      <c r="M329" s="93">
        <f t="shared" si="151"/>
        <v>0</v>
      </c>
      <c r="N329" s="93">
        <f t="shared" si="151"/>
        <v>0</v>
      </c>
      <c r="O329" s="93">
        <f t="shared" si="149"/>
        <v>0</v>
      </c>
      <c r="P329" s="93">
        <f t="shared" si="150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2" t="s">
        <v>19</v>
      </c>
      <c r="F330" s="40"/>
      <c r="G330" s="157"/>
      <c r="H330" s="158" t="s">
        <v>12</v>
      </c>
      <c r="I330" s="583"/>
      <c r="J330" s="583"/>
      <c r="K330" s="93"/>
      <c r="L330" s="93">
        <f t="shared" ca="1" si="151"/>
        <v>182000</v>
      </c>
      <c r="M330" s="93">
        <f t="shared" ca="1" si="151"/>
        <v>91000</v>
      </c>
      <c r="N330" s="93">
        <f t="shared" ca="1" si="151"/>
        <v>37220</v>
      </c>
      <c r="O330" s="93">
        <f t="shared" ca="1" si="149"/>
        <v>20.450549450549449</v>
      </c>
      <c r="P330" s="93">
        <f t="shared" ca="1" si="150"/>
        <v>40.901098901098898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1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65">
        <f t="shared" ref="L331:N331" ca="1" si="152">L332+L333</f>
        <v>182000</v>
      </c>
      <c r="M331" s="465">
        <f t="shared" ca="1" si="152"/>
        <v>91000</v>
      </c>
      <c r="N331" s="465">
        <f t="shared" ca="1" si="152"/>
        <v>37220</v>
      </c>
      <c r="O331" s="465">
        <f t="shared" ca="1" si="149"/>
        <v>20.450549450549449</v>
      </c>
      <c r="P331" s="465">
        <f t="shared" ca="1" si="150"/>
        <v>40.901098901098898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2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49"/>
        <v>0</v>
      </c>
      <c r="P332" s="93">
        <f t="shared" si="150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2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IFERROR(__xludf.DUMMYFUNCTION("IMPORTRANGE(""https://docs.google.com/spreadsheets/d/1MeEWN-I1oV_STSDYn1IFDPWt_1FKiwhDph83XaGc0o0/edit?usp=sharing"",""งบพรบ!EM23"")"),182000)</f>
        <v>182000</v>
      </c>
      <c r="M333" s="93">
        <f ca="1">IFERROR(__xludf.DUMMYFUNCTION("IMPORTRANGE(""https://docs.google.com/spreadsheets/d/1MeEWN-I1oV_STSDYn1IFDPWt_1FKiwhDph83XaGc0o0/edit?usp=sharing"",""งบพรบ!ER23"")"),91000)</f>
        <v>91000</v>
      </c>
      <c r="N333" s="93">
        <f ca="1">IFERROR(__xludf.DUMMYFUNCTION("IMPORTRANGE(""https://docs.google.com/spreadsheets/d/1MeEWN-I1oV_STSDYn1IFDPWt_1FKiwhDph83XaGc0o0/edit?usp=sharing"",""งบพรบ!ET23"")"),37220)</f>
        <v>37220</v>
      </c>
      <c r="O333" s="93">
        <f t="shared" ca="1" si="149"/>
        <v>20.450549450549449</v>
      </c>
      <c r="P333" s="93">
        <f t="shared" ca="1" si="150"/>
        <v>40.901098901098898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1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65">
        <f t="shared" ref="L334:N334" ca="1" si="153">L335+L336</f>
        <v>0</v>
      </c>
      <c r="M334" s="465">
        <f t="shared" ca="1" si="153"/>
        <v>0</v>
      </c>
      <c r="N334" s="465">
        <f t="shared" ca="1" si="153"/>
        <v>0</v>
      </c>
      <c r="O334" s="465">
        <f t="shared" ca="1" si="149"/>
        <v>0</v>
      </c>
      <c r="P334" s="465">
        <f t="shared" ca="1" si="150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2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49"/>
        <v>0</v>
      </c>
      <c r="P335" s="93">
        <f t="shared" si="150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2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IFERROR(__xludf.DUMMYFUNCTION("IMPORTRANGE(""https://docs.google.com/spreadsheets/d/1MeEWN-I1oV_STSDYn1IFDPWt_1FKiwhDph83XaGc0o0/edit?usp=sharing"",""งบพรบ!EP23"")"),0)</f>
        <v>0</v>
      </c>
      <c r="M336" s="93">
        <f ca="1">IFERROR(__xludf.DUMMYFUNCTION("IMPORTRANGE(""https://docs.google.com/spreadsheets/d/1MeEWN-I1oV_STSDYn1IFDPWt_1FKiwhDph83XaGc0o0/edit?usp=sharing"",""งบพรบ!ES23"")"),0)</f>
        <v>0</v>
      </c>
      <c r="N336" s="93">
        <f ca="1">IFERROR(__xludf.DUMMYFUNCTION("IMPORTRANGE(""https://docs.google.com/spreadsheets/d/1MeEWN-I1oV_STSDYn1IFDPWt_1FKiwhDph83XaGc0o0/edit?usp=sharing"",""งบพรบ!EU23"")"),0)</f>
        <v>0</v>
      </c>
      <c r="O336" s="93">
        <f t="shared" ca="1" si="149"/>
        <v>0</v>
      </c>
      <c r="P336" s="93">
        <f t="shared" ca="1" si="150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18" t="s">
        <v>38</v>
      </c>
      <c r="E337" s="173"/>
      <c r="F337" s="173"/>
      <c r="G337" s="174"/>
      <c r="H337" s="726"/>
      <c r="I337" s="184"/>
      <c r="J337" s="269"/>
      <c r="K337" s="465"/>
      <c r="L337" s="465"/>
      <c r="M337" s="465"/>
      <c r="N337" s="465"/>
      <c r="O337" s="163"/>
      <c r="P337" s="163"/>
    </row>
    <row r="338" spans="1:26" ht="18.75">
      <c r="A338" s="283"/>
      <c r="B338" s="33"/>
      <c r="C338" s="280"/>
      <c r="D338" s="415" t="s">
        <v>150</v>
      </c>
      <c r="E338" s="171"/>
      <c r="F338" s="33"/>
      <c r="G338" s="35"/>
      <c r="H338" s="276" t="s">
        <v>35</v>
      </c>
      <c r="I338" s="269">
        <f ca="1">IFERROR(__xludf.DUMMYFUNCTION("IMPORTRANGE(""https://docs.google.com/spreadsheets/d/1QqKyyYR6Q21VydFLVH3TRQUabQu_ym0Zz7PgGX0-kHA/edit?usp=sharing"",""แผน!EG23"")"),7600)</f>
        <v>7600</v>
      </c>
      <c r="J338" s="269">
        <f ca="1">IFERROR(__xludf.DUMMYFUNCTION("IMPORTRANGE(""https://docs.google.com/spreadsheets/d/1kVcqe37tkHyjCSG3S0O1AXqVkqjo8mSIZil3BcpIysc/edit?usp=sharing"",""ศูนย์!D23"")"),1670)</f>
        <v>1670</v>
      </c>
      <c r="K338" s="465">
        <f ca="1">IF(I338&gt;0,J338*100/I338,0)</f>
        <v>21.973684210526315</v>
      </c>
      <c r="L338" s="465"/>
      <c r="M338" s="465"/>
      <c r="N338" s="465"/>
      <c r="O338" s="465"/>
      <c r="P338" s="465"/>
    </row>
    <row r="339" spans="1:26" ht="18.75">
      <c r="A339" s="283"/>
      <c r="B339" s="33"/>
      <c r="C339" s="280"/>
      <c r="D339" s="415" t="s">
        <v>151</v>
      </c>
      <c r="E339" s="171"/>
      <c r="F339" s="33"/>
      <c r="G339" s="35"/>
      <c r="H339" s="276"/>
      <c r="I339" s="269"/>
      <c r="J339" s="269"/>
      <c r="K339" s="465"/>
      <c r="L339" s="465"/>
      <c r="M339" s="465"/>
      <c r="N339" s="465"/>
      <c r="O339" s="465"/>
      <c r="P339" s="465"/>
    </row>
    <row r="340" spans="1:26" ht="18.75">
      <c r="A340" s="283"/>
      <c r="B340" s="33"/>
      <c r="C340" s="280"/>
      <c r="D340" s="342"/>
      <c r="E340" s="415" t="s">
        <v>152</v>
      </c>
      <c r="F340" s="33"/>
      <c r="G340" s="35"/>
      <c r="H340" s="276" t="s">
        <v>153</v>
      </c>
      <c r="I340" s="269">
        <f ca="1">IFERROR(__xludf.DUMMYFUNCTION("IMPORTRANGE(""https://docs.google.com/spreadsheets/d/1QqKyyYR6Q21VydFLVH3TRQUabQu_ym0Zz7PgGX0-kHA/edit?usp=sharing"",""แผน!EH23"")"),7)</f>
        <v>7</v>
      </c>
      <c r="J340" s="269">
        <f ca="1">IFERROR(__xludf.DUMMYFUNCTION("IMPORTRANGE(""https://docs.google.com/spreadsheets/d/1kVcqe37tkHyjCSG3S0O1AXqVkqjo8mSIZil3BcpIysc/edit?usp=sharing"",""ศูนย์!E23"")"),4)</f>
        <v>4</v>
      </c>
      <c r="K340" s="465">
        <f ca="1">IF(I340&gt;0,J340*100/I340,0)</f>
        <v>57.142857142857146</v>
      </c>
      <c r="L340" s="465"/>
      <c r="M340" s="465"/>
      <c r="N340" s="465"/>
      <c r="O340" s="465"/>
      <c r="P340" s="465"/>
    </row>
    <row r="341" spans="1:26" ht="18.75">
      <c r="A341" s="283"/>
      <c r="B341" s="33"/>
      <c r="C341" s="280"/>
      <c r="D341" s="342"/>
      <c r="E341" s="415" t="s">
        <v>154</v>
      </c>
      <c r="F341" s="33"/>
      <c r="G341" s="35"/>
      <c r="H341" s="276" t="s">
        <v>35</v>
      </c>
      <c r="I341" s="269"/>
      <c r="J341" s="269">
        <f ca="1">IFERROR(__xludf.DUMMYFUNCTION("IMPORTRANGE(""https://docs.google.com/spreadsheets/d/1kVcqe37tkHyjCSG3S0O1AXqVkqjo8mSIZil3BcpIysc/edit?usp=sharing"",""ศูนย์!F23"")"),694)</f>
        <v>694</v>
      </c>
      <c r="K341" s="465"/>
      <c r="L341" s="465"/>
      <c r="M341" s="465"/>
      <c r="N341" s="465"/>
      <c r="O341" s="465"/>
      <c r="P341" s="465"/>
    </row>
    <row r="342" spans="1:26" ht="18.75">
      <c r="A342" s="283"/>
      <c r="B342" s="33"/>
      <c r="C342" s="280"/>
      <c r="D342" s="415" t="s">
        <v>155</v>
      </c>
      <c r="E342" s="342"/>
      <c r="F342" s="342"/>
      <c r="G342" s="35"/>
      <c r="H342" s="276" t="s">
        <v>35</v>
      </c>
      <c r="I342" s="269"/>
      <c r="J342" s="269">
        <f ca="1">IFERROR(__xludf.DUMMYFUNCTION("IMPORTRANGE(""https://docs.google.com/spreadsheets/d/1kVcqe37tkHyjCSG3S0O1AXqVkqjo8mSIZil3BcpIysc/edit?usp=sharing"",""ศูนย์!G23"")"),0)</f>
        <v>0</v>
      </c>
      <c r="K342" s="465"/>
      <c r="L342" s="465"/>
      <c r="M342" s="465"/>
      <c r="N342" s="465"/>
      <c r="O342" s="465"/>
      <c r="P342" s="465"/>
    </row>
    <row r="343" spans="1:26" ht="18.75">
      <c r="A343" s="283"/>
      <c r="B343" s="33"/>
      <c r="C343" s="280"/>
      <c r="D343" s="415" t="s">
        <v>156</v>
      </c>
      <c r="E343" s="342"/>
      <c r="F343" s="342"/>
      <c r="G343" s="35"/>
      <c r="H343" s="276" t="s">
        <v>35</v>
      </c>
      <c r="I343" s="269"/>
      <c r="J343" s="269">
        <f ca="1">IFERROR(__xludf.DUMMYFUNCTION("IMPORTRANGE(""https://docs.google.com/spreadsheets/d/1kVcqe37tkHyjCSG3S0O1AXqVkqjo8mSIZil3BcpIysc/edit?usp=sharing"",""ศูนย์!H23"")"),173)</f>
        <v>173</v>
      </c>
      <c r="K343" s="465"/>
      <c r="L343" s="465"/>
      <c r="M343" s="465"/>
      <c r="N343" s="465"/>
      <c r="O343" s="465"/>
      <c r="P343" s="465"/>
    </row>
    <row r="344" spans="1:26" ht="19.5">
      <c r="A344" s="407"/>
      <c r="B344" s="408" t="s">
        <v>157</v>
      </c>
      <c r="C344" s="420"/>
      <c r="D344" s="409"/>
      <c r="E344" s="409"/>
      <c r="F344" s="409"/>
      <c r="G344" s="410"/>
      <c r="H344" s="411"/>
      <c r="I344" s="421"/>
      <c r="J344" s="421"/>
      <c r="K344" s="414"/>
      <c r="L344" s="414"/>
      <c r="M344" s="414"/>
      <c r="N344" s="414"/>
      <c r="O344" s="414"/>
      <c r="P344" s="414"/>
    </row>
    <row r="345" spans="1:26" ht="19.5">
      <c r="A345" s="147"/>
      <c r="B345" s="148"/>
      <c r="C345" s="149" t="s">
        <v>16</v>
      </c>
      <c r="D345" s="817" t="s">
        <v>17</v>
      </c>
      <c r="E345" s="148"/>
      <c r="F345" s="148"/>
      <c r="G345" s="151"/>
      <c r="H345" s="152" t="s">
        <v>12</v>
      </c>
      <c r="I345" s="388"/>
      <c r="J345" s="388"/>
      <c r="K345" s="154"/>
      <c r="L345" s="155">
        <f t="shared" ref="L345:N345" ca="1" si="154">L346+L347</f>
        <v>987190</v>
      </c>
      <c r="M345" s="155">
        <f t="shared" ca="1" si="154"/>
        <v>561400</v>
      </c>
      <c r="N345" s="155">
        <f t="shared" ca="1" si="154"/>
        <v>220430</v>
      </c>
      <c r="O345" s="155">
        <f t="shared" ref="O345:O353" ca="1" si="155">IF(L345&gt;0,N345*100/L345,0)</f>
        <v>22.329034937550016</v>
      </c>
      <c r="P345" s="155">
        <f t="shared" ref="P345:P353" ca="1" si="156">IF(M345&gt;0,N345*100/M345,0)</f>
        <v>39.264339152119703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2" t="s">
        <v>18</v>
      </c>
      <c r="F346" s="40"/>
      <c r="G346" s="157"/>
      <c r="H346" s="158" t="s">
        <v>12</v>
      </c>
      <c r="I346" s="583"/>
      <c r="J346" s="583"/>
      <c r="K346" s="93"/>
      <c r="L346" s="93">
        <f t="shared" ref="L346:N347" si="157">L349+L352</f>
        <v>0</v>
      </c>
      <c r="M346" s="93">
        <f t="shared" si="157"/>
        <v>0</v>
      </c>
      <c r="N346" s="93">
        <f t="shared" si="157"/>
        <v>0</v>
      </c>
      <c r="O346" s="93">
        <f t="shared" si="155"/>
        <v>0</v>
      </c>
      <c r="P346" s="93">
        <f t="shared" si="156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2" t="s">
        <v>19</v>
      </c>
      <c r="F347" s="40"/>
      <c r="G347" s="157"/>
      <c r="H347" s="158" t="s">
        <v>12</v>
      </c>
      <c r="I347" s="583"/>
      <c r="J347" s="583"/>
      <c r="K347" s="93"/>
      <c r="L347" s="93">
        <f t="shared" ca="1" si="157"/>
        <v>987190</v>
      </c>
      <c r="M347" s="93">
        <f t="shared" ca="1" si="157"/>
        <v>561400</v>
      </c>
      <c r="N347" s="93">
        <f t="shared" ca="1" si="157"/>
        <v>220430</v>
      </c>
      <c r="O347" s="93">
        <f t="shared" ca="1" si="155"/>
        <v>22.329034937550016</v>
      </c>
      <c r="P347" s="93">
        <f t="shared" ca="1" si="156"/>
        <v>39.264339152119703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1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65">
        <f t="shared" ref="L348:N348" ca="1" si="158">L349+L350</f>
        <v>851590</v>
      </c>
      <c r="M348" s="465">
        <f t="shared" ca="1" si="158"/>
        <v>425800</v>
      </c>
      <c r="N348" s="465">
        <f t="shared" ca="1" si="158"/>
        <v>84830</v>
      </c>
      <c r="O348" s="465">
        <f t="shared" ca="1" si="155"/>
        <v>9.9613663852323295</v>
      </c>
      <c r="P348" s="465">
        <f t="shared" ca="1" si="156"/>
        <v>19.922498825739783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2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5"/>
        <v>0</v>
      </c>
      <c r="P349" s="93">
        <f t="shared" si="156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2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IFERROR(__xludf.DUMMYFUNCTION("IMPORTRANGE(""https://docs.google.com/spreadsheets/d/1MeEWN-I1oV_STSDYn1IFDPWt_1FKiwhDph83XaGc0o0/edit?usp=sharing"",""งบพรบ!EW23"")"),851590)</f>
        <v>851590</v>
      </c>
      <c r="M350" s="93">
        <f ca="1">IFERROR(__xludf.DUMMYFUNCTION("IMPORTRANGE(""https://docs.google.com/spreadsheets/d/1MeEWN-I1oV_STSDYn1IFDPWt_1FKiwhDph83XaGc0o0/edit?usp=sharing"",""งบพรบ!FB23"")"),425800)</f>
        <v>425800</v>
      </c>
      <c r="N350" s="93">
        <f ca="1">IFERROR(__xludf.DUMMYFUNCTION("IMPORTRANGE(""https://docs.google.com/spreadsheets/d/1MeEWN-I1oV_STSDYn1IFDPWt_1FKiwhDph83XaGc0o0/edit?usp=sharing"",""งบพรบ!FD23"")"),84830)</f>
        <v>84830</v>
      </c>
      <c r="O350" s="93">
        <f t="shared" ca="1" si="155"/>
        <v>9.9613663852323295</v>
      </c>
      <c r="P350" s="93">
        <f t="shared" ca="1" si="156"/>
        <v>19.922498825739783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1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65">
        <f t="shared" ref="L351:N351" ca="1" si="159">L352+L353</f>
        <v>135600</v>
      </c>
      <c r="M351" s="465">
        <f t="shared" ca="1" si="159"/>
        <v>135600</v>
      </c>
      <c r="N351" s="465">
        <f t="shared" ca="1" si="159"/>
        <v>135600</v>
      </c>
      <c r="O351" s="465">
        <f t="shared" ca="1" si="155"/>
        <v>100</v>
      </c>
      <c r="P351" s="465">
        <f t="shared" ca="1" si="156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2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5"/>
        <v>0</v>
      </c>
      <c r="P352" s="93">
        <f t="shared" si="156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2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IFERROR(__xludf.DUMMYFUNCTION("IMPORTRANGE(""https://docs.google.com/spreadsheets/d/1MeEWN-I1oV_STSDYn1IFDPWt_1FKiwhDph83XaGc0o0/edit?usp=sharing"",""งบพรบ!EZ23"")"),135600)</f>
        <v>135600</v>
      </c>
      <c r="M353" s="93">
        <f ca="1">IFERROR(__xludf.DUMMYFUNCTION("IMPORTRANGE(""https://docs.google.com/spreadsheets/d/1MeEWN-I1oV_STSDYn1IFDPWt_1FKiwhDph83XaGc0o0/edit?usp=sharing"",""งบพรบ!FC23"")"),135600)</f>
        <v>135600</v>
      </c>
      <c r="N353" s="93">
        <f ca="1">IFERROR(__xludf.DUMMYFUNCTION("IMPORTRANGE(""https://docs.google.com/spreadsheets/d/1MeEWN-I1oV_STSDYn1IFDPWt_1FKiwhDph83XaGc0o0/edit?usp=sharing"",""งบพรบ!FE23"")"),135600)</f>
        <v>135600</v>
      </c>
      <c r="O353" s="93">
        <f t="shared" ca="1" si="155"/>
        <v>100</v>
      </c>
      <c r="P353" s="93">
        <f t="shared" ca="1" si="156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5"/>
      <c r="B354" s="263"/>
      <c r="C354" s="256"/>
      <c r="D354" s="845" t="s">
        <v>158</v>
      </c>
      <c r="E354" s="256"/>
      <c r="F354" s="256"/>
      <c r="G354" s="258"/>
      <c r="H354" s="423"/>
      <c r="I354" s="260"/>
      <c r="J354" s="260"/>
      <c r="K354" s="261"/>
      <c r="L354" s="261"/>
      <c r="M354" s="261"/>
      <c r="N354" s="261"/>
      <c r="O354" s="261"/>
      <c r="P354" s="261"/>
    </row>
    <row r="355" spans="1:26" ht="19.5">
      <c r="A355" s="424"/>
      <c r="B355" s="425"/>
      <c r="C355" s="426"/>
      <c r="D355" s="846" t="s">
        <v>159</v>
      </c>
      <c r="E355" s="428"/>
      <c r="F355" s="428"/>
      <c r="G355" s="429"/>
      <c r="H355" s="430" t="s">
        <v>35</v>
      </c>
      <c r="I355" s="432">
        <f ca="1">IFERROR(__xludf.DUMMYFUNCTION("IMPORTRANGE(""https://docs.google.com/spreadsheets/d/1QqKyyYR6Q21VydFLVH3TRQUabQu_ym0Zz7PgGX0-kHA/edit?usp=sharing"",""แผน!EP23"")"),685)</f>
        <v>685</v>
      </c>
      <c r="J355" s="432">
        <f ca="1">J362</f>
        <v>27</v>
      </c>
      <c r="K355" s="433">
        <f ca="1">IF(I355&gt;0,J355*100/I355,0)</f>
        <v>3.9416058394160585</v>
      </c>
      <c r="L355" s="434"/>
      <c r="M355" s="434"/>
      <c r="N355" s="434"/>
      <c r="O355" s="434"/>
      <c r="P355" s="434"/>
    </row>
    <row r="356" spans="1:26" ht="19.5">
      <c r="A356" s="424"/>
      <c r="B356" s="425"/>
      <c r="C356" s="426"/>
      <c r="D356" s="435" t="s">
        <v>160</v>
      </c>
      <c r="E356" s="428"/>
      <c r="F356" s="428"/>
      <c r="G356" s="429"/>
      <c r="H356" s="436"/>
      <c r="I356" s="437"/>
      <c r="J356" s="437"/>
      <c r="K356" s="434"/>
      <c r="L356" s="434"/>
      <c r="M356" s="434"/>
      <c r="N356" s="434"/>
      <c r="O356" s="434"/>
      <c r="P356" s="434"/>
    </row>
    <row r="357" spans="1:26" ht="19.5">
      <c r="A357" s="170"/>
      <c r="B357" s="171"/>
      <c r="C357" s="164" t="s">
        <v>16</v>
      </c>
      <c r="D357" s="818" t="s">
        <v>38</v>
      </c>
      <c r="E357" s="173"/>
      <c r="F357" s="173"/>
      <c r="G357" s="174"/>
      <c r="H357" s="726"/>
      <c r="I357" s="269"/>
      <c r="J357" s="269"/>
      <c r="K357" s="465"/>
      <c r="L357" s="163"/>
      <c r="M357" s="163"/>
      <c r="N357" s="163"/>
      <c r="O357" s="163"/>
      <c r="P357" s="163"/>
    </row>
    <row r="358" spans="1:26" ht="18.75">
      <c r="A358" s="170"/>
      <c r="B358" s="342"/>
      <c r="C358" s="171"/>
      <c r="D358" s="342"/>
      <c r="E358" s="343" t="s">
        <v>161</v>
      </c>
      <c r="F358" s="342"/>
      <c r="G358" s="179"/>
      <c r="H358" s="185" t="s">
        <v>35</v>
      </c>
      <c r="I358" s="269">
        <v>0</v>
      </c>
      <c r="J358" s="269">
        <f ca="1">IFERROR(__xludf.DUMMYFUNCTION("IMPORTRANGE(""https://docs.google.com/spreadsheets/d/1XWAQStnk-4SwqDmLtmXYiTMKHgktTP8We1SCoS47DrQ/edit?usp=sharing"",""จัดที่ดิน!W23"")"),12)</f>
        <v>12</v>
      </c>
      <c r="K358" s="465">
        <f t="shared" ref="K358:K365" si="160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342"/>
      <c r="C359" s="171"/>
      <c r="D359" s="342"/>
      <c r="E359" s="342"/>
      <c r="F359" s="342"/>
      <c r="G359" s="179"/>
      <c r="H359" s="185" t="s">
        <v>46</v>
      </c>
      <c r="I359" s="269">
        <f ca="1">IFERROR(__xludf.DUMMYFUNCTION("IMPORTRANGE(""https://docs.google.com/spreadsheets/d/1QqKyyYR6Q21VydFLVH3TRQUabQu_ym0Zz7PgGX0-kHA/edit?usp=sharing"",""แผน!EO23"")"),5000)</f>
        <v>5000</v>
      </c>
      <c r="J359" s="269">
        <f ca="1">IFERROR(__xludf.DUMMYFUNCTION("IMPORTRANGE(""https://docs.google.com/spreadsheets/d/1XWAQStnk-4SwqDmLtmXYiTMKHgktTP8We1SCoS47DrQ/edit?usp=sharing"",""จัดที่ดิน!X23"")"),175.89)</f>
        <v>175.89</v>
      </c>
      <c r="K359" s="465">
        <f t="shared" ca="1" si="160"/>
        <v>3.5177999999999998</v>
      </c>
      <c r="L359" s="163"/>
      <c r="M359" s="163"/>
      <c r="N359" s="163"/>
      <c r="O359" s="163"/>
      <c r="P359" s="163"/>
    </row>
    <row r="360" spans="1:26" ht="18.75">
      <c r="A360" s="170"/>
      <c r="B360" s="342"/>
      <c r="C360" s="171"/>
      <c r="D360" s="342"/>
      <c r="E360" s="343" t="s">
        <v>162</v>
      </c>
      <c r="F360" s="342"/>
      <c r="G360" s="179"/>
      <c r="H360" s="728" t="s">
        <v>35</v>
      </c>
      <c r="I360" s="269">
        <f ca="1">IFERROR(__xludf.DUMMYFUNCTION("IMPORTRANGE(""https://docs.google.com/spreadsheets/d/1QqKyyYR6Q21VydFLVH3TRQUabQu_ym0Zz7PgGX0-kHA/edit?usp=sharing"",""แผน!EP23"")"),685)</f>
        <v>685</v>
      </c>
      <c r="J360" s="269">
        <f ca="1">IFERROR(__xludf.DUMMYFUNCTION("IMPORTRANGE(""https://docs.google.com/spreadsheets/d/1XWAQStnk-4SwqDmLtmXYiTMKHgktTP8We1SCoS47DrQ/edit?usp=sharing"",""จัดที่ดิน!Y23"")"),39)</f>
        <v>39</v>
      </c>
      <c r="K360" s="465">
        <f t="shared" ca="1" si="160"/>
        <v>5.6934306569343063</v>
      </c>
      <c r="L360" s="163"/>
      <c r="M360" s="163"/>
      <c r="N360" s="163"/>
      <c r="O360" s="163"/>
      <c r="P360" s="163"/>
    </row>
    <row r="361" spans="1:26" ht="18.75">
      <c r="A361" s="170"/>
      <c r="B361" s="342"/>
      <c r="C361" s="171"/>
      <c r="D361" s="342"/>
      <c r="E361" s="342"/>
      <c r="F361" s="342"/>
      <c r="G361" s="179"/>
      <c r="H361" s="728" t="s">
        <v>46</v>
      </c>
      <c r="I361" s="269">
        <v>0</v>
      </c>
      <c r="J361" s="269">
        <f ca="1">IFERROR(__xludf.DUMMYFUNCTION("IMPORTRANGE(""https://docs.google.com/spreadsheets/d/1XWAQStnk-4SwqDmLtmXYiTMKHgktTP8We1SCoS47DrQ/edit?usp=sharing"",""จัดที่ดิน!Z23"")"),705.54)</f>
        <v>705.54</v>
      </c>
      <c r="K361" s="465">
        <f t="shared" si="160"/>
        <v>0</v>
      </c>
      <c r="L361" s="163"/>
      <c r="M361" s="163"/>
      <c r="N361" s="163"/>
      <c r="O361" s="163"/>
      <c r="P361" s="163"/>
    </row>
    <row r="362" spans="1:26" ht="18.75">
      <c r="A362" s="170"/>
      <c r="B362" s="342"/>
      <c r="C362" s="171"/>
      <c r="D362" s="342"/>
      <c r="E362" s="343" t="s">
        <v>163</v>
      </c>
      <c r="F362" s="342"/>
      <c r="G362" s="179"/>
      <c r="H362" s="728" t="s">
        <v>35</v>
      </c>
      <c r="I362" s="269">
        <f ca="1">IFERROR(__xludf.DUMMYFUNCTION("IMPORTRANGE(""https://docs.google.com/spreadsheets/d/1QqKyyYR6Q21VydFLVH3TRQUabQu_ym0Zz7PgGX0-kHA/edit?usp=sharing"",""แผน!EP23"")"),685)</f>
        <v>685</v>
      </c>
      <c r="J362" s="269">
        <f ca="1">IFERROR(__xludf.DUMMYFUNCTION("IMPORTRANGE(""https://docs.google.com/spreadsheets/d/1XWAQStnk-4SwqDmLtmXYiTMKHgktTP8We1SCoS47DrQ/edit?usp=sharing"",""จัดที่ดิน!AA23"")"),27)</f>
        <v>27</v>
      </c>
      <c r="K362" s="465">
        <f t="shared" ca="1" si="160"/>
        <v>3.9416058394160585</v>
      </c>
      <c r="L362" s="163"/>
      <c r="M362" s="163"/>
      <c r="N362" s="163"/>
      <c r="O362" s="163"/>
      <c r="P362" s="163"/>
    </row>
    <row r="363" spans="1:26" ht="18.75">
      <c r="A363" s="438" t="s">
        <v>164</v>
      </c>
      <c r="B363" s="342"/>
      <c r="C363" s="171"/>
      <c r="D363" s="342"/>
      <c r="E363" s="415"/>
      <c r="F363" s="342"/>
      <c r="G363" s="179"/>
      <c r="H363" s="728" t="s">
        <v>46</v>
      </c>
      <c r="I363" s="269">
        <v>0</v>
      </c>
      <c r="J363" s="269">
        <f ca="1">IFERROR(__xludf.DUMMYFUNCTION("IMPORTRANGE(""https://docs.google.com/spreadsheets/d/1XWAQStnk-4SwqDmLtmXYiTMKHgktTP8We1SCoS47DrQ/edit?usp=sharing"",""จัดที่ดิน!AB23"")"),474.77)</f>
        <v>474.77</v>
      </c>
      <c r="K363" s="465">
        <f t="shared" si="160"/>
        <v>0</v>
      </c>
      <c r="L363" s="163"/>
      <c r="M363" s="163"/>
      <c r="N363" s="163"/>
      <c r="O363" s="163"/>
      <c r="P363" s="163"/>
    </row>
    <row r="364" spans="1:26" ht="19.5">
      <c r="A364" s="439"/>
      <c r="B364" s="440"/>
      <c r="C364" s="441"/>
      <c r="D364" s="442" t="s">
        <v>165</v>
      </c>
      <c r="E364" s="443"/>
      <c r="F364" s="443"/>
      <c r="G364" s="444"/>
      <c r="H364" s="445" t="s">
        <v>35</v>
      </c>
      <c r="I364" s="446">
        <f t="shared" ref="I364:J364" ca="1" si="161">I365+I374</f>
        <v>1285</v>
      </c>
      <c r="J364" s="446">
        <f t="shared" ca="1" si="161"/>
        <v>190</v>
      </c>
      <c r="K364" s="447">
        <f t="shared" ca="1" si="160"/>
        <v>14.785992217898833</v>
      </c>
      <c r="L364" s="448"/>
      <c r="M364" s="448"/>
      <c r="N364" s="448"/>
      <c r="O364" s="448"/>
      <c r="P364" s="448"/>
      <c r="Q364" s="449"/>
      <c r="R364" s="449"/>
      <c r="S364" s="449"/>
      <c r="T364" s="449"/>
      <c r="U364" s="449"/>
      <c r="V364" s="449"/>
      <c r="W364" s="449"/>
      <c r="X364" s="449"/>
      <c r="Y364" s="449"/>
      <c r="Z364" s="449"/>
    </row>
    <row r="365" spans="1:26" ht="19.5">
      <c r="A365" s="450"/>
      <c r="B365" s="451"/>
      <c r="C365" s="453"/>
      <c r="D365" s="453" t="s">
        <v>166</v>
      </c>
      <c r="E365" s="454"/>
      <c r="F365" s="454"/>
      <c r="G365" s="455"/>
      <c r="H365" s="456" t="s">
        <v>35</v>
      </c>
      <c r="I365" s="458">
        <f ca="1">IFERROR(__xludf.DUMMYFUNCTION("IMPORTRANGE(""https://docs.google.com/spreadsheets/d/1QqKyyYR6Q21VydFLVH3TRQUabQu_ym0Zz7PgGX0-kHA/edit?usp=sharing"",""แผน!EJ23"")"),100)</f>
        <v>100</v>
      </c>
      <c r="J365" s="458">
        <f ca="1">J372</f>
        <v>27</v>
      </c>
      <c r="K365" s="459">
        <f t="shared" ca="1" si="160"/>
        <v>27</v>
      </c>
      <c r="L365" s="460"/>
      <c r="M365" s="460"/>
      <c r="N365" s="460"/>
      <c r="O365" s="460"/>
      <c r="P365" s="460"/>
      <c r="Q365" s="449"/>
      <c r="R365" s="449"/>
      <c r="S365" s="449"/>
      <c r="T365" s="449"/>
      <c r="U365" s="449"/>
      <c r="V365" s="449"/>
      <c r="W365" s="449"/>
      <c r="X365" s="449"/>
      <c r="Y365" s="449"/>
      <c r="Z365" s="449"/>
    </row>
    <row r="366" spans="1:26" ht="19.5">
      <c r="A366" s="450"/>
      <c r="B366" s="451"/>
      <c r="C366" s="453"/>
      <c r="D366" s="461" t="s">
        <v>167</v>
      </c>
      <c r="E366" s="454"/>
      <c r="F366" s="454"/>
      <c r="G366" s="455"/>
      <c r="H366" s="462"/>
      <c r="I366" s="463"/>
      <c r="J366" s="463"/>
      <c r="K366" s="460"/>
      <c r="L366" s="460"/>
      <c r="M366" s="460"/>
      <c r="N366" s="460"/>
      <c r="O366" s="460"/>
      <c r="P366" s="460"/>
      <c r="Q366" s="449"/>
      <c r="R366" s="449"/>
      <c r="S366" s="449"/>
      <c r="T366" s="449"/>
      <c r="U366" s="449"/>
      <c r="V366" s="449"/>
      <c r="W366" s="449"/>
      <c r="X366" s="449"/>
      <c r="Y366" s="449"/>
      <c r="Z366" s="449"/>
    </row>
    <row r="367" spans="1:26" ht="19.5">
      <c r="A367" s="170"/>
      <c r="B367" s="171"/>
      <c r="C367" s="164" t="s">
        <v>16</v>
      </c>
      <c r="D367" s="818" t="s">
        <v>38</v>
      </c>
      <c r="E367" s="173"/>
      <c r="F367" s="173"/>
      <c r="G367" s="174"/>
      <c r="H367" s="726"/>
      <c r="I367" s="269"/>
      <c r="J367" s="269"/>
      <c r="K367" s="465"/>
      <c r="L367" s="163"/>
      <c r="M367" s="163"/>
      <c r="N367" s="163"/>
      <c r="O367" s="163"/>
      <c r="P367" s="163"/>
    </row>
    <row r="368" spans="1:26" ht="18.75">
      <c r="A368" s="170"/>
      <c r="B368" s="342"/>
      <c r="C368" s="171"/>
      <c r="D368" s="342"/>
      <c r="E368" s="343" t="s">
        <v>161</v>
      </c>
      <c r="F368" s="342"/>
      <c r="G368" s="179"/>
      <c r="H368" s="185" t="s">
        <v>35</v>
      </c>
      <c r="I368" s="269">
        <v>0</v>
      </c>
      <c r="J368" s="269">
        <f ca="1">IFERROR(__xludf.DUMMYFUNCTION("IMPORTRANGE(""https://docs.google.com/spreadsheets/d/1XWAQStnk-4SwqDmLtmXYiTMKHgktTP8We1SCoS47DrQ/edit?usp=sharing"",""จัดที่ดิน!E23"")"),6)</f>
        <v>6</v>
      </c>
      <c r="K368" s="465">
        <f t="shared" ref="K368:K374" si="162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342"/>
      <c r="C369" s="171"/>
      <c r="D369" s="342"/>
      <c r="E369" s="342"/>
      <c r="F369" s="342"/>
      <c r="G369" s="179"/>
      <c r="H369" s="185" t="s">
        <v>46</v>
      </c>
      <c r="I369" s="269">
        <f ca="1">IFERROR(__xludf.DUMMYFUNCTION("IMPORTRANGE(""https://docs.google.com/spreadsheets/d/1QqKyyYR6Q21VydFLVH3TRQUabQu_ym0Zz7PgGX0-kHA/edit?usp=sharing"",""แผน!EI23"")"),1000)</f>
        <v>1000</v>
      </c>
      <c r="J369" s="269">
        <f ca="1">IFERROR(__xludf.DUMMYFUNCTION("IMPORTRANGE(""https://docs.google.com/spreadsheets/d/1XWAQStnk-4SwqDmLtmXYiTMKHgktTP8We1SCoS47DrQ/edit?usp=sharing"",""จัดที่ดิน!F23"")"),73.28)</f>
        <v>73.28</v>
      </c>
      <c r="K369" s="465">
        <f t="shared" ca="1" si="162"/>
        <v>7.3280000000000003</v>
      </c>
      <c r="L369" s="163"/>
      <c r="M369" s="163"/>
      <c r="N369" s="163"/>
      <c r="O369" s="163"/>
      <c r="P369" s="163"/>
    </row>
    <row r="370" spans="1:26" ht="18.75">
      <c r="A370" s="170"/>
      <c r="B370" s="342"/>
      <c r="C370" s="171"/>
      <c r="D370" s="342"/>
      <c r="E370" s="343" t="s">
        <v>162</v>
      </c>
      <c r="F370" s="342"/>
      <c r="G370" s="179"/>
      <c r="H370" s="728" t="s">
        <v>35</v>
      </c>
      <c r="I370" s="269">
        <f ca="1">IFERROR(__xludf.DUMMYFUNCTION("IMPORTRANGE(""https://docs.google.com/spreadsheets/d/1QqKyyYR6Q21VydFLVH3TRQUabQu_ym0Zz7PgGX0-kHA/edit?usp=sharing"",""แผน!EJ23"")"),100)</f>
        <v>100</v>
      </c>
      <c r="J370" s="269">
        <f ca="1">IFERROR(__xludf.DUMMYFUNCTION("IMPORTRANGE(""https://docs.google.com/spreadsheets/d/1XWAQStnk-4SwqDmLtmXYiTMKHgktTP8We1SCoS47DrQ/edit?usp=sharing"",""จัดที่ดิน!G23"")"),33)</f>
        <v>33</v>
      </c>
      <c r="K370" s="465">
        <f t="shared" ca="1" si="162"/>
        <v>33</v>
      </c>
      <c r="L370" s="163"/>
      <c r="M370" s="163"/>
      <c r="N370" s="163"/>
      <c r="O370" s="163"/>
      <c r="P370" s="163"/>
    </row>
    <row r="371" spans="1:26" ht="18.75">
      <c r="A371" s="170"/>
      <c r="B371" s="342"/>
      <c r="C371" s="171"/>
      <c r="D371" s="342"/>
      <c r="E371" s="342"/>
      <c r="F371" s="342"/>
      <c r="G371" s="179"/>
      <c r="H371" s="728" t="s">
        <v>46</v>
      </c>
      <c r="I371" s="269">
        <v>0</v>
      </c>
      <c r="J371" s="269">
        <f ca="1">IFERROR(__xludf.DUMMYFUNCTION("IMPORTRANGE(""https://docs.google.com/spreadsheets/d/1XWAQStnk-4SwqDmLtmXYiTMKHgktTP8We1SCoS47DrQ/edit?usp=sharing"",""จัดที่ดิน!H23"")"),602.93)</f>
        <v>602.92999999999995</v>
      </c>
      <c r="K371" s="465">
        <f t="shared" si="162"/>
        <v>0</v>
      </c>
      <c r="L371" s="163"/>
      <c r="M371" s="163"/>
      <c r="N371" s="163"/>
      <c r="O371" s="163"/>
      <c r="P371" s="163"/>
    </row>
    <row r="372" spans="1:26" ht="18.75">
      <c r="A372" s="170"/>
      <c r="B372" s="342"/>
      <c r="C372" s="171"/>
      <c r="D372" s="342"/>
      <c r="E372" s="343" t="s">
        <v>163</v>
      </c>
      <c r="F372" s="342"/>
      <c r="G372" s="179"/>
      <c r="H372" s="728" t="s">
        <v>35</v>
      </c>
      <c r="I372" s="269">
        <f ca="1">IFERROR(__xludf.DUMMYFUNCTION("IMPORTRANGE(""https://docs.google.com/spreadsheets/d/1QqKyyYR6Q21VydFLVH3TRQUabQu_ym0Zz7PgGX0-kHA/edit?usp=sharing"",""แผน!EJ23"")"),100)</f>
        <v>100</v>
      </c>
      <c r="J372" s="269">
        <f ca="1">IFERROR(__xludf.DUMMYFUNCTION("IMPORTRANGE(""https://docs.google.com/spreadsheets/d/1XWAQStnk-4SwqDmLtmXYiTMKHgktTP8We1SCoS47DrQ/edit?usp=sharing"",""จัดที่ดิน!I23"")"),27)</f>
        <v>27</v>
      </c>
      <c r="K372" s="465">
        <f t="shared" ca="1" si="162"/>
        <v>27</v>
      </c>
      <c r="L372" s="163"/>
      <c r="M372" s="163"/>
      <c r="N372" s="163"/>
      <c r="O372" s="163"/>
      <c r="P372" s="163"/>
    </row>
    <row r="373" spans="1:26" ht="18.75">
      <c r="A373" s="438" t="s">
        <v>164</v>
      </c>
      <c r="B373" s="342"/>
      <c r="C373" s="171"/>
      <c r="D373" s="342"/>
      <c r="E373" s="415"/>
      <c r="F373" s="342"/>
      <c r="G373" s="179"/>
      <c r="H373" s="728" t="s">
        <v>46</v>
      </c>
      <c r="I373" s="269">
        <v>0</v>
      </c>
      <c r="J373" s="269">
        <f ca="1">IFERROR(__xludf.DUMMYFUNCTION("IMPORTRANGE(""https://docs.google.com/spreadsheets/d/1XWAQStnk-4SwqDmLtmXYiTMKHgktTP8We1SCoS47DrQ/edit?usp=sharing"",""จัดที่ดิน!J23"")"),474.77)</f>
        <v>474.77</v>
      </c>
      <c r="K373" s="465">
        <f t="shared" si="162"/>
        <v>0</v>
      </c>
      <c r="L373" s="163"/>
      <c r="M373" s="163"/>
      <c r="N373" s="163"/>
      <c r="O373" s="163"/>
      <c r="P373" s="163"/>
    </row>
    <row r="374" spans="1:26" ht="19.5">
      <c r="A374" s="450"/>
      <c r="B374" s="451"/>
      <c r="C374" s="453"/>
      <c r="D374" s="453" t="s">
        <v>168</v>
      </c>
      <c r="E374" s="454"/>
      <c r="F374" s="454"/>
      <c r="G374" s="455"/>
      <c r="H374" s="456" t="s">
        <v>35</v>
      </c>
      <c r="I374" s="464">
        <f ca="1">IFERROR(__xludf.DUMMYFUNCTION("IMPORTRANGE(""https://docs.google.com/spreadsheets/d/1QqKyyYR6Q21VydFLVH3TRQUabQu_ym0Zz7PgGX0-kHA/edit?usp=sharing"",""แผน!EU23"")"),1185)</f>
        <v>1185</v>
      </c>
      <c r="J374" s="458">
        <f ca="1">J381</f>
        <v>163</v>
      </c>
      <c r="K374" s="459">
        <f t="shared" ca="1" si="162"/>
        <v>13.755274261603375</v>
      </c>
      <c r="L374" s="460"/>
      <c r="M374" s="460"/>
      <c r="N374" s="460"/>
      <c r="O374" s="460"/>
      <c r="P374" s="460"/>
      <c r="Q374" s="449"/>
      <c r="R374" s="449"/>
      <c r="S374" s="449"/>
      <c r="T374" s="449"/>
      <c r="U374" s="449"/>
      <c r="V374" s="449"/>
      <c r="W374" s="449"/>
      <c r="X374" s="449"/>
      <c r="Y374" s="449"/>
      <c r="Z374" s="449"/>
    </row>
    <row r="375" spans="1:26" ht="19.5">
      <c r="A375" s="450"/>
      <c r="B375" s="451"/>
      <c r="C375" s="453"/>
      <c r="D375" s="461" t="s">
        <v>169</v>
      </c>
      <c r="E375" s="454"/>
      <c r="F375" s="454"/>
      <c r="G375" s="455"/>
      <c r="H375" s="462"/>
      <c r="I375" s="463"/>
      <c r="J375" s="463"/>
      <c r="K375" s="460"/>
      <c r="L375" s="460"/>
      <c r="M375" s="460"/>
      <c r="N375" s="460"/>
      <c r="O375" s="460"/>
      <c r="P375" s="460"/>
      <c r="Q375" s="449"/>
      <c r="R375" s="449"/>
      <c r="S375" s="449"/>
      <c r="T375" s="449"/>
      <c r="U375" s="449"/>
      <c r="V375" s="449"/>
      <c r="W375" s="449"/>
      <c r="X375" s="449"/>
      <c r="Y375" s="449"/>
      <c r="Z375" s="449"/>
    </row>
    <row r="376" spans="1:26" ht="19.5">
      <c r="A376" s="170"/>
      <c r="B376" s="171"/>
      <c r="C376" s="164" t="s">
        <v>16</v>
      </c>
      <c r="D376" s="818" t="s">
        <v>38</v>
      </c>
      <c r="E376" s="173"/>
      <c r="F376" s="173"/>
      <c r="G376" s="174"/>
      <c r="H376" s="726"/>
      <c r="I376" s="269"/>
      <c r="J376" s="269"/>
      <c r="K376" s="465"/>
      <c r="L376" s="163"/>
      <c r="M376" s="163"/>
      <c r="N376" s="163"/>
      <c r="O376" s="163"/>
      <c r="P376" s="163"/>
    </row>
    <row r="377" spans="1:26" ht="18.75">
      <c r="A377" s="170"/>
      <c r="B377" s="342"/>
      <c r="C377" s="171"/>
      <c r="D377" s="342"/>
      <c r="E377" s="343" t="s">
        <v>161</v>
      </c>
      <c r="F377" s="342"/>
      <c r="G377" s="179"/>
      <c r="H377" s="185" t="s">
        <v>35</v>
      </c>
      <c r="I377" s="269">
        <v>0</v>
      </c>
      <c r="J377" s="269">
        <f ca="1">IFERROR(__xludf.DUMMYFUNCTION("IMPORTRANGE(""https://docs.google.com/spreadsheets/d/1XWAQStnk-4SwqDmLtmXYiTMKHgktTP8We1SCoS47DrQ/edit?usp=sharing"",""จัดที่ดิน!AH23"")"),6)</f>
        <v>6</v>
      </c>
      <c r="K377" s="465">
        <f t="shared" ref="K377:K382" si="163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342"/>
      <c r="C378" s="171"/>
      <c r="D378" s="342"/>
      <c r="E378" s="342"/>
      <c r="F378" s="342"/>
      <c r="G378" s="179"/>
      <c r="H378" s="185" t="s">
        <v>46</v>
      </c>
      <c r="I378" s="269">
        <f ca="1">IFERROR(__xludf.DUMMYFUNCTION("IMPORTRANGE(""https://docs.google.com/spreadsheets/d/1QqKyyYR6Q21VydFLVH3TRQUabQu_ym0Zz7PgGX0-kHA/edit?usp=sharing"",""แผน!ET23"")"),4000)</f>
        <v>4000</v>
      </c>
      <c r="J378" s="269">
        <f ca="1">IFERROR(__xludf.DUMMYFUNCTION("IMPORTRANGE(""https://docs.google.com/spreadsheets/d/1XWAQStnk-4SwqDmLtmXYiTMKHgktTP8We1SCoS47DrQ/edit?usp=sharing"",""จัดที่ดิน!AI23"")"),102.61)</f>
        <v>102.61</v>
      </c>
      <c r="K378" s="465">
        <f t="shared" ca="1" si="163"/>
        <v>2.5652499999999998</v>
      </c>
      <c r="L378" s="163"/>
      <c r="M378" s="163"/>
      <c r="N378" s="163"/>
      <c r="O378" s="163"/>
      <c r="P378" s="163"/>
    </row>
    <row r="379" spans="1:26" ht="18.75">
      <c r="A379" s="170"/>
      <c r="B379" s="342"/>
      <c r="C379" s="171"/>
      <c r="D379" s="342"/>
      <c r="E379" s="343" t="s">
        <v>162</v>
      </c>
      <c r="F379" s="342"/>
      <c r="G379" s="179"/>
      <c r="H379" s="728" t="s">
        <v>35</v>
      </c>
      <c r="I379" s="269">
        <f ca="1">IFERROR(__xludf.DUMMYFUNCTION("IMPORTRANGE(""https://docs.google.com/spreadsheets/d/1QqKyyYR6Q21VydFLVH3TRQUabQu_ym0Zz7PgGX0-kHA/edit?usp=sharing"",""แผน!EU23"")"),1185)</f>
        <v>1185</v>
      </c>
      <c r="J379" s="269">
        <f ca="1">IFERROR(__xludf.DUMMYFUNCTION("IMPORTRANGE(""https://docs.google.com/spreadsheets/d/1XWAQStnk-4SwqDmLtmXYiTMKHgktTP8We1SCoS47DrQ/edit?usp=sharing"",""จัดที่ดิน!AJ23"")"),169)</f>
        <v>169</v>
      </c>
      <c r="K379" s="465">
        <f t="shared" ca="1" si="163"/>
        <v>14.261603375527427</v>
      </c>
      <c r="L379" s="163"/>
      <c r="M379" s="163"/>
      <c r="N379" s="163"/>
      <c r="O379" s="163"/>
      <c r="P379" s="163"/>
    </row>
    <row r="380" spans="1:26" ht="18.75">
      <c r="A380" s="170"/>
      <c r="B380" s="342"/>
      <c r="C380" s="171"/>
      <c r="D380" s="342"/>
      <c r="E380" s="342"/>
      <c r="F380" s="342"/>
      <c r="G380" s="179"/>
      <c r="H380" s="728" t="s">
        <v>46</v>
      </c>
      <c r="I380" s="269">
        <v>0</v>
      </c>
      <c r="J380" s="269">
        <f ca="1">IFERROR(__xludf.DUMMYFUNCTION("IMPORTRANGE(""https://docs.google.com/spreadsheets/d/1XWAQStnk-4SwqDmLtmXYiTMKHgktTP8We1SCoS47DrQ/edit?usp=sharing"",""จัดที่ดิน!AK23"")"),2983.78)</f>
        <v>2983.78</v>
      </c>
      <c r="K380" s="465">
        <f t="shared" si="163"/>
        <v>0</v>
      </c>
      <c r="L380" s="163"/>
      <c r="M380" s="163"/>
      <c r="N380" s="163"/>
      <c r="O380" s="163"/>
      <c r="P380" s="163"/>
    </row>
    <row r="381" spans="1:26" ht="18.75">
      <c r="A381" s="170"/>
      <c r="B381" s="342"/>
      <c r="C381" s="171"/>
      <c r="D381" s="342"/>
      <c r="E381" s="343" t="s">
        <v>163</v>
      </c>
      <c r="F381" s="342"/>
      <c r="G381" s="179"/>
      <c r="H381" s="728" t="s">
        <v>35</v>
      </c>
      <c r="I381" s="269">
        <f ca="1">IFERROR(__xludf.DUMMYFUNCTION("IMPORTRANGE(""https://docs.google.com/spreadsheets/d/1QqKyyYR6Q21VydFLVH3TRQUabQu_ym0Zz7PgGX0-kHA/edit?usp=sharing"",""แผน!EU23"")"),1185)</f>
        <v>1185</v>
      </c>
      <c r="J381" s="269">
        <f ca="1">IFERROR(__xludf.DUMMYFUNCTION("IMPORTRANGE(""https://docs.google.com/spreadsheets/d/1XWAQStnk-4SwqDmLtmXYiTMKHgktTP8We1SCoS47DrQ/edit?usp=sharing"",""จัดที่ดิน!AL23"")"),163)</f>
        <v>163</v>
      </c>
      <c r="K381" s="465">
        <f t="shared" ca="1" si="163"/>
        <v>13.755274261603375</v>
      </c>
      <c r="L381" s="163"/>
      <c r="M381" s="163"/>
      <c r="N381" s="163"/>
      <c r="O381" s="163"/>
      <c r="P381" s="163"/>
    </row>
    <row r="382" spans="1:26" ht="18.75">
      <c r="A382" s="438" t="s">
        <v>164</v>
      </c>
      <c r="B382" s="342"/>
      <c r="C382" s="171"/>
      <c r="D382" s="342"/>
      <c r="E382" s="415"/>
      <c r="F382" s="342"/>
      <c r="G382" s="179"/>
      <c r="H382" s="728" t="s">
        <v>46</v>
      </c>
      <c r="I382" s="269">
        <v>0</v>
      </c>
      <c r="J382" s="269">
        <f ca="1">IFERROR(__xludf.DUMMYFUNCTION("IMPORTRANGE(""https://docs.google.com/spreadsheets/d/1XWAQStnk-4SwqDmLtmXYiTMKHgktTP8We1SCoS47DrQ/edit?usp=sharing"",""จัดที่ดิน!AM23"")"),2881.16)</f>
        <v>2881.16</v>
      </c>
      <c r="K382" s="465">
        <f t="shared" si="163"/>
        <v>0</v>
      </c>
      <c r="L382" s="163"/>
      <c r="M382" s="163"/>
      <c r="N382" s="163"/>
      <c r="O382" s="163"/>
      <c r="P382" s="163"/>
    </row>
    <row r="383" spans="1:26" ht="19.5">
      <c r="A383" s="255"/>
      <c r="B383" s="263"/>
      <c r="C383" s="256"/>
      <c r="D383" s="845" t="s">
        <v>170</v>
      </c>
      <c r="E383" s="256"/>
      <c r="F383" s="256"/>
      <c r="G383" s="258"/>
      <c r="H383" s="423"/>
      <c r="I383" s="260"/>
      <c r="J383" s="260"/>
      <c r="K383" s="261"/>
      <c r="L383" s="261"/>
      <c r="M383" s="261"/>
      <c r="N383" s="261"/>
      <c r="O383" s="261"/>
      <c r="P383" s="261"/>
    </row>
    <row r="384" spans="1:26" ht="19.5">
      <c r="A384" s="170"/>
      <c r="B384" s="171"/>
      <c r="C384" s="33" t="s">
        <v>16</v>
      </c>
      <c r="D384" s="818" t="s">
        <v>38</v>
      </c>
      <c r="E384" s="173"/>
      <c r="F384" s="173"/>
      <c r="G384" s="174"/>
      <c r="H384" s="726"/>
      <c r="I384" s="269"/>
      <c r="J384" s="269"/>
      <c r="K384" s="465"/>
      <c r="L384" s="163"/>
      <c r="M384" s="163"/>
      <c r="N384" s="163"/>
      <c r="O384" s="163"/>
      <c r="P384" s="163"/>
    </row>
    <row r="385" spans="1:26" ht="18.75">
      <c r="A385" s="346"/>
      <c r="B385" s="349"/>
      <c r="C385" s="347"/>
      <c r="D385" s="349"/>
      <c r="E385" s="466" t="s">
        <v>163</v>
      </c>
      <c r="F385" s="349"/>
      <c r="G385" s="350"/>
      <c r="H385" s="467" t="s">
        <v>35</v>
      </c>
      <c r="I385" s="468">
        <f ca="1">IFERROR(__xludf.DUMMYFUNCTION("IMPORTRANGE(""https://docs.google.com/spreadsheets/d/1QqKyyYR6Q21VydFLVH3TRQUabQu_ym0Zz7PgGX0-kHA/edit?usp=sharing"",""แผน!EW23"")"),10)</f>
        <v>10</v>
      </c>
      <c r="J385" s="468">
        <f ca="1">IFERROR(__xludf.DUMMYFUNCTION("IMPORTRANGE(""https://docs.google.com/spreadsheets/d/1XWAQStnk-4SwqDmLtmXYiTMKHgktTP8We1SCoS47DrQ/edit?usp=sharing"",""จัดที่ดิน!AP23"")"),0)</f>
        <v>0</v>
      </c>
      <c r="K385" s="469">
        <f ca="1">IF(I385&gt;0,J385*100/I385,0)</f>
        <v>0</v>
      </c>
      <c r="L385" s="353"/>
      <c r="M385" s="353"/>
      <c r="N385" s="353"/>
      <c r="O385" s="353"/>
      <c r="P385" s="353"/>
    </row>
    <row r="386" spans="1:26" ht="19.5" hidden="1">
      <c r="A386" s="470" t="s">
        <v>171</v>
      </c>
      <c r="B386" s="471"/>
      <c r="C386" s="471"/>
      <c r="D386" s="471"/>
      <c r="E386" s="472"/>
      <c r="F386" s="472"/>
      <c r="G386" s="473"/>
      <c r="H386" s="474"/>
      <c r="I386" s="475"/>
      <c r="J386" s="475"/>
      <c r="K386" s="476"/>
      <c r="L386" s="476"/>
      <c r="M386" s="476"/>
      <c r="N386" s="476"/>
      <c r="O386" s="476"/>
      <c r="P386" s="476"/>
    </row>
    <row r="387" spans="1:26" ht="19.5" hidden="1">
      <c r="A387" s="477" t="s">
        <v>172</v>
      </c>
      <c r="B387" s="478"/>
      <c r="C387" s="478"/>
      <c r="D387" s="479"/>
      <c r="E387" s="478"/>
      <c r="F387" s="478"/>
      <c r="G387" s="478"/>
      <c r="H387" s="480"/>
      <c r="I387" s="481"/>
      <c r="J387" s="481"/>
      <c r="K387" s="482"/>
      <c r="L387" s="482"/>
      <c r="M387" s="482"/>
      <c r="N387" s="482"/>
      <c r="O387" s="482"/>
      <c r="P387" s="482"/>
    </row>
    <row r="388" spans="1:26" ht="19.5" hidden="1">
      <c r="A388" s="483"/>
      <c r="B388" s="484" t="s">
        <v>173</v>
      </c>
      <c r="C388" s="485"/>
      <c r="D388" s="486"/>
      <c r="E388" s="486"/>
      <c r="F388" s="486"/>
      <c r="G388" s="487"/>
      <c r="H388" s="488" t="s">
        <v>69</v>
      </c>
      <c r="I388" s="489">
        <f t="shared" ref="I388:J388" si="164">I400</f>
        <v>0</v>
      </c>
      <c r="J388" s="489">
        <f t="shared" si="164"/>
        <v>0</v>
      </c>
      <c r="K388" s="490">
        <f>IF(I388&gt;0,J388*100/I388,0)</f>
        <v>0</v>
      </c>
      <c r="L388" s="491"/>
      <c r="M388" s="491"/>
      <c r="N388" s="491"/>
      <c r="O388" s="491"/>
      <c r="P388" s="491"/>
    </row>
    <row r="389" spans="1:26" ht="19.5" hidden="1">
      <c r="A389" s="147"/>
      <c r="B389" s="148"/>
      <c r="C389" s="149" t="s">
        <v>16</v>
      </c>
      <c r="D389" s="817" t="s">
        <v>17</v>
      </c>
      <c r="E389" s="148"/>
      <c r="F389" s="148"/>
      <c r="G389" s="151"/>
      <c r="H389" s="152" t="s">
        <v>12</v>
      </c>
      <c r="I389" s="388"/>
      <c r="J389" s="388"/>
      <c r="K389" s="154"/>
      <c r="L389" s="155">
        <f t="shared" ref="L389:N389" ca="1" si="165">L390+L391</f>
        <v>0</v>
      </c>
      <c r="M389" s="155">
        <f t="shared" ca="1" si="165"/>
        <v>0</v>
      </c>
      <c r="N389" s="155">
        <f t="shared" ca="1" si="165"/>
        <v>0</v>
      </c>
      <c r="O389" s="155">
        <f t="shared" ref="O389:O397" ca="1" si="166">IF(L389&gt;0,N389*100/L389,0)</f>
        <v>0</v>
      </c>
      <c r="P389" s="155">
        <f t="shared" ref="P389:P397" ca="1" si="167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2" t="s">
        <v>18</v>
      </c>
      <c r="F390" s="40"/>
      <c r="G390" s="157"/>
      <c r="H390" s="158" t="s">
        <v>12</v>
      </c>
      <c r="I390" s="583"/>
      <c r="J390" s="583"/>
      <c r="K390" s="93"/>
      <c r="L390" s="93">
        <f t="shared" ref="L390:N391" si="168">L393+L396</f>
        <v>0</v>
      </c>
      <c r="M390" s="93">
        <f t="shared" si="168"/>
        <v>0</v>
      </c>
      <c r="N390" s="93">
        <f t="shared" si="168"/>
        <v>0</v>
      </c>
      <c r="O390" s="93">
        <f t="shared" si="166"/>
        <v>0</v>
      </c>
      <c r="P390" s="93">
        <f t="shared" si="167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2" t="s">
        <v>19</v>
      </c>
      <c r="F391" s="40"/>
      <c r="G391" s="157"/>
      <c r="H391" s="158" t="s">
        <v>12</v>
      </c>
      <c r="I391" s="583"/>
      <c r="J391" s="583"/>
      <c r="K391" s="93"/>
      <c r="L391" s="93">
        <f t="shared" ca="1" si="168"/>
        <v>0</v>
      </c>
      <c r="M391" s="93">
        <f t="shared" ca="1" si="168"/>
        <v>0</v>
      </c>
      <c r="N391" s="93">
        <f t="shared" ca="1" si="168"/>
        <v>0</v>
      </c>
      <c r="O391" s="93">
        <f t="shared" ca="1" si="166"/>
        <v>0</v>
      </c>
      <c r="P391" s="93">
        <f t="shared" ca="1" si="167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1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65">
        <f t="shared" ref="L392:N392" ca="1" si="169">L393+L394</f>
        <v>0</v>
      </c>
      <c r="M392" s="465">
        <f t="shared" ca="1" si="169"/>
        <v>0</v>
      </c>
      <c r="N392" s="465">
        <f t="shared" ca="1" si="169"/>
        <v>0</v>
      </c>
      <c r="O392" s="465">
        <f t="shared" ca="1" si="166"/>
        <v>0</v>
      </c>
      <c r="P392" s="465">
        <f t="shared" ca="1" si="167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2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6"/>
        <v>0</v>
      </c>
      <c r="P393" s="93">
        <f t="shared" si="167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2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IFERROR(__xludf.DUMMYFUNCTION("IMPORTRANGE(""https://docs.google.com/spreadsheets/d/1MeEWN-I1oV_STSDYn1IFDPWt_1FKiwhDph83XaGc0o0/edit?usp=sharing"",""งบพรบ!FG23"")"),0)</f>
        <v>0</v>
      </c>
      <c r="M394" s="93">
        <f ca="1">IFERROR(__xludf.DUMMYFUNCTION("IMPORTRANGE(""https://docs.google.com/spreadsheets/d/1MeEWN-I1oV_STSDYn1IFDPWt_1FKiwhDph83XaGc0o0/edit?usp=sharing"",""งบพรบ!FL23"")"),0)</f>
        <v>0</v>
      </c>
      <c r="N394" s="93">
        <f ca="1">IFERROR(__xludf.DUMMYFUNCTION("IMPORTRANGE(""https://docs.google.com/spreadsheets/d/1MeEWN-I1oV_STSDYn1IFDPWt_1FKiwhDph83XaGc0o0/edit?usp=sharing"",""งบพรบ!FN23"")"),0)</f>
        <v>0</v>
      </c>
      <c r="O394" s="93">
        <f t="shared" ca="1" si="166"/>
        <v>0</v>
      </c>
      <c r="P394" s="93">
        <f t="shared" ca="1" si="167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1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65">
        <f t="shared" ref="L395:N395" ca="1" si="170">L396+L397</f>
        <v>0</v>
      </c>
      <c r="M395" s="465">
        <f t="shared" ca="1" si="170"/>
        <v>0</v>
      </c>
      <c r="N395" s="465">
        <f t="shared" ca="1" si="170"/>
        <v>0</v>
      </c>
      <c r="O395" s="465">
        <f t="shared" ca="1" si="166"/>
        <v>0</v>
      </c>
      <c r="P395" s="465">
        <f t="shared" ca="1" si="167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2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6"/>
        <v>0</v>
      </c>
      <c r="P396" s="93">
        <f t="shared" si="167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2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IFERROR(__xludf.DUMMYFUNCTION("IMPORTRANGE(""https://docs.google.com/spreadsheets/d/1MeEWN-I1oV_STSDYn1IFDPWt_1FKiwhDph83XaGc0o0/edit?usp=sharing"",""งบพรบ!FJ23"")"),0)</f>
        <v>0</v>
      </c>
      <c r="M397" s="93">
        <f ca="1">IFERROR(__xludf.DUMMYFUNCTION("IMPORTRANGE(""https://docs.google.com/spreadsheets/d/1MeEWN-I1oV_STSDYn1IFDPWt_1FKiwhDph83XaGc0o0/edit?usp=sharing"",""งบพรบ!FM23"")"),0)</f>
        <v>0</v>
      </c>
      <c r="N397" s="93">
        <f ca="1">IFERROR(__xludf.DUMMYFUNCTION("IMPORTRANGE(""https://docs.google.com/spreadsheets/d/1MeEWN-I1oV_STSDYn1IFDPWt_1FKiwhDph83XaGc0o0/edit?usp=sharing"",""งบพรบ!FO23"")"),0)</f>
        <v>0</v>
      </c>
      <c r="O397" s="93">
        <f t="shared" ca="1" si="166"/>
        <v>0</v>
      </c>
      <c r="P397" s="93">
        <f t="shared" ca="1" si="167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18" t="s">
        <v>38</v>
      </c>
      <c r="E398" s="173"/>
      <c r="F398" s="173"/>
      <c r="G398" s="174"/>
      <c r="H398" s="726"/>
      <c r="I398" s="184"/>
      <c r="J398" s="269"/>
      <c r="K398" s="465"/>
      <c r="L398" s="465"/>
      <c r="M398" s="465"/>
      <c r="N398" s="465"/>
      <c r="O398" s="163"/>
      <c r="P398" s="163"/>
    </row>
    <row r="399" spans="1:26" ht="18.75" hidden="1">
      <c r="A399" s="492"/>
      <c r="B399" s="148"/>
      <c r="C399" s="493"/>
      <c r="D399" s="494" t="s">
        <v>174</v>
      </c>
      <c r="E399" s="383"/>
      <c r="F399" s="148"/>
      <c r="G399" s="151"/>
      <c r="H399" s="495" t="s">
        <v>9</v>
      </c>
      <c r="I399" s="269">
        <v>0</v>
      </c>
      <c r="J399" s="214">
        <v>0</v>
      </c>
      <c r="K399" s="465">
        <f t="shared" ref="K399:K401" si="171">IF(I399&gt;0,J399*100/I399,0)</f>
        <v>0</v>
      </c>
      <c r="L399" s="496"/>
      <c r="M399" s="496"/>
      <c r="N399" s="496"/>
      <c r="O399" s="496"/>
      <c r="P399" s="496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3"/>
      <c r="B400" s="33"/>
      <c r="C400" s="280"/>
      <c r="D400" s="415" t="s">
        <v>175</v>
      </c>
      <c r="E400" s="171"/>
      <c r="F400" s="33"/>
      <c r="G400" s="35"/>
      <c r="H400" s="276" t="s">
        <v>69</v>
      </c>
      <c r="I400" s="269">
        <v>0</v>
      </c>
      <c r="J400" s="214">
        <v>0</v>
      </c>
      <c r="K400" s="465">
        <f t="shared" si="171"/>
        <v>0</v>
      </c>
      <c r="L400" s="465"/>
      <c r="M400" s="465"/>
      <c r="N400" s="465"/>
      <c r="O400" s="465"/>
      <c r="P400" s="465"/>
    </row>
    <row r="401" spans="1:26" ht="19.5" hidden="1">
      <c r="A401" s="483"/>
      <c r="B401" s="484" t="s">
        <v>176</v>
      </c>
      <c r="C401" s="485"/>
      <c r="D401" s="486"/>
      <c r="E401" s="486"/>
      <c r="F401" s="486"/>
      <c r="G401" s="487"/>
      <c r="H401" s="488" t="s">
        <v>69</v>
      </c>
      <c r="I401" s="489">
        <f t="shared" ref="I401:J401" si="172">I412</f>
        <v>0</v>
      </c>
      <c r="J401" s="489">
        <f t="shared" si="172"/>
        <v>0</v>
      </c>
      <c r="K401" s="490">
        <f t="shared" si="171"/>
        <v>0</v>
      </c>
      <c r="L401" s="491"/>
      <c r="M401" s="491"/>
      <c r="N401" s="491"/>
      <c r="O401" s="491"/>
      <c r="P401" s="491"/>
    </row>
    <row r="402" spans="1:26" ht="19.5" hidden="1">
      <c r="A402" s="147"/>
      <c r="B402" s="148"/>
      <c r="C402" s="149" t="s">
        <v>16</v>
      </c>
      <c r="D402" s="817" t="s">
        <v>17</v>
      </c>
      <c r="E402" s="148"/>
      <c r="F402" s="148"/>
      <c r="G402" s="151"/>
      <c r="H402" s="152" t="s">
        <v>12</v>
      </c>
      <c r="I402" s="388"/>
      <c r="J402" s="388"/>
      <c r="K402" s="154"/>
      <c r="L402" s="155">
        <f t="shared" ref="L402:N402" ca="1" si="173">L403+L404</f>
        <v>0</v>
      </c>
      <c r="M402" s="155">
        <f t="shared" ca="1" si="173"/>
        <v>0</v>
      </c>
      <c r="N402" s="155">
        <f t="shared" ca="1" si="173"/>
        <v>0</v>
      </c>
      <c r="O402" s="155">
        <f t="shared" ref="O402:O410" ca="1" si="174">IF(L402&gt;0,N402*100/L402,0)</f>
        <v>0</v>
      </c>
      <c r="P402" s="155">
        <f t="shared" ref="P402:P410" ca="1" si="175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2" t="s">
        <v>18</v>
      </c>
      <c r="F403" s="40"/>
      <c r="G403" s="157"/>
      <c r="H403" s="158" t="s">
        <v>12</v>
      </c>
      <c r="I403" s="583"/>
      <c r="J403" s="583"/>
      <c r="K403" s="93"/>
      <c r="L403" s="93">
        <f t="shared" ref="L403:N404" si="176">L406+L409</f>
        <v>0</v>
      </c>
      <c r="M403" s="93">
        <f t="shared" si="176"/>
        <v>0</v>
      </c>
      <c r="N403" s="93">
        <f t="shared" si="176"/>
        <v>0</v>
      </c>
      <c r="O403" s="93">
        <f t="shared" si="174"/>
        <v>0</v>
      </c>
      <c r="P403" s="93">
        <f t="shared" si="175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2" t="s">
        <v>19</v>
      </c>
      <c r="F404" s="40"/>
      <c r="G404" s="157"/>
      <c r="H404" s="158" t="s">
        <v>12</v>
      </c>
      <c r="I404" s="583"/>
      <c r="J404" s="583"/>
      <c r="K404" s="93"/>
      <c r="L404" s="93">
        <f t="shared" ca="1" si="176"/>
        <v>0</v>
      </c>
      <c r="M404" s="93">
        <f t="shared" ca="1" si="176"/>
        <v>0</v>
      </c>
      <c r="N404" s="93">
        <f t="shared" ca="1" si="176"/>
        <v>0</v>
      </c>
      <c r="O404" s="93">
        <f t="shared" ca="1" si="174"/>
        <v>0</v>
      </c>
      <c r="P404" s="93">
        <f t="shared" ca="1" si="175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1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65">
        <f t="shared" ref="L405:N405" ca="1" si="177">L406+L407</f>
        <v>0</v>
      </c>
      <c r="M405" s="465">
        <f t="shared" ca="1" si="177"/>
        <v>0</v>
      </c>
      <c r="N405" s="465">
        <f t="shared" ca="1" si="177"/>
        <v>0</v>
      </c>
      <c r="O405" s="465">
        <f t="shared" ca="1" si="174"/>
        <v>0</v>
      </c>
      <c r="P405" s="465">
        <f t="shared" ca="1" si="175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2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4"/>
        <v>0</v>
      </c>
      <c r="P406" s="93">
        <f t="shared" si="175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2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IFERROR(__xludf.DUMMYFUNCTION("IMPORTRANGE(""https://docs.google.com/spreadsheets/d/1MeEWN-I1oV_STSDYn1IFDPWt_1FKiwhDph83XaGc0o0/edit?usp=sharing"",""งบพรบ!FQ23"")"),0)</f>
        <v>0</v>
      </c>
      <c r="M407" s="93">
        <f ca="1">IFERROR(__xludf.DUMMYFUNCTION("IMPORTRANGE(""https://docs.google.com/spreadsheets/d/1MeEWN-I1oV_STSDYn1IFDPWt_1FKiwhDph83XaGc0o0/edit?usp=sharing"",""งบพรบ!FV23"")"),0)</f>
        <v>0</v>
      </c>
      <c r="N407" s="93">
        <f ca="1">IFERROR(__xludf.DUMMYFUNCTION("IMPORTRANGE(""https://docs.google.com/spreadsheets/d/1MeEWN-I1oV_STSDYn1IFDPWt_1FKiwhDph83XaGc0o0/edit?usp=sharing"",""งบพรบ!FX23"")"),0)</f>
        <v>0</v>
      </c>
      <c r="O407" s="93">
        <f t="shared" ca="1" si="174"/>
        <v>0</v>
      </c>
      <c r="P407" s="93">
        <f t="shared" ca="1" si="175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1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65">
        <f t="shared" ref="L408:N408" ca="1" si="178">L409+L410</f>
        <v>0</v>
      </c>
      <c r="M408" s="465">
        <f t="shared" ca="1" si="178"/>
        <v>0</v>
      </c>
      <c r="N408" s="465">
        <f t="shared" ca="1" si="178"/>
        <v>0</v>
      </c>
      <c r="O408" s="465">
        <f t="shared" ca="1" si="174"/>
        <v>0</v>
      </c>
      <c r="P408" s="465">
        <f t="shared" ca="1" si="175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2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4"/>
        <v>0</v>
      </c>
      <c r="P409" s="93">
        <f t="shared" si="175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2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IFERROR(__xludf.DUMMYFUNCTION("IMPORTRANGE(""https://docs.google.com/spreadsheets/d/1MeEWN-I1oV_STSDYn1IFDPWt_1FKiwhDph83XaGc0o0/edit?usp=sharing"",""งบพรบ!FT23"")"),0)</f>
        <v>0</v>
      </c>
      <c r="M410" s="93">
        <f ca="1">IFERROR(__xludf.DUMMYFUNCTION("IMPORTRANGE(""https://docs.google.com/spreadsheets/d/1MeEWN-I1oV_STSDYn1IFDPWt_1FKiwhDph83XaGc0o0/edit?usp=sharing"",""งบพรบ!FW23"")"),0)</f>
        <v>0</v>
      </c>
      <c r="N410" s="93">
        <f ca="1">IFERROR(__xludf.DUMMYFUNCTION("IMPORTRANGE(""https://docs.google.com/spreadsheets/d/1MeEWN-I1oV_STSDYn1IFDPWt_1FKiwhDph83XaGc0o0/edit?usp=sharing"",""งบพรบ!FY23"")"),0)</f>
        <v>0</v>
      </c>
      <c r="O410" s="93">
        <f t="shared" ca="1" si="174"/>
        <v>0</v>
      </c>
      <c r="P410" s="93">
        <f t="shared" ca="1" si="175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47" t="s">
        <v>38</v>
      </c>
      <c r="E411" s="498"/>
      <c r="F411" s="498"/>
      <c r="G411" s="499"/>
      <c r="H411" s="726"/>
      <c r="I411" s="269"/>
      <c r="J411" s="269"/>
      <c r="K411" s="465"/>
      <c r="L411" s="163"/>
      <c r="M411" s="163"/>
      <c r="N411" s="163"/>
      <c r="O411" s="163"/>
      <c r="P411" s="163"/>
    </row>
    <row r="412" spans="1:26" ht="18.75" hidden="1">
      <c r="A412" s="170"/>
      <c r="B412" s="342"/>
      <c r="C412" s="342"/>
      <c r="D412" s="415" t="s">
        <v>177</v>
      </c>
      <c r="E412" s="342"/>
      <c r="F412" s="342"/>
      <c r="G412" s="179"/>
      <c r="H412" s="500" t="s">
        <v>69</v>
      </c>
      <c r="I412" s="269">
        <v>0</v>
      </c>
      <c r="J412" s="214">
        <v>0</v>
      </c>
      <c r="K412" s="465">
        <f t="shared" ref="K412:K413" si="179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01"/>
      <c r="B413" s="502"/>
      <c r="C413" s="502"/>
      <c r="D413" s="503" t="s">
        <v>178</v>
      </c>
      <c r="E413" s="502"/>
      <c r="F413" s="502"/>
      <c r="G413" s="504"/>
      <c r="H413" s="505" t="s">
        <v>179</v>
      </c>
      <c r="I413" s="506">
        <v>0</v>
      </c>
      <c r="J413" s="507">
        <v>0</v>
      </c>
      <c r="K413" s="508">
        <f t="shared" si="179"/>
        <v>0</v>
      </c>
      <c r="L413" s="509"/>
      <c r="M413" s="509"/>
      <c r="N413" s="509"/>
      <c r="O413" s="509"/>
      <c r="P413" s="509"/>
    </row>
    <row r="414" spans="1:26" ht="19.5">
      <c r="A414" s="510" t="s">
        <v>180</v>
      </c>
      <c r="B414" s="511"/>
      <c r="C414" s="511"/>
      <c r="D414" s="511"/>
      <c r="E414" s="511"/>
      <c r="F414" s="511"/>
      <c r="G414" s="512"/>
      <c r="H414" s="513"/>
      <c r="I414" s="514"/>
      <c r="J414" s="514"/>
      <c r="K414" s="515"/>
      <c r="L414" s="516">
        <f t="shared" ref="L414:N414" ca="1" si="180">L419+L444+L467+L502+L523+L544+L629+L655+L685+L737+L754+L770+L786+L805</f>
        <v>2822723</v>
      </c>
      <c r="M414" s="516">
        <f t="shared" si="180"/>
        <v>0</v>
      </c>
      <c r="N414" s="516">
        <f t="shared" si="180"/>
        <v>272268</v>
      </c>
      <c r="O414" s="516">
        <f ca="1">IF(L414&gt;0,N414*100/L414,0)</f>
        <v>9.645579817785876</v>
      </c>
      <c r="P414" s="516">
        <f>IF(M414&gt;0,N414*100/M414,0)</f>
        <v>0</v>
      </c>
    </row>
    <row r="415" spans="1:26" ht="19.5">
      <c r="A415" s="517" t="s">
        <v>181</v>
      </c>
      <c r="B415" s="518"/>
      <c r="C415" s="518"/>
      <c r="D415" s="518"/>
      <c r="E415" s="518"/>
      <c r="F415" s="518"/>
      <c r="G415" s="518"/>
      <c r="H415" s="519"/>
      <c r="I415" s="520"/>
      <c r="J415" s="520"/>
      <c r="K415" s="521"/>
      <c r="L415" s="522"/>
      <c r="M415" s="522"/>
      <c r="N415" s="522"/>
      <c r="O415" s="522"/>
      <c r="P415" s="522"/>
    </row>
    <row r="416" spans="1:26" ht="19.5">
      <c r="A416" s="517" t="s">
        <v>182</v>
      </c>
      <c r="B416" s="518"/>
      <c r="C416" s="518"/>
      <c r="D416" s="518"/>
      <c r="E416" s="518"/>
      <c r="F416" s="518"/>
      <c r="G416" s="523"/>
      <c r="H416" s="524"/>
      <c r="I416" s="525"/>
      <c r="J416" s="525"/>
      <c r="K416" s="522"/>
      <c r="L416" s="522"/>
      <c r="M416" s="522"/>
      <c r="N416" s="522"/>
      <c r="O416" s="522"/>
      <c r="P416" s="522"/>
    </row>
    <row r="417" spans="1:26" ht="22.5" customHeight="1">
      <c r="A417" s="526">
        <v>1</v>
      </c>
      <c r="B417" s="528" t="s">
        <v>183</v>
      </c>
      <c r="C417" s="528"/>
      <c r="D417" s="529"/>
      <c r="E417" s="529"/>
      <c r="F417" s="529"/>
      <c r="G417" s="530"/>
      <c r="H417" s="531" t="s">
        <v>35</v>
      </c>
      <c r="I417" s="532">
        <f t="shared" ref="I417:J418" ca="1" si="181">I433</f>
        <v>20</v>
      </c>
      <c r="J417" s="532">
        <f t="shared" ca="1" si="181"/>
        <v>0</v>
      </c>
      <c r="K417" s="533">
        <f t="shared" ref="K417:K418" ca="1" si="182">IF(I417&gt;0,J417*100/I417,0)</f>
        <v>0</v>
      </c>
      <c r="L417" s="534"/>
      <c r="M417" s="534"/>
      <c r="N417" s="534"/>
      <c r="O417" s="534"/>
      <c r="P417" s="534"/>
    </row>
    <row r="418" spans="1:26" ht="19.5">
      <c r="A418" s="535"/>
      <c r="B418" s="526"/>
      <c r="C418" s="528"/>
      <c r="D418" s="529"/>
      <c r="E418" s="529"/>
      <c r="F418" s="529"/>
      <c r="G418" s="530"/>
      <c r="H418" s="531" t="s">
        <v>49</v>
      </c>
      <c r="I418" s="532">
        <f t="shared" ca="1" si="181"/>
        <v>1</v>
      </c>
      <c r="J418" s="532">
        <f t="shared" si="181"/>
        <v>0</v>
      </c>
      <c r="K418" s="533">
        <f t="shared" ca="1" si="182"/>
        <v>0</v>
      </c>
      <c r="L418" s="534"/>
      <c r="M418" s="534"/>
      <c r="N418" s="534"/>
      <c r="O418" s="534"/>
      <c r="P418" s="534"/>
    </row>
    <row r="419" spans="1:26" ht="19.5">
      <c r="A419" s="147"/>
      <c r="B419" s="148"/>
      <c r="C419" s="148" t="s">
        <v>16</v>
      </c>
      <c r="D419" s="848" t="s">
        <v>17</v>
      </c>
      <c r="E419" s="810"/>
      <c r="F419" s="810"/>
      <c r="G419" s="151"/>
      <c r="H419" s="274" t="s">
        <v>12</v>
      </c>
      <c r="I419" s="388"/>
      <c r="J419" s="388"/>
      <c r="K419" s="154"/>
      <c r="L419" s="155">
        <f t="shared" ref="L419:N419" ca="1" si="183">L420+L421</f>
        <v>78660</v>
      </c>
      <c r="M419" s="155">
        <f t="shared" si="183"/>
        <v>0</v>
      </c>
      <c r="N419" s="155">
        <f t="shared" si="183"/>
        <v>22128</v>
      </c>
      <c r="O419" s="155">
        <f t="shared" ref="O419:O424" ca="1" si="184">IF(L419&gt;0,N419*100/L419,0)</f>
        <v>28.131197559115179</v>
      </c>
      <c r="P419" s="155">
        <f t="shared" ref="P419:P424" si="185">IF(M419&gt;0,N419*100/M419,0)</f>
        <v>0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536"/>
      <c r="E420" s="222" t="s">
        <v>184</v>
      </c>
      <c r="F420" s="40"/>
      <c r="G420" s="157"/>
      <c r="H420" s="165" t="s">
        <v>12</v>
      </c>
      <c r="I420" s="583"/>
      <c r="J420" s="583"/>
      <c r="K420" s="93"/>
      <c r="L420" s="93">
        <f t="shared" ref="L420:N421" si="186">L423+L430</f>
        <v>0</v>
      </c>
      <c r="M420" s="93">
        <f t="shared" si="186"/>
        <v>0</v>
      </c>
      <c r="N420" s="93">
        <f t="shared" si="186"/>
        <v>0</v>
      </c>
      <c r="O420" s="93">
        <f t="shared" si="184"/>
        <v>0</v>
      </c>
      <c r="P420" s="93">
        <f t="shared" si="185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536"/>
      <c r="E421" s="222" t="s">
        <v>185</v>
      </c>
      <c r="F421" s="40"/>
      <c r="G421" s="157"/>
      <c r="H421" s="165" t="s">
        <v>12</v>
      </c>
      <c r="I421" s="583"/>
      <c r="J421" s="583"/>
      <c r="K421" s="93"/>
      <c r="L421" s="93">
        <f t="shared" ca="1" si="186"/>
        <v>78660</v>
      </c>
      <c r="M421" s="93">
        <f t="shared" si="186"/>
        <v>0</v>
      </c>
      <c r="N421" s="93">
        <f t="shared" si="186"/>
        <v>22128</v>
      </c>
      <c r="O421" s="93">
        <f t="shared" ca="1" si="184"/>
        <v>28.131197559115179</v>
      </c>
      <c r="P421" s="93">
        <f t="shared" si="185"/>
        <v>0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0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65">
        <f t="shared" ref="L422:N422" ca="1" si="187">L423+L424</f>
        <v>78660</v>
      </c>
      <c r="M422" s="465">
        <f t="shared" si="187"/>
        <v>0</v>
      </c>
      <c r="N422" s="465">
        <f t="shared" si="187"/>
        <v>22128</v>
      </c>
      <c r="O422" s="465">
        <f t="shared" ca="1" si="184"/>
        <v>28.131197559115179</v>
      </c>
      <c r="P422" s="465">
        <f t="shared" si="185"/>
        <v>0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536"/>
      <c r="E423" s="222" t="s">
        <v>184</v>
      </c>
      <c r="F423" s="40"/>
      <c r="G423" s="157"/>
      <c r="H423" s="165" t="s">
        <v>12</v>
      </c>
      <c r="I423" s="583"/>
      <c r="J423" s="583"/>
      <c r="K423" s="93"/>
      <c r="L423" s="93">
        <v>0</v>
      </c>
      <c r="M423" s="93">
        <v>0</v>
      </c>
      <c r="N423" s="93">
        <v>0</v>
      </c>
      <c r="O423" s="93">
        <f t="shared" si="184"/>
        <v>0</v>
      </c>
      <c r="P423" s="93">
        <f t="shared" si="185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536"/>
      <c r="E424" s="222" t="s">
        <v>185</v>
      </c>
      <c r="F424" s="40"/>
      <c r="G424" s="157"/>
      <c r="H424" s="165" t="s">
        <v>12</v>
      </c>
      <c r="I424" s="583"/>
      <c r="J424" s="583"/>
      <c r="K424" s="93"/>
      <c r="L424" s="93">
        <f ca="1">IFERROR(__xludf.DUMMYFUNCTION("IMPORTRANGE(""https://docs.google.com/spreadsheets/d/1QqKyyYR6Q21VydFLVH3TRQUabQu_ym0Zz7PgGX0-kHA/edit?usp=sharing"",""แผน!EY23"")"),78660)</f>
        <v>78660</v>
      </c>
      <c r="M424" s="93">
        <v>0</v>
      </c>
      <c r="N424" s="93">
        <f>N425+N426+N427+N428</f>
        <v>22128</v>
      </c>
      <c r="O424" s="93">
        <f t="shared" ca="1" si="184"/>
        <v>28.131197559115179</v>
      </c>
      <c r="P424" s="93">
        <f t="shared" si="185"/>
        <v>0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37"/>
      <c r="B425" s="538"/>
      <c r="C425" s="727"/>
      <c r="D425" s="727"/>
      <c r="E425" s="727"/>
      <c r="F425" s="727" t="s">
        <v>186</v>
      </c>
      <c r="G425" s="189"/>
      <c r="H425" s="161" t="s">
        <v>12</v>
      </c>
      <c r="I425" s="269"/>
      <c r="J425" s="269"/>
      <c r="K425" s="465"/>
      <c r="L425" s="465"/>
      <c r="M425" s="465"/>
      <c r="N425" s="789">
        <v>22128</v>
      </c>
      <c r="O425" s="465"/>
      <c r="P425" s="465"/>
      <c r="Q425" s="541"/>
      <c r="R425" s="541"/>
      <c r="S425" s="541"/>
      <c r="T425" s="541"/>
      <c r="U425" s="541"/>
      <c r="V425" s="541"/>
      <c r="W425" s="541"/>
      <c r="X425" s="541"/>
      <c r="Y425" s="541"/>
      <c r="Z425" s="541"/>
    </row>
    <row r="426" spans="1:26" ht="18.75">
      <c r="A426" s="537"/>
      <c r="B426" s="538"/>
      <c r="C426" s="727"/>
      <c r="D426" s="727"/>
      <c r="E426" s="727"/>
      <c r="F426" s="727" t="s">
        <v>187</v>
      </c>
      <c r="G426" s="189"/>
      <c r="H426" s="161" t="s">
        <v>12</v>
      </c>
      <c r="I426" s="269"/>
      <c r="J426" s="269"/>
      <c r="K426" s="465"/>
      <c r="L426" s="465"/>
      <c r="M426" s="465"/>
      <c r="N426" s="789">
        <v>0</v>
      </c>
      <c r="O426" s="465"/>
      <c r="P426" s="465"/>
      <c r="Q426" s="541"/>
      <c r="R426" s="541"/>
      <c r="S426" s="541"/>
      <c r="T426" s="541"/>
      <c r="U426" s="541"/>
      <c r="V426" s="541"/>
      <c r="W426" s="541"/>
      <c r="X426" s="541"/>
      <c r="Y426" s="541"/>
      <c r="Z426" s="541"/>
    </row>
    <row r="427" spans="1:26" ht="18.75">
      <c r="A427" s="537"/>
      <c r="B427" s="538"/>
      <c r="C427" s="727"/>
      <c r="D427" s="727"/>
      <c r="E427" s="727"/>
      <c r="F427" s="727" t="s">
        <v>188</v>
      </c>
      <c r="G427" s="189"/>
      <c r="H427" s="161" t="s">
        <v>12</v>
      </c>
      <c r="I427" s="269"/>
      <c r="J427" s="269"/>
      <c r="K427" s="465"/>
      <c r="L427" s="465"/>
      <c r="M427" s="465"/>
      <c r="N427" s="789">
        <v>0</v>
      </c>
      <c r="O427" s="465"/>
      <c r="P427" s="465"/>
      <c r="Q427" s="541"/>
      <c r="R427" s="541"/>
      <c r="S427" s="541"/>
      <c r="T427" s="541"/>
      <c r="U427" s="541"/>
      <c r="V427" s="541"/>
      <c r="W427" s="541"/>
      <c r="X427" s="541"/>
      <c r="Y427" s="541"/>
      <c r="Z427" s="541"/>
    </row>
    <row r="428" spans="1:26" ht="18.75">
      <c r="A428" s="283"/>
      <c r="B428" s="280"/>
      <c r="C428" s="33"/>
      <c r="D428" s="33"/>
      <c r="E428" s="33"/>
      <c r="F428" s="281" t="s">
        <v>189</v>
      </c>
      <c r="G428" s="213"/>
      <c r="H428" s="161" t="s">
        <v>12</v>
      </c>
      <c r="I428" s="269"/>
      <c r="J428" s="269"/>
      <c r="K428" s="465"/>
      <c r="L428" s="465"/>
      <c r="M428" s="465"/>
      <c r="N428" s="789">
        <v>0</v>
      </c>
      <c r="O428" s="465"/>
      <c r="P428" s="465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0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65">
        <f t="shared" ref="L429:N429" ca="1" si="188">L430+L431</f>
        <v>0</v>
      </c>
      <c r="M429" s="465">
        <f t="shared" si="188"/>
        <v>0</v>
      </c>
      <c r="N429" s="465">
        <f t="shared" si="188"/>
        <v>0</v>
      </c>
      <c r="O429" s="465">
        <f t="shared" ref="O429:O431" ca="1" si="189">IF(L429&gt;0,N429*100/L429,0)</f>
        <v>0</v>
      </c>
      <c r="P429" s="465">
        <f t="shared" ref="P429:P431" si="190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542"/>
      <c r="C430" s="40"/>
      <c r="D430" s="40"/>
      <c r="E430" s="222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89"/>
        <v>0</v>
      </c>
      <c r="P430" s="93">
        <f t="shared" si="190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542"/>
      <c r="C431" s="40"/>
      <c r="D431" s="40"/>
      <c r="E431" s="222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IFERROR(__xludf.DUMMYFUNCTION("IMPORTRANGE(""https://docs.google.com/spreadsheets/d/1QqKyyYR6Q21VydFLVH3TRQUabQu_ym0Zz7PgGX0-kHA/edit?usp=sharing"",""แผน!FB23"")"),0)</f>
        <v>0</v>
      </c>
      <c r="M431" s="93">
        <v>0</v>
      </c>
      <c r="N431" s="93">
        <v>0</v>
      </c>
      <c r="O431" s="93">
        <f t="shared" ca="1" si="189"/>
        <v>0</v>
      </c>
      <c r="P431" s="93">
        <f t="shared" si="190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382"/>
      <c r="B432" s="383"/>
      <c r="C432" s="148" t="s">
        <v>16</v>
      </c>
      <c r="D432" s="849" t="s">
        <v>38</v>
      </c>
      <c r="E432" s="544"/>
      <c r="F432" s="544"/>
      <c r="G432" s="545"/>
      <c r="H432" s="546"/>
      <c r="I432" s="388"/>
      <c r="J432" s="388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190</v>
      </c>
      <c r="E433" s="342"/>
      <c r="F433" s="342"/>
      <c r="G433" s="179"/>
      <c r="H433" s="196" t="s">
        <v>35</v>
      </c>
      <c r="I433" s="647">
        <f ca="1">I435</f>
        <v>20</v>
      </c>
      <c r="J433" s="647">
        <f ca="1">IF(AND(J435=I435,J437=I437,J439=I439),I437+I439,IF(AND(J435=I437,J437=I437),I437,IF(AND(J435=I439,J439=I439),I439,0)))</f>
        <v>0</v>
      </c>
      <c r="K433" s="195">
        <f t="shared" ref="K433:K435" ca="1" si="191">IF(I433&gt;0,J433*100/I433,0)</f>
        <v>0</v>
      </c>
      <c r="L433" s="465"/>
      <c r="M433" s="465"/>
      <c r="N433" s="465"/>
      <c r="O433" s="465"/>
      <c r="P433" s="465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191</v>
      </c>
      <c r="E434" s="342"/>
      <c r="F434" s="342"/>
      <c r="G434" s="179"/>
      <c r="H434" s="196" t="s">
        <v>49</v>
      </c>
      <c r="I434" s="647">
        <f t="shared" ref="I434:J434" ca="1" si="192">I438+I440</f>
        <v>1</v>
      </c>
      <c r="J434" s="647">
        <f t="shared" si="192"/>
        <v>0</v>
      </c>
      <c r="K434" s="195">
        <f t="shared" ca="1" si="191"/>
        <v>0</v>
      </c>
      <c r="L434" s="465"/>
      <c r="M434" s="465"/>
      <c r="N434" s="465"/>
      <c r="O434" s="465"/>
      <c r="P434" s="465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15" t="s">
        <v>192</v>
      </c>
      <c r="E435" s="342"/>
      <c r="F435" s="342"/>
      <c r="G435" s="179"/>
      <c r="H435" s="589" t="s">
        <v>35</v>
      </c>
      <c r="I435" s="547">
        <f ca="1">IFERROR(__xludf.DUMMYFUNCTION("IMPORTRANGE(""https://docs.google.com/spreadsheets/d/1QqKyyYR6Q21VydFLVH3TRQUabQu_ym0Zz7PgGX0-kHA/edit?usp=sharing"",""แผน!FC23"")"),20)</f>
        <v>20</v>
      </c>
      <c r="J435" s="548">
        <v>0</v>
      </c>
      <c r="K435" s="465">
        <f t="shared" ca="1" si="191"/>
        <v>0</v>
      </c>
      <c r="L435" s="465"/>
      <c r="M435" s="465"/>
      <c r="N435" s="465"/>
      <c r="O435" s="465"/>
      <c r="P435" s="465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15" t="s">
        <v>193</v>
      </c>
      <c r="E436" s="342"/>
      <c r="F436" s="342"/>
      <c r="G436" s="179"/>
      <c r="H436" s="589"/>
      <c r="I436" s="269"/>
      <c r="J436" s="269"/>
      <c r="K436" s="465"/>
      <c r="L436" s="465"/>
      <c r="M436" s="465"/>
      <c r="N436" s="465"/>
      <c r="O436" s="465"/>
      <c r="P436" s="465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15" t="s">
        <v>194</v>
      </c>
      <c r="E437" s="342"/>
      <c r="F437" s="342"/>
      <c r="G437" s="179"/>
      <c r="H437" s="589" t="s">
        <v>35</v>
      </c>
      <c r="I437" s="547">
        <f ca="1">IFERROR(__xludf.DUMMYFUNCTION("IMPORTRANGE(""https://docs.google.com/spreadsheets/d/1QqKyyYR6Q21VydFLVH3TRQUabQu_ym0Zz7PgGX0-kHA/edit?usp=sharing"",""แผน!FD23"")"),0)</f>
        <v>0</v>
      </c>
      <c r="J437" s="548">
        <v>0</v>
      </c>
      <c r="K437" s="465">
        <f t="shared" ref="K437:K443" ca="1" si="193">IF(I437&gt;0,J437*100/I437,0)</f>
        <v>0</v>
      </c>
      <c r="L437" s="465"/>
      <c r="M437" s="465"/>
      <c r="N437" s="465"/>
      <c r="O437" s="465"/>
      <c r="P437" s="465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15" t="s">
        <v>195</v>
      </c>
      <c r="E438" s="342"/>
      <c r="F438" s="342"/>
      <c r="G438" s="179"/>
      <c r="H438" s="589" t="s">
        <v>49</v>
      </c>
      <c r="I438" s="269">
        <f ca="1">IFERROR(__xludf.DUMMYFUNCTION("IMPORTRANGE(""https://docs.google.com/spreadsheets/d/1QqKyyYR6Q21VydFLVH3TRQUabQu_ym0Zz7PgGX0-kHA/edit?usp=sharing"",""แผน!FE23"")"),0)</f>
        <v>0</v>
      </c>
      <c r="J438" s="214">
        <v>0</v>
      </c>
      <c r="K438" s="465">
        <f t="shared" ca="1" si="193"/>
        <v>0</v>
      </c>
      <c r="L438" s="465"/>
      <c r="M438" s="465"/>
      <c r="N438" s="465"/>
      <c r="O438" s="465"/>
      <c r="P438" s="465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15" t="s">
        <v>196</v>
      </c>
      <c r="E439" s="342"/>
      <c r="F439" s="342"/>
      <c r="G439" s="179"/>
      <c r="H439" s="589" t="s">
        <v>35</v>
      </c>
      <c r="I439" s="547">
        <f ca="1">IFERROR(__xludf.DUMMYFUNCTION("IMPORTRANGE(""https://docs.google.com/spreadsheets/d/1QqKyyYR6Q21VydFLVH3TRQUabQu_ym0Zz7PgGX0-kHA/edit?usp=sharing"",""แผน!FF23"")"),20)</f>
        <v>20</v>
      </c>
      <c r="J439" s="548">
        <v>0</v>
      </c>
      <c r="K439" s="465">
        <f t="shared" ca="1" si="193"/>
        <v>0</v>
      </c>
      <c r="L439" s="465"/>
      <c r="M439" s="465"/>
      <c r="N439" s="465"/>
      <c r="O439" s="465"/>
      <c r="P439" s="465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15" t="s">
        <v>197</v>
      </c>
      <c r="E440" s="342"/>
      <c r="F440" s="342"/>
      <c r="G440" s="179"/>
      <c r="H440" s="589" t="s">
        <v>49</v>
      </c>
      <c r="I440" s="269">
        <f ca="1">IFERROR(__xludf.DUMMYFUNCTION("IMPORTRANGE(""https://docs.google.com/spreadsheets/d/1QqKyyYR6Q21VydFLVH3TRQUabQu_ym0Zz7PgGX0-kHA/edit?usp=sharing"",""แผน!FG23"")"),1)</f>
        <v>1</v>
      </c>
      <c r="J440" s="214">
        <v>0</v>
      </c>
      <c r="K440" s="465">
        <f t="shared" ca="1" si="193"/>
        <v>0</v>
      </c>
      <c r="L440" s="465"/>
      <c r="M440" s="465"/>
      <c r="N440" s="465"/>
      <c r="O440" s="465"/>
      <c r="P440" s="465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>
      <c r="A441" s="170"/>
      <c r="B441" s="171"/>
      <c r="C441" s="171"/>
      <c r="D441" s="415" t="s">
        <v>198</v>
      </c>
      <c r="E441" s="342"/>
      <c r="F441" s="342"/>
      <c r="G441" s="179"/>
      <c r="H441" s="589" t="s">
        <v>35</v>
      </c>
      <c r="I441" s="269">
        <f ca="1">IFERROR(__xludf.DUMMYFUNCTION("IMPORTRANGE(""https://docs.google.com/spreadsheets/d/1QqKyyYR6Q21VydFLVH3TRQUabQu_ym0Zz7PgGX0-kHA/edit?usp=sharing"",""แผน!FH23"")"),0)</f>
        <v>0</v>
      </c>
      <c r="J441" s="269">
        <v>0</v>
      </c>
      <c r="K441" s="465">
        <f t="shared" ca="1" si="193"/>
        <v>0</v>
      </c>
      <c r="L441" s="465"/>
      <c r="M441" s="465"/>
      <c r="N441" s="465"/>
      <c r="O441" s="465"/>
      <c r="P441" s="465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49">
        <v>2</v>
      </c>
      <c r="B442" s="550" t="s">
        <v>199</v>
      </c>
      <c r="C442" s="551"/>
      <c r="D442" s="551"/>
      <c r="E442" s="551"/>
      <c r="F442" s="551"/>
      <c r="G442" s="552"/>
      <c r="H442" s="553" t="s">
        <v>35</v>
      </c>
      <c r="I442" s="554">
        <f t="shared" ref="I442:J442" ca="1" si="194">I460</f>
        <v>100</v>
      </c>
      <c r="J442" s="554">
        <f t="shared" si="194"/>
        <v>100</v>
      </c>
      <c r="K442" s="555">
        <f t="shared" ca="1" si="193"/>
        <v>100</v>
      </c>
      <c r="L442" s="556"/>
      <c r="M442" s="556"/>
      <c r="N442" s="556"/>
      <c r="O442" s="556"/>
      <c r="P442" s="556"/>
      <c r="Q442" s="541"/>
      <c r="R442" s="541"/>
      <c r="S442" s="541"/>
      <c r="T442" s="541"/>
      <c r="U442" s="541"/>
      <c r="V442" s="541"/>
      <c r="W442" s="541"/>
      <c r="X442" s="541"/>
      <c r="Y442" s="541"/>
      <c r="Z442" s="541"/>
    </row>
    <row r="443" spans="1:26" ht="19.5">
      <c r="A443" s="557"/>
      <c r="B443" s="558"/>
      <c r="C443" s="559"/>
      <c r="D443" s="559"/>
      <c r="E443" s="559"/>
      <c r="F443" s="559"/>
      <c r="G443" s="560"/>
      <c r="H443" s="531" t="s">
        <v>46</v>
      </c>
      <c r="I443" s="532">
        <f t="shared" ref="I443:J443" ca="1" si="195">I462</f>
        <v>475</v>
      </c>
      <c r="J443" s="532">
        <f t="shared" si="195"/>
        <v>475</v>
      </c>
      <c r="K443" s="533">
        <f t="shared" ca="1" si="193"/>
        <v>100</v>
      </c>
      <c r="L443" s="534"/>
      <c r="M443" s="534"/>
      <c r="N443" s="534"/>
      <c r="O443" s="534"/>
      <c r="P443" s="534"/>
      <c r="Q443" s="541"/>
      <c r="R443" s="541"/>
      <c r="S443" s="541"/>
      <c r="T443" s="541"/>
      <c r="U443" s="541"/>
      <c r="V443" s="541"/>
      <c r="W443" s="541"/>
      <c r="X443" s="541"/>
      <c r="Y443" s="541"/>
      <c r="Z443" s="541"/>
    </row>
    <row r="444" spans="1:26" ht="19.5">
      <c r="A444" s="561"/>
      <c r="B444" s="727"/>
      <c r="C444" s="727" t="s">
        <v>16</v>
      </c>
      <c r="D444" s="811" t="s">
        <v>17</v>
      </c>
      <c r="E444" s="805"/>
      <c r="F444" s="805"/>
      <c r="G444" s="189"/>
      <c r="H444" s="562" t="s">
        <v>12</v>
      </c>
      <c r="I444" s="269"/>
      <c r="J444" s="269"/>
      <c r="K444" s="465"/>
      <c r="L444" s="195">
        <f t="shared" ref="L444:N444" ca="1" si="196">L445+L446</f>
        <v>840780</v>
      </c>
      <c r="M444" s="195">
        <f t="shared" si="196"/>
        <v>0</v>
      </c>
      <c r="N444" s="195">
        <f t="shared" si="196"/>
        <v>124860</v>
      </c>
      <c r="O444" s="195">
        <f t="shared" ref="O444:O449" ca="1" si="197">IF(L444&gt;0,N444*100/L444,0)</f>
        <v>14.850495968029687</v>
      </c>
      <c r="P444" s="195">
        <f t="shared" ref="P444:P449" si="198">IF(M444&gt;0,N444*100/M444,0)</f>
        <v>0</v>
      </c>
      <c r="Q444" s="541"/>
      <c r="R444" s="541"/>
      <c r="S444" s="541"/>
      <c r="T444" s="541"/>
      <c r="U444" s="541"/>
      <c r="V444" s="541"/>
      <c r="W444" s="541"/>
      <c r="X444" s="541"/>
      <c r="Y444" s="541"/>
      <c r="Z444" s="541"/>
    </row>
    <row r="445" spans="1:26" ht="18.75" hidden="1">
      <c r="A445" s="563"/>
      <c r="B445" s="723"/>
      <c r="C445" s="723"/>
      <c r="D445" s="684"/>
      <c r="E445" s="723" t="s">
        <v>184</v>
      </c>
      <c r="F445" s="723"/>
      <c r="G445" s="567"/>
      <c r="H445" s="165" t="s">
        <v>12</v>
      </c>
      <c r="I445" s="583"/>
      <c r="J445" s="583"/>
      <c r="K445" s="93"/>
      <c r="L445" s="93">
        <f t="shared" ref="L445:N446" si="199">L448+L455</f>
        <v>0</v>
      </c>
      <c r="M445" s="93">
        <f t="shared" si="199"/>
        <v>0</v>
      </c>
      <c r="N445" s="93">
        <f t="shared" si="199"/>
        <v>0</v>
      </c>
      <c r="O445" s="93">
        <f t="shared" si="197"/>
        <v>0</v>
      </c>
      <c r="P445" s="93">
        <f t="shared" si="198"/>
        <v>0</v>
      </c>
      <c r="Q445" s="568"/>
      <c r="R445" s="568"/>
      <c r="S445" s="568"/>
      <c r="T445" s="568"/>
      <c r="U445" s="568"/>
      <c r="V445" s="568"/>
      <c r="W445" s="568"/>
      <c r="X445" s="568"/>
      <c r="Y445" s="568"/>
      <c r="Z445" s="568"/>
    </row>
    <row r="446" spans="1:26" ht="18.75" hidden="1">
      <c r="A446" s="563"/>
      <c r="B446" s="571"/>
      <c r="C446" s="723"/>
      <c r="D446" s="684"/>
      <c r="E446" s="723" t="s">
        <v>185</v>
      </c>
      <c r="F446" s="723"/>
      <c r="G446" s="567"/>
      <c r="H446" s="165" t="s">
        <v>12</v>
      </c>
      <c r="I446" s="583"/>
      <c r="J446" s="583"/>
      <c r="K446" s="93"/>
      <c r="L446" s="93">
        <f t="shared" ca="1" si="199"/>
        <v>840780</v>
      </c>
      <c r="M446" s="93">
        <f t="shared" si="199"/>
        <v>0</v>
      </c>
      <c r="N446" s="93">
        <f t="shared" si="199"/>
        <v>124860</v>
      </c>
      <c r="O446" s="93">
        <f t="shared" ca="1" si="197"/>
        <v>14.850495968029687</v>
      </c>
      <c r="P446" s="93">
        <f t="shared" si="198"/>
        <v>0</v>
      </c>
      <c r="Q446" s="568"/>
      <c r="R446" s="568"/>
      <c r="S446" s="568"/>
      <c r="T446" s="568"/>
      <c r="U446" s="568"/>
      <c r="V446" s="568"/>
      <c r="W446" s="568"/>
      <c r="X446" s="568"/>
      <c r="Y446" s="568"/>
      <c r="Z446" s="568"/>
    </row>
    <row r="447" spans="1:26" ht="18.75">
      <c r="A447" s="561"/>
      <c r="B447" s="538"/>
      <c r="C447" s="727"/>
      <c r="D447" s="570" t="s">
        <v>20</v>
      </c>
      <c r="E447" s="727"/>
      <c r="F447" s="727"/>
      <c r="G447" s="189"/>
      <c r="H447" s="161" t="s">
        <v>12</v>
      </c>
      <c r="I447" s="184"/>
      <c r="J447" s="184"/>
      <c r="K447" s="163"/>
      <c r="L447" s="465">
        <f t="shared" ref="L447:N447" ca="1" si="200">L448+L449</f>
        <v>840780</v>
      </c>
      <c r="M447" s="465">
        <f t="shared" si="200"/>
        <v>0</v>
      </c>
      <c r="N447" s="465">
        <f t="shared" si="200"/>
        <v>124860</v>
      </c>
      <c r="O447" s="465">
        <f t="shared" ca="1" si="197"/>
        <v>14.850495968029687</v>
      </c>
      <c r="P447" s="465">
        <f t="shared" si="198"/>
        <v>0</v>
      </c>
      <c r="Q447" s="541"/>
      <c r="R447" s="541"/>
      <c r="S447" s="541"/>
      <c r="T447" s="541"/>
      <c r="U447" s="541"/>
      <c r="V447" s="541"/>
      <c r="W447" s="541"/>
      <c r="X447" s="541"/>
      <c r="Y447" s="541"/>
      <c r="Z447" s="541"/>
    </row>
    <row r="448" spans="1:26" ht="18.75" hidden="1">
      <c r="A448" s="563"/>
      <c r="B448" s="571"/>
      <c r="C448" s="723"/>
      <c r="D448" s="684"/>
      <c r="E448" s="723" t="s">
        <v>184</v>
      </c>
      <c r="F448" s="723"/>
      <c r="G448" s="567"/>
      <c r="H448" s="165" t="s">
        <v>12</v>
      </c>
      <c r="I448" s="583"/>
      <c r="J448" s="583"/>
      <c r="K448" s="93"/>
      <c r="L448" s="93">
        <v>0</v>
      </c>
      <c r="M448" s="93">
        <v>0</v>
      </c>
      <c r="N448" s="93">
        <v>0</v>
      </c>
      <c r="O448" s="93">
        <f t="shared" si="197"/>
        <v>0</v>
      </c>
      <c r="P448" s="93">
        <f t="shared" si="198"/>
        <v>0</v>
      </c>
      <c r="Q448" s="568"/>
      <c r="R448" s="568"/>
      <c r="S448" s="568"/>
      <c r="T448" s="568"/>
      <c r="U448" s="568"/>
      <c r="V448" s="568"/>
      <c r="W448" s="568"/>
      <c r="X448" s="568"/>
      <c r="Y448" s="568"/>
      <c r="Z448" s="568"/>
    </row>
    <row r="449" spans="1:26" ht="18.75" hidden="1">
      <c r="A449" s="563"/>
      <c r="B449" s="571"/>
      <c r="C449" s="723"/>
      <c r="D449" s="684"/>
      <c r="E449" s="723" t="s">
        <v>185</v>
      </c>
      <c r="F449" s="723"/>
      <c r="G449" s="567"/>
      <c r="H449" s="165" t="s">
        <v>12</v>
      </c>
      <c r="I449" s="583"/>
      <c r="J449" s="583"/>
      <c r="K449" s="93"/>
      <c r="L449" s="93">
        <f ca="1">IFERROR(__xludf.DUMMYFUNCTION("IMPORTRANGE(""https://docs.google.com/spreadsheets/d/1QqKyyYR6Q21VydFLVH3TRQUabQu_ym0Zz7PgGX0-kHA/edit?usp=sharing"",""แผน!FJ23"")"),840780)</f>
        <v>840780</v>
      </c>
      <c r="M449" s="93">
        <v>0</v>
      </c>
      <c r="N449" s="93">
        <f>N450+N451+N452+N453</f>
        <v>124860</v>
      </c>
      <c r="O449" s="93">
        <f t="shared" ca="1" si="197"/>
        <v>14.850495968029687</v>
      </c>
      <c r="P449" s="93">
        <f t="shared" si="198"/>
        <v>0</v>
      </c>
      <c r="Q449" s="568"/>
      <c r="R449" s="568"/>
      <c r="S449" s="568"/>
      <c r="T449" s="568"/>
      <c r="U449" s="568"/>
      <c r="V449" s="568"/>
      <c r="W449" s="568"/>
      <c r="X449" s="568"/>
      <c r="Y449" s="568"/>
      <c r="Z449" s="568"/>
    </row>
    <row r="450" spans="1:26" ht="18.75">
      <c r="A450" s="537"/>
      <c r="B450" s="538"/>
      <c r="C450" s="727"/>
      <c r="D450" s="727"/>
      <c r="E450" s="727"/>
      <c r="F450" s="727" t="s">
        <v>186</v>
      </c>
      <c r="G450" s="189"/>
      <c r="H450" s="161" t="s">
        <v>12</v>
      </c>
      <c r="I450" s="269"/>
      <c r="J450" s="269"/>
      <c r="K450" s="465"/>
      <c r="L450" s="465"/>
      <c r="M450" s="465"/>
      <c r="N450" s="789">
        <v>97860</v>
      </c>
      <c r="O450" s="465"/>
      <c r="P450" s="465"/>
      <c r="Q450" s="541"/>
      <c r="R450" s="541"/>
      <c r="S450" s="541"/>
      <c r="T450" s="541"/>
      <c r="U450" s="541"/>
      <c r="V450" s="541"/>
      <c r="W450" s="541"/>
      <c r="X450" s="541"/>
      <c r="Y450" s="541"/>
      <c r="Z450" s="541"/>
    </row>
    <row r="451" spans="1:26" ht="18.75">
      <c r="A451" s="537"/>
      <c r="B451" s="538"/>
      <c r="C451" s="727"/>
      <c r="D451" s="727"/>
      <c r="E451" s="727"/>
      <c r="F451" s="727" t="s">
        <v>187</v>
      </c>
      <c r="G451" s="189"/>
      <c r="H451" s="161" t="s">
        <v>12</v>
      </c>
      <c r="I451" s="269"/>
      <c r="J451" s="269"/>
      <c r="K451" s="465"/>
      <c r="L451" s="465"/>
      <c r="M451" s="465"/>
      <c r="N451" s="789">
        <v>0</v>
      </c>
      <c r="O451" s="465"/>
      <c r="P451" s="465"/>
      <c r="Q451" s="541"/>
      <c r="R451" s="541"/>
      <c r="S451" s="541"/>
      <c r="T451" s="541"/>
      <c r="U451" s="541"/>
      <c r="V451" s="541"/>
      <c r="W451" s="541"/>
      <c r="X451" s="541"/>
      <c r="Y451" s="541"/>
      <c r="Z451" s="541"/>
    </row>
    <row r="452" spans="1:26" ht="18.75">
      <c r="A452" s="537"/>
      <c r="B452" s="538"/>
      <c r="C452" s="538"/>
      <c r="D452" s="538"/>
      <c r="E452" s="538"/>
      <c r="F452" s="727" t="s">
        <v>188</v>
      </c>
      <c r="G452" s="189"/>
      <c r="H452" s="161" t="s">
        <v>12</v>
      </c>
      <c r="I452" s="269"/>
      <c r="J452" s="269"/>
      <c r="K452" s="465"/>
      <c r="L452" s="465"/>
      <c r="M452" s="465"/>
      <c r="N452" s="789">
        <v>26000</v>
      </c>
      <c r="O452" s="465"/>
      <c r="P452" s="465"/>
      <c r="Q452" s="541"/>
      <c r="R452" s="541"/>
      <c r="S452" s="541"/>
      <c r="T452" s="541"/>
      <c r="U452" s="541"/>
      <c r="V452" s="541"/>
      <c r="W452" s="541"/>
      <c r="X452" s="541"/>
      <c r="Y452" s="541"/>
      <c r="Z452" s="541"/>
    </row>
    <row r="453" spans="1:26" ht="18.75">
      <c r="A453" s="537"/>
      <c r="B453" s="538"/>
      <c r="C453" s="538"/>
      <c r="D453" s="538"/>
      <c r="E453" s="538"/>
      <c r="F453" s="727" t="s">
        <v>189</v>
      </c>
      <c r="G453" s="189"/>
      <c r="H453" s="161" t="s">
        <v>12</v>
      </c>
      <c r="I453" s="269"/>
      <c r="J453" s="269"/>
      <c r="K453" s="465"/>
      <c r="L453" s="465"/>
      <c r="M453" s="465"/>
      <c r="N453" s="789">
        <v>1000</v>
      </c>
      <c r="O453" s="465"/>
      <c r="P453" s="465"/>
      <c r="Q453" s="541"/>
      <c r="R453" s="541"/>
      <c r="S453" s="541"/>
      <c r="T453" s="541"/>
      <c r="U453" s="541"/>
      <c r="V453" s="541"/>
      <c r="W453" s="541"/>
      <c r="X453" s="541"/>
      <c r="Y453" s="541"/>
      <c r="Z453" s="541"/>
    </row>
    <row r="454" spans="1:26" ht="18.75">
      <c r="A454" s="561"/>
      <c r="B454" s="538"/>
      <c r="C454" s="538"/>
      <c r="D454" s="570" t="s">
        <v>21</v>
      </c>
      <c r="E454" s="538"/>
      <c r="F454" s="727"/>
      <c r="G454" s="189"/>
      <c r="H454" s="168" t="s">
        <v>12</v>
      </c>
      <c r="I454" s="184"/>
      <c r="J454" s="184"/>
      <c r="K454" s="163"/>
      <c r="L454" s="465">
        <f t="shared" ref="L454:N454" ca="1" si="201">L455+L456</f>
        <v>0</v>
      </c>
      <c r="M454" s="465">
        <f t="shared" si="201"/>
        <v>0</v>
      </c>
      <c r="N454" s="465">
        <f t="shared" si="201"/>
        <v>0</v>
      </c>
      <c r="O454" s="465">
        <f t="shared" ref="O454:O456" ca="1" si="202">IF(L454&gt;0,N454*100/L454,0)</f>
        <v>0</v>
      </c>
      <c r="P454" s="465">
        <f t="shared" ref="P454:P456" si="203">IF(M454&gt;0,N454*100/M454,0)</f>
        <v>0</v>
      </c>
      <c r="Q454" s="541"/>
      <c r="R454" s="541"/>
      <c r="S454" s="541"/>
      <c r="T454" s="541"/>
      <c r="U454" s="541"/>
      <c r="V454" s="541"/>
      <c r="W454" s="541"/>
      <c r="X454" s="541"/>
      <c r="Y454" s="541"/>
      <c r="Z454" s="541"/>
    </row>
    <row r="455" spans="1:26" ht="18.75" hidden="1">
      <c r="A455" s="563"/>
      <c r="B455" s="571"/>
      <c r="C455" s="571"/>
      <c r="D455" s="571"/>
      <c r="E455" s="571" t="s">
        <v>18</v>
      </c>
      <c r="F455" s="723"/>
      <c r="G455" s="567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2"/>
        <v>0</v>
      </c>
      <c r="P455" s="93">
        <f t="shared" si="203"/>
        <v>0</v>
      </c>
      <c r="Q455" s="568"/>
      <c r="R455" s="568"/>
      <c r="S455" s="568"/>
      <c r="T455" s="568"/>
      <c r="U455" s="568"/>
      <c r="V455" s="568"/>
      <c r="W455" s="568"/>
      <c r="X455" s="568"/>
      <c r="Y455" s="568"/>
      <c r="Z455" s="568"/>
    </row>
    <row r="456" spans="1:26" ht="18.75" hidden="1">
      <c r="A456" s="563"/>
      <c r="B456" s="571"/>
      <c r="C456" s="571"/>
      <c r="D456" s="571"/>
      <c r="E456" s="571" t="s">
        <v>19</v>
      </c>
      <c r="F456" s="723"/>
      <c r="G456" s="567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IFERROR(__xludf.DUMMYFUNCTION("IMPORTRANGE(""https://docs.google.com/spreadsheets/d/1QqKyyYR6Q21VydFLVH3TRQUabQu_ym0Zz7PgGX0-kHA/edit?usp=sharing"",""แผน!FM23"")"),0)</f>
        <v>0</v>
      </c>
      <c r="M456" s="93">
        <v>0</v>
      </c>
      <c r="N456" s="93">
        <v>0</v>
      </c>
      <c r="O456" s="93">
        <f t="shared" ca="1" si="202"/>
        <v>0</v>
      </c>
      <c r="P456" s="93">
        <f t="shared" si="203"/>
        <v>0</v>
      </c>
      <c r="Q456" s="568"/>
      <c r="R456" s="568"/>
      <c r="S456" s="568"/>
      <c r="T456" s="568"/>
      <c r="U456" s="568"/>
      <c r="V456" s="568"/>
      <c r="W456" s="568"/>
      <c r="X456" s="568"/>
      <c r="Y456" s="568"/>
      <c r="Z456" s="568"/>
    </row>
    <row r="457" spans="1:26" ht="19.5">
      <c r="A457" s="572"/>
      <c r="B457" s="584"/>
      <c r="C457" s="538" t="s">
        <v>16</v>
      </c>
      <c r="D457" s="850" t="s">
        <v>38</v>
      </c>
      <c r="E457" s="575"/>
      <c r="F457" s="725"/>
      <c r="G457" s="577"/>
      <c r="H457" s="726"/>
      <c r="I457" s="269"/>
      <c r="J457" s="269"/>
      <c r="K457" s="465"/>
      <c r="L457" s="465"/>
      <c r="M457" s="465"/>
      <c r="N457" s="465"/>
      <c r="O457" s="465"/>
      <c r="P457" s="465"/>
      <c r="Q457" s="541"/>
      <c r="R457" s="541"/>
      <c r="S457" s="541"/>
      <c r="T457" s="541"/>
      <c r="U457" s="541"/>
      <c r="V457" s="541"/>
      <c r="W457" s="541"/>
      <c r="X457" s="541"/>
      <c r="Y457" s="541"/>
      <c r="Z457" s="541"/>
    </row>
    <row r="458" spans="1:26" ht="18.75" hidden="1">
      <c r="A458" s="578"/>
      <c r="B458" s="580"/>
      <c r="C458" s="580"/>
      <c r="D458" s="580" t="s">
        <v>200</v>
      </c>
      <c r="E458" s="580"/>
      <c r="F458" s="684"/>
      <c r="G458" s="581"/>
      <c r="H458" s="582" t="s">
        <v>35</v>
      </c>
      <c r="I458" s="583">
        <v>0</v>
      </c>
      <c r="J458" s="583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568"/>
      <c r="R458" s="568"/>
      <c r="S458" s="568"/>
      <c r="T458" s="568"/>
      <c r="U458" s="568"/>
      <c r="V458" s="568"/>
      <c r="W458" s="568"/>
      <c r="X458" s="568"/>
      <c r="Y458" s="568"/>
      <c r="Z458" s="568"/>
    </row>
    <row r="459" spans="1:26" ht="18.75" hidden="1">
      <c r="A459" s="578"/>
      <c r="B459" s="580"/>
      <c r="C459" s="580"/>
      <c r="D459" s="580" t="s">
        <v>201</v>
      </c>
      <c r="E459" s="580"/>
      <c r="F459" s="684"/>
      <c r="G459" s="581"/>
      <c r="H459" s="582"/>
      <c r="I459" s="583"/>
      <c r="J459" s="583"/>
      <c r="K459" s="93"/>
      <c r="L459" s="93"/>
      <c r="M459" s="93"/>
      <c r="N459" s="93"/>
      <c r="O459" s="93"/>
      <c r="P459" s="93"/>
      <c r="Q459" s="568"/>
      <c r="R459" s="568"/>
      <c r="S459" s="568"/>
      <c r="T459" s="568"/>
      <c r="U459" s="568"/>
      <c r="V459" s="568"/>
      <c r="W459" s="568"/>
      <c r="X459" s="568"/>
      <c r="Y459" s="568"/>
      <c r="Z459" s="568"/>
    </row>
    <row r="460" spans="1:26" ht="18.75">
      <c r="A460" s="572"/>
      <c r="B460" s="584"/>
      <c r="C460" s="584"/>
      <c r="D460" s="584" t="s">
        <v>202</v>
      </c>
      <c r="E460" s="584"/>
      <c r="F460" s="592"/>
      <c r="G460" s="726"/>
      <c r="H460" s="728" t="s">
        <v>35</v>
      </c>
      <c r="I460" s="269">
        <f ca="1">IFERROR(__xludf.DUMMYFUNCTION("IMPORTRANGE(""https://docs.google.com/spreadsheets/d/1QqKyyYR6Q21VydFLVH3TRQUabQu_ym0Zz7PgGX0-kHA/edit?usp=sharing"",""แผน!FN23"")"),100)</f>
        <v>100</v>
      </c>
      <c r="J460" s="214">
        <v>100</v>
      </c>
      <c r="K460" s="465">
        <f ca="1">IF(I460&gt;0,J460*100/I460,0)</f>
        <v>100</v>
      </c>
      <c r="L460" s="465"/>
      <c r="M460" s="465"/>
      <c r="N460" s="465"/>
      <c r="O460" s="465"/>
      <c r="P460" s="465"/>
      <c r="Q460" s="541"/>
      <c r="R460" s="541"/>
      <c r="S460" s="541"/>
      <c r="T460" s="541"/>
      <c r="U460" s="541"/>
      <c r="V460" s="541"/>
      <c r="W460" s="541"/>
      <c r="X460" s="541"/>
      <c r="Y460" s="541"/>
      <c r="Z460" s="541"/>
    </row>
    <row r="461" spans="1:26" ht="18.75">
      <c r="A461" s="572"/>
      <c r="B461" s="584"/>
      <c r="C461" s="584"/>
      <c r="D461" s="584" t="s">
        <v>203</v>
      </c>
      <c r="E461" s="592"/>
      <c r="F461" s="592"/>
      <c r="G461" s="726"/>
      <c r="H461" s="728"/>
      <c r="I461" s="269"/>
      <c r="J461" s="269"/>
      <c r="K461" s="465"/>
      <c r="L461" s="465"/>
      <c r="M461" s="465"/>
      <c r="N461" s="465"/>
      <c r="O461" s="465"/>
      <c r="P461" s="465"/>
      <c r="Q461" s="541"/>
      <c r="R461" s="541"/>
      <c r="S461" s="541"/>
      <c r="T461" s="541"/>
      <c r="U461" s="541"/>
      <c r="V461" s="541"/>
      <c r="W461" s="541"/>
      <c r="X461" s="541"/>
      <c r="Y461" s="541"/>
      <c r="Z461" s="541"/>
    </row>
    <row r="462" spans="1:26" ht="18.75">
      <c r="A462" s="572"/>
      <c r="B462" s="584"/>
      <c r="C462" s="584"/>
      <c r="D462" s="584" t="s">
        <v>204</v>
      </c>
      <c r="E462" s="592"/>
      <c r="F462" s="592"/>
      <c r="G462" s="726"/>
      <c r="H462" s="728" t="s">
        <v>46</v>
      </c>
      <c r="I462" s="269">
        <f ca="1">IFERROR(__xludf.DUMMYFUNCTION("IMPORTRANGE(""https://docs.google.com/spreadsheets/d/1QqKyyYR6Q21VydFLVH3TRQUabQu_ym0Zz7PgGX0-kHA/edit?usp=sharing"",""แผน!FO23"")"),475)</f>
        <v>475</v>
      </c>
      <c r="J462" s="214">
        <v>475</v>
      </c>
      <c r="K462" s="465">
        <f ca="1">IF(I462&gt;0,J462*100/I462,0)</f>
        <v>100</v>
      </c>
      <c r="L462" s="465"/>
      <c r="M462" s="465"/>
      <c r="N462" s="465"/>
      <c r="O462" s="465"/>
      <c r="P462" s="465"/>
      <c r="Q462" s="541"/>
      <c r="R462" s="541"/>
      <c r="S462" s="541"/>
      <c r="T462" s="541"/>
      <c r="U462" s="541"/>
      <c r="V462" s="541"/>
      <c r="W462" s="541"/>
      <c r="X462" s="541"/>
      <c r="Y462" s="541"/>
      <c r="Z462" s="541"/>
    </row>
    <row r="463" spans="1:26" ht="18.75">
      <c r="A463" s="572"/>
      <c r="B463" s="584"/>
      <c r="C463" s="584"/>
      <c r="D463" s="584" t="s">
        <v>59</v>
      </c>
      <c r="E463" s="592"/>
      <c r="F463" s="727"/>
      <c r="G463" s="189"/>
      <c r="H463" s="728" t="s">
        <v>46</v>
      </c>
      <c r="I463" s="269">
        <f ca="1">IFERROR(__xludf.DUMMYFUNCTION("IMPORTRANGE(""https://docs.google.com/spreadsheets/d/1QqKyyYR6Q21VydFLVH3TRQUabQu_ym0Zz7PgGX0-kHA/edit?usp=sharing"",""แผน!FO23"")"),475)</f>
        <v>475</v>
      </c>
      <c r="J463" s="214">
        <v>0</v>
      </c>
      <c r="K463" s="465"/>
      <c r="L463" s="465"/>
      <c r="M463" s="465"/>
      <c r="N463" s="465"/>
      <c r="O463" s="465"/>
      <c r="P463" s="465"/>
      <c r="Q463" s="541"/>
      <c r="R463" s="541"/>
      <c r="S463" s="541"/>
      <c r="T463" s="541"/>
      <c r="U463" s="541"/>
      <c r="V463" s="541"/>
      <c r="W463" s="541"/>
      <c r="X463" s="541"/>
      <c r="Y463" s="541"/>
      <c r="Z463" s="541"/>
    </row>
    <row r="464" spans="1:26" ht="19.5">
      <c r="A464" s="572"/>
      <c r="B464" s="584"/>
      <c r="C464" s="584"/>
      <c r="D464" s="584"/>
      <c r="E464" s="592"/>
      <c r="F464" s="592"/>
      <c r="G464" s="586"/>
      <c r="H464" s="728" t="s">
        <v>35</v>
      </c>
      <c r="I464" s="269">
        <f ca="1">IFERROR(__xludf.DUMMYFUNCTION("IMPORTRANGE(""https://docs.google.com/spreadsheets/d/1QqKyyYR6Q21VydFLVH3TRQUabQu_ym0Zz7PgGX0-kHA/edit?usp=sharing"",""แผน!FN23"")"),100)</f>
        <v>100</v>
      </c>
      <c r="J464" s="214">
        <v>0</v>
      </c>
      <c r="K464" s="465"/>
      <c r="L464" s="465"/>
      <c r="M464" s="465"/>
      <c r="N464" s="465"/>
      <c r="O464" s="465"/>
      <c r="P464" s="465"/>
      <c r="Q464" s="541"/>
      <c r="R464" s="541"/>
      <c r="S464" s="541"/>
      <c r="T464" s="541"/>
      <c r="U464" s="541"/>
      <c r="V464" s="541"/>
      <c r="W464" s="541"/>
      <c r="X464" s="541"/>
      <c r="Y464" s="541"/>
      <c r="Z464" s="541"/>
    </row>
    <row r="465" spans="1:26" ht="19.5">
      <c r="A465" s="549">
        <v>3</v>
      </c>
      <c r="B465" s="550" t="s">
        <v>205</v>
      </c>
      <c r="C465" s="551"/>
      <c r="D465" s="551"/>
      <c r="E465" s="551"/>
      <c r="F465" s="551"/>
      <c r="G465" s="552"/>
      <c r="H465" s="553" t="s">
        <v>35</v>
      </c>
      <c r="I465" s="554">
        <f ca="1">IFERROR(__xludf.DUMMYFUNCTION("IMPORTRANGE(""https://docs.google.com/spreadsheets/d/1QqKyyYR6Q21VydFLVH3TRQUabQu_ym0Zz7PgGX0-kHA/edit?usp=sharing"",""แผน!FX23"")"),51)</f>
        <v>51</v>
      </c>
      <c r="J465" s="554">
        <f>J485+J489+J492</f>
        <v>0</v>
      </c>
      <c r="K465" s="555">
        <f t="shared" ref="K465:K466" ca="1" si="204">IF(I465&gt;0,J465*100/I465,0)</f>
        <v>0</v>
      </c>
      <c r="L465" s="556"/>
      <c r="M465" s="556"/>
      <c r="N465" s="556"/>
      <c r="O465" s="556"/>
      <c r="P465" s="556"/>
      <c r="Q465" s="541"/>
      <c r="R465" s="541"/>
      <c r="S465" s="541"/>
      <c r="T465" s="541"/>
      <c r="U465" s="541"/>
      <c r="V465" s="541"/>
      <c r="W465" s="541"/>
      <c r="X465" s="541"/>
      <c r="Y465" s="541"/>
      <c r="Z465" s="541"/>
    </row>
    <row r="466" spans="1:26" ht="19.5">
      <c r="A466" s="557"/>
      <c r="B466" s="558"/>
      <c r="C466" s="559"/>
      <c r="D466" s="559"/>
      <c r="E466" s="559"/>
      <c r="F466" s="559"/>
      <c r="G466" s="560"/>
      <c r="H466" s="531" t="s">
        <v>46</v>
      </c>
      <c r="I466" s="532">
        <f ca="1">IFERROR(__xludf.DUMMYFUNCTION("IMPORTRANGE(""https://docs.google.com/spreadsheets/d/1QqKyyYR6Q21VydFLVH3TRQUabQu_ym0Zz7PgGX0-kHA/edit?usp=sharing"",""แผน!FW23"")"),500)</f>
        <v>500</v>
      </c>
      <c r="J466" s="532">
        <f>J483+J487</f>
        <v>0</v>
      </c>
      <c r="K466" s="533">
        <f t="shared" ca="1" si="204"/>
        <v>0</v>
      </c>
      <c r="L466" s="534"/>
      <c r="M466" s="534"/>
      <c r="N466" s="534"/>
      <c r="O466" s="534"/>
      <c r="P466" s="534"/>
      <c r="Q466" s="541"/>
      <c r="R466" s="541"/>
      <c r="S466" s="541"/>
      <c r="T466" s="541"/>
      <c r="U466" s="541"/>
      <c r="V466" s="541"/>
      <c r="W466" s="541"/>
      <c r="X466" s="541"/>
      <c r="Y466" s="541"/>
      <c r="Z466" s="541"/>
    </row>
    <row r="467" spans="1:26" ht="19.5">
      <c r="A467" s="561"/>
      <c r="B467" s="727"/>
      <c r="C467" s="727" t="s">
        <v>16</v>
      </c>
      <c r="D467" s="811" t="s">
        <v>17</v>
      </c>
      <c r="E467" s="805"/>
      <c r="F467" s="805"/>
      <c r="G467" s="189"/>
      <c r="H467" s="562" t="s">
        <v>12</v>
      </c>
      <c r="I467" s="269"/>
      <c r="J467" s="269"/>
      <c r="K467" s="465"/>
      <c r="L467" s="195">
        <f t="shared" ref="L467:N467" ca="1" si="205">L468+L469</f>
        <v>403983</v>
      </c>
      <c r="M467" s="195">
        <f t="shared" si="205"/>
        <v>0</v>
      </c>
      <c r="N467" s="195">
        <f t="shared" si="205"/>
        <v>21740</v>
      </c>
      <c r="O467" s="195">
        <f t="shared" ref="O467:O472" ca="1" si="206">IF(L467&gt;0,N467*100/L467,0)</f>
        <v>5.3814145644742473</v>
      </c>
      <c r="P467" s="195">
        <f t="shared" ref="P467:P472" si="207">IF(M467&gt;0,N467*100/M467,0)</f>
        <v>0</v>
      </c>
      <c r="Q467" s="541"/>
      <c r="R467" s="541"/>
      <c r="S467" s="541"/>
      <c r="T467" s="541"/>
      <c r="U467" s="541"/>
      <c r="V467" s="541"/>
      <c r="W467" s="541"/>
      <c r="X467" s="541"/>
      <c r="Y467" s="541"/>
      <c r="Z467" s="541"/>
    </row>
    <row r="468" spans="1:26" ht="18.75" hidden="1">
      <c r="A468" s="563"/>
      <c r="B468" s="723"/>
      <c r="C468" s="723"/>
      <c r="D468" s="684"/>
      <c r="E468" s="723" t="s">
        <v>184</v>
      </c>
      <c r="F468" s="723"/>
      <c r="G468" s="567"/>
      <c r="H468" s="165" t="s">
        <v>12</v>
      </c>
      <c r="I468" s="583"/>
      <c r="J468" s="583"/>
      <c r="K468" s="93"/>
      <c r="L468" s="93">
        <f t="shared" ref="L468:N469" si="208">L471+L478</f>
        <v>0</v>
      </c>
      <c r="M468" s="93">
        <f t="shared" si="208"/>
        <v>0</v>
      </c>
      <c r="N468" s="93">
        <f t="shared" si="208"/>
        <v>0</v>
      </c>
      <c r="O468" s="93">
        <f t="shared" si="206"/>
        <v>0</v>
      </c>
      <c r="P468" s="93">
        <f t="shared" si="207"/>
        <v>0</v>
      </c>
      <c r="Q468" s="568"/>
      <c r="R468" s="568"/>
      <c r="S468" s="568"/>
      <c r="T468" s="568"/>
      <c r="U468" s="568"/>
      <c r="V468" s="568"/>
      <c r="W468" s="568"/>
      <c r="X468" s="568"/>
      <c r="Y468" s="568"/>
      <c r="Z468" s="568"/>
    </row>
    <row r="469" spans="1:26" ht="18.75" hidden="1">
      <c r="A469" s="563"/>
      <c r="B469" s="571"/>
      <c r="C469" s="723"/>
      <c r="D469" s="684"/>
      <c r="E469" s="723" t="s">
        <v>185</v>
      </c>
      <c r="F469" s="723"/>
      <c r="G469" s="567"/>
      <c r="H469" s="165" t="s">
        <v>12</v>
      </c>
      <c r="I469" s="583"/>
      <c r="J469" s="583"/>
      <c r="K469" s="93"/>
      <c r="L469" s="93">
        <f t="shared" ca="1" si="208"/>
        <v>403983</v>
      </c>
      <c r="M469" s="93">
        <f t="shared" si="208"/>
        <v>0</v>
      </c>
      <c r="N469" s="93">
        <f t="shared" si="208"/>
        <v>21740</v>
      </c>
      <c r="O469" s="93">
        <f t="shared" ca="1" si="206"/>
        <v>5.3814145644742473</v>
      </c>
      <c r="P469" s="93">
        <f t="shared" si="207"/>
        <v>0</v>
      </c>
      <c r="Q469" s="568"/>
      <c r="R469" s="568"/>
      <c r="S469" s="568"/>
      <c r="T469" s="568"/>
      <c r="U469" s="568"/>
      <c r="V469" s="568"/>
      <c r="W469" s="568"/>
      <c r="X469" s="568"/>
      <c r="Y469" s="568"/>
      <c r="Z469" s="568"/>
    </row>
    <row r="470" spans="1:26" ht="18.75">
      <c r="A470" s="561"/>
      <c r="B470" s="538"/>
      <c r="C470" s="727"/>
      <c r="D470" s="570" t="s">
        <v>20</v>
      </c>
      <c r="E470" s="727"/>
      <c r="F470" s="727"/>
      <c r="G470" s="189"/>
      <c r="H470" s="161" t="s">
        <v>12</v>
      </c>
      <c r="I470" s="184"/>
      <c r="J470" s="184"/>
      <c r="K470" s="163"/>
      <c r="L470" s="465">
        <f t="shared" ref="L470:N470" ca="1" si="209">L471+L472</f>
        <v>403983</v>
      </c>
      <c r="M470" s="465">
        <f t="shared" si="209"/>
        <v>0</v>
      </c>
      <c r="N470" s="465">
        <f t="shared" si="209"/>
        <v>21740</v>
      </c>
      <c r="O470" s="465">
        <f t="shared" ca="1" si="206"/>
        <v>5.3814145644742473</v>
      </c>
      <c r="P470" s="465">
        <f t="shared" si="207"/>
        <v>0</v>
      </c>
      <c r="Q470" s="541"/>
      <c r="R470" s="541"/>
      <c r="S470" s="541"/>
      <c r="T470" s="541"/>
      <c r="U470" s="541"/>
      <c r="V470" s="541"/>
      <c r="W470" s="541"/>
      <c r="X470" s="541"/>
      <c r="Y470" s="541"/>
      <c r="Z470" s="541"/>
    </row>
    <row r="471" spans="1:26" ht="18.75" hidden="1">
      <c r="A471" s="563"/>
      <c r="B471" s="571"/>
      <c r="C471" s="723"/>
      <c r="D471" s="684"/>
      <c r="E471" s="723" t="s">
        <v>184</v>
      </c>
      <c r="F471" s="723"/>
      <c r="G471" s="567"/>
      <c r="H471" s="165" t="s">
        <v>12</v>
      </c>
      <c r="I471" s="583"/>
      <c r="J471" s="583"/>
      <c r="K471" s="93"/>
      <c r="L471" s="93">
        <v>0</v>
      </c>
      <c r="M471" s="93">
        <v>0</v>
      </c>
      <c r="N471" s="93">
        <v>0</v>
      </c>
      <c r="O471" s="93">
        <f t="shared" si="206"/>
        <v>0</v>
      </c>
      <c r="P471" s="93">
        <f t="shared" si="207"/>
        <v>0</v>
      </c>
      <c r="Q471" s="568"/>
      <c r="R471" s="568"/>
      <c r="S471" s="568"/>
      <c r="T471" s="568"/>
      <c r="U471" s="568"/>
      <c r="V471" s="568"/>
      <c r="W471" s="568"/>
      <c r="X471" s="568"/>
      <c r="Y471" s="568"/>
      <c r="Z471" s="568"/>
    </row>
    <row r="472" spans="1:26" ht="18.75" hidden="1">
      <c r="A472" s="563"/>
      <c r="B472" s="571"/>
      <c r="C472" s="723"/>
      <c r="D472" s="684"/>
      <c r="E472" s="723" t="s">
        <v>185</v>
      </c>
      <c r="F472" s="723"/>
      <c r="G472" s="567"/>
      <c r="H472" s="165" t="s">
        <v>12</v>
      </c>
      <c r="I472" s="583"/>
      <c r="J472" s="583"/>
      <c r="K472" s="93"/>
      <c r="L472" s="93">
        <f ca="1">IFERROR(__xludf.DUMMYFUNCTION("IMPORTRANGE(""https://docs.google.com/spreadsheets/d/1QqKyyYR6Q21VydFLVH3TRQUabQu_ym0Zz7PgGX0-kHA/edit?usp=sharing"",""แผน!FS23"")"),403983)</f>
        <v>403983</v>
      </c>
      <c r="M472" s="93">
        <v>0</v>
      </c>
      <c r="N472" s="93">
        <f>N473+N474+N475+N476</f>
        <v>21740</v>
      </c>
      <c r="O472" s="93">
        <f t="shared" ca="1" si="206"/>
        <v>5.3814145644742473</v>
      </c>
      <c r="P472" s="93">
        <f t="shared" si="207"/>
        <v>0</v>
      </c>
      <c r="Q472" s="568"/>
      <c r="R472" s="568"/>
      <c r="S472" s="568"/>
      <c r="T472" s="568"/>
      <c r="U472" s="568"/>
      <c r="V472" s="568"/>
      <c r="W472" s="568"/>
      <c r="X472" s="568"/>
      <c r="Y472" s="568"/>
      <c r="Z472" s="568"/>
    </row>
    <row r="473" spans="1:26" ht="18.75">
      <c r="A473" s="537"/>
      <c r="B473" s="538"/>
      <c r="C473" s="727"/>
      <c r="D473" s="727"/>
      <c r="E473" s="727"/>
      <c r="F473" s="727" t="s">
        <v>186</v>
      </c>
      <c r="G473" s="189"/>
      <c r="H473" s="161" t="s">
        <v>12</v>
      </c>
      <c r="I473" s="269"/>
      <c r="J473" s="269"/>
      <c r="K473" s="465"/>
      <c r="L473" s="465"/>
      <c r="M473" s="465"/>
      <c r="N473" s="789">
        <v>20490</v>
      </c>
      <c r="O473" s="465"/>
      <c r="P473" s="465"/>
      <c r="Q473" s="541"/>
      <c r="R473" s="541"/>
      <c r="S473" s="541"/>
      <c r="T473" s="541"/>
      <c r="U473" s="541"/>
      <c r="V473" s="541"/>
      <c r="W473" s="541"/>
      <c r="X473" s="541"/>
      <c r="Y473" s="541"/>
      <c r="Z473" s="541"/>
    </row>
    <row r="474" spans="1:26" ht="18.75">
      <c r="A474" s="537"/>
      <c r="B474" s="538"/>
      <c r="C474" s="727"/>
      <c r="D474" s="727"/>
      <c r="E474" s="727"/>
      <c r="F474" s="727" t="s">
        <v>187</v>
      </c>
      <c r="G474" s="189"/>
      <c r="H474" s="161" t="s">
        <v>12</v>
      </c>
      <c r="I474" s="269"/>
      <c r="J474" s="269"/>
      <c r="K474" s="465"/>
      <c r="L474" s="465"/>
      <c r="M474" s="465"/>
      <c r="N474" s="789">
        <v>0</v>
      </c>
      <c r="O474" s="465"/>
      <c r="P474" s="465"/>
      <c r="Q474" s="541"/>
      <c r="R474" s="541"/>
      <c r="S474" s="541"/>
      <c r="T474" s="541"/>
      <c r="U474" s="541"/>
      <c r="V474" s="541"/>
      <c r="W474" s="541"/>
      <c r="X474" s="541"/>
      <c r="Y474" s="541"/>
      <c r="Z474" s="541"/>
    </row>
    <row r="475" spans="1:26" ht="18.75">
      <c r="A475" s="537"/>
      <c r="B475" s="538"/>
      <c r="C475" s="538"/>
      <c r="D475" s="538"/>
      <c r="E475" s="538"/>
      <c r="F475" s="727" t="s">
        <v>188</v>
      </c>
      <c r="G475" s="189"/>
      <c r="H475" s="161" t="s">
        <v>12</v>
      </c>
      <c r="I475" s="269"/>
      <c r="J475" s="269"/>
      <c r="K475" s="465"/>
      <c r="L475" s="465"/>
      <c r="M475" s="465"/>
      <c r="N475" s="789">
        <v>0</v>
      </c>
      <c r="O475" s="465"/>
      <c r="P475" s="465"/>
      <c r="Q475" s="541"/>
      <c r="R475" s="541"/>
      <c r="S475" s="541"/>
      <c r="T475" s="541"/>
      <c r="U475" s="541"/>
      <c r="V475" s="541"/>
      <c r="W475" s="541"/>
      <c r="X475" s="541"/>
      <c r="Y475" s="541"/>
      <c r="Z475" s="541"/>
    </row>
    <row r="476" spans="1:26" ht="18.75">
      <c r="A476" s="537"/>
      <c r="B476" s="538"/>
      <c r="C476" s="538"/>
      <c r="D476" s="538"/>
      <c r="E476" s="538"/>
      <c r="F476" s="727" t="s">
        <v>189</v>
      </c>
      <c r="G476" s="189"/>
      <c r="H476" s="161" t="s">
        <v>12</v>
      </c>
      <c r="I476" s="269"/>
      <c r="J476" s="269"/>
      <c r="K476" s="465"/>
      <c r="L476" s="465"/>
      <c r="M476" s="465"/>
      <c r="N476" s="789">
        <v>1250</v>
      </c>
      <c r="O476" s="465"/>
      <c r="P476" s="465"/>
      <c r="Q476" s="541"/>
      <c r="R476" s="541"/>
      <c r="S476" s="541"/>
      <c r="T476" s="541"/>
      <c r="U476" s="541"/>
      <c r="V476" s="541"/>
      <c r="W476" s="541"/>
      <c r="X476" s="541"/>
      <c r="Y476" s="541"/>
      <c r="Z476" s="541"/>
    </row>
    <row r="477" spans="1:26" ht="18.75">
      <c r="A477" s="561"/>
      <c r="B477" s="538"/>
      <c r="C477" s="538"/>
      <c r="D477" s="570" t="s">
        <v>21</v>
      </c>
      <c r="E477" s="538"/>
      <c r="F477" s="538"/>
      <c r="G477" s="189"/>
      <c r="H477" s="168" t="s">
        <v>12</v>
      </c>
      <c r="I477" s="184"/>
      <c r="J477" s="184"/>
      <c r="K477" s="163"/>
      <c r="L477" s="465">
        <f t="shared" ref="L477:N477" ca="1" si="210">L478+L479</f>
        <v>0</v>
      </c>
      <c r="M477" s="465">
        <f t="shared" si="210"/>
        <v>0</v>
      </c>
      <c r="N477" s="465">
        <f t="shared" si="210"/>
        <v>0</v>
      </c>
      <c r="O477" s="465">
        <f t="shared" ref="O477:O479" ca="1" si="211">IF(L477&gt;0,N477*100/L477,0)</f>
        <v>0</v>
      </c>
      <c r="P477" s="465">
        <f t="shared" ref="P477:P479" si="212">IF(M477&gt;0,N477*100/M477,0)</f>
        <v>0</v>
      </c>
      <c r="Q477" s="541"/>
      <c r="R477" s="541"/>
      <c r="S477" s="541"/>
      <c r="T477" s="541"/>
      <c r="U477" s="541"/>
      <c r="V477" s="541"/>
      <c r="W477" s="541"/>
      <c r="X477" s="541"/>
      <c r="Y477" s="541"/>
      <c r="Z477" s="541"/>
    </row>
    <row r="478" spans="1:26" ht="18.75" hidden="1">
      <c r="A478" s="563"/>
      <c r="B478" s="571"/>
      <c r="C478" s="571"/>
      <c r="D478" s="571"/>
      <c r="E478" s="571" t="s">
        <v>18</v>
      </c>
      <c r="F478" s="571"/>
      <c r="G478" s="567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1"/>
        <v>0</v>
      </c>
      <c r="P478" s="93">
        <f t="shared" si="212"/>
        <v>0</v>
      </c>
      <c r="Q478" s="568"/>
      <c r="R478" s="568"/>
      <c r="S478" s="568"/>
      <c r="T478" s="568"/>
      <c r="U478" s="568"/>
      <c r="V478" s="568"/>
      <c r="W478" s="568"/>
      <c r="X478" s="568"/>
      <c r="Y478" s="568"/>
      <c r="Z478" s="568"/>
    </row>
    <row r="479" spans="1:26" ht="18.75" hidden="1">
      <c r="A479" s="563"/>
      <c r="B479" s="571"/>
      <c r="C479" s="571"/>
      <c r="D479" s="571"/>
      <c r="E479" s="571" t="s">
        <v>19</v>
      </c>
      <c r="F479" s="571"/>
      <c r="G479" s="567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IFERROR(__xludf.DUMMYFUNCTION("IMPORTRANGE(""https://docs.google.com/spreadsheets/d/1QqKyyYR6Q21VydFLVH3TRQUabQu_ym0Zz7PgGX0-kHA/edit?usp=sharing"",""แผน!FV23"")"),0)</f>
        <v>0</v>
      </c>
      <c r="M479" s="93">
        <v>0</v>
      </c>
      <c r="N479" s="93">
        <v>0</v>
      </c>
      <c r="O479" s="93">
        <f t="shared" ca="1" si="211"/>
        <v>0</v>
      </c>
      <c r="P479" s="93">
        <f t="shared" si="212"/>
        <v>0</v>
      </c>
      <c r="Q479" s="568"/>
      <c r="R479" s="568"/>
      <c r="S479" s="568"/>
      <c r="T479" s="568"/>
      <c r="U479" s="568"/>
      <c r="V479" s="568"/>
      <c r="W479" s="568"/>
      <c r="X479" s="568"/>
      <c r="Y479" s="568"/>
      <c r="Z479" s="568"/>
    </row>
    <row r="480" spans="1:26" ht="19.5">
      <c r="A480" s="572"/>
      <c r="B480" s="584"/>
      <c r="C480" s="538" t="s">
        <v>16</v>
      </c>
      <c r="D480" s="851" t="s">
        <v>38</v>
      </c>
      <c r="E480" s="575"/>
      <c r="F480" s="725"/>
      <c r="G480" s="577"/>
      <c r="H480" s="726"/>
      <c r="I480" s="269"/>
      <c r="J480" s="269"/>
      <c r="K480" s="465"/>
      <c r="L480" s="465"/>
      <c r="M480" s="465"/>
      <c r="N480" s="465"/>
      <c r="O480" s="465"/>
      <c r="P480" s="465"/>
      <c r="Q480" s="541"/>
      <c r="R480" s="541"/>
      <c r="S480" s="541"/>
      <c r="T480" s="541"/>
      <c r="U480" s="541"/>
      <c r="V480" s="541"/>
      <c r="W480" s="541"/>
      <c r="X480" s="541"/>
      <c r="Y480" s="541"/>
      <c r="Z480" s="541"/>
    </row>
    <row r="481" spans="1:26" ht="19.5">
      <c r="A481" s="572"/>
      <c r="B481" s="584"/>
      <c r="C481" s="584"/>
      <c r="D481" s="591" t="s">
        <v>206</v>
      </c>
      <c r="E481" s="584"/>
      <c r="F481" s="584"/>
      <c r="G481" s="726"/>
      <c r="H481" s="189"/>
      <c r="I481" s="269"/>
      <c r="J481" s="269"/>
      <c r="K481" s="465"/>
      <c r="L481" s="465"/>
      <c r="M481" s="465"/>
      <c r="N481" s="465"/>
      <c r="O481" s="465"/>
      <c r="P481" s="465"/>
      <c r="Q481" s="541"/>
      <c r="R481" s="541"/>
      <c r="S481" s="541"/>
      <c r="T481" s="541"/>
      <c r="U481" s="541"/>
      <c r="V481" s="541"/>
      <c r="W481" s="541"/>
      <c r="X481" s="541"/>
      <c r="Y481" s="541"/>
      <c r="Z481" s="541"/>
    </row>
    <row r="482" spans="1:26" ht="18.75">
      <c r="A482" s="572"/>
      <c r="B482" s="584"/>
      <c r="C482" s="584"/>
      <c r="D482" s="584"/>
      <c r="E482" s="584" t="s">
        <v>207</v>
      </c>
      <c r="F482" s="584"/>
      <c r="G482" s="726"/>
      <c r="H482" s="189"/>
      <c r="I482" s="269"/>
      <c r="J482" s="269"/>
      <c r="K482" s="465"/>
      <c r="L482" s="465"/>
      <c r="M482" s="465"/>
      <c r="N482" s="465"/>
      <c r="O482" s="465"/>
      <c r="P482" s="465"/>
      <c r="Q482" s="541"/>
      <c r="R482" s="541"/>
      <c r="S482" s="541"/>
      <c r="T482" s="541"/>
      <c r="U482" s="541"/>
      <c r="V482" s="541"/>
      <c r="W482" s="541"/>
      <c r="X482" s="541"/>
      <c r="Y482" s="541"/>
      <c r="Z482" s="541"/>
    </row>
    <row r="483" spans="1:26" ht="18.75">
      <c r="A483" s="572"/>
      <c r="B483" s="584"/>
      <c r="C483" s="584"/>
      <c r="D483" s="584"/>
      <c r="E483" s="584"/>
      <c r="F483" s="584" t="s">
        <v>208</v>
      </c>
      <c r="G483" s="726"/>
      <c r="H483" s="589" t="s">
        <v>46</v>
      </c>
      <c r="I483" s="269">
        <f ca="1">IFERROR(__xludf.DUMMYFUNCTION("IMPORTRANGE(""https://docs.google.com/spreadsheets/d/1QqKyyYR6Q21VydFLVH3TRQUabQu_ym0Zz7PgGX0-kHA/edit?usp=sharing"",""แผน!FY23"")"),450)</f>
        <v>450</v>
      </c>
      <c r="J483" s="214">
        <v>0</v>
      </c>
      <c r="K483" s="465">
        <f ca="1">IF(I483&gt;0,J483*100/I483,0)</f>
        <v>0</v>
      </c>
      <c r="L483" s="465"/>
      <c r="M483" s="465"/>
      <c r="N483" s="465"/>
      <c r="O483" s="465"/>
      <c r="P483" s="465"/>
      <c r="Q483" s="541"/>
      <c r="R483" s="541"/>
      <c r="S483" s="541"/>
      <c r="T483" s="541"/>
      <c r="U483" s="541"/>
      <c r="V483" s="541"/>
      <c r="W483" s="541"/>
      <c r="X483" s="541"/>
      <c r="Y483" s="541"/>
      <c r="Z483" s="541"/>
    </row>
    <row r="484" spans="1:26" ht="18.75">
      <c r="A484" s="572"/>
      <c r="B484" s="584"/>
      <c r="C484" s="584"/>
      <c r="D484" s="584"/>
      <c r="E484" s="584"/>
      <c r="F484" s="584" t="s">
        <v>209</v>
      </c>
      <c r="G484" s="726"/>
      <c r="H484" s="589" t="s">
        <v>35</v>
      </c>
      <c r="I484" s="269"/>
      <c r="J484" s="214">
        <v>0</v>
      </c>
      <c r="K484" s="465"/>
      <c r="L484" s="465"/>
      <c r="M484" s="465"/>
      <c r="N484" s="465"/>
      <c r="O484" s="465"/>
      <c r="P484" s="465"/>
      <c r="Q484" s="541"/>
      <c r="R484" s="541"/>
      <c r="S484" s="541"/>
      <c r="T484" s="541"/>
      <c r="U484" s="541"/>
      <c r="V484" s="541"/>
      <c r="W484" s="541"/>
      <c r="X484" s="541"/>
      <c r="Y484" s="541"/>
      <c r="Z484" s="541"/>
    </row>
    <row r="485" spans="1:26" ht="18.75">
      <c r="A485" s="572"/>
      <c r="B485" s="584"/>
      <c r="C485" s="584"/>
      <c r="D485" s="584"/>
      <c r="E485" s="584"/>
      <c r="F485" s="584" t="s">
        <v>210</v>
      </c>
      <c r="G485" s="726"/>
      <c r="H485" s="589" t="s">
        <v>35</v>
      </c>
      <c r="I485" s="269">
        <f ca="1">IFERROR(__xludf.DUMMYFUNCTION("IMPORTRANGE(""https://docs.google.com/spreadsheets/d/1QqKyyYR6Q21VydFLVH3TRQUabQu_ym0Zz7PgGX0-kHA/edit?usp=sharing"",""แผน!FZ23"")"),45)</f>
        <v>45</v>
      </c>
      <c r="J485" s="214">
        <v>0</v>
      </c>
      <c r="K485" s="465">
        <f ca="1">IF(I485&gt;0,J485*100/I485,0)</f>
        <v>0</v>
      </c>
      <c r="L485" s="465"/>
      <c r="M485" s="465"/>
      <c r="N485" s="465"/>
      <c r="O485" s="465"/>
      <c r="P485" s="465"/>
      <c r="Q485" s="541"/>
      <c r="R485" s="541"/>
      <c r="S485" s="541"/>
      <c r="T485" s="541"/>
      <c r="U485" s="541"/>
      <c r="V485" s="541"/>
      <c r="W485" s="541"/>
      <c r="X485" s="541"/>
      <c r="Y485" s="541"/>
      <c r="Z485" s="541"/>
    </row>
    <row r="486" spans="1:26" ht="18.75">
      <c r="A486" s="572"/>
      <c r="B486" s="584"/>
      <c r="C486" s="584"/>
      <c r="D486" s="584"/>
      <c r="E486" s="584" t="s">
        <v>62</v>
      </c>
      <c r="F486" s="584"/>
      <c r="G486" s="726"/>
      <c r="H486" s="589"/>
      <c r="I486" s="269"/>
      <c r="J486" s="269"/>
      <c r="K486" s="465"/>
      <c r="L486" s="465"/>
      <c r="M486" s="465"/>
      <c r="N486" s="465"/>
      <c r="O486" s="465"/>
      <c r="P486" s="465"/>
      <c r="Q486" s="541"/>
      <c r="R486" s="541"/>
      <c r="S486" s="541"/>
      <c r="T486" s="541"/>
      <c r="U486" s="541"/>
      <c r="V486" s="541"/>
      <c r="W486" s="541"/>
      <c r="X486" s="541"/>
      <c r="Y486" s="541"/>
      <c r="Z486" s="541"/>
    </row>
    <row r="487" spans="1:26" ht="18.75">
      <c r="A487" s="572"/>
      <c r="B487" s="584"/>
      <c r="C487" s="584"/>
      <c r="D487" s="584"/>
      <c r="E487" s="584"/>
      <c r="F487" s="584" t="s">
        <v>208</v>
      </c>
      <c r="G487" s="726"/>
      <c r="H487" s="589" t="s">
        <v>46</v>
      </c>
      <c r="I487" s="269">
        <f ca="1">IFERROR(__xludf.DUMMYFUNCTION("IMPORTRANGE(""https://docs.google.com/spreadsheets/d/1QqKyyYR6Q21VydFLVH3TRQUabQu_ym0Zz7PgGX0-kHA/edit?usp=sharing"",""แผน!GA23"")"),50)</f>
        <v>50</v>
      </c>
      <c r="J487" s="214">
        <v>0</v>
      </c>
      <c r="K487" s="465">
        <f ca="1">IF(I487&gt;0,J487*100/I487,0)</f>
        <v>0</v>
      </c>
      <c r="L487" s="465"/>
      <c r="M487" s="465"/>
      <c r="N487" s="465"/>
      <c r="O487" s="465"/>
      <c r="P487" s="465"/>
      <c r="Q487" s="541"/>
      <c r="R487" s="541"/>
      <c r="S487" s="541"/>
      <c r="T487" s="541"/>
      <c r="U487" s="541"/>
      <c r="V487" s="541"/>
      <c r="W487" s="541"/>
      <c r="X487" s="541"/>
      <c r="Y487" s="541"/>
      <c r="Z487" s="541"/>
    </row>
    <row r="488" spans="1:26" ht="18.75">
      <c r="A488" s="572"/>
      <c r="B488" s="584"/>
      <c r="C488" s="584"/>
      <c r="D488" s="584"/>
      <c r="E488" s="584"/>
      <c r="F488" s="584" t="s">
        <v>211</v>
      </c>
      <c r="G488" s="726"/>
      <c r="H488" s="589" t="s">
        <v>35</v>
      </c>
      <c r="I488" s="269"/>
      <c r="J488" s="214">
        <v>0</v>
      </c>
      <c r="K488" s="465"/>
      <c r="L488" s="465"/>
      <c r="M488" s="465"/>
      <c r="N488" s="465"/>
      <c r="O488" s="465"/>
      <c r="P488" s="465"/>
      <c r="Q488" s="541"/>
      <c r="R488" s="541"/>
      <c r="S488" s="541"/>
      <c r="T488" s="541"/>
      <c r="U488" s="541"/>
      <c r="V488" s="541"/>
      <c r="W488" s="541"/>
      <c r="X488" s="541"/>
      <c r="Y488" s="541"/>
      <c r="Z488" s="541"/>
    </row>
    <row r="489" spans="1:26" ht="18.75">
      <c r="A489" s="572"/>
      <c r="B489" s="584"/>
      <c r="C489" s="584"/>
      <c r="D489" s="584"/>
      <c r="E489" s="584"/>
      <c r="F489" s="584" t="s">
        <v>212</v>
      </c>
      <c r="G489" s="726"/>
      <c r="H489" s="589" t="s">
        <v>35</v>
      </c>
      <c r="I489" s="269">
        <f ca="1">IFERROR(__xludf.DUMMYFUNCTION("IMPORTRANGE(""https://docs.google.com/spreadsheets/d/1QqKyyYR6Q21VydFLVH3TRQUabQu_ym0Zz7PgGX0-kHA/edit?usp=sharing"",""แผน!GB23"")"),5)</f>
        <v>5</v>
      </c>
      <c r="J489" s="214">
        <v>0</v>
      </c>
      <c r="K489" s="465">
        <f ca="1">IF(I489&gt;0,J489*100/I489,0)</f>
        <v>0</v>
      </c>
      <c r="L489" s="465"/>
      <c r="M489" s="465"/>
      <c r="N489" s="465"/>
      <c r="O489" s="465"/>
      <c r="P489" s="465"/>
      <c r="Q489" s="541"/>
      <c r="R489" s="541"/>
      <c r="S489" s="541"/>
      <c r="T489" s="541"/>
      <c r="U489" s="541"/>
      <c r="V489" s="541"/>
      <c r="W489" s="541"/>
      <c r="X489" s="541"/>
      <c r="Y489" s="541"/>
      <c r="Z489" s="541"/>
    </row>
    <row r="490" spans="1:26" ht="18.75">
      <c r="A490" s="572"/>
      <c r="B490" s="584"/>
      <c r="C490" s="584"/>
      <c r="D490" s="584"/>
      <c r="E490" s="584" t="s">
        <v>63</v>
      </c>
      <c r="F490" s="592"/>
      <c r="G490" s="726"/>
      <c r="H490" s="589"/>
      <c r="I490" s="269"/>
      <c r="J490" s="269"/>
      <c r="K490" s="465"/>
      <c r="L490" s="465"/>
      <c r="M490" s="465"/>
      <c r="N490" s="465"/>
      <c r="O490" s="465"/>
      <c r="P490" s="465"/>
      <c r="Q490" s="541"/>
      <c r="R490" s="541"/>
      <c r="S490" s="541"/>
      <c r="T490" s="541"/>
      <c r="U490" s="541"/>
      <c r="V490" s="541"/>
      <c r="W490" s="541"/>
      <c r="X490" s="541"/>
      <c r="Y490" s="541"/>
      <c r="Z490" s="541"/>
    </row>
    <row r="491" spans="1:26" ht="18.75">
      <c r="A491" s="572"/>
      <c r="B491" s="584"/>
      <c r="C491" s="584"/>
      <c r="D491" s="584"/>
      <c r="E491" s="584"/>
      <c r="F491" s="584" t="s">
        <v>213</v>
      </c>
      <c r="G491" s="726"/>
      <c r="H491" s="589" t="s">
        <v>35</v>
      </c>
      <c r="I491" s="269"/>
      <c r="J491" s="214">
        <v>0</v>
      </c>
      <c r="K491" s="465"/>
      <c r="L491" s="465"/>
      <c r="M491" s="465"/>
      <c r="N491" s="465"/>
      <c r="O491" s="465"/>
      <c r="P491" s="465"/>
      <c r="Q491" s="541"/>
      <c r="R491" s="541"/>
      <c r="S491" s="541"/>
      <c r="T491" s="541"/>
      <c r="U491" s="541"/>
      <c r="V491" s="541"/>
      <c r="W491" s="541"/>
      <c r="X491" s="541"/>
      <c r="Y491" s="541"/>
      <c r="Z491" s="541"/>
    </row>
    <row r="492" spans="1:26" ht="18.75">
      <c r="A492" s="572"/>
      <c r="B492" s="584"/>
      <c r="C492" s="584"/>
      <c r="D492" s="584"/>
      <c r="E492" s="584"/>
      <c r="F492" s="584" t="s">
        <v>214</v>
      </c>
      <c r="G492" s="726"/>
      <c r="H492" s="589" t="s">
        <v>35</v>
      </c>
      <c r="I492" s="269">
        <f ca="1">IFERROR(__xludf.DUMMYFUNCTION("IMPORTRANGE(""https://docs.google.com/spreadsheets/d/1QqKyyYR6Q21VydFLVH3TRQUabQu_ym0Zz7PgGX0-kHA/edit?usp=sharing"",""แผน!GC23"")"),1)</f>
        <v>1</v>
      </c>
      <c r="J492" s="214">
        <v>0</v>
      </c>
      <c r="K492" s="465">
        <f ca="1">IF(I492&gt;0,J492*100/I492,0)</f>
        <v>0</v>
      </c>
      <c r="L492" s="465"/>
      <c r="M492" s="465"/>
      <c r="N492" s="465"/>
      <c r="O492" s="465"/>
      <c r="P492" s="465"/>
      <c r="Q492" s="541"/>
      <c r="R492" s="541"/>
      <c r="S492" s="541"/>
      <c r="T492" s="541"/>
      <c r="U492" s="541"/>
      <c r="V492" s="541"/>
      <c r="W492" s="541"/>
      <c r="X492" s="541"/>
      <c r="Y492" s="541"/>
      <c r="Z492" s="541"/>
    </row>
    <row r="493" spans="1:26" ht="19.5">
      <c r="A493" s="572"/>
      <c r="B493" s="584"/>
      <c r="C493" s="584"/>
      <c r="D493" s="591" t="s">
        <v>59</v>
      </c>
      <c r="E493" s="584"/>
      <c r="F493" s="592"/>
      <c r="G493" s="726"/>
      <c r="H493" s="189"/>
      <c r="I493" s="269"/>
      <c r="J493" s="269"/>
      <c r="K493" s="465"/>
      <c r="L493" s="465"/>
      <c r="M493" s="465"/>
      <c r="N493" s="465"/>
      <c r="O493" s="465"/>
      <c r="P493" s="465"/>
      <c r="Q493" s="541"/>
      <c r="R493" s="541"/>
      <c r="S493" s="541"/>
      <c r="T493" s="541"/>
      <c r="U493" s="541"/>
      <c r="V493" s="541"/>
      <c r="W493" s="541"/>
      <c r="X493" s="541"/>
      <c r="Y493" s="541"/>
      <c r="Z493" s="541"/>
    </row>
    <row r="494" spans="1:26" ht="18.75">
      <c r="A494" s="572"/>
      <c r="B494" s="584"/>
      <c r="C494" s="584"/>
      <c r="D494" s="584"/>
      <c r="E494" s="584" t="s">
        <v>207</v>
      </c>
      <c r="F494" s="592"/>
      <c r="G494" s="726"/>
      <c r="H494" s="189"/>
      <c r="I494" s="269"/>
      <c r="J494" s="269"/>
      <c r="K494" s="465"/>
      <c r="L494" s="465"/>
      <c r="M494" s="465"/>
      <c r="N494" s="465"/>
      <c r="O494" s="465"/>
      <c r="P494" s="465"/>
      <c r="Q494" s="541"/>
      <c r="R494" s="541"/>
      <c r="S494" s="541"/>
      <c r="T494" s="541"/>
      <c r="U494" s="541"/>
      <c r="V494" s="541"/>
      <c r="W494" s="541"/>
      <c r="X494" s="541"/>
      <c r="Y494" s="541"/>
      <c r="Z494" s="541"/>
    </row>
    <row r="495" spans="1:26" ht="18.75">
      <c r="A495" s="572"/>
      <c r="B495" s="584"/>
      <c r="C495" s="584"/>
      <c r="D495" s="584"/>
      <c r="E495" s="584"/>
      <c r="F495" s="592" t="s">
        <v>215</v>
      </c>
      <c r="G495" s="726"/>
      <c r="H495" s="589" t="s">
        <v>46</v>
      </c>
      <c r="I495" s="269">
        <f ca="1">IFERROR(__xludf.DUMMYFUNCTION("IMPORTRANGE(""https://docs.google.com/spreadsheets/d/1QqKyyYR6Q21VydFLVH3TRQUabQu_ym0Zz7PgGX0-kHA/edit?usp=sharing"",""แผน!FY23"")"),450)</f>
        <v>450</v>
      </c>
      <c r="J495" s="214">
        <v>0</v>
      </c>
      <c r="K495" s="465">
        <f ca="1">IF(I495&gt;0,J495*100/I495,0)</f>
        <v>0</v>
      </c>
      <c r="L495" s="465"/>
      <c r="M495" s="465"/>
      <c r="N495" s="465"/>
      <c r="O495" s="465"/>
      <c r="P495" s="465"/>
      <c r="Q495" s="541"/>
      <c r="R495" s="541"/>
      <c r="S495" s="541"/>
      <c r="T495" s="541"/>
      <c r="U495" s="541"/>
      <c r="V495" s="541"/>
      <c r="W495" s="541"/>
      <c r="X495" s="541"/>
      <c r="Y495" s="541"/>
      <c r="Z495" s="541"/>
    </row>
    <row r="496" spans="1:26" ht="18.75">
      <c r="A496" s="572"/>
      <c r="B496" s="584"/>
      <c r="C496" s="584"/>
      <c r="D496" s="584"/>
      <c r="E496" s="584"/>
      <c r="F496" s="592" t="s">
        <v>216</v>
      </c>
      <c r="G496" s="726"/>
      <c r="H496" s="589" t="s">
        <v>46</v>
      </c>
      <c r="I496" s="269"/>
      <c r="J496" s="214">
        <v>0</v>
      </c>
      <c r="K496" s="465"/>
      <c r="L496" s="465"/>
      <c r="M496" s="465"/>
      <c r="N496" s="465"/>
      <c r="O496" s="465"/>
      <c r="P496" s="465"/>
      <c r="Q496" s="541"/>
      <c r="R496" s="541"/>
      <c r="S496" s="541"/>
      <c r="T496" s="541"/>
      <c r="U496" s="541"/>
      <c r="V496" s="541"/>
      <c r="W496" s="541"/>
      <c r="X496" s="541"/>
      <c r="Y496" s="541"/>
      <c r="Z496" s="541"/>
    </row>
    <row r="497" spans="1:26" ht="18.75">
      <c r="A497" s="572"/>
      <c r="B497" s="584"/>
      <c r="C497" s="584"/>
      <c r="D497" s="584"/>
      <c r="E497" s="584" t="s">
        <v>62</v>
      </c>
      <c r="F497" s="592"/>
      <c r="G497" s="726"/>
      <c r="H497" s="189"/>
      <c r="I497" s="269"/>
      <c r="J497" s="269"/>
      <c r="K497" s="465"/>
      <c r="L497" s="465"/>
      <c r="M497" s="465"/>
      <c r="N497" s="465"/>
      <c r="O497" s="465"/>
      <c r="P497" s="465"/>
      <c r="Q497" s="541"/>
      <c r="R497" s="541"/>
      <c r="S497" s="541"/>
      <c r="T497" s="541"/>
      <c r="U497" s="541"/>
      <c r="V497" s="541"/>
      <c r="W497" s="541"/>
      <c r="X497" s="541"/>
      <c r="Y497" s="541"/>
      <c r="Z497" s="541"/>
    </row>
    <row r="498" spans="1:26" ht="18.75">
      <c r="A498" s="572"/>
      <c r="B498" s="584"/>
      <c r="C498" s="584"/>
      <c r="D498" s="584"/>
      <c r="E498" s="592"/>
      <c r="F498" s="592" t="s">
        <v>217</v>
      </c>
      <c r="G498" s="726"/>
      <c r="H498" s="589" t="s">
        <v>46</v>
      </c>
      <c r="I498" s="269">
        <f ca="1">IFERROR(__xludf.DUMMYFUNCTION("IMPORTRANGE(""https://docs.google.com/spreadsheets/d/1QqKyyYR6Q21VydFLVH3TRQUabQu_ym0Zz7PgGX0-kHA/edit?usp=sharing"",""แผน!GA23"")"),50)</f>
        <v>50</v>
      </c>
      <c r="J498" s="214">
        <v>0</v>
      </c>
      <c r="K498" s="465">
        <f ca="1">IF(I498&gt;0,J498*100/I498,0)</f>
        <v>0</v>
      </c>
      <c r="L498" s="465"/>
      <c r="M498" s="465"/>
      <c r="N498" s="465"/>
      <c r="O498" s="465"/>
      <c r="P498" s="465"/>
      <c r="Q498" s="541"/>
      <c r="R498" s="541"/>
      <c r="S498" s="541"/>
      <c r="T498" s="541"/>
      <c r="U498" s="541"/>
      <c r="V498" s="541"/>
      <c r="W498" s="541"/>
      <c r="X498" s="541"/>
      <c r="Y498" s="541"/>
      <c r="Z498" s="541"/>
    </row>
    <row r="499" spans="1:26" ht="18.75">
      <c r="A499" s="572"/>
      <c r="B499" s="584"/>
      <c r="C499" s="584"/>
      <c r="D499" s="584"/>
      <c r="E499" s="592"/>
      <c r="F499" s="592" t="s">
        <v>218</v>
      </c>
      <c r="G499" s="726"/>
      <c r="H499" s="589" t="s">
        <v>46</v>
      </c>
      <c r="I499" s="269"/>
      <c r="J499" s="214">
        <v>0</v>
      </c>
      <c r="K499" s="465"/>
      <c r="L499" s="465"/>
      <c r="M499" s="465"/>
      <c r="N499" s="465"/>
      <c r="O499" s="465"/>
      <c r="P499" s="465"/>
      <c r="Q499" s="541"/>
      <c r="R499" s="541"/>
      <c r="S499" s="541"/>
      <c r="T499" s="541"/>
      <c r="U499" s="541"/>
      <c r="V499" s="541"/>
      <c r="W499" s="541"/>
      <c r="X499" s="541"/>
      <c r="Y499" s="541"/>
      <c r="Z499" s="541"/>
    </row>
    <row r="500" spans="1:26" ht="19.5" hidden="1">
      <c r="A500" s="593">
        <v>4</v>
      </c>
      <c r="B500" s="594" t="s">
        <v>219</v>
      </c>
      <c r="C500" s="595"/>
      <c r="D500" s="596"/>
      <c r="E500" s="596"/>
      <c r="F500" s="596"/>
      <c r="G500" s="597"/>
      <c r="H500" s="598" t="s">
        <v>109</v>
      </c>
      <c r="I500" s="599"/>
      <c r="J500" s="599">
        <f t="shared" ref="J500:J501" si="213">J516</f>
        <v>0</v>
      </c>
      <c r="K500" s="600">
        <f t="shared" ref="K500:K501" si="214">IF(I500&gt;0,J500*100/I500,0)</f>
        <v>0</v>
      </c>
      <c r="L500" s="601"/>
      <c r="M500" s="601"/>
      <c r="N500" s="601"/>
      <c r="O500" s="601"/>
      <c r="P500" s="601"/>
      <c r="Q500" s="568"/>
      <c r="R500" s="568"/>
      <c r="S500" s="568"/>
      <c r="T500" s="568"/>
      <c r="U500" s="568"/>
      <c r="V500" s="568"/>
      <c r="W500" s="568"/>
      <c r="X500" s="568"/>
      <c r="Y500" s="568"/>
      <c r="Z500" s="568"/>
    </row>
    <row r="501" spans="1:26" ht="19.5" hidden="1">
      <c r="A501" s="602"/>
      <c r="B501" s="604" t="s">
        <v>220</v>
      </c>
      <c r="C501" s="604"/>
      <c r="D501" s="605"/>
      <c r="E501" s="605"/>
      <c r="F501" s="605"/>
      <c r="G501" s="606"/>
      <c r="H501" s="607" t="s">
        <v>35</v>
      </c>
      <c r="I501" s="608"/>
      <c r="J501" s="608">
        <f t="shared" si="213"/>
        <v>0</v>
      </c>
      <c r="K501" s="609">
        <f t="shared" si="214"/>
        <v>0</v>
      </c>
      <c r="L501" s="610"/>
      <c r="M501" s="610"/>
      <c r="N501" s="610"/>
      <c r="O501" s="610"/>
      <c r="P501" s="610"/>
      <c r="Q501" s="568"/>
      <c r="R501" s="568"/>
      <c r="S501" s="568"/>
      <c r="T501" s="568"/>
      <c r="U501" s="568"/>
      <c r="V501" s="568"/>
      <c r="W501" s="568"/>
      <c r="X501" s="568"/>
      <c r="Y501" s="568"/>
      <c r="Z501" s="568"/>
    </row>
    <row r="502" spans="1:26" ht="19.5" hidden="1">
      <c r="A502" s="563"/>
      <c r="B502" s="723"/>
      <c r="C502" s="723" t="s">
        <v>16</v>
      </c>
      <c r="D502" s="812" t="s">
        <v>17</v>
      </c>
      <c r="E502" s="805"/>
      <c r="F502" s="805"/>
      <c r="G502" s="567"/>
      <c r="H502" s="612" t="s">
        <v>12</v>
      </c>
      <c r="I502" s="583"/>
      <c r="J502" s="583"/>
      <c r="K502" s="93"/>
      <c r="L502" s="613">
        <f t="shared" ref="L502:N502" si="215">L503+L504</f>
        <v>0</v>
      </c>
      <c r="M502" s="613">
        <f t="shared" si="215"/>
        <v>0</v>
      </c>
      <c r="N502" s="613">
        <f t="shared" si="215"/>
        <v>0</v>
      </c>
      <c r="O502" s="613">
        <f t="shared" ref="O502:O507" si="216">IF(L502&gt;0,N502*100/L502,0)</f>
        <v>0</v>
      </c>
      <c r="P502" s="613">
        <f t="shared" ref="P502:P507" si="217">IF(M502&gt;0,N502*100/M502,0)</f>
        <v>0</v>
      </c>
      <c r="Q502" s="568"/>
      <c r="R502" s="568"/>
      <c r="S502" s="568"/>
      <c r="T502" s="568"/>
      <c r="U502" s="568"/>
      <c r="V502" s="568"/>
      <c r="W502" s="568"/>
      <c r="X502" s="568"/>
      <c r="Y502" s="568"/>
      <c r="Z502" s="568"/>
    </row>
    <row r="503" spans="1:26" ht="18.75" hidden="1">
      <c r="A503" s="563"/>
      <c r="B503" s="723"/>
      <c r="C503" s="723"/>
      <c r="D503" s="684"/>
      <c r="E503" s="723" t="s">
        <v>184</v>
      </c>
      <c r="F503" s="723"/>
      <c r="G503" s="567"/>
      <c r="H503" s="165" t="s">
        <v>12</v>
      </c>
      <c r="I503" s="583"/>
      <c r="J503" s="583"/>
      <c r="K503" s="93"/>
      <c r="L503" s="93">
        <f t="shared" ref="L503:N504" si="218">L506+L513</f>
        <v>0</v>
      </c>
      <c r="M503" s="93">
        <f t="shared" si="218"/>
        <v>0</v>
      </c>
      <c r="N503" s="93">
        <f t="shared" si="218"/>
        <v>0</v>
      </c>
      <c r="O503" s="93">
        <f t="shared" si="216"/>
        <v>0</v>
      </c>
      <c r="P503" s="93">
        <f t="shared" si="217"/>
        <v>0</v>
      </c>
      <c r="Q503" s="568"/>
      <c r="R503" s="568"/>
      <c r="S503" s="568"/>
      <c r="T503" s="568"/>
      <c r="U503" s="568"/>
      <c r="V503" s="568"/>
      <c r="W503" s="568"/>
      <c r="X503" s="568"/>
      <c r="Y503" s="568"/>
      <c r="Z503" s="568"/>
    </row>
    <row r="504" spans="1:26" ht="18.75" hidden="1">
      <c r="A504" s="563"/>
      <c r="B504" s="571"/>
      <c r="C504" s="723"/>
      <c r="D504" s="684"/>
      <c r="E504" s="723" t="s">
        <v>185</v>
      </c>
      <c r="F504" s="723"/>
      <c r="G504" s="567"/>
      <c r="H504" s="165" t="s">
        <v>12</v>
      </c>
      <c r="I504" s="583"/>
      <c r="J504" s="583"/>
      <c r="K504" s="93"/>
      <c r="L504" s="93">
        <f t="shared" si="218"/>
        <v>0</v>
      </c>
      <c r="M504" s="93">
        <f t="shared" si="218"/>
        <v>0</v>
      </c>
      <c r="N504" s="93">
        <f t="shared" si="218"/>
        <v>0</v>
      </c>
      <c r="O504" s="93">
        <f t="shared" si="216"/>
        <v>0</v>
      </c>
      <c r="P504" s="93">
        <f t="shared" si="217"/>
        <v>0</v>
      </c>
      <c r="Q504" s="568"/>
      <c r="R504" s="568"/>
      <c r="S504" s="568"/>
      <c r="T504" s="568"/>
      <c r="U504" s="568"/>
      <c r="V504" s="568"/>
      <c r="W504" s="568"/>
      <c r="X504" s="568"/>
      <c r="Y504" s="568"/>
      <c r="Z504" s="568"/>
    </row>
    <row r="505" spans="1:26" ht="18.75" hidden="1">
      <c r="A505" s="563"/>
      <c r="B505" s="571"/>
      <c r="C505" s="723"/>
      <c r="D505" s="614" t="s">
        <v>20</v>
      </c>
      <c r="E505" s="723"/>
      <c r="F505" s="723"/>
      <c r="G505" s="567"/>
      <c r="H505" s="165" t="s">
        <v>12</v>
      </c>
      <c r="I505" s="166"/>
      <c r="J505" s="166"/>
      <c r="K505" s="167"/>
      <c r="L505" s="93">
        <f t="shared" ref="L505:N505" si="219">L506+L507</f>
        <v>0</v>
      </c>
      <c r="M505" s="93">
        <f t="shared" si="219"/>
        <v>0</v>
      </c>
      <c r="N505" s="93">
        <f t="shared" si="219"/>
        <v>0</v>
      </c>
      <c r="O505" s="93">
        <f t="shared" si="216"/>
        <v>0</v>
      </c>
      <c r="P505" s="93">
        <f t="shared" si="217"/>
        <v>0</v>
      </c>
      <c r="Q505" s="568"/>
      <c r="R505" s="568"/>
      <c r="S505" s="568"/>
      <c r="T505" s="568"/>
      <c r="U505" s="568"/>
      <c r="V505" s="568"/>
      <c r="W505" s="568"/>
      <c r="X505" s="568"/>
      <c r="Y505" s="568"/>
      <c r="Z505" s="568"/>
    </row>
    <row r="506" spans="1:26" ht="18.75" hidden="1">
      <c r="A506" s="563"/>
      <c r="B506" s="571"/>
      <c r="C506" s="723"/>
      <c r="D506" s="684"/>
      <c r="E506" s="723" t="s">
        <v>184</v>
      </c>
      <c r="F506" s="723"/>
      <c r="G506" s="567"/>
      <c r="H506" s="165" t="s">
        <v>12</v>
      </c>
      <c r="I506" s="583"/>
      <c r="J506" s="583"/>
      <c r="K506" s="93"/>
      <c r="L506" s="93">
        <v>0</v>
      </c>
      <c r="M506" s="93">
        <v>0</v>
      </c>
      <c r="N506" s="93">
        <v>0</v>
      </c>
      <c r="O506" s="93">
        <f t="shared" si="216"/>
        <v>0</v>
      </c>
      <c r="P506" s="93">
        <f t="shared" si="217"/>
        <v>0</v>
      </c>
      <c r="Q506" s="568"/>
      <c r="R506" s="568"/>
      <c r="S506" s="568"/>
      <c r="T506" s="568"/>
      <c r="U506" s="568"/>
      <c r="V506" s="568"/>
      <c r="W506" s="568"/>
      <c r="X506" s="568"/>
      <c r="Y506" s="568"/>
      <c r="Z506" s="568"/>
    </row>
    <row r="507" spans="1:26" ht="18.75" hidden="1">
      <c r="A507" s="563"/>
      <c r="B507" s="571"/>
      <c r="C507" s="723"/>
      <c r="D507" s="684"/>
      <c r="E507" s="723" t="s">
        <v>185</v>
      </c>
      <c r="F507" s="723"/>
      <c r="G507" s="567"/>
      <c r="H507" s="165" t="s">
        <v>12</v>
      </c>
      <c r="I507" s="583"/>
      <c r="J507" s="583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6"/>
        <v>0</v>
      </c>
      <c r="P507" s="93">
        <f t="shared" si="217"/>
        <v>0</v>
      </c>
      <c r="Q507" s="568"/>
      <c r="R507" s="568"/>
      <c r="S507" s="568"/>
      <c r="T507" s="568"/>
      <c r="U507" s="568"/>
      <c r="V507" s="568"/>
      <c r="W507" s="568"/>
      <c r="X507" s="568"/>
      <c r="Y507" s="568"/>
      <c r="Z507" s="568"/>
    </row>
    <row r="508" spans="1:26" ht="18.75" hidden="1">
      <c r="A508" s="615"/>
      <c r="B508" s="571"/>
      <c r="C508" s="723"/>
      <c r="D508" s="723"/>
      <c r="E508" s="723"/>
      <c r="F508" s="723" t="s">
        <v>186</v>
      </c>
      <c r="G508" s="567"/>
      <c r="H508" s="165" t="s">
        <v>12</v>
      </c>
      <c r="I508" s="583"/>
      <c r="J508" s="583"/>
      <c r="K508" s="93"/>
      <c r="L508" s="93"/>
      <c r="M508" s="93"/>
      <c r="N508" s="93">
        <v>0</v>
      </c>
      <c r="O508" s="93"/>
      <c r="P508" s="93"/>
      <c r="Q508" s="568"/>
      <c r="R508" s="568"/>
      <c r="S508" s="568"/>
      <c r="T508" s="568"/>
      <c r="U508" s="568"/>
      <c r="V508" s="568"/>
      <c r="W508" s="568"/>
      <c r="X508" s="568"/>
      <c r="Y508" s="568"/>
      <c r="Z508" s="568"/>
    </row>
    <row r="509" spans="1:26" ht="18.75" hidden="1">
      <c r="A509" s="615"/>
      <c r="B509" s="571"/>
      <c r="C509" s="723"/>
      <c r="D509" s="723"/>
      <c r="E509" s="723"/>
      <c r="F509" s="723" t="s">
        <v>187</v>
      </c>
      <c r="G509" s="567"/>
      <c r="H509" s="165" t="s">
        <v>12</v>
      </c>
      <c r="I509" s="583"/>
      <c r="J509" s="583"/>
      <c r="K509" s="93"/>
      <c r="L509" s="93"/>
      <c r="M509" s="93"/>
      <c r="N509" s="93">
        <v>0</v>
      </c>
      <c r="O509" s="93"/>
      <c r="P509" s="93"/>
      <c r="Q509" s="568"/>
      <c r="R509" s="568"/>
      <c r="S509" s="568"/>
      <c r="T509" s="568"/>
      <c r="U509" s="568"/>
      <c r="V509" s="568"/>
      <c r="W509" s="568"/>
      <c r="X509" s="568"/>
      <c r="Y509" s="568"/>
      <c r="Z509" s="568"/>
    </row>
    <row r="510" spans="1:26" ht="18.75" hidden="1">
      <c r="A510" s="615"/>
      <c r="B510" s="571"/>
      <c r="C510" s="571"/>
      <c r="D510" s="571"/>
      <c r="E510" s="723"/>
      <c r="F510" s="723" t="s">
        <v>188</v>
      </c>
      <c r="G510" s="567"/>
      <c r="H510" s="165" t="s">
        <v>12</v>
      </c>
      <c r="I510" s="583"/>
      <c r="J510" s="583"/>
      <c r="K510" s="93"/>
      <c r="L510" s="93"/>
      <c r="M510" s="93"/>
      <c r="N510" s="93">
        <v>0</v>
      </c>
      <c r="O510" s="93"/>
      <c r="P510" s="93"/>
      <c r="Q510" s="568"/>
      <c r="R510" s="568"/>
      <c r="S510" s="568"/>
      <c r="T510" s="568"/>
      <c r="U510" s="568"/>
      <c r="V510" s="568"/>
      <c r="W510" s="568"/>
      <c r="X510" s="568"/>
      <c r="Y510" s="568"/>
      <c r="Z510" s="568"/>
    </row>
    <row r="511" spans="1:26" ht="18.75" hidden="1">
      <c r="A511" s="615"/>
      <c r="B511" s="571"/>
      <c r="C511" s="571"/>
      <c r="D511" s="571"/>
      <c r="E511" s="723"/>
      <c r="F511" s="723" t="s">
        <v>189</v>
      </c>
      <c r="G511" s="567"/>
      <c r="H511" s="165" t="s">
        <v>12</v>
      </c>
      <c r="I511" s="583"/>
      <c r="J511" s="583"/>
      <c r="K511" s="93"/>
      <c r="L511" s="93"/>
      <c r="M511" s="93"/>
      <c r="N511" s="93">
        <v>0</v>
      </c>
      <c r="O511" s="93"/>
      <c r="P511" s="93"/>
      <c r="Q511" s="568"/>
      <c r="R511" s="568"/>
      <c r="S511" s="568"/>
      <c r="T511" s="568"/>
      <c r="U511" s="568"/>
      <c r="V511" s="568"/>
      <c r="W511" s="568"/>
      <c r="X511" s="568"/>
      <c r="Y511" s="568"/>
      <c r="Z511" s="568"/>
    </row>
    <row r="512" spans="1:26" ht="18.75" hidden="1">
      <c r="A512" s="563"/>
      <c r="B512" s="571"/>
      <c r="C512" s="571"/>
      <c r="D512" s="614" t="s">
        <v>21</v>
      </c>
      <c r="E512" s="571"/>
      <c r="F512" s="723"/>
      <c r="G512" s="567"/>
      <c r="H512" s="169" t="s">
        <v>12</v>
      </c>
      <c r="I512" s="166"/>
      <c r="J512" s="166"/>
      <c r="K512" s="167"/>
      <c r="L512" s="93">
        <f t="shared" ref="L512:N512" si="220">L513+L514</f>
        <v>0</v>
      </c>
      <c r="M512" s="93">
        <f t="shared" si="220"/>
        <v>0</v>
      </c>
      <c r="N512" s="93">
        <f t="shared" si="220"/>
        <v>0</v>
      </c>
      <c r="O512" s="93">
        <f t="shared" ref="O512:O514" si="221">IF(L512&gt;0,N512*100/L512,0)</f>
        <v>0</v>
      </c>
      <c r="P512" s="93">
        <f t="shared" ref="P512:P514" si="222">IF(M512&gt;0,N512*100/M512,0)</f>
        <v>0</v>
      </c>
      <c r="Q512" s="568"/>
      <c r="R512" s="568"/>
      <c r="S512" s="568"/>
      <c r="T512" s="568"/>
      <c r="U512" s="568"/>
      <c r="V512" s="568"/>
      <c r="W512" s="568"/>
      <c r="X512" s="568"/>
      <c r="Y512" s="568"/>
      <c r="Z512" s="568"/>
    </row>
    <row r="513" spans="1:26" ht="18.75" hidden="1">
      <c r="A513" s="563"/>
      <c r="B513" s="571"/>
      <c r="C513" s="571"/>
      <c r="D513" s="571"/>
      <c r="E513" s="571" t="s">
        <v>18</v>
      </c>
      <c r="F513" s="723"/>
      <c r="G513" s="567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1"/>
        <v>0</v>
      </c>
      <c r="P513" s="93">
        <f t="shared" si="222"/>
        <v>0</v>
      </c>
      <c r="Q513" s="568"/>
      <c r="R513" s="568"/>
      <c r="S513" s="568"/>
      <c r="T513" s="568"/>
      <c r="U513" s="568"/>
      <c r="V513" s="568"/>
      <c r="W513" s="568"/>
      <c r="X513" s="568"/>
      <c r="Y513" s="568"/>
      <c r="Z513" s="568"/>
    </row>
    <row r="514" spans="1:26" ht="18.75" hidden="1">
      <c r="A514" s="563"/>
      <c r="B514" s="571"/>
      <c r="C514" s="571"/>
      <c r="D514" s="723"/>
      <c r="E514" s="571" t="s">
        <v>19</v>
      </c>
      <c r="F514" s="723"/>
      <c r="G514" s="567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1"/>
        <v>0</v>
      </c>
      <c r="P514" s="93">
        <f t="shared" si="222"/>
        <v>0</v>
      </c>
      <c r="Q514" s="568"/>
      <c r="R514" s="568"/>
      <c r="S514" s="568"/>
      <c r="T514" s="568"/>
      <c r="U514" s="568"/>
      <c r="V514" s="568"/>
      <c r="W514" s="568"/>
      <c r="X514" s="568"/>
      <c r="Y514" s="568"/>
      <c r="Z514" s="568"/>
    </row>
    <row r="515" spans="1:26" ht="19.5" hidden="1">
      <c r="A515" s="578"/>
      <c r="B515" s="580"/>
      <c r="C515" s="571" t="s">
        <v>16</v>
      </c>
      <c r="D515" s="852" t="s">
        <v>38</v>
      </c>
      <c r="E515" s="617"/>
      <c r="F515" s="617"/>
      <c r="G515" s="618"/>
      <c r="H515" s="581"/>
      <c r="I515" s="166"/>
      <c r="J515" s="166"/>
      <c r="K515" s="167"/>
      <c r="L515" s="167"/>
      <c r="M515" s="167"/>
      <c r="N515" s="167"/>
      <c r="O515" s="167"/>
      <c r="P515" s="167"/>
      <c r="Q515" s="568"/>
      <c r="R515" s="568"/>
      <c r="S515" s="568"/>
      <c r="T515" s="568"/>
      <c r="U515" s="568"/>
      <c r="V515" s="568"/>
      <c r="W515" s="568"/>
      <c r="X515" s="568"/>
      <c r="Y515" s="568"/>
      <c r="Z515" s="568"/>
    </row>
    <row r="516" spans="1:26" ht="18.75" hidden="1">
      <c r="A516" s="578"/>
      <c r="B516" s="580"/>
      <c r="C516" s="580"/>
      <c r="D516" s="580" t="s">
        <v>221</v>
      </c>
      <c r="E516" s="684"/>
      <c r="F516" s="684"/>
      <c r="G516" s="581"/>
      <c r="H516" s="619" t="s">
        <v>109</v>
      </c>
      <c r="I516" s="583"/>
      <c r="J516" s="583">
        <v>0</v>
      </c>
      <c r="K516" s="167">
        <f t="shared" ref="K516:K517" si="223">IF(I516&gt;0,J516*100/I516,0)</f>
        <v>0</v>
      </c>
      <c r="L516" s="167"/>
      <c r="M516" s="167"/>
      <c r="N516" s="167"/>
      <c r="O516" s="167"/>
      <c r="P516" s="167"/>
      <c r="Q516" s="568"/>
      <c r="R516" s="568"/>
      <c r="S516" s="568"/>
      <c r="T516" s="568"/>
      <c r="U516" s="568"/>
      <c r="V516" s="568"/>
      <c r="W516" s="568"/>
      <c r="X516" s="568"/>
      <c r="Y516" s="568"/>
      <c r="Z516" s="568"/>
    </row>
    <row r="517" spans="1:26" ht="19.5" hidden="1">
      <c r="A517" s="578"/>
      <c r="B517" s="580"/>
      <c r="C517" s="580"/>
      <c r="D517" s="580" t="s">
        <v>222</v>
      </c>
      <c r="E517" s="684"/>
      <c r="F517" s="684"/>
      <c r="G517" s="581"/>
      <c r="H517" s="620" t="s">
        <v>35</v>
      </c>
      <c r="I517" s="621"/>
      <c r="J517" s="621">
        <f>J518+J519</f>
        <v>0</v>
      </c>
      <c r="K517" s="622">
        <f t="shared" si="223"/>
        <v>0</v>
      </c>
      <c r="L517" s="167"/>
      <c r="M517" s="167"/>
      <c r="N517" s="167"/>
      <c r="O517" s="167"/>
      <c r="P517" s="167"/>
      <c r="Q517" s="568"/>
      <c r="R517" s="568"/>
      <c r="S517" s="568"/>
      <c r="T517" s="568"/>
      <c r="U517" s="568"/>
      <c r="V517" s="568"/>
      <c r="W517" s="568"/>
      <c r="X517" s="568"/>
      <c r="Y517" s="568"/>
      <c r="Z517" s="568"/>
    </row>
    <row r="518" spans="1:26" ht="18.75" hidden="1">
      <c r="A518" s="578"/>
      <c r="B518" s="580"/>
      <c r="C518" s="580"/>
      <c r="D518" s="580"/>
      <c r="E518" s="580" t="s">
        <v>223</v>
      </c>
      <c r="F518" s="684"/>
      <c r="G518" s="581"/>
      <c r="H518" s="582" t="s">
        <v>35</v>
      </c>
      <c r="I518" s="583"/>
      <c r="J518" s="583"/>
      <c r="K518" s="167"/>
      <c r="L518" s="167"/>
      <c r="M518" s="167"/>
      <c r="N518" s="167"/>
      <c r="O518" s="167"/>
      <c r="P518" s="167"/>
      <c r="Q518" s="568"/>
      <c r="R518" s="568"/>
      <c r="S518" s="568"/>
      <c r="T518" s="568"/>
      <c r="U518" s="568"/>
      <c r="V518" s="568"/>
      <c r="W518" s="568"/>
      <c r="X518" s="568"/>
      <c r="Y518" s="568"/>
      <c r="Z518" s="568"/>
    </row>
    <row r="519" spans="1:26" ht="18.75" hidden="1">
      <c r="A519" s="578"/>
      <c r="B519" s="580"/>
      <c r="C519" s="580"/>
      <c r="D519" s="580"/>
      <c r="E519" s="580" t="s">
        <v>224</v>
      </c>
      <c r="F519" s="684"/>
      <c r="G519" s="581"/>
      <c r="H519" s="619" t="s">
        <v>35</v>
      </c>
      <c r="I519" s="583"/>
      <c r="J519" s="583"/>
      <c r="K519" s="167"/>
      <c r="L519" s="167"/>
      <c r="M519" s="167"/>
      <c r="N519" s="167"/>
      <c r="O519" s="167"/>
      <c r="P519" s="167"/>
      <c r="Q519" s="568"/>
      <c r="R519" s="568"/>
      <c r="S519" s="568"/>
      <c r="T519" s="568"/>
      <c r="U519" s="568"/>
      <c r="V519" s="568"/>
      <c r="W519" s="568"/>
      <c r="X519" s="568"/>
      <c r="Y519" s="568"/>
      <c r="Z519" s="568"/>
    </row>
    <row r="520" spans="1:26" ht="19.5">
      <c r="A520" s="623" t="s">
        <v>137</v>
      </c>
      <c r="B520" s="624"/>
      <c r="C520" s="624"/>
      <c r="D520" s="625"/>
      <c r="E520" s="625"/>
      <c r="F520" s="625"/>
      <c r="G520" s="626"/>
      <c r="H520" s="627"/>
      <c r="I520" s="628"/>
      <c r="J520" s="628"/>
      <c r="K520" s="629"/>
      <c r="L520" s="629"/>
      <c r="M520" s="629"/>
      <c r="N520" s="629"/>
      <c r="O520" s="629"/>
      <c r="P520" s="629"/>
    </row>
    <row r="521" spans="1:26" ht="19.5" hidden="1">
      <c r="A521" s="630">
        <v>5</v>
      </c>
      <c r="B521" s="631" t="s">
        <v>225</v>
      </c>
      <c r="C521" s="632"/>
      <c r="D521" s="633"/>
      <c r="E521" s="633"/>
      <c r="F521" s="633"/>
      <c r="G521" s="633"/>
      <c r="H521" s="634"/>
      <c r="I521" s="635"/>
      <c r="J521" s="635"/>
      <c r="K521" s="636"/>
      <c r="L521" s="636"/>
      <c r="M521" s="636"/>
      <c r="N521" s="636"/>
      <c r="O521" s="636"/>
      <c r="P521" s="636"/>
      <c r="Q521" s="541"/>
      <c r="R521" s="541"/>
      <c r="S521" s="541"/>
      <c r="T521" s="541"/>
      <c r="U521" s="541"/>
      <c r="V521" s="541"/>
      <c r="W521" s="541"/>
      <c r="X521" s="541"/>
      <c r="Y521" s="541"/>
      <c r="Z521" s="541"/>
    </row>
    <row r="522" spans="1:26" ht="19.5" hidden="1">
      <c r="A522" s="637"/>
      <c r="B522" s="638" t="s">
        <v>226</v>
      </c>
      <c r="C522" s="639"/>
      <c r="D522" s="639"/>
      <c r="E522" s="639"/>
      <c r="F522" s="639"/>
      <c r="G522" s="640"/>
      <c r="H522" s="641" t="s">
        <v>35</v>
      </c>
      <c r="I522" s="672">
        <f t="shared" ref="I522:J522" ca="1" si="224">I537</f>
        <v>0</v>
      </c>
      <c r="J522" s="672">
        <f t="shared" ca="1" si="224"/>
        <v>0</v>
      </c>
      <c r="K522" s="643">
        <f ca="1">IF(I522&gt;0,J522*100/I522,0)</f>
        <v>0</v>
      </c>
      <c r="L522" s="644"/>
      <c r="M522" s="644"/>
      <c r="N522" s="644"/>
      <c r="O522" s="644"/>
      <c r="P522" s="644"/>
      <c r="Q522" s="541"/>
      <c r="R522" s="541"/>
      <c r="S522" s="541"/>
      <c r="T522" s="541"/>
      <c r="U522" s="541"/>
      <c r="V522" s="541"/>
      <c r="W522" s="541"/>
      <c r="X522" s="541"/>
      <c r="Y522" s="541"/>
      <c r="Z522" s="541"/>
    </row>
    <row r="523" spans="1:26" ht="19.5" hidden="1">
      <c r="A523" s="561"/>
      <c r="B523" s="727"/>
      <c r="C523" s="727" t="s">
        <v>16</v>
      </c>
      <c r="D523" s="811" t="s">
        <v>17</v>
      </c>
      <c r="E523" s="805"/>
      <c r="F523" s="805"/>
      <c r="G523" s="189"/>
      <c r="H523" s="562" t="s">
        <v>12</v>
      </c>
      <c r="I523" s="269"/>
      <c r="J523" s="269"/>
      <c r="K523" s="465"/>
      <c r="L523" s="195">
        <f t="shared" ref="L523:N523" ca="1" si="225">L524+L525</f>
        <v>0</v>
      </c>
      <c r="M523" s="195">
        <f t="shared" si="225"/>
        <v>0</v>
      </c>
      <c r="N523" s="195">
        <f t="shared" si="225"/>
        <v>0</v>
      </c>
      <c r="O523" s="195">
        <f t="shared" ref="O523:O528" ca="1" si="226">IF(L523&gt;0,N523*100/L523,0)</f>
        <v>0</v>
      </c>
      <c r="P523" s="195">
        <f t="shared" ref="P523:P528" si="227">IF(M523&gt;0,N523*100/M523,0)</f>
        <v>0</v>
      </c>
      <c r="Q523" s="541"/>
      <c r="R523" s="541"/>
      <c r="S523" s="541"/>
      <c r="T523" s="541"/>
      <c r="U523" s="541"/>
      <c r="V523" s="541"/>
      <c r="W523" s="541"/>
      <c r="X523" s="541"/>
      <c r="Y523" s="541"/>
      <c r="Z523" s="541"/>
    </row>
    <row r="524" spans="1:26" ht="18.75" hidden="1">
      <c r="A524" s="563"/>
      <c r="B524" s="723"/>
      <c r="C524" s="723"/>
      <c r="D524" s="684"/>
      <c r="E524" s="723" t="s">
        <v>184</v>
      </c>
      <c r="F524" s="723"/>
      <c r="G524" s="567"/>
      <c r="H524" s="165" t="s">
        <v>12</v>
      </c>
      <c r="I524" s="583"/>
      <c r="J524" s="583"/>
      <c r="K524" s="93"/>
      <c r="L524" s="93">
        <f t="shared" ref="L524:N525" si="228">L527+L534</f>
        <v>0</v>
      </c>
      <c r="M524" s="93">
        <f t="shared" si="228"/>
        <v>0</v>
      </c>
      <c r="N524" s="93">
        <f t="shared" si="228"/>
        <v>0</v>
      </c>
      <c r="O524" s="93">
        <f t="shared" si="226"/>
        <v>0</v>
      </c>
      <c r="P524" s="93">
        <f t="shared" si="227"/>
        <v>0</v>
      </c>
      <c r="Q524" s="568"/>
      <c r="R524" s="568"/>
      <c r="S524" s="568"/>
      <c r="T524" s="568"/>
      <c r="U524" s="568"/>
      <c r="V524" s="568"/>
      <c r="W524" s="568"/>
      <c r="X524" s="568"/>
      <c r="Y524" s="568"/>
      <c r="Z524" s="568"/>
    </row>
    <row r="525" spans="1:26" ht="18.75" hidden="1">
      <c r="A525" s="563"/>
      <c r="B525" s="571"/>
      <c r="C525" s="723"/>
      <c r="D525" s="684"/>
      <c r="E525" s="723" t="s">
        <v>185</v>
      </c>
      <c r="F525" s="723"/>
      <c r="G525" s="567"/>
      <c r="H525" s="165" t="s">
        <v>12</v>
      </c>
      <c r="I525" s="583"/>
      <c r="J525" s="583"/>
      <c r="K525" s="93"/>
      <c r="L525" s="93">
        <f t="shared" ca="1" si="228"/>
        <v>0</v>
      </c>
      <c r="M525" s="93">
        <f t="shared" si="228"/>
        <v>0</v>
      </c>
      <c r="N525" s="93">
        <f t="shared" si="228"/>
        <v>0</v>
      </c>
      <c r="O525" s="93">
        <f t="shared" ca="1" si="226"/>
        <v>0</v>
      </c>
      <c r="P525" s="93">
        <f t="shared" si="227"/>
        <v>0</v>
      </c>
      <c r="Q525" s="568"/>
      <c r="R525" s="568"/>
      <c r="S525" s="568"/>
      <c r="T525" s="568"/>
      <c r="U525" s="568"/>
      <c r="V525" s="568"/>
      <c r="W525" s="568"/>
      <c r="X525" s="568"/>
      <c r="Y525" s="568"/>
      <c r="Z525" s="568"/>
    </row>
    <row r="526" spans="1:26" ht="18.75" hidden="1">
      <c r="A526" s="561"/>
      <c r="B526" s="538"/>
      <c r="C526" s="727"/>
      <c r="D526" s="570" t="s">
        <v>20</v>
      </c>
      <c r="E526" s="727"/>
      <c r="F526" s="727"/>
      <c r="G526" s="189"/>
      <c r="H526" s="161" t="s">
        <v>12</v>
      </c>
      <c r="I526" s="184"/>
      <c r="J526" s="184"/>
      <c r="K526" s="163"/>
      <c r="L526" s="465">
        <f t="shared" ref="L526:N526" ca="1" si="229">L527+L528</f>
        <v>0</v>
      </c>
      <c r="M526" s="465">
        <f t="shared" si="229"/>
        <v>0</v>
      </c>
      <c r="N526" s="465">
        <f t="shared" si="229"/>
        <v>0</v>
      </c>
      <c r="O526" s="465">
        <f t="shared" ca="1" si="226"/>
        <v>0</v>
      </c>
      <c r="P526" s="465">
        <f t="shared" si="227"/>
        <v>0</v>
      </c>
      <c r="Q526" s="541"/>
      <c r="R526" s="541"/>
      <c r="S526" s="541"/>
      <c r="T526" s="541"/>
      <c r="U526" s="541"/>
      <c r="V526" s="541"/>
      <c r="W526" s="541"/>
      <c r="X526" s="541"/>
      <c r="Y526" s="541"/>
      <c r="Z526" s="541"/>
    </row>
    <row r="527" spans="1:26" ht="18.75" hidden="1">
      <c r="A527" s="563"/>
      <c r="B527" s="571"/>
      <c r="C527" s="723"/>
      <c r="D527" s="684"/>
      <c r="E527" s="723" t="s">
        <v>184</v>
      </c>
      <c r="F527" s="723"/>
      <c r="G527" s="567"/>
      <c r="H527" s="165" t="s">
        <v>12</v>
      </c>
      <c r="I527" s="583"/>
      <c r="J527" s="583"/>
      <c r="K527" s="93"/>
      <c r="L527" s="93">
        <v>0</v>
      </c>
      <c r="M527" s="93">
        <v>0</v>
      </c>
      <c r="N527" s="93">
        <v>0</v>
      </c>
      <c r="O527" s="93">
        <f t="shared" si="226"/>
        <v>0</v>
      </c>
      <c r="P527" s="93">
        <f t="shared" si="227"/>
        <v>0</v>
      </c>
      <c r="Q527" s="568"/>
      <c r="R527" s="568"/>
      <c r="S527" s="568"/>
      <c r="T527" s="568"/>
      <c r="U527" s="568"/>
      <c r="V527" s="568"/>
      <c r="W527" s="568"/>
      <c r="X527" s="568"/>
      <c r="Y527" s="568"/>
      <c r="Z527" s="568"/>
    </row>
    <row r="528" spans="1:26" ht="18.75" hidden="1">
      <c r="A528" s="563"/>
      <c r="B528" s="571"/>
      <c r="C528" s="723"/>
      <c r="D528" s="684"/>
      <c r="E528" s="723" t="s">
        <v>185</v>
      </c>
      <c r="F528" s="723"/>
      <c r="G528" s="567"/>
      <c r="H528" s="165" t="s">
        <v>12</v>
      </c>
      <c r="I528" s="583"/>
      <c r="J528" s="583"/>
      <c r="K528" s="93"/>
      <c r="L528" s="93">
        <f ca="1">IFERROR(__xludf.DUMMYFUNCTION("IMPORTRANGE(""https://docs.google.com/spreadsheets/d/1QqKyyYR6Q21VydFLVH3TRQUabQu_ym0Zz7PgGX0-kHA/edit?usp=sharing"",""แผน!GQ23"")"),0)</f>
        <v>0</v>
      </c>
      <c r="M528" s="93">
        <v>0</v>
      </c>
      <c r="N528" s="93">
        <f>N529+N530+N531+N532</f>
        <v>0</v>
      </c>
      <c r="O528" s="93">
        <f t="shared" ca="1" si="226"/>
        <v>0</v>
      </c>
      <c r="P528" s="93">
        <f t="shared" si="227"/>
        <v>0</v>
      </c>
      <c r="Q528" s="568"/>
      <c r="R528" s="568"/>
      <c r="S528" s="568"/>
      <c r="T528" s="568"/>
      <c r="U528" s="568"/>
      <c r="V528" s="568"/>
      <c r="W528" s="568"/>
      <c r="X528" s="568"/>
      <c r="Y528" s="568"/>
      <c r="Z528" s="568"/>
    </row>
    <row r="529" spans="1:26" ht="18.75" hidden="1">
      <c r="A529" s="537"/>
      <c r="B529" s="538"/>
      <c r="C529" s="727"/>
      <c r="D529" s="727"/>
      <c r="E529" s="727"/>
      <c r="F529" s="727" t="s">
        <v>186</v>
      </c>
      <c r="G529" s="189"/>
      <c r="H529" s="161" t="s">
        <v>12</v>
      </c>
      <c r="I529" s="269"/>
      <c r="J529" s="269"/>
      <c r="K529" s="465"/>
      <c r="L529" s="465"/>
      <c r="M529" s="465"/>
      <c r="N529" s="789">
        <v>0</v>
      </c>
      <c r="O529" s="465"/>
      <c r="P529" s="465"/>
      <c r="Q529" s="541"/>
      <c r="R529" s="541"/>
      <c r="S529" s="541"/>
      <c r="T529" s="541"/>
      <c r="U529" s="541"/>
      <c r="V529" s="541"/>
      <c r="W529" s="541"/>
      <c r="X529" s="541"/>
      <c r="Y529" s="541"/>
      <c r="Z529" s="541"/>
    </row>
    <row r="530" spans="1:26" ht="18.75" hidden="1">
      <c r="A530" s="537"/>
      <c r="B530" s="538"/>
      <c r="C530" s="727"/>
      <c r="D530" s="727"/>
      <c r="E530" s="727"/>
      <c r="F530" s="727" t="s">
        <v>187</v>
      </c>
      <c r="G530" s="189"/>
      <c r="H530" s="161" t="s">
        <v>12</v>
      </c>
      <c r="I530" s="269"/>
      <c r="J530" s="269"/>
      <c r="K530" s="465"/>
      <c r="L530" s="465"/>
      <c r="M530" s="465"/>
      <c r="N530" s="789">
        <v>0</v>
      </c>
      <c r="O530" s="465"/>
      <c r="P530" s="465"/>
      <c r="Q530" s="541"/>
      <c r="R530" s="541"/>
      <c r="S530" s="541"/>
      <c r="T530" s="541"/>
      <c r="U530" s="541"/>
      <c r="V530" s="541"/>
      <c r="W530" s="541"/>
      <c r="X530" s="541"/>
      <c r="Y530" s="541"/>
      <c r="Z530" s="541"/>
    </row>
    <row r="531" spans="1:26" ht="18.75" hidden="1">
      <c r="A531" s="537"/>
      <c r="B531" s="538"/>
      <c r="C531" s="727"/>
      <c r="D531" s="727"/>
      <c r="E531" s="727"/>
      <c r="F531" s="727" t="s">
        <v>188</v>
      </c>
      <c r="G531" s="189"/>
      <c r="H531" s="161" t="s">
        <v>12</v>
      </c>
      <c r="I531" s="269"/>
      <c r="J531" s="269"/>
      <c r="K531" s="465"/>
      <c r="L531" s="465"/>
      <c r="M531" s="465"/>
      <c r="N531" s="789">
        <v>0</v>
      </c>
      <c r="O531" s="465"/>
      <c r="P531" s="465"/>
      <c r="Q531" s="541"/>
      <c r="R531" s="541"/>
      <c r="S531" s="541"/>
      <c r="T531" s="541"/>
      <c r="U531" s="541"/>
      <c r="V531" s="541"/>
      <c r="W531" s="541"/>
      <c r="X531" s="541"/>
      <c r="Y531" s="541"/>
      <c r="Z531" s="541"/>
    </row>
    <row r="532" spans="1:26" ht="18.75" hidden="1">
      <c r="A532" s="537"/>
      <c r="B532" s="538"/>
      <c r="C532" s="727"/>
      <c r="D532" s="727"/>
      <c r="E532" s="727"/>
      <c r="F532" s="727" t="s">
        <v>189</v>
      </c>
      <c r="G532" s="189"/>
      <c r="H532" s="161" t="s">
        <v>12</v>
      </c>
      <c r="I532" s="269"/>
      <c r="J532" s="269"/>
      <c r="K532" s="465"/>
      <c r="L532" s="465"/>
      <c r="M532" s="465"/>
      <c r="N532" s="789">
        <v>0</v>
      </c>
      <c r="O532" s="465"/>
      <c r="P532" s="465"/>
      <c r="Q532" s="541"/>
      <c r="R532" s="541"/>
      <c r="S532" s="541"/>
      <c r="T532" s="541"/>
      <c r="U532" s="541"/>
      <c r="V532" s="541"/>
      <c r="W532" s="541"/>
      <c r="X532" s="541"/>
      <c r="Y532" s="541"/>
      <c r="Z532" s="541"/>
    </row>
    <row r="533" spans="1:26" ht="18.75" hidden="1">
      <c r="A533" s="561"/>
      <c r="B533" s="538"/>
      <c r="C533" s="727"/>
      <c r="D533" s="570" t="s">
        <v>21</v>
      </c>
      <c r="E533" s="727"/>
      <c r="F533" s="727"/>
      <c r="G533" s="189"/>
      <c r="H533" s="168" t="s">
        <v>12</v>
      </c>
      <c r="I533" s="184"/>
      <c r="J533" s="184"/>
      <c r="K533" s="163"/>
      <c r="L533" s="465">
        <f t="shared" ref="L533:N533" ca="1" si="230">L534+L535</f>
        <v>0</v>
      </c>
      <c r="M533" s="465">
        <f t="shared" si="230"/>
        <v>0</v>
      </c>
      <c r="N533" s="465">
        <f t="shared" si="230"/>
        <v>0</v>
      </c>
      <c r="O533" s="465">
        <f t="shared" ref="O533:O535" ca="1" si="231">IF(L533&gt;0,N533*100/L533,0)</f>
        <v>0</v>
      </c>
      <c r="P533" s="465">
        <f t="shared" ref="P533:P535" si="232">IF(M533&gt;0,N533*100/M533,0)</f>
        <v>0</v>
      </c>
      <c r="Q533" s="541"/>
      <c r="R533" s="541"/>
      <c r="S533" s="541"/>
      <c r="T533" s="541"/>
      <c r="U533" s="541"/>
      <c r="V533" s="541"/>
      <c r="W533" s="541"/>
      <c r="X533" s="541"/>
      <c r="Y533" s="541"/>
      <c r="Z533" s="541"/>
    </row>
    <row r="534" spans="1:26" ht="18.75" hidden="1">
      <c r="A534" s="563"/>
      <c r="B534" s="571"/>
      <c r="C534" s="723"/>
      <c r="D534" s="723"/>
      <c r="E534" s="723" t="s">
        <v>18</v>
      </c>
      <c r="F534" s="723"/>
      <c r="G534" s="567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1"/>
        <v>0</v>
      </c>
      <c r="P534" s="93">
        <f t="shared" si="232"/>
        <v>0</v>
      </c>
      <c r="Q534" s="568"/>
      <c r="R534" s="568"/>
      <c r="S534" s="568"/>
      <c r="T534" s="568"/>
      <c r="U534" s="568"/>
      <c r="V534" s="568"/>
      <c r="W534" s="568"/>
      <c r="X534" s="568"/>
      <c r="Y534" s="568"/>
      <c r="Z534" s="568"/>
    </row>
    <row r="535" spans="1:26" ht="18.75" hidden="1">
      <c r="A535" s="563"/>
      <c r="B535" s="571"/>
      <c r="C535" s="723"/>
      <c r="D535" s="723"/>
      <c r="E535" s="723" t="s">
        <v>19</v>
      </c>
      <c r="F535" s="723"/>
      <c r="G535" s="567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IFERROR(__xludf.DUMMYFUNCTION("IMPORTRANGE(""https://docs.google.com/spreadsheets/d/1QqKyyYR6Q21VydFLVH3TRQUabQu_ym0Zz7PgGX0-kHA/edit?usp=sharing"",""แผน!GT23"")"),0)</f>
        <v>0</v>
      </c>
      <c r="M535" s="93">
        <v>0</v>
      </c>
      <c r="N535" s="93">
        <v>0</v>
      </c>
      <c r="O535" s="93">
        <f t="shared" ca="1" si="231"/>
        <v>0</v>
      </c>
      <c r="P535" s="93">
        <f t="shared" si="232"/>
        <v>0</v>
      </c>
      <c r="Q535" s="568"/>
      <c r="R535" s="568"/>
      <c r="S535" s="568"/>
      <c r="T535" s="568"/>
      <c r="U535" s="568"/>
      <c r="V535" s="568"/>
      <c r="W535" s="568"/>
      <c r="X535" s="568"/>
      <c r="Y535" s="568"/>
      <c r="Z535" s="568"/>
    </row>
    <row r="536" spans="1:26" ht="19.5" hidden="1">
      <c r="A536" s="572"/>
      <c r="B536" s="584"/>
      <c r="C536" s="727" t="s">
        <v>16</v>
      </c>
      <c r="D536" s="853" t="s">
        <v>38</v>
      </c>
      <c r="E536" s="725"/>
      <c r="F536" s="725"/>
      <c r="G536" s="577"/>
      <c r="H536" s="726"/>
      <c r="I536" s="184"/>
      <c r="J536" s="184"/>
      <c r="K536" s="163"/>
      <c r="L536" s="163"/>
      <c r="M536" s="163"/>
      <c r="N536" s="163"/>
      <c r="O536" s="163"/>
      <c r="P536" s="163"/>
      <c r="Q536" s="541"/>
      <c r="R536" s="541"/>
      <c r="S536" s="541"/>
      <c r="T536" s="541"/>
      <c r="U536" s="541"/>
      <c r="V536" s="541"/>
      <c r="W536" s="541"/>
      <c r="X536" s="541"/>
      <c r="Y536" s="541"/>
      <c r="Z536" s="541"/>
    </row>
    <row r="537" spans="1:26" ht="19.5" hidden="1">
      <c r="A537" s="537"/>
      <c r="B537" s="538"/>
      <c r="C537" s="727"/>
      <c r="D537" s="727" t="s">
        <v>227</v>
      </c>
      <c r="E537" s="727"/>
      <c r="F537" s="727"/>
      <c r="G537" s="189"/>
      <c r="H537" s="589" t="s">
        <v>35</v>
      </c>
      <c r="I537" s="647">
        <f ca="1">IFERROR(__xludf.DUMMYFUNCTION("IMPORTRANGE(""https://docs.google.com/spreadsheets/d/1QqKyyYR6Q21VydFLVH3TRQUabQu_ym0Zz7PgGX0-kHA/edit?usp=sharing"",""แผน!GU23"")"),0)</f>
        <v>0</v>
      </c>
      <c r="J537" s="647">
        <f ca="1">IF(AND(J538=I538,J539=I539,J540=I540,J541=I541),I537,0)</f>
        <v>0</v>
      </c>
      <c r="K537" s="465">
        <f t="shared" ref="K537:K543" ca="1" si="233">IF(I537&gt;0,J537*100/I537,0)</f>
        <v>0</v>
      </c>
      <c r="L537" s="465"/>
      <c r="M537" s="465"/>
      <c r="N537" s="465"/>
      <c r="O537" s="465"/>
      <c r="P537" s="465"/>
      <c r="Q537" s="648"/>
      <c r="R537" s="648"/>
      <c r="S537" s="648"/>
      <c r="T537" s="648"/>
      <c r="U537" s="648"/>
      <c r="V537" s="648"/>
      <c r="W537" s="648"/>
      <c r="X537" s="648"/>
      <c r="Y537" s="648"/>
      <c r="Z537" s="648"/>
    </row>
    <row r="538" spans="1:26" ht="18.75" hidden="1">
      <c r="A538" s="537"/>
      <c r="B538" s="538"/>
      <c r="C538" s="727"/>
      <c r="D538" s="727"/>
      <c r="E538" s="727" t="s">
        <v>228</v>
      </c>
      <c r="F538" s="727"/>
      <c r="G538" s="189"/>
      <c r="H538" s="589" t="s">
        <v>35</v>
      </c>
      <c r="I538" s="269">
        <f ca="1">IFERROR(__xludf.DUMMYFUNCTION("IMPORTRANGE(""https://docs.google.com/spreadsheets/d/1QqKyyYR6Q21VydFLVH3TRQUabQu_ym0Zz7PgGX0-kHA/edit?usp=sharing"",""แผน!GV23"")"),0)</f>
        <v>0</v>
      </c>
      <c r="J538" s="214">
        <v>0</v>
      </c>
      <c r="K538" s="465">
        <f t="shared" ca="1" si="233"/>
        <v>0</v>
      </c>
      <c r="L538" s="465"/>
      <c r="M538" s="465"/>
      <c r="N538" s="465"/>
      <c r="O538" s="465"/>
      <c r="P538" s="465"/>
      <c r="Q538" s="648"/>
      <c r="R538" s="648"/>
      <c r="S538" s="648"/>
      <c r="T538" s="648"/>
      <c r="U538" s="648"/>
      <c r="V538" s="648"/>
      <c r="W538" s="648"/>
      <c r="X538" s="648"/>
      <c r="Y538" s="648"/>
      <c r="Z538" s="648"/>
    </row>
    <row r="539" spans="1:26" ht="18.75" hidden="1">
      <c r="A539" s="537"/>
      <c r="B539" s="538"/>
      <c r="C539" s="727"/>
      <c r="D539" s="727"/>
      <c r="E539" s="727" t="s">
        <v>229</v>
      </c>
      <c r="F539" s="727"/>
      <c r="G539" s="189"/>
      <c r="H539" s="589" t="s">
        <v>35</v>
      </c>
      <c r="I539" s="269">
        <f ca="1">IFERROR(__xludf.DUMMYFUNCTION("IMPORTRANGE(""https://docs.google.com/spreadsheets/d/1QqKyyYR6Q21VydFLVH3TRQUabQu_ym0Zz7PgGX0-kHA/edit?usp=sharing"",""แผน!GW23"")"),0)</f>
        <v>0</v>
      </c>
      <c r="J539" s="214">
        <v>0</v>
      </c>
      <c r="K539" s="465">
        <f t="shared" ca="1" si="233"/>
        <v>0</v>
      </c>
      <c r="L539" s="465"/>
      <c r="M539" s="465"/>
      <c r="N539" s="465"/>
      <c r="O539" s="465"/>
      <c r="P539" s="465"/>
      <c r="Q539" s="648"/>
      <c r="R539" s="648"/>
      <c r="S539" s="648"/>
      <c r="T539" s="648"/>
      <c r="U539" s="648"/>
      <c r="V539" s="648"/>
      <c r="W539" s="648"/>
      <c r="X539" s="648"/>
      <c r="Y539" s="648"/>
      <c r="Z539" s="648"/>
    </row>
    <row r="540" spans="1:26" ht="18.75" hidden="1">
      <c r="A540" s="537"/>
      <c r="B540" s="538"/>
      <c r="C540" s="727"/>
      <c r="D540" s="727"/>
      <c r="E540" s="727" t="s">
        <v>230</v>
      </c>
      <c r="F540" s="727"/>
      <c r="G540" s="189"/>
      <c r="H540" s="589" t="s">
        <v>35</v>
      </c>
      <c r="I540" s="269">
        <f ca="1">IFERROR(__xludf.DUMMYFUNCTION("IMPORTRANGE(""https://docs.google.com/spreadsheets/d/1QqKyyYR6Q21VydFLVH3TRQUabQu_ym0Zz7PgGX0-kHA/edit?usp=sharing"",""แผน!GX23"")"),0)</f>
        <v>0</v>
      </c>
      <c r="J540" s="214">
        <v>0</v>
      </c>
      <c r="K540" s="465">
        <f t="shared" ca="1" si="233"/>
        <v>0</v>
      </c>
      <c r="L540" s="465"/>
      <c r="M540" s="465"/>
      <c r="N540" s="465"/>
      <c r="O540" s="465"/>
      <c r="P540" s="465"/>
      <c r="Q540" s="648"/>
      <c r="R540" s="648"/>
      <c r="S540" s="648"/>
      <c r="T540" s="648"/>
      <c r="U540" s="648"/>
      <c r="V540" s="648"/>
      <c r="W540" s="648"/>
      <c r="X540" s="648"/>
      <c r="Y540" s="648"/>
      <c r="Z540" s="648"/>
    </row>
    <row r="541" spans="1:26" ht="18.75" hidden="1">
      <c r="A541" s="537"/>
      <c r="B541" s="538"/>
      <c r="C541" s="727"/>
      <c r="D541" s="727"/>
      <c r="E541" s="733" t="s">
        <v>231</v>
      </c>
      <c r="F541" s="727"/>
      <c r="G541" s="189"/>
      <c r="H541" s="589" t="s">
        <v>35</v>
      </c>
      <c r="I541" s="269">
        <f ca="1">IFERROR(__xludf.DUMMYFUNCTION("IMPORTRANGE(""https://docs.google.com/spreadsheets/d/1QqKyyYR6Q21VydFLVH3TRQUabQu_ym0Zz7PgGX0-kHA/edit?usp=sharing"",""แผน!GY23"")"),0)</f>
        <v>0</v>
      </c>
      <c r="J541" s="214">
        <v>0</v>
      </c>
      <c r="K541" s="465">
        <f t="shared" ca="1" si="233"/>
        <v>0</v>
      </c>
      <c r="L541" s="465"/>
      <c r="M541" s="465"/>
      <c r="N541" s="465"/>
      <c r="O541" s="465"/>
      <c r="P541" s="465"/>
      <c r="Q541" s="648"/>
      <c r="R541" s="648"/>
      <c r="S541" s="648"/>
      <c r="T541" s="648"/>
      <c r="U541" s="648"/>
      <c r="V541" s="648"/>
      <c r="W541" s="648"/>
      <c r="X541" s="648"/>
      <c r="Y541" s="648"/>
      <c r="Z541" s="648"/>
    </row>
    <row r="542" spans="1:26" ht="18.75" hidden="1">
      <c r="A542" s="537"/>
      <c r="B542" s="538"/>
      <c r="C542" s="727"/>
      <c r="D542" s="727" t="s">
        <v>59</v>
      </c>
      <c r="E542" s="727"/>
      <c r="F542" s="727"/>
      <c r="G542" s="189"/>
      <c r="H542" s="589" t="s">
        <v>35</v>
      </c>
      <c r="I542" s="269">
        <f ca="1">IFERROR(__xludf.DUMMYFUNCTION("IMPORTRANGE(""https://docs.google.com/spreadsheets/d/1QqKyyYR6Q21VydFLVH3TRQUabQu_ym0Zz7PgGX0-kHA/edit?usp=sharing"",""แผน!GZ23"")"),0)</f>
        <v>0</v>
      </c>
      <c r="J542" s="214">
        <v>0</v>
      </c>
      <c r="K542" s="465">
        <f t="shared" ca="1" si="233"/>
        <v>0</v>
      </c>
      <c r="L542" s="465"/>
      <c r="M542" s="465"/>
      <c r="N542" s="465"/>
      <c r="O542" s="465"/>
      <c r="P542" s="465"/>
      <c r="Q542" s="648"/>
      <c r="R542" s="648"/>
      <c r="S542" s="648"/>
      <c r="T542" s="648"/>
      <c r="U542" s="648"/>
      <c r="V542" s="648"/>
      <c r="W542" s="648"/>
      <c r="X542" s="648"/>
      <c r="Y542" s="648"/>
      <c r="Z542" s="648"/>
    </row>
    <row r="543" spans="1:26" ht="19.5">
      <c r="A543" s="630">
        <v>6</v>
      </c>
      <c r="B543" s="651" t="s">
        <v>232</v>
      </c>
      <c r="C543" s="633"/>
      <c r="D543" s="633"/>
      <c r="E543" s="633"/>
      <c r="F543" s="633"/>
      <c r="G543" s="634"/>
      <c r="H543" s="652" t="s">
        <v>46</v>
      </c>
      <c r="I543" s="653">
        <f t="shared" ref="I543:J543" ca="1" si="234">I559</f>
        <v>133053</v>
      </c>
      <c r="J543" s="653">
        <f t="shared" si="234"/>
        <v>0</v>
      </c>
      <c r="K543" s="654">
        <f t="shared" ca="1" si="233"/>
        <v>0</v>
      </c>
      <c r="L543" s="636"/>
      <c r="M543" s="636"/>
      <c r="N543" s="636"/>
      <c r="O543" s="636"/>
      <c r="P543" s="636"/>
      <c r="Q543" s="541"/>
      <c r="R543" s="541"/>
      <c r="S543" s="541"/>
      <c r="T543" s="541"/>
      <c r="U543" s="541"/>
      <c r="V543" s="541"/>
      <c r="W543" s="541"/>
      <c r="X543" s="541"/>
      <c r="Y543" s="541"/>
      <c r="Z543" s="541"/>
    </row>
    <row r="544" spans="1:26" ht="19.5">
      <c r="A544" s="655"/>
      <c r="B544" s="656"/>
      <c r="C544" s="656" t="s">
        <v>16</v>
      </c>
      <c r="D544" s="854" t="s">
        <v>17</v>
      </c>
      <c r="E544" s="810"/>
      <c r="F544" s="810"/>
      <c r="G544" s="657"/>
      <c r="H544" s="274" t="s">
        <v>12</v>
      </c>
      <c r="I544" s="388"/>
      <c r="J544" s="388"/>
      <c r="K544" s="154"/>
      <c r="L544" s="155">
        <f t="shared" ref="L544:N544" ca="1" si="235">L545+L546</f>
        <v>614495</v>
      </c>
      <c r="M544" s="155">
        <f t="shared" si="235"/>
        <v>0</v>
      </c>
      <c r="N544" s="155">
        <f t="shared" si="235"/>
        <v>26000</v>
      </c>
      <c r="O544" s="155">
        <f t="shared" ref="O544:O549" ca="1" si="236">IF(L544&gt;0,N544*100/L544,0)</f>
        <v>4.2311166079463627</v>
      </c>
      <c r="P544" s="155">
        <f t="shared" ref="P544:P549" si="237">IF(M544&gt;0,N544*100/M544,0)</f>
        <v>0</v>
      </c>
      <c r="Q544" s="541"/>
      <c r="R544" s="541"/>
      <c r="S544" s="541"/>
      <c r="T544" s="541"/>
      <c r="U544" s="541"/>
      <c r="V544" s="541"/>
      <c r="W544" s="541"/>
      <c r="X544" s="541"/>
      <c r="Y544" s="541"/>
      <c r="Z544" s="541"/>
    </row>
    <row r="545" spans="1:26" ht="18.75" hidden="1">
      <c r="A545" s="563"/>
      <c r="B545" s="723"/>
      <c r="C545" s="723"/>
      <c r="D545" s="723"/>
      <c r="E545" s="723" t="s">
        <v>184</v>
      </c>
      <c r="F545" s="723"/>
      <c r="G545" s="567"/>
      <c r="H545" s="165" t="s">
        <v>12</v>
      </c>
      <c r="I545" s="583"/>
      <c r="J545" s="583"/>
      <c r="K545" s="93"/>
      <c r="L545" s="93">
        <f t="shared" ref="L545:L546" si="238">L548+L556</f>
        <v>0</v>
      </c>
      <c r="M545" s="93">
        <f t="shared" ref="M545:N546" si="239">M548+M555</f>
        <v>0</v>
      </c>
      <c r="N545" s="93">
        <f t="shared" si="239"/>
        <v>0</v>
      </c>
      <c r="O545" s="93">
        <f t="shared" si="236"/>
        <v>0</v>
      </c>
      <c r="P545" s="93">
        <f t="shared" si="237"/>
        <v>0</v>
      </c>
      <c r="Q545" s="568"/>
      <c r="R545" s="568"/>
      <c r="S545" s="568"/>
      <c r="T545" s="568"/>
      <c r="U545" s="568"/>
      <c r="V545" s="568"/>
      <c r="W545" s="568"/>
      <c r="X545" s="568"/>
      <c r="Y545" s="568"/>
      <c r="Z545" s="568"/>
    </row>
    <row r="546" spans="1:26" ht="18.75" hidden="1">
      <c r="A546" s="563"/>
      <c r="B546" s="571"/>
      <c r="C546" s="723"/>
      <c r="D546" s="723"/>
      <c r="E546" s="723" t="s">
        <v>185</v>
      </c>
      <c r="F546" s="723"/>
      <c r="G546" s="567"/>
      <c r="H546" s="165" t="s">
        <v>12</v>
      </c>
      <c r="I546" s="583"/>
      <c r="J546" s="583"/>
      <c r="K546" s="93"/>
      <c r="L546" s="93">
        <f t="shared" ca="1" si="238"/>
        <v>614495</v>
      </c>
      <c r="M546" s="93">
        <f t="shared" si="239"/>
        <v>0</v>
      </c>
      <c r="N546" s="93">
        <f t="shared" si="239"/>
        <v>26000</v>
      </c>
      <c r="O546" s="93">
        <f t="shared" ca="1" si="236"/>
        <v>4.2311166079463627</v>
      </c>
      <c r="P546" s="93">
        <f t="shared" si="237"/>
        <v>0</v>
      </c>
      <c r="Q546" s="568"/>
      <c r="R546" s="568"/>
      <c r="S546" s="568"/>
      <c r="T546" s="568"/>
      <c r="U546" s="568"/>
      <c r="V546" s="568"/>
      <c r="W546" s="568"/>
      <c r="X546" s="568"/>
      <c r="Y546" s="568"/>
      <c r="Z546" s="568"/>
    </row>
    <row r="547" spans="1:26" ht="18.75">
      <c r="A547" s="561"/>
      <c r="B547" s="538"/>
      <c r="C547" s="727"/>
      <c r="D547" s="570" t="s">
        <v>20</v>
      </c>
      <c r="E547" s="727"/>
      <c r="F547" s="727"/>
      <c r="G547" s="189"/>
      <c r="H547" s="161" t="s">
        <v>12</v>
      </c>
      <c r="I547" s="184"/>
      <c r="J547" s="184"/>
      <c r="K547" s="163"/>
      <c r="L547" s="465">
        <f t="shared" ref="L547:N547" ca="1" si="240">L548+L549</f>
        <v>614495</v>
      </c>
      <c r="M547" s="465">
        <f t="shared" si="240"/>
        <v>0</v>
      </c>
      <c r="N547" s="465">
        <f t="shared" si="240"/>
        <v>26000</v>
      </c>
      <c r="O547" s="465">
        <f t="shared" ca="1" si="236"/>
        <v>4.2311166079463627</v>
      </c>
      <c r="P547" s="465">
        <f t="shared" si="237"/>
        <v>0</v>
      </c>
      <c r="Q547" s="541"/>
      <c r="R547" s="541"/>
      <c r="S547" s="541"/>
      <c r="T547" s="541"/>
      <c r="U547" s="541"/>
      <c r="V547" s="541"/>
      <c r="W547" s="541"/>
      <c r="X547" s="541"/>
      <c r="Y547" s="541"/>
      <c r="Z547" s="541"/>
    </row>
    <row r="548" spans="1:26" ht="18.75" hidden="1">
      <c r="A548" s="563"/>
      <c r="B548" s="571"/>
      <c r="C548" s="723"/>
      <c r="D548" s="684"/>
      <c r="E548" s="723" t="s">
        <v>184</v>
      </c>
      <c r="F548" s="723"/>
      <c r="G548" s="567"/>
      <c r="H548" s="165" t="s">
        <v>12</v>
      </c>
      <c r="I548" s="583"/>
      <c r="J548" s="583"/>
      <c r="K548" s="93"/>
      <c r="L548" s="93">
        <v>0</v>
      </c>
      <c r="M548" s="93">
        <v>0</v>
      </c>
      <c r="N548" s="93">
        <v>0</v>
      </c>
      <c r="O548" s="93">
        <f t="shared" si="236"/>
        <v>0</v>
      </c>
      <c r="P548" s="93">
        <f t="shared" si="237"/>
        <v>0</v>
      </c>
      <c r="Q548" s="568"/>
      <c r="R548" s="568"/>
      <c r="S548" s="568"/>
      <c r="T548" s="568"/>
      <c r="U548" s="568"/>
      <c r="V548" s="568"/>
      <c r="W548" s="568"/>
      <c r="X548" s="568"/>
      <c r="Y548" s="568"/>
      <c r="Z548" s="568"/>
    </row>
    <row r="549" spans="1:26" ht="18.75" hidden="1">
      <c r="A549" s="563"/>
      <c r="B549" s="571"/>
      <c r="C549" s="723"/>
      <c r="D549" s="684"/>
      <c r="E549" s="723" t="s">
        <v>185</v>
      </c>
      <c r="F549" s="723"/>
      <c r="G549" s="567"/>
      <c r="H549" s="165" t="s">
        <v>12</v>
      </c>
      <c r="I549" s="583"/>
      <c r="J549" s="583"/>
      <c r="K549" s="93"/>
      <c r="L549" s="93">
        <f ca="1">IFERROR(__xludf.DUMMYFUNCTION("IMPORTRANGE(""https://docs.google.com/spreadsheets/d/1QqKyyYR6Q21VydFLVH3TRQUabQu_ym0Zz7PgGX0-kHA/edit?usp=sharing"",""แผน!HB23"")"),614495)</f>
        <v>614495</v>
      </c>
      <c r="M549" s="93">
        <v>0</v>
      </c>
      <c r="N549" s="93">
        <f>N550+N551+N552+N553+N554</f>
        <v>26000</v>
      </c>
      <c r="O549" s="93">
        <f t="shared" ca="1" si="236"/>
        <v>4.2311166079463627</v>
      </c>
      <c r="P549" s="93">
        <f t="shared" si="237"/>
        <v>0</v>
      </c>
      <c r="Q549" s="568"/>
      <c r="R549" s="568"/>
      <c r="S549" s="568"/>
      <c r="T549" s="568"/>
      <c r="U549" s="568"/>
      <c r="V549" s="568"/>
      <c r="W549" s="568"/>
      <c r="X549" s="568"/>
      <c r="Y549" s="568"/>
      <c r="Z549" s="568"/>
    </row>
    <row r="550" spans="1:26" ht="18.75">
      <c r="A550" s="537"/>
      <c r="B550" s="538"/>
      <c r="C550" s="727"/>
      <c r="D550" s="727"/>
      <c r="E550" s="727"/>
      <c r="F550" s="727" t="s">
        <v>186</v>
      </c>
      <c r="G550" s="189"/>
      <c r="H550" s="161" t="s">
        <v>12</v>
      </c>
      <c r="I550" s="269"/>
      <c r="J550" s="269"/>
      <c r="K550" s="465"/>
      <c r="L550" s="465"/>
      <c r="M550" s="465"/>
      <c r="N550" s="789">
        <v>0</v>
      </c>
      <c r="O550" s="465"/>
      <c r="P550" s="465"/>
      <c r="Q550" s="541"/>
      <c r="R550" s="541"/>
      <c r="S550" s="541"/>
      <c r="T550" s="541"/>
      <c r="U550" s="541"/>
      <c r="V550" s="541"/>
      <c r="W550" s="541"/>
      <c r="X550" s="541"/>
      <c r="Y550" s="541"/>
      <c r="Z550" s="541"/>
    </row>
    <row r="551" spans="1:26" ht="18.75">
      <c r="A551" s="537"/>
      <c r="B551" s="538"/>
      <c r="C551" s="538"/>
      <c r="D551" s="538"/>
      <c r="E551" s="727"/>
      <c r="F551" s="727" t="s">
        <v>187</v>
      </c>
      <c r="G551" s="189"/>
      <c r="H551" s="161" t="s">
        <v>12</v>
      </c>
      <c r="I551" s="269"/>
      <c r="J551" s="269"/>
      <c r="K551" s="465"/>
      <c r="L551" s="465"/>
      <c r="M551" s="465"/>
      <c r="N551" s="789">
        <v>0</v>
      </c>
      <c r="O551" s="465"/>
      <c r="P551" s="465"/>
      <c r="Q551" s="541"/>
      <c r="R551" s="541"/>
      <c r="S551" s="541"/>
      <c r="T551" s="541"/>
      <c r="U551" s="541"/>
      <c r="V551" s="541"/>
      <c r="W551" s="541"/>
      <c r="X551" s="541"/>
      <c r="Y551" s="541"/>
      <c r="Z551" s="541"/>
    </row>
    <row r="552" spans="1:26" ht="18.75">
      <c r="A552" s="537"/>
      <c r="B552" s="538"/>
      <c r="C552" s="727"/>
      <c r="D552" s="727"/>
      <c r="E552" s="727"/>
      <c r="F552" s="727" t="s">
        <v>188</v>
      </c>
      <c r="G552" s="189"/>
      <c r="H552" s="161" t="s">
        <v>12</v>
      </c>
      <c r="I552" s="269"/>
      <c r="J552" s="269"/>
      <c r="K552" s="465"/>
      <c r="L552" s="465"/>
      <c r="M552" s="465"/>
      <c r="N552" s="789">
        <v>26000</v>
      </c>
      <c r="O552" s="465"/>
      <c r="P552" s="465"/>
      <c r="Q552" s="541"/>
      <c r="R552" s="541"/>
      <c r="S552" s="541"/>
      <c r="T552" s="541"/>
      <c r="U552" s="541"/>
      <c r="V552" s="541"/>
      <c r="W552" s="541"/>
      <c r="X552" s="541"/>
      <c r="Y552" s="541"/>
      <c r="Z552" s="541"/>
    </row>
    <row r="553" spans="1:26" ht="18.75">
      <c r="A553" s="537"/>
      <c r="B553" s="538"/>
      <c r="C553" s="538"/>
      <c r="D553" s="538"/>
      <c r="E553" s="727"/>
      <c r="F553" s="727" t="s">
        <v>189</v>
      </c>
      <c r="G553" s="189"/>
      <c r="H553" s="161" t="s">
        <v>12</v>
      </c>
      <c r="I553" s="269"/>
      <c r="J553" s="269"/>
      <c r="K553" s="465"/>
      <c r="L553" s="465"/>
      <c r="M553" s="465"/>
      <c r="N553" s="789">
        <v>0</v>
      </c>
      <c r="O553" s="465"/>
      <c r="P553" s="465"/>
      <c r="Q553" s="541"/>
      <c r="R553" s="541"/>
      <c r="S553" s="541"/>
      <c r="T553" s="541"/>
      <c r="U553" s="541"/>
      <c r="V553" s="541"/>
      <c r="W553" s="541"/>
      <c r="X553" s="541"/>
      <c r="Y553" s="541"/>
      <c r="Z553" s="541"/>
    </row>
    <row r="554" spans="1:26" ht="18.75">
      <c r="A554" s="537"/>
      <c r="B554" s="538"/>
      <c r="C554" s="538"/>
      <c r="D554" s="538"/>
      <c r="E554" s="727"/>
      <c r="F554" s="727" t="s">
        <v>233</v>
      </c>
      <c r="G554" s="189"/>
      <c r="H554" s="161" t="s">
        <v>12</v>
      </c>
      <c r="I554" s="269"/>
      <c r="J554" s="269"/>
      <c r="K554" s="465"/>
      <c r="L554" s="465"/>
      <c r="M554" s="465"/>
      <c r="N554" s="789">
        <v>0</v>
      </c>
      <c r="O554" s="465"/>
      <c r="P554" s="465"/>
      <c r="Q554" s="541"/>
      <c r="R554" s="541"/>
      <c r="S554" s="541"/>
      <c r="T554" s="541"/>
      <c r="U554" s="541"/>
      <c r="V554" s="541"/>
      <c r="W554" s="541"/>
      <c r="X554" s="541"/>
      <c r="Y554" s="541"/>
      <c r="Z554" s="541"/>
    </row>
    <row r="555" spans="1:26" ht="18.75">
      <c r="A555" s="561"/>
      <c r="B555" s="538"/>
      <c r="C555" s="538"/>
      <c r="D555" s="570" t="s">
        <v>21</v>
      </c>
      <c r="E555" s="727"/>
      <c r="F555" s="727"/>
      <c r="G555" s="189"/>
      <c r="H555" s="168" t="s">
        <v>12</v>
      </c>
      <c r="I555" s="184"/>
      <c r="J555" s="184"/>
      <c r="K555" s="163"/>
      <c r="L555" s="465">
        <f t="shared" ref="L555:N555" ca="1" si="241">L556+L557</f>
        <v>0</v>
      </c>
      <c r="M555" s="465">
        <f t="shared" si="241"/>
        <v>0</v>
      </c>
      <c r="N555" s="465">
        <f t="shared" si="241"/>
        <v>0</v>
      </c>
      <c r="O555" s="465">
        <f t="shared" ref="O555:O557" ca="1" si="242">IF(L555&gt;0,N555*100/L555,0)</f>
        <v>0</v>
      </c>
      <c r="P555" s="465">
        <f t="shared" ref="P555:P557" si="243">IF(M555&gt;0,N555*100/M555,0)</f>
        <v>0</v>
      </c>
      <c r="Q555" s="541"/>
      <c r="R555" s="541"/>
      <c r="S555" s="541"/>
      <c r="T555" s="541"/>
      <c r="U555" s="541"/>
      <c r="V555" s="541"/>
      <c r="W555" s="541"/>
      <c r="X555" s="541"/>
      <c r="Y555" s="541"/>
      <c r="Z555" s="541"/>
    </row>
    <row r="556" spans="1:26" ht="18.75" hidden="1">
      <c r="A556" s="563"/>
      <c r="B556" s="571"/>
      <c r="C556" s="571"/>
      <c r="D556" s="723"/>
      <c r="E556" s="723" t="s">
        <v>18</v>
      </c>
      <c r="F556" s="723"/>
      <c r="G556" s="567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2"/>
        <v>0</v>
      </c>
      <c r="P556" s="93">
        <f t="shared" si="243"/>
        <v>0</v>
      </c>
      <c r="Q556" s="568"/>
      <c r="R556" s="568"/>
      <c r="S556" s="568"/>
      <c r="T556" s="568"/>
      <c r="U556" s="568"/>
      <c r="V556" s="568"/>
      <c r="W556" s="568"/>
      <c r="X556" s="568"/>
      <c r="Y556" s="568"/>
      <c r="Z556" s="568"/>
    </row>
    <row r="557" spans="1:26" ht="18.75" hidden="1">
      <c r="A557" s="563"/>
      <c r="B557" s="571"/>
      <c r="C557" s="571"/>
      <c r="D557" s="723"/>
      <c r="E557" s="723" t="s">
        <v>19</v>
      </c>
      <c r="F557" s="723"/>
      <c r="G557" s="567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IFERROR(__xludf.DUMMYFUNCTION("IMPORTRANGE(""https://docs.google.com/spreadsheets/d/1QqKyyYR6Q21VydFLVH3TRQUabQu_ym0Zz7PgGX0-kHA/edit?usp=sharing"",""แผน!HF23"")"),0)</f>
        <v>0</v>
      </c>
      <c r="M557" s="93">
        <v>0</v>
      </c>
      <c r="N557" s="93">
        <v>0</v>
      </c>
      <c r="O557" s="93">
        <f t="shared" ca="1" si="242"/>
        <v>0</v>
      </c>
      <c r="P557" s="93">
        <f t="shared" si="243"/>
        <v>0</v>
      </c>
      <c r="Q557" s="568"/>
      <c r="R557" s="568"/>
      <c r="S557" s="568"/>
      <c r="T557" s="568"/>
      <c r="U557" s="568"/>
      <c r="V557" s="568"/>
      <c r="W557" s="568"/>
      <c r="X557" s="568"/>
      <c r="Y557" s="568"/>
      <c r="Z557" s="568"/>
    </row>
    <row r="558" spans="1:26" ht="19.5">
      <c r="A558" s="572"/>
      <c r="B558" s="584"/>
      <c r="C558" s="538" t="s">
        <v>16</v>
      </c>
      <c r="D558" s="853" t="s">
        <v>38</v>
      </c>
      <c r="E558" s="725"/>
      <c r="F558" s="725"/>
      <c r="G558" s="577"/>
      <c r="H558" s="726"/>
      <c r="I558" s="184"/>
      <c r="J558" s="184"/>
      <c r="K558" s="163"/>
      <c r="L558" s="163"/>
      <c r="M558" s="163"/>
      <c r="N558" s="163"/>
      <c r="O558" s="163"/>
      <c r="P558" s="163"/>
      <c r="Q558" s="541"/>
      <c r="R558" s="541"/>
      <c r="S558" s="541"/>
      <c r="T558" s="541"/>
      <c r="U558" s="541"/>
      <c r="V558" s="541"/>
      <c r="W558" s="541"/>
      <c r="X558" s="541"/>
      <c r="Y558" s="541"/>
      <c r="Z558" s="541"/>
    </row>
    <row r="559" spans="1:26" ht="19.5">
      <c r="A559" s="658"/>
      <c r="B559" s="659" t="s">
        <v>234</v>
      </c>
      <c r="C559" s="660"/>
      <c r="D559" s="660"/>
      <c r="E559" s="639"/>
      <c r="F559" s="639"/>
      <c r="G559" s="640"/>
      <c r="H559" s="661" t="s">
        <v>46</v>
      </c>
      <c r="I559" s="672">
        <f t="shared" ref="I559:J559" ca="1" si="244">I576</f>
        <v>133053</v>
      </c>
      <c r="J559" s="672">
        <f t="shared" si="244"/>
        <v>0</v>
      </c>
      <c r="K559" s="643">
        <f t="shared" ref="K559:K561" ca="1" si="245">IF(I559&gt;0,J559*100/I559,0)</f>
        <v>0</v>
      </c>
      <c r="L559" s="644"/>
      <c r="M559" s="644"/>
      <c r="N559" s="644"/>
      <c r="O559" s="644"/>
      <c r="P559" s="644"/>
      <c r="Q559" s="541"/>
      <c r="R559" s="541"/>
      <c r="S559" s="541"/>
      <c r="T559" s="541"/>
      <c r="U559" s="541"/>
      <c r="V559" s="541"/>
      <c r="W559" s="541"/>
      <c r="X559" s="541"/>
      <c r="Y559" s="541"/>
      <c r="Z559" s="541"/>
    </row>
    <row r="560" spans="1:26" ht="19.5">
      <c r="A560" s="572"/>
      <c r="B560" s="584"/>
      <c r="C560" s="591" t="s">
        <v>235</v>
      </c>
      <c r="D560" s="584"/>
      <c r="E560" s="592"/>
      <c r="F560" s="592"/>
      <c r="G560" s="726"/>
      <c r="H560" s="731" t="s">
        <v>46</v>
      </c>
      <c r="I560" s="193">
        <f ca="1">IFERROR(__xludf.DUMMYFUNCTION("IMPORTRANGE(""https://docs.google.com/spreadsheets/d/1QqKyyYR6Q21VydFLVH3TRQUabQu_ym0Zz7PgGX0-kHA/edit?usp=sharing"",""แผน!HH23"")"),133053)</f>
        <v>133053</v>
      </c>
      <c r="J560" s="193">
        <f t="shared" ref="J560:J561" si="246">J562+J564+J566</f>
        <v>0</v>
      </c>
      <c r="K560" s="379">
        <f t="shared" ca="1" si="245"/>
        <v>0</v>
      </c>
      <c r="L560" s="163"/>
      <c r="M560" s="163"/>
      <c r="N560" s="163"/>
      <c r="O560" s="163"/>
      <c r="P560" s="163"/>
      <c r="Q560" s="541"/>
      <c r="R560" s="541"/>
      <c r="S560" s="541"/>
      <c r="T560" s="541"/>
      <c r="U560" s="541"/>
      <c r="V560" s="541"/>
      <c r="W560" s="541"/>
      <c r="X560" s="541"/>
      <c r="Y560" s="541"/>
      <c r="Z560" s="541"/>
    </row>
    <row r="561" spans="1:26" ht="19.5">
      <c r="A561" s="572"/>
      <c r="B561" s="584"/>
      <c r="C561" s="584"/>
      <c r="D561" s="592"/>
      <c r="E561" s="592"/>
      <c r="F561" s="592"/>
      <c r="G561" s="726"/>
      <c r="H561" s="731" t="s">
        <v>34</v>
      </c>
      <c r="I561" s="193">
        <f ca="1">IFERROR(__xludf.DUMMYFUNCTION("IMPORTRANGE(""https://docs.google.com/spreadsheets/d/1QqKyyYR6Q21VydFLVH3TRQUabQu_ym0Zz7PgGX0-kHA/edit?usp=sharing"",""แผน!HG23"")"),7593)</f>
        <v>7593</v>
      </c>
      <c r="J561" s="193">
        <f t="shared" si="246"/>
        <v>0</v>
      </c>
      <c r="K561" s="379">
        <f t="shared" ca="1" si="245"/>
        <v>0</v>
      </c>
      <c r="L561" s="163"/>
      <c r="M561" s="163"/>
      <c r="N561" s="163"/>
      <c r="O561" s="163"/>
      <c r="P561" s="163"/>
      <c r="Q561" s="541"/>
      <c r="R561" s="541"/>
      <c r="S561" s="541"/>
      <c r="T561" s="541"/>
      <c r="U561" s="541"/>
      <c r="V561" s="541"/>
      <c r="W561" s="541"/>
      <c r="X561" s="541"/>
      <c r="Y561" s="541"/>
      <c r="Z561" s="541"/>
    </row>
    <row r="562" spans="1:26" ht="18.75">
      <c r="A562" s="572"/>
      <c r="B562" s="584"/>
      <c r="C562" s="584"/>
      <c r="D562" s="592" t="s">
        <v>236</v>
      </c>
      <c r="E562" s="592"/>
      <c r="F562" s="592"/>
      <c r="G562" s="726"/>
      <c r="H562" s="728" t="s">
        <v>46</v>
      </c>
      <c r="I562" s="184"/>
      <c r="J562" s="214">
        <v>0</v>
      </c>
      <c r="K562" s="163"/>
      <c r="L562" s="163"/>
      <c r="M562" s="163"/>
      <c r="N562" s="163"/>
      <c r="O562" s="163"/>
      <c r="P562" s="163"/>
      <c r="Q562" s="541"/>
      <c r="R562" s="541"/>
      <c r="S562" s="541"/>
      <c r="T562" s="541"/>
      <c r="U562" s="541"/>
      <c r="V562" s="541"/>
      <c r="W562" s="541"/>
      <c r="X562" s="541"/>
      <c r="Y562" s="541"/>
      <c r="Z562" s="541"/>
    </row>
    <row r="563" spans="1:26" ht="18.75">
      <c r="A563" s="572"/>
      <c r="B563" s="584"/>
      <c r="C563" s="584"/>
      <c r="D563" s="584"/>
      <c r="E563" s="592"/>
      <c r="F563" s="592"/>
      <c r="G563" s="726"/>
      <c r="H563" s="728" t="s">
        <v>34</v>
      </c>
      <c r="I563" s="184"/>
      <c r="J563" s="214">
        <v>0</v>
      </c>
      <c r="K563" s="163"/>
      <c r="L563" s="163"/>
      <c r="M563" s="163"/>
      <c r="N563" s="163"/>
      <c r="O563" s="163"/>
      <c r="P563" s="163"/>
      <c r="Q563" s="541"/>
      <c r="R563" s="541"/>
      <c r="S563" s="541"/>
      <c r="T563" s="541"/>
      <c r="U563" s="541"/>
      <c r="V563" s="541"/>
      <c r="W563" s="541"/>
      <c r="X563" s="541"/>
      <c r="Y563" s="541"/>
      <c r="Z563" s="541"/>
    </row>
    <row r="564" spans="1:26" ht="18.75">
      <c r="A564" s="572"/>
      <c r="B564" s="584"/>
      <c r="C564" s="584"/>
      <c r="D564" s="592" t="s">
        <v>237</v>
      </c>
      <c r="E564" s="592"/>
      <c r="F564" s="592"/>
      <c r="G564" s="726"/>
      <c r="H564" s="728" t="s">
        <v>46</v>
      </c>
      <c r="I564" s="184"/>
      <c r="J564" s="214">
        <v>0</v>
      </c>
      <c r="K564" s="163"/>
      <c r="L564" s="163"/>
      <c r="M564" s="163"/>
      <c r="N564" s="163"/>
      <c r="O564" s="163"/>
      <c r="P564" s="163"/>
      <c r="Q564" s="541"/>
      <c r="R564" s="541"/>
      <c r="S564" s="541"/>
      <c r="T564" s="541"/>
      <c r="U564" s="541"/>
      <c r="V564" s="541"/>
      <c r="W564" s="541"/>
      <c r="X564" s="541"/>
      <c r="Y564" s="541"/>
      <c r="Z564" s="541"/>
    </row>
    <row r="565" spans="1:26" ht="18.75">
      <c r="A565" s="572"/>
      <c r="B565" s="584"/>
      <c r="C565" s="584"/>
      <c r="D565" s="592"/>
      <c r="E565" s="592"/>
      <c r="F565" s="592"/>
      <c r="G565" s="726"/>
      <c r="H565" s="728" t="s">
        <v>34</v>
      </c>
      <c r="I565" s="184"/>
      <c r="J565" s="214">
        <v>0</v>
      </c>
      <c r="K565" s="163"/>
      <c r="L565" s="163"/>
      <c r="M565" s="163"/>
      <c r="N565" s="163"/>
      <c r="O565" s="163"/>
      <c r="P565" s="163"/>
      <c r="Q565" s="541"/>
      <c r="R565" s="541"/>
      <c r="S565" s="541"/>
      <c r="T565" s="541"/>
      <c r="U565" s="541"/>
      <c r="V565" s="541"/>
      <c r="W565" s="541"/>
      <c r="X565" s="541"/>
      <c r="Y565" s="541"/>
      <c r="Z565" s="541"/>
    </row>
    <row r="566" spans="1:26" ht="18.75">
      <c r="A566" s="572"/>
      <c r="B566" s="584"/>
      <c r="C566" s="584"/>
      <c r="D566" s="592" t="s">
        <v>238</v>
      </c>
      <c r="E566" s="592"/>
      <c r="F566" s="592"/>
      <c r="G566" s="726"/>
      <c r="H566" s="728" t="s">
        <v>46</v>
      </c>
      <c r="I566" s="184"/>
      <c r="J566" s="214">
        <v>0</v>
      </c>
      <c r="K566" s="163"/>
      <c r="L566" s="163"/>
      <c r="M566" s="163"/>
      <c r="N566" s="163"/>
      <c r="O566" s="163"/>
      <c r="P566" s="163"/>
      <c r="Q566" s="541"/>
      <c r="R566" s="541"/>
      <c r="S566" s="541"/>
      <c r="T566" s="541"/>
      <c r="U566" s="541"/>
      <c r="V566" s="541"/>
      <c r="W566" s="541"/>
      <c r="X566" s="541"/>
      <c r="Y566" s="541"/>
      <c r="Z566" s="541"/>
    </row>
    <row r="567" spans="1:26" ht="18.75">
      <c r="A567" s="572"/>
      <c r="B567" s="584"/>
      <c r="C567" s="584"/>
      <c r="D567" s="592"/>
      <c r="E567" s="592"/>
      <c r="F567" s="592"/>
      <c r="G567" s="726"/>
      <c r="H567" s="728" t="s">
        <v>34</v>
      </c>
      <c r="I567" s="184"/>
      <c r="J567" s="214">
        <v>0</v>
      </c>
      <c r="K567" s="163"/>
      <c r="L567" s="163"/>
      <c r="M567" s="163"/>
      <c r="N567" s="163"/>
      <c r="O567" s="163"/>
      <c r="P567" s="163"/>
      <c r="Q567" s="541"/>
      <c r="R567" s="541"/>
      <c r="S567" s="541"/>
      <c r="T567" s="541"/>
      <c r="U567" s="541"/>
      <c r="V567" s="541"/>
      <c r="W567" s="541"/>
      <c r="X567" s="541"/>
      <c r="Y567" s="541"/>
      <c r="Z567" s="541"/>
    </row>
    <row r="568" spans="1:26" ht="19.5">
      <c r="A568" s="572"/>
      <c r="B568" s="584"/>
      <c r="C568" s="591" t="s">
        <v>239</v>
      </c>
      <c r="D568" s="592"/>
      <c r="E568" s="592"/>
      <c r="F568" s="592"/>
      <c r="G568" s="726"/>
      <c r="H568" s="731" t="s">
        <v>46</v>
      </c>
      <c r="I568" s="193">
        <f ca="1">IFERROR(__xludf.DUMMYFUNCTION("IMPORTRANGE(""https://docs.google.com/spreadsheets/d/1QqKyyYR6Q21VydFLVH3TRQUabQu_ym0Zz7PgGX0-kHA/edit?usp=sharing"",""แผน!HH23"")"),133053)</f>
        <v>133053</v>
      </c>
      <c r="J568" s="647">
        <f t="shared" ref="J568:J569" si="247">J570+J572+J574</f>
        <v>0</v>
      </c>
      <c r="K568" s="379">
        <f t="shared" ref="K568:K569" ca="1" si="248">IF(I568&gt;0,J568*100/I568,0)</f>
        <v>0</v>
      </c>
      <c r="L568" s="163"/>
      <c r="M568" s="163"/>
      <c r="N568" s="163"/>
      <c r="O568" s="163"/>
      <c r="P568" s="163"/>
      <c r="Q568" s="541"/>
      <c r="R568" s="541"/>
      <c r="S568" s="541"/>
      <c r="T568" s="541"/>
      <c r="U568" s="541"/>
      <c r="V568" s="541"/>
      <c r="W568" s="541"/>
      <c r="X568" s="541"/>
      <c r="Y568" s="541"/>
      <c r="Z568" s="541"/>
    </row>
    <row r="569" spans="1:26" ht="19.5">
      <c r="A569" s="572"/>
      <c r="B569" s="584"/>
      <c r="C569" s="584"/>
      <c r="D569" s="584"/>
      <c r="E569" s="592"/>
      <c r="F569" s="592"/>
      <c r="G569" s="726"/>
      <c r="H569" s="731" t="s">
        <v>34</v>
      </c>
      <c r="I569" s="193">
        <f ca="1">IFERROR(__xludf.DUMMYFUNCTION("IMPORTRANGE(""https://docs.google.com/spreadsheets/d/1QqKyyYR6Q21VydFLVH3TRQUabQu_ym0Zz7PgGX0-kHA/edit?usp=sharing"",""แผน!HG23"")"),7593)</f>
        <v>7593</v>
      </c>
      <c r="J569" s="647">
        <f t="shared" si="247"/>
        <v>0</v>
      </c>
      <c r="K569" s="379">
        <f t="shared" ca="1" si="248"/>
        <v>0</v>
      </c>
      <c r="L569" s="163"/>
      <c r="M569" s="163"/>
      <c r="N569" s="163"/>
      <c r="O569" s="163"/>
      <c r="P569" s="163"/>
      <c r="Q569" s="541"/>
      <c r="R569" s="541"/>
      <c r="S569" s="541"/>
      <c r="T569" s="541"/>
      <c r="U569" s="541"/>
      <c r="V569" s="541"/>
      <c r="W569" s="541"/>
      <c r="X569" s="541"/>
      <c r="Y569" s="541"/>
      <c r="Z569" s="541"/>
    </row>
    <row r="570" spans="1:26" ht="18.75">
      <c r="A570" s="572"/>
      <c r="B570" s="584"/>
      <c r="C570" s="584"/>
      <c r="D570" s="592" t="s">
        <v>240</v>
      </c>
      <c r="E570" s="584"/>
      <c r="F570" s="592"/>
      <c r="G570" s="726"/>
      <c r="H570" s="728" t="s">
        <v>46</v>
      </c>
      <c r="I570" s="184"/>
      <c r="J570" s="214">
        <v>0</v>
      </c>
      <c r="K570" s="163"/>
      <c r="L570" s="163"/>
      <c r="M570" s="163"/>
      <c r="N570" s="163"/>
      <c r="O570" s="163"/>
      <c r="P570" s="163"/>
      <c r="Q570" s="541"/>
      <c r="R570" s="541"/>
      <c r="S570" s="541"/>
      <c r="T570" s="541"/>
      <c r="U570" s="541"/>
      <c r="V570" s="541"/>
      <c r="W570" s="541"/>
      <c r="X570" s="541"/>
      <c r="Y570" s="541"/>
      <c r="Z570" s="541"/>
    </row>
    <row r="571" spans="1:26" ht="18.75">
      <c r="A571" s="572"/>
      <c r="B571" s="584"/>
      <c r="C571" s="584"/>
      <c r="D571" s="584"/>
      <c r="E571" s="592"/>
      <c r="F571" s="592"/>
      <c r="G571" s="726"/>
      <c r="H571" s="728" t="s">
        <v>34</v>
      </c>
      <c r="I571" s="184"/>
      <c r="J571" s="214">
        <v>0</v>
      </c>
      <c r="K571" s="163"/>
      <c r="L571" s="163"/>
      <c r="M571" s="163"/>
      <c r="N571" s="163"/>
      <c r="O571" s="163"/>
      <c r="P571" s="163"/>
      <c r="Q571" s="541"/>
      <c r="R571" s="541"/>
      <c r="S571" s="541"/>
      <c r="T571" s="541"/>
      <c r="U571" s="541"/>
      <c r="V571" s="541"/>
      <c r="W571" s="541"/>
      <c r="X571" s="541"/>
      <c r="Y571" s="541"/>
      <c r="Z571" s="541"/>
    </row>
    <row r="572" spans="1:26" ht="18.75">
      <c r="A572" s="572"/>
      <c r="B572" s="584"/>
      <c r="C572" s="584"/>
      <c r="D572" s="592" t="s">
        <v>241</v>
      </c>
      <c r="E572" s="592"/>
      <c r="F572" s="592"/>
      <c r="G572" s="726"/>
      <c r="H572" s="728" t="s">
        <v>46</v>
      </c>
      <c r="I572" s="184"/>
      <c r="J572" s="214">
        <v>0</v>
      </c>
      <c r="K572" s="163"/>
      <c r="L572" s="163"/>
      <c r="M572" s="163"/>
      <c r="N572" s="163"/>
      <c r="O572" s="163"/>
      <c r="P572" s="163"/>
      <c r="Q572" s="541"/>
      <c r="R572" s="541"/>
      <c r="S572" s="541"/>
      <c r="T572" s="541"/>
      <c r="U572" s="541"/>
      <c r="V572" s="541"/>
      <c r="W572" s="541"/>
      <c r="X572" s="541"/>
      <c r="Y572" s="541"/>
      <c r="Z572" s="541"/>
    </row>
    <row r="573" spans="1:26" ht="18.75">
      <c r="A573" s="572"/>
      <c r="B573" s="584"/>
      <c r="C573" s="584"/>
      <c r="D573" s="592"/>
      <c r="E573" s="592"/>
      <c r="F573" s="592"/>
      <c r="G573" s="726"/>
      <c r="H573" s="728" t="s">
        <v>34</v>
      </c>
      <c r="I573" s="184"/>
      <c r="J573" s="214">
        <v>0</v>
      </c>
      <c r="K573" s="163"/>
      <c r="L573" s="163"/>
      <c r="M573" s="163"/>
      <c r="N573" s="163"/>
      <c r="O573" s="163"/>
      <c r="P573" s="163"/>
      <c r="Q573" s="541"/>
      <c r="R573" s="541"/>
      <c r="S573" s="541"/>
      <c r="T573" s="541"/>
      <c r="U573" s="541"/>
      <c r="V573" s="541"/>
      <c r="W573" s="541"/>
      <c r="X573" s="541"/>
      <c r="Y573" s="541"/>
      <c r="Z573" s="541"/>
    </row>
    <row r="574" spans="1:26" ht="18.75">
      <c r="A574" s="572"/>
      <c r="B574" s="584"/>
      <c r="C574" s="584"/>
      <c r="D574" s="592" t="s">
        <v>242</v>
      </c>
      <c r="E574" s="592"/>
      <c r="F574" s="592"/>
      <c r="G574" s="726"/>
      <c r="H574" s="728" t="s">
        <v>46</v>
      </c>
      <c r="I574" s="184"/>
      <c r="J574" s="214">
        <v>0</v>
      </c>
      <c r="K574" s="163"/>
      <c r="L574" s="163"/>
      <c r="M574" s="163"/>
      <c r="N574" s="163"/>
      <c r="O574" s="163"/>
      <c r="P574" s="163"/>
      <c r="Q574" s="541"/>
      <c r="R574" s="541"/>
      <c r="S574" s="541"/>
      <c r="T574" s="541"/>
      <c r="U574" s="541"/>
      <c r="V574" s="541"/>
      <c r="W574" s="541"/>
      <c r="X574" s="541"/>
      <c r="Y574" s="541"/>
      <c r="Z574" s="541"/>
    </row>
    <row r="575" spans="1:26" ht="18.75">
      <c r="A575" s="572"/>
      <c r="B575" s="584"/>
      <c r="C575" s="584"/>
      <c r="D575" s="584"/>
      <c r="E575" s="592"/>
      <c r="F575" s="592"/>
      <c r="G575" s="726"/>
      <c r="H575" s="728" t="s">
        <v>34</v>
      </c>
      <c r="I575" s="184"/>
      <c r="J575" s="214">
        <v>0</v>
      </c>
      <c r="K575" s="163"/>
      <c r="L575" s="163"/>
      <c r="M575" s="163"/>
      <c r="N575" s="163"/>
      <c r="O575" s="163"/>
      <c r="P575" s="163"/>
      <c r="Q575" s="541"/>
      <c r="R575" s="541"/>
      <c r="S575" s="541"/>
      <c r="T575" s="541"/>
      <c r="U575" s="541"/>
      <c r="V575" s="541"/>
      <c r="W575" s="541"/>
      <c r="X575" s="541"/>
      <c r="Y575" s="541"/>
      <c r="Z575" s="541"/>
    </row>
    <row r="576" spans="1:26" ht="19.5">
      <c r="A576" s="572"/>
      <c r="B576" s="584"/>
      <c r="C576" s="591" t="s">
        <v>243</v>
      </c>
      <c r="D576" s="584"/>
      <c r="E576" s="584"/>
      <c r="F576" s="592"/>
      <c r="G576" s="726"/>
      <c r="H576" s="731" t="s">
        <v>46</v>
      </c>
      <c r="I576" s="193">
        <f ca="1">IFERROR(__xludf.DUMMYFUNCTION("IMPORTRANGE(""https://docs.google.com/spreadsheets/d/1QqKyyYR6Q21VydFLVH3TRQUabQu_ym0Zz7PgGX0-kHA/edit?usp=sharing"",""แผน!HH23"")"),133053)</f>
        <v>133053</v>
      </c>
      <c r="J576" s="647">
        <f t="shared" ref="J576:J577" si="249">J578+J580+J582+J588+J590</f>
        <v>0</v>
      </c>
      <c r="K576" s="379">
        <f t="shared" ref="K576:K577" ca="1" si="250">IF(I576&gt;0,J576*100/I576,0)</f>
        <v>0</v>
      </c>
      <c r="L576" s="163"/>
      <c r="M576" s="163"/>
      <c r="N576" s="163"/>
      <c r="O576" s="163"/>
      <c r="P576" s="163"/>
      <c r="Q576" s="541"/>
      <c r="R576" s="541"/>
      <c r="S576" s="541"/>
      <c r="T576" s="541"/>
      <c r="U576" s="541"/>
      <c r="V576" s="541"/>
      <c r="W576" s="541"/>
      <c r="X576" s="541"/>
      <c r="Y576" s="541"/>
      <c r="Z576" s="541"/>
    </row>
    <row r="577" spans="1:26" ht="19.5">
      <c r="A577" s="572"/>
      <c r="B577" s="584"/>
      <c r="C577" s="584"/>
      <c r="D577" s="584"/>
      <c r="E577" s="592"/>
      <c r="F577" s="592"/>
      <c r="G577" s="726"/>
      <c r="H577" s="731" t="s">
        <v>34</v>
      </c>
      <c r="I577" s="193">
        <f ca="1">IFERROR(__xludf.DUMMYFUNCTION("IMPORTRANGE(""https://docs.google.com/spreadsheets/d/1QqKyyYR6Q21VydFLVH3TRQUabQu_ym0Zz7PgGX0-kHA/edit?usp=sharing"",""แผน!HG23"")"),7593)</f>
        <v>7593</v>
      </c>
      <c r="J577" s="647">
        <f t="shared" si="249"/>
        <v>0</v>
      </c>
      <c r="K577" s="379">
        <f t="shared" ca="1" si="250"/>
        <v>0</v>
      </c>
      <c r="L577" s="163"/>
      <c r="M577" s="163"/>
      <c r="N577" s="163"/>
      <c r="O577" s="163"/>
      <c r="P577" s="163"/>
      <c r="Q577" s="541"/>
      <c r="R577" s="541"/>
      <c r="S577" s="541"/>
      <c r="T577" s="541"/>
      <c r="U577" s="541"/>
      <c r="V577" s="541"/>
      <c r="W577" s="541"/>
      <c r="X577" s="541"/>
      <c r="Y577" s="541"/>
      <c r="Z577" s="541"/>
    </row>
    <row r="578" spans="1:26" ht="18.75">
      <c r="A578" s="572"/>
      <c r="B578" s="584"/>
      <c r="C578" s="584"/>
      <c r="D578" s="592" t="s">
        <v>244</v>
      </c>
      <c r="E578" s="592"/>
      <c r="F578" s="592"/>
      <c r="G578" s="726"/>
      <c r="H578" s="728" t="s">
        <v>46</v>
      </c>
      <c r="I578" s="184"/>
      <c r="J578" s="214">
        <v>0</v>
      </c>
      <c r="K578" s="163"/>
      <c r="L578" s="163"/>
      <c r="M578" s="163"/>
      <c r="N578" s="163"/>
      <c r="O578" s="163"/>
      <c r="P578" s="163"/>
      <c r="Q578" s="541"/>
      <c r="R578" s="541"/>
      <c r="S578" s="541"/>
      <c r="T578" s="541"/>
      <c r="U578" s="541"/>
      <c r="V578" s="541"/>
      <c r="W578" s="541"/>
      <c r="X578" s="541"/>
      <c r="Y578" s="541"/>
      <c r="Z578" s="541"/>
    </row>
    <row r="579" spans="1:26" ht="18.75">
      <c r="A579" s="572"/>
      <c r="B579" s="584"/>
      <c r="C579" s="584"/>
      <c r="D579" s="584"/>
      <c r="E579" s="592"/>
      <c r="F579" s="592"/>
      <c r="G579" s="726"/>
      <c r="H579" s="728" t="s">
        <v>34</v>
      </c>
      <c r="I579" s="184"/>
      <c r="J579" s="214">
        <v>0</v>
      </c>
      <c r="K579" s="163"/>
      <c r="L579" s="163"/>
      <c r="M579" s="163"/>
      <c r="N579" s="163"/>
      <c r="O579" s="163"/>
      <c r="P579" s="163"/>
      <c r="Q579" s="541"/>
      <c r="R579" s="541"/>
      <c r="S579" s="541"/>
      <c r="T579" s="541"/>
      <c r="U579" s="541"/>
      <c r="V579" s="541"/>
      <c r="W579" s="541"/>
      <c r="X579" s="541"/>
      <c r="Y579" s="541"/>
      <c r="Z579" s="541"/>
    </row>
    <row r="580" spans="1:26" ht="18.75">
      <c r="A580" s="572"/>
      <c r="B580" s="584"/>
      <c r="C580" s="584"/>
      <c r="D580" s="592" t="s">
        <v>245</v>
      </c>
      <c r="E580" s="592"/>
      <c r="F580" s="592"/>
      <c r="G580" s="726"/>
      <c r="H580" s="728" t="s">
        <v>46</v>
      </c>
      <c r="I580" s="184"/>
      <c r="J580" s="214">
        <v>0</v>
      </c>
      <c r="K580" s="163"/>
      <c r="L580" s="163"/>
      <c r="M580" s="163"/>
      <c r="N580" s="163"/>
      <c r="O580" s="163"/>
      <c r="P580" s="163"/>
      <c r="Q580" s="541"/>
      <c r="R580" s="541"/>
      <c r="S580" s="541"/>
      <c r="T580" s="541"/>
      <c r="U580" s="541"/>
      <c r="V580" s="541"/>
      <c r="W580" s="541"/>
      <c r="X580" s="541"/>
      <c r="Y580" s="541"/>
      <c r="Z580" s="541"/>
    </row>
    <row r="581" spans="1:26" ht="18.75">
      <c r="A581" s="572"/>
      <c r="B581" s="584"/>
      <c r="C581" s="584"/>
      <c r="D581" s="584"/>
      <c r="E581" s="592"/>
      <c r="F581" s="592"/>
      <c r="G581" s="726"/>
      <c r="H581" s="728" t="s">
        <v>34</v>
      </c>
      <c r="I581" s="184"/>
      <c r="J581" s="214">
        <v>0</v>
      </c>
      <c r="K581" s="163"/>
      <c r="L581" s="163"/>
      <c r="M581" s="163"/>
      <c r="N581" s="163"/>
      <c r="O581" s="163"/>
      <c r="P581" s="163"/>
      <c r="Q581" s="541"/>
      <c r="R581" s="541"/>
      <c r="S581" s="541"/>
      <c r="T581" s="541"/>
      <c r="U581" s="541"/>
      <c r="V581" s="541"/>
      <c r="W581" s="541"/>
      <c r="X581" s="541"/>
      <c r="Y581" s="541"/>
      <c r="Z581" s="541"/>
    </row>
    <row r="582" spans="1:26" ht="19.5">
      <c r="A582" s="572"/>
      <c r="B582" s="584"/>
      <c r="C582" s="584"/>
      <c r="D582" s="592" t="s">
        <v>246</v>
      </c>
      <c r="E582" s="592"/>
      <c r="F582" s="592"/>
      <c r="G582" s="726"/>
      <c r="H582" s="728" t="s">
        <v>46</v>
      </c>
      <c r="I582" s="184"/>
      <c r="J582" s="647">
        <f t="shared" ref="J582:J583" si="251">J584+J586</f>
        <v>0</v>
      </c>
      <c r="K582" s="379"/>
      <c r="L582" s="163"/>
      <c r="M582" s="163"/>
      <c r="N582" s="163"/>
      <c r="O582" s="163"/>
      <c r="P582" s="163"/>
      <c r="Q582" s="541"/>
      <c r="R582" s="541"/>
      <c r="S582" s="541"/>
      <c r="T582" s="541"/>
      <c r="U582" s="541"/>
      <c r="V582" s="541"/>
      <c r="W582" s="541"/>
      <c r="X582" s="541"/>
      <c r="Y582" s="541"/>
      <c r="Z582" s="541"/>
    </row>
    <row r="583" spans="1:26" ht="19.5">
      <c r="A583" s="572"/>
      <c r="B583" s="584"/>
      <c r="C583" s="584"/>
      <c r="D583" s="584"/>
      <c r="E583" s="592"/>
      <c r="F583" s="592"/>
      <c r="G583" s="726"/>
      <c r="H583" s="728" t="s">
        <v>34</v>
      </c>
      <c r="I583" s="184"/>
      <c r="J583" s="647">
        <f t="shared" si="251"/>
        <v>0</v>
      </c>
      <c r="K583" s="379"/>
      <c r="L583" s="163"/>
      <c r="M583" s="163"/>
      <c r="N583" s="163"/>
      <c r="O583" s="163"/>
      <c r="P583" s="163"/>
      <c r="Q583" s="541"/>
      <c r="R583" s="541"/>
      <c r="S583" s="541"/>
      <c r="T583" s="541"/>
      <c r="U583" s="541"/>
      <c r="V583" s="541"/>
      <c r="W583" s="541"/>
      <c r="X583" s="541"/>
      <c r="Y583" s="541"/>
      <c r="Z583" s="541"/>
    </row>
    <row r="584" spans="1:26" ht="18.75">
      <c r="A584" s="572"/>
      <c r="B584" s="584"/>
      <c r="C584" s="584"/>
      <c r="D584" s="584"/>
      <c r="E584" s="592" t="s">
        <v>247</v>
      </c>
      <c r="F584" s="592"/>
      <c r="G584" s="726"/>
      <c r="H584" s="728" t="s">
        <v>46</v>
      </c>
      <c r="I584" s="184"/>
      <c r="J584" s="214">
        <v>0</v>
      </c>
      <c r="K584" s="163"/>
      <c r="L584" s="163"/>
      <c r="M584" s="163"/>
      <c r="N584" s="163"/>
      <c r="O584" s="163"/>
      <c r="P584" s="163"/>
      <c r="Q584" s="541"/>
      <c r="R584" s="541"/>
      <c r="S584" s="541"/>
      <c r="T584" s="541"/>
      <c r="U584" s="541"/>
      <c r="V584" s="541"/>
      <c r="W584" s="541"/>
      <c r="X584" s="541"/>
      <c r="Y584" s="541"/>
      <c r="Z584" s="541"/>
    </row>
    <row r="585" spans="1:26" ht="18.75">
      <c r="A585" s="572"/>
      <c r="B585" s="584"/>
      <c r="C585" s="584"/>
      <c r="D585" s="584"/>
      <c r="E585" s="592"/>
      <c r="F585" s="592"/>
      <c r="G585" s="726"/>
      <c r="H585" s="728" t="s">
        <v>34</v>
      </c>
      <c r="I585" s="184"/>
      <c r="J585" s="214">
        <v>0</v>
      </c>
      <c r="K585" s="163"/>
      <c r="L585" s="163"/>
      <c r="M585" s="163"/>
      <c r="N585" s="163"/>
      <c r="O585" s="163"/>
      <c r="P585" s="163"/>
      <c r="Q585" s="541"/>
      <c r="R585" s="541"/>
      <c r="S585" s="541"/>
      <c r="T585" s="541"/>
      <c r="U585" s="541"/>
      <c r="V585" s="541"/>
      <c r="W585" s="541"/>
      <c r="X585" s="541"/>
      <c r="Y585" s="541"/>
      <c r="Z585" s="541"/>
    </row>
    <row r="586" spans="1:26" ht="18.75">
      <c r="A586" s="572"/>
      <c r="B586" s="584"/>
      <c r="C586" s="584"/>
      <c r="D586" s="584"/>
      <c r="E586" s="592" t="s">
        <v>248</v>
      </c>
      <c r="F586" s="592"/>
      <c r="G586" s="726"/>
      <c r="H586" s="728" t="s">
        <v>46</v>
      </c>
      <c r="I586" s="184"/>
      <c r="J586" s="214">
        <v>0</v>
      </c>
      <c r="K586" s="163"/>
      <c r="L586" s="163"/>
      <c r="M586" s="163"/>
      <c r="N586" s="163"/>
      <c r="O586" s="163"/>
      <c r="P586" s="163"/>
      <c r="Q586" s="541"/>
      <c r="R586" s="541"/>
      <c r="S586" s="541"/>
      <c r="T586" s="541"/>
      <c r="U586" s="541"/>
      <c r="V586" s="541"/>
      <c r="W586" s="541"/>
      <c r="X586" s="541"/>
      <c r="Y586" s="541"/>
      <c r="Z586" s="541"/>
    </row>
    <row r="587" spans="1:26" ht="18.75">
      <c r="A587" s="572"/>
      <c r="B587" s="584"/>
      <c r="C587" s="584"/>
      <c r="D587" s="584"/>
      <c r="E587" s="584"/>
      <c r="F587" s="592"/>
      <c r="G587" s="726"/>
      <c r="H587" s="728" t="s">
        <v>34</v>
      </c>
      <c r="I587" s="184"/>
      <c r="J587" s="214">
        <v>0</v>
      </c>
      <c r="K587" s="163"/>
      <c r="L587" s="163"/>
      <c r="M587" s="163"/>
      <c r="N587" s="163"/>
      <c r="O587" s="163"/>
      <c r="P587" s="163"/>
      <c r="Q587" s="541"/>
      <c r="R587" s="541"/>
      <c r="S587" s="541"/>
      <c r="T587" s="541"/>
      <c r="U587" s="541"/>
      <c r="V587" s="541"/>
      <c r="W587" s="541"/>
      <c r="X587" s="541"/>
      <c r="Y587" s="541"/>
      <c r="Z587" s="541"/>
    </row>
    <row r="588" spans="1:26" ht="18.75">
      <c r="A588" s="572"/>
      <c r="B588" s="584"/>
      <c r="C588" s="584"/>
      <c r="D588" s="592" t="s">
        <v>249</v>
      </c>
      <c r="E588" s="592"/>
      <c r="F588" s="592"/>
      <c r="G588" s="726"/>
      <c r="H588" s="728" t="s">
        <v>46</v>
      </c>
      <c r="I588" s="184"/>
      <c r="J588" s="214">
        <v>0</v>
      </c>
      <c r="K588" s="163"/>
      <c r="L588" s="163"/>
      <c r="M588" s="163"/>
      <c r="N588" s="163"/>
      <c r="O588" s="163"/>
      <c r="P588" s="163"/>
      <c r="Q588" s="541"/>
      <c r="R588" s="541"/>
      <c r="S588" s="541"/>
      <c r="T588" s="541"/>
      <c r="U588" s="541"/>
      <c r="V588" s="541"/>
      <c r="W588" s="541"/>
      <c r="X588" s="541"/>
      <c r="Y588" s="541"/>
      <c r="Z588" s="541"/>
    </row>
    <row r="589" spans="1:26" ht="18.75">
      <c r="A589" s="572"/>
      <c r="B589" s="584"/>
      <c r="C589" s="584"/>
      <c r="D589" s="584"/>
      <c r="E589" s="584"/>
      <c r="F589" s="592"/>
      <c r="G589" s="726"/>
      <c r="H589" s="728" t="s">
        <v>34</v>
      </c>
      <c r="I589" s="184"/>
      <c r="J589" s="214">
        <v>0</v>
      </c>
      <c r="K589" s="163"/>
      <c r="L589" s="163"/>
      <c r="M589" s="163"/>
      <c r="N589" s="163"/>
      <c r="O589" s="163"/>
      <c r="P589" s="163"/>
      <c r="Q589" s="541"/>
      <c r="R589" s="541"/>
      <c r="S589" s="541"/>
      <c r="T589" s="541"/>
      <c r="U589" s="541"/>
      <c r="V589" s="541"/>
      <c r="W589" s="541"/>
      <c r="X589" s="541"/>
      <c r="Y589" s="541"/>
      <c r="Z589" s="541"/>
    </row>
    <row r="590" spans="1:26" ht="18.75">
      <c r="A590" s="572"/>
      <c r="B590" s="584"/>
      <c r="C590" s="584"/>
      <c r="D590" s="592" t="s">
        <v>250</v>
      </c>
      <c r="E590" s="592"/>
      <c r="F590" s="592"/>
      <c r="G590" s="726"/>
      <c r="H590" s="728" t="s">
        <v>46</v>
      </c>
      <c r="I590" s="184"/>
      <c r="J590" s="214">
        <v>0</v>
      </c>
      <c r="K590" s="163"/>
      <c r="L590" s="163"/>
      <c r="M590" s="163"/>
      <c r="N590" s="163"/>
      <c r="O590" s="163"/>
      <c r="P590" s="163"/>
      <c r="Q590" s="541"/>
      <c r="R590" s="541"/>
      <c r="S590" s="541"/>
      <c r="T590" s="541"/>
      <c r="U590" s="541"/>
      <c r="V590" s="541"/>
      <c r="W590" s="541"/>
      <c r="X590" s="541"/>
      <c r="Y590" s="541"/>
      <c r="Z590" s="541"/>
    </row>
    <row r="591" spans="1:26" ht="18.75">
      <c r="A591" s="662"/>
      <c r="B591" s="663"/>
      <c r="C591" s="663"/>
      <c r="D591" s="663"/>
      <c r="E591" s="541"/>
      <c r="F591" s="541"/>
      <c r="G591" s="664"/>
      <c r="H591" s="665" t="s">
        <v>34</v>
      </c>
      <c r="I591" s="666"/>
      <c r="J591" s="667">
        <v>0</v>
      </c>
      <c r="K591" s="668"/>
      <c r="L591" s="668"/>
      <c r="M591" s="668"/>
      <c r="N591" s="668"/>
      <c r="O591" s="668"/>
      <c r="P591" s="668"/>
      <c r="Q591" s="541"/>
      <c r="R591" s="541"/>
      <c r="S591" s="541"/>
      <c r="T591" s="541"/>
      <c r="U591" s="541"/>
      <c r="V591" s="541"/>
      <c r="W591" s="541"/>
      <c r="X591" s="541"/>
      <c r="Y591" s="541"/>
      <c r="Z591" s="541"/>
    </row>
    <row r="592" spans="1:26" ht="19.5">
      <c r="A592" s="658"/>
      <c r="B592" s="659" t="s">
        <v>251</v>
      </c>
      <c r="C592" s="660"/>
      <c r="D592" s="660"/>
      <c r="E592" s="639"/>
      <c r="F592" s="639"/>
      <c r="G592" s="640"/>
      <c r="H592" s="661" t="s">
        <v>46</v>
      </c>
      <c r="I592" s="672">
        <f t="shared" ref="I592:J592" ca="1" si="252">I593</f>
        <v>8302</v>
      </c>
      <c r="J592" s="672">
        <f t="shared" si="252"/>
        <v>0</v>
      </c>
      <c r="K592" s="643">
        <f t="shared" ref="K592:K594" ca="1" si="253">IF(I592&gt;0,J592*100/I592,0)</f>
        <v>0</v>
      </c>
      <c r="L592" s="644"/>
      <c r="M592" s="644"/>
      <c r="N592" s="644"/>
      <c r="O592" s="644"/>
      <c r="P592" s="644"/>
      <c r="Q592" s="541"/>
      <c r="R592" s="541"/>
      <c r="S592" s="541"/>
      <c r="T592" s="541"/>
      <c r="U592" s="541"/>
      <c r="V592" s="541"/>
      <c r="W592" s="541"/>
      <c r="X592" s="541"/>
      <c r="Y592" s="541"/>
      <c r="Z592" s="541"/>
    </row>
    <row r="593" spans="1:26" ht="19.5">
      <c r="A593" s="572"/>
      <c r="B593" s="584"/>
      <c r="C593" s="591" t="s">
        <v>252</v>
      </c>
      <c r="D593" s="584"/>
      <c r="E593" s="584"/>
      <c r="F593" s="592"/>
      <c r="G593" s="726"/>
      <c r="H593" s="731" t="s">
        <v>46</v>
      </c>
      <c r="I593" s="193">
        <f ca="1">IFERROR(__xludf.DUMMYFUNCTION("IMPORTRANGE(""https://docs.google.com/spreadsheets/d/1QqKyyYR6Q21VydFLVH3TRQUabQu_ym0Zz7PgGX0-kHA/edit?usp=sharing"",""แผน!HJ23"")"),8302)</f>
        <v>8302</v>
      </c>
      <c r="J593" s="193">
        <f t="shared" ref="J593:J594" si="254">J595+J603+J609</f>
        <v>0</v>
      </c>
      <c r="K593" s="379">
        <f t="shared" ca="1" si="253"/>
        <v>0</v>
      </c>
      <c r="L593" s="163"/>
      <c r="M593" s="163"/>
      <c r="N593" s="163"/>
      <c r="O593" s="163"/>
      <c r="P593" s="163"/>
      <c r="Q593" s="541"/>
      <c r="R593" s="541"/>
      <c r="S593" s="541"/>
      <c r="T593" s="541"/>
      <c r="U593" s="541"/>
      <c r="V593" s="541"/>
      <c r="W593" s="541"/>
      <c r="X593" s="541"/>
      <c r="Y593" s="541"/>
      <c r="Z593" s="541"/>
    </row>
    <row r="594" spans="1:26" ht="19.5">
      <c r="A594" s="572"/>
      <c r="B594" s="584"/>
      <c r="C594" s="584"/>
      <c r="D594" s="584"/>
      <c r="E594" s="592"/>
      <c r="F594" s="592"/>
      <c r="G594" s="726"/>
      <c r="H594" s="731" t="s">
        <v>34</v>
      </c>
      <c r="I594" s="193">
        <f ca="1">IFERROR(__xludf.DUMMYFUNCTION("IMPORTRANGE(""https://docs.google.com/spreadsheets/d/1QqKyyYR6Q21VydFLVH3TRQUabQu_ym0Zz7PgGX0-kHA/edit?usp=sharing"",""แผน!HI23"")"),382)</f>
        <v>382</v>
      </c>
      <c r="J594" s="193">
        <f t="shared" si="254"/>
        <v>0</v>
      </c>
      <c r="K594" s="379">
        <f t="shared" ca="1" si="253"/>
        <v>0</v>
      </c>
      <c r="L594" s="163"/>
      <c r="M594" s="163"/>
      <c r="N594" s="163"/>
      <c r="O594" s="163"/>
      <c r="P594" s="163"/>
      <c r="Q594" s="541"/>
      <c r="R594" s="541"/>
      <c r="S594" s="541"/>
      <c r="T594" s="541"/>
      <c r="U594" s="541"/>
      <c r="V594" s="541"/>
      <c r="W594" s="541"/>
      <c r="X594" s="541"/>
      <c r="Y594" s="541"/>
      <c r="Z594" s="541"/>
    </row>
    <row r="595" spans="1:26" ht="18.75">
      <c r="A595" s="572"/>
      <c r="B595" s="584"/>
      <c r="C595" s="584" t="s">
        <v>253</v>
      </c>
      <c r="D595" s="584"/>
      <c r="E595" s="584"/>
      <c r="F595" s="592"/>
      <c r="G595" s="726"/>
      <c r="H595" s="728" t="s">
        <v>46</v>
      </c>
      <c r="I595" s="184"/>
      <c r="J595" s="184">
        <f t="shared" ref="J595:J596" si="255">J597+J599</f>
        <v>0</v>
      </c>
      <c r="K595" s="163"/>
      <c r="L595" s="163"/>
      <c r="M595" s="163"/>
      <c r="N595" s="163"/>
      <c r="O595" s="163"/>
      <c r="P595" s="163"/>
      <c r="Q595" s="541"/>
      <c r="R595" s="541"/>
      <c r="S595" s="541"/>
      <c r="T595" s="541"/>
      <c r="U595" s="541"/>
      <c r="V595" s="541"/>
      <c r="W595" s="541"/>
      <c r="X595" s="541"/>
      <c r="Y595" s="541"/>
      <c r="Z595" s="541"/>
    </row>
    <row r="596" spans="1:26" ht="18.75">
      <c r="A596" s="572"/>
      <c r="B596" s="584"/>
      <c r="C596" s="584"/>
      <c r="D596" s="584"/>
      <c r="E596" s="592"/>
      <c r="F596" s="592"/>
      <c r="G596" s="726"/>
      <c r="H596" s="728" t="s">
        <v>34</v>
      </c>
      <c r="I596" s="184"/>
      <c r="J596" s="184">
        <f t="shared" si="255"/>
        <v>0</v>
      </c>
      <c r="K596" s="163"/>
      <c r="L596" s="163"/>
      <c r="M596" s="163"/>
      <c r="N596" s="163"/>
      <c r="O596" s="163"/>
      <c r="P596" s="163"/>
      <c r="Q596" s="541"/>
      <c r="R596" s="541"/>
      <c r="S596" s="541"/>
      <c r="T596" s="541"/>
      <c r="U596" s="541"/>
      <c r="V596" s="541"/>
      <c r="W596" s="541"/>
      <c r="X596" s="541"/>
      <c r="Y596" s="541"/>
      <c r="Z596" s="541"/>
    </row>
    <row r="597" spans="1:26" ht="18.75">
      <c r="A597" s="572"/>
      <c r="B597" s="584"/>
      <c r="C597" s="584"/>
      <c r="D597" s="710" t="s">
        <v>254</v>
      </c>
      <c r="E597" s="592"/>
      <c r="F597" s="592"/>
      <c r="G597" s="726"/>
      <c r="H597" s="728" t="s">
        <v>46</v>
      </c>
      <c r="I597" s="184"/>
      <c r="J597" s="214">
        <v>0</v>
      </c>
      <c r="K597" s="163"/>
      <c r="L597" s="163"/>
      <c r="M597" s="163"/>
      <c r="N597" s="163"/>
      <c r="O597" s="163"/>
      <c r="P597" s="163"/>
      <c r="Q597" s="541"/>
      <c r="R597" s="541"/>
      <c r="S597" s="541"/>
      <c r="T597" s="541"/>
      <c r="U597" s="541"/>
      <c r="V597" s="541"/>
      <c r="W597" s="541"/>
      <c r="X597" s="541"/>
      <c r="Y597" s="541"/>
      <c r="Z597" s="541"/>
    </row>
    <row r="598" spans="1:26" ht="18.75">
      <c r="A598" s="572"/>
      <c r="B598" s="584"/>
      <c r="C598" s="584"/>
      <c r="D598" s="584"/>
      <c r="E598" s="592"/>
      <c r="F598" s="592"/>
      <c r="G598" s="726"/>
      <c r="H598" s="728" t="s">
        <v>34</v>
      </c>
      <c r="I598" s="269"/>
      <c r="J598" s="214">
        <v>0</v>
      </c>
      <c r="K598" s="163"/>
      <c r="L598" s="163"/>
      <c r="M598" s="163"/>
      <c r="N598" s="163"/>
      <c r="O598" s="163"/>
      <c r="P598" s="163"/>
      <c r="Q598" s="541"/>
      <c r="R598" s="541"/>
      <c r="S598" s="541"/>
      <c r="T598" s="541"/>
      <c r="U598" s="541"/>
      <c r="V598" s="541"/>
      <c r="W598" s="541"/>
      <c r="X598" s="541"/>
      <c r="Y598" s="541"/>
      <c r="Z598" s="541"/>
    </row>
    <row r="599" spans="1:26" ht="18.75">
      <c r="A599" s="572"/>
      <c r="B599" s="584"/>
      <c r="C599" s="584"/>
      <c r="D599" s="710" t="s">
        <v>255</v>
      </c>
      <c r="E599" s="592"/>
      <c r="F599" s="592"/>
      <c r="G599" s="726"/>
      <c r="H599" s="728" t="s">
        <v>46</v>
      </c>
      <c r="I599" s="269"/>
      <c r="J599" s="214">
        <v>0</v>
      </c>
      <c r="K599" s="163"/>
      <c r="L599" s="163"/>
      <c r="M599" s="163"/>
      <c r="N599" s="163"/>
      <c r="O599" s="163"/>
      <c r="P599" s="163"/>
      <c r="Q599" s="541"/>
      <c r="R599" s="541"/>
      <c r="S599" s="541"/>
      <c r="T599" s="541"/>
      <c r="U599" s="541"/>
      <c r="V599" s="541"/>
      <c r="W599" s="541"/>
      <c r="X599" s="541"/>
      <c r="Y599" s="541"/>
      <c r="Z599" s="541"/>
    </row>
    <row r="600" spans="1:26" ht="18.75">
      <c r="A600" s="572"/>
      <c r="B600" s="584"/>
      <c r="C600" s="584"/>
      <c r="D600" s="584"/>
      <c r="E600" s="592"/>
      <c r="F600" s="592"/>
      <c r="G600" s="726"/>
      <c r="H600" s="728" t="s">
        <v>34</v>
      </c>
      <c r="I600" s="269"/>
      <c r="J600" s="214">
        <v>0</v>
      </c>
      <c r="K600" s="163"/>
      <c r="L600" s="163"/>
      <c r="M600" s="163"/>
      <c r="N600" s="163"/>
      <c r="O600" s="163"/>
      <c r="P600" s="163"/>
      <c r="Q600" s="541"/>
      <c r="R600" s="541"/>
      <c r="S600" s="541"/>
      <c r="T600" s="541"/>
      <c r="U600" s="541"/>
      <c r="V600" s="541"/>
      <c r="W600" s="541"/>
      <c r="X600" s="541"/>
      <c r="Y600" s="541"/>
      <c r="Z600" s="541"/>
    </row>
    <row r="601" spans="1:26" ht="18.75">
      <c r="A601" s="572"/>
      <c r="B601" s="584"/>
      <c r="C601" s="584"/>
      <c r="D601" s="710" t="s">
        <v>256</v>
      </c>
      <c r="E601" s="592"/>
      <c r="F601" s="592"/>
      <c r="G601" s="726"/>
      <c r="H601" s="728" t="s">
        <v>46</v>
      </c>
      <c r="I601" s="269"/>
      <c r="J601" s="214">
        <v>0</v>
      </c>
      <c r="K601" s="163"/>
      <c r="L601" s="163"/>
      <c r="M601" s="163"/>
      <c r="N601" s="163"/>
      <c r="O601" s="163"/>
      <c r="P601" s="163"/>
      <c r="Q601" s="541"/>
      <c r="R601" s="541"/>
      <c r="S601" s="541"/>
      <c r="T601" s="541"/>
      <c r="U601" s="541"/>
      <c r="V601" s="541"/>
      <c r="W601" s="541"/>
      <c r="X601" s="541"/>
      <c r="Y601" s="541"/>
      <c r="Z601" s="541"/>
    </row>
    <row r="602" spans="1:26" ht="18.75">
      <c r="A602" s="572"/>
      <c r="B602" s="584"/>
      <c r="C602" s="584"/>
      <c r="D602" s="584"/>
      <c r="E602" s="592"/>
      <c r="F602" s="592"/>
      <c r="G602" s="726"/>
      <c r="H602" s="728" t="s">
        <v>34</v>
      </c>
      <c r="I602" s="269"/>
      <c r="J602" s="214">
        <v>0</v>
      </c>
      <c r="K602" s="163"/>
      <c r="L602" s="163"/>
      <c r="M602" s="163"/>
      <c r="N602" s="163"/>
      <c r="O602" s="163"/>
      <c r="P602" s="163"/>
      <c r="Q602" s="541"/>
      <c r="R602" s="541"/>
      <c r="S602" s="541"/>
      <c r="T602" s="541"/>
      <c r="U602" s="541"/>
      <c r="V602" s="541"/>
      <c r="W602" s="541"/>
      <c r="X602" s="541"/>
      <c r="Y602" s="541"/>
      <c r="Z602" s="541"/>
    </row>
    <row r="603" spans="1:26" ht="18.75">
      <c r="A603" s="572"/>
      <c r="B603" s="584"/>
      <c r="C603" s="669" t="s">
        <v>257</v>
      </c>
      <c r="D603" s="584"/>
      <c r="E603" s="584"/>
      <c r="F603" s="592"/>
      <c r="G603" s="726"/>
      <c r="H603" s="728" t="s">
        <v>46</v>
      </c>
      <c r="I603" s="269"/>
      <c r="J603" s="269">
        <f t="shared" ref="J603:J604" si="256">J605+J607</f>
        <v>0</v>
      </c>
      <c r="K603" s="163"/>
      <c r="L603" s="163"/>
      <c r="M603" s="163"/>
      <c r="N603" s="163"/>
      <c r="O603" s="163"/>
      <c r="P603" s="163"/>
      <c r="Q603" s="541"/>
      <c r="R603" s="541"/>
      <c r="S603" s="541"/>
      <c r="T603" s="541"/>
      <c r="U603" s="541"/>
      <c r="V603" s="541"/>
      <c r="W603" s="541"/>
      <c r="X603" s="541"/>
      <c r="Y603" s="541"/>
      <c r="Z603" s="541"/>
    </row>
    <row r="604" spans="1:26" ht="18.75">
      <c r="A604" s="572"/>
      <c r="B604" s="584"/>
      <c r="C604" s="584"/>
      <c r="D604" s="584"/>
      <c r="E604" s="592"/>
      <c r="F604" s="592"/>
      <c r="G604" s="726"/>
      <c r="H604" s="728" t="s">
        <v>34</v>
      </c>
      <c r="I604" s="269"/>
      <c r="J604" s="269">
        <f t="shared" si="256"/>
        <v>0</v>
      </c>
      <c r="K604" s="163"/>
      <c r="L604" s="163"/>
      <c r="M604" s="163"/>
      <c r="N604" s="163"/>
      <c r="O604" s="163"/>
      <c r="P604" s="163"/>
      <c r="Q604" s="541"/>
      <c r="R604" s="541"/>
      <c r="S604" s="541"/>
      <c r="T604" s="541"/>
      <c r="U604" s="541"/>
      <c r="V604" s="541"/>
      <c r="W604" s="541"/>
      <c r="X604" s="541"/>
      <c r="Y604" s="541"/>
      <c r="Z604" s="541"/>
    </row>
    <row r="605" spans="1:26" ht="18.75">
      <c r="A605" s="572"/>
      <c r="B605" s="584"/>
      <c r="C605" s="584"/>
      <c r="D605" s="669" t="s">
        <v>258</v>
      </c>
      <c r="E605" s="592"/>
      <c r="F605" s="592"/>
      <c r="G605" s="726"/>
      <c r="H605" s="728" t="s">
        <v>46</v>
      </c>
      <c r="I605" s="269"/>
      <c r="J605" s="214">
        <v>0</v>
      </c>
      <c r="K605" s="163"/>
      <c r="L605" s="163"/>
      <c r="M605" s="163"/>
      <c r="N605" s="163"/>
      <c r="O605" s="163"/>
      <c r="P605" s="163"/>
      <c r="Q605" s="541"/>
      <c r="R605" s="541"/>
      <c r="S605" s="541"/>
      <c r="T605" s="541"/>
      <c r="U605" s="541"/>
      <c r="V605" s="541"/>
      <c r="W605" s="541"/>
      <c r="X605" s="541"/>
      <c r="Y605" s="541"/>
      <c r="Z605" s="541"/>
    </row>
    <row r="606" spans="1:26" ht="18.75">
      <c r="A606" s="572"/>
      <c r="B606" s="584"/>
      <c r="C606" s="584"/>
      <c r="D606" s="584"/>
      <c r="E606" s="584"/>
      <c r="F606" s="592"/>
      <c r="G606" s="726"/>
      <c r="H606" s="728" t="s">
        <v>34</v>
      </c>
      <c r="I606" s="269"/>
      <c r="J606" s="214">
        <v>0</v>
      </c>
      <c r="K606" s="163"/>
      <c r="L606" s="163"/>
      <c r="M606" s="163"/>
      <c r="N606" s="163"/>
      <c r="O606" s="163"/>
      <c r="P606" s="163"/>
      <c r="Q606" s="541"/>
      <c r="R606" s="541"/>
      <c r="S606" s="541"/>
      <c r="T606" s="541"/>
      <c r="U606" s="541"/>
      <c r="V606" s="541"/>
      <c r="W606" s="541"/>
      <c r="X606" s="541"/>
      <c r="Y606" s="541"/>
      <c r="Z606" s="541"/>
    </row>
    <row r="607" spans="1:26" ht="18.75">
      <c r="A607" s="572"/>
      <c r="B607" s="584"/>
      <c r="C607" s="584"/>
      <c r="D607" s="669" t="s">
        <v>259</v>
      </c>
      <c r="E607" s="584"/>
      <c r="F607" s="592"/>
      <c r="G607" s="726"/>
      <c r="H607" s="728" t="s">
        <v>46</v>
      </c>
      <c r="I607" s="269"/>
      <c r="J607" s="214">
        <v>0</v>
      </c>
      <c r="K607" s="163"/>
      <c r="L607" s="163"/>
      <c r="M607" s="163"/>
      <c r="N607" s="163"/>
      <c r="O607" s="163"/>
      <c r="P607" s="163"/>
      <c r="Q607" s="541"/>
      <c r="R607" s="541"/>
      <c r="S607" s="541"/>
      <c r="T607" s="541"/>
      <c r="U607" s="541"/>
      <c r="V607" s="541"/>
      <c r="W607" s="541"/>
      <c r="X607" s="541"/>
      <c r="Y607" s="541"/>
      <c r="Z607" s="541"/>
    </row>
    <row r="608" spans="1:26" ht="18.75">
      <c r="A608" s="572"/>
      <c r="B608" s="584"/>
      <c r="C608" s="584"/>
      <c r="D608" s="584"/>
      <c r="E608" s="592"/>
      <c r="F608" s="592"/>
      <c r="G608" s="726"/>
      <c r="H608" s="728" t="s">
        <v>34</v>
      </c>
      <c r="I608" s="269"/>
      <c r="J608" s="214">
        <v>0</v>
      </c>
      <c r="K608" s="163"/>
      <c r="L608" s="163"/>
      <c r="M608" s="163"/>
      <c r="N608" s="163"/>
      <c r="O608" s="163"/>
      <c r="P608" s="163"/>
      <c r="Q608" s="541"/>
      <c r="R608" s="541"/>
      <c r="S608" s="541"/>
      <c r="T608" s="541"/>
      <c r="U608" s="541"/>
      <c r="V608" s="541"/>
      <c r="W608" s="541"/>
      <c r="X608" s="541"/>
      <c r="Y608" s="541"/>
      <c r="Z608" s="541"/>
    </row>
    <row r="609" spans="1:26" ht="18.75">
      <c r="A609" s="572"/>
      <c r="B609" s="584"/>
      <c r="C609" s="584" t="s">
        <v>260</v>
      </c>
      <c r="D609" s="584"/>
      <c r="E609" s="584"/>
      <c r="F609" s="592"/>
      <c r="G609" s="726"/>
      <c r="H609" s="728" t="s">
        <v>46</v>
      </c>
      <c r="I609" s="269"/>
      <c r="J609" s="214">
        <v>0</v>
      </c>
      <c r="K609" s="163"/>
      <c r="L609" s="163"/>
      <c r="M609" s="163"/>
      <c r="N609" s="163"/>
      <c r="O609" s="163"/>
      <c r="P609" s="163"/>
      <c r="Q609" s="541"/>
      <c r="R609" s="541"/>
      <c r="S609" s="541"/>
      <c r="T609" s="541"/>
      <c r="U609" s="541"/>
      <c r="V609" s="541"/>
      <c r="W609" s="541"/>
      <c r="X609" s="541"/>
      <c r="Y609" s="541"/>
      <c r="Z609" s="541"/>
    </row>
    <row r="610" spans="1:26" ht="18.75">
      <c r="A610" s="572"/>
      <c r="B610" s="584"/>
      <c r="C610" s="584"/>
      <c r="D610" s="584"/>
      <c r="E610" s="592"/>
      <c r="F610" s="592"/>
      <c r="G610" s="726"/>
      <c r="H610" s="728" t="s">
        <v>34</v>
      </c>
      <c r="I610" s="269"/>
      <c r="J610" s="214">
        <v>0</v>
      </c>
      <c r="K610" s="163"/>
      <c r="L610" s="163"/>
      <c r="M610" s="163"/>
      <c r="N610" s="163"/>
      <c r="O610" s="163"/>
      <c r="P610" s="163"/>
      <c r="Q610" s="541"/>
      <c r="R610" s="541"/>
      <c r="S610" s="541"/>
      <c r="T610" s="541"/>
      <c r="U610" s="541"/>
      <c r="V610" s="541"/>
      <c r="W610" s="541"/>
      <c r="X610" s="541"/>
      <c r="Y610" s="541"/>
      <c r="Z610" s="541"/>
    </row>
    <row r="611" spans="1:26" ht="19.5">
      <c r="A611" s="658"/>
      <c r="B611" s="670" t="s">
        <v>261</v>
      </c>
      <c r="C611" s="660"/>
      <c r="D611" s="660"/>
      <c r="E611" s="639"/>
      <c r="F611" s="639"/>
      <c r="G611" s="640"/>
      <c r="H611" s="671" t="s">
        <v>46</v>
      </c>
      <c r="I611" s="672">
        <v>0</v>
      </c>
      <c r="J611" s="672">
        <f>J614+J616</f>
        <v>0</v>
      </c>
      <c r="K611" s="643">
        <f t="shared" ref="K611:K613" si="257">IF(I611&gt;0,J611*100/I611,0)</f>
        <v>0</v>
      </c>
      <c r="L611" s="644"/>
      <c r="M611" s="644"/>
      <c r="N611" s="644"/>
      <c r="O611" s="644"/>
      <c r="P611" s="644"/>
      <c r="Q611" s="541"/>
      <c r="R611" s="541"/>
      <c r="S611" s="541"/>
      <c r="T611" s="541"/>
      <c r="U611" s="541"/>
      <c r="V611" s="541"/>
      <c r="W611" s="541"/>
      <c r="X611" s="541"/>
      <c r="Y611" s="541"/>
      <c r="Z611" s="541"/>
    </row>
    <row r="612" spans="1:26" ht="19.5" hidden="1">
      <c r="A612" s="673"/>
      <c r="B612" s="683"/>
      <c r="C612" s="675" t="s">
        <v>262</v>
      </c>
      <c r="D612" s="683"/>
      <c r="E612" s="683"/>
      <c r="F612" s="676"/>
      <c r="G612" s="677"/>
      <c r="H612" s="678" t="s">
        <v>46</v>
      </c>
      <c r="I612" s="680">
        <v>0</v>
      </c>
      <c r="J612" s="680">
        <f t="shared" ref="J612:J613" si="258">J614+J616</f>
        <v>0</v>
      </c>
      <c r="K612" s="681">
        <f t="shared" si="257"/>
        <v>0</v>
      </c>
      <c r="L612" s="682"/>
      <c r="M612" s="682"/>
      <c r="N612" s="682"/>
      <c r="O612" s="682"/>
      <c r="P612" s="682"/>
      <c r="Q612" s="568"/>
      <c r="R612" s="568"/>
      <c r="S612" s="568"/>
      <c r="T612" s="568"/>
      <c r="U612" s="568"/>
      <c r="V612" s="568"/>
      <c r="W612" s="568"/>
      <c r="X612" s="568"/>
      <c r="Y612" s="568"/>
      <c r="Z612" s="568"/>
    </row>
    <row r="613" spans="1:26" ht="19.5" hidden="1">
      <c r="A613" s="673"/>
      <c r="B613" s="683"/>
      <c r="C613" s="683" t="s">
        <v>263</v>
      </c>
      <c r="D613" s="683"/>
      <c r="E613" s="683"/>
      <c r="F613" s="676"/>
      <c r="G613" s="677"/>
      <c r="H613" s="678" t="s">
        <v>34</v>
      </c>
      <c r="I613" s="680">
        <v>0</v>
      </c>
      <c r="J613" s="680">
        <f t="shared" si="258"/>
        <v>0</v>
      </c>
      <c r="K613" s="681">
        <f t="shared" si="257"/>
        <v>0</v>
      </c>
      <c r="L613" s="682"/>
      <c r="M613" s="682"/>
      <c r="N613" s="682"/>
      <c r="O613" s="682"/>
      <c r="P613" s="682"/>
      <c r="Q613" s="568"/>
      <c r="R613" s="568"/>
      <c r="S613" s="568"/>
      <c r="T613" s="568"/>
      <c r="U613" s="568"/>
      <c r="V613" s="568"/>
      <c r="W613" s="568"/>
      <c r="X613" s="568"/>
      <c r="Y613" s="568"/>
      <c r="Z613" s="568"/>
    </row>
    <row r="614" spans="1:26" ht="18.75" hidden="1">
      <c r="A614" s="578"/>
      <c r="B614" s="580"/>
      <c r="C614" s="580"/>
      <c r="D614" s="684" t="s">
        <v>264</v>
      </c>
      <c r="E614" s="580"/>
      <c r="F614" s="684"/>
      <c r="G614" s="581"/>
      <c r="H614" s="582" t="s">
        <v>46</v>
      </c>
      <c r="I614" s="583"/>
      <c r="J614" s="583">
        <v>0</v>
      </c>
      <c r="K614" s="167"/>
      <c r="L614" s="167"/>
      <c r="M614" s="167"/>
      <c r="N614" s="167"/>
      <c r="O614" s="167"/>
      <c r="P614" s="167"/>
      <c r="Q614" s="568"/>
      <c r="R614" s="568"/>
      <c r="S614" s="568"/>
      <c r="T614" s="568"/>
      <c r="U614" s="568"/>
      <c r="V614" s="568"/>
      <c r="W614" s="568"/>
      <c r="X614" s="568"/>
      <c r="Y614" s="568"/>
      <c r="Z614" s="568"/>
    </row>
    <row r="615" spans="1:26" ht="18.75" hidden="1">
      <c r="A615" s="578"/>
      <c r="B615" s="580"/>
      <c r="C615" s="580"/>
      <c r="D615" s="580"/>
      <c r="E615" s="580"/>
      <c r="F615" s="684"/>
      <c r="G615" s="581"/>
      <c r="H615" s="582" t="s">
        <v>34</v>
      </c>
      <c r="I615" s="583"/>
      <c r="J615" s="583">
        <v>0</v>
      </c>
      <c r="K615" s="167"/>
      <c r="L615" s="167"/>
      <c r="M615" s="167"/>
      <c r="N615" s="167"/>
      <c r="O615" s="167"/>
      <c r="P615" s="167"/>
      <c r="Q615" s="568"/>
      <c r="R615" s="568"/>
      <c r="S615" s="568"/>
      <c r="T615" s="568"/>
      <c r="U615" s="568"/>
      <c r="V615" s="568"/>
      <c r="W615" s="568"/>
      <c r="X615" s="568"/>
      <c r="Y615" s="568"/>
      <c r="Z615" s="568"/>
    </row>
    <row r="616" spans="1:26" ht="18.75" hidden="1">
      <c r="A616" s="578"/>
      <c r="B616" s="580"/>
      <c r="C616" s="580"/>
      <c r="D616" s="685" t="s">
        <v>264</v>
      </c>
      <c r="E616" s="684"/>
      <c r="F616" s="684"/>
      <c r="G616" s="581"/>
      <c r="H616" s="582" t="s">
        <v>46</v>
      </c>
      <c r="I616" s="583"/>
      <c r="J616" s="583">
        <v>0</v>
      </c>
      <c r="K616" s="167"/>
      <c r="L616" s="167"/>
      <c r="M616" s="167"/>
      <c r="N616" s="167"/>
      <c r="O616" s="167"/>
      <c r="P616" s="167"/>
      <c r="Q616" s="568"/>
      <c r="R616" s="568"/>
      <c r="S616" s="568"/>
      <c r="T616" s="568"/>
      <c r="U616" s="568"/>
      <c r="V616" s="568"/>
      <c r="W616" s="568"/>
      <c r="X616" s="568"/>
      <c r="Y616" s="568"/>
      <c r="Z616" s="568"/>
    </row>
    <row r="617" spans="1:26" ht="18.75" hidden="1">
      <c r="A617" s="578"/>
      <c r="B617" s="580"/>
      <c r="C617" s="580"/>
      <c r="D617" s="580"/>
      <c r="E617" s="684"/>
      <c r="F617" s="684"/>
      <c r="G617" s="581"/>
      <c r="H617" s="582" t="s">
        <v>34</v>
      </c>
      <c r="I617" s="583"/>
      <c r="J617" s="583">
        <v>0</v>
      </c>
      <c r="K617" s="167"/>
      <c r="L617" s="167"/>
      <c r="M617" s="167"/>
      <c r="N617" s="167"/>
      <c r="O617" s="167"/>
      <c r="P617" s="167"/>
      <c r="Q617" s="568"/>
      <c r="R617" s="568"/>
      <c r="S617" s="568"/>
      <c r="T617" s="568"/>
      <c r="U617" s="568"/>
      <c r="V617" s="568"/>
      <c r="W617" s="568"/>
      <c r="X617" s="568"/>
      <c r="Y617" s="568"/>
      <c r="Z617" s="568"/>
    </row>
    <row r="618" spans="1:26" ht="18.75" hidden="1">
      <c r="A618" s="578"/>
      <c r="B618" s="580"/>
      <c r="C618" s="580"/>
      <c r="D618" s="685" t="s">
        <v>265</v>
      </c>
      <c r="E618" s="684"/>
      <c r="F618" s="684"/>
      <c r="G618" s="581"/>
      <c r="H618" s="582" t="s">
        <v>46</v>
      </c>
      <c r="I618" s="583"/>
      <c r="J618" s="583">
        <v>0</v>
      </c>
      <c r="K618" s="167"/>
      <c r="L618" s="167"/>
      <c r="M618" s="167"/>
      <c r="N618" s="167"/>
      <c r="O618" s="167"/>
      <c r="P618" s="167"/>
      <c r="Q618" s="568"/>
      <c r="R618" s="568"/>
      <c r="S618" s="568"/>
      <c r="T618" s="568"/>
      <c r="U618" s="568"/>
      <c r="V618" s="568"/>
      <c r="W618" s="568"/>
      <c r="X618" s="568"/>
      <c r="Y618" s="568"/>
      <c r="Z618" s="568"/>
    </row>
    <row r="619" spans="1:26" ht="18.75" hidden="1">
      <c r="A619" s="578"/>
      <c r="B619" s="580"/>
      <c r="C619" s="580"/>
      <c r="D619" s="580"/>
      <c r="E619" s="684"/>
      <c r="F619" s="684"/>
      <c r="G619" s="581"/>
      <c r="H619" s="582" t="s">
        <v>34</v>
      </c>
      <c r="I619" s="583"/>
      <c r="J619" s="583">
        <v>0</v>
      </c>
      <c r="K619" s="167"/>
      <c r="L619" s="167"/>
      <c r="M619" s="167"/>
      <c r="N619" s="167"/>
      <c r="O619" s="167"/>
      <c r="P619" s="167"/>
      <c r="Q619" s="568"/>
      <c r="R619" s="568"/>
      <c r="S619" s="568"/>
      <c r="T619" s="568"/>
      <c r="U619" s="568"/>
      <c r="V619" s="568"/>
      <c r="W619" s="568"/>
      <c r="X619" s="568"/>
      <c r="Y619" s="568"/>
      <c r="Z619" s="568"/>
    </row>
    <row r="620" spans="1:26" ht="19.5">
      <c r="A620" s="686"/>
      <c r="B620" s="695"/>
      <c r="C620" s="688" t="s">
        <v>266</v>
      </c>
      <c r="D620" s="695"/>
      <c r="E620" s="695"/>
      <c r="F620" s="689"/>
      <c r="G620" s="690"/>
      <c r="H620" s="691" t="s">
        <v>46</v>
      </c>
      <c r="I620" s="692">
        <f ca="1">IFERROR(__xludf.DUMMYFUNCTION("IMPORTRANGE(""https://docs.google.com/spreadsheets/d/1QqKyyYR6Q21VydFLVH3TRQUabQu_ym0Zz7PgGX0-kHA/edit?usp=sharing"",""แผน!HL23"")"),0)</f>
        <v>0</v>
      </c>
      <c r="J620" s="692">
        <f t="shared" ref="J620:J621" si="259">J622+J624+J626</f>
        <v>0</v>
      </c>
      <c r="K620" s="693">
        <f t="shared" ref="K620:K621" ca="1" si="260">IF(I620&gt;0,J620*100/I620,0)</f>
        <v>0</v>
      </c>
      <c r="L620" s="694"/>
      <c r="M620" s="694"/>
      <c r="N620" s="694"/>
      <c r="O620" s="694"/>
      <c r="P620" s="694"/>
      <c r="Q620" s="541"/>
      <c r="R620" s="541"/>
      <c r="S620" s="541"/>
      <c r="T620" s="541"/>
      <c r="U620" s="541"/>
      <c r="V620" s="541"/>
      <c r="W620" s="541"/>
      <c r="X620" s="541"/>
      <c r="Y620" s="541"/>
      <c r="Z620" s="541"/>
    </row>
    <row r="621" spans="1:26" ht="19.5">
      <c r="A621" s="686"/>
      <c r="B621" s="695"/>
      <c r="C621" s="695" t="s">
        <v>267</v>
      </c>
      <c r="D621" s="695"/>
      <c r="E621" s="695"/>
      <c r="F621" s="689"/>
      <c r="G621" s="690"/>
      <c r="H621" s="691" t="s">
        <v>34</v>
      </c>
      <c r="I621" s="692">
        <f ca="1">IFERROR(__xludf.DUMMYFUNCTION("IMPORTRANGE(""https://docs.google.com/spreadsheets/d/1QqKyyYR6Q21VydFLVH3TRQUabQu_ym0Zz7PgGX0-kHA/edit?usp=sharing"",""แผน!HK23"")"),0)</f>
        <v>0</v>
      </c>
      <c r="J621" s="692">
        <f t="shared" si="259"/>
        <v>0</v>
      </c>
      <c r="K621" s="693">
        <f t="shared" ca="1" si="260"/>
        <v>0</v>
      </c>
      <c r="L621" s="694"/>
      <c r="M621" s="694"/>
      <c r="N621" s="694"/>
      <c r="O621" s="694"/>
      <c r="P621" s="694"/>
      <c r="Q621" s="541"/>
      <c r="R621" s="541"/>
      <c r="S621" s="541"/>
      <c r="T621" s="541"/>
      <c r="U621" s="541"/>
      <c r="V621" s="541"/>
      <c r="W621" s="541"/>
      <c r="X621" s="541"/>
      <c r="Y621" s="541"/>
      <c r="Z621" s="541"/>
    </row>
    <row r="622" spans="1:26" ht="18.75">
      <c r="A622" s="572"/>
      <c r="B622" s="584"/>
      <c r="C622" s="584"/>
      <c r="D622" s="710" t="s">
        <v>268</v>
      </c>
      <c r="E622" s="592"/>
      <c r="F622" s="592"/>
      <c r="G622" s="726"/>
      <c r="H622" s="728" t="s">
        <v>46</v>
      </c>
      <c r="I622" s="269"/>
      <c r="J622" s="214">
        <v>0</v>
      </c>
      <c r="K622" s="163"/>
      <c r="L622" s="163"/>
      <c r="M622" s="163"/>
      <c r="N622" s="163"/>
      <c r="O622" s="163"/>
      <c r="P622" s="163"/>
      <c r="Q622" s="541"/>
      <c r="R622" s="541"/>
      <c r="S622" s="541"/>
      <c r="T622" s="541"/>
      <c r="U622" s="541"/>
      <c r="V622" s="541"/>
      <c r="W622" s="541"/>
      <c r="X622" s="541"/>
      <c r="Y622" s="541"/>
      <c r="Z622" s="541"/>
    </row>
    <row r="623" spans="1:26" ht="18.75">
      <c r="A623" s="572"/>
      <c r="B623" s="584"/>
      <c r="C623" s="584"/>
      <c r="D623" s="584"/>
      <c r="E623" s="592"/>
      <c r="F623" s="592"/>
      <c r="G623" s="726"/>
      <c r="H623" s="728" t="s">
        <v>34</v>
      </c>
      <c r="I623" s="269"/>
      <c r="J623" s="214">
        <v>0</v>
      </c>
      <c r="K623" s="163"/>
      <c r="L623" s="163"/>
      <c r="M623" s="163"/>
      <c r="N623" s="163"/>
      <c r="O623" s="163"/>
      <c r="P623" s="163"/>
      <c r="Q623" s="541"/>
      <c r="R623" s="541"/>
      <c r="S623" s="541"/>
      <c r="T623" s="541"/>
      <c r="U623" s="541"/>
      <c r="V623" s="541"/>
      <c r="W623" s="541"/>
      <c r="X623" s="541"/>
      <c r="Y623" s="541"/>
      <c r="Z623" s="541"/>
    </row>
    <row r="624" spans="1:26" ht="18.75">
      <c r="A624" s="572"/>
      <c r="B624" s="584"/>
      <c r="C624" s="584"/>
      <c r="D624" s="710" t="s">
        <v>264</v>
      </c>
      <c r="E624" s="592"/>
      <c r="F624" s="592"/>
      <c r="G624" s="726"/>
      <c r="H624" s="728" t="s">
        <v>46</v>
      </c>
      <c r="I624" s="269"/>
      <c r="J624" s="214">
        <v>0</v>
      </c>
      <c r="K624" s="163"/>
      <c r="L624" s="163"/>
      <c r="M624" s="163"/>
      <c r="N624" s="163"/>
      <c r="O624" s="163"/>
      <c r="P624" s="163"/>
      <c r="Q624" s="541"/>
      <c r="R624" s="541"/>
      <c r="S624" s="541"/>
      <c r="T624" s="541"/>
      <c r="U624" s="541"/>
      <c r="V624" s="541"/>
      <c r="W624" s="541"/>
      <c r="X624" s="541"/>
      <c r="Y624" s="541"/>
      <c r="Z624" s="541"/>
    </row>
    <row r="625" spans="1:26" ht="18.75">
      <c r="A625" s="572"/>
      <c r="B625" s="584"/>
      <c r="C625" s="584"/>
      <c r="D625" s="584"/>
      <c r="E625" s="592"/>
      <c r="F625" s="592"/>
      <c r="G625" s="726"/>
      <c r="H625" s="728" t="s">
        <v>34</v>
      </c>
      <c r="I625" s="269"/>
      <c r="J625" s="214">
        <v>0</v>
      </c>
      <c r="K625" s="163"/>
      <c r="L625" s="163"/>
      <c r="M625" s="163"/>
      <c r="N625" s="163"/>
      <c r="O625" s="163"/>
      <c r="P625" s="163"/>
      <c r="Q625" s="541"/>
      <c r="R625" s="541"/>
      <c r="S625" s="541"/>
      <c r="T625" s="541"/>
      <c r="U625" s="541"/>
      <c r="V625" s="541"/>
      <c r="W625" s="541"/>
      <c r="X625" s="541"/>
      <c r="Y625" s="541"/>
      <c r="Z625" s="541"/>
    </row>
    <row r="626" spans="1:26" ht="18.75">
      <c r="A626" s="572"/>
      <c r="B626" s="584"/>
      <c r="C626" s="584"/>
      <c r="D626" s="710" t="s">
        <v>269</v>
      </c>
      <c r="E626" s="592"/>
      <c r="F626" s="592"/>
      <c r="G626" s="726"/>
      <c r="H626" s="728" t="s">
        <v>46</v>
      </c>
      <c r="I626" s="269"/>
      <c r="J626" s="214">
        <v>0</v>
      </c>
      <c r="K626" s="163"/>
      <c r="L626" s="163"/>
      <c r="M626" s="163"/>
      <c r="N626" s="163"/>
      <c r="O626" s="163"/>
      <c r="P626" s="163"/>
      <c r="Q626" s="541"/>
      <c r="R626" s="541"/>
      <c r="S626" s="541"/>
      <c r="T626" s="541"/>
      <c r="U626" s="541"/>
      <c r="V626" s="541"/>
      <c r="W626" s="541"/>
      <c r="X626" s="541"/>
      <c r="Y626" s="541"/>
      <c r="Z626" s="541"/>
    </row>
    <row r="627" spans="1:26" ht="18.75">
      <c r="A627" s="696"/>
      <c r="B627" s="697"/>
      <c r="C627" s="697"/>
      <c r="D627" s="697"/>
      <c r="E627" s="698"/>
      <c r="F627" s="698"/>
      <c r="G627" s="699"/>
      <c r="H627" s="390" t="s">
        <v>34</v>
      </c>
      <c r="I627" s="468"/>
      <c r="J627" s="392">
        <v>0</v>
      </c>
      <c r="K627" s="353"/>
      <c r="L627" s="353"/>
      <c r="M627" s="353"/>
      <c r="N627" s="353"/>
      <c r="O627" s="353"/>
      <c r="P627" s="353"/>
      <c r="Q627" s="541"/>
      <c r="R627" s="541"/>
      <c r="S627" s="541"/>
      <c r="T627" s="541"/>
      <c r="U627" s="541"/>
      <c r="V627" s="541"/>
      <c r="W627" s="541"/>
      <c r="X627" s="541"/>
      <c r="Y627" s="541"/>
      <c r="Z627" s="541"/>
    </row>
    <row r="628" spans="1:26" ht="19.5">
      <c r="A628" s="700">
        <v>7</v>
      </c>
      <c r="B628" s="701" t="s">
        <v>270</v>
      </c>
      <c r="C628" s="702"/>
      <c r="D628" s="702"/>
      <c r="E628" s="702"/>
      <c r="F628" s="702"/>
      <c r="G628" s="703"/>
      <c r="H628" s="704" t="s">
        <v>35</v>
      </c>
      <c r="I628" s="705">
        <f t="shared" ref="I628:J628" ca="1" si="261">I651</f>
        <v>430</v>
      </c>
      <c r="J628" s="705">
        <f t="shared" ca="1" si="261"/>
        <v>0</v>
      </c>
      <c r="K628" s="706">
        <f ca="1">IF(I628&gt;0,J628*100/I628,0)</f>
        <v>0</v>
      </c>
      <c r="L628" s="707"/>
      <c r="M628" s="707"/>
      <c r="N628" s="707"/>
      <c r="O628" s="707"/>
      <c r="P628" s="707"/>
      <c r="Q628" s="541"/>
      <c r="R628" s="541"/>
      <c r="S628" s="541"/>
      <c r="T628" s="541"/>
      <c r="U628" s="541"/>
      <c r="V628" s="541"/>
      <c r="W628" s="541"/>
      <c r="X628" s="541"/>
      <c r="Y628" s="541"/>
      <c r="Z628" s="541"/>
    </row>
    <row r="629" spans="1:26" ht="19.5">
      <c r="A629" s="561"/>
      <c r="B629" s="727"/>
      <c r="C629" s="727" t="s">
        <v>16</v>
      </c>
      <c r="D629" s="811" t="s">
        <v>17</v>
      </c>
      <c r="E629" s="805"/>
      <c r="F629" s="805"/>
      <c r="G629" s="189"/>
      <c r="H629" s="562" t="s">
        <v>12</v>
      </c>
      <c r="I629" s="269"/>
      <c r="J629" s="269"/>
      <c r="K629" s="465"/>
      <c r="L629" s="195">
        <f t="shared" ref="L629:N629" ca="1" si="262">L630+L631</f>
        <v>595365</v>
      </c>
      <c r="M629" s="195">
        <f t="shared" si="262"/>
        <v>0</v>
      </c>
      <c r="N629" s="195">
        <f t="shared" si="262"/>
        <v>77540</v>
      </c>
      <c r="O629" s="195">
        <f t="shared" ref="O629:O634" ca="1" si="263">IF(L629&gt;0,N629*100/L629,0)</f>
        <v>13.023943295289444</v>
      </c>
      <c r="P629" s="195">
        <f t="shared" ref="P629:P634" si="264">IF(M629&gt;0,N629*100/M629,0)</f>
        <v>0</v>
      </c>
      <c r="Q629" s="541"/>
      <c r="R629" s="541"/>
      <c r="S629" s="541"/>
      <c r="T629" s="541"/>
      <c r="U629" s="541"/>
      <c r="V629" s="541"/>
      <c r="W629" s="541"/>
      <c r="X629" s="541"/>
      <c r="Y629" s="541"/>
      <c r="Z629" s="541"/>
    </row>
    <row r="630" spans="1:26" ht="18.75" hidden="1">
      <c r="A630" s="563"/>
      <c r="B630" s="723"/>
      <c r="C630" s="723"/>
      <c r="D630" s="684"/>
      <c r="E630" s="723" t="s">
        <v>184</v>
      </c>
      <c r="F630" s="723"/>
      <c r="G630" s="567"/>
      <c r="H630" s="165" t="s">
        <v>12</v>
      </c>
      <c r="I630" s="583"/>
      <c r="J630" s="583"/>
      <c r="K630" s="93"/>
      <c r="L630" s="93">
        <f t="shared" ref="L630:N631" si="265">L633+L640</f>
        <v>0</v>
      </c>
      <c r="M630" s="93">
        <f t="shared" si="265"/>
        <v>0</v>
      </c>
      <c r="N630" s="93">
        <f t="shared" si="265"/>
        <v>0</v>
      </c>
      <c r="O630" s="93">
        <f t="shared" si="263"/>
        <v>0</v>
      </c>
      <c r="P630" s="93">
        <f t="shared" si="264"/>
        <v>0</v>
      </c>
      <c r="Q630" s="568"/>
      <c r="R630" s="568"/>
      <c r="S630" s="568"/>
      <c r="T630" s="568"/>
      <c r="U630" s="568"/>
      <c r="V630" s="568"/>
      <c r="W630" s="568"/>
      <c r="X630" s="568"/>
      <c r="Y630" s="568"/>
      <c r="Z630" s="568"/>
    </row>
    <row r="631" spans="1:26" ht="18.75" hidden="1">
      <c r="A631" s="563"/>
      <c r="B631" s="571"/>
      <c r="C631" s="723"/>
      <c r="D631" s="684"/>
      <c r="E631" s="723" t="s">
        <v>185</v>
      </c>
      <c r="F631" s="723"/>
      <c r="G631" s="567"/>
      <c r="H631" s="165" t="s">
        <v>12</v>
      </c>
      <c r="I631" s="583"/>
      <c r="J631" s="583"/>
      <c r="K631" s="93"/>
      <c r="L631" s="93">
        <f t="shared" ca="1" si="265"/>
        <v>595365</v>
      </c>
      <c r="M631" s="93">
        <f t="shared" si="265"/>
        <v>0</v>
      </c>
      <c r="N631" s="93">
        <f t="shared" si="265"/>
        <v>77540</v>
      </c>
      <c r="O631" s="93">
        <f t="shared" ca="1" si="263"/>
        <v>13.023943295289444</v>
      </c>
      <c r="P631" s="93">
        <f t="shared" si="264"/>
        <v>0</v>
      </c>
      <c r="Q631" s="568"/>
      <c r="R631" s="568"/>
      <c r="S631" s="568"/>
      <c r="T631" s="568"/>
      <c r="U631" s="568"/>
      <c r="V631" s="568"/>
      <c r="W631" s="568"/>
      <c r="X631" s="568"/>
      <c r="Y631" s="568"/>
      <c r="Z631" s="568"/>
    </row>
    <row r="632" spans="1:26" ht="18.75">
      <c r="A632" s="561"/>
      <c r="B632" s="538"/>
      <c r="C632" s="727"/>
      <c r="D632" s="570" t="s">
        <v>20</v>
      </c>
      <c r="E632" s="727"/>
      <c r="F632" s="727"/>
      <c r="G632" s="189"/>
      <c r="H632" s="161" t="s">
        <v>12</v>
      </c>
      <c r="I632" s="184"/>
      <c r="J632" s="184"/>
      <c r="K632" s="163"/>
      <c r="L632" s="465">
        <f t="shared" ref="L632:N632" ca="1" si="266">L633+L634</f>
        <v>595365</v>
      </c>
      <c r="M632" s="465">
        <f t="shared" si="266"/>
        <v>0</v>
      </c>
      <c r="N632" s="465">
        <f t="shared" si="266"/>
        <v>77540</v>
      </c>
      <c r="O632" s="465">
        <f t="shared" ca="1" si="263"/>
        <v>13.023943295289444</v>
      </c>
      <c r="P632" s="465">
        <f t="shared" si="264"/>
        <v>0</v>
      </c>
      <c r="Q632" s="541"/>
      <c r="R632" s="541"/>
      <c r="S632" s="541"/>
      <c r="T632" s="541"/>
      <c r="U632" s="541"/>
      <c r="V632" s="541"/>
      <c r="W632" s="541"/>
      <c r="X632" s="541"/>
      <c r="Y632" s="541"/>
      <c r="Z632" s="541"/>
    </row>
    <row r="633" spans="1:26" ht="18.75" hidden="1">
      <c r="A633" s="563"/>
      <c r="B633" s="571"/>
      <c r="C633" s="723"/>
      <c r="D633" s="684"/>
      <c r="E633" s="723" t="s">
        <v>184</v>
      </c>
      <c r="F633" s="723"/>
      <c r="G633" s="567"/>
      <c r="H633" s="165" t="s">
        <v>12</v>
      </c>
      <c r="I633" s="583"/>
      <c r="J633" s="583"/>
      <c r="K633" s="93"/>
      <c r="L633" s="93">
        <v>0</v>
      </c>
      <c r="M633" s="93">
        <v>0</v>
      </c>
      <c r="N633" s="93">
        <v>0</v>
      </c>
      <c r="O633" s="93">
        <f t="shared" si="263"/>
        <v>0</v>
      </c>
      <c r="P633" s="93">
        <f t="shared" si="264"/>
        <v>0</v>
      </c>
      <c r="Q633" s="568"/>
      <c r="R633" s="568"/>
      <c r="S633" s="568"/>
      <c r="T633" s="568"/>
      <c r="U633" s="568"/>
      <c r="V633" s="568"/>
      <c r="W633" s="568"/>
      <c r="X633" s="568"/>
      <c r="Y633" s="568"/>
      <c r="Z633" s="568"/>
    </row>
    <row r="634" spans="1:26" ht="18.75" hidden="1">
      <c r="A634" s="563"/>
      <c r="B634" s="571"/>
      <c r="C634" s="723"/>
      <c r="D634" s="684"/>
      <c r="E634" s="723" t="s">
        <v>185</v>
      </c>
      <c r="F634" s="723"/>
      <c r="G634" s="567"/>
      <c r="H634" s="165" t="s">
        <v>12</v>
      </c>
      <c r="I634" s="583"/>
      <c r="J634" s="583"/>
      <c r="K634" s="93"/>
      <c r="L634" s="93">
        <f ca="1">IFERROR(__xludf.DUMMYFUNCTION("IMPORTRANGE(""https://docs.google.com/spreadsheets/d/1QqKyyYR6Q21VydFLVH3TRQUabQu_ym0Zz7PgGX0-kHA/edit?usp=sharing"",""แผน!HN23"")"),595365)</f>
        <v>595365</v>
      </c>
      <c r="M634" s="93">
        <v>0</v>
      </c>
      <c r="N634" s="93">
        <f>N635+N636+N637+N638</f>
        <v>77540</v>
      </c>
      <c r="O634" s="93">
        <f t="shared" ca="1" si="263"/>
        <v>13.023943295289444</v>
      </c>
      <c r="P634" s="93">
        <f t="shared" si="264"/>
        <v>0</v>
      </c>
      <c r="Q634" s="568"/>
      <c r="R634" s="568"/>
      <c r="S634" s="568"/>
      <c r="T634" s="568"/>
      <c r="U634" s="568"/>
      <c r="V634" s="568"/>
      <c r="W634" s="568"/>
      <c r="X634" s="568"/>
      <c r="Y634" s="568"/>
      <c r="Z634" s="568"/>
    </row>
    <row r="635" spans="1:26" ht="18.75">
      <c r="A635" s="537"/>
      <c r="B635" s="538"/>
      <c r="C635" s="727"/>
      <c r="D635" s="727"/>
      <c r="E635" s="727"/>
      <c r="F635" s="727" t="s">
        <v>186</v>
      </c>
      <c r="G635" s="189"/>
      <c r="H635" s="161" t="s">
        <v>12</v>
      </c>
      <c r="I635" s="269"/>
      <c r="J635" s="269"/>
      <c r="K635" s="465"/>
      <c r="L635" s="465"/>
      <c r="M635" s="465"/>
      <c r="N635" s="789">
        <v>0</v>
      </c>
      <c r="O635" s="465"/>
      <c r="P635" s="465"/>
      <c r="Q635" s="541"/>
      <c r="R635" s="541"/>
      <c r="S635" s="541"/>
      <c r="T635" s="541"/>
      <c r="U635" s="541"/>
      <c r="V635" s="541"/>
      <c r="W635" s="541"/>
      <c r="X635" s="541"/>
      <c r="Y635" s="541"/>
      <c r="Z635" s="541"/>
    </row>
    <row r="636" spans="1:26" ht="18.75">
      <c r="A636" s="537"/>
      <c r="B636" s="538"/>
      <c r="C636" s="727"/>
      <c r="D636" s="727"/>
      <c r="E636" s="727"/>
      <c r="F636" s="727" t="s">
        <v>187</v>
      </c>
      <c r="G636" s="189"/>
      <c r="H636" s="161" t="s">
        <v>12</v>
      </c>
      <c r="I636" s="269"/>
      <c r="J636" s="269"/>
      <c r="K636" s="465"/>
      <c r="L636" s="465"/>
      <c r="M636" s="465"/>
      <c r="N636" s="789">
        <v>0</v>
      </c>
      <c r="O636" s="465"/>
      <c r="P636" s="465"/>
      <c r="Q636" s="541"/>
      <c r="R636" s="541"/>
      <c r="S636" s="541"/>
      <c r="T636" s="541"/>
      <c r="U636" s="541"/>
      <c r="V636" s="541"/>
      <c r="W636" s="541"/>
      <c r="X636" s="541"/>
      <c r="Y636" s="541"/>
      <c r="Z636" s="541"/>
    </row>
    <row r="637" spans="1:26" ht="18.75">
      <c r="A637" s="537"/>
      <c r="B637" s="538"/>
      <c r="C637" s="727"/>
      <c r="D637" s="727"/>
      <c r="E637" s="727"/>
      <c r="F637" s="727" t="s">
        <v>188</v>
      </c>
      <c r="G637" s="189"/>
      <c r="H637" s="161" t="s">
        <v>12</v>
      </c>
      <c r="I637" s="269"/>
      <c r="J637" s="269"/>
      <c r="K637" s="465"/>
      <c r="L637" s="465"/>
      <c r="M637" s="465"/>
      <c r="N637" s="789">
        <v>26000</v>
      </c>
      <c r="O637" s="465"/>
      <c r="P637" s="465"/>
      <c r="Q637" s="541"/>
      <c r="R637" s="541"/>
      <c r="S637" s="541"/>
      <c r="T637" s="541"/>
      <c r="U637" s="541"/>
      <c r="V637" s="541"/>
      <c r="W637" s="541"/>
      <c r="X637" s="541"/>
      <c r="Y637" s="541"/>
      <c r="Z637" s="541"/>
    </row>
    <row r="638" spans="1:26" ht="18.75">
      <c r="A638" s="537"/>
      <c r="B638" s="538"/>
      <c r="C638" s="727"/>
      <c r="D638" s="727"/>
      <c r="E638" s="727"/>
      <c r="F638" s="727" t="s">
        <v>189</v>
      </c>
      <c r="G638" s="189"/>
      <c r="H638" s="161" t="s">
        <v>12</v>
      </c>
      <c r="I638" s="269"/>
      <c r="J638" s="269"/>
      <c r="K638" s="465"/>
      <c r="L638" s="465"/>
      <c r="M638" s="465"/>
      <c r="N638" s="789">
        <v>51540</v>
      </c>
      <c r="O638" s="465"/>
      <c r="P638" s="465"/>
      <c r="Q638" s="541"/>
      <c r="R638" s="541"/>
      <c r="S638" s="541"/>
      <c r="T638" s="541"/>
      <c r="U638" s="541"/>
      <c r="V638" s="541"/>
      <c r="W638" s="541"/>
      <c r="X638" s="541"/>
      <c r="Y638" s="541"/>
      <c r="Z638" s="541"/>
    </row>
    <row r="639" spans="1:26" ht="18.75">
      <c r="A639" s="561"/>
      <c r="B639" s="538"/>
      <c r="C639" s="727"/>
      <c r="D639" s="570" t="s">
        <v>21</v>
      </c>
      <c r="E639" s="727"/>
      <c r="F639" s="727"/>
      <c r="G639" s="189"/>
      <c r="H639" s="168" t="s">
        <v>12</v>
      </c>
      <c r="I639" s="184"/>
      <c r="J639" s="184"/>
      <c r="K639" s="163"/>
      <c r="L639" s="465">
        <f t="shared" ref="L639:N639" ca="1" si="267">L640+L641</f>
        <v>0</v>
      </c>
      <c r="M639" s="465">
        <f t="shared" si="267"/>
        <v>0</v>
      </c>
      <c r="N639" s="465">
        <f t="shared" si="267"/>
        <v>0</v>
      </c>
      <c r="O639" s="465">
        <f t="shared" ref="O639:O641" ca="1" si="268">IF(L639&gt;0,N639*100/L639,0)</f>
        <v>0</v>
      </c>
      <c r="P639" s="465">
        <f t="shared" ref="P639:P641" si="269">IF(M639&gt;0,N639*100/M639,0)</f>
        <v>0</v>
      </c>
      <c r="Q639" s="541"/>
      <c r="R639" s="541"/>
      <c r="S639" s="541"/>
      <c r="T639" s="541"/>
      <c r="U639" s="541"/>
      <c r="V639" s="541"/>
      <c r="W639" s="541"/>
      <c r="X639" s="541"/>
      <c r="Y639" s="541"/>
      <c r="Z639" s="541"/>
    </row>
    <row r="640" spans="1:26" ht="18.75" hidden="1">
      <c r="A640" s="563"/>
      <c r="B640" s="571"/>
      <c r="C640" s="723"/>
      <c r="D640" s="723"/>
      <c r="E640" s="723" t="s">
        <v>18</v>
      </c>
      <c r="F640" s="723"/>
      <c r="G640" s="567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8"/>
        <v>0</v>
      </c>
      <c r="P640" s="93">
        <f t="shared" si="269"/>
        <v>0</v>
      </c>
      <c r="Q640" s="568"/>
      <c r="R640" s="568"/>
      <c r="S640" s="568"/>
      <c r="T640" s="568"/>
      <c r="U640" s="568"/>
      <c r="V640" s="568"/>
      <c r="W640" s="568"/>
      <c r="X640" s="568"/>
      <c r="Y640" s="568"/>
      <c r="Z640" s="568"/>
    </row>
    <row r="641" spans="1:26" ht="18.75" hidden="1">
      <c r="A641" s="563"/>
      <c r="B641" s="571"/>
      <c r="C641" s="723"/>
      <c r="D641" s="723"/>
      <c r="E641" s="723" t="s">
        <v>19</v>
      </c>
      <c r="F641" s="723"/>
      <c r="G641" s="567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IFERROR(__xludf.DUMMYFUNCTION("IMPORTRANGE(""https://docs.google.com/spreadsheets/d/1QqKyyYR6Q21VydFLVH3TRQUabQu_ym0Zz7PgGX0-kHA/edit?usp=sharing"",""แผน!HQ23"")"),0)</f>
        <v>0</v>
      </c>
      <c r="M641" s="93">
        <v>0</v>
      </c>
      <c r="N641" s="93">
        <v>0</v>
      </c>
      <c r="O641" s="93">
        <f t="shared" ca="1" si="268"/>
        <v>0</v>
      </c>
      <c r="P641" s="93">
        <f t="shared" si="269"/>
        <v>0</v>
      </c>
      <c r="Q641" s="568"/>
      <c r="R641" s="568"/>
      <c r="S641" s="568"/>
      <c r="T641" s="568"/>
      <c r="U641" s="568"/>
      <c r="V641" s="568"/>
      <c r="W641" s="568"/>
      <c r="X641" s="568"/>
      <c r="Y641" s="568"/>
      <c r="Z641" s="568"/>
    </row>
    <row r="642" spans="1:26" ht="19.5">
      <c r="A642" s="572"/>
      <c r="B642" s="584"/>
      <c r="C642" s="727" t="s">
        <v>16</v>
      </c>
      <c r="D642" s="853" t="s">
        <v>38</v>
      </c>
      <c r="E642" s="725"/>
      <c r="F642" s="725"/>
      <c r="G642" s="577"/>
      <c r="H642" s="726"/>
      <c r="I642" s="184"/>
      <c r="J642" s="184"/>
      <c r="K642" s="163"/>
      <c r="L642" s="163"/>
      <c r="M642" s="163"/>
      <c r="N642" s="163"/>
      <c r="O642" s="163"/>
      <c r="P642" s="163"/>
      <c r="Q642" s="541"/>
      <c r="R642" s="541"/>
      <c r="S642" s="541"/>
      <c r="T642" s="541"/>
      <c r="U642" s="541"/>
      <c r="V642" s="541"/>
      <c r="W642" s="541"/>
      <c r="X642" s="541"/>
      <c r="Y642" s="541"/>
      <c r="Z642" s="541"/>
    </row>
    <row r="643" spans="1:26" ht="18.75">
      <c r="A643" s="708"/>
      <c r="B643" s="538"/>
      <c r="C643" s="727"/>
      <c r="D643" s="592"/>
      <c r="E643" s="710" t="s">
        <v>271</v>
      </c>
      <c r="F643" s="592"/>
      <c r="G643" s="726"/>
      <c r="H643" s="728" t="s">
        <v>272</v>
      </c>
      <c r="I643" s="269">
        <f ca="1">IFERROR(__xludf.DUMMYFUNCTION("IMPORTRANGE(""https://docs.google.com/spreadsheets/d/1QqKyyYR6Q21VydFLVH3TRQUabQu_ym0Zz7PgGX0-kHA/edit?usp=sharing"",""แผน!HR23"")"),2)</f>
        <v>2</v>
      </c>
      <c r="J643" s="214">
        <v>0</v>
      </c>
      <c r="K643" s="163">
        <f t="shared" ref="K643:K652" ca="1" si="270">IF(I643&gt;0,J643*100/I643,0)</f>
        <v>0</v>
      </c>
      <c r="L643" s="163"/>
      <c r="M643" s="163"/>
      <c r="N643" s="465"/>
      <c r="O643" s="163"/>
      <c r="P643" s="163"/>
      <c r="Q643" s="541"/>
      <c r="R643" s="541"/>
      <c r="S643" s="541"/>
      <c r="T643" s="541"/>
      <c r="U643" s="541"/>
      <c r="V643" s="541"/>
      <c r="W643" s="541"/>
      <c r="X643" s="541"/>
      <c r="Y643" s="541"/>
      <c r="Z643" s="541"/>
    </row>
    <row r="644" spans="1:26" ht="18.75">
      <c r="A644" s="708"/>
      <c r="B644" s="538"/>
      <c r="C644" s="727"/>
      <c r="D644" s="592"/>
      <c r="E644" s="710" t="s">
        <v>273</v>
      </c>
      <c r="F644" s="592"/>
      <c r="G644" s="726"/>
      <c r="H644" s="728" t="s">
        <v>274</v>
      </c>
      <c r="I644" s="269">
        <f ca="1">IFERROR(__xludf.DUMMYFUNCTION("IMPORTRANGE(""https://docs.google.com/spreadsheets/d/1QqKyyYR6Q21VydFLVH3TRQUabQu_ym0Zz7PgGX0-kHA/edit?usp=sharing"",""แผน!HR23"")"),2)</f>
        <v>2</v>
      </c>
      <c r="J644" s="214">
        <v>0</v>
      </c>
      <c r="K644" s="163">
        <f t="shared" ca="1" si="270"/>
        <v>0</v>
      </c>
      <c r="L644" s="163"/>
      <c r="M644" s="163"/>
      <c r="N644" s="465"/>
      <c r="O644" s="163"/>
      <c r="P644" s="163"/>
      <c r="Q644" s="541"/>
      <c r="R644" s="541"/>
      <c r="S644" s="541"/>
      <c r="T644" s="541"/>
      <c r="U644" s="541"/>
      <c r="V644" s="541"/>
      <c r="W644" s="541"/>
      <c r="X644" s="541"/>
      <c r="Y644" s="541"/>
      <c r="Z644" s="541"/>
    </row>
    <row r="645" spans="1:26" ht="18.75">
      <c r="A645" s="708"/>
      <c r="B645" s="538"/>
      <c r="C645" s="727"/>
      <c r="D645" s="592"/>
      <c r="E645" s="710" t="s">
        <v>275</v>
      </c>
      <c r="F645" s="592"/>
      <c r="G645" s="726"/>
      <c r="H645" s="728" t="s">
        <v>34</v>
      </c>
      <c r="I645" s="269">
        <v>0</v>
      </c>
      <c r="J645" s="269">
        <f ca="1">IFERROR(__xludf.DUMMYFUNCTION("IMPORTRANGE(""https://docs.google.com/spreadsheets/d/1XWAQStnk-4SwqDmLtmXYiTMKHgktTP8We1SCoS47DrQ/edit?usp=sharing"",""จัดที่ดิน!AS23"")"),0)</f>
        <v>0</v>
      </c>
      <c r="K645" s="163">
        <f t="shared" si="270"/>
        <v>0</v>
      </c>
      <c r="L645" s="163"/>
      <c r="M645" s="163"/>
      <c r="N645" s="465"/>
      <c r="O645" s="163"/>
      <c r="P645" s="163"/>
      <c r="Q645" s="541"/>
      <c r="R645" s="541"/>
      <c r="S645" s="541"/>
      <c r="T645" s="541"/>
      <c r="U645" s="541"/>
      <c r="V645" s="541"/>
      <c r="W645" s="541"/>
      <c r="X645" s="541"/>
      <c r="Y645" s="541"/>
      <c r="Z645" s="541"/>
    </row>
    <row r="646" spans="1:26" ht="18.75">
      <c r="A646" s="708"/>
      <c r="B646" s="538"/>
      <c r="C646" s="727"/>
      <c r="D646" s="592"/>
      <c r="E646" s="592"/>
      <c r="F646" s="592"/>
      <c r="G646" s="726"/>
      <c r="H646" s="728" t="s">
        <v>46</v>
      </c>
      <c r="I646" s="269">
        <v>0</v>
      </c>
      <c r="J646" s="269">
        <f ca="1">IFERROR(__xludf.DUMMYFUNCTION("IMPORTRANGE(""https://docs.google.com/spreadsheets/d/1XWAQStnk-4SwqDmLtmXYiTMKHgktTP8We1SCoS47DrQ/edit?usp=sharing"",""จัดที่ดิน!AT23"")"),0)</f>
        <v>0</v>
      </c>
      <c r="K646" s="465">
        <f t="shared" si="270"/>
        <v>0</v>
      </c>
      <c r="L646" s="163"/>
      <c r="M646" s="163"/>
      <c r="N646" s="465"/>
      <c r="O646" s="163"/>
      <c r="P646" s="163"/>
      <c r="Q646" s="541"/>
      <c r="R646" s="541"/>
      <c r="S646" s="541"/>
      <c r="T646" s="541"/>
      <c r="U646" s="541"/>
      <c r="V646" s="541"/>
      <c r="W646" s="541"/>
      <c r="X646" s="541"/>
      <c r="Y646" s="541"/>
      <c r="Z646" s="541"/>
    </row>
    <row r="647" spans="1:26" ht="18.75">
      <c r="A647" s="708"/>
      <c r="B647" s="538"/>
      <c r="C647" s="727"/>
      <c r="D647" s="592"/>
      <c r="E647" s="710" t="s">
        <v>162</v>
      </c>
      <c r="F647" s="592"/>
      <c r="G647" s="726"/>
      <c r="H647" s="728" t="s">
        <v>35</v>
      </c>
      <c r="I647" s="269">
        <f ca="1">IFERROR(__xludf.DUMMYFUNCTION("IMPORTRANGE(""https://docs.google.com/spreadsheets/d/1QqKyyYR6Q21VydFLVH3TRQUabQu_ym0Zz7PgGX0-kHA/edit?usp=sharing"",""แผน!HS23"")"),430)</f>
        <v>430</v>
      </c>
      <c r="J647" s="269">
        <f ca="1">IFERROR(__xludf.DUMMYFUNCTION("IMPORTRANGE(""https://docs.google.com/spreadsheets/d/1XWAQStnk-4SwqDmLtmXYiTMKHgktTP8We1SCoS47DrQ/edit?usp=sharing"",""จัดที่ดิน!AU23"")"),0)</f>
        <v>0</v>
      </c>
      <c r="K647" s="163">
        <f t="shared" ca="1" si="270"/>
        <v>0</v>
      </c>
      <c r="L647" s="163"/>
      <c r="M647" s="163"/>
      <c r="N647" s="163"/>
      <c r="O647" s="163"/>
      <c r="P647" s="163"/>
      <c r="Q647" s="541"/>
      <c r="R647" s="541"/>
      <c r="S647" s="541"/>
      <c r="T647" s="541"/>
      <c r="U647" s="541"/>
      <c r="V647" s="541"/>
      <c r="W647" s="541"/>
      <c r="X647" s="541"/>
      <c r="Y647" s="541"/>
      <c r="Z647" s="541"/>
    </row>
    <row r="648" spans="1:26" ht="18.75">
      <c r="A648" s="708"/>
      <c r="B648" s="538"/>
      <c r="C648" s="727"/>
      <c r="D648" s="592"/>
      <c r="E648" s="592"/>
      <c r="F648" s="592"/>
      <c r="G648" s="726"/>
      <c r="H648" s="728" t="s">
        <v>46</v>
      </c>
      <c r="I648" s="269">
        <v>0</v>
      </c>
      <c r="J648" s="269">
        <f ca="1">IFERROR(__xludf.DUMMYFUNCTION("IMPORTRANGE(""https://docs.google.com/spreadsheets/d/1XWAQStnk-4SwqDmLtmXYiTMKHgktTP8We1SCoS47DrQ/edit?usp=sharing"",""จัดที่ดิน!AV23"")"),0)</f>
        <v>0</v>
      </c>
      <c r="K648" s="465">
        <f t="shared" si="270"/>
        <v>0</v>
      </c>
      <c r="L648" s="163"/>
      <c r="M648" s="163"/>
      <c r="N648" s="163"/>
      <c r="O648" s="163"/>
      <c r="P648" s="163"/>
      <c r="Q648" s="541"/>
      <c r="R648" s="541"/>
      <c r="S648" s="541"/>
      <c r="T648" s="541"/>
      <c r="U648" s="541"/>
      <c r="V648" s="541"/>
      <c r="W648" s="541"/>
      <c r="X648" s="541"/>
      <c r="Y648" s="541"/>
      <c r="Z648" s="541"/>
    </row>
    <row r="649" spans="1:26" ht="18.75">
      <c r="A649" s="708"/>
      <c r="B649" s="538"/>
      <c r="C649" s="727"/>
      <c r="D649" s="592"/>
      <c r="E649" s="710" t="s">
        <v>276</v>
      </c>
      <c r="F649" s="592"/>
      <c r="G649" s="726"/>
      <c r="H649" s="728" t="s">
        <v>35</v>
      </c>
      <c r="I649" s="269">
        <f ca="1">IFERROR(__xludf.DUMMYFUNCTION("IMPORTRANGE(""https://docs.google.com/spreadsheets/d/1QqKyyYR6Q21VydFLVH3TRQUabQu_ym0Zz7PgGX0-kHA/edit?usp=sharing"",""แผน!HS23"")"),430)</f>
        <v>430</v>
      </c>
      <c r="J649" s="269">
        <f ca="1">IFERROR(__xludf.DUMMYFUNCTION("IMPORTRANGE(""https://docs.google.com/spreadsheets/d/1XWAQStnk-4SwqDmLtmXYiTMKHgktTP8We1SCoS47DrQ/edit?usp=sharing"",""จัดที่ดิน!AW23"")"),0)</f>
        <v>0</v>
      </c>
      <c r="K649" s="163">
        <f t="shared" ca="1" si="270"/>
        <v>0</v>
      </c>
      <c r="L649" s="163"/>
      <c r="M649" s="163"/>
      <c r="N649" s="163"/>
      <c r="O649" s="163"/>
      <c r="P649" s="163"/>
      <c r="Q649" s="541"/>
      <c r="R649" s="541"/>
      <c r="S649" s="541"/>
      <c r="T649" s="541"/>
      <c r="U649" s="541"/>
      <c r="V649" s="541"/>
      <c r="W649" s="541"/>
      <c r="X649" s="541"/>
      <c r="Y649" s="541"/>
      <c r="Z649" s="541"/>
    </row>
    <row r="650" spans="1:26" ht="18.75">
      <c r="A650" s="708"/>
      <c r="B650" s="538"/>
      <c r="C650" s="727"/>
      <c r="D650" s="592"/>
      <c r="E650" s="592"/>
      <c r="F650" s="592"/>
      <c r="G650" s="726"/>
      <c r="H650" s="728" t="s">
        <v>46</v>
      </c>
      <c r="I650" s="269">
        <v>0</v>
      </c>
      <c r="J650" s="269">
        <f ca="1">IFERROR(__xludf.DUMMYFUNCTION("IMPORTRANGE(""https://docs.google.com/spreadsheets/d/1XWAQStnk-4SwqDmLtmXYiTMKHgktTP8We1SCoS47DrQ/edit?usp=sharing"",""จัดที่ดิน!AX23"")"),0)</f>
        <v>0</v>
      </c>
      <c r="K650" s="465">
        <f t="shared" si="270"/>
        <v>0</v>
      </c>
      <c r="L650" s="163"/>
      <c r="M650" s="163"/>
      <c r="N650" s="163"/>
      <c r="O650" s="163"/>
      <c r="P650" s="163"/>
      <c r="Q650" s="541"/>
      <c r="R650" s="541"/>
      <c r="S650" s="541"/>
      <c r="T650" s="541"/>
      <c r="U650" s="541"/>
      <c r="V650" s="541"/>
      <c r="W650" s="541"/>
      <c r="X650" s="541"/>
      <c r="Y650" s="541"/>
      <c r="Z650" s="541"/>
    </row>
    <row r="651" spans="1:26" ht="18.75">
      <c r="A651" s="708"/>
      <c r="B651" s="538"/>
      <c r="C651" s="727"/>
      <c r="D651" s="592"/>
      <c r="E651" s="710" t="s">
        <v>277</v>
      </c>
      <c r="F651" s="592"/>
      <c r="G651" s="726"/>
      <c r="H651" s="728" t="s">
        <v>35</v>
      </c>
      <c r="I651" s="269">
        <f ca="1">IFERROR(__xludf.DUMMYFUNCTION("IMPORTRANGE(""https://docs.google.com/spreadsheets/d/1QqKyyYR6Q21VydFLVH3TRQUabQu_ym0Zz7PgGX0-kHA/edit?usp=sharing"",""แผน!HS23"")"),430)</f>
        <v>430</v>
      </c>
      <c r="J651" s="269">
        <f ca="1">IFERROR(__xludf.DUMMYFUNCTION("IMPORTRANGE(""https://docs.google.com/spreadsheets/d/1XWAQStnk-4SwqDmLtmXYiTMKHgktTP8We1SCoS47DrQ/edit?usp=sharing"",""จัดที่ดิน!AY23"")"),0)</f>
        <v>0</v>
      </c>
      <c r="K651" s="163">
        <f t="shared" ca="1" si="270"/>
        <v>0</v>
      </c>
      <c r="L651" s="163"/>
      <c r="M651" s="163"/>
      <c r="N651" s="163"/>
      <c r="O651" s="163"/>
      <c r="P651" s="163"/>
      <c r="Q651" s="541"/>
      <c r="R651" s="541"/>
      <c r="S651" s="541"/>
      <c r="T651" s="541"/>
      <c r="U651" s="541"/>
      <c r="V651" s="541"/>
      <c r="W651" s="541"/>
      <c r="X651" s="541"/>
      <c r="Y651" s="541"/>
      <c r="Z651" s="541"/>
    </row>
    <row r="652" spans="1:26" ht="18.75">
      <c r="A652" s="711"/>
      <c r="B652" s="712"/>
      <c r="C652" s="713"/>
      <c r="D652" s="698"/>
      <c r="E652" s="698"/>
      <c r="F652" s="698"/>
      <c r="G652" s="699"/>
      <c r="H652" s="467" t="s">
        <v>46</v>
      </c>
      <c r="I652" s="468">
        <v>0</v>
      </c>
      <c r="J652" s="468">
        <f ca="1">IFERROR(__xludf.DUMMYFUNCTION("IMPORTRANGE(""https://docs.google.com/spreadsheets/d/1XWAQStnk-4SwqDmLtmXYiTMKHgktTP8We1SCoS47DrQ/edit?usp=sharing"",""จัดที่ดิน!AZ23"")"),0)</f>
        <v>0</v>
      </c>
      <c r="K652" s="469">
        <f t="shared" si="270"/>
        <v>0</v>
      </c>
      <c r="L652" s="353"/>
      <c r="M652" s="353"/>
      <c r="N652" s="353"/>
      <c r="O652" s="353"/>
      <c r="P652" s="353"/>
      <c r="Q652" s="541"/>
      <c r="R652" s="541"/>
      <c r="S652" s="541"/>
      <c r="T652" s="541"/>
      <c r="U652" s="541"/>
      <c r="V652" s="541"/>
      <c r="W652" s="541"/>
      <c r="X652" s="541"/>
      <c r="Y652" s="541"/>
      <c r="Z652" s="541"/>
    </row>
    <row r="653" spans="1:26" ht="19.5">
      <c r="A653" s="714">
        <v>8</v>
      </c>
      <c r="B653" s="701" t="s">
        <v>278</v>
      </c>
      <c r="C653" s="702"/>
      <c r="D653" s="702"/>
      <c r="E653" s="702"/>
      <c r="F653" s="702"/>
      <c r="G653" s="703"/>
      <c r="H653" s="703"/>
      <c r="I653" s="715"/>
      <c r="J653" s="715"/>
      <c r="K653" s="707"/>
      <c r="L653" s="707"/>
      <c r="M653" s="707"/>
      <c r="N653" s="707"/>
      <c r="O653" s="707"/>
      <c r="P653" s="707"/>
      <c r="Q653" s="541"/>
      <c r="R653" s="541"/>
      <c r="S653" s="541"/>
      <c r="T653" s="541"/>
      <c r="U653" s="541"/>
      <c r="V653" s="541"/>
      <c r="W653" s="541"/>
      <c r="X653" s="541"/>
      <c r="Y653" s="541"/>
      <c r="Z653" s="541"/>
    </row>
    <row r="654" spans="1:26" ht="19.5" hidden="1">
      <c r="A654" s="639"/>
      <c r="B654" s="638" t="s">
        <v>279</v>
      </c>
      <c r="C654" s="639"/>
      <c r="D654" s="639"/>
      <c r="E654" s="639"/>
      <c r="F654" s="639"/>
      <c r="G654" s="640"/>
      <c r="H654" s="671" t="s">
        <v>46</v>
      </c>
      <c r="I654" s="672">
        <f t="shared" ref="I654:J654" ca="1" si="271">I669</f>
        <v>0</v>
      </c>
      <c r="J654" s="672">
        <f t="shared" si="271"/>
        <v>0</v>
      </c>
      <c r="K654" s="643">
        <f ca="1">IF(I654&gt;0,J654*100/I654,0)</f>
        <v>0</v>
      </c>
      <c r="L654" s="644"/>
      <c r="M654" s="644"/>
      <c r="N654" s="644"/>
      <c r="O654" s="644"/>
      <c r="P654" s="644"/>
      <c r="Q654" s="541"/>
      <c r="R654" s="541"/>
      <c r="S654" s="541"/>
      <c r="T654" s="541"/>
      <c r="U654" s="541"/>
      <c r="V654" s="541"/>
      <c r="W654" s="541"/>
      <c r="X654" s="541"/>
      <c r="Y654" s="541"/>
      <c r="Z654" s="541"/>
    </row>
    <row r="655" spans="1:26" ht="19.5" hidden="1">
      <c r="A655" s="561"/>
      <c r="B655" s="727"/>
      <c r="C655" s="727" t="s">
        <v>16</v>
      </c>
      <c r="D655" s="811" t="s">
        <v>17</v>
      </c>
      <c r="E655" s="805"/>
      <c r="F655" s="805"/>
      <c r="G655" s="189"/>
      <c r="H655" s="562" t="s">
        <v>12</v>
      </c>
      <c r="I655" s="269"/>
      <c r="J655" s="269"/>
      <c r="K655" s="465"/>
      <c r="L655" s="195">
        <f t="shared" ref="L655:N655" ca="1" si="272">L656+L657</f>
        <v>0</v>
      </c>
      <c r="M655" s="195">
        <f t="shared" si="272"/>
        <v>0</v>
      </c>
      <c r="N655" s="195">
        <f t="shared" si="272"/>
        <v>0</v>
      </c>
      <c r="O655" s="195">
        <f t="shared" ref="O655:O660" ca="1" si="273">IF(L655&gt;0,N655*100/L655,0)</f>
        <v>0</v>
      </c>
      <c r="P655" s="195">
        <f t="shared" ref="P655:P660" si="274">IF(M655&gt;0,N655*100/M655,0)</f>
        <v>0</v>
      </c>
      <c r="Q655" s="541"/>
      <c r="R655" s="541"/>
      <c r="S655" s="541"/>
      <c r="T655" s="541"/>
      <c r="U655" s="541"/>
      <c r="V655" s="541"/>
      <c r="W655" s="541"/>
      <c r="X655" s="541"/>
      <c r="Y655" s="541"/>
      <c r="Z655" s="541"/>
    </row>
    <row r="656" spans="1:26" ht="18.75" hidden="1">
      <c r="A656" s="563"/>
      <c r="B656" s="723"/>
      <c r="C656" s="723"/>
      <c r="D656" s="684"/>
      <c r="E656" s="723" t="s">
        <v>184</v>
      </c>
      <c r="F656" s="723"/>
      <c r="G656" s="567"/>
      <c r="H656" s="165" t="s">
        <v>12</v>
      </c>
      <c r="I656" s="583"/>
      <c r="J656" s="583"/>
      <c r="K656" s="93"/>
      <c r="L656" s="93">
        <f t="shared" ref="L656:N657" si="275">L659+L666</f>
        <v>0</v>
      </c>
      <c r="M656" s="93">
        <f t="shared" si="275"/>
        <v>0</v>
      </c>
      <c r="N656" s="93">
        <f t="shared" si="275"/>
        <v>0</v>
      </c>
      <c r="O656" s="93">
        <f t="shared" si="273"/>
        <v>0</v>
      </c>
      <c r="P656" s="93">
        <f t="shared" si="274"/>
        <v>0</v>
      </c>
      <c r="Q656" s="568"/>
      <c r="R656" s="568"/>
      <c r="S656" s="568"/>
      <c r="T656" s="568"/>
      <c r="U656" s="568"/>
      <c r="V656" s="568"/>
      <c r="W656" s="568"/>
      <c r="X656" s="568"/>
      <c r="Y656" s="568"/>
      <c r="Z656" s="568"/>
    </row>
    <row r="657" spans="1:26" ht="18.75" hidden="1">
      <c r="A657" s="563"/>
      <c r="B657" s="571"/>
      <c r="C657" s="723"/>
      <c r="D657" s="684"/>
      <c r="E657" s="723" t="s">
        <v>185</v>
      </c>
      <c r="F657" s="723"/>
      <c r="G657" s="567"/>
      <c r="H657" s="165" t="s">
        <v>12</v>
      </c>
      <c r="I657" s="583"/>
      <c r="J657" s="583"/>
      <c r="K657" s="93"/>
      <c r="L657" s="93">
        <f t="shared" ca="1" si="275"/>
        <v>0</v>
      </c>
      <c r="M657" s="93">
        <f t="shared" si="275"/>
        <v>0</v>
      </c>
      <c r="N657" s="93">
        <f t="shared" si="275"/>
        <v>0</v>
      </c>
      <c r="O657" s="93">
        <f t="shared" ca="1" si="273"/>
        <v>0</v>
      </c>
      <c r="P657" s="93">
        <f t="shared" si="274"/>
        <v>0</v>
      </c>
      <c r="Q657" s="568"/>
      <c r="R657" s="568"/>
      <c r="S657" s="568"/>
      <c r="T657" s="568"/>
      <c r="U657" s="568"/>
      <c r="V657" s="568"/>
      <c r="W657" s="568"/>
      <c r="X657" s="568"/>
      <c r="Y657" s="568"/>
      <c r="Z657" s="568"/>
    </row>
    <row r="658" spans="1:26" ht="18.75" hidden="1">
      <c r="A658" s="561"/>
      <c r="B658" s="538"/>
      <c r="C658" s="727"/>
      <c r="D658" s="570" t="s">
        <v>20</v>
      </c>
      <c r="E658" s="727"/>
      <c r="F658" s="727"/>
      <c r="G658" s="189"/>
      <c r="H658" s="161" t="s">
        <v>12</v>
      </c>
      <c r="I658" s="184"/>
      <c r="J658" s="184"/>
      <c r="K658" s="163"/>
      <c r="L658" s="465">
        <f t="shared" ref="L658:N658" ca="1" si="276">L659+L660</f>
        <v>0</v>
      </c>
      <c r="M658" s="465">
        <f t="shared" si="276"/>
        <v>0</v>
      </c>
      <c r="N658" s="465">
        <f t="shared" si="276"/>
        <v>0</v>
      </c>
      <c r="O658" s="465">
        <f t="shared" ca="1" si="273"/>
        <v>0</v>
      </c>
      <c r="P658" s="465">
        <f t="shared" si="274"/>
        <v>0</v>
      </c>
      <c r="Q658" s="541"/>
      <c r="R658" s="541"/>
      <c r="S658" s="541"/>
      <c r="T658" s="541"/>
      <c r="U658" s="541"/>
      <c r="V658" s="541"/>
      <c r="W658" s="541"/>
      <c r="X658" s="541"/>
      <c r="Y658" s="541"/>
      <c r="Z658" s="541"/>
    </row>
    <row r="659" spans="1:26" ht="18.75" hidden="1">
      <c r="A659" s="563"/>
      <c r="B659" s="571"/>
      <c r="C659" s="723"/>
      <c r="D659" s="684"/>
      <c r="E659" s="723" t="s">
        <v>184</v>
      </c>
      <c r="F659" s="723"/>
      <c r="G659" s="567"/>
      <c r="H659" s="165" t="s">
        <v>12</v>
      </c>
      <c r="I659" s="583"/>
      <c r="J659" s="583"/>
      <c r="K659" s="93"/>
      <c r="L659" s="93">
        <v>0</v>
      </c>
      <c r="M659" s="93">
        <v>0</v>
      </c>
      <c r="N659" s="93">
        <v>0</v>
      </c>
      <c r="O659" s="93">
        <f t="shared" si="273"/>
        <v>0</v>
      </c>
      <c r="P659" s="93">
        <f t="shared" si="274"/>
        <v>0</v>
      </c>
      <c r="Q659" s="568"/>
      <c r="R659" s="568"/>
      <c r="S659" s="568"/>
      <c r="T659" s="568"/>
      <c r="U659" s="568"/>
      <c r="V659" s="568"/>
      <c r="W659" s="568"/>
      <c r="X659" s="568"/>
      <c r="Y659" s="568"/>
      <c r="Z659" s="568"/>
    </row>
    <row r="660" spans="1:26" ht="18.75" hidden="1">
      <c r="A660" s="563"/>
      <c r="B660" s="571"/>
      <c r="C660" s="723"/>
      <c r="D660" s="684"/>
      <c r="E660" s="723" t="s">
        <v>185</v>
      </c>
      <c r="F660" s="723"/>
      <c r="G660" s="567"/>
      <c r="H660" s="165" t="s">
        <v>12</v>
      </c>
      <c r="I660" s="583"/>
      <c r="J660" s="583"/>
      <c r="K660" s="93"/>
      <c r="L660" s="93">
        <f ca="1">IFERROR(__xludf.DUMMYFUNCTION("IMPORTRANGE(""https://docs.google.com/spreadsheets/d/1QqKyyYR6Q21VydFLVH3TRQUabQu_ym0Zz7PgGX0-kHA/edit?usp=sharing"",""แผน!HV23"")"),0)</f>
        <v>0</v>
      </c>
      <c r="M660" s="93">
        <v>0</v>
      </c>
      <c r="N660" s="93">
        <f>N661+N662+N663+N664</f>
        <v>0</v>
      </c>
      <c r="O660" s="93">
        <f t="shared" ca="1" si="273"/>
        <v>0</v>
      </c>
      <c r="P660" s="93">
        <f t="shared" si="274"/>
        <v>0</v>
      </c>
      <c r="Q660" s="568"/>
      <c r="R660" s="568"/>
      <c r="S660" s="568"/>
      <c r="T660" s="568"/>
      <c r="U660" s="568"/>
      <c r="V660" s="568"/>
      <c r="W660" s="568"/>
      <c r="X660" s="568"/>
      <c r="Y660" s="568"/>
      <c r="Z660" s="568"/>
    </row>
    <row r="661" spans="1:26" ht="18.75" hidden="1">
      <c r="A661" s="537"/>
      <c r="B661" s="538"/>
      <c r="C661" s="727"/>
      <c r="D661" s="727"/>
      <c r="E661" s="727"/>
      <c r="F661" s="727" t="s">
        <v>186</v>
      </c>
      <c r="G661" s="189"/>
      <c r="H661" s="161" t="s">
        <v>12</v>
      </c>
      <c r="I661" s="269"/>
      <c r="J661" s="269"/>
      <c r="K661" s="465"/>
      <c r="L661" s="465"/>
      <c r="M661" s="465"/>
      <c r="N661" s="789">
        <v>0</v>
      </c>
      <c r="O661" s="465"/>
      <c r="P661" s="465"/>
      <c r="Q661" s="541"/>
      <c r="R661" s="541"/>
      <c r="S661" s="541"/>
      <c r="T661" s="541"/>
      <c r="U661" s="541"/>
      <c r="V661" s="541"/>
      <c r="W661" s="541"/>
      <c r="X661" s="541"/>
      <c r="Y661" s="541"/>
      <c r="Z661" s="541"/>
    </row>
    <row r="662" spans="1:26" ht="18.75" hidden="1">
      <c r="A662" s="537"/>
      <c r="B662" s="538"/>
      <c r="C662" s="727"/>
      <c r="D662" s="727"/>
      <c r="E662" s="727"/>
      <c r="F662" s="727" t="s">
        <v>187</v>
      </c>
      <c r="G662" s="189"/>
      <c r="H662" s="161" t="s">
        <v>12</v>
      </c>
      <c r="I662" s="269"/>
      <c r="J662" s="269"/>
      <c r="K662" s="465"/>
      <c r="L662" s="465"/>
      <c r="M662" s="465"/>
      <c r="N662" s="789">
        <v>0</v>
      </c>
      <c r="O662" s="465"/>
      <c r="P662" s="465"/>
      <c r="Q662" s="541"/>
      <c r="R662" s="541"/>
      <c r="S662" s="541"/>
      <c r="T662" s="541"/>
      <c r="U662" s="541"/>
      <c r="V662" s="541"/>
      <c r="W662" s="541"/>
      <c r="X662" s="541"/>
      <c r="Y662" s="541"/>
      <c r="Z662" s="541"/>
    </row>
    <row r="663" spans="1:26" ht="18.75" hidden="1">
      <c r="A663" s="537"/>
      <c r="B663" s="538"/>
      <c r="C663" s="538"/>
      <c r="D663" s="727"/>
      <c r="E663" s="727"/>
      <c r="F663" s="727" t="s">
        <v>188</v>
      </c>
      <c r="G663" s="189"/>
      <c r="H663" s="161" t="s">
        <v>12</v>
      </c>
      <c r="I663" s="269"/>
      <c r="J663" s="269"/>
      <c r="K663" s="465"/>
      <c r="L663" s="465"/>
      <c r="M663" s="465"/>
      <c r="N663" s="789">
        <v>0</v>
      </c>
      <c r="O663" s="465"/>
      <c r="P663" s="465"/>
      <c r="Q663" s="541"/>
      <c r="R663" s="541"/>
      <c r="S663" s="541"/>
      <c r="T663" s="541"/>
      <c r="U663" s="541"/>
      <c r="V663" s="541"/>
      <c r="W663" s="541"/>
      <c r="X663" s="541"/>
      <c r="Y663" s="541"/>
      <c r="Z663" s="541"/>
    </row>
    <row r="664" spans="1:26" ht="18.75" hidden="1">
      <c r="A664" s="537"/>
      <c r="B664" s="538"/>
      <c r="C664" s="538"/>
      <c r="D664" s="538"/>
      <c r="E664" s="727"/>
      <c r="F664" s="727" t="s">
        <v>189</v>
      </c>
      <c r="G664" s="189"/>
      <c r="H664" s="161" t="s">
        <v>12</v>
      </c>
      <c r="I664" s="269"/>
      <c r="J664" s="269"/>
      <c r="K664" s="465"/>
      <c r="L664" s="465"/>
      <c r="M664" s="465"/>
      <c r="N664" s="789">
        <v>0</v>
      </c>
      <c r="O664" s="465"/>
      <c r="P664" s="465"/>
      <c r="Q664" s="541"/>
      <c r="R664" s="541"/>
      <c r="S664" s="541"/>
      <c r="T664" s="541"/>
      <c r="U664" s="541"/>
      <c r="V664" s="541"/>
      <c r="W664" s="541"/>
      <c r="X664" s="541"/>
      <c r="Y664" s="541"/>
      <c r="Z664" s="541"/>
    </row>
    <row r="665" spans="1:26" ht="18.75" hidden="1">
      <c r="A665" s="561"/>
      <c r="B665" s="538"/>
      <c r="C665" s="538"/>
      <c r="D665" s="570" t="s">
        <v>21</v>
      </c>
      <c r="E665" s="727"/>
      <c r="F665" s="727"/>
      <c r="G665" s="189"/>
      <c r="H665" s="168" t="s">
        <v>12</v>
      </c>
      <c r="I665" s="184"/>
      <c r="J665" s="184"/>
      <c r="K665" s="163"/>
      <c r="L665" s="465">
        <f t="shared" ref="L665:N665" si="277">L666+L667</f>
        <v>0</v>
      </c>
      <c r="M665" s="465">
        <f t="shared" si="277"/>
        <v>0</v>
      </c>
      <c r="N665" s="465">
        <f t="shared" si="277"/>
        <v>0</v>
      </c>
      <c r="O665" s="465">
        <f t="shared" ref="O665:O667" si="278">IF(L665&gt;0,N665*100/L665,0)</f>
        <v>0</v>
      </c>
      <c r="P665" s="465">
        <f t="shared" ref="P665:P667" si="279">IF(M665&gt;0,N665*100/M665,0)</f>
        <v>0</v>
      </c>
      <c r="Q665" s="541"/>
      <c r="R665" s="541"/>
      <c r="S665" s="541"/>
      <c r="T665" s="541"/>
      <c r="U665" s="541"/>
      <c r="V665" s="541"/>
      <c r="W665" s="541"/>
      <c r="X665" s="541"/>
      <c r="Y665" s="541"/>
      <c r="Z665" s="541"/>
    </row>
    <row r="666" spans="1:26" ht="18.75" hidden="1">
      <c r="A666" s="563"/>
      <c r="B666" s="571"/>
      <c r="C666" s="571"/>
      <c r="D666" s="571"/>
      <c r="E666" s="723" t="s">
        <v>18</v>
      </c>
      <c r="F666" s="723"/>
      <c r="G666" s="567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8"/>
        <v>0</v>
      </c>
      <c r="P666" s="93">
        <f t="shared" si="279"/>
        <v>0</v>
      </c>
      <c r="Q666" s="568"/>
      <c r="R666" s="568"/>
      <c r="S666" s="568"/>
      <c r="T666" s="568"/>
      <c r="U666" s="568"/>
      <c r="V666" s="568"/>
      <c r="W666" s="568"/>
      <c r="X666" s="568"/>
      <c r="Y666" s="568"/>
      <c r="Z666" s="568"/>
    </row>
    <row r="667" spans="1:26" ht="18.75" hidden="1">
      <c r="A667" s="563"/>
      <c r="B667" s="571"/>
      <c r="C667" s="571"/>
      <c r="D667" s="571"/>
      <c r="E667" s="723" t="s">
        <v>19</v>
      </c>
      <c r="F667" s="723"/>
      <c r="G667" s="567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8"/>
        <v>0</v>
      </c>
      <c r="P667" s="93">
        <f t="shared" si="279"/>
        <v>0</v>
      </c>
      <c r="Q667" s="568"/>
      <c r="R667" s="568"/>
      <c r="S667" s="568"/>
      <c r="T667" s="568"/>
      <c r="U667" s="568"/>
      <c r="V667" s="568"/>
      <c r="W667" s="568"/>
      <c r="X667" s="568"/>
      <c r="Y667" s="568"/>
      <c r="Z667" s="568"/>
    </row>
    <row r="668" spans="1:26" ht="19.5" hidden="1">
      <c r="A668" s="572"/>
      <c r="B668" s="584"/>
      <c r="C668" s="538" t="s">
        <v>16</v>
      </c>
      <c r="D668" s="850" t="s">
        <v>38</v>
      </c>
      <c r="E668" s="725"/>
      <c r="F668" s="725"/>
      <c r="G668" s="577"/>
      <c r="H668" s="726"/>
      <c r="I668" s="184"/>
      <c r="J668" s="184"/>
      <c r="K668" s="163"/>
      <c r="L668" s="163"/>
      <c r="M668" s="163"/>
      <c r="N668" s="163"/>
      <c r="O668" s="163"/>
      <c r="P668" s="163"/>
      <c r="Q668" s="541"/>
      <c r="R668" s="541"/>
      <c r="S668" s="541"/>
      <c r="T668" s="541"/>
      <c r="U668" s="541"/>
      <c r="V668" s="541"/>
      <c r="W668" s="541"/>
      <c r="X668" s="541"/>
      <c r="Y668" s="541"/>
      <c r="Z668" s="541"/>
    </row>
    <row r="669" spans="1:26" ht="19.5" hidden="1">
      <c r="A669" s="572"/>
      <c r="B669" s="584"/>
      <c r="C669" s="584"/>
      <c r="D669" s="584" t="s">
        <v>280</v>
      </c>
      <c r="E669" s="592"/>
      <c r="F669" s="592"/>
      <c r="G669" s="726"/>
      <c r="H669" s="731" t="s">
        <v>46</v>
      </c>
      <c r="I669" s="647">
        <f ca="1">IFERROR(__xludf.DUMMYFUNCTION("IMPORTRANGE(""https://docs.google.com/spreadsheets/d/1QqKyyYR6Q21VydFLVH3TRQUabQu_ym0Zz7PgGX0-kHA/edit?usp=sharing"",""แผน!IA23"")"),0)</f>
        <v>0</v>
      </c>
      <c r="J669" s="647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41"/>
      <c r="R669" s="541"/>
      <c r="S669" s="541"/>
      <c r="T669" s="541"/>
      <c r="U669" s="541"/>
      <c r="V669" s="541"/>
      <c r="W669" s="541"/>
      <c r="X669" s="541"/>
      <c r="Y669" s="541"/>
      <c r="Z669" s="541"/>
    </row>
    <row r="670" spans="1:26" ht="18.75" hidden="1">
      <c r="A670" s="572"/>
      <c r="B670" s="584"/>
      <c r="C670" s="584"/>
      <c r="D670" s="584"/>
      <c r="E670" s="592" t="s">
        <v>281</v>
      </c>
      <c r="F670" s="592"/>
      <c r="G670" s="726"/>
      <c r="H670" s="728" t="s">
        <v>69</v>
      </c>
      <c r="I670" s="269">
        <f ca="1">IFERROR(__xludf.DUMMYFUNCTION("IMPORTRANGE(""https://docs.google.com/spreadsheets/d/1QqKyyYR6Q21VydFLVH3TRQUabQu_ym0Zz7PgGX0-kHA/edit?usp=sharing"",""แผน!HZ23"")"),0)</f>
        <v>0</v>
      </c>
      <c r="J670" s="214">
        <v>0</v>
      </c>
      <c r="K670" s="465">
        <f ca="1">IF(I670&gt;0,(J670*100)/I670,0)</f>
        <v>0</v>
      </c>
      <c r="L670" s="163"/>
      <c r="M670" s="163"/>
      <c r="N670" s="163"/>
      <c r="O670" s="163"/>
      <c r="P670" s="163"/>
      <c r="Q670" s="541"/>
      <c r="R670" s="541"/>
      <c r="S670" s="541"/>
      <c r="T670" s="541"/>
      <c r="U670" s="541"/>
      <c r="V670" s="541"/>
      <c r="W670" s="541"/>
      <c r="X670" s="541"/>
      <c r="Y670" s="541"/>
      <c r="Z670" s="541"/>
    </row>
    <row r="671" spans="1:26" ht="18.75" hidden="1">
      <c r="A671" s="572"/>
      <c r="B671" s="584"/>
      <c r="C671" s="584"/>
      <c r="D671" s="584"/>
      <c r="E671" s="592" t="s">
        <v>282</v>
      </c>
      <c r="F671" s="592"/>
      <c r="G671" s="726"/>
      <c r="H671" s="728" t="s">
        <v>69</v>
      </c>
      <c r="I671" s="269">
        <f ca="1">IFERROR(__xludf.DUMMYFUNCTION("IMPORTRANGE(""https://docs.google.com/spreadsheets/d/1QqKyyYR6Q21VydFLVH3TRQUabQu_ym0Zz7PgGX0-kHA/edit?usp=sharing"",""แผน!HZ23"")"),0)</f>
        <v>0</v>
      </c>
      <c r="J671" s="214">
        <v>0</v>
      </c>
      <c r="K671" s="465">
        <f ca="1">IF(I$671&gt;0,J671*100/I$671,0)</f>
        <v>0</v>
      </c>
      <c r="L671" s="163"/>
      <c r="M671" s="163"/>
      <c r="N671" s="163"/>
      <c r="O671" s="163"/>
      <c r="P671" s="163"/>
      <c r="Q671" s="541"/>
      <c r="R671" s="541"/>
      <c r="S671" s="541"/>
      <c r="T671" s="541"/>
      <c r="U671" s="541"/>
      <c r="V671" s="541"/>
      <c r="W671" s="541"/>
      <c r="X671" s="541"/>
      <c r="Y671" s="541"/>
      <c r="Z671" s="541"/>
    </row>
    <row r="672" spans="1:26" ht="18.75" hidden="1">
      <c r="A672" s="572"/>
      <c r="B672" s="584"/>
      <c r="C672" s="584"/>
      <c r="D672" s="584"/>
      <c r="E672" s="592" t="s">
        <v>283</v>
      </c>
      <c r="F672" s="592"/>
      <c r="G672" s="726"/>
      <c r="H672" s="728" t="s">
        <v>46</v>
      </c>
      <c r="I672" s="269"/>
      <c r="J672" s="214">
        <v>0</v>
      </c>
      <c r="K672" s="465">
        <f t="shared" ref="K672:K675" ca="1" si="280">IF(I$669&gt;0,J672*100/I$669,0)</f>
        <v>0</v>
      </c>
      <c r="L672" s="163"/>
      <c r="M672" s="163"/>
      <c r="N672" s="163"/>
      <c r="O672" s="163"/>
      <c r="P672" s="163"/>
      <c r="Q672" s="541"/>
      <c r="R672" s="541"/>
      <c r="S672" s="541"/>
      <c r="T672" s="541"/>
      <c r="U672" s="541"/>
      <c r="V672" s="541"/>
      <c r="W672" s="541"/>
      <c r="X672" s="541"/>
      <c r="Y672" s="541"/>
      <c r="Z672" s="541"/>
    </row>
    <row r="673" spans="1:26" ht="18.75" hidden="1">
      <c r="A673" s="572"/>
      <c r="B673" s="584"/>
      <c r="C673" s="584"/>
      <c r="D673" s="584"/>
      <c r="E673" s="592" t="s">
        <v>284</v>
      </c>
      <c r="F673" s="592"/>
      <c r="G673" s="726"/>
      <c r="H673" s="728" t="s">
        <v>46</v>
      </c>
      <c r="I673" s="269"/>
      <c r="J673" s="214">
        <v>0</v>
      </c>
      <c r="K673" s="465">
        <f t="shared" ca="1" si="280"/>
        <v>0</v>
      </c>
      <c r="L673" s="163"/>
      <c r="M673" s="163"/>
      <c r="N673" s="163"/>
      <c r="O673" s="163"/>
      <c r="P673" s="163"/>
      <c r="Q673" s="541"/>
      <c r="R673" s="541"/>
      <c r="S673" s="541"/>
      <c r="T673" s="541"/>
      <c r="U673" s="541"/>
      <c r="V673" s="541"/>
      <c r="W673" s="541"/>
      <c r="X673" s="541"/>
      <c r="Y673" s="541"/>
      <c r="Z673" s="541"/>
    </row>
    <row r="674" spans="1:26" ht="18.75" hidden="1">
      <c r="A674" s="572"/>
      <c r="B674" s="584"/>
      <c r="C674" s="584"/>
      <c r="D674" s="584"/>
      <c r="E674" s="592" t="s">
        <v>285</v>
      </c>
      <c r="F674" s="592"/>
      <c r="G674" s="726"/>
      <c r="H674" s="728" t="s">
        <v>46</v>
      </c>
      <c r="I674" s="269"/>
      <c r="J674" s="214">
        <v>0</v>
      </c>
      <c r="K674" s="465">
        <f t="shared" ca="1" si="280"/>
        <v>0</v>
      </c>
      <c r="L674" s="163"/>
      <c r="M674" s="163"/>
      <c r="N674" s="163"/>
      <c r="O674" s="163"/>
      <c r="P674" s="163"/>
      <c r="Q674" s="541"/>
      <c r="R674" s="541"/>
      <c r="S674" s="541"/>
      <c r="T674" s="541"/>
      <c r="U674" s="541"/>
      <c r="V674" s="541"/>
      <c r="W674" s="541"/>
      <c r="X674" s="541"/>
      <c r="Y674" s="541"/>
      <c r="Z674" s="541"/>
    </row>
    <row r="675" spans="1:26" ht="19.5" hidden="1">
      <c r="A675" s="572"/>
      <c r="B675" s="584"/>
      <c r="C675" s="584"/>
      <c r="D675" s="584"/>
      <c r="E675" s="592" t="s">
        <v>286</v>
      </c>
      <c r="F675" s="592"/>
      <c r="G675" s="726"/>
      <c r="H675" s="728" t="s">
        <v>46</v>
      </c>
      <c r="I675" s="269"/>
      <c r="J675" s="647">
        <f>J676+J677</f>
        <v>0</v>
      </c>
      <c r="K675" s="195">
        <f t="shared" ca="1" si="280"/>
        <v>0</v>
      </c>
      <c r="L675" s="163"/>
      <c r="M675" s="163"/>
      <c r="N675" s="163"/>
      <c r="O675" s="163"/>
      <c r="P675" s="163"/>
      <c r="Q675" s="541"/>
      <c r="R675" s="541"/>
      <c r="S675" s="541"/>
      <c r="T675" s="541"/>
      <c r="U675" s="541"/>
      <c r="V675" s="541"/>
      <c r="W675" s="541"/>
      <c r="X675" s="541"/>
      <c r="Y675" s="541"/>
      <c r="Z675" s="541"/>
    </row>
    <row r="676" spans="1:26" ht="18.75" hidden="1">
      <c r="A676" s="572"/>
      <c r="B676" s="584"/>
      <c r="C676" s="584"/>
      <c r="D676" s="584"/>
      <c r="E676" s="592"/>
      <c r="F676" s="592" t="s">
        <v>287</v>
      </c>
      <c r="G676" s="726"/>
      <c r="H676" s="728" t="s">
        <v>46</v>
      </c>
      <c r="I676" s="269"/>
      <c r="J676" s="214">
        <v>0</v>
      </c>
      <c r="K676" s="465"/>
      <c r="L676" s="163"/>
      <c r="M676" s="163"/>
      <c r="N676" s="163"/>
      <c r="O676" s="163"/>
      <c r="P676" s="163"/>
      <c r="Q676" s="541"/>
      <c r="R676" s="541"/>
      <c r="S676" s="541"/>
      <c r="T676" s="541"/>
      <c r="U676" s="541"/>
      <c r="V676" s="541"/>
      <c r="W676" s="541"/>
      <c r="X676" s="541"/>
      <c r="Y676" s="541"/>
      <c r="Z676" s="541"/>
    </row>
    <row r="677" spans="1:26" ht="18.75" hidden="1">
      <c r="A677" s="572"/>
      <c r="B677" s="584"/>
      <c r="C677" s="584"/>
      <c r="D677" s="584"/>
      <c r="E677" s="592"/>
      <c r="F677" s="592" t="s">
        <v>288</v>
      </c>
      <c r="G677" s="726"/>
      <c r="H677" s="728" t="s">
        <v>46</v>
      </c>
      <c r="I677" s="269"/>
      <c r="J677" s="214">
        <v>0</v>
      </c>
      <c r="K677" s="465"/>
      <c r="L677" s="163"/>
      <c r="M677" s="163"/>
      <c r="N677" s="163"/>
      <c r="O677" s="163"/>
      <c r="P677" s="163"/>
      <c r="Q677" s="541"/>
      <c r="R677" s="541"/>
      <c r="S677" s="541"/>
      <c r="T677" s="541"/>
      <c r="U677" s="541"/>
      <c r="V677" s="541"/>
      <c r="W677" s="541"/>
      <c r="X677" s="541"/>
      <c r="Y677" s="541"/>
      <c r="Z677" s="541"/>
    </row>
    <row r="678" spans="1:26" ht="19.5" hidden="1">
      <c r="A678" s="572"/>
      <c r="B678" s="584"/>
      <c r="C678" s="584"/>
      <c r="D678" s="584" t="s">
        <v>289</v>
      </c>
      <c r="E678" s="592"/>
      <c r="F678" s="592"/>
      <c r="G678" s="726"/>
      <c r="H678" s="728" t="s">
        <v>46</v>
      </c>
      <c r="I678" s="647">
        <f ca="1">IFERROR(__xludf.DUMMYFUNCTION("IMPORTRANGE(""https://docs.google.com/spreadsheets/d/1QqKyyYR6Q21VydFLVH3TRQUabQu_ym0Zz7PgGX0-kHA/edit?usp=sharing"",""แผน!IB23"")"),0)</f>
        <v>0</v>
      </c>
      <c r="J678" s="647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41"/>
      <c r="R678" s="541"/>
      <c r="S678" s="541"/>
      <c r="T678" s="541"/>
      <c r="U678" s="541"/>
      <c r="V678" s="541"/>
      <c r="W678" s="541"/>
      <c r="X678" s="541"/>
      <c r="Y678" s="541"/>
      <c r="Z678" s="541"/>
    </row>
    <row r="679" spans="1:26" ht="18.75" hidden="1">
      <c r="A679" s="572"/>
      <c r="B679" s="584"/>
      <c r="C679" s="584"/>
      <c r="D679" s="584"/>
      <c r="E679" s="592" t="s">
        <v>290</v>
      </c>
      <c r="F679" s="592"/>
      <c r="G679" s="726"/>
      <c r="H679" s="728" t="s">
        <v>46</v>
      </c>
      <c r="I679" s="269"/>
      <c r="J679" s="269">
        <f>J680+J681</f>
        <v>0</v>
      </c>
      <c r="K679" s="465"/>
      <c r="L679" s="163"/>
      <c r="M679" s="163"/>
      <c r="N679" s="163"/>
      <c r="O679" s="163"/>
      <c r="P679" s="163"/>
      <c r="Q679" s="541"/>
      <c r="R679" s="541"/>
      <c r="S679" s="541"/>
      <c r="T679" s="541"/>
      <c r="U679" s="541"/>
      <c r="V679" s="541"/>
      <c r="W679" s="541"/>
      <c r="X679" s="541"/>
      <c r="Y679" s="541"/>
      <c r="Z679" s="541"/>
    </row>
    <row r="680" spans="1:26" ht="18.75" hidden="1">
      <c r="A680" s="572"/>
      <c r="B680" s="584"/>
      <c r="C680" s="584"/>
      <c r="D680" s="584"/>
      <c r="E680" s="592"/>
      <c r="F680" s="592" t="s">
        <v>287</v>
      </c>
      <c r="G680" s="726"/>
      <c r="H680" s="728" t="s">
        <v>46</v>
      </c>
      <c r="I680" s="269"/>
      <c r="J680" s="214">
        <v>0</v>
      </c>
      <c r="K680" s="465"/>
      <c r="L680" s="163"/>
      <c r="M680" s="163"/>
      <c r="N680" s="163"/>
      <c r="O680" s="163"/>
      <c r="P680" s="163"/>
      <c r="Q680" s="541"/>
      <c r="R680" s="541"/>
      <c r="S680" s="541"/>
      <c r="T680" s="541"/>
      <c r="U680" s="541"/>
      <c r="V680" s="541"/>
      <c r="W680" s="541"/>
      <c r="X680" s="541"/>
      <c r="Y680" s="541"/>
      <c r="Z680" s="541"/>
    </row>
    <row r="681" spans="1:26" ht="18.75" hidden="1">
      <c r="A681" s="572"/>
      <c r="B681" s="584"/>
      <c r="C681" s="584"/>
      <c r="D681" s="584"/>
      <c r="E681" s="592"/>
      <c r="F681" s="592" t="s">
        <v>288</v>
      </c>
      <c r="G681" s="726"/>
      <c r="H681" s="728" t="s">
        <v>46</v>
      </c>
      <c r="I681" s="269"/>
      <c r="J681" s="214">
        <v>0</v>
      </c>
      <c r="K681" s="465"/>
      <c r="L681" s="163"/>
      <c r="M681" s="163"/>
      <c r="N681" s="163"/>
      <c r="O681" s="163"/>
      <c r="P681" s="163"/>
      <c r="Q681" s="541"/>
      <c r="R681" s="541"/>
      <c r="S681" s="541"/>
      <c r="T681" s="541"/>
      <c r="U681" s="541"/>
      <c r="V681" s="541"/>
      <c r="W681" s="541"/>
      <c r="X681" s="541"/>
      <c r="Y681" s="541"/>
      <c r="Z681" s="541"/>
    </row>
    <row r="682" spans="1:26" ht="18.75" hidden="1">
      <c r="A682" s="572"/>
      <c r="B682" s="584"/>
      <c r="C682" s="584"/>
      <c r="D682" s="584"/>
      <c r="E682" s="592" t="s">
        <v>291</v>
      </c>
      <c r="F682" s="592"/>
      <c r="G682" s="726"/>
      <c r="H682" s="728" t="s">
        <v>46</v>
      </c>
      <c r="I682" s="269"/>
      <c r="J682" s="214">
        <v>0</v>
      </c>
      <c r="K682" s="465"/>
      <c r="L682" s="163"/>
      <c r="M682" s="163"/>
      <c r="N682" s="163"/>
      <c r="O682" s="163"/>
      <c r="P682" s="163"/>
      <c r="Q682" s="541"/>
      <c r="R682" s="541"/>
      <c r="S682" s="541"/>
      <c r="T682" s="541"/>
      <c r="U682" s="541"/>
      <c r="V682" s="541"/>
      <c r="W682" s="541"/>
      <c r="X682" s="541"/>
      <c r="Y682" s="541"/>
      <c r="Z682" s="541"/>
    </row>
    <row r="683" spans="1:26" ht="18.75" hidden="1">
      <c r="A683" s="572"/>
      <c r="B683" s="584"/>
      <c r="C683" s="584"/>
      <c r="D683" s="584"/>
      <c r="E683" s="592"/>
      <c r="F683" s="592" t="s">
        <v>292</v>
      </c>
      <c r="G683" s="726"/>
      <c r="H683" s="728" t="s">
        <v>46</v>
      </c>
      <c r="I683" s="269"/>
      <c r="J683" s="214">
        <v>0</v>
      </c>
      <c r="K683" s="465"/>
      <c r="L683" s="163"/>
      <c r="M683" s="163"/>
      <c r="N683" s="163"/>
      <c r="O683" s="163"/>
      <c r="P683" s="163"/>
      <c r="Q683" s="541"/>
      <c r="R683" s="541"/>
      <c r="S683" s="541"/>
      <c r="T683" s="541"/>
      <c r="U683" s="541"/>
      <c r="V683" s="541"/>
      <c r="W683" s="541"/>
      <c r="X683" s="541"/>
      <c r="Y683" s="541"/>
      <c r="Z683" s="541"/>
    </row>
    <row r="684" spans="1:26" ht="19.5">
      <c r="A684" s="717"/>
      <c r="B684" s="718" t="s">
        <v>293</v>
      </c>
      <c r="C684" s="717"/>
      <c r="D684" s="717"/>
      <c r="E684" s="717"/>
      <c r="F684" s="717"/>
      <c r="G684" s="719"/>
      <c r="H684" s="719"/>
      <c r="I684" s="720"/>
      <c r="J684" s="720"/>
      <c r="K684" s="721"/>
      <c r="L684" s="721"/>
      <c r="M684" s="721"/>
      <c r="N684" s="721"/>
      <c r="O684" s="721"/>
      <c r="P684" s="721"/>
      <c r="Q684" s="541"/>
      <c r="R684" s="541"/>
      <c r="S684" s="541"/>
      <c r="T684" s="541"/>
      <c r="U684" s="541"/>
      <c r="V684" s="541"/>
      <c r="W684" s="541"/>
      <c r="X684" s="541"/>
      <c r="Y684" s="541"/>
      <c r="Z684" s="541"/>
    </row>
    <row r="685" spans="1:26" ht="19.5">
      <c r="A685" s="561"/>
      <c r="B685" s="727"/>
      <c r="C685" s="727" t="s">
        <v>16</v>
      </c>
      <c r="D685" s="811" t="s">
        <v>17</v>
      </c>
      <c r="E685" s="805"/>
      <c r="F685" s="805"/>
      <c r="G685" s="189"/>
      <c r="H685" s="562" t="s">
        <v>12</v>
      </c>
      <c r="I685" s="269"/>
      <c r="J685" s="269"/>
      <c r="K685" s="465"/>
      <c r="L685" s="195">
        <f t="shared" ref="L685:N685" ca="1" si="281">L686+L687</f>
        <v>14880</v>
      </c>
      <c r="M685" s="195">
        <f t="shared" si="281"/>
        <v>0</v>
      </c>
      <c r="N685" s="195">
        <f t="shared" si="281"/>
        <v>0</v>
      </c>
      <c r="O685" s="195">
        <f t="shared" ref="O685:O688" ca="1" si="282">IF(L685&gt;0,N685*100/L685,0)</f>
        <v>0</v>
      </c>
      <c r="P685" s="195">
        <f t="shared" ref="P685:P688" si="283">IF(M685&gt;0,N685*100/M685,0)</f>
        <v>0</v>
      </c>
      <c r="Q685" s="541"/>
      <c r="R685" s="541"/>
      <c r="S685" s="541"/>
      <c r="T685" s="541"/>
      <c r="U685" s="541"/>
      <c r="V685" s="541"/>
      <c r="W685" s="541"/>
      <c r="X685" s="541"/>
      <c r="Y685" s="541"/>
      <c r="Z685" s="541"/>
    </row>
    <row r="686" spans="1:26" ht="18.75" hidden="1">
      <c r="A686" s="563"/>
      <c r="B686" s="723"/>
      <c r="C686" s="723"/>
      <c r="D686" s="684"/>
      <c r="E686" s="723" t="s">
        <v>184</v>
      </c>
      <c r="F686" s="723"/>
      <c r="G686" s="567"/>
      <c r="H686" s="165" t="s">
        <v>12</v>
      </c>
      <c r="I686" s="583"/>
      <c r="J686" s="583"/>
      <c r="K686" s="93"/>
      <c r="L686" s="93">
        <f t="shared" ref="L686:N687" si="284">L689+L696</f>
        <v>0</v>
      </c>
      <c r="M686" s="93">
        <f t="shared" si="284"/>
        <v>0</v>
      </c>
      <c r="N686" s="93">
        <f t="shared" si="284"/>
        <v>0</v>
      </c>
      <c r="O686" s="93">
        <f t="shared" si="282"/>
        <v>0</v>
      </c>
      <c r="P686" s="93">
        <f t="shared" si="283"/>
        <v>0</v>
      </c>
      <c r="Q686" s="568"/>
      <c r="R686" s="568"/>
      <c r="S686" s="568"/>
      <c r="T686" s="568"/>
      <c r="U686" s="568"/>
      <c r="V686" s="568"/>
      <c r="W686" s="568"/>
      <c r="X686" s="568"/>
      <c r="Y686" s="568"/>
      <c r="Z686" s="568"/>
    </row>
    <row r="687" spans="1:26" ht="18.75" hidden="1">
      <c r="A687" s="563"/>
      <c r="B687" s="571"/>
      <c r="C687" s="723"/>
      <c r="D687" s="684"/>
      <c r="E687" s="723" t="s">
        <v>185</v>
      </c>
      <c r="F687" s="723"/>
      <c r="G687" s="567"/>
      <c r="H687" s="165" t="s">
        <v>12</v>
      </c>
      <c r="I687" s="583"/>
      <c r="J687" s="583"/>
      <c r="K687" s="93"/>
      <c r="L687" s="93">
        <f t="shared" ca="1" si="284"/>
        <v>14880</v>
      </c>
      <c r="M687" s="93">
        <f t="shared" si="284"/>
        <v>0</v>
      </c>
      <c r="N687" s="93">
        <f t="shared" si="284"/>
        <v>0</v>
      </c>
      <c r="O687" s="93">
        <f t="shared" ca="1" si="282"/>
        <v>0</v>
      </c>
      <c r="P687" s="93">
        <f t="shared" si="283"/>
        <v>0</v>
      </c>
      <c r="Q687" s="568"/>
      <c r="R687" s="568"/>
      <c r="S687" s="568"/>
      <c r="T687" s="568"/>
      <c r="U687" s="568"/>
      <c r="V687" s="568"/>
      <c r="W687" s="568"/>
      <c r="X687" s="568"/>
      <c r="Y687" s="568"/>
      <c r="Z687" s="568"/>
    </row>
    <row r="688" spans="1:26" ht="18.75">
      <c r="A688" s="561"/>
      <c r="B688" s="538"/>
      <c r="C688" s="727"/>
      <c r="D688" s="570" t="s">
        <v>20</v>
      </c>
      <c r="E688" s="727"/>
      <c r="F688" s="727"/>
      <c r="G688" s="189"/>
      <c r="H688" s="161" t="s">
        <v>12</v>
      </c>
      <c r="I688" s="184"/>
      <c r="J688" s="184"/>
      <c r="K688" s="163"/>
      <c r="L688" s="465">
        <f t="shared" ref="L688:N688" ca="1" si="285">L689+L690</f>
        <v>14880</v>
      </c>
      <c r="M688" s="465">
        <f t="shared" si="285"/>
        <v>0</v>
      </c>
      <c r="N688" s="465">
        <f t="shared" si="285"/>
        <v>0</v>
      </c>
      <c r="O688" s="465">
        <f t="shared" ca="1" si="282"/>
        <v>0</v>
      </c>
      <c r="P688" s="465">
        <f t="shared" si="283"/>
        <v>0</v>
      </c>
      <c r="Q688" s="541"/>
      <c r="R688" s="541"/>
      <c r="S688" s="541"/>
      <c r="T688" s="541"/>
      <c r="U688" s="541"/>
      <c r="V688" s="541"/>
      <c r="W688" s="541"/>
      <c r="X688" s="541"/>
      <c r="Y688" s="541"/>
      <c r="Z688" s="541"/>
    </row>
    <row r="689" spans="1:26" ht="18.75" hidden="1">
      <c r="A689" s="563"/>
      <c r="B689" s="571"/>
      <c r="C689" s="723"/>
      <c r="D689" s="684"/>
      <c r="E689" s="723" t="s">
        <v>184</v>
      </c>
      <c r="F689" s="723"/>
      <c r="G689" s="567"/>
      <c r="H689" s="165" t="s">
        <v>12</v>
      </c>
      <c r="I689" s="583"/>
      <c r="J689" s="583"/>
      <c r="K689" s="93"/>
      <c r="L689" s="93">
        <v>0</v>
      </c>
      <c r="M689" s="93">
        <v>0</v>
      </c>
      <c r="N689" s="93">
        <v>0</v>
      </c>
      <c r="O689" s="93"/>
      <c r="P689" s="93"/>
      <c r="Q689" s="568"/>
      <c r="R689" s="568"/>
      <c r="S689" s="568"/>
      <c r="T689" s="568"/>
      <c r="U689" s="568"/>
      <c r="V689" s="568"/>
      <c r="W689" s="568"/>
      <c r="X689" s="568"/>
      <c r="Y689" s="568"/>
      <c r="Z689" s="568"/>
    </row>
    <row r="690" spans="1:26" ht="18.75" hidden="1">
      <c r="A690" s="563"/>
      <c r="B690" s="571"/>
      <c r="C690" s="723"/>
      <c r="D690" s="684"/>
      <c r="E690" s="723" t="s">
        <v>185</v>
      </c>
      <c r="F690" s="723"/>
      <c r="G690" s="567"/>
      <c r="H690" s="165" t="s">
        <v>12</v>
      </c>
      <c r="I690" s="583"/>
      <c r="J690" s="583"/>
      <c r="K690" s="93"/>
      <c r="L690" s="93">
        <f ca="1">IFERROR(__xludf.DUMMYFUNCTION("IMPORTRANGE(""https://docs.google.com/spreadsheets/d/1QqKyyYR6Q21VydFLVH3TRQUabQu_ym0Zz7PgGX0-kHA/edit?usp=sharing"",""แผน!HW23"")"),14880)</f>
        <v>14880</v>
      </c>
      <c r="M690" s="93">
        <v>0</v>
      </c>
      <c r="N690" s="93">
        <f>N691+N692+N693+N694</f>
        <v>0</v>
      </c>
      <c r="O690" s="93">
        <f ca="1">IF(L690&gt;0,N690*100/L690,0)</f>
        <v>0</v>
      </c>
      <c r="P690" s="93">
        <f>IF(M690&gt;0,N690*100/M690,0)</f>
        <v>0</v>
      </c>
      <c r="Q690" s="568"/>
      <c r="R690" s="568"/>
      <c r="S690" s="568"/>
      <c r="T690" s="568"/>
      <c r="U690" s="568"/>
      <c r="V690" s="568"/>
      <c r="W690" s="568"/>
      <c r="X690" s="568"/>
      <c r="Y690" s="568"/>
      <c r="Z690" s="568"/>
    </row>
    <row r="691" spans="1:26" ht="18.75">
      <c r="A691" s="537"/>
      <c r="B691" s="538"/>
      <c r="C691" s="727"/>
      <c r="D691" s="727"/>
      <c r="E691" s="727"/>
      <c r="F691" s="727" t="s">
        <v>186</v>
      </c>
      <c r="G691" s="189"/>
      <c r="H691" s="161" t="s">
        <v>12</v>
      </c>
      <c r="I691" s="269"/>
      <c r="J691" s="269"/>
      <c r="K691" s="465"/>
      <c r="L691" s="465"/>
      <c r="M691" s="465"/>
      <c r="N691" s="789">
        <v>0</v>
      </c>
      <c r="O691" s="465"/>
      <c r="P691" s="465"/>
      <c r="Q691" s="541"/>
      <c r="R691" s="541"/>
      <c r="S691" s="541"/>
      <c r="T691" s="541"/>
      <c r="U691" s="541"/>
      <c r="V691" s="541"/>
      <c r="W691" s="541"/>
      <c r="X691" s="541"/>
      <c r="Y691" s="541"/>
      <c r="Z691" s="541"/>
    </row>
    <row r="692" spans="1:26" ht="18.75">
      <c r="A692" s="537"/>
      <c r="B692" s="538"/>
      <c r="C692" s="727"/>
      <c r="D692" s="727"/>
      <c r="E692" s="727"/>
      <c r="F692" s="727" t="s">
        <v>187</v>
      </c>
      <c r="G692" s="189"/>
      <c r="H692" s="161" t="s">
        <v>12</v>
      </c>
      <c r="I692" s="269"/>
      <c r="J692" s="269"/>
      <c r="K692" s="465"/>
      <c r="L692" s="465"/>
      <c r="M692" s="465"/>
      <c r="N692" s="789">
        <v>0</v>
      </c>
      <c r="O692" s="465"/>
      <c r="P692" s="465"/>
      <c r="Q692" s="541"/>
      <c r="R692" s="541"/>
      <c r="S692" s="541"/>
      <c r="T692" s="541"/>
      <c r="U692" s="541"/>
      <c r="V692" s="541"/>
      <c r="W692" s="541"/>
      <c r="X692" s="541"/>
      <c r="Y692" s="541"/>
      <c r="Z692" s="541"/>
    </row>
    <row r="693" spans="1:26" ht="18.75">
      <c r="A693" s="537"/>
      <c r="B693" s="538"/>
      <c r="C693" s="727"/>
      <c r="D693" s="727"/>
      <c r="E693" s="727"/>
      <c r="F693" s="727" t="s">
        <v>188</v>
      </c>
      <c r="G693" s="189"/>
      <c r="H693" s="161" t="s">
        <v>12</v>
      </c>
      <c r="I693" s="269"/>
      <c r="J693" s="269"/>
      <c r="K693" s="465"/>
      <c r="L693" s="465"/>
      <c r="M693" s="465"/>
      <c r="N693" s="789">
        <v>0</v>
      </c>
      <c r="O693" s="465"/>
      <c r="P693" s="465"/>
      <c r="Q693" s="541"/>
      <c r="R693" s="541"/>
      <c r="S693" s="541"/>
      <c r="T693" s="541"/>
      <c r="U693" s="541"/>
      <c r="V693" s="541"/>
      <c r="W693" s="541"/>
      <c r="X693" s="541"/>
      <c r="Y693" s="541"/>
      <c r="Z693" s="541"/>
    </row>
    <row r="694" spans="1:26" ht="18.75">
      <c r="A694" s="537"/>
      <c r="B694" s="538"/>
      <c r="C694" s="727"/>
      <c r="D694" s="727"/>
      <c r="E694" s="727"/>
      <c r="F694" s="727" t="s">
        <v>189</v>
      </c>
      <c r="G694" s="189"/>
      <c r="H694" s="161" t="s">
        <v>12</v>
      </c>
      <c r="I694" s="269"/>
      <c r="J694" s="269"/>
      <c r="K694" s="465"/>
      <c r="L694" s="465"/>
      <c r="M694" s="465"/>
      <c r="N694" s="789">
        <v>0</v>
      </c>
      <c r="O694" s="465"/>
      <c r="P694" s="465"/>
      <c r="Q694" s="541"/>
      <c r="R694" s="541"/>
      <c r="S694" s="541"/>
      <c r="T694" s="541"/>
      <c r="U694" s="541"/>
      <c r="V694" s="541"/>
      <c r="W694" s="541"/>
      <c r="X694" s="541"/>
      <c r="Y694" s="541"/>
      <c r="Z694" s="541"/>
    </row>
    <row r="695" spans="1:26" ht="18.75">
      <c r="A695" s="561"/>
      <c r="B695" s="538"/>
      <c r="C695" s="727"/>
      <c r="D695" s="570" t="s">
        <v>21</v>
      </c>
      <c r="E695" s="727"/>
      <c r="F695" s="727"/>
      <c r="G695" s="189"/>
      <c r="H695" s="168" t="s">
        <v>12</v>
      </c>
      <c r="I695" s="184"/>
      <c r="J695" s="184"/>
      <c r="K695" s="163"/>
      <c r="L695" s="465">
        <f t="shared" ref="L695:N695" si="286">L696+L697</f>
        <v>0</v>
      </c>
      <c r="M695" s="465">
        <f t="shared" si="286"/>
        <v>0</v>
      </c>
      <c r="N695" s="465">
        <f t="shared" si="286"/>
        <v>0</v>
      </c>
      <c r="O695" s="465">
        <f t="shared" ref="O695:O697" si="287">IF(L695&gt;0,N695*100/L695,0)</f>
        <v>0</v>
      </c>
      <c r="P695" s="465">
        <f t="shared" ref="P695:P697" si="288">IF(M695&gt;0,N695*100/M695,0)</f>
        <v>0</v>
      </c>
      <c r="Q695" s="541"/>
      <c r="R695" s="541"/>
      <c r="S695" s="541"/>
      <c r="T695" s="541"/>
      <c r="U695" s="541"/>
      <c r="V695" s="541"/>
      <c r="W695" s="541"/>
      <c r="X695" s="541"/>
      <c r="Y695" s="541"/>
      <c r="Z695" s="541"/>
    </row>
    <row r="696" spans="1:26" ht="18.75" hidden="1">
      <c r="A696" s="563"/>
      <c r="B696" s="571"/>
      <c r="C696" s="723"/>
      <c r="D696" s="723"/>
      <c r="E696" s="723" t="s">
        <v>18</v>
      </c>
      <c r="F696" s="723"/>
      <c r="G696" s="567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7"/>
        <v>0</v>
      </c>
      <c r="P696" s="93">
        <f t="shared" si="288"/>
        <v>0</v>
      </c>
      <c r="Q696" s="568"/>
      <c r="R696" s="568"/>
      <c r="S696" s="568"/>
      <c r="T696" s="568"/>
      <c r="U696" s="568"/>
      <c r="V696" s="568"/>
      <c r="W696" s="568"/>
      <c r="X696" s="568"/>
      <c r="Y696" s="568"/>
      <c r="Z696" s="568"/>
    </row>
    <row r="697" spans="1:26" ht="18.75" hidden="1">
      <c r="A697" s="563"/>
      <c r="B697" s="571"/>
      <c r="C697" s="723"/>
      <c r="D697" s="723"/>
      <c r="E697" s="723" t="s">
        <v>19</v>
      </c>
      <c r="F697" s="723"/>
      <c r="G697" s="567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7"/>
        <v>0</v>
      </c>
      <c r="P697" s="93">
        <f t="shared" si="288"/>
        <v>0</v>
      </c>
      <c r="Q697" s="568"/>
      <c r="R697" s="568"/>
      <c r="S697" s="568"/>
      <c r="T697" s="568"/>
      <c r="U697" s="568"/>
      <c r="V697" s="568"/>
      <c r="W697" s="568"/>
      <c r="X697" s="568"/>
      <c r="Y697" s="568"/>
      <c r="Z697" s="568"/>
    </row>
    <row r="698" spans="1:26" ht="19.5">
      <c r="A698" s="572"/>
      <c r="B698" s="584"/>
      <c r="C698" s="727" t="s">
        <v>16</v>
      </c>
      <c r="D698" s="855" t="s">
        <v>38</v>
      </c>
      <c r="E698" s="725"/>
      <c r="F698" s="725"/>
      <c r="G698" s="577"/>
      <c r="H698" s="726"/>
      <c r="I698" s="184"/>
      <c r="J698" s="184"/>
      <c r="K698" s="163"/>
      <c r="L698" s="163"/>
      <c r="M698" s="163"/>
      <c r="N698" s="163"/>
      <c r="O698" s="163"/>
      <c r="P698" s="163"/>
      <c r="Q698" s="541"/>
      <c r="R698" s="541"/>
      <c r="S698" s="541"/>
      <c r="T698" s="541"/>
      <c r="U698" s="541"/>
      <c r="V698" s="541"/>
      <c r="W698" s="541"/>
      <c r="X698" s="541"/>
      <c r="Y698" s="541"/>
      <c r="Z698" s="541"/>
    </row>
    <row r="699" spans="1:26" ht="18.75">
      <c r="A699" s="708"/>
      <c r="B699" s="727"/>
      <c r="C699" s="727"/>
      <c r="D699" s="727" t="s">
        <v>294</v>
      </c>
      <c r="E699" s="727"/>
      <c r="F699" s="727"/>
      <c r="G699" s="189"/>
      <c r="H699" s="728" t="s">
        <v>46</v>
      </c>
      <c r="I699" s="729">
        <f ca="1">IFERROR(__xludf.DUMMYFUNCTION("IMPORTRANGE(""https://docs.google.com/spreadsheets/d/1QqKyyYR6Q21VydFLVH3TRQUabQu_ym0Zz7PgGX0-kHA/edit?usp=sharing"",""แผน!IC23"")"),50)</f>
        <v>50</v>
      </c>
      <c r="J699" s="269">
        <f ca="1">IFERROR(__xludf.DUMMYFUNCTION("IMPORTRANGE(""https://docs.google.com/spreadsheets/d/1XWAQStnk-4SwqDmLtmXYiTMKHgktTP8We1SCoS47DrQ/edit?usp=sharing"",""จัดที่ดิน!BB23"")"),0)</f>
        <v>0</v>
      </c>
      <c r="K699" s="465">
        <f t="shared" ref="K699:K701" ca="1" si="289">IF(I699&gt;0,J699*100/I699,0)</f>
        <v>0</v>
      </c>
      <c r="L699" s="465"/>
      <c r="M699" s="189"/>
      <c r="N699" s="730"/>
      <c r="O699" s="465"/>
      <c r="P699" s="465"/>
      <c r="Q699" s="541"/>
      <c r="R699" s="541"/>
      <c r="S699" s="541"/>
      <c r="T699" s="541"/>
      <c r="U699" s="541"/>
      <c r="V699" s="541"/>
      <c r="W699" s="541"/>
      <c r="X699" s="541"/>
      <c r="Y699" s="541"/>
      <c r="Z699" s="541"/>
    </row>
    <row r="700" spans="1:26" ht="18.75">
      <c r="A700" s="708"/>
      <c r="B700" s="727"/>
      <c r="C700" s="727"/>
      <c r="D700" s="727" t="s">
        <v>295</v>
      </c>
      <c r="E700" s="727"/>
      <c r="F700" s="727"/>
      <c r="G700" s="189"/>
      <c r="H700" s="728" t="s">
        <v>35</v>
      </c>
      <c r="I700" s="729">
        <f ca="1">IFERROR(__xludf.DUMMYFUNCTION("IMPORTRANGE(""https://docs.google.com/spreadsheets/d/1QqKyyYR6Q21VydFLVH3TRQUabQu_ym0Zz7PgGX0-kHA/edit?usp=sharing"",""แผน!ID23"")"),10)</f>
        <v>10</v>
      </c>
      <c r="J700" s="269">
        <f ca="1">IFERROR(__xludf.DUMMYFUNCTION("IMPORTRANGE(""https://docs.google.com/spreadsheets/d/1XWAQStnk-4SwqDmLtmXYiTMKHgktTP8We1SCoS47DrQ/edit?usp=sharing"",""จัดที่ดิน!BD23"")"),0)</f>
        <v>0</v>
      </c>
      <c r="K700" s="465">
        <f t="shared" ca="1" si="289"/>
        <v>0</v>
      </c>
      <c r="L700" s="465"/>
      <c r="M700" s="189"/>
      <c r="N700" s="730"/>
      <c r="O700" s="465"/>
      <c r="P700" s="465"/>
      <c r="Q700" s="541"/>
      <c r="R700" s="541"/>
      <c r="S700" s="541"/>
      <c r="T700" s="541"/>
      <c r="U700" s="541"/>
      <c r="V700" s="541"/>
      <c r="W700" s="541"/>
      <c r="X700" s="541"/>
      <c r="Y700" s="541"/>
      <c r="Z700" s="541"/>
    </row>
    <row r="701" spans="1:26" ht="19.5">
      <c r="A701" s="708"/>
      <c r="B701" s="727"/>
      <c r="C701" s="727"/>
      <c r="D701" s="727" t="s">
        <v>296</v>
      </c>
      <c r="E701" s="727"/>
      <c r="F701" s="727"/>
      <c r="G701" s="189"/>
      <c r="H701" s="731" t="s">
        <v>46</v>
      </c>
      <c r="I701" s="732">
        <f ca="1">IFERROR(__xludf.DUMMYFUNCTION("IMPORTRANGE(""https://docs.google.com/spreadsheets/d/1QqKyyYR6Q21VydFLVH3TRQUabQu_ym0Zz7PgGX0-kHA/edit?usp=sharing"",""แผน!IE23"")"),52)</f>
        <v>52</v>
      </c>
      <c r="J701" s="647">
        <f>J704+J707</f>
        <v>0</v>
      </c>
      <c r="K701" s="195">
        <f t="shared" ca="1" si="289"/>
        <v>0</v>
      </c>
      <c r="L701" s="465"/>
      <c r="M701" s="189"/>
      <c r="N701" s="730"/>
      <c r="O701" s="465"/>
      <c r="P701" s="465"/>
      <c r="Q701" s="541"/>
      <c r="R701" s="541"/>
      <c r="S701" s="541"/>
      <c r="T701" s="541"/>
      <c r="U701" s="541"/>
      <c r="V701" s="541"/>
      <c r="W701" s="541"/>
      <c r="X701" s="541"/>
      <c r="Y701" s="541"/>
      <c r="Z701" s="541"/>
    </row>
    <row r="702" spans="1:26" ht="18.75">
      <c r="A702" s="708"/>
      <c r="B702" s="727"/>
      <c r="C702" s="727"/>
      <c r="D702" s="727"/>
      <c r="E702" s="727" t="s">
        <v>297</v>
      </c>
      <c r="F702" s="727"/>
      <c r="G702" s="189"/>
      <c r="H702" s="728" t="s">
        <v>35</v>
      </c>
      <c r="I702" s="729"/>
      <c r="J702" s="214">
        <v>0</v>
      </c>
      <c r="K702" s="465"/>
      <c r="L702" s="465"/>
      <c r="M702" s="189"/>
      <c r="N702" s="730"/>
      <c r="O702" s="465"/>
      <c r="P702" s="465"/>
      <c r="Q702" s="541"/>
      <c r="R702" s="541"/>
      <c r="S702" s="541"/>
      <c r="T702" s="541"/>
      <c r="U702" s="541"/>
      <c r="V702" s="541"/>
      <c r="W702" s="541"/>
      <c r="X702" s="541"/>
      <c r="Y702" s="541"/>
      <c r="Z702" s="541"/>
    </row>
    <row r="703" spans="1:26" ht="18.75">
      <c r="A703" s="708"/>
      <c r="B703" s="727"/>
      <c r="C703" s="727"/>
      <c r="D703" s="727"/>
      <c r="E703" s="727"/>
      <c r="F703" s="727"/>
      <c r="G703" s="189"/>
      <c r="H703" s="728" t="s">
        <v>34</v>
      </c>
      <c r="I703" s="729"/>
      <c r="J703" s="214">
        <v>0</v>
      </c>
      <c r="K703" s="465"/>
      <c r="L703" s="465"/>
      <c r="M703" s="189"/>
      <c r="N703" s="730"/>
      <c r="O703" s="465"/>
      <c r="P703" s="465"/>
      <c r="Q703" s="541"/>
      <c r="R703" s="541"/>
      <c r="S703" s="541"/>
      <c r="T703" s="541"/>
      <c r="U703" s="541"/>
      <c r="V703" s="541"/>
      <c r="W703" s="541"/>
      <c r="X703" s="541"/>
      <c r="Y703" s="541"/>
      <c r="Z703" s="541"/>
    </row>
    <row r="704" spans="1:26" ht="18.75">
      <c r="A704" s="708"/>
      <c r="B704" s="727"/>
      <c r="C704" s="727"/>
      <c r="D704" s="727"/>
      <c r="E704" s="727"/>
      <c r="F704" s="727"/>
      <c r="G704" s="189"/>
      <c r="H704" s="728" t="s">
        <v>46</v>
      </c>
      <c r="I704" s="729">
        <f ca="1">IFERROR(__xludf.DUMMYFUNCTION("IMPORTRANGE(""https://docs.google.com/spreadsheets/d/1QqKyyYR6Q21VydFLVH3TRQUabQu_ym0Zz7PgGX0-kHA/edit?usp=sharing"",""แผน!IF23"")"),52)</f>
        <v>52</v>
      </c>
      <c r="J704" s="214">
        <v>0</v>
      </c>
      <c r="K704" s="465"/>
      <c r="L704" s="465"/>
      <c r="M704" s="189"/>
      <c r="N704" s="730"/>
      <c r="O704" s="465"/>
      <c r="P704" s="465"/>
      <c r="Q704" s="541"/>
      <c r="R704" s="541"/>
      <c r="S704" s="541"/>
      <c r="T704" s="541"/>
      <c r="U704" s="541"/>
      <c r="V704" s="541"/>
      <c r="W704" s="541"/>
      <c r="X704" s="541"/>
      <c r="Y704" s="541"/>
      <c r="Z704" s="541"/>
    </row>
    <row r="705" spans="1:26" ht="18.75">
      <c r="A705" s="708"/>
      <c r="B705" s="727"/>
      <c r="C705" s="727"/>
      <c r="D705" s="727"/>
      <c r="E705" s="727" t="s">
        <v>298</v>
      </c>
      <c r="F705" s="727"/>
      <c r="G705" s="189"/>
      <c r="H705" s="728" t="s">
        <v>35</v>
      </c>
      <c r="I705" s="729"/>
      <c r="J705" s="214">
        <v>0</v>
      </c>
      <c r="K705" s="465"/>
      <c r="L705" s="465"/>
      <c r="M705" s="189"/>
      <c r="N705" s="730"/>
      <c r="O705" s="465"/>
      <c r="P705" s="465"/>
      <c r="Q705" s="541"/>
      <c r="R705" s="541"/>
      <c r="S705" s="541"/>
      <c r="T705" s="541"/>
      <c r="U705" s="541"/>
      <c r="V705" s="541"/>
      <c r="W705" s="541"/>
      <c r="X705" s="541"/>
      <c r="Y705" s="541"/>
      <c r="Z705" s="541"/>
    </row>
    <row r="706" spans="1:26" ht="18.75">
      <c r="A706" s="708"/>
      <c r="B706" s="727"/>
      <c r="C706" s="727"/>
      <c r="D706" s="727"/>
      <c r="E706" s="727"/>
      <c r="F706" s="727"/>
      <c r="G706" s="189"/>
      <c r="H706" s="728" t="s">
        <v>34</v>
      </c>
      <c r="I706" s="729"/>
      <c r="J706" s="214">
        <v>0</v>
      </c>
      <c r="K706" s="465"/>
      <c r="L706" s="465"/>
      <c r="M706" s="189"/>
      <c r="N706" s="730"/>
      <c r="O706" s="465"/>
      <c r="P706" s="465"/>
      <c r="Q706" s="541"/>
      <c r="R706" s="541"/>
      <c r="S706" s="541"/>
      <c r="T706" s="541"/>
      <c r="U706" s="541"/>
      <c r="V706" s="541"/>
      <c r="W706" s="541"/>
      <c r="X706" s="541"/>
      <c r="Y706" s="541"/>
      <c r="Z706" s="541"/>
    </row>
    <row r="707" spans="1:26" ht="18.75">
      <c r="A707" s="708"/>
      <c r="B707" s="727"/>
      <c r="C707" s="727"/>
      <c r="D707" s="727"/>
      <c r="E707" s="727"/>
      <c r="F707" s="727"/>
      <c r="G707" s="189"/>
      <c r="H707" s="728" t="s">
        <v>46</v>
      </c>
      <c r="I707" s="729">
        <f ca="1">IFERROR(__xludf.DUMMYFUNCTION("IMPORTRANGE(""https://docs.google.com/spreadsheets/d/1QqKyyYR6Q21VydFLVH3TRQUabQu_ym0Zz7PgGX0-kHA/edit?usp=sharing"",""แผน!IG23"")"),0)</f>
        <v>0</v>
      </c>
      <c r="J707" s="214">
        <v>0</v>
      </c>
      <c r="K707" s="465"/>
      <c r="L707" s="465"/>
      <c r="M707" s="189"/>
      <c r="N707" s="730"/>
      <c r="O707" s="465"/>
      <c r="P707" s="465"/>
      <c r="Q707" s="541"/>
      <c r="R707" s="541"/>
      <c r="S707" s="541"/>
      <c r="T707" s="541"/>
      <c r="U707" s="541"/>
      <c r="V707" s="541"/>
      <c r="W707" s="541"/>
      <c r="X707" s="541"/>
      <c r="Y707" s="541"/>
      <c r="Z707" s="541"/>
    </row>
    <row r="708" spans="1:26" ht="19.5">
      <c r="A708" s="708"/>
      <c r="B708" s="727"/>
      <c r="C708" s="727"/>
      <c r="D708" s="733" t="s">
        <v>299</v>
      </c>
      <c r="E708" s="727"/>
      <c r="F708" s="727"/>
      <c r="G708" s="189"/>
      <c r="H708" s="731" t="s">
        <v>46</v>
      </c>
      <c r="I708" s="732">
        <f ca="1">IFERROR(__xludf.DUMMYFUNCTION("IMPORTRANGE(""https://docs.google.com/spreadsheets/d/1QqKyyYR6Q21VydFLVH3TRQUabQu_ym0Zz7PgGX0-kHA/edit?usp=sharing"",""แผน!IH23"")"),0)</f>
        <v>0</v>
      </c>
      <c r="J708" s="647">
        <f>J714+J717</f>
        <v>0</v>
      </c>
      <c r="K708" s="195">
        <f ca="1">IF(I708&gt;0,J708*100/I708,0)</f>
        <v>0</v>
      </c>
      <c r="L708" s="465"/>
      <c r="M708" s="189"/>
      <c r="N708" s="730"/>
      <c r="O708" s="465"/>
      <c r="P708" s="465"/>
      <c r="Q708" s="541"/>
      <c r="R708" s="541"/>
      <c r="S708" s="541"/>
      <c r="T708" s="541"/>
      <c r="U708" s="541"/>
      <c r="V708" s="541"/>
      <c r="W708" s="541"/>
      <c r="X708" s="541"/>
      <c r="Y708" s="541"/>
      <c r="Z708" s="541"/>
    </row>
    <row r="709" spans="1:26" ht="18.75">
      <c r="A709" s="708"/>
      <c r="B709" s="727"/>
      <c r="C709" s="727"/>
      <c r="D709" s="727"/>
      <c r="E709" s="727" t="s">
        <v>300</v>
      </c>
      <c r="F709" s="727"/>
      <c r="G709" s="189"/>
      <c r="H709" s="728" t="s">
        <v>34</v>
      </c>
      <c r="I709" s="729"/>
      <c r="J709" s="214">
        <v>0</v>
      </c>
      <c r="K709" s="465"/>
      <c r="L709" s="730"/>
      <c r="M709" s="189"/>
      <c r="N709" s="730"/>
      <c r="O709" s="465"/>
      <c r="P709" s="465"/>
      <c r="Q709" s="541"/>
      <c r="R709" s="541"/>
      <c r="S709" s="541"/>
      <c r="T709" s="541"/>
      <c r="U709" s="541"/>
      <c r="V709" s="541"/>
      <c r="W709" s="541"/>
      <c r="X709" s="541"/>
      <c r="Y709" s="541"/>
      <c r="Z709" s="541"/>
    </row>
    <row r="710" spans="1:26" ht="18.75">
      <c r="A710" s="708"/>
      <c r="B710" s="727"/>
      <c r="C710" s="727"/>
      <c r="D710" s="727"/>
      <c r="E710" s="727"/>
      <c r="F710" s="727"/>
      <c r="G710" s="189"/>
      <c r="H710" s="728" t="s">
        <v>46</v>
      </c>
      <c r="I710" s="729"/>
      <c r="J710" s="214">
        <v>0</v>
      </c>
      <c r="K710" s="465"/>
      <c r="L710" s="730"/>
      <c r="M710" s="189"/>
      <c r="N710" s="730"/>
      <c r="O710" s="465"/>
      <c r="P710" s="465"/>
      <c r="Q710" s="541"/>
      <c r="R710" s="541"/>
      <c r="S710" s="541"/>
      <c r="T710" s="541"/>
      <c r="U710" s="541"/>
      <c r="V710" s="541"/>
      <c r="W710" s="541"/>
      <c r="X710" s="541"/>
      <c r="Y710" s="541"/>
      <c r="Z710" s="541"/>
    </row>
    <row r="711" spans="1:26" ht="18.75">
      <c r="A711" s="708"/>
      <c r="B711" s="727"/>
      <c r="C711" s="727"/>
      <c r="D711" s="727"/>
      <c r="E711" s="727" t="s">
        <v>301</v>
      </c>
      <c r="F711" s="727"/>
      <c r="G711" s="189"/>
      <c r="H711" s="726"/>
      <c r="I711" s="729"/>
      <c r="J711" s="269"/>
      <c r="K711" s="465"/>
      <c r="L711" s="730"/>
      <c r="M711" s="189"/>
      <c r="N711" s="730"/>
      <c r="O711" s="465"/>
      <c r="P711" s="465"/>
      <c r="Q711" s="541"/>
      <c r="R711" s="541"/>
      <c r="S711" s="541"/>
      <c r="T711" s="541"/>
      <c r="U711" s="541"/>
      <c r="V711" s="541"/>
      <c r="W711" s="541"/>
      <c r="X711" s="541"/>
      <c r="Y711" s="541"/>
      <c r="Z711" s="541"/>
    </row>
    <row r="712" spans="1:26" ht="18.75">
      <c r="A712" s="708"/>
      <c r="B712" s="727"/>
      <c r="C712" s="727"/>
      <c r="D712" s="727"/>
      <c r="E712" s="727"/>
      <c r="F712" s="727" t="s">
        <v>302</v>
      </c>
      <c r="G712" s="189"/>
      <c r="H712" s="728" t="s">
        <v>35</v>
      </c>
      <c r="I712" s="729"/>
      <c r="J712" s="214">
        <v>0</v>
      </c>
      <c r="K712" s="465"/>
      <c r="L712" s="730"/>
      <c r="M712" s="189"/>
      <c r="N712" s="730"/>
      <c r="O712" s="465"/>
      <c r="P712" s="465"/>
      <c r="Q712" s="541"/>
      <c r="R712" s="541"/>
      <c r="S712" s="541"/>
      <c r="T712" s="541"/>
      <c r="U712" s="541"/>
      <c r="V712" s="541"/>
      <c r="W712" s="541"/>
      <c r="X712" s="541"/>
      <c r="Y712" s="541"/>
      <c r="Z712" s="541"/>
    </row>
    <row r="713" spans="1:26" ht="18.75">
      <c r="A713" s="708"/>
      <c r="B713" s="727"/>
      <c r="C713" s="727"/>
      <c r="D713" s="727"/>
      <c r="E713" s="727"/>
      <c r="F713" s="727"/>
      <c r="G713" s="189"/>
      <c r="H713" s="728" t="s">
        <v>34</v>
      </c>
      <c r="I713" s="729"/>
      <c r="J713" s="214">
        <v>0</v>
      </c>
      <c r="K713" s="465"/>
      <c r="L713" s="730"/>
      <c r="M713" s="189"/>
      <c r="N713" s="730"/>
      <c r="O713" s="465"/>
      <c r="P713" s="465"/>
      <c r="Q713" s="541"/>
      <c r="R713" s="541"/>
      <c r="S713" s="541"/>
      <c r="T713" s="541"/>
      <c r="U713" s="541"/>
      <c r="V713" s="541"/>
      <c r="W713" s="541"/>
      <c r="X713" s="541"/>
      <c r="Y713" s="541"/>
      <c r="Z713" s="541"/>
    </row>
    <row r="714" spans="1:26" ht="18.75">
      <c r="A714" s="708"/>
      <c r="B714" s="727"/>
      <c r="C714" s="727"/>
      <c r="D714" s="727"/>
      <c r="E714" s="727"/>
      <c r="F714" s="727"/>
      <c r="G714" s="189"/>
      <c r="H714" s="728" t="s">
        <v>46</v>
      </c>
      <c r="I714" s="729"/>
      <c r="J714" s="214">
        <v>0</v>
      </c>
      <c r="K714" s="465"/>
      <c r="L714" s="730"/>
      <c r="M714" s="189"/>
      <c r="N714" s="730"/>
      <c r="O714" s="465"/>
      <c r="P714" s="465"/>
      <c r="Q714" s="541"/>
      <c r="R714" s="541"/>
      <c r="S714" s="541"/>
      <c r="T714" s="541"/>
      <c r="U714" s="541"/>
      <c r="V714" s="541"/>
      <c r="W714" s="541"/>
      <c r="X714" s="541"/>
      <c r="Y714" s="541"/>
      <c r="Z714" s="541"/>
    </row>
    <row r="715" spans="1:26" ht="18.75">
      <c r="A715" s="708"/>
      <c r="B715" s="727"/>
      <c r="C715" s="727"/>
      <c r="D715" s="727"/>
      <c r="E715" s="727"/>
      <c r="F715" s="727" t="s">
        <v>303</v>
      </c>
      <c r="G715" s="189"/>
      <c r="H715" s="728" t="s">
        <v>35</v>
      </c>
      <c r="I715" s="729"/>
      <c r="J715" s="214">
        <v>0</v>
      </c>
      <c r="K715" s="465"/>
      <c r="L715" s="730"/>
      <c r="M715" s="189"/>
      <c r="N715" s="730"/>
      <c r="O715" s="465"/>
      <c r="P715" s="465"/>
      <c r="Q715" s="541"/>
      <c r="R715" s="541"/>
      <c r="S715" s="541"/>
      <c r="T715" s="541"/>
      <c r="U715" s="541"/>
      <c r="V715" s="541"/>
      <c r="W715" s="541"/>
      <c r="X715" s="541"/>
      <c r="Y715" s="541"/>
      <c r="Z715" s="541"/>
    </row>
    <row r="716" spans="1:26" ht="18.75">
      <c r="A716" s="708"/>
      <c r="B716" s="727"/>
      <c r="C716" s="727"/>
      <c r="D716" s="727"/>
      <c r="E716" s="727"/>
      <c r="F716" s="727"/>
      <c r="G716" s="189"/>
      <c r="H716" s="728" t="s">
        <v>34</v>
      </c>
      <c r="I716" s="729"/>
      <c r="J716" s="214">
        <v>0</v>
      </c>
      <c r="K716" s="465"/>
      <c r="L716" s="730"/>
      <c r="M716" s="189"/>
      <c r="N716" s="730"/>
      <c r="O716" s="465"/>
      <c r="P716" s="465"/>
      <c r="Q716" s="541"/>
      <c r="R716" s="541"/>
      <c r="S716" s="541"/>
      <c r="T716" s="541"/>
      <c r="U716" s="541"/>
      <c r="V716" s="541"/>
      <c r="W716" s="541"/>
      <c r="X716" s="541"/>
      <c r="Y716" s="541"/>
      <c r="Z716" s="541"/>
    </row>
    <row r="717" spans="1:26" ht="18.75">
      <c r="A717" s="708"/>
      <c r="B717" s="727"/>
      <c r="C717" s="727"/>
      <c r="D717" s="727"/>
      <c r="E717" s="727"/>
      <c r="F717" s="727"/>
      <c r="G717" s="189"/>
      <c r="H717" s="728" t="s">
        <v>46</v>
      </c>
      <c r="I717" s="729"/>
      <c r="J717" s="214">
        <v>0</v>
      </c>
      <c r="K717" s="465"/>
      <c r="L717" s="730"/>
      <c r="M717" s="189"/>
      <c r="N717" s="730"/>
      <c r="O717" s="465"/>
      <c r="P717" s="465"/>
      <c r="Q717" s="541"/>
      <c r="R717" s="541"/>
      <c r="S717" s="541"/>
      <c r="T717" s="541"/>
      <c r="U717" s="541"/>
      <c r="V717" s="541"/>
      <c r="W717" s="541"/>
      <c r="X717" s="541"/>
      <c r="Y717" s="541"/>
      <c r="Z717" s="541"/>
    </row>
    <row r="718" spans="1:26" ht="18.75">
      <c r="A718" s="708"/>
      <c r="B718" s="727"/>
      <c r="C718" s="727"/>
      <c r="D718" s="727" t="s">
        <v>304</v>
      </c>
      <c r="E718" s="727"/>
      <c r="F718" s="727"/>
      <c r="G718" s="189"/>
      <c r="H718" s="728" t="s">
        <v>35</v>
      </c>
      <c r="I718" s="729"/>
      <c r="J718" s="269">
        <f ca="1">IFERROR(__xludf.DUMMYFUNCTION("IMPORTRANGE(""https://docs.google.com/spreadsheets/d/1XWAQStnk-4SwqDmLtmXYiTMKHgktTP8We1SCoS47DrQ/edit?usp=sharing"",""จัดที่ดิน!BF23"")"),0)</f>
        <v>0</v>
      </c>
      <c r="K718" s="465"/>
      <c r="L718" s="465"/>
      <c r="M718" s="189"/>
      <c r="N718" s="730"/>
      <c r="O718" s="465"/>
      <c r="P718" s="465"/>
      <c r="Q718" s="541"/>
      <c r="R718" s="541"/>
      <c r="S718" s="541"/>
      <c r="T718" s="541"/>
      <c r="U718" s="541"/>
      <c r="V718" s="541"/>
      <c r="W718" s="541"/>
      <c r="X718" s="541"/>
      <c r="Y718" s="541"/>
      <c r="Z718" s="541"/>
    </row>
    <row r="719" spans="1:26" ht="18.75">
      <c r="A719" s="708"/>
      <c r="B719" s="727"/>
      <c r="C719" s="727"/>
      <c r="D719" s="727"/>
      <c r="E719" s="727"/>
      <c r="F719" s="727"/>
      <c r="G719" s="189"/>
      <c r="H719" s="728" t="s">
        <v>34</v>
      </c>
      <c r="I719" s="729"/>
      <c r="J719" s="269">
        <f ca="1">IFERROR(__xludf.DUMMYFUNCTION("IMPORTRANGE(""https://docs.google.com/spreadsheets/d/1XWAQStnk-4SwqDmLtmXYiTMKHgktTP8We1SCoS47DrQ/edit?usp=sharing"",""จัดที่ดิน!BG23"")"),0)</f>
        <v>0</v>
      </c>
      <c r="K719" s="465"/>
      <c r="L719" s="730"/>
      <c r="M719" s="189"/>
      <c r="N719" s="730"/>
      <c r="O719" s="465"/>
      <c r="P719" s="465"/>
      <c r="Q719" s="541"/>
      <c r="R719" s="541"/>
      <c r="S719" s="541"/>
      <c r="T719" s="541"/>
      <c r="U719" s="541"/>
      <c r="V719" s="541"/>
      <c r="W719" s="541"/>
      <c r="X719" s="541"/>
      <c r="Y719" s="541"/>
      <c r="Z719" s="541"/>
    </row>
    <row r="720" spans="1:26" ht="18.75">
      <c r="A720" s="708"/>
      <c r="B720" s="727"/>
      <c r="C720" s="727"/>
      <c r="D720" s="727"/>
      <c r="E720" s="727"/>
      <c r="F720" s="727"/>
      <c r="G720" s="189"/>
      <c r="H720" s="728" t="s">
        <v>46</v>
      </c>
      <c r="I720" s="729">
        <f ca="1">IFERROR(__xludf.DUMMYFUNCTION("IMPORTRANGE(""https://docs.google.com/spreadsheets/d/1QqKyyYR6Q21VydFLVH3TRQUabQu_ym0Zz7PgGX0-kHA/edit?usp=sharing"",""แผน!II23"")"),0)</f>
        <v>0</v>
      </c>
      <c r="J720" s="269">
        <f ca="1">IFERROR(__xludf.DUMMYFUNCTION("IMPORTRANGE(""https://docs.google.com/spreadsheets/d/1XWAQStnk-4SwqDmLtmXYiTMKHgktTP8We1SCoS47DrQ/edit?usp=sharing"",""จัดที่ดิน!BH23"")"),0)</f>
        <v>0</v>
      </c>
      <c r="K720" s="465">
        <f t="shared" ref="K720:K723" ca="1" si="290">IF(I720&gt;0,J720*100/I720,0)</f>
        <v>0</v>
      </c>
      <c r="L720" s="730"/>
      <c r="M720" s="189"/>
      <c r="N720" s="730"/>
      <c r="O720" s="465"/>
      <c r="P720" s="465"/>
      <c r="Q720" s="541"/>
      <c r="R720" s="541"/>
      <c r="S720" s="541"/>
      <c r="T720" s="541"/>
      <c r="U720" s="541"/>
      <c r="V720" s="541"/>
      <c r="W720" s="541"/>
      <c r="X720" s="541"/>
      <c r="Y720" s="541"/>
      <c r="Z720" s="541"/>
    </row>
    <row r="721" spans="1:26" ht="19.5">
      <c r="A721" s="708"/>
      <c r="B721" s="727"/>
      <c r="C721" s="727"/>
      <c r="D721" s="727" t="s">
        <v>305</v>
      </c>
      <c r="E721" s="727"/>
      <c r="F721" s="727"/>
      <c r="G721" s="189"/>
      <c r="H721" s="731" t="s">
        <v>35</v>
      </c>
      <c r="I721" s="732">
        <f ca="1">IFERROR(__xludf.DUMMYFUNCTION("IMPORTRANGE(""https://docs.google.com/spreadsheets/d/1QqKyyYR6Q21VydFLVH3TRQUabQu_ym0Zz7PgGX0-kHA/edit?usp=sharing"",""แผน!IJ23"")"),12)</f>
        <v>12</v>
      </c>
      <c r="J721" s="647">
        <f ca="1">J723+J726</f>
        <v>0</v>
      </c>
      <c r="K721" s="195">
        <f t="shared" ca="1" si="290"/>
        <v>0</v>
      </c>
      <c r="L721" s="730"/>
      <c r="M721" s="189"/>
      <c r="N721" s="730"/>
      <c r="O721" s="465"/>
      <c r="P721" s="465"/>
      <c r="Q721" s="541"/>
      <c r="R721" s="541"/>
      <c r="S721" s="541"/>
      <c r="T721" s="541"/>
      <c r="U721" s="541"/>
      <c r="V721" s="541"/>
      <c r="W721" s="541"/>
      <c r="X721" s="541"/>
      <c r="Y721" s="541"/>
      <c r="Z721" s="541"/>
    </row>
    <row r="722" spans="1:26" ht="19.5">
      <c r="A722" s="708"/>
      <c r="B722" s="727"/>
      <c r="C722" s="727"/>
      <c r="D722" s="727"/>
      <c r="E722" s="727"/>
      <c r="F722" s="727"/>
      <c r="G722" s="189"/>
      <c r="H722" s="731" t="s">
        <v>46</v>
      </c>
      <c r="I722" s="732">
        <f ca="1">IFERROR(__xludf.DUMMYFUNCTION("IMPORTRANGE(""https://docs.google.com/spreadsheets/d/1QqKyyYR6Q21VydFLVH3TRQUabQu_ym0Zz7PgGX0-kHA/edit?usp=sharing"",""แผน!IK23"")"),52)</f>
        <v>52</v>
      </c>
      <c r="J722" s="647">
        <f ca="1">J725+J728</f>
        <v>0</v>
      </c>
      <c r="K722" s="195">
        <f t="shared" ca="1" si="290"/>
        <v>0</v>
      </c>
      <c r="L722" s="465"/>
      <c r="M722" s="189"/>
      <c r="N722" s="730"/>
      <c r="O722" s="465"/>
      <c r="P722" s="465"/>
      <c r="Q722" s="541"/>
      <c r="R722" s="541"/>
      <c r="S722" s="541"/>
      <c r="T722" s="541"/>
      <c r="U722" s="541"/>
      <c r="V722" s="541"/>
      <c r="W722" s="541"/>
      <c r="X722" s="541"/>
      <c r="Y722" s="541"/>
      <c r="Z722" s="541"/>
    </row>
    <row r="723" spans="1:26" ht="18.75">
      <c r="A723" s="708"/>
      <c r="B723" s="727"/>
      <c r="C723" s="727"/>
      <c r="D723" s="727"/>
      <c r="E723" s="727" t="s">
        <v>306</v>
      </c>
      <c r="F723" s="727"/>
      <c r="G723" s="189"/>
      <c r="H723" s="728" t="s">
        <v>35</v>
      </c>
      <c r="I723" s="729">
        <f ca="1">IFERROR(__xludf.DUMMYFUNCTION("IMPORTRANGE(""https://docs.google.com/spreadsheets/d/1QqKyyYR6Q21VydFLVH3TRQUabQu_ym0Zz7PgGX0-kHA/edit?usp=sharing"",""แผน!IL23"")"),0)</f>
        <v>0</v>
      </c>
      <c r="J723" s="269">
        <f ca="1">IFERROR(__xludf.DUMMYFUNCTION("IMPORTRANGE(""https://docs.google.com/spreadsheets/d/1XWAQStnk-4SwqDmLtmXYiTMKHgktTP8We1SCoS47DrQ/edit?usp=sharing"",""จัดที่ดิน!BM23"")"),0)</f>
        <v>0</v>
      </c>
      <c r="K723" s="465">
        <f t="shared" ca="1" si="290"/>
        <v>0</v>
      </c>
      <c r="L723" s="465"/>
      <c r="M723" s="189"/>
      <c r="N723" s="730"/>
      <c r="O723" s="465"/>
      <c r="P723" s="465"/>
      <c r="Q723" s="541"/>
      <c r="R723" s="541"/>
      <c r="S723" s="541"/>
      <c r="T723" s="541"/>
      <c r="U723" s="541"/>
      <c r="V723" s="541"/>
      <c r="W723" s="541"/>
      <c r="X723" s="541"/>
      <c r="Y723" s="541"/>
      <c r="Z723" s="541"/>
    </row>
    <row r="724" spans="1:26" ht="18.75">
      <c r="A724" s="708"/>
      <c r="B724" s="727"/>
      <c r="C724" s="727"/>
      <c r="D724" s="727"/>
      <c r="E724" s="727"/>
      <c r="F724" s="727"/>
      <c r="G724" s="189"/>
      <c r="H724" s="728" t="s">
        <v>34</v>
      </c>
      <c r="I724" s="729"/>
      <c r="J724" s="269">
        <f ca="1">IFERROR(__xludf.DUMMYFUNCTION("IMPORTRANGE(""https://docs.google.com/spreadsheets/d/1XWAQStnk-4SwqDmLtmXYiTMKHgktTP8We1SCoS47DrQ/edit?usp=sharing"",""จัดที่ดิน!BN23"")"),0)</f>
        <v>0</v>
      </c>
      <c r="K724" s="465"/>
      <c r="L724" s="730"/>
      <c r="M724" s="189"/>
      <c r="N724" s="730"/>
      <c r="O724" s="465"/>
      <c r="P724" s="465"/>
      <c r="Q724" s="541"/>
      <c r="R724" s="541"/>
      <c r="S724" s="541"/>
      <c r="T724" s="541"/>
      <c r="U724" s="541"/>
      <c r="V724" s="541"/>
      <c r="W724" s="541"/>
      <c r="X724" s="541"/>
      <c r="Y724" s="541"/>
      <c r="Z724" s="541"/>
    </row>
    <row r="725" spans="1:26" ht="18.75">
      <c r="A725" s="708"/>
      <c r="B725" s="727"/>
      <c r="C725" s="727"/>
      <c r="D725" s="727"/>
      <c r="E725" s="727"/>
      <c r="F725" s="727"/>
      <c r="G725" s="189"/>
      <c r="H725" s="728" t="s">
        <v>46</v>
      </c>
      <c r="I725" s="729">
        <f ca="1">IFERROR(__xludf.DUMMYFUNCTION("IMPORTRANGE(""https://docs.google.com/spreadsheets/d/1QqKyyYR6Q21VydFLVH3TRQUabQu_ym0Zz7PgGX0-kHA/edit?usp=sharing"",""แผน!IM23"")"),0)</f>
        <v>0</v>
      </c>
      <c r="J725" s="269">
        <f ca="1">IFERROR(__xludf.DUMMYFUNCTION("IMPORTRANGE(""https://docs.google.com/spreadsheets/d/1XWAQStnk-4SwqDmLtmXYiTMKHgktTP8We1SCoS47DrQ/edit?usp=sharing"",""จัดที่ดิน!BO23"")"),0)</f>
        <v>0</v>
      </c>
      <c r="K725" s="465">
        <f t="shared" ref="K725:K726" ca="1" si="291">IF(I725&gt;0,J725*100/I725,0)</f>
        <v>0</v>
      </c>
      <c r="L725" s="730"/>
      <c r="M725" s="189"/>
      <c r="N725" s="730"/>
      <c r="O725" s="465"/>
      <c r="P725" s="465"/>
      <c r="Q725" s="541"/>
      <c r="R725" s="541"/>
      <c r="S725" s="541"/>
      <c r="T725" s="541"/>
      <c r="U725" s="541"/>
      <c r="V725" s="541"/>
      <c r="W725" s="541"/>
      <c r="X725" s="541"/>
      <c r="Y725" s="541"/>
      <c r="Z725" s="541"/>
    </row>
    <row r="726" spans="1:26" ht="18.75">
      <c r="A726" s="708"/>
      <c r="B726" s="727"/>
      <c r="C726" s="727"/>
      <c r="D726" s="727"/>
      <c r="E726" s="727" t="s">
        <v>307</v>
      </c>
      <c r="F726" s="727"/>
      <c r="G726" s="189"/>
      <c r="H726" s="728" t="s">
        <v>35</v>
      </c>
      <c r="I726" s="729">
        <f ca="1">IFERROR(__xludf.DUMMYFUNCTION("IMPORTRANGE(""https://docs.google.com/spreadsheets/d/1QqKyyYR6Q21VydFLVH3TRQUabQu_ym0Zz7PgGX0-kHA/edit?usp=sharing"",""แผน!IN23"")"),12)</f>
        <v>12</v>
      </c>
      <c r="J726" s="269">
        <f ca="1">IFERROR(__xludf.DUMMYFUNCTION("IMPORTRANGE(""https://docs.google.com/spreadsheets/d/1XWAQStnk-4SwqDmLtmXYiTMKHgktTP8We1SCoS47DrQ/edit?usp=sharing"",""จัดที่ดิน!BR23"")"),0)</f>
        <v>0</v>
      </c>
      <c r="K726" s="465">
        <f t="shared" ca="1" si="291"/>
        <v>0</v>
      </c>
      <c r="L726" s="465"/>
      <c r="M726" s="189"/>
      <c r="N726" s="730"/>
      <c r="O726" s="465"/>
      <c r="P726" s="465"/>
      <c r="Q726" s="541"/>
      <c r="R726" s="541"/>
      <c r="S726" s="541"/>
      <c r="T726" s="541"/>
      <c r="U726" s="541"/>
      <c r="V726" s="541"/>
      <c r="W726" s="541"/>
      <c r="X726" s="541"/>
      <c r="Y726" s="541"/>
      <c r="Z726" s="541"/>
    </row>
    <row r="727" spans="1:26" ht="18.75">
      <c r="A727" s="708"/>
      <c r="B727" s="727"/>
      <c r="C727" s="727"/>
      <c r="D727" s="727"/>
      <c r="E727" s="727"/>
      <c r="F727" s="727"/>
      <c r="G727" s="189"/>
      <c r="H727" s="728" t="s">
        <v>34</v>
      </c>
      <c r="I727" s="729"/>
      <c r="J727" s="269">
        <f ca="1">IFERROR(__xludf.DUMMYFUNCTION("IMPORTRANGE(""https://docs.google.com/spreadsheets/d/1XWAQStnk-4SwqDmLtmXYiTMKHgktTP8We1SCoS47DrQ/edit?usp=sharing"",""จัดที่ดิน!BS23"")"),0)</f>
        <v>0</v>
      </c>
      <c r="K727" s="465"/>
      <c r="L727" s="730"/>
      <c r="M727" s="189"/>
      <c r="N727" s="730"/>
      <c r="O727" s="465"/>
      <c r="P727" s="465"/>
      <c r="Q727" s="541"/>
      <c r="R727" s="541"/>
      <c r="S727" s="541"/>
      <c r="T727" s="541"/>
      <c r="U727" s="541"/>
      <c r="V727" s="541"/>
      <c r="W727" s="541"/>
      <c r="X727" s="541"/>
      <c r="Y727" s="541"/>
      <c r="Z727" s="541"/>
    </row>
    <row r="728" spans="1:26" ht="18.75">
      <c r="A728" s="708"/>
      <c r="B728" s="727"/>
      <c r="C728" s="727"/>
      <c r="D728" s="727"/>
      <c r="E728" s="727"/>
      <c r="F728" s="727"/>
      <c r="G728" s="189"/>
      <c r="H728" s="728" t="s">
        <v>46</v>
      </c>
      <c r="I728" s="729">
        <f ca="1">IFERROR(__xludf.DUMMYFUNCTION("IMPORTRANGE(""https://docs.google.com/spreadsheets/d/1QqKyyYR6Q21VydFLVH3TRQUabQu_ym0Zz7PgGX0-kHA/edit?usp=sharing"",""แผน!IO23"")"),52)</f>
        <v>52</v>
      </c>
      <c r="J728" s="269">
        <f ca="1">IFERROR(__xludf.DUMMYFUNCTION("IMPORTRANGE(""https://docs.google.com/spreadsheets/d/1XWAQStnk-4SwqDmLtmXYiTMKHgktTP8We1SCoS47DrQ/edit?usp=sharing"",""จัดที่ดิน!BT23"")"),0)</f>
        <v>0</v>
      </c>
      <c r="K728" s="465">
        <f t="shared" ref="K728:K729" ca="1" si="292">IF(I728&gt;0,J728*100/I728,0)</f>
        <v>0</v>
      </c>
      <c r="L728" s="730"/>
      <c r="M728" s="189"/>
      <c r="N728" s="730"/>
      <c r="O728" s="465"/>
      <c r="P728" s="465"/>
      <c r="Q728" s="541"/>
      <c r="R728" s="541"/>
      <c r="S728" s="541"/>
      <c r="T728" s="541"/>
      <c r="U728" s="541"/>
      <c r="V728" s="541"/>
      <c r="W728" s="541"/>
      <c r="X728" s="541"/>
      <c r="Y728" s="541"/>
      <c r="Z728" s="541"/>
    </row>
    <row r="729" spans="1:26" ht="19.5">
      <c r="A729" s="708"/>
      <c r="B729" s="727"/>
      <c r="C729" s="727"/>
      <c r="D729" s="727" t="s">
        <v>308</v>
      </c>
      <c r="E729" s="727"/>
      <c r="F729" s="727"/>
      <c r="G729" s="189"/>
      <c r="H729" s="731" t="s">
        <v>46</v>
      </c>
      <c r="I729" s="732">
        <f ca="1">IFERROR(__xludf.DUMMYFUNCTION("IMPORTRANGE(""https://docs.google.com/spreadsheets/d/1QqKyyYR6Q21VydFLVH3TRQUabQu_ym0Zz7PgGX0-kHA/edit?usp=sharing"",""แผน!IP23"")"),0)</f>
        <v>0</v>
      </c>
      <c r="J729" s="647">
        <f>J732+J735</f>
        <v>0</v>
      </c>
      <c r="K729" s="195">
        <f t="shared" ca="1" si="292"/>
        <v>0</v>
      </c>
      <c r="L729" s="465"/>
      <c r="M729" s="189"/>
      <c r="N729" s="730"/>
      <c r="O729" s="465"/>
      <c r="P729" s="465"/>
      <c r="Q729" s="541"/>
      <c r="R729" s="541"/>
      <c r="S729" s="541"/>
      <c r="T729" s="541"/>
      <c r="U729" s="541"/>
      <c r="V729" s="541"/>
      <c r="W729" s="541"/>
      <c r="X729" s="541"/>
      <c r="Y729" s="541"/>
      <c r="Z729" s="541"/>
    </row>
    <row r="730" spans="1:26" ht="18.75">
      <c r="A730" s="708"/>
      <c r="B730" s="727"/>
      <c r="C730" s="727"/>
      <c r="D730" s="727"/>
      <c r="E730" s="727" t="s">
        <v>309</v>
      </c>
      <c r="F730" s="727"/>
      <c r="G730" s="189"/>
      <c r="H730" s="728" t="s">
        <v>35</v>
      </c>
      <c r="I730" s="729"/>
      <c r="J730" s="214">
        <v>0</v>
      </c>
      <c r="K730" s="465"/>
      <c r="L730" s="730"/>
      <c r="M730" s="465"/>
      <c r="N730" s="730"/>
      <c r="O730" s="465"/>
      <c r="P730" s="465"/>
      <c r="Q730" s="541"/>
      <c r="R730" s="541"/>
      <c r="S730" s="541"/>
      <c r="T730" s="541"/>
      <c r="U730" s="541"/>
      <c r="V730" s="541"/>
      <c r="W730" s="541"/>
      <c r="X730" s="541"/>
      <c r="Y730" s="541"/>
      <c r="Z730" s="541"/>
    </row>
    <row r="731" spans="1:26" ht="18.75">
      <c r="A731" s="708"/>
      <c r="B731" s="727"/>
      <c r="C731" s="727"/>
      <c r="D731" s="727"/>
      <c r="E731" s="727"/>
      <c r="F731" s="727"/>
      <c r="G731" s="189"/>
      <c r="H731" s="728" t="s">
        <v>34</v>
      </c>
      <c r="I731" s="729"/>
      <c r="J731" s="214">
        <v>0</v>
      </c>
      <c r="K731" s="465"/>
      <c r="L731" s="730"/>
      <c r="M731" s="465"/>
      <c r="N731" s="730"/>
      <c r="O731" s="465"/>
      <c r="P731" s="465"/>
      <c r="Q731" s="541"/>
      <c r="R731" s="541"/>
      <c r="S731" s="541"/>
      <c r="T731" s="541"/>
      <c r="U731" s="541"/>
      <c r="V731" s="541"/>
      <c r="W731" s="541"/>
      <c r="X731" s="541"/>
      <c r="Y731" s="541"/>
      <c r="Z731" s="541"/>
    </row>
    <row r="732" spans="1:26" ht="18.75">
      <c r="A732" s="708"/>
      <c r="B732" s="727"/>
      <c r="C732" s="727"/>
      <c r="D732" s="727"/>
      <c r="E732" s="727"/>
      <c r="F732" s="727"/>
      <c r="G732" s="189"/>
      <c r="H732" s="728" t="s">
        <v>46</v>
      </c>
      <c r="I732" s="729"/>
      <c r="J732" s="214">
        <v>0</v>
      </c>
      <c r="K732" s="465"/>
      <c r="L732" s="730"/>
      <c r="M732" s="465"/>
      <c r="N732" s="730"/>
      <c r="O732" s="465"/>
      <c r="P732" s="465"/>
      <c r="Q732" s="541"/>
      <c r="R732" s="541"/>
      <c r="S732" s="541"/>
      <c r="T732" s="541"/>
      <c r="U732" s="541"/>
      <c r="V732" s="541"/>
      <c r="W732" s="541"/>
      <c r="X732" s="541"/>
      <c r="Y732" s="541"/>
      <c r="Z732" s="541"/>
    </row>
    <row r="733" spans="1:26" ht="18.75">
      <c r="A733" s="708"/>
      <c r="B733" s="727"/>
      <c r="C733" s="727"/>
      <c r="D733" s="727"/>
      <c r="E733" s="727" t="s">
        <v>310</v>
      </c>
      <c r="F733" s="727"/>
      <c r="G733" s="189"/>
      <c r="H733" s="728" t="s">
        <v>35</v>
      </c>
      <c r="I733" s="729"/>
      <c r="J733" s="214">
        <v>0</v>
      </c>
      <c r="K733" s="465"/>
      <c r="L733" s="730"/>
      <c r="M733" s="465"/>
      <c r="N733" s="730"/>
      <c r="O733" s="465"/>
      <c r="P733" s="465"/>
      <c r="Q733" s="541"/>
      <c r="R733" s="541"/>
      <c r="S733" s="541"/>
      <c r="T733" s="541"/>
      <c r="U733" s="541"/>
      <c r="V733" s="541"/>
      <c r="W733" s="541"/>
      <c r="X733" s="541"/>
      <c r="Y733" s="541"/>
      <c r="Z733" s="541"/>
    </row>
    <row r="734" spans="1:26" ht="18.75">
      <c r="A734" s="708"/>
      <c r="B734" s="727"/>
      <c r="C734" s="727"/>
      <c r="D734" s="727"/>
      <c r="E734" s="727"/>
      <c r="F734" s="727"/>
      <c r="G734" s="189"/>
      <c r="H734" s="728" t="s">
        <v>34</v>
      </c>
      <c r="I734" s="729"/>
      <c r="J734" s="214">
        <v>0</v>
      </c>
      <c r="K734" s="465"/>
      <c r="L734" s="730"/>
      <c r="M734" s="465"/>
      <c r="N734" s="730"/>
      <c r="O734" s="465"/>
      <c r="P734" s="465"/>
      <c r="Q734" s="541"/>
      <c r="R734" s="541"/>
      <c r="S734" s="541"/>
      <c r="T734" s="541"/>
      <c r="U734" s="541"/>
      <c r="V734" s="541"/>
      <c r="W734" s="541"/>
      <c r="X734" s="541"/>
      <c r="Y734" s="541"/>
      <c r="Z734" s="541"/>
    </row>
    <row r="735" spans="1:26" ht="19.5">
      <c r="A735" s="734"/>
      <c r="B735" s="735" t="s">
        <v>311</v>
      </c>
      <c r="C735" s="698"/>
      <c r="D735" s="698"/>
      <c r="E735" s="698"/>
      <c r="F735" s="698"/>
      <c r="G735" s="699"/>
      <c r="H735" s="390" t="s">
        <v>46</v>
      </c>
      <c r="I735" s="736"/>
      <c r="J735" s="392">
        <v>0</v>
      </c>
      <c r="K735" s="469"/>
      <c r="L735" s="737"/>
      <c r="M735" s="469"/>
      <c r="N735" s="737"/>
      <c r="O735" s="469"/>
      <c r="P735" s="469"/>
      <c r="Q735" s="541"/>
      <c r="R735" s="541"/>
      <c r="S735" s="541"/>
      <c r="T735" s="541"/>
      <c r="U735" s="541"/>
      <c r="V735" s="541"/>
      <c r="W735" s="541"/>
      <c r="X735" s="541"/>
      <c r="Y735" s="541"/>
      <c r="Z735" s="541"/>
    </row>
    <row r="736" spans="1:26" ht="19.5" hidden="1">
      <c r="A736" s="738">
        <v>9</v>
      </c>
      <c r="B736" s="739" t="s">
        <v>312</v>
      </c>
      <c r="C736" s="740"/>
      <c r="D736" s="740"/>
      <c r="E736" s="740"/>
      <c r="F736" s="740"/>
      <c r="G736" s="741"/>
      <c r="H736" s="742" t="s">
        <v>46</v>
      </c>
      <c r="I736" s="743"/>
      <c r="J736" s="743">
        <f>J751</f>
        <v>0</v>
      </c>
      <c r="K736" s="744">
        <f>IF(I736&gt;0,J736*100/I736,0)</f>
        <v>0</v>
      </c>
      <c r="L736" s="745"/>
      <c r="M736" s="745"/>
      <c r="N736" s="745"/>
      <c r="O736" s="745"/>
      <c r="P736" s="745"/>
      <c r="Q736" s="568"/>
      <c r="R736" s="568"/>
      <c r="S736" s="568"/>
      <c r="T736" s="568"/>
      <c r="U736" s="568"/>
      <c r="V736" s="568"/>
      <c r="W736" s="568"/>
      <c r="X736" s="568"/>
      <c r="Y736" s="568"/>
      <c r="Z736" s="568"/>
    </row>
    <row r="737" spans="1:26" ht="19.5" hidden="1">
      <c r="A737" s="563"/>
      <c r="B737" s="723"/>
      <c r="C737" s="723" t="s">
        <v>16</v>
      </c>
      <c r="D737" s="812" t="s">
        <v>17</v>
      </c>
      <c r="E737" s="805"/>
      <c r="F737" s="805"/>
      <c r="G737" s="567"/>
      <c r="H737" s="612" t="s">
        <v>12</v>
      </c>
      <c r="I737" s="583"/>
      <c r="J737" s="583"/>
      <c r="K737" s="93"/>
      <c r="L737" s="613">
        <f t="shared" ref="L737:N737" si="293">L738+L739</f>
        <v>0</v>
      </c>
      <c r="M737" s="613">
        <f t="shared" si="293"/>
        <v>0</v>
      </c>
      <c r="N737" s="613">
        <f t="shared" si="293"/>
        <v>0</v>
      </c>
      <c r="O737" s="613">
        <f t="shared" ref="O737:O742" si="294">IF(L737&gt;0,N737*100/L737,0)</f>
        <v>0</v>
      </c>
      <c r="P737" s="613">
        <f t="shared" ref="P737:P742" si="295">IF(M737&gt;0,N737*100/M737,0)</f>
        <v>0</v>
      </c>
      <c r="Q737" s="568"/>
      <c r="R737" s="568"/>
      <c r="S737" s="568"/>
      <c r="T737" s="568"/>
      <c r="U737" s="568"/>
      <c r="V737" s="568"/>
      <c r="W737" s="568"/>
      <c r="X737" s="568"/>
      <c r="Y737" s="568"/>
      <c r="Z737" s="568"/>
    </row>
    <row r="738" spans="1:26" ht="18.75" hidden="1">
      <c r="A738" s="563"/>
      <c r="B738" s="723"/>
      <c r="C738" s="723"/>
      <c r="D738" s="684"/>
      <c r="E738" s="723" t="s">
        <v>184</v>
      </c>
      <c r="F738" s="723"/>
      <c r="G738" s="567"/>
      <c r="H738" s="165" t="s">
        <v>12</v>
      </c>
      <c r="I738" s="583"/>
      <c r="J738" s="583"/>
      <c r="K738" s="93"/>
      <c r="L738" s="93">
        <f t="shared" ref="L738:N739" si="296">L741+L748</f>
        <v>0</v>
      </c>
      <c r="M738" s="93">
        <f t="shared" si="296"/>
        <v>0</v>
      </c>
      <c r="N738" s="93">
        <f t="shared" si="296"/>
        <v>0</v>
      </c>
      <c r="O738" s="93">
        <f t="shared" si="294"/>
        <v>0</v>
      </c>
      <c r="P738" s="93">
        <f t="shared" si="295"/>
        <v>0</v>
      </c>
      <c r="Q738" s="568"/>
      <c r="R738" s="568"/>
      <c r="S738" s="568"/>
      <c r="T738" s="568"/>
      <c r="U738" s="568"/>
      <c r="V738" s="568"/>
      <c r="W738" s="568"/>
      <c r="X738" s="568"/>
      <c r="Y738" s="568"/>
      <c r="Z738" s="568"/>
    </row>
    <row r="739" spans="1:26" ht="18.75" hidden="1">
      <c r="A739" s="563"/>
      <c r="B739" s="571"/>
      <c r="C739" s="723"/>
      <c r="D739" s="684"/>
      <c r="E739" s="723" t="s">
        <v>185</v>
      </c>
      <c r="F739" s="723"/>
      <c r="G739" s="567"/>
      <c r="H739" s="165" t="s">
        <v>12</v>
      </c>
      <c r="I739" s="583"/>
      <c r="J739" s="583"/>
      <c r="K739" s="93"/>
      <c r="L739" s="93">
        <f t="shared" si="296"/>
        <v>0</v>
      </c>
      <c r="M739" s="93">
        <f t="shared" si="296"/>
        <v>0</v>
      </c>
      <c r="N739" s="93">
        <f t="shared" si="296"/>
        <v>0</v>
      </c>
      <c r="O739" s="93">
        <f t="shared" si="294"/>
        <v>0</v>
      </c>
      <c r="P739" s="93">
        <f t="shared" si="295"/>
        <v>0</v>
      </c>
      <c r="Q739" s="568"/>
      <c r="R739" s="568"/>
      <c r="S739" s="568"/>
      <c r="T739" s="568"/>
      <c r="U739" s="568"/>
      <c r="V739" s="568"/>
      <c r="W739" s="568"/>
      <c r="X739" s="568"/>
      <c r="Y739" s="568"/>
      <c r="Z739" s="568"/>
    </row>
    <row r="740" spans="1:26" ht="19.5" hidden="1">
      <c r="A740" s="563"/>
      <c r="B740" s="571"/>
      <c r="C740" s="723"/>
      <c r="D740" s="611" t="s">
        <v>20</v>
      </c>
      <c r="E740" s="723"/>
      <c r="F740" s="723"/>
      <c r="G740" s="567"/>
      <c r="H740" s="612" t="s">
        <v>12</v>
      </c>
      <c r="I740" s="166"/>
      <c r="J740" s="166"/>
      <c r="K740" s="167"/>
      <c r="L740" s="613">
        <f t="shared" ref="L740:N740" si="297">L741+L742</f>
        <v>0</v>
      </c>
      <c r="M740" s="613">
        <f t="shared" si="297"/>
        <v>0</v>
      </c>
      <c r="N740" s="613">
        <f t="shared" si="297"/>
        <v>0</v>
      </c>
      <c r="O740" s="613">
        <f t="shared" si="294"/>
        <v>0</v>
      </c>
      <c r="P740" s="613">
        <f t="shared" si="295"/>
        <v>0</v>
      </c>
      <c r="Q740" s="568"/>
      <c r="R740" s="568"/>
      <c r="S740" s="568"/>
      <c r="T740" s="568"/>
      <c r="U740" s="568"/>
      <c r="V740" s="568"/>
      <c r="W740" s="568"/>
      <c r="X740" s="568"/>
      <c r="Y740" s="568"/>
      <c r="Z740" s="568"/>
    </row>
    <row r="741" spans="1:26" ht="18.75" hidden="1">
      <c r="A741" s="563"/>
      <c r="B741" s="571"/>
      <c r="C741" s="723"/>
      <c r="D741" s="684"/>
      <c r="E741" s="723" t="s">
        <v>184</v>
      </c>
      <c r="F741" s="723"/>
      <c r="G741" s="567"/>
      <c r="H741" s="165" t="s">
        <v>12</v>
      </c>
      <c r="I741" s="583"/>
      <c r="J741" s="583"/>
      <c r="K741" s="93"/>
      <c r="L741" s="93">
        <v>0</v>
      </c>
      <c r="M741" s="93">
        <v>0</v>
      </c>
      <c r="N741" s="93">
        <v>0</v>
      </c>
      <c r="O741" s="93">
        <f t="shared" si="294"/>
        <v>0</v>
      </c>
      <c r="P741" s="93">
        <f t="shared" si="295"/>
        <v>0</v>
      </c>
      <c r="Q741" s="568"/>
      <c r="R741" s="568"/>
      <c r="S741" s="568"/>
      <c r="T741" s="568"/>
      <c r="U741" s="568"/>
      <c r="V741" s="568"/>
      <c r="W741" s="568"/>
      <c r="X741" s="568"/>
      <c r="Y741" s="568"/>
      <c r="Z741" s="568"/>
    </row>
    <row r="742" spans="1:26" ht="18.75" hidden="1">
      <c r="A742" s="563"/>
      <c r="B742" s="571"/>
      <c r="C742" s="723"/>
      <c r="D742" s="684"/>
      <c r="E742" s="723" t="s">
        <v>185</v>
      </c>
      <c r="F742" s="723"/>
      <c r="G742" s="567"/>
      <c r="H742" s="165" t="s">
        <v>12</v>
      </c>
      <c r="I742" s="583"/>
      <c r="J742" s="583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4"/>
        <v>0</v>
      </c>
      <c r="P742" s="93">
        <f t="shared" si="295"/>
        <v>0</v>
      </c>
      <c r="Q742" s="568"/>
      <c r="R742" s="568"/>
      <c r="S742" s="568"/>
      <c r="T742" s="568"/>
      <c r="U742" s="568"/>
      <c r="V742" s="568"/>
      <c r="W742" s="568"/>
      <c r="X742" s="568"/>
      <c r="Y742" s="568"/>
      <c r="Z742" s="568"/>
    </row>
    <row r="743" spans="1:26" ht="18.75" hidden="1">
      <c r="A743" s="615"/>
      <c r="B743" s="571"/>
      <c r="C743" s="723"/>
      <c r="D743" s="723"/>
      <c r="E743" s="723"/>
      <c r="F743" s="723" t="s">
        <v>186</v>
      </c>
      <c r="G743" s="567"/>
      <c r="H743" s="165" t="s">
        <v>12</v>
      </c>
      <c r="I743" s="583"/>
      <c r="J743" s="583"/>
      <c r="K743" s="93"/>
      <c r="L743" s="93"/>
      <c r="M743" s="93"/>
      <c r="N743" s="93"/>
      <c r="O743" s="93"/>
      <c r="P743" s="93"/>
      <c r="Q743" s="568"/>
      <c r="R743" s="568"/>
      <c r="S743" s="568"/>
      <c r="T743" s="568"/>
      <c r="U743" s="568"/>
      <c r="V743" s="568"/>
      <c r="W743" s="568"/>
      <c r="X743" s="568"/>
      <c r="Y743" s="568"/>
      <c r="Z743" s="568"/>
    </row>
    <row r="744" spans="1:26" ht="18.75" hidden="1">
      <c r="A744" s="615"/>
      <c r="B744" s="571"/>
      <c r="C744" s="723"/>
      <c r="D744" s="723"/>
      <c r="E744" s="723"/>
      <c r="F744" s="723" t="s">
        <v>187</v>
      </c>
      <c r="G744" s="567"/>
      <c r="H744" s="165" t="s">
        <v>12</v>
      </c>
      <c r="I744" s="583"/>
      <c r="J744" s="583"/>
      <c r="K744" s="93"/>
      <c r="L744" s="93"/>
      <c r="M744" s="93"/>
      <c r="N744" s="93"/>
      <c r="O744" s="93"/>
      <c r="P744" s="93"/>
      <c r="Q744" s="568"/>
      <c r="R744" s="568"/>
      <c r="S744" s="568"/>
      <c r="T744" s="568"/>
      <c r="U744" s="568"/>
      <c r="V744" s="568"/>
      <c r="W744" s="568"/>
      <c r="X744" s="568"/>
      <c r="Y744" s="568"/>
      <c r="Z744" s="568"/>
    </row>
    <row r="745" spans="1:26" ht="18.75" hidden="1">
      <c r="A745" s="615"/>
      <c r="B745" s="571"/>
      <c r="C745" s="723"/>
      <c r="D745" s="723"/>
      <c r="E745" s="723"/>
      <c r="F745" s="723" t="s">
        <v>188</v>
      </c>
      <c r="G745" s="567"/>
      <c r="H745" s="165" t="s">
        <v>12</v>
      </c>
      <c r="I745" s="583"/>
      <c r="J745" s="583"/>
      <c r="K745" s="93"/>
      <c r="L745" s="93"/>
      <c r="M745" s="93"/>
      <c r="N745" s="93"/>
      <c r="O745" s="93"/>
      <c r="P745" s="93"/>
      <c r="Q745" s="568"/>
      <c r="R745" s="568"/>
      <c r="S745" s="568"/>
      <c r="T745" s="568"/>
      <c r="U745" s="568"/>
      <c r="V745" s="568"/>
      <c r="W745" s="568"/>
      <c r="X745" s="568"/>
      <c r="Y745" s="568"/>
      <c r="Z745" s="568"/>
    </row>
    <row r="746" spans="1:26" ht="18.75" hidden="1">
      <c r="A746" s="615"/>
      <c r="B746" s="571"/>
      <c r="C746" s="723"/>
      <c r="D746" s="723"/>
      <c r="E746" s="723"/>
      <c r="F746" s="723" t="s">
        <v>189</v>
      </c>
      <c r="G746" s="567"/>
      <c r="H746" s="165" t="s">
        <v>12</v>
      </c>
      <c r="I746" s="583"/>
      <c r="J746" s="583"/>
      <c r="K746" s="93"/>
      <c r="L746" s="93"/>
      <c r="M746" s="93"/>
      <c r="N746" s="93"/>
      <c r="O746" s="93"/>
      <c r="P746" s="93"/>
      <c r="Q746" s="568"/>
      <c r="R746" s="568"/>
      <c r="S746" s="568"/>
      <c r="T746" s="568"/>
      <c r="U746" s="568"/>
      <c r="V746" s="568"/>
      <c r="W746" s="568"/>
      <c r="X746" s="568"/>
      <c r="Y746" s="568"/>
      <c r="Z746" s="568"/>
    </row>
    <row r="747" spans="1:26" ht="19.5" hidden="1">
      <c r="A747" s="563"/>
      <c r="B747" s="571"/>
      <c r="C747" s="723"/>
      <c r="D747" s="611" t="s">
        <v>21</v>
      </c>
      <c r="E747" s="723"/>
      <c r="F747" s="723"/>
      <c r="G747" s="567"/>
      <c r="H747" s="747" t="s">
        <v>12</v>
      </c>
      <c r="I747" s="166"/>
      <c r="J747" s="166"/>
      <c r="K747" s="167"/>
      <c r="L747" s="613">
        <f t="shared" ref="L747:N747" si="298">L748+L749</f>
        <v>0</v>
      </c>
      <c r="M747" s="613">
        <f t="shared" si="298"/>
        <v>0</v>
      </c>
      <c r="N747" s="613">
        <f t="shared" si="298"/>
        <v>0</v>
      </c>
      <c r="O747" s="613">
        <f t="shared" ref="O747:O749" si="299">IF(L747&gt;0,N747*100/L747,0)</f>
        <v>0</v>
      </c>
      <c r="P747" s="613">
        <f t="shared" ref="P747:P749" si="300">IF(M747&gt;0,N747*100/M747,0)</f>
        <v>0</v>
      </c>
      <c r="Q747" s="568"/>
      <c r="R747" s="568"/>
      <c r="S747" s="568"/>
      <c r="T747" s="568"/>
      <c r="U747" s="568"/>
      <c r="V747" s="568"/>
      <c r="W747" s="568"/>
      <c r="X747" s="568"/>
      <c r="Y747" s="568"/>
      <c r="Z747" s="568"/>
    </row>
    <row r="748" spans="1:26" ht="18.75" hidden="1">
      <c r="A748" s="563"/>
      <c r="B748" s="571"/>
      <c r="C748" s="723"/>
      <c r="D748" s="723"/>
      <c r="E748" s="723" t="s">
        <v>18</v>
      </c>
      <c r="F748" s="723"/>
      <c r="G748" s="567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299"/>
        <v>0</v>
      </c>
      <c r="P748" s="93">
        <f t="shared" si="300"/>
        <v>0</v>
      </c>
      <c r="Q748" s="568"/>
      <c r="R748" s="568"/>
      <c r="S748" s="568"/>
      <c r="T748" s="568"/>
      <c r="U748" s="568"/>
      <c r="V748" s="568"/>
      <c r="W748" s="568"/>
      <c r="X748" s="568"/>
      <c r="Y748" s="568"/>
      <c r="Z748" s="568"/>
    </row>
    <row r="749" spans="1:26" ht="18.75" hidden="1">
      <c r="A749" s="563"/>
      <c r="B749" s="571"/>
      <c r="C749" s="723"/>
      <c r="D749" s="723"/>
      <c r="E749" s="723" t="s">
        <v>19</v>
      </c>
      <c r="F749" s="723"/>
      <c r="G749" s="567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299"/>
        <v>0</v>
      </c>
      <c r="P749" s="93">
        <f t="shared" si="300"/>
        <v>0</v>
      </c>
      <c r="Q749" s="568"/>
      <c r="R749" s="568"/>
      <c r="S749" s="568"/>
      <c r="T749" s="568"/>
      <c r="U749" s="568"/>
      <c r="V749" s="568"/>
      <c r="W749" s="568"/>
      <c r="X749" s="568"/>
      <c r="Y749" s="568"/>
      <c r="Z749" s="568"/>
    </row>
    <row r="750" spans="1:26" ht="19.5" hidden="1">
      <c r="A750" s="578"/>
      <c r="B750" s="580"/>
      <c r="C750" s="723" t="s">
        <v>16</v>
      </c>
      <c r="D750" s="856" t="s">
        <v>38</v>
      </c>
      <c r="E750" s="617"/>
      <c r="F750" s="617"/>
      <c r="G750" s="618"/>
      <c r="H750" s="581"/>
      <c r="I750" s="166"/>
      <c r="J750" s="166"/>
      <c r="K750" s="167"/>
      <c r="L750" s="167"/>
      <c r="M750" s="167"/>
      <c r="N750" s="167"/>
      <c r="O750" s="167"/>
      <c r="P750" s="167"/>
      <c r="Q750" s="568"/>
      <c r="R750" s="568"/>
      <c r="S750" s="568"/>
      <c r="T750" s="568"/>
      <c r="U750" s="568"/>
      <c r="V750" s="568"/>
      <c r="W750" s="568"/>
      <c r="X750" s="568"/>
      <c r="Y750" s="568"/>
      <c r="Z750" s="568"/>
    </row>
    <row r="751" spans="1:26" ht="18.75" hidden="1">
      <c r="A751" s="615"/>
      <c r="B751" s="571"/>
      <c r="C751" s="723"/>
      <c r="D751" s="723"/>
      <c r="E751" s="723" t="s">
        <v>313</v>
      </c>
      <c r="F751" s="723"/>
      <c r="G751" s="567"/>
      <c r="H751" s="165" t="s">
        <v>46</v>
      </c>
      <c r="I751" s="583"/>
      <c r="J751" s="583"/>
      <c r="K751" s="93"/>
      <c r="L751" s="93"/>
      <c r="M751" s="93"/>
      <c r="N751" s="93"/>
      <c r="O751" s="93"/>
      <c r="P751" s="93"/>
      <c r="Q751" s="568"/>
      <c r="R751" s="568"/>
      <c r="S751" s="568"/>
      <c r="T751" s="568"/>
      <c r="U751" s="568"/>
      <c r="V751" s="568"/>
      <c r="W751" s="568"/>
      <c r="X751" s="568"/>
      <c r="Y751" s="568"/>
      <c r="Z751" s="568"/>
    </row>
    <row r="752" spans="1:26" ht="18.75" hidden="1">
      <c r="A752" s="615"/>
      <c r="B752" s="571"/>
      <c r="C752" s="723"/>
      <c r="D752" s="723"/>
      <c r="E752" s="723"/>
      <c r="F752" s="723"/>
      <c r="G752" s="567"/>
      <c r="H752" s="165" t="s">
        <v>314</v>
      </c>
      <c r="I752" s="583"/>
      <c r="J752" s="583"/>
      <c r="K752" s="93"/>
      <c r="L752" s="93"/>
      <c r="M752" s="93"/>
      <c r="N752" s="93"/>
      <c r="O752" s="93"/>
      <c r="P752" s="93"/>
      <c r="Q752" s="568"/>
      <c r="R752" s="568"/>
      <c r="S752" s="568"/>
      <c r="T752" s="568"/>
      <c r="U752" s="568"/>
      <c r="V752" s="568"/>
      <c r="W752" s="568"/>
      <c r="X752" s="568"/>
      <c r="Y752" s="568"/>
      <c r="Z752" s="568"/>
    </row>
    <row r="753" spans="1:26" ht="19.5" hidden="1">
      <c r="A753" s="749">
        <v>10</v>
      </c>
      <c r="B753" s="750" t="s">
        <v>315</v>
      </c>
      <c r="C753" s="751"/>
      <c r="D753" s="751"/>
      <c r="E753" s="751"/>
      <c r="F753" s="751"/>
      <c r="G753" s="752"/>
      <c r="H753" s="753" t="s">
        <v>46</v>
      </c>
      <c r="I753" s="754"/>
      <c r="J753" s="754">
        <f>J768</f>
        <v>0</v>
      </c>
      <c r="K753" s="755">
        <f>IF(I753&gt;0,J753*100/I753,0)</f>
        <v>0</v>
      </c>
      <c r="L753" s="756"/>
      <c r="M753" s="756"/>
      <c r="N753" s="756"/>
      <c r="O753" s="756"/>
      <c r="P753" s="756"/>
      <c r="Q753" s="568"/>
      <c r="R753" s="568"/>
      <c r="S753" s="568"/>
      <c r="T753" s="568"/>
      <c r="U753" s="568"/>
      <c r="V753" s="568"/>
      <c r="W753" s="568"/>
      <c r="X753" s="568"/>
      <c r="Y753" s="568"/>
      <c r="Z753" s="568"/>
    </row>
    <row r="754" spans="1:26" ht="19.5" hidden="1">
      <c r="A754" s="563"/>
      <c r="B754" s="723"/>
      <c r="C754" s="723" t="s">
        <v>16</v>
      </c>
      <c r="D754" s="812" t="s">
        <v>17</v>
      </c>
      <c r="E754" s="805"/>
      <c r="F754" s="805"/>
      <c r="G754" s="567"/>
      <c r="H754" s="612" t="s">
        <v>12</v>
      </c>
      <c r="I754" s="583"/>
      <c r="J754" s="583"/>
      <c r="K754" s="93"/>
      <c r="L754" s="613">
        <f t="shared" ref="L754:N754" si="301">L755+L756</f>
        <v>0</v>
      </c>
      <c r="M754" s="613">
        <f t="shared" si="301"/>
        <v>0</v>
      </c>
      <c r="N754" s="613">
        <f t="shared" si="301"/>
        <v>0</v>
      </c>
      <c r="O754" s="613">
        <f t="shared" ref="O754:O759" si="302">IF(L754&gt;0,N754*100/L754,0)</f>
        <v>0</v>
      </c>
      <c r="P754" s="613">
        <f t="shared" ref="P754:P759" si="303">IF(M754&gt;0,N754*100/M754,0)</f>
        <v>0</v>
      </c>
      <c r="Q754" s="568"/>
      <c r="R754" s="568"/>
      <c r="S754" s="568"/>
      <c r="T754" s="568"/>
      <c r="U754" s="568"/>
      <c r="V754" s="568"/>
      <c r="W754" s="568"/>
      <c r="X754" s="568"/>
      <c r="Y754" s="568"/>
      <c r="Z754" s="568"/>
    </row>
    <row r="755" spans="1:26" ht="18.75" hidden="1">
      <c r="A755" s="563"/>
      <c r="B755" s="723"/>
      <c r="C755" s="723"/>
      <c r="D755" s="684"/>
      <c r="E755" s="723" t="s">
        <v>184</v>
      </c>
      <c r="F755" s="723"/>
      <c r="G755" s="567"/>
      <c r="H755" s="165" t="s">
        <v>12</v>
      </c>
      <c r="I755" s="583"/>
      <c r="J755" s="583"/>
      <c r="K755" s="93"/>
      <c r="L755" s="93">
        <f t="shared" ref="L755:N756" si="304">L758+L765</f>
        <v>0</v>
      </c>
      <c r="M755" s="93">
        <f t="shared" si="304"/>
        <v>0</v>
      </c>
      <c r="N755" s="93">
        <f t="shared" si="304"/>
        <v>0</v>
      </c>
      <c r="O755" s="93">
        <f t="shared" si="302"/>
        <v>0</v>
      </c>
      <c r="P755" s="93">
        <f t="shared" si="303"/>
        <v>0</v>
      </c>
      <c r="Q755" s="568"/>
      <c r="R755" s="568"/>
      <c r="S755" s="568"/>
      <c r="T755" s="568"/>
      <c r="U755" s="568"/>
      <c r="V755" s="568"/>
      <c r="W755" s="568"/>
      <c r="X755" s="568"/>
      <c r="Y755" s="568"/>
      <c r="Z755" s="568"/>
    </row>
    <row r="756" spans="1:26" ht="18.75" hidden="1">
      <c r="A756" s="563"/>
      <c r="B756" s="571"/>
      <c r="C756" s="723"/>
      <c r="D756" s="684"/>
      <c r="E756" s="723" t="s">
        <v>185</v>
      </c>
      <c r="F756" s="723"/>
      <c r="G756" s="567"/>
      <c r="H756" s="165" t="s">
        <v>12</v>
      </c>
      <c r="I756" s="583"/>
      <c r="J756" s="583"/>
      <c r="K756" s="93"/>
      <c r="L756" s="93">
        <f t="shared" si="304"/>
        <v>0</v>
      </c>
      <c r="M756" s="93">
        <f t="shared" si="304"/>
        <v>0</v>
      </c>
      <c r="N756" s="93">
        <f t="shared" si="304"/>
        <v>0</v>
      </c>
      <c r="O756" s="93">
        <f t="shared" si="302"/>
        <v>0</v>
      </c>
      <c r="P756" s="93">
        <f t="shared" si="303"/>
        <v>0</v>
      </c>
      <c r="Q756" s="568"/>
      <c r="R756" s="568"/>
      <c r="S756" s="568"/>
      <c r="T756" s="568"/>
      <c r="U756" s="568"/>
      <c r="V756" s="568"/>
      <c r="W756" s="568"/>
      <c r="X756" s="568"/>
      <c r="Y756" s="568"/>
      <c r="Z756" s="568"/>
    </row>
    <row r="757" spans="1:26" ht="19.5" hidden="1">
      <c r="A757" s="563"/>
      <c r="B757" s="571"/>
      <c r="C757" s="723"/>
      <c r="D757" s="611" t="s">
        <v>20</v>
      </c>
      <c r="E757" s="723"/>
      <c r="F757" s="723"/>
      <c r="G757" s="567"/>
      <c r="H757" s="612" t="s">
        <v>12</v>
      </c>
      <c r="I757" s="166"/>
      <c r="J757" s="166"/>
      <c r="K757" s="167"/>
      <c r="L757" s="613">
        <f t="shared" ref="L757:N757" si="305">L758+L759</f>
        <v>0</v>
      </c>
      <c r="M757" s="613">
        <f t="shared" si="305"/>
        <v>0</v>
      </c>
      <c r="N757" s="613">
        <f t="shared" si="305"/>
        <v>0</v>
      </c>
      <c r="O757" s="613">
        <f t="shared" si="302"/>
        <v>0</v>
      </c>
      <c r="P757" s="613">
        <f t="shared" si="303"/>
        <v>0</v>
      </c>
      <c r="Q757" s="568"/>
      <c r="R757" s="568"/>
      <c r="S757" s="568"/>
      <c r="T757" s="568"/>
      <c r="U757" s="568"/>
      <c r="V757" s="568"/>
      <c r="W757" s="568"/>
      <c r="X757" s="568"/>
      <c r="Y757" s="568"/>
      <c r="Z757" s="568"/>
    </row>
    <row r="758" spans="1:26" ht="18.75" hidden="1">
      <c r="A758" s="563"/>
      <c r="B758" s="571"/>
      <c r="C758" s="723"/>
      <c r="D758" s="684"/>
      <c r="E758" s="723" t="s">
        <v>184</v>
      </c>
      <c r="F758" s="723"/>
      <c r="G758" s="567"/>
      <c r="H758" s="165" t="s">
        <v>12</v>
      </c>
      <c r="I758" s="583"/>
      <c r="J758" s="583"/>
      <c r="K758" s="93"/>
      <c r="L758" s="93">
        <v>0</v>
      </c>
      <c r="M758" s="93">
        <v>0</v>
      </c>
      <c r="N758" s="93">
        <v>0</v>
      </c>
      <c r="O758" s="93">
        <f t="shared" si="302"/>
        <v>0</v>
      </c>
      <c r="P758" s="93">
        <f t="shared" si="303"/>
        <v>0</v>
      </c>
      <c r="Q758" s="568"/>
      <c r="R758" s="568"/>
      <c r="S758" s="568"/>
      <c r="T758" s="568"/>
      <c r="U758" s="568"/>
      <c r="V758" s="568"/>
      <c r="W758" s="568"/>
      <c r="X758" s="568"/>
      <c r="Y758" s="568"/>
      <c r="Z758" s="568"/>
    </row>
    <row r="759" spans="1:26" ht="18.75" hidden="1">
      <c r="A759" s="563"/>
      <c r="B759" s="571"/>
      <c r="C759" s="723"/>
      <c r="D759" s="684"/>
      <c r="E759" s="723" t="s">
        <v>185</v>
      </c>
      <c r="F759" s="723"/>
      <c r="G759" s="567"/>
      <c r="H759" s="165" t="s">
        <v>12</v>
      </c>
      <c r="I759" s="583"/>
      <c r="J759" s="583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2"/>
        <v>0</v>
      </c>
      <c r="P759" s="93">
        <f t="shared" si="303"/>
        <v>0</v>
      </c>
      <c r="Q759" s="568"/>
      <c r="R759" s="568"/>
      <c r="S759" s="568"/>
      <c r="T759" s="568"/>
      <c r="U759" s="568"/>
      <c r="V759" s="568"/>
      <c r="W759" s="568"/>
      <c r="X759" s="568"/>
      <c r="Y759" s="568"/>
      <c r="Z759" s="568"/>
    </row>
    <row r="760" spans="1:26" ht="18.75" hidden="1">
      <c r="A760" s="615"/>
      <c r="B760" s="571"/>
      <c r="C760" s="723"/>
      <c r="D760" s="723"/>
      <c r="E760" s="723"/>
      <c r="F760" s="723" t="s">
        <v>186</v>
      </c>
      <c r="G760" s="567"/>
      <c r="H760" s="165" t="s">
        <v>12</v>
      </c>
      <c r="I760" s="583"/>
      <c r="J760" s="583"/>
      <c r="K760" s="93"/>
      <c r="L760" s="93"/>
      <c r="M760" s="93"/>
      <c r="N760" s="93"/>
      <c r="O760" s="93"/>
      <c r="P760" s="93"/>
      <c r="Q760" s="568"/>
      <c r="R760" s="568"/>
      <c r="S760" s="568"/>
      <c r="T760" s="568"/>
      <c r="U760" s="568"/>
      <c r="V760" s="568"/>
      <c r="W760" s="568"/>
      <c r="X760" s="568"/>
      <c r="Y760" s="568"/>
      <c r="Z760" s="568"/>
    </row>
    <row r="761" spans="1:26" ht="18.75" hidden="1">
      <c r="A761" s="615"/>
      <c r="B761" s="571"/>
      <c r="C761" s="723"/>
      <c r="D761" s="723"/>
      <c r="E761" s="723"/>
      <c r="F761" s="723" t="s">
        <v>187</v>
      </c>
      <c r="G761" s="567"/>
      <c r="H761" s="165" t="s">
        <v>12</v>
      </c>
      <c r="I761" s="583"/>
      <c r="J761" s="583"/>
      <c r="K761" s="93"/>
      <c r="L761" s="93"/>
      <c r="M761" s="93"/>
      <c r="N761" s="93"/>
      <c r="O761" s="93"/>
      <c r="P761" s="93"/>
      <c r="Q761" s="568"/>
      <c r="R761" s="568"/>
      <c r="S761" s="568"/>
      <c r="T761" s="568"/>
      <c r="U761" s="568"/>
      <c r="V761" s="568"/>
      <c r="W761" s="568"/>
      <c r="X761" s="568"/>
      <c r="Y761" s="568"/>
      <c r="Z761" s="568"/>
    </row>
    <row r="762" spans="1:26" ht="18.75" hidden="1">
      <c r="A762" s="615"/>
      <c r="B762" s="571"/>
      <c r="C762" s="723"/>
      <c r="D762" s="723"/>
      <c r="E762" s="723"/>
      <c r="F762" s="723" t="s">
        <v>188</v>
      </c>
      <c r="G762" s="567"/>
      <c r="H762" s="165" t="s">
        <v>12</v>
      </c>
      <c r="I762" s="583"/>
      <c r="J762" s="583"/>
      <c r="K762" s="93"/>
      <c r="L762" s="93"/>
      <c r="M762" s="93"/>
      <c r="N762" s="93"/>
      <c r="O762" s="93"/>
      <c r="P762" s="93"/>
      <c r="Q762" s="568"/>
      <c r="R762" s="568"/>
      <c r="S762" s="568"/>
      <c r="T762" s="568"/>
      <c r="U762" s="568"/>
      <c r="V762" s="568"/>
      <c r="W762" s="568"/>
      <c r="X762" s="568"/>
      <c r="Y762" s="568"/>
      <c r="Z762" s="568"/>
    </row>
    <row r="763" spans="1:26" ht="18.75" hidden="1">
      <c r="A763" s="615"/>
      <c r="B763" s="571"/>
      <c r="C763" s="723"/>
      <c r="D763" s="723"/>
      <c r="E763" s="723"/>
      <c r="F763" s="723" t="s">
        <v>189</v>
      </c>
      <c r="G763" s="567"/>
      <c r="H763" s="165" t="s">
        <v>12</v>
      </c>
      <c r="I763" s="583"/>
      <c r="J763" s="583"/>
      <c r="K763" s="93"/>
      <c r="L763" s="93"/>
      <c r="M763" s="93"/>
      <c r="N763" s="93"/>
      <c r="O763" s="93"/>
      <c r="P763" s="93"/>
      <c r="Q763" s="568"/>
      <c r="R763" s="568"/>
      <c r="S763" s="568"/>
      <c r="T763" s="568"/>
      <c r="U763" s="568"/>
      <c r="V763" s="568"/>
      <c r="W763" s="568"/>
      <c r="X763" s="568"/>
      <c r="Y763" s="568"/>
      <c r="Z763" s="568"/>
    </row>
    <row r="764" spans="1:26" ht="19.5" hidden="1">
      <c r="A764" s="563"/>
      <c r="B764" s="571"/>
      <c r="C764" s="723"/>
      <c r="D764" s="611" t="s">
        <v>21</v>
      </c>
      <c r="E764" s="723"/>
      <c r="F764" s="723"/>
      <c r="G764" s="567"/>
      <c r="H764" s="747" t="s">
        <v>12</v>
      </c>
      <c r="I764" s="166"/>
      <c r="J764" s="166"/>
      <c r="K764" s="167"/>
      <c r="L764" s="613">
        <f t="shared" ref="L764:N764" si="306">L765+L766</f>
        <v>0</v>
      </c>
      <c r="M764" s="613">
        <f t="shared" si="306"/>
        <v>0</v>
      </c>
      <c r="N764" s="613">
        <f t="shared" si="306"/>
        <v>0</v>
      </c>
      <c r="O764" s="613">
        <f t="shared" ref="O764:O766" si="307">IF(L764&gt;0,N764*100/L764,0)</f>
        <v>0</v>
      </c>
      <c r="P764" s="613">
        <f t="shared" ref="P764:P766" si="308">IF(M764&gt;0,N764*100/M764,0)</f>
        <v>0</v>
      </c>
      <c r="Q764" s="568"/>
      <c r="R764" s="568"/>
      <c r="S764" s="568"/>
      <c r="T764" s="568"/>
      <c r="U764" s="568"/>
      <c r="V764" s="568"/>
      <c r="W764" s="568"/>
      <c r="X764" s="568"/>
      <c r="Y764" s="568"/>
      <c r="Z764" s="568"/>
    </row>
    <row r="765" spans="1:26" ht="18.75" hidden="1">
      <c r="A765" s="563"/>
      <c r="B765" s="571"/>
      <c r="C765" s="723"/>
      <c r="D765" s="723"/>
      <c r="E765" s="723" t="s">
        <v>18</v>
      </c>
      <c r="F765" s="723"/>
      <c r="G765" s="567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7"/>
        <v>0</v>
      </c>
      <c r="P765" s="93">
        <f t="shared" si="308"/>
        <v>0</v>
      </c>
      <c r="Q765" s="568"/>
      <c r="R765" s="568"/>
      <c r="S765" s="568"/>
      <c r="T765" s="568"/>
      <c r="U765" s="568"/>
      <c r="V765" s="568"/>
      <c r="W765" s="568"/>
      <c r="X765" s="568"/>
      <c r="Y765" s="568"/>
      <c r="Z765" s="568"/>
    </row>
    <row r="766" spans="1:26" ht="18.75" hidden="1">
      <c r="A766" s="563"/>
      <c r="B766" s="571"/>
      <c r="C766" s="723"/>
      <c r="D766" s="723"/>
      <c r="E766" s="723" t="s">
        <v>19</v>
      </c>
      <c r="F766" s="723"/>
      <c r="G766" s="567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7"/>
        <v>0</v>
      </c>
      <c r="P766" s="93">
        <f t="shared" si="308"/>
        <v>0</v>
      </c>
      <c r="Q766" s="568"/>
      <c r="R766" s="568"/>
      <c r="S766" s="568"/>
      <c r="T766" s="568"/>
      <c r="U766" s="568"/>
      <c r="V766" s="568"/>
      <c r="W766" s="568"/>
      <c r="X766" s="568"/>
      <c r="Y766" s="568"/>
      <c r="Z766" s="568"/>
    </row>
    <row r="767" spans="1:26" ht="19.5" hidden="1">
      <c r="A767" s="578"/>
      <c r="B767" s="580"/>
      <c r="C767" s="723" t="s">
        <v>16</v>
      </c>
      <c r="D767" s="856" t="s">
        <v>38</v>
      </c>
      <c r="E767" s="617"/>
      <c r="F767" s="617"/>
      <c r="G767" s="618"/>
      <c r="H767" s="581"/>
      <c r="I767" s="166"/>
      <c r="J767" s="166"/>
      <c r="K767" s="167"/>
      <c r="L767" s="167"/>
      <c r="M767" s="167"/>
      <c r="N767" s="167"/>
      <c r="O767" s="167"/>
      <c r="P767" s="167"/>
      <c r="Q767" s="568"/>
      <c r="R767" s="568"/>
      <c r="S767" s="568"/>
      <c r="T767" s="568"/>
      <c r="U767" s="568"/>
      <c r="V767" s="568"/>
      <c r="W767" s="568"/>
      <c r="X767" s="568"/>
      <c r="Y767" s="568"/>
      <c r="Z767" s="568"/>
    </row>
    <row r="768" spans="1:26" ht="18.75" hidden="1">
      <c r="A768" s="615"/>
      <c r="B768" s="571"/>
      <c r="C768" s="723"/>
      <c r="D768" s="723"/>
      <c r="E768" s="723" t="s">
        <v>316</v>
      </c>
      <c r="F768" s="723"/>
      <c r="G768" s="567"/>
      <c r="H768" s="165" t="s">
        <v>46</v>
      </c>
      <c r="I768" s="583"/>
      <c r="J768" s="583"/>
      <c r="K768" s="93"/>
      <c r="L768" s="93"/>
      <c r="M768" s="93"/>
      <c r="N768" s="93"/>
      <c r="O768" s="93"/>
      <c r="P768" s="93"/>
      <c r="Q768" s="568"/>
      <c r="R768" s="568"/>
      <c r="S768" s="568"/>
      <c r="T768" s="568"/>
      <c r="U768" s="568"/>
      <c r="V768" s="568"/>
      <c r="W768" s="568"/>
      <c r="X768" s="568"/>
      <c r="Y768" s="568"/>
      <c r="Z768" s="568"/>
    </row>
    <row r="769" spans="1:26" ht="19.5" hidden="1">
      <c r="A769" s="757">
        <v>11</v>
      </c>
      <c r="B769" s="758" t="s">
        <v>317</v>
      </c>
      <c r="C769" s="759"/>
      <c r="D769" s="759"/>
      <c r="E769" s="759"/>
      <c r="F769" s="759"/>
      <c r="G769" s="760"/>
      <c r="H769" s="761" t="s">
        <v>46</v>
      </c>
      <c r="I769" s="762"/>
      <c r="J769" s="762">
        <f>J784</f>
        <v>0</v>
      </c>
      <c r="K769" s="763">
        <f>IF(I769&gt;0,J769*100/I769,0)</f>
        <v>0</v>
      </c>
      <c r="L769" s="764"/>
      <c r="M769" s="764"/>
      <c r="N769" s="764"/>
      <c r="O769" s="764"/>
      <c r="P769" s="764"/>
      <c r="Q769" s="568"/>
      <c r="R769" s="568"/>
      <c r="S769" s="568"/>
      <c r="T769" s="568"/>
      <c r="U769" s="568"/>
      <c r="V769" s="568"/>
      <c r="W769" s="568"/>
      <c r="X769" s="568"/>
      <c r="Y769" s="568"/>
      <c r="Z769" s="568"/>
    </row>
    <row r="770" spans="1:26" ht="19.5" hidden="1">
      <c r="A770" s="563"/>
      <c r="B770" s="723"/>
      <c r="C770" s="723" t="s">
        <v>16</v>
      </c>
      <c r="D770" s="812" t="s">
        <v>17</v>
      </c>
      <c r="E770" s="805"/>
      <c r="F770" s="805"/>
      <c r="G770" s="567"/>
      <c r="H770" s="612" t="s">
        <v>12</v>
      </c>
      <c r="I770" s="583"/>
      <c r="J770" s="583"/>
      <c r="K770" s="93"/>
      <c r="L770" s="613">
        <f t="shared" ref="L770:N770" si="309">L771+L772</f>
        <v>0</v>
      </c>
      <c r="M770" s="613">
        <f t="shared" si="309"/>
        <v>0</v>
      </c>
      <c r="N770" s="613">
        <f t="shared" si="309"/>
        <v>0</v>
      </c>
      <c r="O770" s="613">
        <f t="shared" ref="O770:O775" si="310">IF(L770&gt;0,N770*100/L770,0)</f>
        <v>0</v>
      </c>
      <c r="P770" s="613">
        <f t="shared" ref="P770:P775" si="311">IF(M770&gt;0,N770*100/M770,0)</f>
        <v>0</v>
      </c>
      <c r="Q770" s="568"/>
      <c r="R770" s="568"/>
      <c r="S770" s="568"/>
      <c r="T770" s="568"/>
      <c r="U770" s="568"/>
      <c r="V770" s="568"/>
      <c r="W770" s="568"/>
      <c r="X770" s="568"/>
      <c r="Y770" s="568"/>
      <c r="Z770" s="568"/>
    </row>
    <row r="771" spans="1:26" ht="18.75" hidden="1">
      <c r="A771" s="563"/>
      <c r="B771" s="723"/>
      <c r="C771" s="723"/>
      <c r="D771" s="684"/>
      <c r="E771" s="723" t="s">
        <v>184</v>
      </c>
      <c r="F771" s="723"/>
      <c r="G771" s="567"/>
      <c r="H771" s="165" t="s">
        <v>12</v>
      </c>
      <c r="I771" s="583"/>
      <c r="J771" s="583"/>
      <c r="K771" s="93"/>
      <c r="L771" s="93">
        <f t="shared" ref="L771:N772" si="312">L774+L781</f>
        <v>0</v>
      </c>
      <c r="M771" s="93">
        <f t="shared" si="312"/>
        <v>0</v>
      </c>
      <c r="N771" s="93">
        <f t="shared" si="312"/>
        <v>0</v>
      </c>
      <c r="O771" s="93">
        <f t="shared" si="310"/>
        <v>0</v>
      </c>
      <c r="P771" s="93">
        <f t="shared" si="311"/>
        <v>0</v>
      </c>
      <c r="Q771" s="568"/>
      <c r="R771" s="568"/>
      <c r="S771" s="568"/>
      <c r="T771" s="568"/>
      <c r="U771" s="568"/>
      <c r="V771" s="568"/>
      <c r="W771" s="568"/>
      <c r="X771" s="568"/>
      <c r="Y771" s="568"/>
      <c r="Z771" s="568"/>
    </row>
    <row r="772" spans="1:26" ht="18.75" hidden="1">
      <c r="A772" s="563"/>
      <c r="B772" s="571"/>
      <c r="C772" s="723"/>
      <c r="D772" s="684"/>
      <c r="E772" s="723" t="s">
        <v>185</v>
      </c>
      <c r="F772" s="723"/>
      <c r="G772" s="567"/>
      <c r="H772" s="165" t="s">
        <v>12</v>
      </c>
      <c r="I772" s="583"/>
      <c r="J772" s="583"/>
      <c r="K772" s="93"/>
      <c r="L772" s="93">
        <f t="shared" si="312"/>
        <v>0</v>
      </c>
      <c r="M772" s="93">
        <f t="shared" si="312"/>
        <v>0</v>
      </c>
      <c r="N772" s="93">
        <f t="shared" si="312"/>
        <v>0</v>
      </c>
      <c r="O772" s="93">
        <f t="shared" si="310"/>
        <v>0</v>
      </c>
      <c r="P772" s="93">
        <f t="shared" si="311"/>
        <v>0</v>
      </c>
      <c r="Q772" s="568"/>
      <c r="R772" s="568"/>
      <c r="S772" s="568"/>
      <c r="T772" s="568"/>
      <c r="U772" s="568"/>
      <c r="V772" s="568"/>
      <c r="W772" s="568"/>
      <c r="X772" s="568"/>
      <c r="Y772" s="568"/>
      <c r="Z772" s="568"/>
    </row>
    <row r="773" spans="1:26" ht="19.5" hidden="1">
      <c r="A773" s="563"/>
      <c r="B773" s="571"/>
      <c r="C773" s="723"/>
      <c r="D773" s="611" t="s">
        <v>20</v>
      </c>
      <c r="E773" s="723"/>
      <c r="F773" s="723"/>
      <c r="G773" s="567"/>
      <c r="H773" s="612" t="s">
        <v>12</v>
      </c>
      <c r="I773" s="166"/>
      <c r="J773" s="166"/>
      <c r="K773" s="167"/>
      <c r="L773" s="613">
        <f t="shared" ref="L773:N773" si="313">L774+L775</f>
        <v>0</v>
      </c>
      <c r="M773" s="613">
        <f t="shared" si="313"/>
        <v>0</v>
      </c>
      <c r="N773" s="613">
        <f t="shared" si="313"/>
        <v>0</v>
      </c>
      <c r="O773" s="613">
        <f t="shared" si="310"/>
        <v>0</v>
      </c>
      <c r="P773" s="613">
        <f t="shared" si="311"/>
        <v>0</v>
      </c>
      <c r="Q773" s="568"/>
      <c r="R773" s="568"/>
      <c r="S773" s="568"/>
      <c r="T773" s="568"/>
      <c r="U773" s="568"/>
      <c r="V773" s="568"/>
      <c r="W773" s="568"/>
      <c r="X773" s="568"/>
      <c r="Y773" s="568"/>
      <c r="Z773" s="568"/>
    </row>
    <row r="774" spans="1:26" ht="18.75" hidden="1">
      <c r="A774" s="563"/>
      <c r="B774" s="571"/>
      <c r="C774" s="723"/>
      <c r="D774" s="684"/>
      <c r="E774" s="723" t="s">
        <v>184</v>
      </c>
      <c r="F774" s="723"/>
      <c r="G774" s="567"/>
      <c r="H774" s="165" t="s">
        <v>12</v>
      </c>
      <c r="I774" s="583"/>
      <c r="J774" s="583"/>
      <c r="K774" s="93"/>
      <c r="L774" s="93">
        <v>0</v>
      </c>
      <c r="M774" s="93">
        <v>0</v>
      </c>
      <c r="N774" s="93">
        <v>0</v>
      </c>
      <c r="O774" s="93">
        <f t="shared" si="310"/>
        <v>0</v>
      </c>
      <c r="P774" s="93">
        <f t="shared" si="311"/>
        <v>0</v>
      </c>
      <c r="Q774" s="568"/>
      <c r="R774" s="568"/>
      <c r="S774" s="568"/>
      <c r="T774" s="568"/>
      <c r="U774" s="568"/>
      <c r="V774" s="568"/>
      <c r="W774" s="568"/>
      <c r="X774" s="568"/>
      <c r="Y774" s="568"/>
      <c r="Z774" s="568"/>
    </row>
    <row r="775" spans="1:26" ht="18.75" hidden="1">
      <c r="A775" s="563"/>
      <c r="B775" s="571"/>
      <c r="C775" s="723"/>
      <c r="D775" s="684"/>
      <c r="E775" s="723" t="s">
        <v>185</v>
      </c>
      <c r="F775" s="723"/>
      <c r="G775" s="567"/>
      <c r="H775" s="165" t="s">
        <v>12</v>
      </c>
      <c r="I775" s="583"/>
      <c r="J775" s="583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0"/>
        <v>0</v>
      </c>
      <c r="P775" s="93">
        <f t="shared" si="311"/>
        <v>0</v>
      </c>
      <c r="Q775" s="568"/>
      <c r="R775" s="568"/>
      <c r="S775" s="568"/>
      <c r="T775" s="568"/>
      <c r="U775" s="568"/>
      <c r="V775" s="568"/>
      <c r="W775" s="568"/>
      <c r="X775" s="568"/>
      <c r="Y775" s="568"/>
      <c r="Z775" s="568"/>
    </row>
    <row r="776" spans="1:26" ht="18.75" hidden="1">
      <c r="A776" s="615"/>
      <c r="B776" s="571"/>
      <c r="C776" s="723"/>
      <c r="D776" s="723"/>
      <c r="E776" s="723"/>
      <c r="F776" s="723" t="s">
        <v>186</v>
      </c>
      <c r="G776" s="567"/>
      <c r="H776" s="165" t="s">
        <v>12</v>
      </c>
      <c r="I776" s="583"/>
      <c r="J776" s="583"/>
      <c r="K776" s="93"/>
      <c r="L776" s="93"/>
      <c r="M776" s="93"/>
      <c r="N776" s="93"/>
      <c r="O776" s="93"/>
      <c r="P776" s="93"/>
      <c r="Q776" s="568"/>
      <c r="R776" s="568"/>
      <c r="S776" s="568"/>
      <c r="T776" s="568"/>
      <c r="U776" s="568"/>
      <c r="V776" s="568"/>
      <c r="W776" s="568"/>
      <c r="X776" s="568"/>
      <c r="Y776" s="568"/>
      <c r="Z776" s="568"/>
    </row>
    <row r="777" spans="1:26" ht="18.75" hidden="1">
      <c r="A777" s="615"/>
      <c r="B777" s="571"/>
      <c r="C777" s="723"/>
      <c r="D777" s="723"/>
      <c r="E777" s="723"/>
      <c r="F777" s="723" t="s">
        <v>187</v>
      </c>
      <c r="G777" s="567"/>
      <c r="H777" s="165" t="s">
        <v>12</v>
      </c>
      <c r="I777" s="583"/>
      <c r="J777" s="583"/>
      <c r="K777" s="93"/>
      <c r="L777" s="93"/>
      <c r="M777" s="93"/>
      <c r="N777" s="93"/>
      <c r="O777" s="93"/>
      <c r="P777" s="93"/>
      <c r="Q777" s="568"/>
      <c r="R777" s="568"/>
      <c r="S777" s="568"/>
      <c r="T777" s="568"/>
      <c r="U777" s="568"/>
      <c r="V777" s="568"/>
      <c r="W777" s="568"/>
      <c r="X777" s="568"/>
      <c r="Y777" s="568"/>
      <c r="Z777" s="568"/>
    </row>
    <row r="778" spans="1:26" ht="18.75" hidden="1">
      <c r="A778" s="615"/>
      <c r="B778" s="571"/>
      <c r="C778" s="723"/>
      <c r="D778" s="723"/>
      <c r="E778" s="723"/>
      <c r="F778" s="723" t="s">
        <v>188</v>
      </c>
      <c r="G778" s="567"/>
      <c r="H778" s="165" t="s">
        <v>12</v>
      </c>
      <c r="I778" s="583"/>
      <c r="J778" s="583"/>
      <c r="K778" s="93"/>
      <c r="L778" s="93"/>
      <c r="M778" s="93"/>
      <c r="N778" s="93"/>
      <c r="O778" s="93"/>
      <c r="P778" s="93"/>
      <c r="Q778" s="568"/>
      <c r="R778" s="568"/>
      <c r="S778" s="568"/>
      <c r="T778" s="568"/>
      <c r="U778" s="568"/>
      <c r="V778" s="568"/>
      <c r="W778" s="568"/>
      <c r="X778" s="568"/>
      <c r="Y778" s="568"/>
      <c r="Z778" s="568"/>
    </row>
    <row r="779" spans="1:26" ht="18.75" hidden="1">
      <c r="A779" s="615"/>
      <c r="B779" s="571"/>
      <c r="C779" s="723"/>
      <c r="D779" s="723"/>
      <c r="E779" s="723"/>
      <c r="F779" s="723" t="s">
        <v>189</v>
      </c>
      <c r="G779" s="567"/>
      <c r="H779" s="165" t="s">
        <v>12</v>
      </c>
      <c r="I779" s="583"/>
      <c r="J779" s="583"/>
      <c r="K779" s="93"/>
      <c r="L779" s="93"/>
      <c r="M779" s="93"/>
      <c r="N779" s="93"/>
      <c r="O779" s="93"/>
      <c r="P779" s="93"/>
      <c r="Q779" s="568"/>
      <c r="R779" s="568"/>
      <c r="S779" s="568"/>
      <c r="T779" s="568"/>
      <c r="U779" s="568"/>
      <c r="V779" s="568"/>
      <c r="W779" s="568"/>
      <c r="X779" s="568"/>
      <c r="Y779" s="568"/>
      <c r="Z779" s="568"/>
    </row>
    <row r="780" spans="1:26" ht="19.5" hidden="1">
      <c r="A780" s="563"/>
      <c r="B780" s="571"/>
      <c r="C780" s="723"/>
      <c r="D780" s="611" t="s">
        <v>21</v>
      </c>
      <c r="E780" s="723"/>
      <c r="F780" s="723"/>
      <c r="G780" s="567"/>
      <c r="H780" s="747" t="s">
        <v>12</v>
      </c>
      <c r="I780" s="166"/>
      <c r="J780" s="166"/>
      <c r="K780" s="167"/>
      <c r="L780" s="613">
        <f t="shared" ref="L780:N780" si="314">L781+L782</f>
        <v>0</v>
      </c>
      <c r="M780" s="613">
        <f t="shared" si="314"/>
        <v>0</v>
      </c>
      <c r="N780" s="613">
        <f t="shared" si="314"/>
        <v>0</v>
      </c>
      <c r="O780" s="613">
        <f t="shared" ref="O780:O782" si="315">IF(L780&gt;0,N780*100/L780,0)</f>
        <v>0</v>
      </c>
      <c r="P780" s="613">
        <f t="shared" ref="P780:P782" si="316">IF(M780&gt;0,N780*100/M780,0)</f>
        <v>0</v>
      </c>
      <c r="Q780" s="568"/>
      <c r="R780" s="568"/>
      <c r="S780" s="568"/>
      <c r="T780" s="568"/>
      <c r="U780" s="568"/>
      <c r="V780" s="568"/>
      <c r="W780" s="568"/>
      <c r="X780" s="568"/>
      <c r="Y780" s="568"/>
      <c r="Z780" s="568"/>
    </row>
    <row r="781" spans="1:26" ht="18.75" hidden="1">
      <c r="A781" s="563"/>
      <c r="B781" s="571"/>
      <c r="C781" s="723"/>
      <c r="D781" s="723"/>
      <c r="E781" s="723" t="s">
        <v>18</v>
      </c>
      <c r="F781" s="723"/>
      <c r="G781" s="567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5"/>
        <v>0</v>
      </c>
      <c r="P781" s="93">
        <f t="shared" si="316"/>
        <v>0</v>
      </c>
      <c r="Q781" s="568"/>
      <c r="R781" s="568"/>
      <c r="S781" s="568"/>
      <c r="T781" s="568"/>
      <c r="U781" s="568"/>
      <c r="V781" s="568"/>
      <c r="W781" s="568"/>
      <c r="X781" s="568"/>
      <c r="Y781" s="568"/>
      <c r="Z781" s="568"/>
    </row>
    <row r="782" spans="1:26" ht="18.75" hidden="1">
      <c r="A782" s="563"/>
      <c r="B782" s="571"/>
      <c r="C782" s="723"/>
      <c r="D782" s="723"/>
      <c r="E782" s="723" t="s">
        <v>19</v>
      </c>
      <c r="F782" s="723"/>
      <c r="G782" s="567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5"/>
        <v>0</v>
      </c>
      <c r="P782" s="93">
        <f t="shared" si="316"/>
        <v>0</v>
      </c>
      <c r="Q782" s="568"/>
      <c r="R782" s="568"/>
      <c r="S782" s="568"/>
      <c r="T782" s="568"/>
      <c r="U782" s="568"/>
      <c r="V782" s="568"/>
      <c r="W782" s="568"/>
      <c r="X782" s="568"/>
      <c r="Y782" s="568"/>
      <c r="Z782" s="568"/>
    </row>
    <row r="783" spans="1:26" ht="19.5" hidden="1">
      <c r="A783" s="578"/>
      <c r="B783" s="580"/>
      <c r="C783" s="723" t="s">
        <v>16</v>
      </c>
      <c r="D783" s="856" t="s">
        <v>38</v>
      </c>
      <c r="E783" s="617"/>
      <c r="F783" s="617"/>
      <c r="G783" s="618"/>
      <c r="H783" s="765"/>
      <c r="I783" s="166"/>
      <c r="J783" s="166"/>
      <c r="K783" s="167"/>
      <c r="L783" s="167"/>
      <c r="M783" s="167"/>
      <c r="N783" s="167"/>
      <c r="O783" s="167"/>
      <c r="P783" s="167"/>
      <c r="Q783" s="568"/>
      <c r="R783" s="568"/>
      <c r="S783" s="568"/>
      <c r="T783" s="568"/>
      <c r="U783" s="568"/>
      <c r="V783" s="568"/>
      <c r="W783" s="568"/>
      <c r="X783" s="568"/>
      <c r="Y783" s="568"/>
      <c r="Z783" s="568"/>
    </row>
    <row r="784" spans="1:26" ht="18.75" hidden="1">
      <c r="A784" s="615"/>
      <c r="B784" s="571"/>
      <c r="C784" s="723"/>
      <c r="D784" s="723"/>
      <c r="E784" s="723" t="s">
        <v>318</v>
      </c>
      <c r="F784" s="723"/>
      <c r="G784" s="567"/>
      <c r="H784" s="165" t="s">
        <v>46</v>
      </c>
      <c r="I784" s="583"/>
      <c r="J784" s="583"/>
      <c r="K784" s="93"/>
      <c r="L784" s="93"/>
      <c r="M784" s="93"/>
      <c r="N784" s="93"/>
      <c r="O784" s="93"/>
      <c r="P784" s="93"/>
      <c r="Q784" s="568"/>
      <c r="R784" s="568"/>
      <c r="S784" s="568"/>
      <c r="T784" s="568"/>
      <c r="U784" s="568"/>
      <c r="V784" s="568"/>
      <c r="W784" s="568"/>
      <c r="X784" s="568"/>
      <c r="Y784" s="568"/>
      <c r="Z784" s="568"/>
    </row>
    <row r="785" spans="1:26" ht="19.5">
      <c r="A785" s="766">
        <v>12</v>
      </c>
      <c r="B785" s="767" t="s">
        <v>319</v>
      </c>
      <c r="C785" s="768"/>
      <c r="D785" s="768"/>
      <c r="E785" s="768"/>
      <c r="F785" s="768"/>
      <c r="G785" s="769"/>
      <c r="H785" s="770" t="s">
        <v>46</v>
      </c>
      <c r="I785" s="771">
        <f t="shared" ref="I785:J785" ca="1" si="317">I800</f>
        <v>4000</v>
      </c>
      <c r="J785" s="771">
        <f t="shared" ca="1" si="317"/>
        <v>0</v>
      </c>
      <c r="K785" s="772">
        <f ca="1">IF(I785&gt;0,J785*100/I785,0)</f>
        <v>0</v>
      </c>
      <c r="L785" s="773"/>
      <c r="M785" s="773"/>
      <c r="N785" s="773"/>
      <c r="O785" s="773"/>
      <c r="P785" s="773"/>
      <c r="Q785" s="541"/>
      <c r="R785" s="541"/>
      <c r="S785" s="541"/>
      <c r="T785" s="541"/>
      <c r="U785" s="541"/>
      <c r="V785" s="541"/>
      <c r="W785" s="541"/>
      <c r="X785" s="541"/>
      <c r="Y785" s="541"/>
      <c r="Z785" s="541"/>
    </row>
    <row r="786" spans="1:26" ht="19.5">
      <c r="A786" s="561"/>
      <c r="B786" s="538"/>
      <c r="C786" s="727" t="s">
        <v>16</v>
      </c>
      <c r="D786" s="811" t="s">
        <v>17</v>
      </c>
      <c r="E786" s="805"/>
      <c r="F786" s="805"/>
      <c r="G786" s="189"/>
      <c r="H786" s="562" t="s">
        <v>12</v>
      </c>
      <c r="I786" s="269"/>
      <c r="J786" s="269"/>
      <c r="K786" s="465"/>
      <c r="L786" s="195">
        <f t="shared" ref="L786:N786" ca="1" si="318">L787+L788</f>
        <v>274560</v>
      </c>
      <c r="M786" s="195">
        <f t="shared" si="318"/>
        <v>0</v>
      </c>
      <c r="N786" s="195">
        <f t="shared" si="318"/>
        <v>0</v>
      </c>
      <c r="O786" s="195">
        <f t="shared" ref="O786:O791" ca="1" si="319">IF(L786&gt;0,N786*100/L786,0)</f>
        <v>0</v>
      </c>
      <c r="P786" s="195">
        <f t="shared" ref="P786:P791" si="320">IF(M786&gt;0,N786*100/M786,0)</f>
        <v>0</v>
      </c>
      <c r="Q786" s="541"/>
      <c r="R786" s="541"/>
      <c r="S786" s="541"/>
      <c r="T786" s="541"/>
      <c r="U786" s="541"/>
      <c r="V786" s="541"/>
      <c r="W786" s="541"/>
      <c r="X786" s="541"/>
      <c r="Y786" s="541"/>
      <c r="Z786" s="541"/>
    </row>
    <row r="787" spans="1:26" ht="18.75" hidden="1">
      <c r="A787" s="563"/>
      <c r="B787" s="571"/>
      <c r="C787" s="723"/>
      <c r="D787" s="684"/>
      <c r="E787" s="723" t="s">
        <v>184</v>
      </c>
      <c r="F787" s="723"/>
      <c r="G787" s="567"/>
      <c r="H787" s="165" t="s">
        <v>12</v>
      </c>
      <c r="I787" s="583"/>
      <c r="J787" s="583"/>
      <c r="K787" s="93"/>
      <c r="L787" s="93">
        <f t="shared" ref="L787:N788" si="321">L790+L797</f>
        <v>0</v>
      </c>
      <c r="M787" s="93">
        <f t="shared" si="321"/>
        <v>0</v>
      </c>
      <c r="N787" s="93">
        <f t="shared" si="321"/>
        <v>0</v>
      </c>
      <c r="O787" s="93">
        <f t="shared" si="319"/>
        <v>0</v>
      </c>
      <c r="P787" s="93">
        <f t="shared" si="320"/>
        <v>0</v>
      </c>
      <c r="Q787" s="568"/>
      <c r="R787" s="568"/>
      <c r="S787" s="568"/>
      <c r="T787" s="568"/>
      <c r="U787" s="568"/>
      <c r="V787" s="568"/>
      <c r="W787" s="568"/>
      <c r="X787" s="568"/>
      <c r="Y787" s="568"/>
      <c r="Z787" s="568"/>
    </row>
    <row r="788" spans="1:26" ht="18.75" hidden="1">
      <c r="A788" s="563"/>
      <c r="B788" s="571"/>
      <c r="C788" s="571"/>
      <c r="D788" s="580"/>
      <c r="E788" s="723" t="s">
        <v>185</v>
      </c>
      <c r="F788" s="723"/>
      <c r="G788" s="567"/>
      <c r="H788" s="165" t="s">
        <v>12</v>
      </c>
      <c r="I788" s="583"/>
      <c r="J788" s="583"/>
      <c r="K788" s="93"/>
      <c r="L788" s="93">
        <f t="shared" ca="1" si="321"/>
        <v>274560</v>
      </c>
      <c r="M788" s="93">
        <f t="shared" si="321"/>
        <v>0</v>
      </c>
      <c r="N788" s="93">
        <f t="shared" si="321"/>
        <v>0</v>
      </c>
      <c r="O788" s="93">
        <f t="shared" ca="1" si="319"/>
        <v>0</v>
      </c>
      <c r="P788" s="93">
        <f t="shared" si="320"/>
        <v>0</v>
      </c>
      <c r="Q788" s="568"/>
      <c r="R788" s="568"/>
      <c r="S788" s="568"/>
      <c r="T788" s="568"/>
      <c r="U788" s="568"/>
      <c r="V788" s="568"/>
      <c r="W788" s="568"/>
      <c r="X788" s="568"/>
      <c r="Y788" s="568"/>
      <c r="Z788" s="568"/>
    </row>
    <row r="789" spans="1:26" ht="18.75">
      <c r="A789" s="561"/>
      <c r="B789" s="538"/>
      <c r="C789" s="538"/>
      <c r="D789" s="570" t="s">
        <v>20</v>
      </c>
      <c r="E789" s="727"/>
      <c r="F789" s="727"/>
      <c r="G789" s="189"/>
      <c r="H789" s="161" t="s">
        <v>12</v>
      </c>
      <c r="I789" s="184"/>
      <c r="J789" s="184"/>
      <c r="K789" s="163"/>
      <c r="L789" s="465">
        <f t="shared" ref="L789:N789" ca="1" si="322">L790+L791</f>
        <v>274560</v>
      </c>
      <c r="M789" s="465">
        <f t="shared" si="322"/>
        <v>0</v>
      </c>
      <c r="N789" s="465">
        <f t="shared" si="322"/>
        <v>0</v>
      </c>
      <c r="O789" s="465">
        <f t="shared" ca="1" si="319"/>
        <v>0</v>
      </c>
      <c r="P789" s="465">
        <f t="shared" si="320"/>
        <v>0</v>
      </c>
      <c r="Q789" s="541"/>
      <c r="R789" s="541"/>
      <c r="S789" s="541"/>
      <c r="T789" s="541"/>
      <c r="U789" s="541"/>
      <c r="V789" s="541"/>
      <c r="W789" s="541"/>
      <c r="X789" s="541"/>
      <c r="Y789" s="541"/>
      <c r="Z789" s="541"/>
    </row>
    <row r="790" spans="1:26" ht="18.75" hidden="1">
      <c r="A790" s="563"/>
      <c r="B790" s="571"/>
      <c r="C790" s="571"/>
      <c r="D790" s="580"/>
      <c r="E790" s="723" t="s">
        <v>184</v>
      </c>
      <c r="F790" s="723"/>
      <c r="G790" s="567"/>
      <c r="H790" s="165" t="s">
        <v>12</v>
      </c>
      <c r="I790" s="583"/>
      <c r="J790" s="583"/>
      <c r="K790" s="93"/>
      <c r="L790" s="93">
        <v>0</v>
      </c>
      <c r="M790" s="93">
        <v>0</v>
      </c>
      <c r="N790" s="93">
        <v>0</v>
      </c>
      <c r="O790" s="93">
        <f t="shared" si="319"/>
        <v>0</v>
      </c>
      <c r="P790" s="93">
        <f t="shared" si="320"/>
        <v>0</v>
      </c>
      <c r="Q790" s="568"/>
      <c r="R790" s="568"/>
      <c r="S790" s="568"/>
      <c r="T790" s="568"/>
      <c r="U790" s="568"/>
      <c r="V790" s="568"/>
      <c r="W790" s="568"/>
      <c r="X790" s="568"/>
      <c r="Y790" s="568"/>
      <c r="Z790" s="568"/>
    </row>
    <row r="791" spans="1:26" ht="18.75" hidden="1">
      <c r="A791" s="563"/>
      <c r="B791" s="571"/>
      <c r="C791" s="571"/>
      <c r="D791" s="580"/>
      <c r="E791" s="723" t="s">
        <v>185</v>
      </c>
      <c r="F791" s="723"/>
      <c r="G791" s="567"/>
      <c r="H791" s="165" t="s">
        <v>12</v>
      </c>
      <c r="I791" s="583"/>
      <c r="J791" s="583"/>
      <c r="K791" s="93"/>
      <c r="L791" s="93">
        <f ca="1">IFERROR(__xludf.DUMMYFUNCTION("IMPORTRANGE(""https://docs.google.com/spreadsheets/d/1QqKyyYR6Q21VydFLVH3TRQUabQu_ym0Zz7PgGX0-kHA/edit?usp=sharing"",""แผน!JJ23"")"),274560)</f>
        <v>274560</v>
      </c>
      <c r="M791" s="93">
        <v>0</v>
      </c>
      <c r="N791" s="93">
        <f>N792+N793+N794+N795</f>
        <v>0</v>
      </c>
      <c r="O791" s="93">
        <f t="shared" ca="1" si="319"/>
        <v>0</v>
      </c>
      <c r="P791" s="93">
        <f t="shared" si="320"/>
        <v>0</v>
      </c>
      <c r="Q791" s="568"/>
      <c r="R791" s="568"/>
      <c r="S791" s="568"/>
      <c r="T791" s="568"/>
      <c r="U791" s="568"/>
      <c r="V791" s="568"/>
      <c r="W791" s="568"/>
      <c r="X791" s="568"/>
      <c r="Y791" s="568"/>
      <c r="Z791" s="568"/>
    </row>
    <row r="792" spans="1:26" ht="18.75">
      <c r="A792" s="537"/>
      <c r="B792" s="538"/>
      <c r="C792" s="727"/>
      <c r="D792" s="727"/>
      <c r="E792" s="727"/>
      <c r="F792" s="727" t="s">
        <v>186</v>
      </c>
      <c r="G792" s="189"/>
      <c r="H792" s="161" t="s">
        <v>12</v>
      </c>
      <c r="I792" s="269"/>
      <c r="J792" s="269"/>
      <c r="K792" s="465"/>
      <c r="L792" s="465"/>
      <c r="M792" s="465"/>
      <c r="N792" s="789">
        <v>0</v>
      </c>
      <c r="O792" s="465"/>
      <c r="P792" s="465"/>
      <c r="Q792" s="541"/>
      <c r="R792" s="541"/>
      <c r="S792" s="541"/>
      <c r="T792" s="541"/>
      <c r="U792" s="541"/>
      <c r="V792" s="541"/>
      <c r="W792" s="541"/>
      <c r="X792" s="541"/>
      <c r="Y792" s="541"/>
      <c r="Z792" s="541"/>
    </row>
    <row r="793" spans="1:26" ht="18.75">
      <c r="A793" s="537"/>
      <c r="B793" s="538"/>
      <c r="C793" s="727"/>
      <c r="D793" s="727"/>
      <c r="E793" s="727"/>
      <c r="F793" s="727" t="s">
        <v>187</v>
      </c>
      <c r="G793" s="189"/>
      <c r="H793" s="161" t="s">
        <v>12</v>
      </c>
      <c r="I793" s="269"/>
      <c r="J793" s="269"/>
      <c r="K793" s="465"/>
      <c r="L793" s="465"/>
      <c r="M793" s="465"/>
      <c r="N793" s="789">
        <v>0</v>
      </c>
      <c r="O793" s="465"/>
      <c r="P793" s="465"/>
      <c r="Q793" s="541"/>
      <c r="R793" s="541"/>
      <c r="S793" s="541"/>
      <c r="T793" s="541"/>
      <c r="U793" s="541"/>
      <c r="V793" s="541"/>
      <c r="W793" s="541"/>
      <c r="X793" s="541"/>
      <c r="Y793" s="541"/>
      <c r="Z793" s="541"/>
    </row>
    <row r="794" spans="1:26" ht="18.75">
      <c r="A794" s="537"/>
      <c r="B794" s="538"/>
      <c r="C794" s="727"/>
      <c r="D794" s="727"/>
      <c r="E794" s="727"/>
      <c r="F794" s="727" t="s">
        <v>188</v>
      </c>
      <c r="G794" s="189"/>
      <c r="H794" s="161" t="s">
        <v>12</v>
      </c>
      <c r="I794" s="269"/>
      <c r="J794" s="269"/>
      <c r="K794" s="465"/>
      <c r="L794" s="465"/>
      <c r="M794" s="465"/>
      <c r="N794" s="789">
        <v>0</v>
      </c>
      <c r="O794" s="465"/>
      <c r="P794" s="465"/>
      <c r="Q794" s="541"/>
      <c r="R794" s="541"/>
      <c r="S794" s="541"/>
      <c r="T794" s="541"/>
      <c r="U794" s="541"/>
      <c r="V794" s="541"/>
      <c r="W794" s="541"/>
      <c r="X794" s="541"/>
      <c r="Y794" s="541"/>
      <c r="Z794" s="541"/>
    </row>
    <row r="795" spans="1:26" ht="18.75">
      <c r="A795" s="537"/>
      <c r="B795" s="538"/>
      <c r="C795" s="727"/>
      <c r="D795" s="727"/>
      <c r="E795" s="727"/>
      <c r="F795" s="727" t="s">
        <v>189</v>
      </c>
      <c r="G795" s="189"/>
      <c r="H795" s="161" t="s">
        <v>12</v>
      </c>
      <c r="I795" s="269"/>
      <c r="J795" s="269"/>
      <c r="K795" s="465"/>
      <c r="L795" s="465"/>
      <c r="M795" s="465"/>
      <c r="N795" s="789">
        <v>0</v>
      </c>
      <c r="O795" s="465"/>
      <c r="P795" s="465"/>
      <c r="Q795" s="541"/>
      <c r="R795" s="541"/>
      <c r="S795" s="541"/>
      <c r="T795" s="541"/>
      <c r="U795" s="541"/>
      <c r="V795" s="541"/>
      <c r="W795" s="541"/>
      <c r="X795" s="541"/>
      <c r="Y795" s="541"/>
      <c r="Z795" s="541"/>
    </row>
    <row r="796" spans="1:26" ht="18.75">
      <c r="A796" s="561"/>
      <c r="B796" s="538"/>
      <c r="C796" s="727"/>
      <c r="D796" s="570" t="s">
        <v>21</v>
      </c>
      <c r="E796" s="727"/>
      <c r="F796" s="727"/>
      <c r="G796" s="189"/>
      <c r="H796" s="168" t="s">
        <v>12</v>
      </c>
      <c r="I796" s="184"/>
      <c r="J796" s="184"/>
      <c r="K796" s="163"/>
      <c r="L796" s="465">
        <f t="shared" ref="L796:N796" si="323">L797+L798</f>
        <v>0</v>
      </c>
      <c r="M796" s="465">
        <f t="shared" si="323"/>
        <v>0</v>
      </c>
      <c r="N796" s="465">
        <f t="shared" si="323"/>
        <v>0</v>
      </c>
      <c r="O796" s="465">
        <f t="shared" ref="O796:O798" si="324">IF(L796&gt;0,N796*100/L796,0)</f>
        <v>0</v>
      </c>
      <c r="P796" s="465">
        <f t="shared" ref="P796:P798" si="325">IF(M796&gt;0,N796*100/M796,0)</f>
        <v>0</v>
      </c>
      <c r="Q796" s="541"/>
      <c r="R796" s="541"/>
      <c r="S796" s="541"/>
      <c r="T796" s="541"/>
      <c r="U796" s="541"/>
      <c r="V796" s="541"/>
      <c r="W796" s="541"/>
      <c r="X796" s="541"/>
      <c r="Y796" s="541"/>
      <c r="Z796" s="541"/>
    </row>
    <row r="797" spans="1:26" ht="18.75" hidden="1">
      <c r="A797" s="563"/>
      <c r="B797" s="571"/>
      <c r="C797" s="723"/>
      <c r="D797" s="723"/>
      <c r="E797" s="723" t="s">
        <v>18</v>
      </c>
      <c r="F797" s="723"/>
      <c r="G797" s="567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4"/>
        <v>0</v>
      </c>
      <c r="P797" s="93">
        <f t="shared" si="325"/>
        <v>0</v>
      </c>
      <c r="Q797" s="568"/>
      <c r="R797" s="568"/>
      <c r="S797" s="568"/>
      <c r="T797" s="568"/>
      <c r="U797" s="568"/>
      <c r="V797" s="568"/>
      <c r="W797" s="568"/>
      <c r="X797" s="568"/>
      <c r="Y797" s="568"/>
      <c r="Z797" s="568"/>
    </row>
    <row r="798" spans="1:26" ht="18.75" hidden="1">
      <c r="A798" s="563"/>
      <c r="B798" s="571"/>
      <c r="C798" s="723"/>
      <c r="D798" s="723"/>
      <c r="E798" s="723" t="s">
        <v>19</v>
      </c>
      <c r="F798" s="723"/>
      <c r="G798" s="567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4"/>
        <v>0</v>
      </c>
      <c r="P798" s="93">
        <f t="shared" si="325"/>
        <v>0</v>
      </c>
      <c r="Q798" s="568"/>
      <c r="R798" s="568"/>
      <c r="S798" s="568"/>
      <c r="T798" s="568"/>
      <c r="U798" s="568"/>
      <c r="V798" s="568"/>
      <c r="W798" s="568"/>
      <c r="X798" s="568"/>
      <c r="Y798" s="568"/>
      <c r="Z798" s="568"/>
    </row>
    <row r="799" spans="1:26" ht="19.5">
      <c r="A799" s="572"/>
      <c r="B799" s="584"/>
      <c r="C799" s="727" t="s">
        <v>16</v>
      </c>
      <c r="D799" s="855" t="s">
        <v>38</v>
      </c>
      <c r="E799" s="725"/>
      <c r="F799" s="725"/>
      <c r="G799" s="577"/>
      <c r="H799" s="774"/>
      <c r="I799" s="184"/>
      <c r="J799" s="184"/>
      <c r="K799" s="163"/>
      <c r="L799" s="163"/>
      <c r="M799" s="163"/>
      <c r="N799" s="163"/>
      <c r="O799" s="163"/>
      <c r="P799" s="163"/>
      <c r="Q799" s="541"/>
      <c r="R799" s="541"/>
      <c r="S799" s="541"/>
      <c r="T799" s="541"/>
      <c r="U799" s="541"/>
      <c r="V799" s="541"/>
      <c r="W799" s="541"/>
      <c r="X799" s="541"/>
      <c r="Y799" s="541"/>
      <c r="Z799" s="541"/>
    </row>
    <row r="800" spans="1:26" ht="18.75">
      <c r="A800" s="572"/>
      <c r="B800" s="584"/>
      <c r="C800" s="584"/>
      <c r="D800" s="584"/>
      <c r="E800" s="592"/>
      <c r="F800" s="592" t="s">
        <v>320</v>
      </c>
      <c r="G800" s="726"/>
      <c r="H800" s="185" t="s">
        <v>46</v>
      </c>
      <c r="I800" s="184">
        <f ca="1">IFERROR(__xludf.DUMMYFUNCTION("IMPORTRANGE(""https://docs.google.com/spreadsheets/d/1QqKyyYR6Q21VydFLVH3TRQUabQu_ym0Zz7PgGX0-kHA/edit?usp=sharing"",""แผน!JN23"")"),4000)</f>
        <v>4000</v>
      </c>
      <c r="J800" s="184">
        <f ca="1">IFERROR(__xludf.DUMMYFUNCTION("IMPORTRANGE(""https://docs.google.com/spreadsheets/d/1MaWodYyGHDf7siQLGxnXhG4mBNTNIuy296niS2xXulU/edit?usp=sharing"",""RTK!H23"")"),0)</f>
        <v>0</v>
      </c>
      <c r="K800" s="465">
        <f ca="1">IF(I800&gt;0,J800*100/I800,0)</f>
        <v>0</v>
      </c>
      <c r="L800" s="465"/>
      <c r="M800" s="465"/>
      <c r="N800" s="465"/>
      <c r="O800" s="163"/>
      <c r="P800" s="163"/>
      <c r="Q800" s="541"/>
      <c r="R800" s="541"/>
      <c r="S800" s="541"/>
      <c r="T800" s="541"/>
      <c r="U800" s="541"/>
      <c r="V800" s="541"/>
      <c r="W800" s="541"/>
      <c r="X800" s="541"/>
      <c r="Y800" s="541"/>
      <c r="Z800" s="541"/>
    </row>
    <row r="801" spans="1:26" ht="18.75">
      <c r="A801" s="572"/>
      <c r="B801" s="584"/>
      <c r="C801" s="584"/>
      <c r="D801" s="584"/>
      <c r="E801" s="592"/>
      <c r="F801" s="592"/>
      <c r="G801" s="726"/>
      <c r="H801" s="161" t="s">
        <v>34</v>
      </c>
      <c r="I801" s="184"/>
      <c r="J801" s="269">
        <f ca="1">IFERROR(__xludf.DUMMYFUNCTION("IMPORTRANGE(""https://docs.google.com/spreadsheets/d/1MaWodYyGHDf7siQLGxnXhG4mBNTNIuy296niS2xXulU/edit?usp=sharing"",""RTK!I23"")"),0)</f>
        <v>0</v>
      </c>
      <c r="K801" s="465"/>
      <c r="L801" s="465"/>
      <c r="M801" s="465"/>
      <c r="N801" s="465"/>
      <c r="O801" s="163"/>
      <c r="P801" s="163"/>
      <c r="Q801" s="541"/>
      <c r="R801" s="541"/>
      <c r="S801" s="541"/>
      <c r="T801" s="541"/>
      <c r="U801" s="541"/>
      <c r="V801" s="541"/>
      <c r="W801" s="541"/>
      <c r="X801" s="541"/>
      <c r="Y801" s="541"/>
      <c r="Z801" s="541"/>
    </row>
    <row r="802" spans="1:26" ht="18.75" hidden="1">
      <c r="A802" s="578"/>
      <c r="B802" s="580"/>
      <c r="C802" s="580"/>
      <c r="D802" s="580"/>
      <c r="E802" s="684"/>
      <c r="F802" s="684" t="s">
        <v>321</v>
      </c>
      <c r="G802" s="581"/>
      <c r="H802" s="619" t="s">
        <v>46</v>
      </c>
      <c r="I802" s="166"/>
      <c r="J802" s="583"/>
      <c r="K802" s="167">
        <f>IF(I802&gt;0,J802*100/I802,0)</f>
        <v>0</v>
      </c>
      <c r="L802" s="167"/>
      <c r="M802" s="167"/>
      <c r="N802" s="167"/>
      <c r="O802" s="167"/>
      <c r="P802" s="167"/>
      <c r="Q802" s="568"/>
      <c r="R802" s="568"/>
      <c r="S802" s="568"/>
      <c r="T802" s="568"/>
      <c r="U802" s="568"/>
      <c r="V802" s="568"/>
      <c r="W802" s="568"/>
      <c r="X802" s="568"/>
      <c r="Y802" s="568"/>
      <c r="Z802" s="568"/>
    </row>
    <row r="803" spans="1:26" ht="18.75" hidden="1">
      <c r="A803" s="578"/>
      <c r="B803" s="580"/>
      <c r="C803" s="580"/>
      <c r="D803" s="580"/>
      <c r="E803" s="684"/>
      <c r="F803" s="684"/>
      <c r="G803" s="581"/>
      <c r="H803" s="619" t="s">
        <v>34</v>
      </c>
      <c r="I803" s="166"/>
      <c r="J803" s="583"/>
      <c r="K803" s="167"/>
      <c r="L803" s="167"/>
      <c r="M803" s="167"/>
      <c r="N803" s="167"/>
      <c r="O803" s="167"/>
      <c r="P803" s="167"/>
      <c r="Q803" s="568"/>
      <c r="R803" s="568"/>
      <c r="S803" s="568"/>
      <c r="T803" s="568"/>
      <c r="U803" s="568"/>
      <c r="V803" s="568"/>
      <c r="W803" s="568"/>
      <c r="X803" s="568"/>
      <c r="Y803" s="568"/>
      <c r="Z803" s="568"/>
    </row>
    <row r="804" spans="1:26" ht="19.5" hidden="1">
      <c r="A804" s="757">
        <v>13</v>
      </c>
      <c r="B804" s="758" t="s">
        <v>322</v>
      </c>
      <c r="C804" s="759"/>
      <c r="D804" s="775"/>
      <c r="E804" s="759"/>
      <c r="F804" s="759"/>
      <c r="G804" s="760"/>
      <c r="H804" s="761" t="s">
        <v>46</v>
      </c>
      <c r="I804" s="762"/>
      <c r="J804" s="762">
        <f>J819</f>
        <v>0</v>
      </c>
      <c r="K804" s="763">
        <f>IF(I804&gt;0,J804*100/I804,0)</f>
        <v>0</v>
      </c>
      <c r="L804" s="764"/>
      <c r="M804" s="764"/>
      <c r="N804" s="764"/>
      <c r="O804" s="764"/>
      <c r="P804" s="764"/>
      <c r="Q804" s="568"/>
      <c r="R804" s="568"/>
      <c r="S804" s="568"/>
      <c r="T804" s="568"/>
      <c r="U804" s="568"/>
      <c r="V804" s="568"/>
      <c r="W804" s="568"/>
      <c r="X804" s="568"/>
      <c r="Y804" s="568"/>
      <c r="Z804" s="568"/>
    </row>
    <row r="805" spans="1:26" ht="19.5" hidden="1">
      <c r="A805" s="563"/>
      <c r="B805" s="723"/>
      <c r="C805" s="723" t="s">
        <v>16</v>
      </c>
      <c r="D805" s="812" t="s">
        <v>17</v>
      </c>
      <c r="E805" s="805"/>
      <c r="F805" s="805"/>
      <c r="G805" s="567"/>
      <c r="H805" s="612" t="s">
        <v>12</v>
      </c>
      <c r="I805" s="583"/>
      <c r="J805" s="583"/>
      <c r="K805" s="93"/>
      <c r="L805" s="613">
        <f t="shared" ref="L805:N805" si="326">L806+L807</f>
        <v>0</v>
      </c>
      <c r="M805" s="613">
        <f t="shared" si="326"/>
        <v>0</v>
      </c>
      <c r="N805" s="613">
        <f t="shared" si="326"/>
        <v>0</v>
      </c>
      <c r="O805" s="613">
        <f t="shared" ref="O805:O810" si="327">IF(L805&gt;0,N805*100/L805,0)</f>
        <v>0</v>
      </c>
      <c r="P805" s="613">
        <f t="shared" ref="P805:P810" si="328">IF(M805&gt;0,N805*100/M805,0)</f>
        <v>0</v>
      </c>
      <c r="Q805" s="568"/>
      <c r="R805" s="568"/>
      <c r="S805" s="568"/>
      <c r="T805" s="568"/>
      <c r="U805" s="568"/>
      <c r="V805" s="568"/>
      <c r="W805" s="568"/>
      <c r="X805" s="568"/>
      <c r="Y805" s="568"/>
      <c r="Z805" s="568"/>
    </row>
    <row r="806" spans="1:26" ht="18.75" hidden="1">
      <c r="A806" s="563"/>
      <c r="B806" s="723"/>
      <c r="C806" s="723"/>
      <c r="D806" s="580"/>
      <c r="E806" s="723" t="s">
        <v>184</v>
      </c>
      <c r="F806" s="723"/>
      <c r="G806" s="567"/>
      <c r="H806" s="165" t="s">
        <v>12</v>
      </c>
      <c r="I806" s="583"/>
      <c r="J806" s="583"/>
      <c r="K806" s="93"/>
      <c r="L806" s="93">
        <f t="shared" ref="L806:N807" si="329">L809+L816</f>
        <v>0</v>
      </c>
      <c r="M806" s="93">
        <f t="shared" si="329"/>
        <v>0</v>
      </c>
      <c r="N806" s="93">
        <f t="shared" si="329"/>
        <v>0</v>
      </c>
      <c r="O806" s="93">
        <f t="shared" si="327"/>
        <v>0</v>
      </c>
      <c r="P806" s="93">
        <f t="shared" si="328"/>
        <v>0</v>
      </c>
      <c r="Q806" s="568"/>
      <c r="R806" s="568"/>
      <c r="S806" s="568"/>
      <c r="T806" s="568"/>
      <c r="U806" s="568"/>
      <c r="V806" s="568"/>
      <c r="W806" s="568"/>
      <c r="X806" s="568"/>
      <c r="Y806" s="568"/>
      <c r="Z806" s="568"/>
    </row>
    <row r="807" spans="1:26" ht="18.75" hidden="1">
      <c r="A807" s="563"/>
      <c r="B807" s="723"/>
      <c r="C807" s="723"/>
      <c r="D807" s="580"/>
      <c r="E807" s="723" t="s">
        <v>185</v>
      </c>
      <c r="F807" s="723"/>
      <c r="G807" s="567"/>
      <c r="H807" s="165" t="s">
        <v>12</v>
      </c>
      <c r="I807" s="583"/>
      <c r="J807" s="583"/>
      <c r="K807" s="93"/>
      <c r="L807" s="93">
        <f t="shared" si="329"/>
        <v>0</v>
      </c>
      <c r="M807" s="93">
        <f t="shared" si="329"/>
        <v>0</v>
      </c>
      <c r="N807" s="93">
        <f t="shared" si="329"/>
        <v>0</v>
      </c>
      <c r="O807" s="93">
        <f t="shared" si="327"/>
        <v>0</v>
      </c>
      <c r="P807" s="93">
        <f t="shared" si="328"/>
        <v>0</v>
      </c>
      <c r="Q807" s="568"/>
      <c r="R807" s="568"/>
      <c r="S807" s="568"/>
      <c r="T807" s="568"/>
      <c r="U807" s="568"/>
      <c r="V807" s="568"/>
      <c r="W807" s="568"/>
      <c r="X807" s="568"/>
      <c r="Y807" s="568"/>
      <c r="Z807" s="568"/>
    </row>
    <row r="808" spans="1:26" ht="19.5" hidden="1">
      <c r="A808" s="563"/>
      <c r="B808" s="571"/>
      <c r="C808" s="723"/>
      <c r="D808" s="857" t="s">
        <v>20</v>
      </c>
      <c r="E808" s="805"/>
      <c r="F808" s="805"/>
      <c r="G808" s="567"/>
      <c r="H808" s="612" t="s">
        <v>12</v>
      </c>
      <c r="I808" s="166"/>
      <c r="J808" s="166"/>
      <c r="K808" s="167"/>
      <c r="L808" s="613">
        <f t="shared" ref="L808:N808" si="330">L809+L810</f>
        <v>0</v>
      </c>
      <c r="M808" s="613">
        <f t="shared" si="330"/>
        <v>0</v>
      </c>
      <c r="N808" s="613">
        <f t="shared" si="330"/>
        <v>0</v>
      </c>
      <c r="O808" s="613">
        <f t="shared" si="327"/>
        <v>0</v>
      </c>
      <c r="P808" s="613">
        <f t="shared" si="328"/>
        <v>0</v>
      </c>
      <c r="Q808" s="568"/>
      <c r="R808" s="568"/>
      <c r="S808" s="568"/>
      <c r="T808" s="568"/>
      <c r="U808" s="568"/>
      <c r="V808" s="568"/>
      <c r="W808" s="568"/>
      <c r="X808" s="568"/>
      <c r="Y808" s="568"/>
      <c r="Z808" s="568"/>
    </row>
    <row r="809" spans="1:26" ht="18.75" hidden="1">
      <c r="A809" s="563"/>
      <c r="B809" s="723"/>
      <c r="C809" s="723"/>
      <c r="D809" s="580"/>
      <c r="E809" s="723" t="s">
        <v>184</v>
      </c>
      <c r="F809" s="723"/>
      <c r="G809" s="567"/>
      <c r="H809" s="165" t="s">
        <v>12</v>
      </c>
      <c r="I809" s="583"/>
      <c r="J809" s="583"/>
      <c r="K809" s="93"/>
      <c r="L809" s="93">
        <v>0</v>
      </c>
      <c r="M809" s="93">
        <v>0</v>
      </c>
      <c r="N809" s="93">
        <v>0</v>
      </c>
      <c r="O809" s="93">
        <f t="shared" si="327"/>
        <v>0</v>
      </c>
      <c r="P809" s="93">
        <f t="shared" si="328"/>
        <v>0</v>
      </c>
      <c r="Q809" s="568"/>
      <c r="R809" s="568"/>
      <c r="S809" s="568"/>
      <c r="T809" s="568"/>
      <c r="U809" s="568"/>
      <c r="V809" s="568"/>
      <c r="W809" s="568"/>
      <c r="X809" s="568"/>
      <c r="Y809" s="568"/>
      <c r="Z809" s="568"/>
    </row>
    <row r="810" spans="1:26" ht="18.75" hidden="1">
      <c r="A810" s="563"/>
      <c r="B810" s="723"/>
      <c r="C810" s="723"/>
      <c r="D810" s="580"/>
      <c r="E810" s="723" t="s">
        <v>185</v>
      </c>
      <c r="F810" s="723"/>
      <c r="G810" s="567"/>
      <c r="H810" s="165" t="s">
        <v>12</v>
      </c>
      <c r="I810" s="583"/>
      <c r="J810" s="583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7"/>
        <v>0</v>
      </c>
      <c r="P810" s="93">
        <f t="shared" si="328"/>
        <v>0</v>
      </c>
      <c r="Q810" s="568"/>
      <c r="R810" s="568"/>
      <c r="S810" s="568"/>
      <c r="T810" s="568"/>
      <c r="U810" s="568"/>
      <c r="V810" s="568"/>
      <c r="W810" s="568"/>
      <c r="X810" s="568"/>
      <c r="Y810" s="568"/>
      <c r="Z810" s="568"/>
    </row>
    <row r="811" spans="1:26" ht="18.75" hidden="1">
      <c r="A811" s="615"/>
      <c r="B811" s="571"/>
      <c r="C811" s="723"/>
      <c r="D811" s="571"/>
      <c r="E811" s="723"/>
      <c r="F811" s="723" t="s">
        <v>186</v>
      </c>
      <c r="G811" s="567"/>
      <c r="H811" s="165" t="s">
        <v>12</v>
      </c>
      <c r="I811" s="583"/>
      <c r="J811" s="583"/>
      <c r="K811" s="93"/>
      <c r="L811" s="93"/>
      <c r="M811" s="93"/>
      <c r="N811" s="93"/>
      <c r="O811" s="93"/>
      <c r="P811" s="93"/>
      <c r="Q811" s="568"/>
      <c r="R811" s="568"/>
      <c r="S811" s="568"/>
      <c r="T811" s="568"/>
      <c r="U811" s="568"/>
      <c r="V811" s="568"/>
      <c r="W811" s="568"/>
      <c r="X811" s="568"/>
      <c r="Y811" s="568"/>
      <c r="Z811" s="568"/>
    </row>
    <row r="812" spans="1:26" ht="18.75" hidden="1">
      <c r="A812" s="615"/>
      <c r="B812" s="571"/>
      <c r="C812" s="723"/>
      <c r="D812" s="571"/>
      <c r="E812" s="723"/>
      <c r="F812" s="723" t="s">
        <v>187</v>
      </c>
      <c r="G812" s="567"/>
      <c r="H812" s="165" t="s">
        <v>12</v>
      </c>
      <c r="I812" s="583"/>
      <c r="J812" s="583"/>
      <c r="K812" s="93"/>
      <c r="L812" s="93"/>
      <c r="M812" s="93"/>
      <c r="N812" s="93"/>
      <c r="O812" s="93"/>
      <c r="P812" s="93"/>
      <c r="Q812" s="568"/>
      <c r="R812" s="568"/>
      <c r="S812" s="568"/>
      <c r="T812" s="568"/>
      <c r="U812" s="568"/>
      <c r="V812" s="568"/>
      <c r="W812" s="568"/>
      <c r="X812" s="568"/>
      <c r="Y812" s="568"/>
      <c r="Z812" s="568"/>
    </row>
    <row r="813" spans="1:26" ht="18.75" hidden="1">
      <c r="A813" s="615"/>
      <c r="B813" s="571"/>
      <c r="C813" s="723"/>
      <c r="D813" s="571"/>
      <c r="E813" s="723"/>
      <c r="F813" s="723" t="s">
        <v>188</v>
      </c>
      <c r="G813" s="567"/>
      <c r="H813" s="165" t="s">
        <v>12</v>
      </c>
      <c r="I813" s="583"/>
      <c r="J813" s="583"/>
      <c r="K813" s="93"/>
      <c r="L813" s="93"/>
      <c r="M813" s="93"/>
      <c r="N813" s="93"/>
      <c r="O813" s="93"/>
      <c r="P813" s="93"/>
      <c r="Q813" s="568"/>
      <c r="R813" s="568"/>
      <c r="S813" s="568"/>
      <c r="T813" s="568"/>
      <c r="U813" s="568"/>
      <c r="V813" s="568"/>
      <c r="W813" s="568"/>
      <c r="X813" s="568"/>
      <c r="Y813" s="568"/>
      <c r="Z813" s="568"/>
    </row>
    <row r="814" spans="1:26" ht="18.75" hidden="1">
      <c r="A814" s="615"/>
      <c r="B814" s="571"/>
      <c r="C814" s="723"/>
      <c r="D814" s="571"/>
      <c r="E814" s="723"/>
      <c r="F814" s="723" t="s">
        <v>189</v>
      </c>
      <c r="G814" s="567"/>
      <c r="H814" s="165" t="s">
        <v>12</v>
      </c>
      <c r="I814" s="583"/>
      <c r="J814" s="583"/>
      <c r="K814" s="93"/>
      <c r="L814" s="93"/>
      <c r="M814" s="93"/>
      <c r="N814" s="93"/>
      <c r="O814" s="93"/>
      <c r="P814" s="93"/>
      <c r="Q814" s="568"/>
      <c r="R814" s="568"/>
      <c r="S814" s="568"/>
      <c r="T814" s="568"/>
      <c r="U814" s="568"/>
      <c r="V814" s="568"/>
      <c r="W814" s="568"/>
      <c r="X814" s="568"/>
      <c r="Y814" s="568"/>
      <c r="Z814" s="568"/>
    </row>
    <row r="815" spans="1:26" ht="19.5" hidden="1">
      <c r="A815" s="563"/>
      <c r="B815" s="571"/>
      <c r="C815" s="723"/>
      <c r="D815" s="857" t="s">
        <v>21</v>
      </c>
      <c r="E815" s="805"/>
      <c r="F815" s="805"/>
      <c r="G815" s="567"/>
      <c r="H815" s="747" t="s">
        <v>12</v>
      </c>
      <c r="I815" s="166"/>
      <c r="J815" s="166"/>
      <c r="K815" s="167"/>
      <c r="L815" s="613">
        <f t="shared" ref="L815:N815" si="331">L816+L817</f>
        <v>0</v>
      </c>
      <c r="M815" s="613">
        <f t="shared" si="331"/>
        <v>0</v>
      </c>
      <c r="N815" s="613">
        <f t="shared" si="331"/>
        <v>0</v>
      </c>
      <c r="O815" s="613">
        <f t="shared" ref="O815:O817" si="332">IF(L815&gt;0,N815*100/L815,0)</f>
        <v>0</v>
      </c>
      <c r="P815" s="613">
        <f t="shared" ref="P815:P817" si="333">IF(M815&gt;0,N815*100/M815,0)</f>
        <v>0</v>
      </c>
      <c r="Q815" s="568"/>
      <c r="R815" s="568"/>
      <c r="S815" s="568"/>
      <c r="T815" s="568"/>
      <c r="U815" s="568"/>
      <c r="V815" s="568"/>
      <c r="W815" s="568"/>
      <c r="X815" s="568"/>
      <c r="Y815" s="568"/>
      <c r="Z815" s="568"/>
    </row>
    <row r="816" spans="1:26" ht="18.75" hidden="1">
      <c r="A816" s="563"/>
      <c r="B816" s="571"/>
      <c r="C816" s="723"/>
      <c r="D816" s="571"/>
      <c r="E816" s="723" t="s">
        <v>18</v>
      </c>
      <c r="F816" s="723"/>
      <c r="G816" s="567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2"/>
        <v>0</v>
      </c>
      <c r="P816" s="93">
        <f t="shared" si="333"/>
        <v>0</v>
      </c>
      <c r="Q816" s="568"/>
      <c r="R816" s="568"/>
      <c r="S816" s="568"/>
      <c r="T816" s="568"/>
      <c r="U816" s="568"/>
      <c r="V816" s="568"/>
      <c r="W816" s="568"/>
      <c r="X816" s="568"/>
      <c r="Y816" s="568"/>
      <c r="Z816" s="568"/>
    </row>
    <row r="817" spans="1:26" ht="18.75" hidden="1">
      <c r="A817" s="563"/>
      <c r="B817" s="571"/>
      <c r="C817" s="723"/>
      <c r="D817" s="571"/>
      <c r="E817" s="723" t="s">
        <v>19</v>
      </c>
      <c r="F817" s="723"/>
      <c r="G817" s="567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2"/>
        <v>0</v>
      </c>
      <c r="P817" s="93">
        <f t="shared" si="333"/>
        <v>0</v>
      </c>
      <c r="Q817" s="568"/>
      <c r="R817" s="568"/>
      <c r="S817" s="568"/>
      <c r="T817" s="568"/>
      <c r="U817" s="568"/>
      <c r="V817" s="568"/>
      <c r="W817" s="568"/>
      <c r="X817" s="568"/>
      <c r="Y817" s="568"/>
      <c r="Z817" s="568"/>
    </row>
    <row r="818" spans="1:26" ht="19.5" hidden="1">
      <c r="A818" s="578"/>
      <c r="B818" s="580"/>
      <c r="C818" s="723" t="s">
        <v>16</v>
      </c>
      <c r="D818" s="858" t="s">
        <v>38</v>
      </c>
      <c r="E818" s="617"/>
      <c r="F818" s="617"/>
      <c r="G818" s="618"/>
      <c r="H818" s="581"/>
      <c r="I818" s="166"/>
      <c r="J818" s="166"/>
      <c r="K818" s="167"/>
      <c r="L818" s="167"/>
      <c r="M818" s="167"/>
      <c r="N818" s="167"/>
      <c r="O818" s="167"/>
      <c r="P818" s="167"/>
      <c r="Q818" s="568"/>
      <c r="R818" s="568"/>
      <c r="S818" s="568"/>
      <c r="T818" s="568"/>
      <c r="U818" s="568"/>
      <c r="V818" s="568"/>
      <c r="W818" s="568"/>
      <c r="X818" s="568"/>
      <c r="Y818" s="568"/>
      <c r="Z818" s="568"/>
    </row>
    <row r="819" spans="1:26" ht="19.5" hidden="1" thickBot="1">
      <c r="A819" s="777"/>
      <c r="B819" s="778"/>
      <c r="C819" s="780"/>
      <c r="D819" s="778"/>
      <c r="E819" s="780" t="s">
        <v>323</v>
      </c>
      <c r="F819" s="780"/>
      <c r="G819" s="781"/>
      <c r="H819" s="782" t="s">
        <v>46</v>
      </c>
      <c r="I819" s="783"/>
      <c r="J819" s="783"/>
      <c r="K819" s="784"/>
      <c r="L819" s="784"/>
      <c r="M819" s="784"/>
      <c r="N819" s="784"/>
      <c r="O819" s="784"/>
      <c r="P819" s="784"/>
      <c r="Q819" s="568"/>
      <c r="R819" s="568"/>
      <c r="S819" s="568"/>
      <c r="T819" s="568"/>
      <c r="U819" s="568"/>
      <c r="V819" s="568"/>
      <c r="W819" s="568"/>
      <c r="X819" s="568"/>
      <c r="Y819" s="568"/>
      <c r="Z819" s="568"/>
    </row>
    <row r="820" spans="1:26" ht="19.5">
      <c r="A820" s="785" t="s">
        <v>332</v>
      </c>
      <c r="B820" s="786"/>
      <c r="C820" s="786"/>
      <c r="D820" s="787"/>
      <c r="E820" s="786"/>
      <c r="F820" s="786"/>
      <c r="G820" s="788"/>
      <c r="H820" s="788"/>
      <c r="I820" s="214"/>
      <c r="J820" s="214"/>
      <c r="K820" s="789"/>
      <c r="L820" s="789"/>
      <c r="M820" s="789"/>
      <c r="N820" s="789"/>
      <c r="O820" s="789"/>
      <c r="P820" s="789"/>
      <c r="Q820" s="541"/>
      <c r="R820" s="541"/>
      <c r="S820" s="541"/>
      <c r="T820" s="541"/>
      <c r="U820" s="541"/>
      <c r="V820" s="541"/>
      <c r="W820" s="541"/>
      <c r="X820" s="541"/>
      <c r="Y820" s="541"/>
      <c r="Z820" s="541"/>
    </row>
    <row r="821" spans="1:26" ht="18.75">
      <c r="A821" s="708"/>
      <c r="B821" s="727" t="s">
        <v>325</v>
      </c>
      <c r="C821" s="727"/>
      <c r="D821" s="538"/>
      <c r="E821" s="727"/>
      <c r="F821" s="727"/>
      <c r="G821" s="189"/>
      <c r="H821" s="589" t="s">
        <v>12</v>
      </c>
      <c r="I821" s="269">
        <f ca="1">IFERROR(__xludf.DUMMYFUNCTION("IMPORTRANGE(""https://docs.google.com/spreadsheets/d/19vJNZY_5yjcGF2XGBMNZRCAIB0Kwfpjp8YEOfu-bneM/edit?usp=sharing"",""งานกองทุน!D23"")"),13617653.35)</f>
        <v>13617653.35</v>
      </c>
      <c r="J821" s="269">
        <f ca="1">IFERROR(__xludf.DUMMYFUNCTION("IMPORTRANGE(""https://docs.google.com/spreadsheets/d/19vJNZY_5yjcGF2XGBMNZRCAIB0Kwfpjp8YEOfu-bneM/edit?usp=sharing"",""งานกองทุน!F23"")"),0)</f>
        <v>0</v>
      </c>
      <c r="K821" s="465">
        <f t="shared" ref="K821:K828" ca="1" si="334">IF(I821&gt;0,J821*100/I821,0)</f>
        <v>0</v>
      </c>
      <c r="L821" s="465"/>
      <c r="M821" s="465"/>
      <c r="N821" s="465"/>
      <c r="O821" s="465"/>
      <c r="P821" s="465"/>
      <c r="Q821" s="541"/>
      <c r="R821" s="541"/>
      <c r="S821" s="541"/>
      <c r="T821" s="541"/>
      <c r="U821" s="541"/>
      <c r="V821" s="541"/>
      <c r="W821" s="541"/>
      <c r="X821" s="541"/>
      <c r="Y821" s="541"/>
      <c r="Z821" s="541"/>
    </row>
    <row r="822" spans="1:26" ht="18.75">
      <c r="A822" s="708"/>
      <c r="B822" s="727"/>
      <c r="C822" s="727"/>
      <c r="D822" s="538"/>
      <c r="E822" s="727"/>
      <c r="F822" s="727"/>
      <c r="G822" s="189"/>
      <c r="H822" s="589" t="s">
        <v>35</v>
      </c>
      <c r="I822" s="269">
        <f ca="1">IFERROR(__xludf.DUMMYFUNCTION("IMPORTRANGE(""https://docs.google.com/spreadsheets/d/19vJNZY_5yjcGF2XGBMNZRCAIB0Kwfpjp8YEOfu-bneM/edit?usp=sharing"",""งานกองทุน!C23"")"),488)</f>
        <v>488</v>
      </c>
      <c r="J822" s="269">
        <f ca="1">IFERROR(__xludf.DUMMYFUNCTION("IMPORTRANGE(""https://docs.google.com/spreadsheets/d/19vJNZY_5yjcGF2XGBMNZRCAIB0Kwfpjp8YEOfu-bneM/edit?usp=sharing"",""งานกองทุน!E23"")"),0)</f>
        <v>0</v>
      </c>
      <c r="K822" s="465">
        <f t="shared" ca="1" si="334"/>
        <v>0</v>
      </c>
      <c r="L822" s="465"/>
      <c r="M822" s="465"/>
      <c r="N822" s="465"/>
      <c r="O822" s="465"/>
      <c r="P822" s="465"/>
      <c r="Q822" s="541"/>
      <c r="R822" s="541"/>
      <c r="S822" s="541"/>
      <c r="T822" s="541"/>
      <c r="U822" s="541"/>
      <c r="V822" s="541"/>
      <c r="W822" s="541"/>
      <c r="X822" s="541"/>
      <c r="Y822" s="541"/>
      <c r="Z822" s="541"/>
    </row>
    <row r="823" spans="1:26" ht="18.75">
      <c r="A823" s="708"/>
      <c r="B823" s="727" t="s">
        <v>326</v>
      </c>
      <c r="C823" s="727"/>
      <c r="D823" s="538"/>
      <c r="E823" s="727"/>
      <c r="F823" s="727"/>
      <c r="G823" s="189"/>
      <c r="H823" s="589" t="s">
        <v>12</v>
      </c>
      <c r="I823" s="269">
        <f ca="1">IFERROR(__xludf.DUMMYFUNCTION("IMPORTRANGE(""https://docs.google.com/spreadsheets/d/19vJNZY_5yjcGF2XGBMNZRCAIB0Kwfpjp8YEOfu-bneM/edit?usp=sharing"",""งานกองทุน!I23"")"),30873324.14)</f>
        <v>30873324.140000001</v>
      </c>
      <c r="J823" s="269">
        <f ca="1">IFERROR(__xludf.DUMMYFUNCTION("IMPORTRANGE(""https://docs.google.com/spreadsheets/d/19vJNZY_5yjcGF2XGBMNZRCAIB0Kwfpjp8YEOfu-bneM/edit?usp=sharing"",""งานกองทุน!K23"")"),702477.86)</f>
        <v>702477.86</v>
      </c>
      <c r="K823" s="465">
        <f t="shared" ca="1" si="334"/>
        <v>2.2753554389365473</v>
      </c>
      <c r="L823" s="465"/>
      <c r="M823" s="465"/>
      <c r="N823" s="465"/>
      <c r="O823" s="465"/>
      <c r="P823" s="465"/>
      <c r="Q823" s="541"/>
      <c r="R823" s="541"/>
      <c r="S823" s="541"/>
      <c r="T823" s="541"/>
      <c r="U823" s="541"/>
      <c r="V823" s="541"/>
      <c r="W823" s="541"/>
      <c r="X823" s="541"/>
      <c r="Y823" s="541"/>
      <c r="Z823" s="541"/>
    </row>
    <row r="824" spans="1:26" ht="18.75">
      <c r="A824" s="708"/>
      <c r="B824" s="727"/>
      <c r="C824" s="727"/>
      <c r="D824" s="538"/>
      <c r="E824" s="727"/>
      <c r="F824" s="727"/>
      <c r="G824" s="189"/>
      <c r="H824" s="589" t="s">
        <v>35</v>
      </c>
      <c r="I824" s="269">
        <f ca="1">IFERROR(__xludf.DUMMYFUNCTION("IMPORTRANGE(""https://docs.google.com/spreadsheets/d/19vJNZY_5yjcGF2XGBMNZRCAIB0Kwfpjp8YEOfu-bneM/edit?usp=sharing"",""งานกองทุน!H23"")"),1118)</f>
        <v>1118</v>
      </c>
      <c r="J824" s="269">
        <f ca="1">IFERROR(__xludf.DUMMYFUNCTION("IMPORTRANGE(""https://docs.google.com/spreadsheets/d/19vJNZY_5yjcGF2XGBMNZRCAIB0Kwfpjp8YEOfu-bneM/edit?usp=sharing"",""งานกองทุน!J23"")"),40)</f>
        <v>40</v>
      </c>
      <c r="K824" s="465">
        <f t="shared" ca="1" si="334"/>
        <v>3.5778175313059033</v>
      </c>
      <c r="L824" s="465"/>
      <c r="M824" s="465"/>
      <c r="N824" s="465"/>
      <c r="O824" s="465"/>
      <c r="P824" s="465"/>
      <c r="Q824" s="541"/>
      <c r="R824" s="541"/>
      <c r="S824" s="541"/>
      <c r="T824" s="541"/>
      <c r="U824" s="541"/>
      <c r="V824" s="541"/>
      <c r="W824" s="541"/>
      <c r="X824" s="541"/>
      <c r="Y824" s="541"/>
      <c r="Z824" s="541"/>
    </row>
    <row r="825" spans="1:26" ht="18.75">
      <c r="A825" s="708"/>
      <c r="B825" s="727" t="s">
        <v>327</v>
      </c>
      <c r="C825" s="727"/>
      <c r="D825" s="538"/>
      <c r="E825" s="727"/>
      <c r="F825" s="727"/>
      <c r="G825" s="189"/>
      <c r="H825" s="589" t="s">
        <v>12</v>
      </c>
      <c r="I825" s="269">
        <f ca="1">IFERROR(__xludf.DUMMYFUNCTION("IMPORTRANGE(""https://docs.google.com/spreadsheets/d/19vJNZY_5yjcGF2XGBMNZRCAIB0Kwfpjp8YEOfu-bneM/edit?usp=sharing"",""งานกองทุน!N23"")"),3229051.61)</f>
        <v>3229051.61</v>
      </c>
      <c r="J825" s="269">
        <f ca="1">IFERROR(__xludf.DUMMYFUNCTION("IMPORTRANGE(""https://docs.google.com/spreadsheets/d/19vJNZY_5yjcGF2XGBMNZRCAIB0Kwfpjp8YEOfu-bneM/edit?usp=sharing"",""งานกองทุน!P23"")"),44292.13)</f>
        <v>44292.13</v>
      </c>
      <c r="K825" s="465">
        <f t="shared" ca="1" si="334"/>
        <v>1.3716761250527056</v>
      </c>
      <c r="L825" s="465"/>
      <c r="M825" s="465"/>
      <c r="N825" s="465"/>
      <c r="O825" s="465"/>
      <c r="P825" s="465"/>
      <c r="Q825" s="541"/>
      <c r="R825" s="541"/>
      <c r="S825" s="541"/>
      <c r="T825" s="541"/>
      <c r="U825" s="541"/>
      <c r="V825" s="541"/>
      <c r="W825" s="541"/>
      <c r="X825" s="541"/>
      <c r="Y825" s="541"/>
      <c r="Z825" s="541"/>
    </row>
    <row r="826" spans="1:26" ht="18.75">
      <c r="A826" s="708"/>
      <c r="B826" s="727"/>
      <c r="C826" s="727"/>
      <c r="D826" s="538"/>
      <c r="E826" s="727"/>
      <c r="F826" s="727"/>
      <c r="G826" s="189"/>
      <c r="H826" s="589" t="s">
        <v>35</v>
      </c>
      <c r="I826" s="269">
        <f ca="1">IFERROR(__xludf.DUMMYFUNCTION("IMPORTRANGE(""https://docs.google.com/spreadsheets/d/19vJNZY_5yjcGF2XGBMNZRCAIB0Kwfpjp8YEOfu-bneM/edit?usp=sharing"",""งานกองทุน!M23"")"),142)</f>
        <v>142</v>
      </c>
      <c r="J826" s="269">
        <f ca="1">IFERROR(__xludf.DUMMYFUNCTION("IMPORTRANGE(""https://docs.google.com/spreadsheets/d/19vJNZY_5yjcGF2XGBMNZRCAIB0Kwfpjp8YEOfu-bneM/edit?usp=sharing"",""งานกองทุน!O23"")"),12)</f>
        <v>12</v>
      </c>
      <c r="K826" s="465">
        <f t="shared" ca="1" si="334"/>
        <v>8.4507042253521121</v>
      </c>
      <c r="L826" s="465"/>
      <c r="M826" s="465"/>
      <c r="N826" s="465"/>
      <c r="O826" s="465"/>
      <c r="P826" s="465"/>
      <c r="Q826" s="541"/>
      <c r="R826" s="541"/>
      <c r="S826" s="541"/>
      <c r="T826" s="541"/>
      <c r="U826" s="541"/>
      <c r="V826" s="541"/>
      <c r="W826" s="541"/>
      <c r="X826" s="541"/>
      <c r="Y826" s="541"/>
      <c r="Z826" s="541"/>
    </row>
    <row r="827" spans="1:26" ht="18.75">
      <c r="A827" s="708"/>
      <c r="B827" s="727" t="s">
        <v>328</v>
      </c>
      <c r="C827" s="727"/>
      <c r="D827" s="538"/>
      <c r="E827" s="727"/>
      <c r="F827" s="727"/>
      <c r="G827" s="189"/>
      <c r="H827" s="589" t="s">
        <v>12</v>
      </c>
      <c r="I827" s="269">
        <f ca="1">IFERROR(__xludf.DUMMYFUNCTION("IMPORTRANGE(""https://docs.google.com/spreadsheets/d/19vJNZY_5yjcGF2XGBMNZRCAIB0Kwfpjp8YEOfu-bneM/edit?usp=sharing"",""งานกองทุน!S23"")"),13050000)</f>
        <v>13050000</v>
      </c>
      <c r="J827" s="269">
        <f ca="1">IFERROR(__xludf.DUMMYFUNCTION("IMPORTRANGE(""https://docs.google.com/spreadsheets/d/19vJNZY_5yjcGF2XGBMNZRCAIB0Kwfpjp8YEOfu-bneM/edit?usp=sharing"",""งานกองทุน!U23"")"),0)</f>
        <v>0</v>
      </c>
      <c r="K827" s="465">
        <f t="shared" ca="1" si="334"/>
        <v>0</v>
      </c>
      <c r="L827" s="465"/>
      <c r="M827" s="465"/>
      <c r="N827" s="465"/>
      <c r="O827" s="465"/>
      <c r="P827" s="465"/>
      <c r="Q827" s="541"/>
      <c r="R827" s="541"/>
      <c r="S827" s="541"/>
      <c r="T827" s="541"/>
      <c r="U827" s="541"/>
      <c r="V827" s="541"/>
      <c r="W827" s="541"/>
      <c r="X827" s="541"/>
      <c r="Y827" s="541"/>
      <c r="Z827" s="541"/>
    </row>
    <row r="828" spans="1:26" ht="18.75">
      <c r="A828" s="711"/>
      <c r="B828" s="713"/>
      <c r="C828" s="713"/>
      <c r="D828" s="712"/>
      <c r="E828" s="713"/>
      <c r="F828" s="713"/>
      <c r="G828" s="790"/>
      <c r="H828" s="791" t="s">
        <v>35</v>
      </c>
      <c r="I828" s="468">
        <f ca="1">IFERROR(__xludf.DUMMYFUNCTION("IMPORTRANGE(""https://docs.google.com/spreadsheets/d/19vJNZY_5yjcGF2XGBMNZRCAIB0Kwfpjp8YEOfu-bneM/edit?usp=sharing"",""งานกองทุน!R23"")"),522)</f>
        <v>522</v>
      </c>
      <c r="J828" s="468">
        <f ca="1">IFERROR(__xludf.DUMMYFUNCTION("IMPORTRANGE(""https://docs.google.com/spreadsheets/d/19vJNZY_5yjcGF2XGBMNZRCAIB0Kwfpjp8YEOfu-bneM/edit?usp=sharing"",""งานกองทุน!T23"")"),10)</f>
        <v>10</v>
      </c>
      <c r="K828" s="469">
        <f t="shared" ca="1" si="334"/>
        <v>1.9157088122605364</v>
      </c>
      <c r="L828" s="469"/>
      <c r="M828" s="469"/>
      <c r="N828" s="469"/>
      <c r="O828" s="469"/>
      <c r="P828" s="469"/>
      <c r="Q828" s="541"/>
      <c r="R828" s="541"/>
      <c r="S828" s="541"/>
      <c r="T828" s="541"/>
      <c r="U828" s="541"/>
      <c r="V828" s="541"/>
      <c r="W828" s="541"/>
      <c r="X828" s="541"/>
      <c r="Y828" s="541"/>
      <c r="Z828" s="541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1" fitToHeight="0" pageOrder="overThenDown" orientation="portrait" cellComments="atEnd" r:id="rId1"/>
  <headerFooter>
    <oddFooter>&amp;Cหน้า &amp;P/&amp;N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77571A-879C-4961-AC8A-ABA8A8F4F5F2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activeCell="S28" sqref="S28"/>
      <selection pane="bottomLeft" activeCell="A2" sqref="A2:P2"/>
    </sheetView>
  </sheetViews>
  <sheetFormatPr defaultColWidth="12.5703125" defaultRowHeight="15.75" customHeight="1"/>
  <cols>
    <col min="1" max="1" width="4.7109375" customWidth="1"/>
    <col min="2" max="3" width="3.28515625" customWidth="1"/>
    <col min="4" max="6" width="5.85546875" customWidth="1"/>
    <col min="7" max="7" width="56.42578125" customWidth="1"/>
    <col min="8" max="8" width="9.42578125" customWidth="1"/>
    <col min="9" max="9" width="16.85546875" bestFit="1" customWidth="1"/>
    <col min="10" max="10" width="12.5703125" bestFit="1" customWidth="1"/>
    <col min="11" max="11" width="12.5703125" customWidth="1"/>
    <col min="12" max="14" width="21.28515625" bestFit="1" customWidth="1"/>
    <col min="15" max="15" width="20.140625" bestFit="1" customWidth="1"/>
    <col min="16" max="16" width="22" bestFit="1" customWidth="1"/>
  </cols>
  <sheetData>
    <row r="1" spans="1:26" ht="19.5">
      <c r="A1" s="792" t="s">
        <v>0</v>
      </c>
      <c r="B1" s="793"/>
      <c r="C1" s="793"/>
      <c r="D1" s="793"/>
      <c r="E1" s="793"/>
      <c r="F1" s="793"/>
      <c r="G1" s="793"/>
      <c r="H1" s="793"/>
      <c r="I1" s="793"/>
      <c r="J1" s="793"/>
      <c r="K1" s="793"/>
      <c r="L1" s="793"/>
      <c r="M1" s="793"/>
      <c r="N1" s="793"/>
      <c r="O1" s="793"/>
      <c r="P1" s="793"/>
    </row>
    <row r="2" spans="1:26" ht="19.5">
      <c r="A2" s="792" t="s">
        <v>346</v>
      </c>
      <c r="B2" s="793"/>
      <c r="C2" s="793"/>
      <c r="D2" s="793"/>
      <c r="E2" s="793"/>
      <c r="F2" s="793"/>
      <c r="G2" s="793"/>
      <c r="H2" s="793"/>
      <c r="I2" s="793"/>
      <c r="J2" s="793"/>
      <c r="K2" s="793"/>
      <c r="L2" s="793"/>
      <c r="M2" s="793"/>
      <c r="N2" s="793"/>
      <c r="O2" s="793"/>
      <c r="P2" s="793"/>
    </row>
    <row r="3" spans="1:26" ht="19.5">
      <c r="A3" s="792" t="s">
        <v>355</v>
      </c>
      <c r="B3" s="793"/>
      <c r="C3" s="793"/>
      <c r="D3" s="793"/>
      <c r="E3" s="793"/>
      <c r="F3" s="793"/>
      <c r="G3" s="793"/>
      <c r="H3" s="793"/>
      <c r="I3" s="793"/>
      <c r="J3" s="793"/>
      <c r="K3" s="793"/>
      <c r="L3" s="793"/>
      <c r="M3" s="793"/>
      <c r="N3" s="793"/>
      <c r="O3" s="793"/>
      <c r="P3" s="793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00" t="s">
        <v>2</v>
      </c>
      <c r="B5" s="793"/>
      <c r="C5" s="793"/>
      <c r="D5" s="793"/>
      <c r="E5" s="793"/>
      <c r="F5" s="793"/>
      <c r="G5" s="801"/>
      <c r="H5" s="794" t="s">
        <v>3</v>
      </c>
      <c r="I5" s="796" t="s">
        <v>4</v>
      </c>
      <c r="J5" s="797"/>
      <c r="K5" s="795"/>
      <c r="L5" s="798" t="s">
        <v>5</v>
      </c>
      <c r="M5" s="795"/>
      <c r="N5" s="799" t="s">
        <v>6</v>
      </c>
      <c r="O5" s="797"/>
      <c r="P5" s="795"/>
    </row>
    <row r="6" spans="1:26" ht="19.5">
      <c r="A6" s="802"/>
      <c r="B6" s="797"/>
      <c r="C6" s="797"/>
      <c r="D6" s="797"/>
      <c r="E6" s="797"/>
      <c r="F6" s="797"/>
      <c r="G6" s="795"/>
      <c r="H6" s="795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03" t="s">
        <v>15</v>
      </c>
      <c r="B7" s="797"/>
      <c r="C7" s="797"/>
      <c r="D7" s="797"/>
      <c r="E7" s="797"/>
      <c r="F7" s="797"/>
      <c r="G7" s="795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5496292</v>
      </c>
      <c r="M8" s="22">
        <f t="shared" ca="1" si="0"/>
        <v>1851750</v>
      </c>
      <c r="N8" s="22">
        <f t="shared" ca="1" si="0"/>
        <v>1101042.67</v>
      </c>
      <c r="O8" s="22">
        <f t="shared" ref="O8:O16" ca="1" si="1">IF(L8&gt;0,N8*100/L8,0)</f>
        <v>20.032463158798695</v>
      </c>
      <c r="P8" s="22">
        <f t="shared" ref="P8:P16" ca="1" si="2">IF(M8&gt;0,N8*100/M8,0)</f>
        <v>59.459574456595114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5496292</v>
      </c>
      <c r="M10" s="30">
        <f t="shared" ca="1" si="3"/>
        <v>1851750</v>
      </c>
      <c r="N10" s="30">
        <f t="shared" ca="1" si="3"/>
        <v>1101042.67</v>
      </c>
      <c r="O10" s="30">
        <f t="shared" ca="1" si="1"/>
        <v>20.032463158798695</v>
      </c>
      <c r="P10" s="30">
        <f t="shared" ca="1" si="2"/>
        <v>59.459574456595114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589" t="s">
        <v>12</v>
      </c>
      <c r="I11" s="269"/>
      <c r="J11" s="269"/>
      <c r="K11" s="465"/>
      <c r="L11" s="465">
        <f t="shared" ref="L11:N11" ca="1" si="4">L12+L13</f>
        <v>5059692</v>
      </c>
      <c r="M11" s="465">
        <f t="shared" ca="1" si="4"/>
        <v>1416950</v>
      </c>
      <c r="N11" s="465">
        <f t="shared" ca="1" si="4"/>
        <v>666242.66999999993</v>
      </c>
      <c r="O11" s="465">
        <f t="shared" ca="1" si="1"/>
        <v>13.167652695065232</v>
      </c>
      <c r="P11" s="465">
        <f t="shared" ca="1" si="2"/>
        <v>47.0194904548502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2" t="s">
        <v>18</v>
      </c>
      <c r="F12" s="40"/>
      <c r="G12" s="42"/>
      <c r="H12" s="43" t="s">
        <v>12</v>
      </c>
      <c r="I12" s="583"/>
      <c r="J12" s="583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2" t="s">
        <v>19</v>
      </c>
      <c r="F13" s="40"/>
      <c r="G13" s="42"/>
      <c r="H13" s="43" t="s">
        <v>12</v>
      </c>
      <c r="I13" s="583"/>
      <c r="J13" s="583"/>
      <c r="K13" s="93"/>
      <c r="L13" s="93">
        <f t="shared" ca="1" si="5"/>
        <v>5059692</v>
      </c>
      <c r="M13" s="93">
        <f t="shared" ca="1" si="5"/>
        <v>1416950</v>
      </c>
      <c r="N13" s="93">
        <f t="shared" ca="1" si="5"/>
        <v>666242.66999999993</v>
      </c>
      <c r="O13" s="93">
        <f t="shared" ca="1" si="1"/>
        <v>13.167652695065232</v>
      </c>
      <c r="P13" s="93">
        <f t="shared" ca="1" si="2"/>
        <v>47.0194904548502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589" t="s">
        <v>12</v>
      </c>
      <c r="I14" s="269"/>
      <c r="J14" s="269"/>
      <c r="K14" s="465"/>
      <c r="L14" s="465">
        <f t="shared" ref="L14:N14" ca="1" si="6">L15+L16</f>
        <v>436600</v>
      </c>
      <c r="M14" s="465">
        <f t="shared" ca="1" si="6"/>
        <v>434800</v>
      </c>
      <c r="N14" s="465">
        <f t="shared" ca="1" si="6"/>
        <v>434800</v>
      </c>
      <c r="O14" s="465">
        <f t="shared" ca="1" si="1"/>
        <v>99.587723316536881</v>
      </c>
      <c r="P14" s="465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2" t="s">
        <v>18</v>
      </c>
      <c r="F15" s="40"/>
      <c r="G15" s="42"/>
      <c r="H15" s="43" t="s">
        <v>12</v>
      </c>
      <c r="I15" s="583"/>
      <c r="J15" s="583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436600</v>
      </c>
      <c r="M16" s="52">
        <f t="shared" ca="1" si="7"/>
        <v>434800</v>
      </c>
      <c r="N16" s="52">
        <f t="shared" ca="1" si="7"/>
        <v>434800</v>
      </c>
      <c r="O16" s="52">
        <f t="shared" ca="1" si="1"/>
        <v>99.587723316536881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03" t="s">
        <v>22</v>
      </c>
      <c r="B17" s="797"/>
      <c r="C17" s="797"/>
      <c r="D17" s="797"/>
      <c r="E17" s="797"/>
      <c r="F17" s="797"/>
      <c r="G17" s="795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3242795</v>
      </c>
      <c r="M18" s="22">
        <f t="shared" ca="1" si="8"/>
        <v>1851750</v>
      </c>
      <c r="N18" s="22">
        <f t="shared" ca="1" si="8"/>
        <v>1101042.67</v>
      </c>
      <c r="O18" s="22">
        <f t="shared" ref="O18:O26" ca="1" si="9">IF(L18&gt;0,N18*100/L18,0)</f>
        <v>33.953508316128527</v>
      </c>
      <c r="P18" s="22">
        <f t="shared" ref="P18:P26" ca="1" si="10">IF(M18&gt;0,N18*100/M18,0)</f>
        <v>59.459574456595114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3242795</v>
      </c>
      <c r="M20" s="30">
        <f t="shared" ca="1" si="11"/>
        <v>1851750</v>
      </c>
      <c r="N20" s="30">
        <f t="shared" ca="1" si="11"/>
        <v>1101042.67</v>
      </c>
      <c r="O20" s="30">
        <f t="shared" ca="1" si="9"/>
        <v>33.953508316128527</v>
      </c>
      <c r="P20" s="30">
        <f t="shared" ca="1" si="10"/>
        <v>59.459574456595114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589" t="s">
        <v>12</v>
      </c>
      <c r="I21" s="269"/>
      <c r="J21" s="269"/>
      <c r="K21" s="465"/>
      <c r="L21" s="465">
        <f t="shared" ref="L21:N21" ca="1" si="12">L22+L23</f>
        <v>2806195</v>
      </c>
      <c r="M21" s="465">
        <f t="shared" ca="1" si="12"/>
        <v>1416950</v>
      </c>
      <c r="N21" s="465">
        <f t="shared" ca="1" si="12"/>
        <v>666242.66999999993</v>
      </c>
      <c r="O21" s="465">
        <f t="shared" ca="1" si="9"/>
        <v>23.741852223384331</v>
      </c>
      <c r="P21" s="465">
        <f t="shared" ca="1" si="10"/>
        <v>47.0194904548502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2" t="s">
        <v>18</v>
      </c>
      <c r="F22" s="40"/>
      <c r="G22" s="42"/>
      <c r="H22" s="43" t="s">
        <v>12</v>
      </c>
      <c r="I22" s="583"/>
      <c r="J22" s="583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2" t="s">
        <v>19</v>
      </c>
      <c r="F23" s="40"/>
      <c r="G23" s="42"/>
      <c r="H23" s="43" t="s">
        <v>12</v>
      </c>
      <c r="I23" s="583"/>
      <c r="J23" s="583"/>
      <c r="K23" s="93"/>
      <c r="L23" s="93">
        <f t="shared" ca="1" si="13"/>
        <v>2806195</v>
      </c>
      <c r="M23" s="93">
        <f t="shared" ca="1" si="13"/>
        <v>1416950</v>
      </c>
      <c r="N23" s="93">
        <f t="shared" ca="1" si="13"/>
        <v>666242.66999999993</v>
      </c>
      <c r="O23" s="93">
        <f t="shared" ca="1" si="9"/>
        <v>23.741852223384331</v>
      </c>
      <c r="P23" s="93">
        <f t="shared" ca="1" si="10"/>
        <v>47.0194904548502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589" t="s">
        <v>12</v>
      </c>
      <c r="I24" s="269"/>
      <c r="J24" s="269"/>
      <c r="K24" s="465"/>
      <c r="L24" s="465">
        <f t="shared" ref="L24:N24" ca="1" si="14">L25+L26</f>
        <v>436600</v>
      </c>
      <c r="M24" s="465">
        <f t="shared" ca="1" si="14"/>
        <v>434800</v>
      </c>
      <c r="N24" s="465">
        <f t="shared" ca="1" si="14"/>
        <v>434800</v>
      </c>
      <c r="O24" s="465">
        <f t="shared" ca="1" si="9"/>
        <v>99.587723316536881</v>
      </c>
      <c r="P24" s="465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2" t="s">
        <v>18</v>
      </c>
      <c r="F25" s="40"/>
      <c r="G25" s="42"/>
      <c r="H25" s="43" t="s">
        <v>12</v>
      </c>
      <c r="I25" s="583"/>
      <c r="J25" s="583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436600</v>
      </c>
      <c r="M26" s="52">
        <f t="shared" ca="1" si="15"/>
        <v>434800</v>
      </c>
      <c r="N26" s="52">
        <f t="shared" ca="1" si="15"/>
        <v>434800</v>
      </c>
      <c r="O26" s="52">
        <f t="shared" ca="1" si="9"/>
        <v>99.587723316536881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03" t="s">
        <v>23</v>
      </c>
      <c r="B27" s="797"/>
      <c r="C27" s="797"/>
      <c r="D27" s="797"/>
      <c r="E27" s="797"/>
      <c r="F27" s="797"/>
      <c r="G27" s="795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2253497</v>
      </c>
      <c r="M28" s="22">
        <f t="shared" si="16"/>
        <v>0</v>
      </c>
      <c r="N28" s="22">
        <f t="shared" si="16"/>
        <v>0</v>
      </c>
      <c r="O28" s="22">
        <f t="shared" ref="O28:O37" ca="1" si="17">IF(L28&gt;0,N28*100/L28,0)</f>
        <v>0</v>
      </c>
      <c r="P28" s="22">
        <f t="shared" ref="P28:P37" si="18">IF(M28&gt;0,N28*100/M28,0)</f>
        <v>0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2253497</v>
      </c>
      <c r="M30" s="30">
        <f t="shared" si="19"/>
        <v>0</v>
      </c>
      <c r="N30" s="30">
        <f t="shared" si="19"/>
        <v>0</v>
      </c>
      <c r="O30" s="30">
        <f t="shared" ca="1" si="17"/>
        <v>0</v>
      </c>
      <c r="P30" s="30">
        <f t="shared" si="18"/>
        <v>0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589" t="s">
        <v>12</v>
      </c>
      <c r="I31" s="269"/>
      <c r="J31" s="269"/>
      <c r="K31" s="465"/>
      <c r="L31" s="465">
        <f t="shared" ref="L31:N31" ca="1" si="20">L32+L33</f>
        <v>2253497</v>
      </c>
      <c r="M31" s="465">
        <f t="shared" si="20"/>
        <v>0</v>
      </c>
      <c r="N31" s="465">
        <f t="shared" si="20"/>
        <v>0</v>
      </c>
      <c r="O31" s="465">
        <f t="shared" ca="1" si="17"/>
        <v>0</v>
      </c>
      <c r="P31" s="465">
        <f t="shared" si="18"/>
        <v>0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2" t="s">
        <v>18</v>
      </c>
      <c r="F32" s="40"/>
      <c r="G32" s="42"/>
      <c r="H32" s="43" t="s">
        <v>12</v>
      </c>
      <c r="I32" s="583"/>
      <c r="J32" s="583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2" t="s">
        <v>19</v>
      </c>
      <c r="F33" s="40"/>
      <c r="G33" s="42"/>
      <c r="H33" s="43" t="s">
        <v>12</v>
      </c>
      <c r="I33" s="583"/>
      <c r="J33" s="583"/>
      <c r="K33" s="93"/>
      <c r="L33" s="93">
        <f t="shared" ca="1" si="21"/>
        <v>2253497</v>
      </c>
      <c r="M33" s="93">
        <f t="shared" si="21"/>
        <v>0</v>
      </c>
      <c r="N33" s="93">
        <f t="shared" si="21"/>
        <v>0</v>
      </c>
      <c r="O33" s="93">
        <f t="shared" ca="1" si="17"/>
        <v>0</v>
      </c>
      <c r="P33" s="93">
        <f t="shared" si="18"/>
        <v>0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589" t="s">
        <v>12</v>
      </c>
      <c r="I34" s="269"/>
      <c r="J34" s="269"/>
      <c r="K34" s="465"/>
      <c r="L34" s="465">
        <f t="shared" ref="L34:N34" ca="1" si="22">L35+L36</f>
        <v>0</v>
      </c>
      <c r="M34" s="465">
        <f t="shared" si="22"/>
        <v>0</v>
      </c>
      <c r="N34" s="465">
        <f t="shared" si="22"/>
        <v>0</v>
      </c>
      <c r="O34" s="465">
        <f t="shared" ca="1" si="17"/>
        <v>0</v>
      </c>
      <c r="P34" s="465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2" t="s">
        <v>18</v>
      </c>
      <c r="F35" s="40"/>
      <c r="G35" s="42"/>
      <c r="H35" s="43" t="s">
        <v>12</v>
      </c>
      <c r="I35" s="583"/>
      <c r="J35" s="583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53" t="s">
        <v>24</v>
      </c>
      <c r="B37" s="54"/>
      <c r="C37" s="54"/>
      <c r="D37" s="54"/>
      <c r="E37" s="54"/>
      <c r="F37" s="54"/>
      <c r="G37" s="55"/>
      <c r="H37" s="56"/>
      <c r="I37" s="392"/>
      <c r="J37" s="392"/>
      <c r="K37" s="58"/>
      <c r="L37" s="59">
        <f t="shared" ref="L37:N37" ca="1" si="24">L41+L53+L66+L88+L119+L132+L149+L165+L181+L261+L277+L298+L315+L328+L345+L389+L402</f>
        <v>3242795</v>
      </c>
      <c r="M37" s="59">
        <f t="shared" ca="1" si="24"/>
        <v>1851750</v>
      </c>
      <c r="N37" s="59">
        <f t="shared" ca="1" si="24"/>
        <v>1101042.67</v>
      </c>
      <c r="O37" s="59">
        <f t="shared" ca="1" si="17"/>
        <v>33.953508316128527</v>
      </c>
      <c r="P37" s="59">
        <f t="shared" ca="1" si="18"/>
        <v>59.459574456595114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04" t="s">
        <v>27</v>
      </c>
      <c r="C40" s="805"/>
      <c r="D40" s="805"/>
      <c r="E40" s="805"/>
      <c r="F40" s="805"/>
      <c r="G40" s="806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15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637200</v>
      </c>
      <c r="M41" s="85">
        <f t="shared" ca="1" si="25"/>
        <v>318600</v>
      </c>
      <c r="N41" s="85">
        <f t="shared" ca="1" si="25"/>
        <v>155900</v>
      </c>
      <c r="O41" s="85">
        <f t="shared" ref="O41:O49" ca="1" si="26">IF(L41&gt;0,N41*100/L41,0)</f>
        <v>24.466415568110484</v>
      </c>
      <c r="P41" s="85">
        <f t="shared" ref="P41:P49" ca="1" si="27">IF(M41&gt;0,N41*100/M41,0)</f>
        <v>48.932831136220969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637200</v>
      </c>
      <c r="M43" s="92">
        <f t="shared" ca="1" si="28"/>
        <v>318600</v>
      </c>
      <c r="N43" s="92">
        <f t="shared" ca="1" si="28"/>
        <v>155900</v>
      </c>
      <c r="O43" s="92">
        <f t="shared" ca="1" si="26"/>
        <v>24.466415568110484</v>
      </c>
      <c r="P43" s="92">
        <f t="shared" ca="1" si="27"/>
        <v>48.932831136220969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589" t="s">
        <v>12</v>
      </c>
      <c r="I44" s="269"/>
      <c r="J44" s="269"/>
      <c r="K44" s="465"/>
      <c r="L44" s="465">
        <f t="shared" ref="L44:N44" ca="1" si="29">L45+L46</f>
        <v>637200</v>
      </c>
      <c r="M44" s="465">
        <f t="shared" ca="1" si="29"/>
        <v>318600</v>
      </c>
      <c r="N44" s="465">
        <f t="shared" ca="1" si="29"/>
        <v>155900</v>
      </c>
      <c r="O44" s="465">
        <f t="shared" ca="1" si="26"/>
        <v>24.466415568110484</v>
      </c>
      <c r="P44" s="465">
        <f t="shared" ca="1" si="27"/>
        <v>48.932831136220969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2" t="s">
        <v>18</v>
      </c>
      <c r="F45" s="40"/>
      <c r="G45" s="42"/>
      <c r="H45" s="43" t="s">
        <v>12</v>
      </c>
      <c r="I45" s="583"/>
      <c r="J45" s="583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2" t="s">
        <v>19</v>
      </c>
      <c r="F46" s="40"/>
      <c r="G46" s="42"/>
      <c r="H46" s="43" t="s">
        <v>12</v>
      </c>
      <c r="I46" s="583"/>
      <c r="J46" s="583"/>
      <c r="K46" s="93"/>
      <c r="L46" s="93">
        <f ca="1">IFERROR(__xludf.DUMMYFUNCTION("IMPORTRANGE(""https://docs.google.com/spreadsheets/d/1MeEWN-I1oV_STSDYn1IFDPWt_1FKiwhDph83XaGc0o0/edit?usp=sharing"",""งบพรบ!M24"")"),637200)</f>
        <v>637200</v>
      </c>
      <c r="M46" s="93">
        <f ca="1">IFERROR(__xludf.DUMMYFUNCTION("IMPORTRANGE(""https://docs.google.com/spreadsheets/d/1MeEWN-I1oV_STSDYn1IFDPWt_1FKiwhDph83XaGc0o0/edit?usp=sharing"",""งบพรบ!R24"")"),318600)</f>
        <v>318600</v>
      </c>
      <c r="N46" s="93">
        <f ca="1">IFERROR(__xludf.DUMMYFUNCTION("IMPORTRANGE(""https://docs.google.com/spreadsheets/d/1MeEWN-I1oV_STSDYn1IFDPWt_1FKiwhDph83XaGc0o0/edit?usp=sharing"",""งบพรบ!T24"")"),155900)</f>
        <v>155900</v>
      </c>
      <c r="O46" s="93">
        <f t="shared" ca="1" si="26"/>
        <v>24.466415568110484</v>
      </c>
      <c r="P46" s="93">
        <f t="shared" ca="1" si="27"/>
        <v>48.932831136220969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589" t="s">
        <v>12</v>
      </c>
      <c r="I47" s="269"/>
      <c r="J47" s="269"/>
      <c r="K47" s="465"/>
      <c r="L47" s="465">
        <f t="shared" ref="L47:N47" ca="1" si="30">L48+L49</f>
        <v>0</v>
      </c>
      <c r="M47" s="465">
        <f t="shared" ca="1" si="30"/>
        <v>0</v>
      </c>
      <c r="N47" s="465">
        <f t="shared" ca="1" si="30"/>
        <v>0</v>
      </c>
      <c r="O47" s="465">
        <f t="shared" ca="1" si="26"/>
        <v>0</v>
      </c>
      <c r="P47" s="465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2" t="s">
        <v>18</v>
      </c>
      <c r="F48" s="40"/>
      <c r="G48" s="42"/>
      <c r="H48" s="43" t="s">
        <v>12</v>
      </c>
      <c r="I48" s="583"/>
      <c r="J48" s="583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IFERROR(__xludf.DUMMYFUNCTION("IMPORTRANGE(""https://docs.google.com/spreadsheets/d/1MeEWN-I1oV_STSDYn1IFDPWt_1FKiwhDph83XaGc0o0/edit?usp=sharing"",""งบพรบ!P24"")"),0)</f>
        <v>0</v>
      </c>
      <c r="M49" s="52">
        <f ca="1">IFERROR(__xludf.DUMMYFUNCTION("IMPORTRANGE(""https://docs.google.com/spreadsheets/d/1MeEWN-I1oV_STSDYn1IFDPWt_1FKiwhDph83XaGc0o0/edit?usp=sharing"",""งบพรบ!S24"")"),0)</f>
        <v>0</v>
      </c>
      <c r="N49" s="52">
        <f ca="1">IFERROR(__xludf.DUMMYFUNCTION("IMPORTRANGE(""https://docs.google.com/spreadsheets/d/1MeEWN-I1oV_STSDYn1IFDPWt_1FKiwhDph83XaGc0o0/edit?usp=sharing"",""งบพรบ!U24"")"),0)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07" t="s">
        <v>28</v>
      </c>
      <c r="B50" s="797"/>
      <c r="C50" s="797"/>
      <c r="D50" s="797"/>
      <c r="E50" s="797"/>
      <c r="F50" s="797"/>
      <c r="G50" s="795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08" t="s">
        <v>29</v>
      </c>
      <c r="C51" s="805"/>
      <c r="D51" s="805"/>
      <c r="E51" s="805"/>
      <c r="F51" s="805"/>
      <c r="G51" s="806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16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672700</v>
      </c>
      <c r="M53" s="116">
        <f t="shared" ca="1" si="31"/>
        <v>365750</v>
      </c>
      <c r="N53" s="116">
        <f t="shared" ca="1" si="31"/>
        <v>270034.82999999996</v>
      </c>
      <c r="O53" s="116">
        <f t="shared" ref="O53:O61" ca="1" si="32">IF(L53&gt;0,N53*100/L53,0)</f>
        <v>40.141939943511218</v>
      </c>
      <c r="P53" s="116">
        <f t="shared" ref="P53:P61" ca="1" si="33">IF(M53&gt;0,N53*100/M53,0)</f>
        <v>73.830438824333555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672700</v>
      </c>
      <c r="M55" s="123">
        <f t="shared" ca="1" si="34"/>
        <v>365750</v>
      </c>
      <c r="N55" s="123">
        <f t="shared" ca="1" si="34"/>
        <v>270034.82999999996</v>
      </c>
      <c r="O55" s="123">
        <f t="shared" ca="1" si="32"/>
        <v>40.141939943511218</v>
      </c>
      <c r="P55" s="123">
        <f t="shared" ca="1" si="33"/>
        <v>73.830438824333555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589" t="s">
        <v>12</v>
      </c>
      <c r="I56" s="269"/>
      <c r="J56" s="269"/>
      <c r="K56" s="465"/>
      <c r="L56" s="465">
        <f t="shared" ref="L56:N56" ca="1" si="35">L57+L58</f>
        <v>613900</v>
      </c>
      <c r="M56" s="465">
        <f t="shared" ca="1" si="35"/>
        <v>306950</v>
      </c>
      <c r="N56" s="465">
        <f t="shared" ca="1" si="35"/>
        <v>211234.83</v>
      </c>
      <c r="O56" s="465">
        <f t="shared" ca="1" si="32"/>
        <v>34.408670793288806</v>
      </c>
      <c r="P56" s="465">
        <f t="shared" ca="1" si="33"/>
        <v>68.817341586577612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2" t="s">
        <v>18</v>
      </c>
      <c r="F57" s="40"/>
      <c r="G57" s="42"/>
      <c r="H57" s="43" t="s">
        <v>12</v>
      </c>
      <c r="I57" s="583"/>
      <c r="J57" s="583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2" t="s">
        <v>19</v>
      </c>
      <c r="F58" s="40"/>
      <c r="G58" s="42"/>
      <c r="H58" s="43" t="s">
        <v>12</v>
      </c>
      <c r="I58" s="583"/>
      <c r="J58" s="583"/>
      <c r="K58" s="93"/>
      <c r="L58" s="93">
        <f ca="1">IFERROR(__xludf.DUMMYFUNCTION("IMPORTRANGE(""https://docs.google.com/spreadsheets/d/1MeEWN-I1oV_STSDYn1IFDPWt_1FKiwhDph83XaGc0o0/edit?usp=sharing"",""งบพรบ!W24"")"),613900)</f>
        <v>613900</v>
      </c>
      <c r="M58" s="93">
        <f ca="1">IFERROR(__xludf.DUMMYFUNCTION("IMPORTRANGE(""https://docs.google.com/spreadsheets/d/1MeEWN-I1oV_STSDYn1IFDPWt_1FKiwhDph83XaGc0o0/edit?usp=sharing"",""งบพรบ!AB24"")"),306950)</f>
        <v>306950</v>
      </c>
      <c r="N58" s="93">
        <f ca="1">IFERROR(__xludf.DUMMYFUNCTION("IMPORTRANGE(""https://docs.google.com/spreadsheets/d/1MeEWN-I1oV_STSDYn1IFDPWt_1FKiwhDph83XaGc0o0/edit?usp=sharing"",""งบพรบ!AD24"")"),211234.83)</f>
        <v>211234.83</v>
      </c>
      <c r="O58" s="93">
        <f t="shared" ca="1" si="32"/>
        <v>34.408670793288806</v>
      </c>
      <c r="P58" s="93">
        <f t="shared" ca="1" si="33"/>
        <v>68.817341586577612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589" t="s">
        <v>12</v>
      </c>
      <c r="I59" s="269"/>
      <c r="J59" s="269"/>
      <c r="K59" s="465"/>
      <c r="L59" s="465">
        <f t="shared" ref="L59:N59" ca="1" si="36">L60+L61</f>
        <v>58800</v>
      </c>
      <c r="M59" s="465">
        <f t="shared" ca="1" si="36"/>
        <v>58800</v>
      </c>
      <c r="N59" s="465">
        <f t="shared" ca="1" si="36"/>
        <v>58800</v>
      </c>
      <c r="O59" s="465">
        <f t="shared" ca="1" si="32"/>
        <v>100</v>
      </c>
      <c r="P59" s="465">
        <f t="shared" ca="1" si="33"/>
        <v>100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2" t="s">
        <v>18</v>
      </c>
      <c r="F60" s="40"/>
      <c r="G60" s="42"/>
      <c r="H60" s="43" t="s">
        <v>12</v>
      </c>
      <c r="I60" s="583"/>
      <c r="J60" s="583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IFERROR(__xludf.DUMMYFUNCTION("IMPORTRANGE(""https://docs.google.com/spreadsheets/d/1MeEWN-I1oV_STSDYn1IFDPWt_1FKiwhDph83XaGc0o0/edit?usp=sharing"",""งบพรบ!Z24"")"),58800)</f>
        <v>58800</v>
      </c>
      <c r="M61" s="52">
        <f ca="1">IFERROR(__xludf.DUMMYFUNCTION("IMPORTRANGE(""https://docs.google.com/spreadsheets/d/1MeEWN-I1oV_STSDYn1IFDPWt_1FKiwhDph83XaGc0o0/edit?usp=sharing"",""งบพรบ!AC24"")"),58800)</f>
        <v>58800</v>
      </c>
      <c r="N61" s="52">
        <f ca="1">IFERROR(__xludf.DUMMYFUNCTION("IMPORTRANGE(""https://docs.google.com/spreadsheets/d/1MeEWN-I1oV_STSDYn1IFDPWt_1FKiwhDph83XaGc0o0/edit?usp=sharing"",""งบพรบ!AE24"")"),58800)</f>
        <v>58800</v>
      </c>
      <c r="O61" s="52">
        <f t="shared" ca="1" si="32"/>
        <v>100</v>
      </c>
      <c r="P61" s="52">
        <f t="shared" ca="1" si="33"/>
        <v>100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 hidden="1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 hidden="1">
      <c r="A64" s="138"/>
      <c r="B64" s="208" t="s">
        <v>33</v>
      </c>
      <c r="C64" s="140"/>
      <c r="D64" s="141"/>
      <c r="E64" s="140"/>
      <c r="F64" s="140"/>
      <c r="G64" s="142"/>
      <c r="H64" s="143" t="s">
        <v>34</v>
      </c>
      <c r="I64" s="144">
        <f t="shared" ref="I64:J65" ca="1" si="37">I76</f>
        <v>0</v>
      </c>
      <c r="J64" s="144">
        <f t="shared" si="37"/>
        <v>0</v>
      </c>
      <c r="K64" s="145">
        <f t="shared" ref="K64:K65" ca="1" si="38">IF(I64&gt;0,J64*100/I64,0)</f>
        <v>0</v>
      </c>
      <c r="L64" s="146"/>
      <c r="M64" s="146"/>
      <c r="N64" s="146"/>
      <c r="O64" s="146"/>
      <c r="P64" s="146"/>
    </row>
    <row r="65" spans="1:26" ht="19.5" hidden="1">
      <c r="A65" s="138"/>
      <c r="B65" s="140"/>
      <c r="C65" s="140"/>
      <c r="D65" s="141"/>
      <c r="E65" s="140"/>
      <c r="F65" s="140"/>
      <c r="G65" s="142"/>
      <c r="H65" s="143" t="s">
        <v>35</v>
      </c>
      <c r="I65" s="144">
        <f t="shared" ca="1" si="37"/>
        <v>0</v>
      </c>
      <c r="J65" s="144">
        <f t="shared" si="37"/>
        <v>0</v>
      </c>
      <c r="K65" s="145">
        <f t="shared" ca="1" si="38"/>
        <v>0</v>
      </c>
      <c r="L65" s="146"/>
      <c r="M65" s="146"/>
      <c r="N65" s="146"/>
      <c r="O65" s="146"/>
      <c r="P65" s="146"/>
    </row>
    <row r="66" spans="1:26" ht="19.5" hidden="1">
      <c r="A66" s="147"/>
      <c r="B66" s="148"/>
      <c r="C66" s="149" t="s">
        <v>16</v>
      </c>
      <c r="D66" s="817" t="s">
        <v>17</v>
      </c>
      <c r="E66" s="148"/>
      <c r="F66" s="148"/>
      <c r="G66" s="151"/>
      <c r="H66" s="152" t="s">
        <v>12</v>
      </c>
      <c r="I66" s="388"/>
      <c r="J66" s="388"/>
      <c r="K66" s="154"/>
      <c r="L66" s="155">
        <f t="shared" ref="L66:N66" ca="1" si="39">L67+L68</f>
        <v>0</v>
      </c>
      <c r="M66" s="155">
        <f t="shared" ca="1" si="39"/>
        <v>0</v>
      </c>
      <c r="N66" s="155">
        <f t="shared" ca="1" si="39"/>
        <v>0</v>
      </c>
      <c r="O66" s="155">
        <f t="shared" ref="O66:O74" ca="1" si="40">IF(L66&gt;0,N66*100/L66,0)</f>
        <v>0</v>
      </c>
      <c r="P66" s="155">
        <f t="shared" ref="P66:P74" ca="1" si="41">IF(M66&gt;0,N66*100/M66,0)</f>
        <v>0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2" t="s">
        <v>18</v>
      </c>
      <c r="F67" s="40"/>
      <c r="G67" s="157"/>
      <c r="H67" s="158" t="s">
        <v>12</v>
      </c>
      <c r="I67" s="583"/>
      <c r="J67" s="583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2" t="s">
        <v>19</v>
      </c>
      <c r="F68" s="40"/>
      <c r="G68" s="157"/>
      <c r="H68" s="158" t="s">
        <v>12</v>
      </c>
      <c r="I68" s="583"/>
      <c r="J68" s="583"/>
      <c r="K68" s="93"/>
      <c r="L68" s="93">
        <f t="shared" ca="1" si="42"/>
        <v>0</v>
      </c>
      <c r="M68" s="93">
        <f t="shared" ca="1" si="42"/>
        <v>0</v>
      </c>
      <c r="N68" s="93">
        <f t="shared" ca="1" si="42"/>
        <v>0</v>
      </c>
      <c r="O68" s="93">
        <f t="shared" ca="1" si="40"/>
        <v>0</v>
      </c>
      <c r="P68" s="93">
        <f t="shared" ca="1" si="41"/>
        <v>0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 hidden="1">
      <c r="A69" s="159"/>
      <c r="B69" s="33"/>
      <c r="C69" s="281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65">
        <f t="shared" ref="L69:N69" ca="1" si="43">L70+L71</f>
        <v>0</v>
      </c>
      <c r="M69" s="465">
        <f t="shared" ca="1" si="43"/>
        <v>0</v>
      </c>
      <c r="N69" s="465">
        <f t="shared" ca="1" si="43"/>
        <v>0</v>
      </c>
      <c r="O69" s="465">
        <f t="shared" ca="1" si="40"/>
        <v>0</v>
      </c>
      <c r="P69" s="465">
        <f t="shared" ca="1" si="41"/>
        <v>0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2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2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IFERROR(__xludf.DUMMYFUNCTION("IMPORTRANGE(""https://docs.google.com/spreadsheets/d/1MeEWN-I1oV_STSDYn1IFDPWt_1FKiwhDph83XaGc0o0/edit?usp=sharing"",""งบพรบ!AG24"")"),0)</f>
        <v>0</v>
      </c>
      <c r="M71" s="93">
        <f ca="1">IFERROR(__xludf.DUMMYFUNCTION("IMPORTRANGE(""https://docs.google.com/spreadsheets/d/1MeEWN-I1oV_STSDYn1IFDPWt_1FKiwhDph83XaGc0o0/edit?usp=sharing"",""งบพรบ!AL24"")"),0)</f>
        <v>0</v>
      </c>
      <c r="N71" s="93">
        <f ca="1">IFERROR(__xludf.DUMMYFUNCTION("IMPORTRANGE(""https://docs.google.com/spreadsheets/d/1MeEWN-I1oV_STSDYn1IFDPWt_1FKiwhDph83XaGc0o0/edit?usp=sharing"",""งบพรบ!AN24"")"),0)</f>
        <v>0</v>
      </c>
      <c r="O71" s="93">
        <f t="shared" ca="1" si="40"/>
        <v>0</v>
      </c>
      <c r="P71" s="93">
        <f t="shared" ca="1" si="41"/>
        <v>0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 hidden="1">
      <c r="A72" s="159"/>
      <c r="B72" s="33"/>
      <c r="C72" s="281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65">
        <f t="shared" ref="L72:N72" ca="1" si="44">L73+L74</f>
        <v>0</v>
      </c>
      <c r="M72" s="465">
        <f t="shared" ca="1" si="44"/>
        <v>0</v>
      </c>
      <c r="N72" s="465">
        <f t="shared" ca="1" si="44"/>
        <v>0</v>
      </c>
      <c r="O72" s="465">
        <f t="shared" ca="1" si="40"/>
        <v>0</v>
      </c>
      <c r="P72" s="465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2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2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IFERROR(__xludf.DUMMYFUNCTION("IMPORTRANGE(""https://docs.google.com/spreadsheets/d/1MeEWN-I1oV_STSDYn1IFDPWt_1FKiwhDph83XaGc0o0/edit?usp=sharing"",""งบพรบ!AJ24"")"),0)</f>
        <v>0</v>
      </c>
      <c r="M74" s="93">
        <f ca="1">IFERROR(__xludf.DUMMYFUNCTION("IMPORTRANGE(""https://docs.google.com/spreadsheets/d/1MeEWN-I1oV_STSDYn1IFDPWt_1FKiwhDph83XaGc0o0/edit?usp=sharing"",""งบพรบ!AM24"")"),0)</f>
        <v>0</v>
      </c>
      <c r="N74" s="93">
        <f ca="1">IFERROR(__xludf.DUMMYFUNCTION("IMPORTRANGE(""https://docs.google.com/spreadsheets/d/1MeEWN-I1oV_STSDYn1IFDPWt_1FKiwhDph83XaGc0o0/edit?usp=sharing"",""งบพรบ!AO24"")"),0)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 hidden="1">
      <c r="A75" s="170"/>
      <c r="B75" s="171"/>
      <c r="C75" s="164" t="s">
        <v>16</v>
      </c>
      <c r="D75" s="818" t="s">
        <v>38</v>
      </c>
      <c r="E75" s="173"/>
      <c r="F75" s="173"/>
      <c r="G75" s="174"/>
      <c r="H75" s="726"/>
      <c r="I75" s="184"/>
      <c r="J75" s="184"/>
      <c r="K75" s="163"/>
      <c r="L75" s="163"/>
      <c r="M75" s="163"/>
      <c r="N75" s="163"/>
      <c r="O75" s="163"/>
      <c r="P75" s="163"/>
    </row>
    <row r="76" spans="1:26" ht="19.5" hidden="1">
      <c r="A76" s="170"/>
      <c r="B76" s="171"/>
      <c r="C76" s="171"/>
      <c r="D76" s="343" t="s">
        <v>39</v>
      </c>
      <c r="E76" s="415"/>
      <c r="F76" s="342"/>
      <c r="G76" s="179"/>
      <c r="H76" s="180" t="s">
        <v>34</v>
      </c>
      <c r="I76" s="269">
        <f t="shared" ref="I76:J77" ca="1" si="45">I78+I80+I82</f>
        <v>0</v>
      </c>
      <c r="J76" s="269">
        <f t="shared" si="45"/>
        <v>0</v>
      </c>
      <c r="K76" s="163">
        <f t="shared" ref="K76:K84" ca="1" si="46">IF(I76&gt;0,J76*100/I76,0)</f>
        <v>0</v>
      </c>
      <c r="L76" s="163"/>
      <c r="M76" s="163"/>
      <c r="N76" s="163"/>
      <c r="O76" s="163"/>
      <c r="P76" s="163"/>
    </row>
    <row r="77" spans="1:26" ht="19.5" hidden="1">
      <c r="A77" s="170"/>
      <c r="B77" s="171"/>
      <c r="C77" s="171"/>
      <c r="D77" s="171"/>
      <c r="E77" s="342"/>
      <c r="F77" s="342"/>
      <c r="G77" s="179"/>
      <c r="H77" s="180" t="s">
        <v>35</v>
      </c>
      <c r="I77" s="269">
        <f t="shared" ca="1" si="45"/>
        <v>0</v>
      </c>
      <c r="J77" s="269">
        <f t="shared" si="45"/>
        <v>0</v>
      </c>
      <c r="K77" s="163">
        <f t="shared" ca="1" si="46"/>
        <v>0</v>
      </c>
      <c r="L77" s="163"/>
      <c r="M77" s="163"/>
      <c r="N77" s="163"/>
      <c r="O77" s="163"/>
      <c r="P77" s="163"/>
    </row>
    <row r="78" spans="1:26" ht="18.75" hidden="1">
      <c r="A78" s="170"/>
      <c r="B78" s="171"/>
      <c r="C78" s="171"/>
      <c r="D78" s="171"/>
      <c r="E78" s="415" t="s">
        <v>40</v>
      </c>
      <c r="F78" s="415"/>
      <c r="G78" s="179"/>
      <c r="H78" s="728" t="s">
        <v>34</v>
      </c>
      <c r="I78" s="184">
        <f ca="1">IFERROR(__xludf.DUMMYFUNCTION("IMPORTRANGE(""https://docs.google.com/spreadsheets/d/1QqKyyYR6Q21VydFLVH3TRQUabQu_ym0Zz7PgGX0-kHA/edit?usp=sharing"",""แผน!H24"")"),0)</f>
        <v>0</v>
      </c>
      <c r="J78" s="214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 hidden="1">
      <c r="A79" s="170"/>
      <c r="B79" s="171"/>
      <c r="C79" s="171"/>
      <c r="D79" s="171"/>
      <c r="E79" s="342"/>
      <c r="F79" s="342"/>
      <c r="G79" s="179"/>
      <c r="H79" s="728" t="s">
        <v>35</v>
      </c>
      <c r="I79" s="184">
        <f ca="1">IFERROR(__xludf.DUMMYFUNCTION("IMPORTRANGE(""https://docs.google.com/spreadsheets/d/1QqKyyYR6Q21VydFLVH3TRQUabQu_ym0Zz7PgGX0-kHA/edit?usp=sharing"",""แผน!I24"")"),0)</f>
        <v>0</v>
      </c>
      <c r="J79" s="214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 hidden="1">
      <c r="A80" s="170"/>
      <c r="B80" s="171"/>
      <c r="C80" s="171"/>
      <c r="D80" s="171"/>
      <c r="E80" s="415" t="s">
        <v>41</v>
      </c>
      <c r="F80" s="415"/>
      <c r="G80" s="179"/>
      <c r="H80" s="728" t="s">
        <v>34</v>
      </c>
      <c r="I80" s="184">
        <f ca="1">IFERROR(__xludf.DUMMYFUNCTION("IMPORTRANGE(""https://docs.google.com/spreadsheets/d/1QqKyyYR6Q21VydFLVH3TRQUabQu_ym0Zz7PgGX0-kHA/edit?usp=sharing"",""แผน!F24"")"),0)</f>
        <v>0</v>
      </c>
      <c r="J80" s="214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 hidden="1">
      <c r="A81" s="170"/>
      <c r="B81" s="171"/>
      <c r="C81" s="171"/>
      <c r="D81" s="171"/>
      <c r="E81" s="342"/>
      <c r="F81" s="342"/>
      <c r="G81" s="179"/>
      <c r="H81" s="728" t="s">
        <v>35</v>
      </c>
      <c r="I81" s="184">
        <f ca="1">IFERROR(__xludf.DUMMYFUNCTION("IMPORTRANGE(""https://docs.google.com/spreadsheets/d/1QqKyyYR6Q21VydFLVH3TRQUabQu_ym0Zz7PgGX0-kHA/edit?usp=sharing"",""แผน!G24"")"),0)</f>
        <v>0</v>
      </c>
      <c r="J81" s="214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 hidden="1">
      <c r="A82" s="170"/>
      <c r="B82" s="171"/>
      <c r="C82" s="171"/>
      <c r="D82" s="171"/>
      <c r="E82" s="415" t="s">
        <v>42</v>
      </c>
      <c r="F82" s="415"/>
      <c r="G82" s="179"/>
      <c r="H82" s="728" t="s">
        <v>34</v>
      </c>
      <c r="I82" s="184">
        <f ca="1">IFERROR(__xludf.DUMMYFUNCTION("IMPORTRANGE(""https://docs.google.com/spreadsheets/d/1QqKyyYR6Q21VydFLVH3TRQUabQu_ym0Zz7PgGX0-kHA/edit?usp=sharing"",""แผน!D24"")"),0)</f>
        <v>0</v>
      </c>
      <c r="J82" s="214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 hidden="1">
      <c r="A83" s="170"/>
      <c r="B83" s="171"/>
      <c r="C83" s="171"/>
      <c r="D83" s="171"/>
      <c r="E83" s="342"/>
      <c r="F83" s="342"/>
      <c r="G83" s="179"/>
      <c r="H83" s="728" t="s">
        <v>35</v>
      </c>
      <c r="I83" s="184">
        <f ca="1">IFERROR(__xludf.DUMMYFUNCTION("IMPORTRANGE(""https://docs.google.com/spreadsheets/d/1QqKyyYR6Q21VydFLVH3TRQUabQu_ym0Zz7PgGX0-kHA/edit?usp=sharing"",""แผน!E24"")"),0)</f>
        <v>0</v>
      </c>
      <c r="J83" s="214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 hidden="1">
      <c r="A84" s="170"/>
      <c r="B84" s="171"/>
      <c r="C84" s="171"/>
      <c r="D84" s="343" t="s">
        <v>43</v>
      </c>
      <c r="E84" s="415"/>
      <c r="F84" s="342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IFERROR(__xludf.DUMMYFUNCTION("IMPORTRANGE(""https://docs.google.com/spreadsheets/d/1QqKyyYR6Q21VydFLVH3TRQUabQu_ym0Zz7PgGX0-kHA/edit?usp=sharing"",""แผน!J24"")"),0)</f>
        <v>0</v>
      </c>
      <c r="J84" s="214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8" t="s">
        <v>45</v>
      </c>
      <c r="C86" s="140"/>
      <c r="D86" s="141"/>
      <c r="E86" s="140"/>
      <c r="F86" s="140"/>
      <c r="G86" s="142"/>
      <c r="H86" s="143" t="s">
        <v>46</v>
      </c>
      <c r="I86" s="144">
        <f t="shared" ref="I86:J87" ca="1" si="47">I98</f>
        <v>30</v>
      </c>
      <c r="J86" s="144">
        <f t="shared" si="47"/>
        <v>0</v>
      </c>
      <c r="K86" s="145">
        <f t="shared" ref="K86:K87" ca="1" si="48">IF(I86&gt;0,J86*100/I86,0)</f>
        <v>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143" t="s">
        <v>35</v>
      </c>
      <c r="I87" s="144">
        <f t="shared" ca="1" si="47"/>
        <v>10</v>
      </c>
      <c r="J87" s="144">
        <f t="shared" si="47"/>
        <v>0</v>
      </c>
      <c r="K87" s="145">
        <f t="shared" ca="1" si="48"/>
        <v>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17" t="s">
        <v>17</v>
      </c>
      <c r="E88" s="148"/>
      <c r="F88" s="148"/>
      <c r="G88" s="151"/>
      <c r="H88" s="152" t="s">
        <v>12</v>
      </c>
      <c r="I88" s="388"/>
      <c r="J88" s="388"/>
      <c r="K88" s="154"/>
      <c r="L88" s="155">
        <f t="shared" ref="L88:N88" ca="1" si="49">L89+L90</f>
        <v>86040</v>
      </c>
      <c r="M88" s="155">
        <f t="shared" ca="1" si="49"/>
        <v>21840</v>
      </c>
      <c r="N88" s="155">
        <f t="shared" ca="1" si="49"/>
        <v>0</v>
      </c>
      <c r="O88" s="155">
        <f t="shared" ref="O88:O96" ca="1" si="50">IF(L88&gt;0,N88*100/L88,0)</f>
        <v>0</v>
      </c>
      <c r="P88" s="155">
        <f t="shared" ref="P88:P96" ca="1" si="51">IF(M88&gt;0,N88*100/M88,0)</f>
        <v>0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2" t="s">
        <v>18</v>
      </c>
      <c r="F89" s="40"/>
      <c r="G89" s="157"/>
      <c r="H89" s="158" t="s">
        <v>12</v>
      </c>
      <c r="I89" s="583"/>
      <c r="J89" s="583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2" t="s">
        <v>19</v>
      </c>
      <c r="F90" s="40"/>
      <c r="G90" s="157"/>
      <c r="H90" s="158" t="s">
        <v>12</v>
      </c>
      <c r="I90" s="583"/>
      <c r="J90" s="583"/>
      <c r="K90" s="93"/>
      <c r="L90" s="93">
        <f t="shared" ca="1" si="52"/>
        <v>86040</v>
      </c>
      <c r="M90" s="93">
        <f t="shared" ca="1" si="52"/>
        <v>21840</v>
      </c>
      <c r="N90" s="93">
        <f t="shared" ca="1" si="52"/>
        <v>0</v>
      </c>
      <c r="O90" s="93">
        <f t="shared" ca="1" si="50"/>
        <v>0</v>
      </c>
      <c r="P90" s="93">
        <f t="shared" ca="1" si="51"/>
        <v>0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1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65">
        <f t="shared" ref="L91:N91" ca="1" si="53">L92+L93</f>
        <v>86040</v>
      </c>
      <c r="M91" s="465">
        <f t="shared" ca="1" si="53"/>
        <v>21840</v>
      </c>
      <c r="N91" s="465">
        <f t="shared" ca="1" si="53"/>
        <v>0</v>
      </c>
      <c r="O91" s="465">
        <f t="shared" ca="1" si="50"/>
        <v>0</v>
      </c>
      <c r="P91" s="465">
        <f t="shared" ca="1" si="51"/>
        <v>0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2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2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IFERROR(__xludf.DUMMYFUNCTION("IMPORTRANGE(""https://docs.google.com/spreadsheets/d/1MeEWN-I1oV_STSDYn1IFDPWt_1FKiwhDph83XaGc0o0/edit?usp=sharing"",""งบพรบ!AQ24"")"),86040)</f>
        <v>86040</v>
      </c>
      <c r="M93" s="93">
        <f ca="1">IFERROR(__xludf.DUMMYFUNCTION("IMPORTRANGE(""https://docs.google.com/spreadsheets/d/1MeEWN-I1oV_STSDYn1IFDPWt_1FKiwhDph83XaGc0o0/edit?usp=sharing"",""งบพรบ!AV24"")"),21840)</f>
        <v>21840</v>
      </c>
      <c r="N93" s="93">
        <f ca="1">IFERROR(__xludf.DUMMYFUNCTION("IMPORTRANGE(""https://docs.google.com/spreadsheets/d/1MeEWN-I1oV_STSDYn1IFDPWt_1FKiwhDph83XaGc0o0/edit?usp=sharing"",""งบพรบ!AX24"")"),0)</f>
        <v>0</v>
      </c>
      <c r="O93" s="93">
        <f t="shared" ca="1" si="50"/>
        <v>0</v>
      </c>
      <c r="P93" s="93">
        <f t="shared" ca="1" si="51"/>
        <v>0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1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65">
        <f t="shared" ref="L94:N94" ca="1" si="54">L95+L96</f>
        <v>0</v>
      </c>
      <c r="M94" s="465">
        <f t="shared" ca="1" si="54"/>
        <v>0</v>
      </c>
      <c r="N94" s="465">
        <f t="shared" ca="1" si="54"/>
        <v>0</v>
      </c>
      <c r="O94" s="465">
        <f t="shared" ca="1" si="50"/>
        <v>0</v>
      </c>
      <c r="P94" s="465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2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2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IFERROR(__xludf.DUMMYFUNCTION("IMPORTRANGE(""https://docs.google.com/spreadsheets/d/1MeEWN-I1oV_STSDYn1IFDPWt_1FKiwhDph83XaGc0o0/edit?usp=sharing"",""งบพรบ!AT24"")"),0)</f>
        <v>0</v>
      </c>
      <c r="M96" s="93">
        <f ca="1">IFERROR(__xludf.DUMMYFUNCTION("IMPORTRANGE(""https://docs.google.com/spreadsheets/d/1MeEWN-I1oV_STSDYn1IFDPWt_1FKiwhDph83XaGc0o0/edit?usp=sharing"",""งบพรบ!AW24"")"),0)</f>
        <v>0</v>
      </c>
      <c r="N96" s="93">
        <f ca="1">IFERROR(__xludf.DUMMYFUNCTION("IMPORTRANGE(""https://docs.google.com/spreadsheets/d/1MeEWN-I1oV_STSDYn1IFDPWt_1FKiwhDph83XaGc0o0/edit?usp=sharing"",""งบพรบ!AY24"")"),0)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18" t="s">
        <v>38</v>
      </c>
      <c r="E97" s="173"/>
      <c r="F97" s="173"/>
      <c r="G97" s="174"/>
      <c r="H97" s="726"/>
      <c r="I97" s="184"/>
      <c r="J97" s="269"/>
      <c r="K97" s="465"/>
      <c r="L97" s="465"/>
      <c r="M97" s="465"/>
      <c r="N97" s="465"/>
      <c r="O97" s="163"/>
      <c r="P97" s="163"/>
    </row>
    <row r="98" spans="1:16" ht="18.75">
      <c r="A98" s="170"/>
      <c r="B98" s="171"/>
      <c r="C98" s="171"/>
      <c r="D98" s="415" t="s">
        <v>47</v>
      </c>
      <c r="E98" s="415"/>
      <c r="F98" s="342"/>
      <c r="G98" s="179"/>
      <c r="H98" s="589" t="s">
        <v>46</v>
      </c>
      <c r="I98" s="269">
        <f ca="1">IFERROR(__xludf.DUMMYFUNCTION("IMPORTRANGE(""https://docs.google.com/spreadsheets/d/1QqKyyYR6Q21VydFLVH3TRQUabQu_ym0Zz7PgGX0-kHA/edit?usp=sharing"",""แผน!K24"")"),30)</f>
        <v>30</v>
      </c>
      <c r="J98" s="269">
        <f>J102</f>
        <v>0</v>
      </c>
      <c r="K98" s="465">
        <f t="shared" ref="K98:K100" ca="1" si="55">IF(I98&gt;0,J98*100/I98,0)</f>
        <v>0</v>
      </c>
      <c r="L98" s="465"/>
      <c r="M98" s="465"/>
      <c r="N98" s="465"/>
      <c r="O98" s="163"/>
      <c r="P98" s="163"/>
    </row>
    <row r="99" spans="1:16" ht="18.75">
      <c r="A99" s="170"/>
      <c r="B99" s="171"/>
      <c r="C99" s="171"/>
      <c r="D99" s="415" t="s">
        <v>48</v>
      </c>
      <c r="E99" s="415"/>
      <c r="F99" s="342"/>
      <c r="G99" s="179"/>
      <c r="H99" s="589" t="s">
        <v>35</v>
      </c>
      <c r="I99" s="269">
        <f ca="1">IFERROR(__xludf.DUMMYFUNCTION("IMPORTRANGE(""https://docs.google.com/spreadsheets/d/1QqKyyYR6Q21VydFLVH3TRQUabQu_ym0Zz7PgGX0-kHA/edit?usp=sharing"",""แผน!L24"")"),10)</f>
        <v>10</v>
      </c>
      <c r="J99" s="269">
        <f>J104</f>
        <v>0</v>
      </c>
      <c r="K99" s="465">
        <f t="shared" ca="1" si="55"/>
        <v>0</v>
      </c>
      <c r="L99" s="465"/>
      <c r="M99" s="465"/>
      <c r="N99" s="465"/>
      <c r="O99" s="163"/>
      <c r="P99" s="163"/>
    </row>
    <row r="100" spans="1:16" ht="18.75">
      <c r="A100" s="170"/>
      <c r="B100" s="171"/>
      <c r="C100" s="171"/>
      <c r="D100" s="171"/>
      <c r="E100" s="342"/>
      <c r="F100" s="342"/>
      <c r="G100" s="179"/>
      <c r="H100" s="589" t="s">
        <v>49</v>
      </c>
      <c r="I100" s="269">
        <f ca="1">IFERROR(__xludf.DUMMYFUNCTION("IMPORTRANGE(""https://docs.google.com/spreadsheets/d/1QqKyyYR6Q21VydFLVH3TRQUabQu_ym0Zz7PgGX0-kHA/edit?usp=sharing"",""แผน!M24"")"),2)</f>
        <v>2</v>
      </c>
      <c r="J100" s="269">
        <f>J107+J110</f>
        <v>0</v>
      </c>
      <c r="K100" s="465">
        <f t="shared" ca="1" si="55"/>
        <v>0</v>
      </c>
      <c r="L100" s="465"/>
      <c r="M100" s="465"/>
      <c r="N100" s="465"/>
      <c r="O100" s="163"/>
      <c r="P100" s="163"/>
    </row>
    <row r="101" spans="1:16" ht="19.5">
      <c r="A101" s="170"/>
      <c r="B101" s="171"/>
      <c r="C101" s="171"/>
      <c r="D101" s="342"/>
      <c r="E101" s="191" t="s">
        <v>50</v>
      </c>
      <c r="F101" s="342"/>
      <c r="G101" s="179"/>
      <c r="H101" s="589"/>
      <c r="I101" s="269"/>
      <c r="J101" s="269"/>
      <c r="K101" s="465"/>
      <c r="L101" s="465"/>
      <c r="M101" s="465"/>
      <c r="N101" s="465"/>
      <c r="O101" s="163"/>
      <c r="P101" s="163"/>
    </row>
    <row r="102" spans="1:16" ht="18.75">
      <c r="A102" s="170"/>
      <c r="B102" s="171"/>
      <c r="C102" s="171"/>
      <c r="D102" s="342"/>
      <c r="E102" s="592" t="s">
        <v>47</v>
      </c>
      <c r="F102" s="342"/>
      <c r="G102" s="179"/>
      <c r="H102" s="589" t="s">
        <v>46</v>
      </c>
      <c r="I102" s="269">
        <f ca="1">IFERROR(__xludf.DUMMYFUNCTION("IMPORTRANGE(""https://docs.google.com/spreadsheets/d/1QqKyyYR6Q21VydFLVH3TRQUabQu_ym0Zz7PgGX0-kHA/edit?usp=sharing"",""แผน!N24"")"),30)</f>
        <v>30</v>
      </c>
      <c r="J102" s="214">
        <v>0</v>
      </c>
      <c r="K102" s="465">
        <f t="shared" ref="K102:K104" ca="1" si="56">IF(I102&gt;0,J102*100/I102,0)</f>
        <v>0</v>
      </c>
      <c r="L102" s="465"/>
      <c r="M102" s="465"/>
      <c r="N102" s="465"/>
      <c r="O102" s="163"/>
      <c r="P102" s="163"/>
    </row>
    <row r="103" spans="1:16" ht="19.5">
      <c r="A103" s="170"/>
      <c r="B103" s="171"/>
      <c r="C103" s="171"/>
      <c r="D103" s="342"/>
      <c r="E103" s="415" t="s">
        <v>51</v>
      </c>
      <c r="F103" s="342"/>
      <c r="G103" s="179"/>
      <c r="H103" s="589" t="s">
        <v>35</v>
      </c>
      <c r="I103" s="269">
        <f ca="1">IFERROR(__xludf.DUMMYFUNCTION("IMPORTRANGE(""https://docs.google.com/spreadsheets/d/1QqKyyYR6Q21VydFLVH3TRQUabQu_ym0Zz7PgGX0-kHA/edit?usp=sharing"",""แผน!O24"")"),10)</f>
        <v>10</v>
      </c>
      <c r="J103" s="214">
        <v>0</v>
      </c>
      <c r="K103" s="465">
        <f t="shared" ca="1" si="56"/>
        <v>0</v>
      </c>
      <c r="L103" s="465"/>
      <c r="M103" s="465"/>
      <c r="N103" s="465"/>
      <c r="O103" s="163"/>
      <c r="P103" s="163"/>
    </row>
    <row r="104" spans="1:16" ht="18.75">
      <c r="A104" s="170"/>
      <c r="B104" s="171"/>
      <c r="C104" s="171"/>
      <c r="D104" s="342"/>
      <c r="E104" s="188" t="s">
        <v>52</v>
      </c>
      <c r="F104" s="342"/>
      <c r="G104" s="179"/>
      <c r="H104" s="589" t="s">
        <v>35</v>
      </c>
      <c r="I104" s="269">
        <f ca="1">IFERROR(__xludf.DUMMYFUNCTION("IMPORTRANGE(""https://docs.google.com/spreadsheets/d/1QqKyyYR6Q21VydFLVH3TRQUabQu_ym0Zz7PgGX0-kHA/edit?usp=sharing"",""แผน!O24"")"),10)</f>
        <v>10</v>
      </c>
      <c r="J104" s="214">
        <v>0</v>
      </c>
      <c r="K104" s="465">
        <f t="shared" ca="1" si="56"/>
        <v>0</v>
      </c>
      <c r="L104" s="465"/>
      <c r="M104" s="465"/>
      <c r="N104" s="465"/>
      <c r="O104" s="163"/>
      <c r="P104" s="163"/>
    </row>
    <row r="105" spans="1:16" ht="19.5">
      <c r="A105" s="170"/>
      <c r="B105" s="171"/>
      <c r="C105" s="171"/>
      <c r="D105" s="342"/>
      <c r="E105" s="191" t="s">
        <v>53</v>
      </c>
      <c r="F105" s="342"/>
      <c r="G105" s="179"/>
      <c r="H105" s="189"/>
      <c r="I105" s="269"/>
      <c r="J105" s="269"/>
      <c r="K105" s="465"/>
      <c r="L105" s="465"/>
      <c r="M105" s="465"/>
      <c r="N105" s="465"/>
      <c r="O105" s="163"/>
      <c r="P105" s="163"/>
    </row>
    <row r="106" spans="1:16" ht="19.5">
      <c r="A106" s="170"/>
      <c r="B106" s="171"/>
      <c r="C106" s="171"/>
      <c r="D106" s="342"/>
      <c r="E106" s="415" t="s">
        <v>54</v>
      </c>
      <c r="F106" s="342"/>
      <c r="G106" s="179"/>
      <c r="H106" s="589" t="s">
        <v>49</v>
      </c>
      <c r="I106" s="269">
        <f ca="1">IFERROR(__xludf.DUMMYFUNCTION("IMPORTRANGE(""https://docs.google.com/spreadsheets/d/1QqKyyYR6Q21VydFLVH3TRQUabQu_ym0Zz7PgGX0-kHA/edit?usp=sharing"",""แผน!P24"")"),1)</f>
        <v>1</v>
      </c>
      <c r="J106" s="214">
        <v>0</v>
      </c>
      <c r="K106" s="465">
        <f t="shared" ref="K106:K107" ca="1" si="57">IF(I106&gt;0,J106*100/I106,0)</f>
        <v>0</v>
      </c>
      <c r="L106" s="465"/>
      <c r="M106" s="465"/>
      <c r="N106" s="465"/>
      <c r="O106" s="163"/>
      <c r="P106" s="163"/>
    </row>
    <row r="107" spans="1:16" ht="18.75">
      <c r="A107" s="170"/>
      <c r="B107" s="171"/>
      <c r="C107" s="171"/>
      <c r="D107" s="342"/>
      <c r="E107" s="188" t="s">
        <v>55</v>
      </c>
      <c r="F107" s="342"/>
      <c r="G107" s="179"/>
      <c r="H107" s="589" t="s">
        <v>49</v>
      </c>
      <c r="I107" s="269">
        <f ca="1">IFERROR(__xludf.DUMMYFUNCTION("IMPORTRANGE(""https://docs.google.com/spreadsheets/d/1QqKyyYR6Q21VydFLVH3TRQUabQu_ym0Zz7PgGX0-kHA/edit?usp=sharing"",""แผน!P24"")"),1)</f>
        <v>1</v>
      </c>
      <c r="J107" s="214">
        <v>0</v>
      </c>
      <c r="K107" s="465">
        <f t="shared" ca="1" si="57"/>
        <v>0</v>
      </c>
      <c r="L107" s="465"/>
      <c r="M107" s="465"/>
      <c r="N107" s="465"/>
      <c r="O107" s="163"/>
      <c r="P107" s="163"/>
    </row>
    <row r="108" spans="1:16" ht="19.5">
      <c r="A108" s="170"/>
      <c r="B108" s="171"/>
      <c r="C108" s="171"/>
      <c r="D108" s="342"/>
      <c r="E108" s="191" t="s">
        <v>56</v>
      </c>
      <c r="F108" s="342"/>
      <c r="G108" s="179"/>
      <c r="H108" s="189"/>
      <c r="I108" s="269"/>
      <c r="J108" s="269"/>
      <c r="K108" s="465"/>
      <c r="L108" s="465"/>
      <c r="M108" s="465"/>
      <c r="N108" s="465"/>
      <c r="O108" s="163"/>
      <c r="P108" s="163"/>
    </row>
    <row r="109" spans="1:16" ht="19.5">
      <c r="A109" s="170"/>
      <c r="B109" s="171"/>
      <c r="C109" s="171"/>
      <c r="D109" s="342"/>
      <c r="E109" s="415" t="s">
        <v>57</v>
      </c>
      <c r="F109" s="342"/>
      <c r="G109" s="179"/>
      <c r="H109" s="589" t="s">
        <v>49</v>
      </c>
      <c r="I109" s="269">
        <f ca="1">IFERROR(__xludf.DUMMYFUNCTION("IMPORTRANGE(""https://docs.google.com/spreadsheets/d/1QqKyyYR6Q21VydFLVH3TRQUabQu_ym0Zz7PgGX0-kHA/edit?usp=sharing"",""แผน!Q24"")"),1)</f>
        <v>1</v>
      </c>
      <c r="J109" s="214">
        <v>0</v>
      </c>
      <c r="K109" s="465">
        <f t="shared" ref="K109:K116" ca="1" si="58">IF(I109&gt;0,J109*100/I109,0)</f>
        <v>0</v>
      </c>
      <c r="L109" s="465"/>
      <c r="M109" s="465"/>
      <c r="N109" s="465"/>
      <c r="O109" s="163"/>
      <c r="P109" s="163"/>
    </row>
    <row r="110" spans="1:16" ht="18.75">
      <c r="A110" s="170"/>
      <c r="B110" s="171"/>
      <c r="C110" s="171"/>
      <c r="D110" s="342"/>
      <c r="E110" s="190" t="s">
        <v>58</v>
      </c>
      <c r="F110" s="342"/>
      <c r="G110" s="179"/>
      <c r="H110" s="589" t="s">
        <v>49</v>
      </c>
      <c r="I110" s="269">
        <f ca="1">IFERROR(__xludf.DUMMYFUNCTION("IMPORTRANGE(""https://docs.google.com/spreadsheets/d/1QqKyyYR6Q21VydFLVH3TRQUabQu_ym0Zz7PgGX0-kHA/edit?usp=sharing"",""แผน!Q24"")"),1)</f>
        <v>1</v>
      </c>
      <c r="J110" s="214">
        <v>0</v>
      </c>
      <c r="K110" s="465">
        <f t="shared" ca="1" si="58"/>
        <v>0</v>
      </c>
      <c r="L110" s="465"/>
      <c r="M110" s="465"/>
      <c r="N110" s="465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342"/>
      <c r="G111" s="179"/>
      <c r="H111" s="731" t="s">
        <v>35</v>
      </c>
      <c r="I111" s="193">
        <f ca="1">IFERROR(__xludf.DUMMYFUNCTION("IMPORTRANGE(""https://docs.google.com/spreadsheets/d/1QqKyyYR6Q21VydFLVH3TRQUabQu_ym0Zz7PgGX0-kHA/edit?usp=sharing"",""แผน!R24"")"),10)</f>
        <v>10</v>
      </c>
      <c r="J111" s="647">
        <f>J114</f>
        <v>0</v>
      </c>
      <c r="K111" s="195">
        <f t="shared" ca="1" si="58"/>
        <v>0</v>
      </c>
      <c r="L111" s="465"/>
      <c r="M111" s="465"/>
      <c r="N111" s="465"/>
      <c r="O111" s="163"/>
      <c r="P111" s="163"/>
    </row>
    <row r="112" spans="1:16" ht="19.5">
      <c r="A112" s="170"/>
      <c r="B112" s="171"/>
      <c r="C112" s="171"/>
      <c r="D112" s="171"/>
      <c r="E112" s="342"/>
      <c r="F112" s="342"/>
      <c r="G112" s="179"/>
      <c r="H112" s="196" t="s">
        <v>49</v>
      </c>
      <c r="I112" s="193">
        <f t="shared" ref="I112:J112" ca="1" si="59">I115+I116</f>
        <v>2</v>
      </c>
      <c r="J112" s="647">
        <f t="shared" si="59"/>
        <v>0</v>
      </c>
      <c r="K112" s="195">
        <f t="shared" ca="1" si="58"/>
        <v>0</v>
      </c>
      <c r="L112" s="465"/>
      <c r="M112" s="465"/>
      <c r="N112" s="465"/>
      <c r="O112" s="163"/>
      <c r="P112" s="163"/>
    </row>
    <row r="113" spans="1:26" ht="19.5">
      <c r="A113" s="170"/>
      <c r="B113" s="171"/>
      <c r="C113" s="171"/>
      <c r="D113" s="171"/>
      <c r="E113" s="494" t="s">
        <v>60</v>
      </c>
      <c r="F113" s="342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IFERROR(__xludf.DUMMYFUNCTION("IMPORTRANGE(""https://docs.google.com/spreadsheets/d/1QqKyyYR6Q21VydFLVH3TRQUabQu_ym0Zz7PgGX0-kHA/edit?usp=sharing"",""แผน!R24"")"),10)</f>
        <v>10</v>
      </c>
      <c r="J113" s="214">
        <v>0</v>
      </c>
      <c r="K113" s="465">
        <f t="shared" ca="1" si="58"/>
        <v>0</v>
      </c>
      <c r="L113" s="465"/>
      <c r="M113" s="465"/>
      <c r="N113" s="465"/>
      <c r="O113" s="163"/>
      <c r="P113" s="163"/>
    </row>
    <row r="114" spans="1:26" ht="19.5">
      <c r="A114" s="170"/>
      <c r="B114" s="171"/>
      <c r="C114" s="171"/>
      <c r="D114" s="171"/>
      <c r="E114" s="415" t="s">
        <v>61</v>
      </c>
      <c r="F114" s="342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IFERROR(__xludf.DUMMYFUNCTION("IMPORTRANGE(""https://docs.google.com/spreadsheets/d/1QqKyyYR6Q21VydFLVH3TRQUabQu_ym0Zz7PgGX0-kHA/edit?usp=sharing"",""แผน!R24"")"),10)</f>
        <v>10</v>
      </c>
      <c r="J114" s="214">
        <v>0</v>
      </c>
      <c r="K114" s="465">
        <f t="shared" ca="1" si="58"/>
        <v>0</v>
      </c>
      <c r="L114" s="465"/>
      <c r="M114" s="465"/>
      <c r="N114" s="465"/>
      <c r="O114" s="163"/>
      <c r="P114" s="163"/>
    </row>
    <row r="115" spans="1:26" ht="18.75">
      <c r="A115" s="170"/>
      <c r="B115" s="171"/>
      <c r="C115" s="171"/>
      <c r="D115" s="171"/>
      <c r="E115" s="415" t="s">
        <v>62</v>
      </c>
      <c r="F115" s="342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IFERROR(__xludf.DUMMYFUNCTION("IMPORTRANGE(""https://docs.google.com/spreadsheets/d/1QqKyyYR6Q21VydFLVH3TRQUabQu_ym0Zz7PgGX0-kHA/edit?usp=sharing"",""แผน!S24"")"),1)</f>
        <v>1</v>
      </c>
      <c r="J115" s="214">
        <v>0</v>
      </c>
      <c r="K115" s="465">
        <f t="shared" ca="1" si="58"/>
        <v>0</v>
      </c>
      <c r="L115" s="465"/>
      <c r="M115" s="465"/>
      <c r="N115" s="465"/>
      <c r="O115" s="163"/>
      <c r="P115" s="163"/>
    </row>
    <row r="116" spans="1:26" ht="18.75">
      <c r="A116" s="170"/>
      <c r="B116" s="171"/>
      <c r="C116" s="171"/>
      <c r="D116" s="171"/>
      <c r="E116" s="415" t="s">
        <v>63</v>
      </c>
      <c r="F116" s="342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IFERROR(__xludf.DUMMYFUNCTION("IMPORTRANGE(""https://docs.google.com/spreadsheets/d/1QqKyyYR6Q21VydFLVH3TRQUabQu_ym0Zz7PgGX0-kHA/edit?usp=sharing"",""แผน!T24"")"),1)</f>
        <v>1</v>
      </c>
      <c r="J116" s="214">
        <v>0</v>
      </c>
      <c r="K116" s="465">
        <f t="shared" ca="1" si="58"/>
        <v>0</v>
      </c>
      <c r="L116" s="465"/>
      <c r="M116" s="465"/>
      <c r="N116" s="465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8" t="s">
        <v>65</v>
      </c>
      <c r="C118" s="204"/>
      <c r="D118" s="141"/>
      <c r="E118" s="140"/>
      <c r="F118" s="140"/>
      <c r="G118" s="142"/>
      <c r="H118" s="143"/>
      <c r="I118" s="205"/>
      <c r="J118" s="205"/>
      <c r="K118" s="146"/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17" t="s">
        <v>17</v>
      </c>
      <c r="E119" s="148"/>
      <c r="F119" s="148"/>
      <c r="G119" s="151"/>
      <c r="H119" s="152" t="s">
        <v>12</v>
      </c>
      <c r="I119" s="388"/>
      <c r="J119" s="388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2" t="s">
        <v>18</v>
      </c>
      <c r="F120" s="40"/>
      <c r="G120" s="157"/>
      <c r="H120" s="158" t="s">
        <v>12</v>
      </c>
      <c r="I120" s="583"/>
      <c r="J120" s="583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2" t="s">
        <v>19</v>
      </c>
      <c r="F121" s="40"/>
      <c r="G121" s="157"/>
      <c r="H121" s="158" t="s">
        <v>12</v>
      </c>
      <c r="I121" s="583"/>
      <c r="J121" s="583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1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65">
        <f t="shared" ref="L122:N122" ca="1" si="64">L123+L124</f>
        <v>0</v>
      </c>
      <c r="M122" s="465">
        <f t="shared" ca="1" si="64"/>
        <v>0</v>
      </c>
      <c r="N122" s="465">
        <f t="shared" ca="1" si="64"/>
        <v>0</v>
      </c>
      <c r="O122" s="465">
        <f t="shared" ca="1" si="61"/>
        <v>0</v>
      </c>
      <c r="P122" s="465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2"/>
      <c r="D123" s="40"/>
      <c r="E123" s="222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2"/>
      <c r="D124" s="40"/>
      <c r="E124" s="222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IFERROR(__xludf.DUMMYFUNCTION("IMPORTRANGE(""https://docs.google.com/spreadsheets/d/1MeEWN-I1oV_STSDYn1IFDPWt_1FKiwhDph83XaGc0o0/edit?usp=sharing"",""งบพรบ!BA24"")"),0)</f>
        <v>0</v>
      </c>
      <c r="M124" s="93">
        <f ca="1">IFERROR(__xludf.DUMMYFUNCTION("IMPORTRANGE(""https://docs.google.com/spreadsheets/d/1MeEWN-I1oV_STSDYn1IFDPWt_1FKiwhDph83XaGc0o0/edit?usp=sharing"",""งบพรบ!BF24"")"),0)</f>
        <v>0</v>
      </c>
      <c r="N124" s="93">
        <f ca="1">IFERROR(__xludf.DUMMYFUNCTION("IMPORTRANGE(""https://docs.google.com/spreadsheets/d/1MeEWN-I1oV_STSDYn1IFDPWt_1FKiwhDph83XaGc0o0/edit?usp=sharing"",""งบพรบ!BH24"")"),0)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1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65">
        <f t="shared" ref="L125:N125" ca="1" si="65">L126+L127</f>
        <v>0</v>
      </c>
      <c r="M125" s="465">
        <f t="shared" ca="1" si="65"/>
        <v>0</v>
      </c>
      <c r="N125" s="465">
        <f t="shared" ca="1" si="65"/>
        <v>0</v>
      </c>
      <c r="O125" s="465">
        <f t="shared" ca="1" si="61"/>
        <v>0</v>
      </c>
      <c r="P125" s="465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2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2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IFERROR(__xludf.DUMMYFUNCTION("IMPORTRANGE(""https://docs.google.com/spreadsheets/d/1MeEWN-I1oV_STSDYn1IFDPWt_1FKiwhDph83XaGc0o0/edit?usp=sharing"",""งบพรบ!BD24"")"),0)</f>
        <v>0</v>
      </c>
      <c r="M127" s="93">
        <f ca="1">IFERROR(__xludf.DUMMYFUNCTION("IMPORTRANGE(""https://docs.google.com/spreadsheets/d/1MeEWN-I1oV_STSDYn1IFDPWt_1FKiwhDph83XaGc0o0/edit?usp=sharing"",""งบพรบ!BG24"")"),0)</f>
        <v>0</v>
      </c>
      <c r="N127" s="93">
        <f ca="1">IFERROR(__xludf.DUMMYFUNCTION("IMPORTRANGE(""https://docs.google.com/spreadsheets/d/1MeEWN-I1oV_STSDYn1IFDPWt_1FKiwhDph83XaGc0o0/edit?usp=sharing"",""งบพรบ!BI24"")"),0)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>
      <c r="A128" s="131" t="s">
        <v>66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>
      <c r="A129" s="138"/>
      <c r="B129" s="208" t="s">
        <v>67</v>
      </c>
      <c r="C129" s="204"/>
      <c r="D129" s="141"/>
      <c r="E129" s="140"/>
      <c r="F129" s="140"/>
      <c r="G129" s="140"/>
      <c r="H129" s="207"/>
      <c r="I129" s="205"/>
      <c r="J129" s="205"/>
      <c r="K129" s="146"/>
      <c r="L129" s="146"/>
      <c r="M129" s="146"/>
      <c r="N129" s="146"/>
      <c r="O129" s="146"/>
      <c r="P129" s="146"/>
    </row>
    <row r="130" spans="1:26" ht="19.5">
      <c r="A130" s="138"/>
      <c r="B130" s="208"/>
      <c r="C130" s="209" t="s">
        <v>68</v>
      </c>
      <c r="D130" s="141"/>
      <c r="E130" s="140"/>
      <c r="F130" s="140"/>
      <c r="G130" s="142"/>
      <c r="H130" s="143" t="s">
        <v>69</v>
      </c>
      <c r="I130" s="144">
        <f t="shared" ref="I130:J130" ca="1" si="66">I146</f>
        <v>3</v>
      </c>
      <c r="J130" s="144">
        <f t="shared" si="66"/>
        <v>3</v>
      </c>
      <c r="K130" s="145">
        <f t="shared" ref="K130:K131" ca="1" si="67">IF(I130&gt;0,J130*100/I130,0)</f>
        <v>100</v>
      </c>
      <c r="L130" s="146"/>
      <c r="M130" s="146"/>
      <c r="N130" s="146"/>
      <c r="O130" s="146"/>
      <c r="P130" s="146"/>
    </row>
    <row r="131" spans="1:26" ht="19.5">
      <c r="A131" s="138"/>
      <c r="B131" s="208"/>
      <c r="C131" s="209" t="s">
        <v>70</v>
      </c>
      <c r="D131" s="141"/>
      <c r="E131" s="140"/>
      <c r="F131" s="140"/>
      <c r="G131" s="142"/>
      <c r="H131" s="143" t="s">
        <v>35</v>
      </c>
      <c r="I131" s="144">
        <f t="shared" ref="I131:J131" ca="1" si="68">I143</f>
        <v>30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>
      <c r="A132" s="147"/>
      <c r="B132" s="148"/>
      <c r="C132" s="149" t="s">
        <v>16</v>
      </c>
      <c r="D132" s="817" t="s">
        <v>17</v>
      </c>
      <c r="E132" s="148"/>
      <c r="F132" s="148"/>
      <c r="G132" s="151"/>
      <c r="H132" s="152" t="s">
        <v>12</v>
      </c>
      <c r="I132" s="388"/>
      <c r="J132" s="388"/>
      <c r="K132" s="154"/>
      <c r="L132" s="155">
        <f t="shared" ref="L132:N132" ca="1" si="69">L133+L134</f>
        <v>542565</v>
      </c>
      <c r="M132" s="155">
        <f t="shared" ca="1" si="69"/>
        <v>443100</v>
      </c>
      <c r="N132" s="155">
        <f t="shared" ca="1" si="69"/>
        <v>334890</v>
      </c>
      <c r="O132" s="155">
        <f t="shared" ref="O132:O140" ca="1" si="70">IF(L132&gt;0,N132*100/L132,0)</f>
        <v>61.723480136020569</v>
      </c>
      <c r="P132" s="155">
        <f t="shared" ref="P132:P140" ca="1" si="71">IF(M132&gt;0,N132*100/M132,0)</f>
        <v>75.578876100203118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2" t="s">
        <v>18</v>
      </c>
      <c r="F133" s="40"/>
      <c r="G133" s="157"/>
      <c r="H133" s="158" t="s">
        <v>12</v>
      </c>
      <c r="I133" s="583"/>
      <c r="J133" s="583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2" t="s">
        <v>19</v>
      </c>
      <c r="F134" s="40"/>
      <c r="G134" s="157"/>
      <c r="H134" s="158" t="s">
        <v>12</v>
      </c>
      <c r="I134" s="583"/>
      <c r="J134" s="583"/>
      <c r="K134" s="93"/>
      <c r="L134" s="93">
        <f t="shared" ca="1" si="72"/>
        <v>542565</v>
      </c>
      <c r="M134" s="93">
        <f t="shared" ca="1" si="72"/>
        <v>443100</v>
      </c>
      <c r="N134" s="93">
        <f t="shared" ca="1" si="72"/>
        <v>334890</v>
      </c>
      <c r="O134" s="93">
        <f t="shared" ca="1" si="70"/>
        <v>61.723480136020569</v>
      </c>
      <c r="P134" s="93">
        <f t="shared" ca="1" si="71"/>
        <v>75.578876100203118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>
      <c r="A135" s="159"/>
      <c r="B135" s="33"/>
      <c r="C135" s="281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65">
        <f t="shared" ref="L135:N135" ca="1" si="73">L136+L137</f>
        <v>233565</v>
      </c>
      <c r="M135" s="465">
        <f t="shared" ca="1" si="73"/>
        <v>135600</v>
      </c>
      <c r="N135" s="465">
        <f t="shared" ca="1" si="73"/>
        <v>27390</v>
      </c>
      <c r="O135" s="465">
        <f t="shared" ca="1" si="70"/>
        <v>11.726928264080662</v>
      </c>
      <c r="P135" s="465">
        <f t="shared" ca="1" si="71"/>
        <v>20.199115044247787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2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2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IFERROR(__xludf.DUMMYFUNCTION("IMPORTRANGE(""https://docs.google.com/spreadsheets/d/1MeEWN-I1oV_STSDYn1IFDPWt_1FKiwhDph83XaGc0o0/edit?usp=sharing"",""งบพรบ!BK24"")"),233565)</f>
        <v>233565</v>
      </c>
      <c r="M137" s="93">
        <f ca="1">IFERROR(__xludf.DUMMYFUNCTION("IMPORTRANGE(""https://docs.google.com/spreadsheets/d/1MeEWN-I1oV_STSDYn1IFDPWt_1FKiwhDph83XaGc0o0/edit?usp=sharing"",""งบพรบ!BP24"")"),135600)</f>
        <v>135600</v>
      </c>
      <c r="N137" s="93">
        <f ca="1">IFERROR(__xludf.DUMMYFUNCTION("IMPORTRANGE(""https://docs.google.com/spreadsheets/d/1MeEWN-I1oV_STSDYn1IFDPWt_1FKiwhDph83XaGc0o0/edit?usp=sharing"",""งบพรบ!BR24"")"),27390)</f>
        <v>27390</v>
      </c>
      <c r="O137" s="93">
        <f t="shared" ca="1" si="70"/>
        <v>11.726928264080662</v>
      </c>
      <c r="P137" s="93">
        <f t="shared" ca="1" si="71"/>
        <v>20.199115044247787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>
      <c r="A138" s="159"/>
      <c r="B138" s="33"/>
      <c r="C138" s="281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65">
        <f t="shared" ref="L138:N138" ca="1" si="74">L139+L140</f>
        <v>309000</v>
      </c>
      <c r="M138" s="465">
        <f t="shared" ca="1" si="74"/>
        <v>307500</v>
      </c>
      <c r="N138" s="465">
        <f t="shared" ca="1" si="74"/>
        <v>307500</v>
      </c>
      <c r="O138" s="465">
        <f t="shared" ca="1" si="70"/>
        <v>99.514563106796118</v>
      </c>
      <c r="P138" s="465">
        <f t="shared" ca="1" si="71"/>
        <v>100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2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2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IFERROR(__xludf.DUMMYFUNCTION("IMPORTRANGE(""https://docs.google.com/spreadsheets/d/1MeEWN-I1oV_STSDYn1IFDPWt_1FKiwhDph83XaGc0o0/edit?usp=sharing"",""งบพรบ!BN24"")"),309000)</f>
        <v>309000</v>
      </c>
      <c r="M140" s="93">
        <f ca="1">IFERROR(__xludf.DUMMYFUNCTION("IMPORTRANGE(""https://docs.google.com/spreadsheets/d/1MeEWN-I1oV_STSDYn1IFDPWt_1FKiwhDph83XaGc0o0/edit?usp=sharing"",""งบพรบ!BQ24"")"),307500)</f>
        <v>307500</v>
      </c>
      <c r="N140" s="93">
        <f ca="1">IFERROR(__xludf.DUMMYFUNCTION("IMPORTRANGE(""https://docs.google.com/spreadsheets/d/1MeEWN-I1oV_STSDYn1IFDPWt_1FKiwhDph83XaGc0o0/edit?usp=sharing"",""งบพรบ!BS24"")"),307500)</f>
        <v>307500</v>
      </c>
      <c r="O140" s="93">
        <f t="shared" ca="1" si="70"/>
        <v>99.514563106796118</v>
      </c>
      <c r="P140" s="93">
        <f t="shared" ca="1" si="71"/>
        <v>100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>
      <c r="A141" s="170"/>
      <c r="B141" s="171"/>
      <c r="C141" s="149" t="s">
        <v>16</v>
      </c>
      <c r="D141" s="818" t="s">
        <v>38</v>
      </c>
      <c r="E141" s="173"/>
      <c r="F141" s="173"/>
      <c r="G141" s="174"/>
      <c r="H141" s="168"/>
      <c r="I141" s="269"/>
      <c r="J141" s="269"/>
      <c r="K141" s="465"/>
      <c r="L141" s="465"/>
      <c r="M141" s="465"/>
      <c r="N141" s="465"/>
      <c r="O141" s="465"/>
      <c r="P141" s="465"/>
    </row>
    <row r="142" spans="1:26" ht="19.5">
      <c r="A142" s="159"/>
      <c r="B142" s="33"/>
      <c r="C142" s="210"/>
      <c r="D142" s="281" t="s">
        <v>71</v>
      </c>
      <c r="E142" s="34"/>
      <c r="F142" s="33"/>
      <c r="G142" s="213"/>
      <c r="H142" s="168"/>
      <c r="I142" s="269"/>
      <c r="J142" s="214">
        <v>0</v>
      </c>
      <c r="K142" s="465"/>
      <c r="L142" s="465"/>
      <c r="M142" s="465"/>
      <c r="N142" s="465"/>
      <c r="O142" s="465"/>
      <c r="P142" s="465"/>
    </row>
    <row r="143" spans="1:26" ht="19.5">
      <c r="A143" s="159"/>
      <c r="B143" s="33"/>
      <c r="C143" s="210"/>
      <c r="D143" s="281" t="s">
        <v>72</v>
      </c>
      <c r="E143" s="34"/>
      <c r="F143" s="33"/>
      <c r="G143" s="213"/>
      <c r="H143" s="168" t="s">
        <v>35</v>
      </c>
      <c r="I143" s="269">
        <f ca="1">I145</f>
        <v>30</v>
      </c>
      <c r="J143" s="269">
        <f ca="1">IF(AND(J144&gt;=I144,J145&gt;=I145),J145,0)</f>
        <v>0</v>
      </c>
      <c r="K143" s="465">
        <f t="shared" ref="K143:K146" ca="1" si="75">IF(I143&gt;0,J143*100/I143,0)</f>
        <v>0</v>
      </c>
      <c r="L143" s="465"/>
      <c r="M143" s="465"/>
      <c r="N143" s="465"/>
      <c r="O143" s="465"/>
      <c r="P143" s="465"/>
    </row>
    <row r="144" spans="1:26" ht="19.5">
      <c r="A144" s="159"/>
      <c r="B144" s="33"/>
      <c r="C144" s="210"/>
      <c r="D144" s="342"/>
      <c r="E144" s="281" t="s">
        <v>73</v>
      </c>
      <c r="F144" s="33"/>
      <c r="G144" s="213"/>
      <c r="H144" s="168" t="s">
        <v>35</v>
      </c>
      <c r="I144" s="269">
        <f ca="1">IFERROR(__xludf.DUMMYFUNCTION("IMPORTRANGE(""https://docs.google.com/spreadsheets/d/1QqKyyYR6Q21VydFLVH3TRQUabQu_ym0Zz7PgGX0-kHA/edit?usp=sharing"",""แผน!U24"")"),15)</f>
        <v>15</v>
      </c>
      <c r="J144" s="214">
        <v>30</v>
      </c>
      <c r="K144" s="465">
        <f t="shared" ca="1" si="75"/>
        <v>200</v>
      </c>
      <c r="L144" s="465"/>
      <c r="M144" s="465"/>
      <c r="N144" s="465"/>
      <c r="O144" s="465"/>
      <c r="P144" s="465"/>
    </row>
    <row r="145" spans="1:26" ht="19.5">
      <c r="A145" s="159"/>
      <c r="B145" s="33"/>
      <c r="C145" s="210"/>
      <c r="D145" s="342"/>
      <c r="E145" s="281" t="s">
        <v>74</v>
      </c>
      <c r="F145" s="33"/>
      <c r="G145" s="213"/>
      <c r="H145" s="168" t="s">
        <v>35</v>
      </c>
      <c r="I145" s="269">
        <f ca="1">IFERROR(__xludf.DUMMYFUNCTION("IMPORTRANGE(""https://docs.google.com/spreadsheets/d/1QqKyyYR6Q21VydFLVH3TRQUabQu_ym0Zz7PgGX0-kHA/edit?usp=sharing"",""แผน!V24"")"),30)</f>
        <v>30</v>
      </c>
      <c r="J145" s="214">
        <v>0</v>
      </c>
      <c r="K145" s="465">
        <f t="shared" ca="1" si="75"/>
        <v>0</v>
      </c>
      <c r="L145" s="465"/>
      <c r="M145" s="465"/>
      <c r="N145" s="465"/>
      <c r="O145" s="465"/>
      <c r="P145" s="465"/>
    </row>
    <row r="146" spans="1:26" ht="19.5">
      <c r="A146" s="159"/>
      <c r="B146" s="33"/>
      <c r="C146" s="210"/>
      <c r="D146" s="281" t="s">
        <v>75</v>
      </c>
      <c r="E146" s="34"/>
      <c r="F146" s="33"/>
      <c r="G146" s="213"/>
      <c r="H146" s="168" t="s">
        <v>69</v>
      </c>
      <c r="I146" s="269">
        <f ca="1">IFERROR(__xludf.DUMMYFUNCTION("IMPORTRANGE(""https://docs.google.com/spreadsheets/d/1QqKyyYR6Q21VydFLVH3TRQUabQu_ym0Zz7PgGX0-kHA/edit?usp=sharing"",""แผน!W24"")"),3)</f>
        <v>3</v>
      </c>
      <c r="J146" s="214">
        <v>3</v>
      </c>
      <c r="K146" s="465">
        <f t="shared" ca="1" si="75"/>
        <v>100</v>
      </c>
      <c r="L146" s="465"/>
      <c r="M146" s="465"/>
      <c r="N146" s="465"/>
      <c r="O146" s="465"/>
      <c r="P146" s="465"/>
    </row>
    <row r="147" spans="1:26" ht="19.5" hidden="1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 hidden="1">
      <c r="A148" s="216"/>
      <c r="B148" s="208" t="s">
        <v>77</v>
      </c>
      <c r="C148" s="208"/>
      <c r="D148" s="208"/>
      <c r="E148" s="819"/>
      <c r="F148" s="218"/>
      <c r="G148" s="219"/>
      <c r="H148" s="220" t="s">
        <v>35</v>
      </c>
      <c r="I148" s="144">
        <f t="shared" ref="I148:J148" ca="1" si="76">I159</f>
        <v>0</v>
      </c>
      <c r="J148" s="144">
        <f t="shared" si="76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1"/>
      <c r="R148" s="221"/>
      <c r="S148" s="221"/>
      <c r="T148" s="221"/>
      <c r="U148" s="221"/>
      <c r="V148" s="221"/>
      <c r="W148" s="221"/>
      <c r="X148" s="221"/>
      <c r="Y148" s="221"/>
      <c r="Z148" s="221"/>
    </row>
    <row r="149" spans="1:26" ht="19.5" hidden="1">
      <c r="A149" s="147"/>
      <c r="B149" s="148"/>
      <c r="C149" s="149" t="s">
        <v>16</v>
      </c>
      <c r="D149" s="817" t="s">
        <v>17</v>
      </c>
      <c r="E149" s="148"/>
      <c r="F149" s="148"/>
      <c r="G149" s="151"/>
      <c r="H149" s="152" t="s">
        <v>12</v>
      </c>
      <c r="I149" s="388"/>
      <c r="J149" s="388"/>
      <c r="K149" s="154"/>
      <c r="L149" s="155">
        <f t="shared" ref="L149:N149" ca="1" si="77">L150+L151</f>
        <v>0</v>
      </c>
      <c r="M149" s="155">
        <f t="shared" ca="1" si="77"/>
        <v>0</v>
      </c>
      <c r="N149" s="155">
        <f t="shared" ca="1" si="77"/>
        <v>0</v>
      </c>
      <c r="O149" s="155">
        <f t="shared" ref="O149:O157" ca="1" si="78">IF(L149&gt;0,N149*100/L149,0)</f>
        <v>0</v>
      </c>
      <c r="P149" s="155">
        <f t="shared" ref="P149:P157" ca="1" si="79">IF(M149&gt;0,N149*100/M149,0)</f>
        <v>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2" t="s">
        <v>18</v>
      </c>
      <c r="F150" s="40"/>
      <c r="G150" s="157"/>
      <c r="H150" s="158" t="s">
        <v>12</v>
      </c>
      <c r="I150" s="583"/>
      <c r="J150" s="583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2" t="s">
        <v>19</v>
      </c>
      <c r="F151" s="40"/>
      <c r="G151" s="157"/>
      <c r="H151" s="158" t="s">
        <v>12</v>
      </c>
      <c r="I151" s="583"/>
      <c r="J151" s="583"/>
      <c r="K151" s="93"/>
      <c r="L151" s="93">
        <f t="shared" ca="1" si="80"/>
        <v>0</v>
      </c>
      <c r="M151" s="93">
        <f t="shared" ca="1" si="80"/>
        <v>0</v>
      </c>
      <c r="N151" s="93">
        <f t="shared" ca="1" si="80"/>
        <v>0</v>
      </c>
      <c r="O151" s="93">
        <f t="shared" ca="1" si="78"/>
        <v>0</v>
      </c>
      <c r="P151" s="93">
        <f t="shared" ca="1" si="79"/>
        <v>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 hidden="1">
      <c r="A152" s="159"/>
      <c r="B152" s="33"/>
      <c r="C152" s="281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65">
        <f t="shared" ref="L152:N152" ca="1" si="81">L153+L154</f>
        <v>0</v>
      </c>
      <c r="M152" s="465">
        <f t="shared" ca="1" si="81"/>
        <v>0</v>
      </c>
      <c r="N152" s="465">
        <f t="shared" ca="1" si="81"/>
        <v>0</v>
      </c>
      <c r="O152" s="465">
        <f t="shared" ca="1" si="78"/>
        <v>0</v>
      </c>
      <c r="P152" s="465">
        <f t="shared" ca="1" si="79"/>
        <v>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2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2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IFERROR(__xludf.DUMMYFUNCTION("IMPORTRANGE(""https://docs.google.com/spreadsheets/d/1MeEWN-I1oV_STSDYn1IFDPWt_1FKiwhDph83XaGc0o0/edit?usp=sharing"",""งบพรบ!BU24"")"),0)</f>
        <v>0</v>
      </c>
      <c r="M154" s="93">
        <f ca="1">IFERROR(__xludf.DUMMYFUNCTION("IMPORTRANGE(""https://docs.google.com/spreadsheets/d/1MeEWN-I1oV_STSDYn1IFDPWt_1FKiwhDph83XaGc0o0/edit?usp=sharing"",""งบพรบ!BZ24"")"),0)</f>
        <v>0</v>
      </c>
      <c r="N154" s="93">
        <f ca="1">IFERROR(__xludf.DUMMYFUNCTION("IMPORTRANGE(""https://docs.google.com/spreadsheets/d/1MeEWN-I1oV_STSDYn1IFDPWt_1FKiwhDph83XaGc0o0/edit?usp=sharing"",""งบพรบ!CB24"")"),0)</f>
        <v>0</v>
      </c>
      <c r="O154" s="93">
        <f t="shared" ca="1" si="78"/>
        <v>0</v>
      </c>
      <c r="P154" s="93">
        <f t="shared" ca="1" si="79"/>
        <v>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 hidden="1">
      <c r="A155" s="159"/>
      <c r="B155" s="33"/>
      <c r="C155" s="281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65">
        <f t="shared" ref="L155:N155" ca="1" si="82">L156+L157</f>
        <v>0</v>
      </c>
      <c r="M155" s="465">
        <f t="shared" ca="1" si="82"/>
        <v>0</v>
      </c>
      <c r="N155" s="465">
        <f t="shared" ca="1" si="82"/>
        <v>0</v>
      </c>
      <c r="O155" s="465">
        <f t="shared" ca="1" si="78"/>
        <v>0</v>
      </c>
      <c r="P155" s="465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2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2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IFERROR(__xludf.DUMMYFUNCTION("IMPORTRANGE(""https://docs.google.com/spreadsheets/d/1MeEWN-I1oV_STSDYn1IFDPWt_1FKiwhDph83XaGc0o0/edit?usp=sharing"",""งบพรบ!BX24"")"),0)</f>
        <v>0</v>
      </c>
      <c r="M157" s="93">
        <f ca="1">IFERROR(__xludf.DUMMYFUNCTION("IMPORTRANGE(""https://docs.google.com/spreadsheets/d/1MeEWN-I1oV_STSDYn1IFDPWt_1FKiwhDph83XaGc0o0/edit?usp=sharing"",""งบพรบ!CA24"")"),0)</f>
        <v>0</v>
      </c>
      <c r="N157" s="93">
        <f ca="1">IFERROR(__xludf.DUMMYFUNCTION("IMPORTRANGE(""https://docs.google.com/spreadsheets/d/1MeEWN-I1oV_STSDYn1IFDPWt_1FKiwhDph83XaGc0o0/edit?usp=sharing"",""งบพรบ!CC24"")"),0)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 hidden="1">
      <c r="A158" s="170"/>
      <c r="B158" s="171"/>
      <c r="C158" s="164" t="s">
        <v>16</v>
      </c>
      <c r="D158" s="818" t="s">
        <v>38</v>
      </c>
      <c r="E158" s="173"/>
      <c r="F158" s="173"/>
      <c r="G158" s="174"/>
      <c r="H158" s="168"/>
      <c r="I158" s="269"/>
      <c r="J158" s="269"/>
      <c r="K158" s="465"/>
      <c r="L158" s="465"/>
      <c r="M158" s="465"/>
      <c r="N158" s="465"/>
      <c r="O158" s="465"/>
      <c r="P158" s="465"/>
    </row>
    <row r="159" spans="1:26" ht="19.5" hidden="1">
      <c r="A159" s="159"/>
      <c r="B159" s="33"/>
      <c r="C159" s="210"/>
      <c r="D159" s="281" t="s">
        <v>78</v>
      </c>
      <c r="E159" s="34"/>
      <c r="F159" s="33"/>
      <c r="G159" s="213"/>
      <c r="H159" s="168" t="s">
        <v>35</v>
      </c>
      <c r="I159" s="269">
        <f ca="1">IFERROR(__xludf.DUMMYFUNCTION("IMPORTRANGE(""https://docs.google.com/spreadsheets/d/1QqKyyYR6Q21VydFLVH3TRQUabQu_ym0Zz7PgGX0-kHA/edit?usp=sharing"",""แผน!X24"")"),0)</f>
        <v>0</v>
      </c>
      <c r="J159" s="214">
        <v>0</v>
      </c>
      <c r="K159" s="465">
        <f ca="1">IF(I159&gt;0,J159*100/I159,0)</f>
        <v>0</v>
      </c>
      <c r="L159" s="465"/>
      <c r="M159" s="465"/>
      <c r="N159" s="465"/>
      <c r="O159" s="465"/>
      <c r="P159" s="465"/>
    </row>
    <row r="160" spans="1:26" ht="19.5" hidden="1">
      <c r="A160" s="156"/>
      <c r="B160" s="40"/>
      <c r="C160" s="164"/>
      <c r="D160" s="222" t="s">
        <v>79</v>
      </c>
      <c r="E160" s="223"/>
      <c r="F160" s="40"/>
      <c r="G160" s="157"/>
      <c r="H160" s="169" t="s">
        <v>35</v>
      </c>
      <c r="I160" s="583"/>
      <c r="J160" s="583"/>
      <c r="K160" s="93"/>
      <c r="L160" s="93"/>
      <c r="M160" s="93"/>
      <c r="N160" s="93"/>
      <c r="O160" s="93"/>
      <c r="P160" s="93"/>
      <c r="Q160" s="224"/>
      <c r="R160" s="224"/>
      <c r="S160" s="224"/>
      <c r="T160" s="224"/>
      <c r="U160" s="224"/>
      <c r="V160" s="224"/>
      <c r="W160" s="224"/>
      <c r="X160" s="224"/>
      <c r="Y160" s="224"/>
      <c r="Z160" s="224"/>
    </row>
    <row r="161" spans="1:26" ht="19.5" hidden="1">
      <c r="A161" s="225"/>
      <c r="B161" s="226"/>
      <c r="C161" s="227"/>
      <c r="D161" s="228" t="s">
        <v>80</v>
      </c>
      <c r="E161" s="820"/>
      <c r="F161" s="226"/>
      <c r="G161" s="230"/>
      <c r="H161" s="231" t="s">
        <v>35</v>
      </c>
      <c r="I161" s="232"/>
      <c r="J161" s="232"/>
      <c r="K161" s="233"/>
      <c r="L161" s="233"/>
      <c r="M161" s="233"/>
      <c r="N161" s="233"/>
      <c r="O161" s="233"/>
      <c r="P161" s="233"/>
      <c r="Q161" s="224"/>
      <c r="R161" s="224"/>
      <c r="S161" s="224"/>
      <c r="T161" s="224"/>
      <c r="U161" s="224"/>
      <c r="V161" s="224"/>
      <c r="W161" s="224"/>
      <c r="X161" s="224"/>
      <c r="Y161" s="224"/>
      <c r="Z161" s="224"/>
    </row>
    <row r="162" spans="1:26" ht="19.5">
      <c r="A162" s="234" t="s">
        <v>81</v>
      </c>
      <c r="B162" s="235"/>
      <c r="C162" s="235"/>
      <c r="D162" s="235"/>
      <c r="E162" s="236"/>
      <c r="F162" s="236"/>
      <c r="G162" s="237"/>
      <c r="H162" s="238"/>
      <c r="I162" s="239"/>
      <c r="J162" s="239"/>
      <c r="K162" s="240"/>
      <c r="L162" s="240"/>
      <c r="M162" s="240"/>
      <c r="N162" s="240"/>
      <c r="O162" s="240"/>
      <c r="P162" s="240"/>
    </row>
    <row r="163" spans="1:26" ht="19.5">
      <c r="A163" s="241" t="s">
        <v>82</v>
      </c>
      <c r="B163" s="242"/>
      <c r="C163" s="242"/>
      <c r="D163" s="243"/>
      <c r="E163" s="243"/>
      <c r="F163" s="243"/>
      <c r="G163" s="244"/>
      <c r="H163" s="245"/>
      <c r="I163" s="246"/>
      <c r="J163" s="246"/>
      <c r="K163" s="247"/>
      <c r="L163" s="247"/>
      <c r="M163" s="247"/>
      <c r="N163" s="247"/>
      <c r="O163" s="247"/>
      <c r="P163" s="247"/>
    </row>
    <row r="164" spans="1:26" ht="19.5">
      <c r="A164" s="248"/>
      <c r="B164" s="249" t="s">
        <v>83</v>
      </c>
      <c r="C164" s="250"/>
      <c r="D164" s="173"/>
      <c r="E164" s="173"/>
      <c r="F164" s="173"/>
      <c r="G164" s="174"/>
      <c r="H164" s="251" t="s">
        <v>35</v>
      </c>
      <c r="I164" s="252">
        <f t="shared" ref="I164:J164" ca="1" si="83">I174+I177</f>
        <v>10</v>
      </c>
      <c r="J164" s="252">
        <f t="shared" si="83"/>
        <v>0</v>
      </c>
      <c r="K164" s="253">
        <f ca="1">IF(I164&gt;0,J164*100/I164,0)</f>
        <v>0</v>
      </c>
      <c r="L164" s="254"/>
      <c r="M164" s="254"/>
      <c r="N164" s="254"/>
      <c r="O164" s="254"/>
      <c r="P164" s="254"/>
    </row>
    <row r="165" spans="1:26" ht="19.5">
      <c r="A165" s="147"/>
      <c r="B165" s="148"/>
      <c r="C165" s="149" t="s">
        <v>16</v>
      </c>
      <c r="D165" s="817" t="s">
        <v>17</v>
      </c>
      <c r="E165" s="148"/>
      <c r="F165" s="148"/>
      <c r="G165" s="151"/>
      <c r="H165" s="152" t="s">
        <v>12</v>
      </c>
      <c r="I165" s="388"/>
      <c r="J165" s="388"/>
      <c r="K165" s="154"/>
      <c r="L165" s="155">
        <f t="shared" ref="L165:N165" ca="1" si="84">L166+L167</f>
        <v>21050</v>
      </c>
      <c r="M165" s="155">
        <f t="shared" ca="1" si="84"/>
        <v>21050</v>
      </c>
      <c r="N165" s="155">
        <f t="shared" ca="1" si="84"/>
        <v>16200</v>
      </c>
      <c r="O165" s="155">
        <f t="shared" ref="O165:O173" ca="1" si="85">IF(L165&gt;0,N165*100/L165,0)</f>
        <v>76.959619952494066</v>
      </c>
      <c r="P165" s="155">
        <f t="shared" ref="P165:P173" ca="1" si="86">IF(M165&gt;0,N165*100/M165,0)</f>
        <v>76.959619952494066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2" t="s">
        <v>18</v>
      </c>
      <c r="F166" s="40"/>
      <c r="G166" s="157"/>
      <c r="H166" s="158" t="s">
        <v>12</v>
      </c>
      <c r="I166" s="583"/>
      <c r="J166" s="583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2" t="s">
        <v>19</v>
      </c>
      <c r="F167" s="40"/>
      <c r="G167" s="157"/>
      <c r="H167" s="158" t="s">
        <v>12</v>
      </c>
      <c r="I167" s="583"/>
      <c r="J167" s="583"/>
      <c r="K167" s="93"/>
      <c r="L167" s="93">
        <f t="shared" ca="1" si="87"/>
        <v>21050</v>
      </c>
      <c r="M167" s="93">
        <f t="shared" ca="1" si="87"/>
        <v>21050</v>
      </c>
      <c r="N167" s="93">
        <f t="shared" ca="1" si="87"/>
        <v>16200</v>
      </c>
      <c r="O167" s="93">
        <f t="shared" ca="1" si="85"/>
        <v>76.959619952494066</v>
      </c>
      <c r="P167" s="93">
        <f t="shared" ca="1" si="86"/>
        <v>76.959619952494066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1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65">
        <f t="shared" ref="L168:N168" ca="1" si="88">L169+L170</f>
        <v>21050</v>
      </c>
      <c r="M168" s="465">
        <f t="shared" ca="1" si="88"/>
        <v>21050</v>
      </c>
      <c r="N168" s="465">
        <f t="shared" ca="1" si="88"/>
        <v>16200</v>
      </c>
      <c r="O168" s="465">
        <f t="shared" ca="1" si="85"/>
        <v>76.959619952494066</v>
      </c>
      <c r="P168" s="465">
        <f t="shared" ca="1" si="86"/>
        <v>76.959619952494066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2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2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IFERROR(__xludf.DUMMYFUNCTION("IMPORTRANGE(""https://docs.google.com/spreadsheets/d/1MeEWN-I1oV_STSDYn1IFDPWt_1FKiwhDph83XaGc0o0/edit?usp=sharing"",""งบพรบ!CE24"")"),21050)</f>
        <v>21050</v>
      </c>
      <c r="M170" s="93">
        <f ca="1">IFERROR(__xludf.DUMMYFUNCTION("IMPORTRANGE(""https://docs.google.com/spreadsheets/d/1MeEWN-I1oV_STSDYn1IFDPWt_1FKiwhDph83XaGc0o0/edit?usp=sharing"",""งบพรบ!CJ24"")"),21050)</f>
        <v>21050</v>
      </c>
      <c r="N170" s="93">
        <f ca="1">IFERROR(__xludf.DUMMYFUNCTION("IMPORTRANGE(""https://docs.google.com/spreadsheets/d/1MeEWN-I1oV_STSDYn1IFDPWt_1FKiwhDph83XaGc0o0/edit?usp=sharing"",""งบพรบ!CL24"")"),16200)</f>
        <v>16200</v>
      </c>
      <c r="O170" s="93">
        <f t="shared" ca="1" si="85"/>
        <v>76.959619952494066</v>
      </c>
      <c r="P170" s="93">
        <f t="shared" ca="1" si="86"/>
        <v>76.959619952494066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1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65">
        <f t="shared" ref="L171:N171" ca="1" si="89">L172+L173</f>
        <v>0</v>
      </c>
      <c r="M171" s="465">
        <f t="shared" ca="1" si="89"/>
        <v>0</v>
      </c>
      <c r="N171" s="465">
        <f t="shared" ca="1" si="89"/>
        <v>0</v>
      </c>
      <c r="O171" s="465">
        <f t="shared" ca="1" si="85"/>
        <v>0</v>
      </c>
      <c r="P171" s="465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2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2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IFERROR(__xludf.DUMMYFUNCTION("IMPORTRANGE(""https://docs.google.com/spreadsheets/d/1MeEWN-I1oV_STSDYn1IFDPWt_1FKiwhDph83XaGc0o0/edit?usp=sharing"",""งบพรบ!CH24"")"),0)</f>
        <v>0</v>
      </c>
      <c r="M173" s="93">
        <f ca="1">IFERROR(__xludf.DUMMYFUNCTION("IMPORTRANGE(""https://docs.google.com/spreadsheets/d/1MeEWN-I1oV_STSDYn1IFDPWt_1FKiwhDph83XaGc0o0/edit?usp=sharing"",""งบพรบ!CK24"")"),0)</f>
        <v>0</v>
      </c>
      <c r="N173" s="93">
        <f ca="1">IFERROR(__xludf.DUMMYFUNCTION("IMPORTRANGE(""https://docs.google.com/spreadsheets/d/1MeEWN-I1oV_STSDYn1IFDPWt_1FKiwhDph83XaGc0o0/edit?usp=sharing"",""งบพรบ!CM24"")"),0)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5"/>
      <c r="B174" s="256"/>
      <c r="C174" s="257" t="s">
        <v>84</v>
      </c>
      <c r="D174" s="256"/>
      <c r="E174" s="256"/>
      <c r="F174" s="256"/>
      <c r="G174" s="258"/>
      <c r="H174" s="259" t="s">
        <v>35</v>
      </c>
      <c r="I174" s="260">
        <f t="shared" ref="I174:J174" ca="1" si="90">I176</f>
        <v>10</v>
      </c>
      <c r="J174" s="260">
        <f t="shared" si="90"/>
        <v>0</v>
      </c>
      <c r="K174" s="261">
        <f ca="1">IF(I174&gt;0,J174*100/I174,0)</f>
        <v>0</v>
      </c>
      <c r="L174" s="261"/>
      <c r="M174" s="261"/>
      <c r="N174" s="261"/>
      <c r="O174" s="261"/>
      <c r="P174" s="261"/>
    </row>
    <row r="175" spans="1:26" ht="19.5">
      <c r="A175" s="170"/>
      <c r="B175" s="171"/>
      <c r="C175" s="164" t="s">
        <v>16</v>
      </c>
      <c r="D175" s="818" t="s">
        <v>38</v>
      </c>
      <c r="E175" s="173"/>
      <c r="F175" s="173"/>
      <c r="G175" s="174"/>
      <c r="H175" s="726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10" t="s">
        <v>85</v>
      </c>
      <c r="E176" s="342"/>
      <c r="F176" s="342"/>
      <c r="G176" s="179"/>
      <c r="H176" s="589" t="s">
        <v>35</v>
      </c>
      <c r="I176" s="269">
        <f ca="1">IFERROR(__xludf.DUMMYFUNCTION("IMPORTRANGE(""https://docs.google.com/spreadsheets/d/1QqKyyYR6Q21VydFLVH3TRQUabQu_ym0Zz7PgGX0-kHA/edit?usp=sharing"",""แผน!Y24"")"),10)</f>
        <v>10</v>
      </c>
      <c r="J176" s="214">
        <v>0</v>
      </c>
      <c r="K176" s="163">
        <f ca="1">IF(I176&gt;0,J176*100/I176,0)</f>
        <v>0</v>
      </c>
      <c r="L176" s="163"/>
      <c r="M176" s="163"/>
      <c r="N176" s="163"/>
      <c r="O176" s="163"/>
      <c r="P176" s="163"/>
    </row>
    <row r="177" spans="1:26" ht="19.5" hidden="1">
      <c r="A177" s="255"/>
      <c r="B177" s="263"/>
      <c r="C177" s="264" t="s">
        <v>86</v>
      </c>
      <c r="D177" s="263"/>
      <c r="E177" s="256"/>
      <c r="F177" s="256"/>
      <c r="G177" s="258"/>
      <c r="H177" s="265" t="s">
        <v>35</v>
      </c>
      <c r="I177" s="260"/>
      <c r="J177" s="260">
        <f>J179</f>
        <v>0</v>
      </c>
      <c r="K177" s="261"/>
      <c r="L177" s="261"/>
      <c r="M177" s="261"/>
      <c r="N177" s="261"/>
      <c r="O177" s="261"/>
      <c r="P177" s="261"/>
    </row>
    <row r="178" spans="1:26" ht="19.5" hidden="1">
      <c r="A178" s="170"/>
      <c r="B178" s="171"/>
      <c r="C178" s="164" t="s">
        <v>16</v>
      </c>
      <c r="D178" s="266" t="s">
        <v>38</v>
      </c>
      <c r="E178" s="173"/>
      <c r="F178" s="173"/>
      <c r="G178" s="174"/>
      <c r="H178" s="726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267" t="s">
        <v>87</v>
      </c>
      <c r="E179" s="342"/>
      <c r="F179" s="268"/>
      <c r="G179" s="179"/>
      <c r="H179" s="43" t="s">
        <v>35</v>
      </c>
      <c r="I179" s="269"/>
      <c r="J179" s="269"/>
      <c r="K179" s="163"/>
      <c r="L179" s="163"/>
      <c r="M179" s="163"/>
      <c r="N179" s="163"/>
      <c r="O179" s="163"/>
      <c r="P179" s="163"/>
    </row>
    <row r="180" spans="1:26" ht="19.5">
      <c r="A180" s="248"/>
      <c r="B180" s="249" t="s">
        <v>88</v>
      </c>
      <c r="C180" s="250"/>
      <c r="D180" s="173"/>
      <c r="E180" s="173"/>
      <c r="F180" s="173"/>
      <c r="G180" s="174"/>
      <c r="H180" s="251" t="s">
        <v>35</v>
      </c>
      <c r="I180" s="821"/>
      <c r="J180" s="821">
        <f>J225+J226</f>
        <v>0</v>
      </c>
      <c r="K180" s="254">
        <f>IF(I180&gt;0,J180*100/I180,0)</f>
        <v>0</v>
      </c>
      <c r="L180" s="254"/>
      <c r="M180" s="254"/>
      <c r="N180" s="254"/>
      <c r="O180" s="254"/>
      <c r="P180" s="254"/>
    </row>
    <row r="181" spans="1:26" ht="19.5">
      <c r="A181" s="147"/>
      <c r="B181" s="148"/>
      <c r="C181" s="149" t="s">
        <v>16</v>
      </c>
      <c r="D181" s="817" t="s">
        <v>17</v>
      </c>
      <c r="E181" s="148"/>
      <c r="F181" s="148"/>
      <c r="G181" s="151"/>
      <c r="H181" s="152" t="s">
        <v>12</v>
      </c>
      <c r="I181" s="388"/>
      <c r="J181" s="388"/>
      <c r="K181" s="154"/>
      <c r="L181" s="155">
        <f t="shared" ref="L181:N181" ca="1" si="91">L182+L183</f>
        <v>47000</v>
      </c>
      <c r="M181" s="155">
        <f t="shared" ca="1" si="91"/>
        <v>21000</v>
      </c>
      <c r="N181" s="155">
        <f t="shared" ca="1" si="91"/>
        <v>1380</v>
      </c>
      <c r="O181" s="155">
        <f t="shared" ref="O181:O189" ca="1" si="92">IF(L181&gt;0,N181*100/L181,0)</f>
        <v>2.9361702127659575</v>
      </c>
      <c r="P181" s="155">
        <f t="shared" ref="P181:P189" ca="1" si="93">IF(M181&gt;0,N181*100/M181,0)</f>
        <v>6.5714285714285712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2" t="s">
        <v>18</v>
      </c>
      <c r="F182" s="40"/>
      <c r="G182" s="157"/>
      <c r="H182" s="158" t="s">
        <v>12</v>
      </c>
      <c r="I182" s="583"/>
      <c r="J182" s="583"/>
      <c r="K182" s="93"/>
      <c r="L182" s="93">
        <f t="shared" ref="L182:N183" si="94">L185+L188</f>
        <v>0</v>
      </c>
      <c r="M182" s="93">
        <f t="shared" si="94"/>
        <v>0</v>
      </c>
      <c r="N182" s="93">
        <f t="shared" si="94"/>
        <v>0</v>
      </c>
      <c r="O182" s="93">
        <f t="shared" si="92"/>
        <v>0</v>
      </c>
      <c r="P182" s="93">
        <f t="shared" si="93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2" t="s">
        <v>19</v>
      </c>
      <c r="F183" s="40"/>
      <c r="G183" s="157"/>
      <c r="H183" s="158" t="s">
        <v>12</v>
      </c>
      <c r="I183" s="583"/>
      <c r="J183" s="583"/>
      <c r="K183" s="93"/>
      <c r="L183" s="93">
        <f t="shared" ca="1" si="94"/>
        <v>47000</v>
      </c>
      <c r="M183" s="93">
        <f t="shared" ca="1" si="94"/>
        <v>21000</v>
      </c>
      <c r="N183" s="93">
        <f t="shared" ca="1" si="94"/>
        <v>1380</v>
      </c>
      <c r="O183" s="93">
        <f t="shared" ca="1" si="92"/>
        <v>2.9361702127659575</v>
      </c>
      <c r="P183" s="93">
        <f t="shared" ca="1" si="93"/>
        <v>6.5714285714285712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1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65">
        <f t="shared" ref="L184:N184" ca="1" si="95">L185+L186</f>
        <v>47000</v>
      </c>
      <c r="M184" s="465">
        <f t="shared" ca="1" si="95"/>
        <v>21000</v>
      </c>
      <c r="N184" s="465">
        <f t="shared" ca="1" si="95"/>
        <v>1380</v>
      </c>
      <c r="O184" s="465">
        <f t="shared" ca="1" si="92"/>
        <v>2.9361702127659575</v>
      </c>
      <c r="P184" s="465">
        <f t="shared" ca="1" si="93"/>
        <v>6.5714285714285712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2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2"/>
        <v>0</v>
      </c>
      <c r="P185" s="93">
        <f t="shared" si="93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2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IFERROR(__xludf.DUMMYFUNCTION("IMPORTRANGE(""https://docs.google.com/spreadsheets/d/1MeEWN-I1oV_STSDYn1IFDPWt_1FKiwhDph83XaGc0o0/edit?usp=sharing"",""งบพรบ!CO24"")"),47000)</f>
        <v>47000</v>
      </c>
      <c r="M186" s="93">
        <f ca="1">IFERROR(__xludf.DUMMYFUNCTION("IMPORTRANGE(""https://docs.google.com/spreadsheets/d/1MeEWN-I1oV_STSDYn1IFDPWt_1FKiwhDph83XaGc0o0/edit?usp=sharing"",""งบพรบ!CT24"")"),21000)</f>
        <v>21000</v>
      </c>
      <c r="N186" s="93">
        <f ca="1">IFERROR(__xludf.DUMMYFUNCTION("IMPORTRANGE(""https://docs.google.com/spreadsheets/d/1MeEWN-I1oV_STSDYn1IFDPWt_1FKiwhDph83XaGc0o0/edit?usp=sharing"",""งบพรบ!CV24"")"),1380)</f>
        <v>1380</v>
      </c>
      <c r="O186" s="93">
        <f t="shared" ca="1" si="92"/>
        <v>2.9361702127659575</v>
      </c>
      <c r="P186" s="93">
        <f t="shared" ca="1" si="93"/>
        <v>6.5714285714285712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1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65">
        <f t="shared" ref="L187:N187" ca="1" si="96">L188+L189</f>
        <v>0</v>
      </c>
      <c r="M187" s="465">
        <f t="shared" ca="1" si="96"/>
        <v>0</v>
      </c>
      <c r="N187" s="465">
        <f t="shared" ca="1" si="96"/>
        <v>0</v>
      </c>
      <c r="O187" s="465">
        <f t="shared" ca="1" si="92"/>
        <v>0</v>
      </c>
      <c r="P187" s="465">
        <f t="shared" ca="1" si="93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2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2"/>
        <v>0</v>
      </c>
      <c r="P188" s="93">
        <f t="shared" si="93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2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IFERROR(__xludf.DUMMYFUNCTION("IMPORTRANGE(""https://docs.google.com/spreadsheets/d/1MeEWN-I1oV_STSDYn1IFDPWt_1FKiwhDph83XaGc0o0/edit?usp=sharing"",""งบพรบ!CR24"")"),0)</f>
        <v>0</v>
      </c>
      <c r="M189" s="93">
        <f ca="1">IFERROR(__xludf.DUMMYFUNCTION("IMPORTRANGE(""https://docs.google.com/spreadsheets/d/1MeEWN-I1oV_STSDYn1IFDPWt_1FKiwhDph83XaGc0o0/edit?usp=sharing"",""งบพรบ!CU24"")"),0)</f>
        <v>0</v>
      </c>
      <c r="N189" s="93">
        <f ca="1">IFERROR(__xludf.DUMMYFUNCTION("IMPORTRANGE(""https://docs.google.com/spreadsheets/d/1MeEWN-I1oV_STSDYn1IFDPWt_1FKiwhDph83XaGc0o0/edit?usp=sharing"",""งบพรบ!CW24"")"),0)</f>
        <v>0</v>
      </c>
      <c r="O189" s="93">
        <f t="shared" ca="1" si="92"/>
        <v>0</v>
      </c>
      <c r="P189" s="93">
        <f t="shared" ca="1" si="93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5"/>
      <c r="B190" s="263"/>
      <c r="C190" s="339" t="s">
        <v>89</v>
      </c>
      <c r="D190" s="256"/>
      <c r="E190" s="256"/>
      <c r="F190" s="256"/>
      <c r="G190" s="258"/>
      <c r="H190" s="259" t="s">
        <v>90</v>
      </c>
      <c r="I190" s="271">
        <f t="shared" ref="I190:J190" ca="1" si="97">I193</f>
        <v>4</v>
      </c>
      <c r="J190" s="271">
        <f t="shared" si="97"/>
        <v>0</v>
      </c>
      <c r="K190" s="272">
        <f ca="1">IF(I190&gt;0,J190*100/I190,0)</f>
        <v>0</v>
      </c>
      <c r="L190" s="261"/>
      <c r="M190" s="261"/>
      <c r="N190" s="261"/>
      <c r="O190" s="261"/>
      <c r="P190" s="261"/>
    </row>
    <row r="191" spans="1:26" ht="19.5">
      <c r="A191" s="147"/>
      <c r="B191" s="148"/>
      <c r="C191" s="149" t="s">
        <v>16</v>
      </c>
      <c r="D191" s="822" t="s">
        <v>17</v>
      </c>
      <c r="E191" s="148"/>
      <c r="F191" s="148"/>
      <c r="G191" s="151"/>
      <c r="H191" s="274" t="s">
        <v>12</v>
      </c>
      <c r="I191" s="388"/>
      <c r="J191" s="388"/>
      <c r="K191" s="154"/>
      <c r="L191" s="155">
        <f ca="1">IFERROR(__xludf.DUMMYFUNCTION("IMPORTRANGE(""https://docs.google.com/spreadsheets/d/1QqKyyYR6Q21VydFLVH3TRQUabQu_ym0Zz7PgGX0-kHA/edit?usp=sharing"",""แผน!Z24"")"),6000)</f>
        <v>6000</v>
      </c>
      <c r="M191" s="155"/>
      <c r="N191" s="275">
        <v>0</v>
      </c>
      <c r="O191" s="155">
        <f ca="1">IF(L191&gt;0,N191*100/L191,0)</f>
        <v>0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0" t="s">
        <v>16</v>
      </c>
      <c r="D192" s="818" t="s">
        <v>38</v>
      </c>
      <c r="E192" s="173"/>
      <c r="F192" s="173"/>
      <c r="G192" s="174"/>
      <c r="H192" s="726"/>
      <c r="I192" s="269"/>
      <c r="J192" s="269"/>
      <c r="K192" s="465"/>
      <c r="L192" s="465"/>
      <c r="M192" s="465"/>
      <c r="N192" s="465"/>
      <c r="O192" s="465"/>
      <c r="P192" s="465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15" t="s">
        <v>91</v>
      </c>
      <c r="E193" s="342"/>
      <c r="F193" s="342"/>
      <c r="G193" s="179"/>
      <c r="H193" s="728" t="s">
        <v>90</v>
      </c>
      <c r="I193" s="269">
        <f ca="1">IFERROR(__xludf.DUMMYFUNCTION("IMPORTRANGE(""https://docs.google.com/spreadsheets/d/1QqKyyYR6Q21VydFLVH3TRQUabQu_ym0Zz7PgGX0-kHA/edit?usp=sharing"",""แผน!AC24"")"),4)</f>
        <v>4</v>
      </c>
      <c r="J193" s="214">
        <v>0</v>
      </c>
      <c r="K193" s="465">
        <f ca="1">IF(I193&gt;0,J193*100/I193,0)</f>
        <v>0</v>
      </c>
      <c r="L193" s="465"/>
      <c r="M193" s="465"/>
      <c r="N193" s="465"/>
      <c r="O193" s="465"/>
      <c r="P193" s="465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15" t="s">
        <v>92</v>
      </c>
      <c r="E194" s="342"/>
      <c r="F194" s="342"/>
      <c r="G194" s="179"/>
      <c r="H194" s="276" t="s">
        <v>35</v>
      </c>
      <c r="I194" s="269"/>
      <c r="J194" s="269">
        <f>J195+J196</f>
        <v>0</v>
      </c>
      <c r="K194" s="465"/>
      <c r="L194" s="465"/>
      <c r="M194" s="465"/>
      <c r="N194" s="465"/>
      <c r="O194" s="465"/>
      <c r="P194" s="465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15" t="s">
        <v>93</v>
      </c>
      <c r="F195" s="342"/>
      <c r="G195" s="179"/>
      <c r="H195" s="276" t="s">
        <v>35</v>
      </c>
      <c r="I195" s="269"/>
      <c r="J195" s="214">
        <v>0</v>
      </c>
      <c r="K195" s="465"/>
      <c r="L195" s="465"/>
      <c r="M195" s="465"/>
      <c r="N195" s="465"/>
      <c r="O195" s="465"/>
      <c r="P195" s="465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15" t="s">
        <v>94</v>
      </c>
      <c r="F196" s="342"/>
      <c r="G196" s="179"/>
      <c r="H196" s="276" t="s">
        <v>35</v>
      </c>
      <c r="I196" s="269"/>
      <c r="J196" s="214">
        <v>0</v>
      </c>
      <c r="K196" s="465"/>
      <c r="L196" s="465"/>
      <c r="M196" s="465"/>
      <c r="N196" s="465"/>
      <c r="O196" s="465"/>
      <c r="P196" s="465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5"/>
      <c r="B197" s="263"/>
      <c r="C197" s="339" t="s">
        <v>95</v>
      </c>
      <c r="D197" s="256"/>
      <c r="E197" s="256"/>
      <c r="F197" s="256"/>
      <c r="G197" s="258"/>
      <c r="H197" s="277" t="s">
        <v>96</v>
      </c>
      <c r="I197" s="271">
        <f t="shared" ref="I197:J197" ca="1" si="98">I204</f>
        <v>2</v>
      </c>
      <c r="J197" s="271">
        <f t="shared" si="98"/>
        <v>0</v>
      </c>
      <c r="K197" s="272">
        <f ca="1">IF(I197&gt;0,J197*100/I197,0)</f>
        <v>0</v>
      </c>
      <c r="L197" s="261"/>
      <c r="M197" s="261"/>
      <c r="N197" s="261"/>
      <c r="O197" s="261"/>
      <c r="P197" s="261"/>
    </row>
    <row r="198" spans="1:26" ht="19.5">
      <c r="A198" s="147"/>
      <c r="B198" s="148"/>
      <c r="C198" s="149" t="s">
        <v>16</v>
      </c>
      <c r="D198" s="822" t="s">
        <v>17</v>
      </c>
      <c r="E198" s="148"/>
      <c r="F198" s="148"/>
      <c r="G198" s="151"/>
      <c r="H198" s="274" t="s">
        <v>12</v>
      </c>
      <c r="I198" s="387"/>
      <c r="J198" s="387"/>
      <c r="K198" s="279"/>
      <c r="L198" s="155">
        <f ca="1">L199+L200+L201+L202</f>
        <v>26000</v>
      </c>
      <c r="M198" s="155"/>
      <c r="N198" s="155">
        <f>N199+N200+N201+N202</f>
        <v>0</v>
      </c>
      <c r="O198" s="155">
        <f ca="1">IF(L198&gt;0,N198*100/L198,0)</f>
        <v>0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0"/>
      <c r="C199" s="33"/>
      <c r="D199" s="281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65">
        <f ca="1">IFERROR(__xludf.DUMMYFUNCTION("IMPORTRANGE(""https://docs.google.com/spreadsheets/d/1QqKyyYR6Q21VydFLVH3TRQUabQu_ym0Zz7PgGX0-kHA/edit?usp=sharing"",""แผน!AE24"")"),2000)</f>
        <v>2000</v>
      </c>
      <c r="M199" s="465"/>
      <c r="N199" s="789">
        <v>0</v>
      </c>
      <c r="O199" s="465"/>
      <c r="P199" s="465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3"/>
      <c r="B200" s="280"/>
      <c r="C200" s="210"/>
      <c r="D200" s="281" t="s">
        <v>98</v>
      </c>
      <c r="E200" s="33"/>
      <c r="F200" s="33"/>
      <c r="G200" s="35"/>
      <c r="H200" s="589" t="s">
        <v>12</v>
      </c>
      <c r="I200" s="269"/>
      <c r="J200" s="269"/>
      <c r="K200" s="465"/>
      <c r="L200" s="465">
        <f ca="1">IFERROR(__xludf.DUMMYFUNCTION("IMPORTRANGE(""https://docs.google.com/spreadsheets/d/1QqKyyYR6Q21VydFLVH3TRQUabQu_ym0Zz7PgGX0-kHA/edit?usp=sharing"",""แผน!AF24"")"),16000)</f>
        <v>16000</v>
      </c>
      <c r="M200" s="465"/>
      <c r="N200" s="789">
        <v>0</v>
      </c>
      <c r="O200" s="465"/>
      <c r="P200" s="465"/>
      <c r="Q200" s="285"/>
      <c r="R200" s="285"/>
      <c r="S200" s="285"/>
      <c r="T200" s="285"/>
      <c r="U200" s="285"/>
      <c r="V200" s="285"/>
      <c r="W200" s="285"/>
      <c r="X200" s="285"/>
      <c r="Y200" s="285"/>
      <c r="Z200" s="285"/>
    </row>
    <row r="201" spans="1:26" ht="19.5">
      <c r="A201" s="283"/>
      <c r="B201" s="280"/>
      <c r="C201" s="210"/>
      <c r="D201" s="281" t="s">
        <v>99</v>
      </c>
      <c r="E201" s="33"/>
      <c r="F201" s="33"/>
      <c r="G201" s="35"/>
      <c r="H201" s="589" t="s">
        <v>12</v>
      </c>
      <c r="I201" s="269"/>
      <c r="J201" s="269"/>
      <c r="K201" s="465"/>
      <c r="L201" s="465">
        <f ca="1">IFERROR(__xludf.DUMMYFUNCTION("IMPORTRANGE(""https://docs.google.com/spreadsheets/d/1QqKyyYR6Q21VydFLVH3TRQUabQu_ym0Zz7PgGX0-kHA/edit?usp=sharing"",""แผน!AG24"")"),8000)</f>
        <v>8000</v>
      </c>
      <c r="M201" s="465"/>
      <c r="N201" s="789">
        <v>0</v>
      </c>
      <c r="O201" s="465"/>
      <c r="P201" s="465"/>
      <c r="Q201" s="285"/>
      <c r="R201" s="285"/>
      <c r="S201" s="285"/>
      <c r="T201" s="285"/>
      <c r="U201" s="285"/>
      <c r="V201" s="285"/>
      <c r="W201" s="285"/>
      <c r="X201" s="285"/>
      <c r="Y201" s="285"/>
      <c r="Z201" s="285"/>
    </row>
    <row r="202" spans="1:26" ht="19.5">
      <c r="A202" s="283"/>
      <c r="B202" s="280"/>
      <c r="C202" s="210"/>
      <c r="D202" s="281" t="s">
        <v>100</v>
      </c>
      <c r="E202" s="33"/>
      <c r="F202" s="33"/>
      <c r="G202" s="35"/>
      <c r="H202" s="589" t="s">
        <v>12</v>
      </c>
      <c r="I202" s="269"/>
      <c r="J202" s="269"/>
      <c r="K202" s="465"/>
      <c r="L202" s="465">
        <f ca="1">IFERROR(__xludf.DUMMYFUNCTION("IMPORTRANGE(""https://docs.google.com/spreadsheets/d/1QqKyyYR6Q21VydFLVH3TRQUabQu_ym0Zz7PgGX0-kHA/edit?usp=sharing"",""แผน!AH24"")"),0)</f>
        <v>0</v>
      </c>
      <c r="M202" s="465"/>
      <c r="N202" s="789">
        <v>0</v>
      </c>
      <c r="O202" s="465"/>
      <c r="P202" s="465"/>
      <c r="Q202" s="285"/>
      <c r="R202" s="285"/>
      <c r="S202" s="285"/>
      <c r="T202" s="285"/>
      <c r="U202" s="285"/>
      <c r="V202" s="285"/>
      <c r="W202" s="285"/>
      <c r="X202" s="285"/>
      <c r="Y202" s="285"/>
      <c r="Z202" s="285"/>
    </row>
    <row r="203" spans="1:26" ht="19.5">
      <c r="A203" s="170"/>
      <c r="B203" s="171"/>
      <c r="C203" s="210" t="s">
        <v>16</v>
      </c>
      <c r="D203" s="818" t="s">
        <v>38</v>
      </c>
      <c r="E203" s="173"/>
      <c r="F203" s="173"/>
      <c r="G203" s="174"/>
      <c r="H203" s="726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343" t="s">
        <v>101</v>
      </c>
      <c r="E204" s="342"/>
      <c r="F204" s="342"/>
      <c r="G204" s="179"/>
      <c r="H204" s="726" t="s">
        <v>96</v>
      </c>
      <c r="I204" s="269">
        <f ca="1">IFERROR(__xludf.DUMMYFUNCTION("IMPORTRANGE(""https://docs.google.com/spreadsheets/d/1QqKyyYR6Q21VydFLVH3TRQUabQu_ym0Zz7PgGX0-kHA/edit?usp=sharing"",""แผน!AI24"")"),2)</f>
        <v>2</v>
      </c>
      <c r="J204" s="214">
        <v>0</v>
      </c>
      <c r="K204" s="163">
        <f ca="1">IF(I204&gt;0,J204*100/I204,0)</f>
        <v>0</v>
      </c>
      <c r="L204" s="465"/>
      <c r="M204" s="465"/>
      <c r="N204" s="465"/>
      <c r="O204" s="465"/>
      <c r="P204" s="465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15" t="s">
        <v>59</v>
      </c>
      <c r="E205" s="342"/>
      <c r="F205" s="342"/>
      <c r="G205" s="179"/>
      <c r="H205" s="726"/>
      <c r="I205" s="269"/>
      <c r="J205" s="269"/>
      <c r="K205" s="163"/>
      <c r="L205" s="465"/>
      <c r="M205" s="465"/>
      <c r="N205" s="465"/>
      <c r="O205" s="465"/>
      <c r="P205" s="465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342"/>
      <c r="E206" s="494" t="s">
        <v>102</v>
      </c>
      <c r="F206" s="286"/>
      <c r="G206" s="287"/>
      <c r="H206" s="288" t="s">
        <v>96</v>
      </c>
      <c r="I206" s="269">
        <v>2</v>
      </c>
      <c r="J206" s="214">
        <v>0</v>
      </c>
      <c r="K206" s="163">
        <f t="shared" ref="K206:K208" si="99">IF(I206&gt;0,J206*100/I206,0)</f>
        <v>0</v>
      </c>
      <c r="L206" s="465"/>
      <c r="M206" s="465"/>
      <c r="N206" s="465"/>
      <c r="O206" s="465"/>
      <c r="P206" s="465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15"/>
      <c r="E207" s="415" t="s">
        <v>103</v>
      </c>
      <c r="F207" s="342"/>
      <c r="G207" s="342"/>
      <c r="H207" s="289" t="s">
        <v>104</v>
      </c>
      <c r="I207" s="269">
        <v>0</v>
      </c>
      <c r="J207" s="214">
        <v>0</v>
      </c>
      <c r="K207" s="163">
        <f t="shared" si="99"/>
        <v>0</v>
      </c>
      <c r="L207" s="465"/>
      <c r="M207" s="465"/>
      <c r="N207" s="465"/>
      <c r="O207" s="465"/>
      <c r="P207" s="465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 hidden="1">
      <c r="A208" s="255"/>
      <c r="B208" s="263"/>
      <c r="C208" s="339" t="s">
        <v>105</v>
      </c>
      <c r="D208" s="256"/>
      <c r="E208" s="256"/>
      <c r="F208" s="290"/>
      <c r="G208" s="258"/>
      <c r="H208" s="277" t="s">
        <v>96</v>
      </c>
      <c r="I208" s="271">
        <f t="shared" ref="I208:J208" ca="1" si="100">I215</f>
        <v>0</v>
      </c>
      <c r="J208" s="271">
        <f t="shared" si="100"/>
        <v>0</v>
      </c>
      <c r="K208" s="272">
        <f t="shared" ca="1" si="99"/>
        <v>0</v>
      </c>
      <c r="L208" s="261"/>
      <c r="M208" s="261"/>
      <c r="N208" s="261"/>
      <c r="O208" s="261"/>
      <c r="P208" s="261"/>
    </row>
    <row r="209" spans="1:26" ht="19.5" hidden="1">
      <c r="A209" s="147"/>
      <c r="B209" s="148"/>
      <c r="C209" s="149" t="s">
        <v>16</v>
      </c>
      <c r="D209" s="822" t="s">
        <v>17</v>
      </c>
      <c r="E209" s="148"/>
      <c r="F209" s="148"/>
      <c r="G209" s="151"/>
      <c r="H209" s="274" t="s">
        <v>12</v>
      </c>
      <c r="I209" s="387"/>
      <c r="J209" s="387"/>
      <c r="K209" s="279"/>
      <c r="L209" s="155">
        <f ca="1">L210+L211+L212</f>
        <v>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 hidden="1">
      <c r="A210" s="159"/>
      <c r="B210" s="280"/>
      <c r="C210" s="33"/>
      <c r="D210" s="281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65">
        <f ca="1">IFERROR(__xludf.DUMMYFUNCTION("IMPORTRANGE(""https://docs.google.com/spreadsheets/d/1QqKyyYR6Q21VydFLVH3TRQUabQu_ym0Zz7PgGX0-kHA/edit?usp=sharing"",""แผน!AK24"")"),0)</f>
        <v>0</v>
      </c>
      <c r="M210" s="465"/>
      <c r="N210" s="789">
        <v>0</v>
      </c>
      <c r="O210" s="465"/>
      <c r="P210" s="465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 hidden="1">
      <c r="A211" s="283"/>
      <c r="B211" s="280"/>
      <c r="C211" s="291"/>
      <c r="D211" s="281" t="s">
        <v>99</v>
      </c>
      <c r="E211" s="33"/>
      <c r="F211" s="33"/>
      <c r="G211" s="35"/>
      <c r="H211" s="161" t="s">
        <v>12</v>
      </c>
      <c r="I211" s="269"/>
      <c r="J211" s="269"/>
      <c r="K211" s="465"/>
      <c r="L211" s="465">
        <f ca="1">IFERROR(__xludf.DUMMYFUNCTION("IMPORTRANGE(""https://docs.google.com/spreadsheets/d/1QqKyyYR6Q21VydFLVH3TRQUabQu_ym0Zz7PgGX0-kHA/edit?usp=sharing"",""แผน!AL24"")"),0)</f>
        <v>0</v>
      </c>
      <c r="M211" s="465"/>
      <c r="N211" s="789">
        <v>0</v>
      </c>
      <c r="O211" s="465"/>
      <c r="P211" s="465"/>
      <c r="Q211" s="285"/>
      <c r="R211" s="285"/>
      <c r="S211" s="285"/>
      <c r="T211" s="285"/>
      <c r="U211" s="285"/>
      <c r="V211" s="285"/>
      <c r="W211" s="285"/>
      <c r="X211" s="285"/>
      <c r="Y211" s="285"/>
      <c r="Z211" s="285"/>
    </row>
    <row r="212" spans="1:26" ht="19.5" hidden="1">
      <c r="A212" s="283"/>
      <c r="B212" s="280"/>
      <c r="C212" s="291"/>
      <c r="D212" s="281" t="s">
        <v>98</v>
      </c>
      <c r="E212" s="33"/>
      <c r="F212" s="33"/>
      <c r="G212" s="35"/>
      <c r="H212" s="161" t="s">
        <v>12</v>
      </c>
      <c r="I212" s="269"/>
      <c r="J212" s="269"/>
      <c r="K212" s="465"/>
      <c r="L212" s="465">
        <f ca="1">IFERROR(__xludf.DUMMYFUNCTION("IMPORTRANGE(""https://docs.google.com/spreadsheets/d/1QqKyyYR6Q21VydFLVH3TRQUabQu_ym0Zz7PgGX0-kHA/edit?usp=sharing"",""แผน!AM24"")"),0)</f>
        <v>0</v>
      </c>
      <c r="M212" s="465"/>
      <c r="N212" s="789">
        <v>0</v>
      </c>
      <c r="O212" s="465"/>
      <c r="P212" s="465"/>
      <c r="Q212" s="285"/>
      <c r="R212" s="285"/>
      <c r="S212" s="285"/>
      <c r="T212" s="285"/>
      <c r="U212" s="285"/>
      <c r="V212" s="285"/>
      <c r="W212" s="285"/>
      <c r="X212" s="285"/>
      <c r="Y212" s="285"/>
      <c r="Z212" s="285"/>
    </row>
    <row r="213" spans="1:26" ht="19.5" hidden="1">
      <c r="A213" s="170"/>
      <c r="B213" s="171"/>
      <c r="C213" s="291" t="s">
        <v>16</v>
      </c>
      <c r="D213" s="818" t="s">
        <v>38</v>
      </c>
      <c r="E213" s="173"/>
      <c r="F213" s="173"/>
      <c r="G213" s="174"/>
      <c r="H213" s="726"/>
      <c r="I213" s="184"/>
      <c r="J213" s="269"/>
      <c r="K213" s="465"/>
      <c r="L213" s="465"/>
      <c r="M213" s="465"/>
      <c r="N213" s="465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 hidden="1">
      <c r="A214" s="170"/>
      <c r="B214" s="171"/>
      <c r="C214" s="171"/>
      <c r="D214" s="343" t="s">
        <v>106</v>
      </c>
      <c r="E214" s="342"/>
      <c r="F214" s="342"/>
      <c r="G214" s="179"/>
      <c r="H214" s="726" t="s">
        <v>96</v>
      </c>
      <c r="I214" s="269">
        <f ca="1">IFERROR(__xludf.DUMMYFUNCTION("IMPORTRANGE(""https://docs.google.com/spreadsheets/d/1QqKyyYR6Q21VydFLVH3TRQUabQu_ym0Zz7PgGX0-kHA/edit?usp=sharing"",""แผน!AN24"")"),0)</f>
        <v>0</v>
      </c>
      <c r="J214" s="214">
        <v>0</v>
      </c>
      <c r="K214" s="465">
        <f t="shared" ref="K214:K216" ca="1" si="101">IF(I214&gt;0,J214*100/I214,0)</f>
        <v>0</v>
      </c>
      <c r="L214" s="465"/>
      <c r="M214" s="465"/>
      <c r="N214" s="465"/>
      <c r="O214" s="465"/>
      <c r="P214" s="465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 hidden="1">
      <c r="A215" s="170"/>
      <c r="B215" s="171"/>
      <c r="C215" s="171"/>
      <c r="D215" s="343" t="s">
        <v>107</v>
      </c>
      <c r="E215" s="342"/>
      <c r="F215" s="342"/>
      <c r="G215" s="179"/>
      <c r="H215" s="726" t="s">
        <v>96</v>
      </c>
      <c r="I215" s="269">
        <f ca="1">IFERROR(__xludf.DUMMYFUNCTION("IMPORTRANGE(""https://docs.google.com/spreadsheets/d/1QqKyyYR6Q21VydFLVH3TRQUabQu_ym0Zz7PgGX0-kHA/edit?usp=sharing"",""แผน!AN24"")"),0)</f>
        <v>0</v>
      </c>
      <c r="J215" s="214">
        <v>0</v>
      </c>
      <c r="K215" s="465">
        <f t="shared" ca="1" si="101"/>
        <v>0</v>
      </c>
      <c r="L215" s="465"/>
      <c r="M215" s="465"/>
      <c r="N215" s="465"/>
      <c r="O215" s="465"/>
      <c r="P215" s="465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5"/>
      <c r="B216" s="263"/>
      <c r="C216" s="339" t="s">
        <v>108</v>
      </c>
      <c r="D216" s="256"/>
      <c r="E216" s="256"/>
      <c r="F216" s="290"/>
      <c r="G216" s="258"/>
      <c r="H216" s="259" t="s">
        <v>109</v>
      </c>
      <c r="I216" s="271">
        <f t="shared" ref="I216:J216" ca="1" si="102">I224</f>
        <v>40000</v>
      </c>
      <c r="J216" s="271">
        <f t="shared" si="102"/>
        <v>0</v>
      </c>
      <c r="K216" s="272">
        <f t="shared" ca="1" si="101"/>
        <v>0</v>
      </c>
      <c r="L216" s="261"/>
      <c r="M216" s="261"/>
      <c r="N216" s="261"/>
      <c r="O216" s="261"/>
      <c r="P216" s="261"/>
    </row>
    <row r="217" spans="1:26" ht="19.5">
      <c r="A217" s="147"/>
      <c r="B217" s="148"/>
      <c r="C217" s="149" t="s">
        <v>16</v>
      </c>
      <c r="D217" s="822" t="s">
        <v>17</v>
      </c>
      <c r="E217" s="148"/>
      <c r="F217" s="148"/>
      <c r="G217" s="151"/>
      <c r="H217" s="274" t="s">
        <v>12</v>
      </c>
      <c r="I217" s="387"/>
      <c r="J217" s="387"/>
      <c r="K217" s="279"/>
      <c r="L217" s="155">
        <f ca="1">L218+L219+L220</f>
        <v>15000</v>
      </c>
      <c r="M217" s="155"/>
      <c r="N217" s="155">
        <f>N218+N219+N220</f>
        <v>0</v>
      </c>
      <c r="O217" s="155">
        <f ca="1">IF(L217&gt;0,N217*100/L217,0)</f>
        <v>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0"/>
      <c r="C218" s="33"/>
      <c r="D218" s="281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65">
        <f ca="1">IFERROR(__xludf.DUMMYFUNCTION("IMPORTRANGE(""https://docs.google.com/spreadsheets/d/1QqKyyYR6Q21VydFLVH3TRQUabQu_ym0Zz7PgGX0-kHA/edit?usp=sharing"",""แผน!AP24"")"),5000)</f>
        <v>5000</v>
      </c>
      <c r="M218" s="465"/>
      <c r="N218" s="789">
        <v>0</v>
      </c>
      <c r="O218" s="465"/>
      <c r="P218" s="465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3"/>
      <c r="B219" s="280"/>
      <c r="C219" s="291"/>
      <c r="D219" s="281" t="s">
        <v>110</v>
      </c>
      <c r="E219" s="33"/>
      <c r="F219" s="33"/>
      <c r="G219" s="35"/>
      <c r="H219" s="161" t="s">
        <v>12</v>
      </c>
      <c r="I219" s="269"/>
      <c r="J219" s="269"/>
      <c r="K219" s="465"/>
      <c r="L219" s="465">
        <f ca="1">IFERROR(__xludf.DUMMYFUNCTION("IMPORTRANGE(""https://docs.google.com/spreadsheets/d/1QqKyyYR6Q21VydFLVH3TRQUabQu_ym0Zz7PgGX0-kHA/edit?usp=sharing"",""แผน!AQ24"")"),10000)</f>
        <v>10000</v>
      </c>
      <c r="M219" s="465"/>
      <c r="N219" s="789">
        <v>0</v>
      </c>
      <c r="O219" s="465"/>
      <c r="P219" s="465"/>
      <c r="Q219" s="285"/>
      <c r="R219" s="285"/>
      <c r="S219" s="285"/>
      <c r="T219" s="285"/>
      <c r="U219" s="285"/>
      <c r="V219" s="285"/>
      <c r="W219" s="285"/>
      <c r="X219" s="285"/>
      <c r="Y219" s="285"/>
      <c r="Z219" s="285"/>
    </row>
    <row r="220" spans="1:26" ht="19.5">
      <c r="A220" s="283"/>
      <c r="B220" s="280"/>
      <c r="C220" s="291"/>
      <c r="D220" s="281" t="s">
        <v>98</v>
      </c>
      <c r="E220" s="33"/>
      <c r="F220" s="33"/>
      <c r="G220" s="35"/>
      <c r="H220" s="161" t="s">
        <v>12</v>
      </c>
      <c r="I220" s="269"/>
      <c r="J220" s="269"/>
      <c r="K220" s="465"/>
      <c r="L220" s="465">
        <f ca="1">IFERROR(__xludf.DUMMYFUNCTION("IMPORTRANGE(""https://docs.google.com/spreadsheets/d/1QqKyyYR6Q21VydFLVH3TRQUabQu_ym0Zz7PgGX0-kHA/edit?usp=sharing"",""แผน!AR24"")"),0)</f>
        <v>0</v>
      </c>
      <c r="M220" s="465"/>
      <c r="N220" s="789">
        <v>0</v>
      </c>
      <c r="O220" s="465"/>
      <c r="P220" s="465"/>
      <c r="Q220" s="285"/>
      <c r="R220" s="285"/>
      <c r="S220" s="285"/>
      <c r="T220" s="285"/>
      <c r="U220" s="285"/>
      <c r="V220" s="285"/>
      <c r="W220" s="285"/>
      <c r="X220" s="285"/>
      <c r="Y220" s="285"/>
      <c r="Z220" s="285"/>
    </row>
    <row r="221" spans="1:26" ht="19.5">
      <c r="A221" s="170"/>
      <c r="B221" s="171"/>
      <c r="C221" s="291" t="s">
        <v>16</v>
      </c>
      <c r="D221" s="818" t="s">
        <v>38</v>
      </c>
      <c r="E221" s="173"/>
      <c r="F221" s="173"/>
      <c r="G221" s="174"/>
      <c r="H221" s="726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1" t="s">
        <v>111</v>
      </c>
      <c r="E222" s="342"/>
      <c r="F222" s="342"/>
      <c r="G222" s="179"/>
      <c r="H222" s="726"/>
      <c r="I222" s="269"/>
      <c r="J222" s="269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343" t="s">
        <v>112</v>
      </c>
      <c r="F223" s="342"/>
      <c r="G223" s="179"/>
      <c r="H223" s="728" t="s">
        <v>109</v>
      </c>
      <c r="I223" s="269">
        <f ca="1">IFERROR(__xludf.DUMMYFUNCTION("IMPORTRANGE(""https://docs.google.com/spreadsheets/d/1QqKyyYR6Q21VydFLVH3TRQUabQu_ym0Zz7PgGX0-kHA/edit?usp=sharing"",""แผน!AT24"")"),40000)</f>
        <v>40000</v>
      </c>
      <c r="J223" s="214">
        <v>0</v>
      </c>
      <c r="K223" s="163">
        <f t="shared" ref="K223:K226" ca="1" si="103">IF(I223&gt;0,J223*100/I223,0)</f>
        <v>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343" t="s">
        <v>113</v>
      </c>
      <c r="F224" s="342"/>
      <c r="G224" s="179"/>
      <c r="H224" s="728" t="s">
        <v>109</v>
      </c>
      <c r="I224" s="269">
        <f ca="1">IFERROR(__xludf.DUMMYFUNCTION("IMPORTRANGE(""https://docs.google.com/spreadsheets/d/1QqKyyYR6Q21VydFLVH3TRQUabQu_ym0Zz7PgGX0-kHA/edit?usp=sharing"",""แผน!AT24"")"),40000)</f>
        <v>40000</v>
      </c>
      <c r="J224" s="214">
        <v>0</v>
      </c>
      <c r="K224" s="163">
        <f t="shared" ca="1" si="103"/>
        <v>0</v>
      </c>
      <c r="L224" s="465"/>
      <c r="M224" s="465"/>
      <c r="N224" s="465"/>
      <c r="O224" s="465"/>
      <c r="P224" s="465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1" t="s">
        <v>114</v>
      </c>
      <c r="E225" s="342"/>
      <c r="F225" s="342"/>
      <c r="G225" s="179"/>
      <c r="H225" s="728" t="s">
        <v>35</v>
      </c>
      <c r="I225" s="269">
        <f ca="1">IFERROR(__xludf.DUMMYFUNCTION("IMPORTRANGE(""https://docs.google.com/spreadsheets/d/1QqKyyYR6Q21VydFLVH3TRQUabQu_ym0Zz7PgGX0-kHA/edit?usp=sharing"",""แผน!AS24"")"),0)</f>
        <v>0</v>
      </c>
      <c r="J225" s="214">
        <v>0</v>
      </c>
      <c r="K225" s="163">
        <f t="shared" ca="1" si="103"/>
        <v>0</v>
      </c>
      <c r="L225" s="465"/>
      <c r="M225" s="465"/>
      <c r="N225" s="465"/>
      <c r="O225" s="465"/>
      <c r="P225" s="465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5"/>
      <c r="B226" s="263"/>
      <c r="C226" s="823" t="s">
        <v>115</v>
      </c>
      <c r="D226" s="256"/>
      <c r="E226" s="256"/>
      <c r="F226" s="256"/>
      <c r="G226" s="258"/>
      <c r="H226" s="265" t="s">
        <v>35</v>
      </c>
      <c r="I226" s="824">
        <f t="shared" ref="I226:J226" ca="1" si="104">I237+I248</f>
        <v>0</v>
      </c>
      <c r="J226" s="824">
        <f t="shared" si="104"/>
        <v>0</v>
      </c>
      <c r="K226" s="825">
        <f t="shared" ca="1" si="103"/>
        <v>0</v>
      </c>
      <c r="L226" s="261"/>
      <c r="M226" s="261"/>
      <c r="N226" s="261"/>
      <c r="O226" s="261"/>
      <c r="P226" s="261"/>
    </row>
    <row r="227" spans="1:26" ht="19.5" hidden="1">
      <c r="A227" s="826"/>
      <c r="B227" s="827"/>
      <c r="C227" s="828" t="s">
        <v>16</v>
      </c>
      <c r="D227" s="829" t="s">
        <v>17</v>
      </c>
      <c r="E227" s="827"/>
      <c r="F227" s="827"/>
      <c r="G227" s="830"/>
      <c r="H227" s="831" t="s">
        <v>12</v>
      </c>
      <c r="I227" s="832"/>
      <c r="J227" s="832"/>
      <c r="K227" s="833"/>
      <c r="L227" s="834">
        <f t="shared" ref="L227:L231" ca="1" si="105">L238+L249</f>
        <v>0</v>
      </c>
      <c r="M227" s="834"/>
      <c r="N227" s="834">
        <f t="shared" ref="N227:N231" si="106">N238+N249</f>
        <v>0</v>
      </c>
      <c r="O227" s="835"/>
      <c r="P227" s="835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542"/>
      <c r="C228" s="40"/>
      <c r="D228" s="222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5"/>
        <v>0</v>
      </c>
      <c r="M228" s="93"/>
      <c r="N228" s="93">
        <f t="shared" si="106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836"/>
      <c r="B229" s="542"/>
      <c r="C229" s="837"/>
      <c r="D229" s="222" t="s">
        <v>98</v>
      </c>
      <c r="E229" s="40"/>
      <c r="F229" s="40"/>
      <c r="G229" s="42"/>
      <c r="H229" s="165" t="s">
        <v>12</v>
      </c>
      <c r="I229" s="583"/>
      <c r="J229" s="583"/>
      <c r="K229" s="93"/>
      <c r="L229" s="93">
        <f t="shared" ca="1" si="105"/>
        <v>0</v>
      </c>
      <c r="M229" s="93"/>
      <c r="N229" s="93">
        <f t="shared" si="106"/>
        <v>0</v>
      </c>
      <c r="O229" s="93"/>
      <c r="P229" s="93"/>
      <c r="Q229" s="838"/>
      <c r="R229" s="838"/>
      <c r="S229" s="838"/>
      <c r="T229" s="838"/>
      <c r="U229" s="838"/>
      <c r="V229" s="838"/>
      <c r="W229" s="838"/>
      <c r="X229" s="838"/>
      <c r="Y229" s="838"/>
      <c r="Z229" s="838"/>
    </row>
    <row r="230" spans="1:26" ht="19.5" hidden="1">
      <c r="A230" s="836"/>
      <c r="B230" s="542"/>
      <c r="C230" s="837"/>
      <c r="D230" s="222" t="s">
        <v>116</v>
      </c>
      <c r="E230" s="40"/>
      <c r="F230" s="40"/>
      <c r="G230" s="42"/>
      <c r="H230" s="165" t="s">
        <v>12</v>
      </c>
      <c r="I230" s="583"/>
      <c r="J230" s="583"/>
      <c r="K230" s="93"/>
      <c r="L230" s="93">
        <f t="shared" ca="1" si="105"/>
        <v>0</v>
      </c>
      <c r="M230" s="93"/>
      <c r="N230" s="93">
        <f t="shared" si="106"/>
        <v>0</v>
      </c>
      <c r="O230" s="93"/>
      <c r="P230" s="93"/>
      <c r="Q230" s="838"/>
      <c r="R230" s="838"/>
      <c r="S230" s="838"/>
      <c r="T230" s="838"/>
      <c r="U230" s="838"/>
      <c r="V230" s="838"/>
      <c r="W230" s="838"/>
      <c r="X230" s="838"/>
      <c r="Y230" s="838"/>
      <c r="Z230" s="838"/>
    </row>
    <row r="231" spans="1:26" ht="19.5" hidden="1">
      <c r="A231" s="836"/>
      <c r="B231" s="542"/>
      <c r="C231" s="837"/>
      <c r="D231" s="222" t="s">
        <v>100</v>
      </c>
      <c r="E231" s="40"/>
      <c r="F231" s="40"/>
      <c r="G231" s="42"/>
      <c r="H231" s="165" t="s">
        <v>12</v>
      </c>
      <c r="I231" s="583"/>
      <c r="J231" s="583"/>
      <c r="K231" s="93"/>
      <c r="L231" s="93">
        <f t="shared" ca="1" si="105"/>
        <v>0</v>
      </c>
      <c r="M231" s="93"/>
      <c r="N231" s="93">
        <f t="shared" si="106"/>
        <v>0</v>
      </c>
      <c r="O231" s="93"/>
      <c r="P231" s="93"/>
      <c r="Q231" s="838"/>
      <c r="R231" s="838"/>
      <c r="S231" s="838"/>
      <c r="T231" s="838"/>
      <c r="U231" s="838"/>
      <c r="V231" s="838"/>
      <c r="W231" s="838"/>
      <c r="X231" s="838"/>
      <c r="Y231" s="838"/>
      <c r="Z231" s="838"/>
    </row>
    <row r="232" spans="1:26" ht="19.5" hidden="1">
      <c r="A232" s="839"/>
      <c r="B232" s="840"/>
      <c r="C232" s="837" t="s">
        <v>16</v>
      </c>
      <c r="D232" s="266" t="s">
        <v>38</v>
      </c>
      <c r="E232" s="841"/>
      <c r="F232" s="841"/>
      <c r="G232" s="842"/>
      <c r="H232" s="581"/>
      <c r="I232" s="166"/>
      <c r="J232" s="583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839"/>
      <c r="B233" s="840"/>
      <c r="C233" s="840"/>
      <c r="D233" s="268" t="s">
        <v>117</v>
      </c>
      <c r="E233" s="536"/>
      <c r="F233" s="536"/>
      <c r="G233" s="843"/>
      <c r="H233" s="582" t="s">
        <v>35</v>
      </c>
      <c r="I233" s="583">
        <f t="shared" ref="I233:J233" ca="1" si="107">I244+I255</f>
        <v>0</v>
      </c>
      <c r="J233" s="583">
        <f t="shared" si="107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839"/>
      <c r="B234" s="840"/>
      <c r="C234" s="840"/>
      <c r="D234" s="844" t="s">
        <v>43</v>
      </c>
      <c r="E234" s="536"/>
      <c r="F234" s="536"/>
      <c r="G234" s="843"/>
      <c r="H234" s="582"/>
      <c r="I234" s="583"/>
      <c r="J234" s="583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839"/>
      <c r="B235" s="840"/>
      <c r="C235" s="840"/>
      <c r="D235" s="840"/>
      <c r="E235" s="267" t="s">
        <v>118</v>
      </c>
      <c r="F235" s="536"/>
      <c r="G235" s="843"/>
      <c r="H235" s="582" t="s">
        <v>35</v>
      </c>
      <c r="I235" s="583">
        <f t="shared" ref="I235:J236" si="108">I246+I257</f>
        <v>0</v>
      </c>
      <c r="J235" s="583">
        <f t="shared" si="108"/>
        <v>0</v>
      </c>
      <c r="K235" s="93">
        <f t="shared" ref="K235:K237" si="109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839"/>
      <c r="B236" s="840"/>
      <c r="C236" s="840"/>
      <c r="D236" s="840"/>
      <c r="E236" s="267" t="s">
        <v>119</v>
      </c>
      <c r="F236" s="536"/>
      <c r="G236" s="843"/>
      <c r="H236" s="582" t="s">
        <v>69</v>
      </c>
      <c r="I236" s="583">
        <f t="shared" si="108"/>
        <v>0</v>
      </c>
      <c r="J236" s="583">
        <f t="shared" si="108"/>
        <v>0</v>
      </c>
      <c r="K236" s="93">
        <f t="shared" si="109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5"/>
      <c r="B237" s="263"/>
      <c r="C237" s="339" t="s">
        <v>330</v>
      </c>
      <c r="D237" s="256"/>
      <c r="E237" s="256"/>
      <c r="F237" s="256"/>
      <c r="G237" s="258"/>
      <c r="H237" s="259" t="s">
        <v>35</v>
      </c>
      <c r="I237" s="271">
        <f t="shared" ref="I237:J237" ca="1" si="110">I244</f>
        <v>0</v>
      </c>
      <c r="J237" s="271">
        <f t="shared" si="110"/>
        <v>0</v>
      </c>
      <c r="K237" s="272">
        <f t="shared" ca="1" si="109"/>
        <v>0</v>
      </c>
      <c r="L237" s="261"/>
      <c r="M237" s="261"/>
      <c r="N237" s="261"/>
      <c r="O237" s="261"/>
      <c r="P237" s="261"/>
    </row>
    <row r="238" spans="1:26" ht="19.5" hidden="1">
      <c r="A238" s="147"/>
      <c r="B238" s="148"/>
      <c r="C238" s="149" t="s">
        <v>16</v>
      </c>
      <c r="D238" s="817" t="s">
        <v>17</v>
      </c>
      <c r="E238" s="148"/>
      <c r="F238" s="148"/>
      <c r="G238" s="151"/>
      <c r="H238" s="274" t="s">
        <v>12</v>
      </c>
      <c r="I238" s="387"/>
      <c r="J238" s="387"/>
      <c r="K238" s="279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3"/>
      <c r="B239" s="314"/>
      <c r="C239" s="315"/>
      <c r="D239" s="324" t="s">
        <v>97</v>
      </c>
      <c r="E239" s="315"/>
      <c r="F239" s="315"/>
      <c r="G239" s="317"/>
      <c r="H239" s="318" t="s">
        <v>12</v>
      </c>
      <c r="I239" s="319"/>
      <c r="J239" s="319"/>
      <c r="K239" s="320"/>
      <c r="L239" s="321">
        <f ca="1">IFERROR(__xludf.DUMMYFUNCTION("IMPORTRANGE(""https://docs.google.com/spreadsheets/d/1QqKyyYR6Q21VydFLVH3TRQUabQu_ym0Zz7PgGX0-kHA/edit?usp=sharing"",""แผน!AV24"")"),0)</f>
        <v>0</v>
      </c>
      <c r="M239" s="321"/>
      <c r="N239" s="340">
        <v>0</v>
      </c>
      <c r="O239" s="321"/>
      <c r="P239" s="321"/>
      <c r="Q239" s="312"/>
      <c r="R239" s="312"/>
      <c r="S239" s="312"/>
      <c r="T239" s="312"/>
      <c r="U239" s="312"/>
      <c r="V239" s="312"/>
      <c r="W239" s="312"/>
      <c r="X239" s="312"/>
      <c r="Y239" s="312"/>
      <c r="Z239" s="312"/>
    </row>
    <row r="240" spans="1:26" ht="19.5" hidden="1">
      <c r="A240" s="322"/>
      <c r="B240" s="314"/>
      <c r="C240" s="323"/>
      <c r="D240" s="324" t="s">
        <v>98</v>
      </c>
      <c r="E240" s="315"/>
      <c r="F240" s="315"/>
      <c r="G240" s="317"/>
      <c r="H240" s="318" t="s">
        <v>12</v>
      </c>
      <c r="I240" s="325"/>
      <c r="J240" s="325"/>
      <c r="K240" s="321"/>
      <c r="L240" s="321">
        <f ca="1">IFERROR(__xludf.DUMMYFUNCTION("IMPORTRANGE(""https://docs.google.com/spreadsheets/d/1QqKyyYR6Q21VydFLVH3TRQUabQu_ym0Zz7PgGX0-kHA/edit?usp=sharing"",""แผน!AW24"")"),0)</f>
        <v>0</v>
      </c>
      <c r="M240" s="321"/>
      <c r="N240" s="340">
        <v>0</v>
      </c>
      <c r="O240" s="321"/>
      <c r="P240" s="321"/>
      <c r="Q240" s="326"/>
      <c r="R240" s="326"/>
      <c r="S240" s="326"/>
      <c r="T240" s="326"/>
      <c r="U240" s="326"/>
      <c r="V240" s="326"/>
      <c r="W240" s="326"/>
      <c r="X240" s="326"/>
      <c r="Y240" s="326"/>
      <c r="Z240" s="326"/>
    </row>
    <row r="241" spans="1:26" ht="19.5" hidden="1">
      <c r="A241" s="322"/>
      <c r="B241" s="314"/>
      <c r="C241" s="323"/>
      <c r="D241" s="324" t="s">
        <v>116</v>
      </c>
      <c r="E241" s="315"/>
      <c r="F241" s="315"/>
      <c r="G241" s="317"/>
      <c r="H241" s="318" t="s">
        <v>12</v>
      </c>
      <c r="I241" s="325"/>
      <c r="J241" s="325"/>
      <c r="K241" s="321"/>
      <c r="L241" s="321">
        <f ca="1">IFERROR(__xludf.DUMMYFUNCTION("IMPORTRANGE(""https://docs.google.com/spreadsheets/d/1QqKyyYR6Q21VydFLVH3TRQUabQu_ym0Zz7PgGX0-kHA/edit?usp=sharing"",""แผน!AX24"")"),0)</f>
        <v>0</v>
      </c>
      <c r="M241" s="321"/>
      <c r="N241" s="340">
        <v>0</v>
      </c>
      <c r="O241" s="321"/>
      <c r="P241" s="321"/>
      <c r="Q241" s="326"/>
      <c r="R241" s="326"/>
      <c r="S241" s="326"/>
      <c r="T241" s="326"/>
      <c r="U241" s="326"/>
      <c r="V241" s="326"/>
      <c r="W241" s="326"/>
      <c r="X241" s="326"/>
      <c r="Y241" s="326"/>
      <c r="Z241" s="326"/>
    </row>
    <row r="242" spans="1:26" ht="19.5" hidden="1">
      <c r="A242" s="322"/>
      <c r="B242" s="314"/>
      <c r="C242" s="323"/>
      <c r="D242" s="324" t="s">
        <v>100</v>
      </c>
      <c r="E242" s="315"/>
      <c r="F242" s="315"/>
      <c r="G242" s="317"/>
      <c r="H242" s="318" t="s">
        <v>12</v>
      </c>
      <c r="I242" s="325"/>
      <c r="J242" s="325"/>
      <c r="K242" s="321"/>
      <c r="L242" s="321">
        <f ca="1">IFERROR(__xludf.DUMMYFUNCTION("IMPORTRANGE(""https://docs.google.com/spreadsheets/d/1QqKyyYR6Q21VydFLVH3TRQUabQu_ym0Zz7PgGX0-kHA/edit?usp=sharing"",""แผน!AY24"")"),0)</f>
        <v>0</v>
      </c>
      <c r="M242" s="321"/>
      <c r="N242" s="340">
        <v>0</v>
      </c>
      <c r="O242" s="321"/>
      <c r="P242" s="321"/>
      <c r="Q242" s="326"/>
      <c r="R242" s="326"/>
      <c r="S242" s="326"/>
      <c r="T242" s="326"/>
      <c r="U242" s="326"/>
      <c r="V242" s="326"/>
      <c r="W242" s="326"/>
      <c r="X242" s="326"/>
      <c r="Y242" s="326"/>
      <c r="Z242" s="326"/>
    </row>
    <row r="243" spans="1:26" ht="19.5" hidden="1">
      <c r="A243" s="170"/>
      <c r="B243" s="171"/>
      <c r="C243" s="291" t="s">
        <v>16</v>
      </c>
      <c r="D243" s="818" t="s">
        <v>38</v>
      </c>
      <c r="E243" s="173"/>
      <c r="F243" s="173"/>
      <c r="G243" s="174"/>
      <c r="H243" s="726"/>
      <c r="I243" s="184"/>
      <c r="J243" s="269"/>
      <c r="K243" s="465"/>
      <c r="L243" s="465"/>
      <c r="M243" s="465"/>
      <c r="N243" s="465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15" t="s">
        <v>117</v>
      </c>
      <c r="E244" s="342"/>
      <c r="F244" s="342"/>
      <c r="G244" s="179"/>
      <c r="H244" s="728" t="s">
        <v>35</v>
      </c>
      <c r="I244" s="269">
        <f ca="1">IFERROR(__xludf.DUMMYFUNCTION("IMPORTRANGE(""https://docs.google.com/spreadsheets/d/1QqKyyYR6Q21VydFLVH3TRQUabQu_ym0Zz7PgGX0-kHA/edit?usp=sharing"",""แผน!BE24"")"),0)</f>
        <v>0</v>
      </c>
      <c r="J244" s="214">
        <v>0</v>
      </c>
      <c r="K244" s="465">
        <f ca="1">IF(I244&gt;0,J244*100/I244,0)</f>
        <v>0</v>
      </c>
      <c r="L244" s="465"/>
      <c r="M244" s="465"/>
      <c r="N244" s="465"/>
      <c r="O244" s="465"/>
      <c r="P244" s="465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341" t="s">
        <v>43</v>
      </c>
      <c r="E245" s="342"/>
      <c r="F245" s="342"/>
      <c r="G245" s="179"/>
      <c r="H245" s="728"/>
      <c r="I245" s="269"/>
      <c r="J245" s="269"/>
      <c r="K245" s="465"/>
      <c r="L245" s="465"/>
      <c r="M245" s="465"/>
      <c r="N245" s="465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343" t="s">
        <v>118</v>
      </c>
      <c r="F246" s="342"/>
      <c r="G246" s="179"/>
      <c r="H246" s="728" t="s">
        <v>35</v>
      </c>
      <c r="I246" s="269"/>
      <c r="J246" s="214">
        <v>0</v>
      </c>
      <c r="K246" s="465">
        <f t="shared" ref="K246:K248" si="111">IF(I246&gt;0,J246*100/I246,0)</f>
        <v>0</v>
      </c>
      <c r="L246" s="465"/>
      <c r="M246" s="465"/>
      <c r="N246" s="465"/>
      <c r="O246" s="465"/>
      <c r="P246" s="465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343" t="s">
        <v>119</v>
      </c>
      <c r="F247" s="342"/>
      <c r="G247" s="179"/>
      <c r="H247" s="728" t="s">
        <v>69</v>
      </c>
      <c r="I247" s="269"/>
      <c r="J247" s="214">
        <v>0</v>
      </c>
      <c r="K247" s="465">
        <f t="shared" si="111"/>
        <v>0</v>
      </c>
      <c r="L247" s="465"/>
      <c r="M247" s="465"/>
      <c r="N247" s="465"/>
      <c r="O247" s="465"/>
      <c r="P247" s="465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5"/>
      <c r="B248" s="263"/>
      <c r="C248" s="339" t="s">
        <v>331</v>
      </c>
      <c r="D248" s="256"/>
      <c r="E248" s="256"/>
      <c r="F248" s="256"/>
      <c r="G248" s="258"/>
      <c r="H248" s="259" t="s">
        <v>35</v>
      </c>
      <c r="I248" s="271">
        <f t="shared" ref="I248:J248" ca="1" si="112">I255</f>
        <v>0</v>
      </c>
      <c r="J248" s="271">
        <f t="shared" si="112"/>
        <v>0</v>
      </c>
      <c r="K248" s="272">
        <f t="shared" ca="1" si="111"/>
        <v>0</v>
      </c>
      <c r="L248" s="261"/>
      <c r="M248" s="261"/>
      <c r="N248" s="261"/>
      <c r="O248" s="261"/>
      <c r="P248" s="261"/>
    </row>
    <row r="249" spans="1:26" ht="19.5" hidden="1">
      <c r="A249" s="147"/>
      <c r="B249" s="148"/>
      <c r="C249" s="149" t="s">
        <v>16</v>
      </c>
      <c r="D249" s="822" t="s">
        <v>17</v>
      </c>
      <c r="E249" s="148"/>
      <c r="F249" s="148"/>
      <c r="G249" s="151"/>
      <c r="H249" s="274" t="s">
        <v>12</v>
      </c>
      <c r="I249" s="387"/>
      <c r="J249" s="387"/>
      <c r="K249" s="279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3"/>
      <c r="B250" s="314"/>
      <c r="C250" s="315"/>
      <c r="D250" s="324" t="s">
        <v>97</v>
      </c>
      <c r="E250" s="315"/>
      <c r="F250" s="315"/>
      <c r="G250" s="317"/>
      <c r="H250" s="318" t="s">
        <v>12</v>
      </c>
      <c r="I250" s="319"/>
      <c r="J250" s="319"/>
      <c r="K250" s="320"/>
      <c r="L250" s="321">
        <f ca="1">IFERROR(__xludf.DUMMYFUNCTION("IMPORTRANGE(""https://docs.google.com/spreadsheets/d/1QqKyyYR6Q21VydFLVH3TRQUabQu_ym0Zz7PgGX0-kHA/edit?usp=sharing"",""แผน!AZ24"")"),0)</f>
        <v>0</v>
      </c>
      <c r="M250" s="321"/>
      <c r="N250" s="340">
        <v>0</v>
      </c>
      <c r="O250" s="321"/>
      <c r="P250" s="321"/>
      <c r="Q250" s="312"/>
      <c r="R250" s="312"/>
      <c r="S250" s="312"/>
      <c r="T250" s="312"/>
      <c r="U250" s="312"/>
      <c r="V250" s="312"/>
      <c r="W250" s="312"/>
      <c r="X250" s="312"/>
      <c r="Y250" s="312"/>
      <c r="Z250" s="312"/>
    </row>
    <row r="251" spans="1:26" ht="19.5" hidden="1">
      <c r="A251" s="322"/>
      <c r="B251" s="314"/>
      <c r="C251" s="323"/>
      <c r="D251" s="324" t="s">
        <v>98</v>
      </c>
      <c r="E251" s="315"/>
      <c r="F251" s="315"/>
      <c r="G251" s="317"/>
      <c r="H251" s="318" t="s">
        <v>12</v>
      </c>
      <c r="I251" s="325"/>
      <c r="J251" s="325"/>
      <c r="K251" s="321"/>
      <c r="L251" s="321">
        <f ca="1">IFERROR(__xludf.DUMMYFUNCTION("IMPORTRANGE(""https://docs.google.com/spreadsheets/d/1QqKyyYR6Q21VydFLVH3TRQUabQu_ym0Zz7PgGX0-kHA/edit?usp=sharing"",""แผน!BA24"")"),0)</f>
        <v>0</v>
      </c>
      <c r="M251" s="321"/>
      <c r="N251" s="340">
        <v>0</v>
      </c>
      <c r="O251" s="321"/>
      <c r="P251" s="321"/>
      <c r="Q251" s="326"/>
      <c r="R251" s="326"/>
      <c r="S251" s="326"/>
      <c r="T251" s="326"/>
      <c r="U251" s="326"/>
      <c r="V251" s="326"/>
      <c r="W251" s="326"/>
      <c r="X251" s="326"/>
      <c r="Y251" s="326"/>
      <c r="Z251" s="326"/>
    </row>
    <row r="252" spans="1:26" ht="19.5" hidden="1">
      <c r="A252" s="322"/>
      <c r="B252" s="314"/>
      <c r="C252" s="323"/>
      <c r="D252" s="324" t="s">
        <v>116</v>
      </c>
      <c r="E252" s="315"/>
      <c r="F252" s="315"/>
      <c r="G252" s="317"/>
      <c r="H252" s="318" t="s">
        <v>12</v>
      </c>
      <c r="I252" s="325"/>
      <c r="J252" s="325"/>
      <c r="K252" s="321"/>
      <c r="L252" s="321">
        <f ca="1">IFERROR(__xludf.DUMMYFUNCTION("IMPORTRANGE(""https://docs.google.com/spreadsheets/d/1QqKyyYR6Q21VydFLVH3TRQUabQu_ym0Zz7PgGX0-kHA/edit?usp=sharing"",""แผน!BB24"")"),0)</f>
        <v>0</v>
      </c>
      <c r="M252" s="321"/>
      <c r="N252" s="340">
        <v>0</v>
      </c>
      <c r="O252" s="321"/>
      <c r="P252" s="321"/>
      <c r="Q252" s="326"/>
      <c r="R252" s="326"/>
      <c r="S252" s="326"/>
      <c r="T252" s="326"/>
      <c r="U252" s="326"/>
      <c r="V252" s="326"/>
      <c r="W252" s="326"/>
      <c r="X252" s="326"/>
      <c r="Y252" s="326"/>
      <c r="Z252" s="326"/>
    </row>
    <row r="253" spans="1:26" ht="19.5" hidden="1">
      <c r="A253" s="322"/>
      <c r="B253" s="314"/>
      <c r="C253" s="323"/>
      <c r="D253" s="324" t="s">
        <v>100</v>
      </c>
      <c r="E253" s="315"/>
      <c r="F253" s="315"/>
      <c r="G253" s="317"/>
      <c r="H253" s="318" t="s">
        <v>12</v>
      </c>
      <c r="I253" s="325"/>
      <c r="J253" s="325"/>
      <c r="K253" s="321"/>
      <c r="L253" s="321">
        <f ca="1">IFERROR(__xludf.DUMMYFUNCTION("IMPORTRANGE(""https://docs.google.com/spreadsheets/d/1QqKyyYR6Q21VydFLVH3TRQUabQu_ym0Zz7PgGX0-kHA/edit?usp=sharing"",""แผน!BC24"")"),0)</f>
        <v>0</v>
      </c>
      <c r="M253" s="321"/>
      <c r="N253" s="340">
        <v>0</v>
      </c>
      <c r="O253" s="321"/>
      <c r="P253" s="321"/>
      <c r="Q253" s="326"/>
      <c r="R253" s="326"/>
      <c r="S253" s="326"/>
      <c r="T253" s="326"/>
      <c r="U253" s="326"/>
      <c r="V253" s="326"/>
      <c r="W253" s="326"/>
      <c r="X253" s="326"/>
      <c r="Y253" s="326"/>
      <c r="Z253" s="326"/>
    </row>
    <row r="254" spans="1:26" ht="19.5" hidden="1">
      <c r="A254" s="170"/>
      <c r="B254" s="171"/>
      <c r="C254" s="291" t="s">
        <v>16</v>
      </c>
      <c r="D254" s="818" t="s">
        <v>38</v>
      </c>
      <c r="E254" s="173"/>
      <c r="F254" s="173"/>
      <c r="G254" s="174"/>
      <c r="H254" s="726"/>
      <c r="I254" s="184"/>
      <c r="J254" s="269"/>
      <c r="K254" s="465"/>
      <c r="L254" s="465"/>
      <c r="M254" s="465"/>
      <c r="N254" s="465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15" t="s">
        <v>117</v>
      </c>
      <c r="E255" s="342"/>
      <c r="F255" s="342"/>
      <c r="G255" s="179"/>
      <c r="H255" s="728" t="s">
        <v>35</v>
      </c>
      <c r="I255" s="269">
        <f ca="1">IFERROR(__xludf.DUMMYFUNCTION("IMPORTRANGE(""https://docs.google.com/spreadsheets/d/1QqKyyYR6Q21VydFLVH3TRQUabQu_ym0Zz7PgGX0-kHA/edit?usp=sharing"",""แผน!BF24"")"),0)</f>
        <v>0</v>
      </c>
      <c r="J255" s="214">
        <v>0</v>
      </c>
      <c r="K255" s="465">
        <f ca="1">IF(I255&gt;0,J255*100/I255,0)</f>
        <v>0</v>
      </c>
      <c r="L255" s="465"/>
      <c r="M255" s="465"/>
      <c r="N255" s="465"/>
      <c r="O255" s="465"/>
      <c r="P255" s="465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341" t="s">
        <v>43</v>
      </c>
      <c r="E256" s="342"/>
      <c r="F256" s="342"/>
      <c r="G256" s="179"/>
      <c r="H256" s="728"/>
      <c r="I256" s="269"/>
      <c r="J256" s="269"/>
      <c r="K256" s="465"/>
      <c r="L256" s="465"/>
      <c r="M256" s="465"/>
      <c r="N256" s="465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343" t="s">
        <v>118</v>
      </c>
      <c r="F257" s="342"/>
      <c r="G257" s="179"/>
      <c r="H257" s="728" t="s">
        <v>35</v>
      </c>
      <c r="I257" s="269"/>
      <c r="J257" s="214">
        <v>0</v>
      </c>
      <c r="K257" s="465">
        <f t="shared" ref="K257:K258" si="113">IF(I257&gt;0,J257*100/I257,0)</f>
        <v>0</v>
      </c>
      <c r="L257" s="465"/>
      <c r="M257" s="465"/>
      <c r="N257" s="465"/>
      <c r="O257" s="465"/>
      <c r="P257" s="465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343" t="s">
        <v>119</v>
      </c>
      <c r="F258" s="342"/>
      <c r="G258" s="179"/>
      <c r="H258" s="728" t="s">
        <v>69</v>
      </c>
      <c r="I258" s="269"/>
      <c r="J258" s="214">
        <v>0</v>
      </c>
      <c r="K258" s="465">
        <f t="shared" si="113"/>
        <v>0</v>
      </c>
      <c r="L258" s="465"/>
      <c r="M258" s="465"/>
      <c r="N258" s="465"/>
      <c r="O258" s="465"/>
      <c r="P258" s="465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1" t="s">
        <v>122</v>
      </c>
      <c r="B259" s="242"/>
      <c r="C259" s="242"/>
      <c r="D259" s="243"/>
      <c r="E259" s="243"/>
      <c r="F259" s="243"/>
      <c r="G259" s="244"/>
      <c r="H259" s="245"/>
      <c r="I259" s="246"/>
      <c r="J259" s="246"/>
      <c r="K259" s="247"/>
      <c r="L259" s="247"/>
      <c r="M259" s="247"/>
      <c r="N259" s="247"/>
      <c r="O259" s="247"/>
      <c r="P259" s="247"/>
    </row>
    <row r="260" spans="1:26" ht="19.5">
      <c r="A260" s="248"/>
      <c r="B260" s="249" t="s">
        <v>123</v>
      </c>
      <c r="C260" s="250"/>
      <c r="D260" s="173"/>
      <c r="E260" s="173"/>
      <c r="F260" s="173"/>
      <c r="G260" s="174"/>
      <c r="H260" s="251" t="s">
        <v>35</v>
      </c>
      <c r="I260" s="252">
        <f t="shared" ref="I260:J260" ca="1" si="114">I271</f>
        <v>22</v>
      </c>
      <c r="J260" s="252">
        <f t="shared" si="114"/>
        <v>24</v>
      </c>
      <c r="K260" s="253">
        <f ca="1">IF(I260&gt;0,J260*100/I260,0)</f>
        <v>109.09090909090909</v>
      </c>
      <c r="L260" s="254"/>
      <c r="M260" s="254"/>
      <c r="N260" s="254"/>
      <c r="O260" s="254"/>
      <c r="P260" s="254"/>
    </row>
    <row r="261" spans="1:26" ht="19.5">
      <c r="A261" s="147"/>
      <c r="B261" s="148"/>
      <c r="C261" s="149" t="s">
        <v>16</v>
      </c>
      <c r="D261" s="817" t="s">
        <v>17</v>
      </c>
      <c r="E261" s="148"/>
      <c r="F261" s="148"/>
      <c r="G261" s="151"/>
      <c r="H261" s="152" t="s">
        <v>12</v>
      </c>
      <c r="I261" s="388"/>
      <c r="J261" s="388"/>
      <c r="K261" s="154"/>
      <c r="L261" s="155">
        <f t="shared" ref="L261:N261" ca="1" si="115">L262+L263</f>
        <v>26900</v>
      </c>
      <c r="M261" s="155">
        <f t="shared" ca="1" si="115"/>
        <v>23900</v>
      </c>
      <c r="N261" s="155">
        <f t="shared" ca="1" si="115"/>
        <v>21020</v>
      </c>
      <c r="O261" s="155">
        <f t="shared" ref="O261:O269" ca="1" si="116">IF(L261&gt;0,N261*100/L261,0)</f>
        <v>78.141263940520446</v>
      </c>
      <c r="P261" s="155">
        <f t="shared" ref="P261:P269" ca="1" si="117">IF(M261&gt;0,N261*100/M261,0)</f>
        <v>87.94979079497908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2" t="s">
        <v>18</v>
      </c>
      <c r="F262" s="40"/>
      <c r="G262" s="157"/>
      <c r="H262" s="158" t="s">
        <v>12</v>
      </c>
      <c r="I262" s="583"/>
      <c r="J262" s="583"/>
      <c r="K262" s="93"/>
      <c r="L262" s="93">
        <f t="shared" ref="L262:N263" si="118">L265+L268</f>
        <v>0</v>
      </c>
      <c r="M262" s="93">
        <f t="shared" si="118"/>
        <v>0</v>
      </c>
      <c r="N262" s="93">
        <f t="shared" si="118"/>
        <v>0</v>
      </c>
      <c r="O262" s="93">
        <f t="shared" si="116"/>
        <v>0</v>
      </c>
      <c r="P262" s="93">
        <f t="shared" si="117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2" t="s">
        <v>19</v>
      </c>
      <c r="F263" s="40"/>
      <c r="G263" s="157"/>
      <c r="H263" s="158" t="s">
        <v>12</v>
      </c>
      <c r="I263" s="583"/>
      <c r="J263" s="583"/>
      <c r="K263" s="93"/>
      <c r="L263" s="93">
        <f t="shared" ca="1" si="118"/>
        <v>26900</v>
      </c>
      <c r="M263" s="93">
        <f t="shared" ca="1" si="118"/>
        <v>23900</v>
      </c>
      <c r="N263" s="93">
        <f t="shared" ca="1" si="118"/>
        <v>21020</v>
      </c>
      <c r="O263" s="93">
        <f t="shared" ca="1" si="116"/>
        <v>78.141263940520446</v>
      </c>
      <c r="P263" s="93">
        <f t="shared" ca="1" si="117"/>
        <v>87.94979079497908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1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65">
        <f t="shared" ref="L264:N264" ca="1" si="119">L265+L266</f>
        <v>26900</v>
      </c>
      <c r="M264" s="465">
        <f t="shared" ca="1" si="119"/>
        <v>23900</v>
      </c>
      <c r="N264" s="465">
        <f t="shared" ca="1" si="119"/>
        <v>21020</v>
      </c>
      <c r="O264" s="465">
        <f t="shared" ca="1" si="116"/>
        <v>78.141263940520446</v>
      </c>
      <c r="P264" s="465">
        <f t="shared" ca="1" si="117"/>
        <v>87.94979079497908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2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6"/>
        <v>0</v>
      </c>
      <c r="P265" s="93">
        <f t="shared" si="117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2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IFERROR(__xludf.DUMMYFUNCTION("IMPORTRANGE(""https://docs.google.com/spreadsheets/d/1MeEWN-I1oV_STSDYn1IFDPWt_1FKiwhDph83XaGc0o0/edit?usp=sharing"",""งบพรบ!CY24"")"),26900)</f>
        <v>26900</v>
      </c>
      <c r="M266" s="93">
        <f ca="1">IFERROR(__xludf.DUMMYFUNCTION("IMPORTRANGE(""https://docs.google.com/spreadsheets/d/1MeEWN-I1oV_STSDYn1IFDPWt_1FKiwhDph83XaGc0o0/edit?usp=sharing"",""งบพรบ!DD24"")"),23900)</f>
        <v>23900</v>
      </c>
      <c r="N266" s="93">
        <f ca="1">IFERROR(__xludf.DUMMYFUNCTION("IMPORTRANGE(""https://docs.google.com/spreadsheets/d/1MeEWN-I1oV_STSDYn1IFDPWt_1FKiwhDph83XaGc0o0/edit?usp=sharing"",""งบพรบ!DF24"")"),21020)</f>
        <v>21020</v>
      </c>
      <c r="O266" s="93">
        <f t="shared" ca="1" si="116"/>
        <v>78.141263940520446</v>
      </c>
      <c r="P266" s="93">
        <f t="shared" ca="1" si="117"/>
        <v>87.94979079497908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1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65">
        <f t="shared" ref="L267:N267" ca="1" si="120">L268+L269</f>
        <v>0</v>
      </c>
      <c r="M267" s="465">
        <f t="shared" ca="1" si="120"/>
        <v>0</v>
      </c>
      <c r="N267" s="465">
        <f t="shared" ca="1" si="120"/>
        <v>0</v>
      </c>
      <c r="O267" s="465">
        <f t="shared" ca="1" si="116"/>
        <v>0</v>
      </c>
      <c r="P267" s="465">
        <f t="shared" ca="1" si="117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2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6"/>
        <v>0</v>
      </c>
      <c r="P268" s="93">
        <f t="shared" si="117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2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IFERROR(__xludf.DUMMYFUNCTION("IMPORTRANGE(""https://docs.google.com/spreadsheets/d/1MeEWN-I1oV_STSDYn1IFDPWt_1FKiwhDph83XaGc0o0/edit?usp=sharing"",""งบพรบ!DB24"")"),0)</f>
        <v>0</v>
      </c>
      <c r="M269" s="93">
        <f ca="1">IFERROR(__xludf.DUMMYFUNCTION("IMPORTRANGE(""https://docs.google.com/spreadsheets/d/1MeEWN-I1oV_STSDYn1IFDPWt_1FKiwhDph83XaGc0o0/edit?usp=sharing"",""งบพรบ!DE24"")"),0)</f>
        <v>0</v>
      </c>
      <c r="N269" s="93">
        <f ca="1">IFERROR(__xludf.DUMMYFUNCTION("IMPORTRANGE(""https://docs.google.com/spreadsheets/d/1MeEWN-I1oV_STSDYn1IFDPWt_1FKiwhDph83XaGc0o0/edit?usp=sharing"",""งบพรบ!DG24"")"),0)</f>
        <v>0</v>
      </c>
      <c r="O269" s="93">
        <f t="shared" ca="1" si="116"/>
        <v>0</v>
      </c>
      <c r="P269" s="93">
        <f t="shared" ca="1" si="117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1" t="s">
        <v>16</v>
      </c>
      <c r="D270" s="818" t="s">
        <v>38</v>
      </c>
      <c r="E270" s="173"/>
      <c r="F270" s="173"/>
      <c r="G270" s="174"/>
      <c r="H270" s="726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44" t="s">
        <v>124</v>
      </c>
      <c r="E271" s="342"/>
      <c r="F271" s="268"/>
      <c r="G271" s="179"/>
      <c r="H271" s="345" t="s">
        <v>35</v>
      </c>
      <c r="I271" s="269">
        <f ca="1">IFERROR(__xludf.DUMMYFUNCTION("IMPORTRANGE(""https://docs.google.com/spreadsheets/d/1QqKyyYR6Q21VydFLVH3TRQUabQu_ym0Zz7PgGX0-kHA/edit?usp=sharing"",""แผน!EA24"")"),22)</f>
        <v>22</v>
      </c>
      <c r="J271" s="214">
        <v>24</v>
      </c>
      <c r="K271" s="163">
        <f ca="1">IF(I271&gt;0,J271*100/I271,0)</f>
        <v>109.09090909090909</v>
      </c>
      <c r="L271" s="163"/>
      <c r="M271" s="163"/>
      <c r="N271" s="163"/>
      <c r="O271" s="163"/>
      <c r="P271" s="163"/>
    </row>
    <row r="272" spans="1:26" ht="18.75" hidden="1">
      <c r="A272" s="346"/>
      <c r="B272" s="347"/>
      <c r="C272" s="347"/>
      <c r="D272" s="348" t="s">
        <v>125</v>
      </c>
      <c r="E272" s="349"/>
      <c r="F272" s="349"/>
      <c r="G272" s="350"/>
      <c r="H272" s="50" t="s">
        <v>35</v>
      </c>
      <c r="I272" s="468">
        <v>0</v>
      </c>
      <c r="J272" s="468">
        <v>0</v>
      </c>
      <c r="K272" s="353">
        <v>0</v>
      </c>
      <c r="L272" s="353"/>
      <c r="M272" s="353"/>
      <c r="N272" s="353"/>
      <c r="O272" s="353"/>
      <c r="P272" s="353"/>
    </row>
    <row r="273" spans="1:26" ht="19.5">
      <c r="A273" s="354" t="s">
        <v>126</v>
      </c>
      <c r="B273" s="355"/>
      <c r="C273" s="355"/>
      <c r="D273" s="355"/>
      <c r="E273" s="356"/>
      <c r="F273" s="356"/>
      <c r="G273" s="357"/>
      <c r="H273" s="358"/>
      <c r="I273" s="359"/>
      <c r="J273" s="359"/>
      <c r="K273" s="360"/>
      <c r="L273" s="360"/>
      <c r="M273" s="360"/>
      <c r="N273" s="360"/>
      <c r="O273" s="360"/>
      <c r="P273" s="360"/>
    </row>
    <row r="274" spans="1:26" ht="19.5">
      <c r="A274" s="361" t="s">
        <v>127</v>
      </c>
      <c r="B274" s="362"/>
      <c r="C274" s="363"/>
      <c r="D274" s="362"/>
      <c r="E274" s="362"/>
      <c r="F274" s="362"/>
      <c r="G274" s="362"/>
      <c r="H274" s="364"/>
      <c r="I274" s="365"/>
      <c r="J274" s="366"/>
      <c r="K274" s="367"/>
      <c r="L274" s="367"/>
      <c r="M274" s="367"/>
      <c r="N274" s="367"/>
      <c r="O274" s="367"/>
      <c r="P274" s="367"/>
    </row>
    <row r="275" spans="1:26" ht="19.5">
      <c r="A275" s="368"/>
      <c r="B275" s="377" t="s">
        <v>128</v>
      </c>
      <c r="C275" s="370"/>
      <c r="D275" s="371"/>
      <c r="E275" s="370"/>
      <c r="F275" s="370"/>
      <c r="G275" s="372"/>
      <c r="H275" s="373" t="s">
        <v>35</v>
      </c>
      <c r="I275" s="374">
        <f t="shared" ref="I275:J275" ca="1" si="121">I288</f>
        <v>10</v>
      </c>
      <c r="J275" s="374">
        <f t="shared" ca="1" si="121"/>
        <v>0</v>
      </c>
      <c r="K275" s="375">
        <f t="shared" ref="K275:K276" ca="1" si="122">IF(I275&gt;0,J275*100/I275,0)</f>
        <v>0</v>
      </c>
      <c r="L275" s="376"/>
      <c r="M275" s="376"/>
      <c r="N275" s="376"/>
      <c r="O275" s="376"/>
      <c r="P275" s="376"/>
    </row>
    <row r="276" spans="1:26" ht="19.5">
      <c r="A276" s="368"/>
      <c r="B276" s="377"/>
      <c r="C276" s="370"/>
      <c r="D276" s="371"/>
      <c r="E276" s="370"/>
      <c r="F276" s="370"/>
      <c r="G276" s="372"/>
      <c r="H276" s="373" t="s">
        <v>46</v>
      </c>
      <c r="I276" s="374">
        <f t="shared" ref="I276:J276" ca="1" si="123">I287</f>
        <v>100</v>
      </c>
      <c r="J276" s="374">
        <f t="shared" si="123"/>
        <v>0</v>
      </c>
      <c r="K276" s="375">
        <f t="shared" ca="1" si="122"/>
        <v>0</v>
      </c>
      <c r="L276" s="376"/>
      <c r="M276" s="376"/>
      <c r="N276" s="376"/>
      <c r="O276" s="376"/>
      <c r="P276" s="376"/>
    </row>
    <row r="277" spans="1:26" ht="19.5">
      <c r="A277" s="147"/>
      <c r="B277" s="148"/>
      <c r="C277" s="149" t="s">
        <v>16</v>
      </c>
      <c r="D277" s="817" t="s">
        <v>17</v>
      </c>
      <c r="E277" s="148"/>
      <c r="F277" s="148"/>
      <c r="G277" s="151"/>
      <c r="H277" s="152" t="s">
        <v>12</v>
      </c>
      <c r="I277" s="388"/>
      <c r="J277" s="388"/>
      <c r="K277" s="154"/>
      <c r="L277" s="155">
        <f t="shared" ref="L277:N277" ca="1" si="124">L278+L279</f>
        <v>199610</v>
      </c>
      <c r="M277" s="155">
        <f t="shared" ca="1" si="124"/>
        <v>96120</v>
      </c>
      <c r="N277" s="155">
        <f t="shared" ca="1" si="124"/>
        <v>39152</v>
      </c>
      <c r="O277" s="155">
        <f t="shared" ref="O277:O285" ca="1" si="125">IF(L277&gt;0,N277*100/L277,0)</f>
        <v>19.614247783177195</v>
      </c>
      <c r="P277" s="155">
        <f t="shared" ref="P277:P285" ca="1" si="126">IF(M277&gt;0,N277*100/M277,0)</f>
        <v>40.732417811069496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2" t="s">
        <v>18</v>
      </c>
      <c r="F278" s="40"/>
      <c r="G278" s="157"/>
      <c r="H278" s="158" t="s">
        <v>12</v>
      </c>
      <c r="I278" s="583"/>
      <c r="J278" s="583"/>
      <c r="K278" s="93"/>
      <c r="L278" s="93">
        <f t="shared" ref="L278:N279" si="127">L281+L284</f>
        <v>0</v>
      </c>
      <c r="M278" s="93">
        <f t="shared" si="127"/>
        <v>0</v>
      </c>
      <c r="N278" s="93">
        <f t="shared" si="127"/>
        <v>0</v>
      </c>
      <c r="O278" s="93">
        <f t="shared" si="125"/>
        <v>0</v>
      </c>
      <c r="P278" s="93">
        <f t="shared" si="126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2" t="s">
        <v>19</v>
      </c>
      <c r="F279" s="40"/>
      <c r="G279" s="157"/>
      <c r="H279" s="158" t="s">
        <v>12</v>
      </c>
      <c r="I279" s="583"/>
      <c r="J279" s="583"/>
      <c r="K279" s="93"/>
      <c r="L279" s="93">
        <f t="shared" ca="1" si="127"/>
        <v>199610</v>
      </c>
      <c r="M279" s="93">
        <f t="shared" ca="1" si="127"/>
        <v>96120</v>
      </c>
      <c r="N279" s="93">
        <f t="shared" ca="1" si="127"/>
        <v>39152</v>
      </c>
      <c r="O279" s="93">
        <f t="shared" ca="1" si="125"/>
        <v>19.614247783177195</v>
      </c>
      <c r="P279" s="93">
        <f t="shared" ca="1" si="126"/>
        <v>40.732417811069496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>
      <c r="A280" s="159"/>
      <c r="B280" s="33"/>
      <c r="C280" s="281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65">
        <f t="shared" ref="L280:N280" ca="1" si="128">L281+L282</f>
        <v>199610</v>
      </c>
      <c r="M280" s="465">
        <f t="shared" ca="1" si="128"/>
        <v>96120</v>
      </c>
      <c r="N280" s="465">
        <f t="shared" ca="1" si="128"/>
        <v>39152</v>
      </c>
      <c r="O280" s="465">
        <f t="shared" ca="1" si="125"/>
        <v>19.614247783177195</v>
      </c>
      <c r="P280" s="465">
        <f t="shared" ca="1" si="126"/>
        <v>40.732417811069496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2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5"/>
        <v>0</v>
      </c>
      <c r="P281" s="93">
        <f t="shared" si="126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2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IFERROR(__xludf.DUMMYFUNCTION("IMPORTRANGE(""https://docs.google.com/spreadsheets/d/1MeEWN-I1oV_STSDYn1IFDPWt_1FKiwhDph83XaGc0o0/edit?usp=sharing"",""งบพรบ!DI24"")"),199610)</f>
        <v>199610</v>
      </c>
      <c r="M282" s="93">
        <f ca="1">IFERROR(__xludf.DUMMYFUNCTION("IMPORTRANGE(""https://docs.google.com/spreadsheets/d/1MeEWN-I1oV_STSDYn1IFDPWt_1FKiwhDph83XaGc0o0/edit?usp=sharing"",""งบพรบ!DN24"")"),96120)</f>
        <v>96120</v>
      </c>
      <c r="N282" s="93">
        <f ca="1">IFERROR(__xludf.DUMMYFUNCTION("IMPORTRANGE(""https://docs.google.com/spreadsheets/d/1MeEWN-I1oV_STSDYn1IFDPWt_1FKiwhDph83XaGc0o0/edit?usp=sharing"",""งบพรบ!DP24"")"),39152)</f>
        <v>39152</v>
      </c>
      <c r="O282" s="93">
        <f t="shared" ca="1" si="125"/>
        <v>19.614247783177195</v>
      </c>
      <c r="P282" s="93">
        <f t="shared" ca="1" si="126"/>
        <v>40.732417811069496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>
      <c r="A283" s="159"/>
      <c r="B283" s="33"/>
      <c r="C283" s="281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65">
        <f t="shared" ref="L283:N283" ca="1" si="129">L284+L285</f>
        <v>0</v>
      </c>
      <c r="M283" s="465">
        <f t="shared" ca="1" si="129"/>
        <v>0</v>
      </c>
      <c r="N283" s="465">
        <f t="shared" ca="1" si="129"/>
        <v>0</v>
      </c>
      <c r="O283" s="465">
        <f t="shared" ca="1" si="125"/>
        <v>0</v>
      </c>
      <c r="P283" s="465">
        <f t="shared" ca="1" si="126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2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5"/>
        <v>0</v>
      </c>
      <c r="P284" s="93">
        <f t="shared" si="126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2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IFERROR(__xludf.DUMMYFUNCTION("IMPORTRANGE(""https://docs.google.com/spreadsheets/d/1MeEWN-I1oV_STSDYn1IFDPWt_1FKiwhDph83XaGc0o0/edit?usp=sharing"",""งบพรบ!DL24"")"),0)</f>
        <v>0</v>
      </c>
      <c r="M285" s="93">
        <f ca="1">IFERROR(__xludf.DUMMYFUNCTION("IMPORTRANGE(""https://docs.google.com/spreadsheets/d/1MeEWN-I1oV_STSDYn1IFDPWt_1FKiwhDph83XaGc0o0/edit?usp=sharing"",""งบพรบ!DO24"")"),0)</f>
        <v>0</v>
      </c>
      <c r="N285" s="93">
        <f ca="1">IFERROR(__xludf.DUMMYFUNCTION("IMPORTRANGE(""https://docs.google.com/spreadsheets/d/1MeEWN-I1oV_STSDYn1IFDPWt_1FKiwhDph83XaGc0o0/edit?usp=sharing"",""งบพรบ!DQ24"")"),0)</f>
        <v>0</v>
      </c>
      <c r="O285" s="93">
        <f t="shared" ca="1" si="125"/>
        <v>0</v>
      </c>
      <c r="P285" s="93">
        <f t="shared" ca="1" si="126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>
      <c r="A286" s="170"/>
      <c r="B286" s="171"/>
      <c r="C286" s="164" t="s">
        <v>16</v>
      </c>
      <c r="D286" s="818" t="s">
        <v>38</v>
      </c>
      <c r="E286" s="173"/>
      <c r="F286" s="173"/>
      <c r="G286" s="174"/>
      <c r="H286" s="726"/>
      <c r="I286" s="184"/>
      <c r="J286" s="184"/>
      <c r="K286" s="163"/>
      <c r="L286" s="163"/>
      <c r="M286" s="163"/>
      <c r="N286" s="163"/>
      <c r="O286" s="163"/>
      <c r="P286" s="163"/>
    </row>
    <row r="287" spans="1:26" ht="18.75">
      <c r="A287" s="170"/>
      <c r="B287" s="171"/>
      <c r="C287" s="171"/>
      <c r="D287" s="592" t="s">
        <v>129</v>
      </c>
      <c r="E287" s="171"/>
      <c r="F287" s="342"/>
      <c r="G287" s="179"/>
      <c r="H287" s="185" t="s">
        <v>46</v>
      </c>
      <c r="I287" s="269">
        <f ca="1">IFERROR(__xludf.DUMMYFUNCTION("IMPORTRANGE(""https://docs.google.com/spreadsheets/d/1QqKyyYR6Q21VydFLVH3TRQUabQu_ym0Zz7PgGX0-kHA/edit?usp=sharing"",""แผน!EC24"")"),100)</f>
        <v>100</v>
      </c>
      <c r="J287" s="214">
        <v>0</v>
      </c>
      <c r="K287" s="163">
        <f t="shared" ref="K287:K288" ca="1" si="130">IF(I287&gt;0,J287*100/I287,0)</f>
        <v>0</v>
      </c>
      <c r="L287" s="163"/>
      <c r="M287" s="163"/>
      <c r="N287" s="163"/>
      <c r="O287" s="163"/>
      <c r="P287" s="163"/>
    </row>
    <row r="288" spans="1:26" ht="19.5">
      <c r="A288" s="170"/>
      <c r="B288" s="171"/>
      <c r="C288" s="171"/>
      <c r="D288" s="592" t="s">
        <v>130</v>
      </c>
      <c r="E288" s="171"/>
      <c r="F288" s="342"/>
      <c r="G288" s="179"/>
      <c r="H288" s="180" t="s">
        <v>35</v>
      </c>
      <c r="I288" s="647">
        <f ca="1">IFERROR(__xludf.DUMMYFUNCTION("IMPORTRANGE(""https://docs.google.com/spreadsheets/d/1QqKyyYR6Q21VydFLVH3TRQUabQu_ym0Zz7PgGX0-kHA/edit?usp=sharing"",""แผน!EB24"")"),10)</f>
        <v>10</v>
      </c>
      <c r="J288" s="647">
        <f ca="1">IF(AND(J291&gt;=I288,J294&gt;=I288),J294,0)</f>
        <v>0</v>
      </c>
      <c r="K288" s="379">
        <f t="shared" ca="1" si="130"/>
        <v>0</v>
      </c>
      <c r="L288" s="163"/>
      <c r="M288" s="163"/>
      <c r="N288" s="163"/>
      <c r="O288" s="163"/>
      <c r="P288" s="163"/>
    </row>
    <row r="289" spans="1:26" ht="19.5">
      <c r="A289" s="170"/>
      <c r="B289" s="171"/>
      <c r="C289" s="171"/>
      <c r="D289" s="380"/>
      <c r="E289" s="381" t="s">
        <v>131</v>
      </c>
      <c r="F289" s="342"/>
      <c r="G289" s="179"/>
      <c r="H289" s="728"/>
      <c r="I289" s="184"/>
      <c r="J289" s="269"/>
      <c r="K289" s="163"/>
      <c r="L289" s="163"/>
      <c r="M289" s="163"/>
      <c r="N289" s="163"/>
      <c r="O289" s="163"/>
      <c r="P289" s="163"/>
    </row>
    <row r="290" spans="1:26" ht="19.5">
      <c r="A290" s="170"/>
      <c r="B290" s="171"/>
      <c r="C290" s="171"/>
      <c r="D290" s="380"/>
      <c r="E290" s="592" t="s">
        <v>132</v>
      </c>
      <c r="F290" s="342"/>
      <c r="G290" s="179"/>
      <c r="H290" s="728" t="s">
        <v>35</v>
      </c>
      <c r="I290" s="184">
        <f ca="1">IFERROR(__xludf.DUMMYFUNCTION("IMPORTRANGE(""https://docs.google.com/spreadsheets/d/1QqKyyYR6Q21VydFLVH3TRQUabQu_ym0Zz7PgGX0-kHA/edit?usp=sharing"",""แผน!EB24"")"),10)</f>
        <v>10</v>
      </c>
      <c r="J290" s="214">
        <v>0</v>
      </c>
      <c r="K290" s="163">
        <f t="shared" ref="K290:K291" ca="1" si="131">IF(I290&gt;0,J290*100/I290,0)</f>
        <v>0</v>
      </c>
      <c r="L290" s="163"/>
      <c r="M290" s="163"/>
      <c r="N290" s="163"/>
      <c r="O290" s="163"/>
      <c r="P290" s="163"/>
    </row>
    <row r="291" spans="1:26" ht="19.5">
      <c r="A291" s="170"/>
      <c r="B291" s="171"/>
      <c r="C291" s="171"/>
      <c r="D291" s="342"/>
      <c r="E291" s="592" t="s">
        <v>133</v>
      </c>
      <c r="F291" s="342"/>
      <c r="G291" s="179"/>
      <c r="H291" s="728" t="s">
        <v>35</v>
      </c>
      <c r="I291" s="184">
        <f ca="1">IFERROR(__xludf.DUMMYFUNCTION("IMPORTRANGE(""https://docs.google.com/spreadsheets/d/1QqKyyYR6Q21VydFLVH3TRQUabQu_ym0Zz7PgGX0-kHA/edit?usp=sharing"",""แผน!EB24"")"),10)</f>
        <v>10</v>
      </c>
      <c r="J291" s="214">
        <v>0</v>
      </c>
      <c r="K291" s="163">
        <f t="shared" ca="1" si="131"/>
        <v>0</v>
      </c>
      <c r="L291" s="163"/>
      <c r="M291" s="163"/>
      <c r="N291" s="163"/>
      <c r="O291" s="163"/>
      <c r="P291" s="163"/>
    </row>
    <row r="292" spans="1:26" ht="19.5">
      <c r="A292" s="382"/>
      <c r="B292" s="383"/>
      <c r="C292" s="383"/>
      <c r="D292" s="384"/>
      <c r="E292" s="385" t="s">
        <v>134</v>
      </c>
      <c r="F292" s="286"/>
      <c r="G292" s="287"/>
      <c r="H292" s="386"/>
      <c r="I292" s="387"/>
      <c r="J292" s="388"/>
      <c r="K292" s="279"/>
      <c r="L292" s="279"/>
      <c r="M292" s="279"/>
      <c r="N292" s="279"/>
      <c r="O292" s="279"/>
      <c r="P292" s="279"/>
    </row>
    <row r="293" spans="1:26" ht="19.5">
      <c r="A293" s="170"/>
      <c r="B293" s="171"/>
      <c r="C293" s="171"/>
      <c r="D293" s="380"/>
      <c r="E293" s="592" t="s">
        <v>132</v>
      </c>
      <c r="F293" s="342"/>
      <c r="G293" s="179"/>
      <c r="H293" s="728" t="s">
        <v>35</v>
      </c>
      <c r="I293" s="184">
        <f ca="1">IFERROR(__xludf.DUMMYFUNCTION("IMPORTRANGE(""https://docs.google.com/spreadsheets/d/1QqKyyYR6Q21VydFLVH3TRQUabQu_ym0Zz7PgGX0-kHA/edit?usp=sharing"",""แผน!EB24"")"),10)</f>
        <v>10</v>
      </c>
      <c r="J293" s="214">
        <v>0</v>
      </c>
      <c r="K293" s="163">
        <f t="shared" ref="K293:K294" ca="1" si="132">IF(I293&gt;0,J293*100/I293,0)</f>
        <v>0</v>
      </c>
      <c r="L293" s="163"/>
      <c r="M293" s="163"/>
      <c r="N293" s="163"/>
      <c r="O293" s="163"/>
      <c r="P293" s="163"/>
    </row>
    <row r="294" spans="1:26" ht="19.5">
      <c r="A294" s="346"/>
      <c r="B294" s="347"/>
      <c r="C294" s="347"/>
      <c r="D294" s="349"/>
      <c r="E294" s="698" t="s">
        <v>136</v>
      </c>
      <c r="F294" s="349"/>
      <c r="G294" s="350"/>
      <c r="H294" s="390" t="s">
        <v>35</v>
      </c>
      <c r="I294" s="391">
        <f ca="1">IFERROR(__xludf.DUMMYFUNCTION("IMPORTRANGE(""https://docs.google.com/spreadsheets/d/1QqKyyYR6Q21VydFLVH3TRQUabQu_ym0Zz7PgGX0-kHA/edit?usp=sharing"",""แผน!EB24"")"),10)</f>
        <v>10</v>
      </c>
      <c r="J294" s="392">
        <v>0</v>
      </c>
      <c r="K294" s="353">
        <f t="shared" ca="1" si="132"/>
        <v>0</v>
      </c>
      <c r="L294" s="353"/>
      <c r="M294" s="353"/>
      <c r="N294" s="353"/>
      <c r="O294" s="353"/>
      <c r="P294" s="353"/>
    </row>
    <row r="295" spans="1:26" ht="19.5">
      <c r="A295" s="393" t="s">
        <v>137</v>
      </c>
      <c r="B295" s="394"/>
      <c r="C295" s="394"/>
      <c r="D295" s="394"/>
      <c r="E295" s="395"/>
      <c r="F295" s="395"/>
      <c r="G295" s="396"/>
      <c r="H295" s="397"/>
      <c r="I295" s="398"/>
      <c r="J295" s="398"/>
      <c r="K295" s="399"/>
      <c r="L295" s="399"/>
      <c r="M295" s="399"/>
      <c r="N295" s="399"/>
      <c r="O295" s="399"/>
      <c r="P295" s="399"/>
    </row>
    <row r="296" spans="1:26" ht="19.5">
      <c r="A296" s="400" t="s">
        <v>138</v>
      </c>
      <c r="B296" s="401"/>
      <c r="C296" s="401"/>
      <c r="D296" s="402"/>
      <c r="E296" s="402"/>
      <c r="F296" s="402"/>
      <c r="G296" s="403"/>
      <c r="H296" s="404"/>
      <c r="I296" s="405"/>
      <c r="J296" s="405"/>
      <c r="K296" s="406"/>
      <c r="L296" s="406"/>
      <c r="M296" s="406"/>
      <c r="N296" s="406"/>
      <c r="O296" s="406"/>
      <c r="P296" s="406"/>
    </row>
    <row r="297" spans="1:26" ht="19.5">
      <c r="A297" s="407"/>
      <c r="B297" s="408" t="s">
        <v>139</v>
      </c>
      <c r="C297" s="409"/>
      <c r="D297" s="409"/>
      <c r="E297" s="409"/>
      <c r="F297" s="409"/>
      <c r="G297" s="410"/>
      <c r="H297" s="411" t="s">
        <v>35</v>
      </c>
      <c r="I297" s="412">
        <f t="shared" ref="I297:J297" ca="1" si="133">I309</f>
        <v>20</v>
      </c>
      <c r="J297" s="412">
        <f t="shared" si="133"/>
        <v>20</v>
      </c>
      <c r="K297" s="413">
        <f ca="1">IF(I297&gt;0,J297*100/I297,0)</f>
        <v>100</v>
      </c>
      <c r="L297" s="414"/>
      <c r="M297" s="414"/>
      <c r="N297" s="414"/>
      <c r="O297" s="414"/>
      <c r="P297" s="414"/>
    </row>
    <row r="298" spans="1:26" ht="19.5">
      <c r="A298" s="147"/>
      <c r="B298" s="148"/>
      <c r="C298" s="149" t="s">
        <v>16</v>
      </c>
      <c r="D298" s="817" t="s">
        <v>17</v>
      </c>
      <c r="E298" s="148"/>
      <c r="F298" s="148"/>
      <c r="G298" s="151"/>
      <c r="H298" s="152" t="s">
        <v>12</v>
      </c>
      <c r="I298" s="388"/>
      <c r="J298" s="388"/>
      <c r="K298" s="154"/>
      <c r="L298" s="155">
        <f t="shared" ref="L298:N298" ca="1" si="134">L299+L300</f>
        <v>225400</v>
      </c>
      <c r="M298" s="155">
        <f t="shared" ca="1" si="134"/>
        <v>114120</v>
      </c>
      <c r="N298" s="155">
        <f t="shared" ca="1" si="134"/>
        <v>76472</v>
      </c>
      <c r="O298" s="155">
        <f t="shared" ref="O298:O306" ca="1" si="135">IF(L298&gt;0,N298*100/L298,0)</f>
        <v>33.927240461401951</v>
      </c>
      <c r="P298" s="155">
        <f t="shared" ref="P298:P306" ca="1" si="136">IF(M298&gt;0,N298*100/M298,0)</f>
        <v>67.010164738871367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2" t="s">
        <v>18</v>
      </c>
      <c r="F299" s="40"/>
      <c r="G299" s="157"/>
      <c r="H299" s="158" t="s">
        <v>12</v>
      </c>
      <c r="I299" s="583"/>
      <c r="J299" s="583"/>
      <c r="K299" s="93"/>
      <c r="L299" s="93">
        <f t="shared" ref="L299:N300" si="137">L302+L305</f>
        <v>0</v>
      </c>
      <c r="M299" s="93">
        <f t="shared" si="137"/>
        <v>0</v>
      </c>
      <c r="N299" s="93">
        <f t="shared" si="137"/>
        <v>0</v>
      </c>
      <c r="O299" s="93">
        <f t="shared" si="135"/>
        <v>0</v>
      </c>
      <c r="P299" s="93">
        <f t="shared" si="136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2" t="s">
        <v>19</v>
      </c>
      <c r="F300" s="40"/>
      <c r="G300" s="157"/>
      <c r="H300" s="158" t="s">
        <v>12</v>
      </c>
      <c r="I300" s="583"/>
      <c r="J300" s="583"/>
      <c r="K300" s="93"/>
      <c r="L300" s="93">
        <f t="shared" ca="1" si="137"/>
        <v>225400</v>
      </c>
      <c r="M300" s="93">
        <f t="shared" ca="1" si="137"/>
        <v>114120</v>
      </c>
      <c r="N300" s="93">
        <f t="shared" ca="1" si="137"/>
        <v>76472</v>
      </c>
      <c r="O300" s="93">
        <f t="shared" ca="1" si="135"/>
        <v>33.927240461401951</v>
      </c>
      <c r="P300" s="93">
        <f t="shared" ca="1" si="136"/>
        <v>67.010164738871367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>
      <c r="A301" s="159"/>
      <c r="B301" s="33"/>
      <c r="C301" s="281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65">
        <f t="shared" ref="L301:N301" ca="1" si="138">L302+L303</f>
        <v>225400</v>
      </c>
      <c r="M301" s="465">
        <f t="shared" ca="1" si="138"/>
        <v>114120</v>
      </c>
      <c r="N301" s="465">
        <f t="shared" ca="1" si="138"/>
        <v>76472</v>
      </c>
      <c r="O301" s="465">
        <f t="shared" ca="1" si="135"/>
        <v>33.927240461401951</v>
      </c>
      <c r="P301" s="465">
        <f t="shared" ca="1" si="136"/>
        <v>67.010164738871367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2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5"/>
        <v>0</v>
      </c>
      <c r="P302" s="93">
        <f t="shared" si="136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2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IFERROR(__xludf.DUMMYFUNCTION("IMPORTRANGE(""https://docs.google.com/spreadsheets/d/1MeEWN-I1oV_STSDYn1IFDPWt_1FKiwhDph83XaGc0o0/edit?usp=sharing"",""งบพรบ!DS24"")"),225400)</f>
        <v>225400</v>
      </c>
      <c r="M303" s="93">
        <f ca="1">IFERROR(__xludf.DUMMYFUNCTION("IMPORTRANGE(""https://docs.google.com/spreadsheets/d/1MeEWN-I1oV_STSDYn1IFDPWt_1FKiwhDph83XaGc0o0/edit?usp=sharing"",""งบพรบ!DX24"")"),114120)</f>
        <v>114120</v>
      </c>
      <c r="N303" s="93">
        <f ca="1">IFERROR(__xludf.DUMMYFUNCTION("IMPORTRANGE(""https://docs.google.com/spreadsheets/d/1MeEWN-I1oV_STSDYn1IFDPWt_1FKiwhDph83XaGc0o0/edit?usp=sharing"",""งบพรบ!DZ24"")"),76472)</f>
        <v>76472</v>
      </c>
      <c r="O303" s="93">
        <f t="shared" ca="1" si="135"/>
        <v>33.927240461401951</v>
      </c>
      <c r="P303" s="93">
        <f t="shared" ca="1" si="136"/>
        <v>67.010164738871367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>
      <c r="A304" s="159"/>
      <c r="B304" s="33"/>
      <c r="C304" s="281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65">
        <f t="shared" ref="L304:N304" ca="1" si="139">L305+L306</f>
        <v>0</v>
      </c>
      <c r="M304" s="465">
        <f t="shared" ca="1" si="139"/>
        <v>0</v>
      </c>
      <c r="N304" s="465">
        <f t="shared" ca="1" si="139"/>
        <v>0</v>
      </c>
      <c r="O304" s="465">
        <f t="shared" ca="1" si="135"/>
        <v>0</v>
      </c>
      <c r="P304" s="465">
        <f t="shared" ca="1" si="136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2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5"/>
        <v>0</v>
      </c>
      <c r="P305" s="93">
        <f t="shared" si="136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2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IFERROR(__xludf.DUMMYFUNCTION("IMPORTRANGE(""https://docs.google.com/spreadsheets/d/1MeEWN-I1oV_STSDYn1IFDPWt_1FKiwhDph83XaGc0o0/edit?usp=sharing"",""งบพรบ!DV24"")"),0)</f>
        <v>0</v>
      </c>
      <c r="M306" s="93">
        <f ca="1">IFERROR(__xludf.DUMMYFUNCTION("IMPORTRANGE(""https://docs.google.com/spreadsheets/d/1MeEWN-I1oV_STSDYn1IFDPWt_1FKiwhDph83XaGc0o0/edit?usp=sharing"",""งบพรบ!DY24"")"),0)</f>
        <v>0</v>
      </c>
      <c r="N306" s="93">
        <f ca="1">IFERROR(__xludf.DUMMYFUNCTION("IMPORTRANGE(""https://docs.google.com/spreadsheets/d/1MeEWN-I1oV_STSDYn1IFDPWt_1FKiwhDph83XaGc0o0/edit?usp=sharing"",""งบพรบ!EA24"")"),0)</f>
        <v>0</v>
      </c>
      <c r="O306" s="93">
        <f t="shared" ca="1" si="135"/>
        <v>0</v>
      </c>
      <c r="P306" s="93">
        <f t="shared" ca="1" si="136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>
      <c r="A307" s="170"/>
      <c r="B307" s="171"/>
      <c r="C307" s="164" t="s">
        <v>16</v>
      </c>
      <c r="D307" s="818" t="s">
        <v>38</v>
      </c>
      <c r="E307" s="173"/>
      <c r="F307" s="173"/>
      <c r="G307" s="174"/>
      <c r="H307" s="726"/>
      <c r="I307" s="269"/>
      <c r="J307" s="269"/>
      <c r="K307" s="465"/>
      <c r="L307" s="465"/>
      <c r="M307" s="465"/>
      <c r="N307" s="465"/>
      <c r="O307" s="465"/>
      <c r="P307" s="465"/>
    </row>
    <row r="308" spans="1:26" ht="18.75">
      <c r="A308" s="170"/>
      <c r="B308" s="171"/>
      <c r="C308" s="171"/>
      <c r="D308" s="415" t="s">
        <v>140</v>
      </c>
      <c r="E308" s="415"/>
      <c r="F308" s="415"/>
      <c r="G308" s="179"/>
      <c r="H308" s="728"/>
      <c r="I308" s="269"/>
      <c r="J308" s="214"/>
      <c r="K308" s="465"/>
      <c r="L308" s="465"/>
      <c r="M308" s="465"/>
      <c r="N308" s="465"/>
      <c r="O308" s="465"/>
      <c r="P308" s="465"/>
    </row>
    <row r="309" spans="1:26" ht="18.75">
      <c r="A309" s="170"/>
      <c r="B309" s="171"/>
      <c r="C309" s="171"/>
      <c r="D309" s="415" t="s">
        <v>141</v>
      </c>
      <c r="E309" s="415"/>
      <c r="F309" s="415"/>
      <c r="G309" s="179"/>
      <c r="H309" s="728" t="s">
        <v>35</v>
      </c>
      <c r="I309" s="269">
        <f ca="1">IFERROR(__xludf.DUMMYFUNCTION("IMPORTRANGE(""https://docs.google.com/spreadsheets/d/1QqKyyYR6Q21VydFLVH3TRQUabQu_ym0Zz7PgGX0-kHA/edit?usp=sharing"",""แผน!ED24"")"),20)</f>
        <v>20</v>
      </c>
      <c r="J309" s="214">
        <v>20</v>
      </c>
      <c r="K309" s="465">
        <f t="shared" ref="K309:K312" ca="1" si="140">IF(I309&gt;0,J309*100/I309,0)</f>
        <v>100</v>
      </c>
      <c r="L309" s="465"/>
      <c r="M309" s="465"/>
      <c r="N309" s="465"/>
      <c r="O309" s="465"/>
      <c r="P309" s="465"/>
    </row>
    <row r="310" spans="1:26" ht="18.75">
      <c r="A310" s="170"/>
      <c r="B310" s="171"/>
      <c r="C310" s="171"/>
      <c r="D310" s="415" t="s">
        <v>142</v>
      </c>
      <c r="E310" s="415"/>
      <c r="F310" s="415"/>
      <c r="G310" s="179"/>
      <c r="H310" s="728" t="s">
        <v>35</v>
      </c>
      <c r="I310" s="269">
        <f ca="1">IFERROR(__xludf.DUMMYFUNCTION("IMPORTRANGE(""https://docs.google.com/spreadsheets/d/1QqKyyYR6Q21VydFLVH3TRQUabQu_ym0Zz7PgGX0-kHA/edit?usp=sharing"",""แผน!ED24"")"),20)</f>
        <v>20</v>
      </c>
      <c r="J310" s="214">
        <v>20</v>
      </c>
      <c r="K310" s="465">
        <f t="shared" ca="1" si="140"/>
        <v>100</v>
      </c>
      <c r="L310" s="465"/>
      <c r="M310" s="465"/>
      <c r="N310" s="465"/>
      <c r="O310" s="465"/>
      <c r="P310" s="465"/>
    </row>
    <row r="311" spans="1:26" ht="18.75">
      <c r="A311" s="170"/>
      <c r="B311" s="171"/>
      <c r="C311" s="171"/>
      <c r="D311" s="415" t="s">
        <v>59</v>
      </c>
      <c r="E311" s="415"/>
      <c r="F311" s="415"/>
      <c r="G311" s="179"/>
      <c r="H311" s="728" t="s">
        <v>35</v>
      </c>
      <c r="I311" s="269">
        <f ca="1">IFERROR(__xludf.DUMMYFUNCTION("IMPORTRANGE(""https://docs.google.com/spreadsheets/d/1QqKyyYR6Q21VydFLVH3TRQUabQu_ym0Zz7PgGX0-kHA/edit?usp=sharing"",""แผน!ED24"")"),20)</f>
        <v>20</v>
      </c>
      <c r="J311" s="214">
        <v>0</v>
      </c>
      <c r="K311" s="465">
        <f t="shared" ca="1" si="140"/>
        <v>0</v>
      </c>
      <c r="L311" s="465"/>
      <c r="M311" s="465"/>
      <c r="N311" s="465"/>
      <c r="O311" s="465"/>
      <c r="P311" s="465"/>
    </row>
    <row r="312" spans="1:26" ht="18.75">
      <c r="A312" s="170"/>
      <c r="B312" s="171"/>
      <c r="C312" s="171"/>
      <c r="D312" s="415" t="s">
        <v>143</v>
      </c>
      <c r="E312" s="415"/>
      <c r="F312" s="415"/>
      <c r="G312" s="179"/>
      <c r="H312" s="728" t="s">
        <v>35</v>
      </c>
      <c r="I312" s="269">
        <f ca="1">IFERROR(__xludf.DUMMYFUNCTION("IMPORTRANGE(""https://docs.google.com/spreadsheets/d/1QqKyyYR6Q21VydFLVH3TRQUabQu_ym0Zz7PgGX0-kHA/edit?usp=sharing"",""แผน!EE24"")"),4)</f>
        <v>4</v>
      </c>
      <c r="J312" s="214">
        <v>0</v>
      </c>
      <c r="K312" s="465">
        <f t="shared" ca="1" si="140"/>
        <v>0</v>
      </c>
      <c r="L312" s="465"/>
      <c r="M312" s="465"/>
      <c r="N312" s="465"/>
      <c r="O312" s="465"/>
      <c r="P312" s="465"/>
    </row>
    <row r="313" spans="1:26" ht="19.5" hidden="1">
      <c r="A313" s="400" t="s">
        <v>144</v>
      </c>
      <c r="B313" s="401"/>
      <c r="C313" s="401"/>
      <c r="D313" s="402"/>
      <c r="E313" s="401"/>
      <c r="F313" s="401"/>
      <c r="G313" s="401"/>
      <c r="H313" s="417"/>
      <c r="I313" s="405"/>
      <c r="J313" s="405"/>
      <c r="K313" s="406"/>
      <c r="L313" s="406"/>
      <c r="M313" s="406"/>
      <c r="N313" s="406"/>
      <c r="O313" s="406"/>
      <c r="P313" s="406"/>
    </row>
    <row r="314" spans="1:26" ht="19.5" hidden="1">
      <c r="A314" s="418"/>
      <c r="B314" s="408" t="s">
        <v>145</v>
      </c>
      <c r="C314" s="419"/>
      <c r="D314" s="420"/>
      <c r="E314" s="409"/>
      <c r="F314" s="409"/>
      <c r="G314" s="410"/>
      <c r="H314" s="411" t="s">
        <v>146</v>
      </c>
      <c r="I314" s="412">
        <f t="shared" ref="I314:J314" ca="1" si="141">I325</f>
        <v>0</v>
      </c>
      <c r="J314" s="412">
        <f t="shared" si="141"/>
        <v>0</v>
      </c>
      <c r="K314" s="413">
        <f ca="1">IF(I314&gt;0,J314*100/I314,0)</f>
        <v>0</v>
      </c>
      <c r="L314" s="414"/>
      <c r="M314" s="414"/>
      <c r="N314" s="414"/>
      <c r="O314" s="414"/>
      <c r="P314" s="414"/>
    </row>
    <row r="315" spans="1:26" ht="19.5" hidden="1">
      <c r="A315" s="147"/>
      <c r="B315" s="148"/>
      <c r="C315" s="149" t="s">
        <v>16</v>
      </c>
      <c r="D315" s="817" t="s">
        <v>17</v>
      </c>
      <c r="E315" s="148"/>
      <c r="F315" s="148"/>
      <c r="G315" s="151"/>
      <c r="H315" s="152" t="s">
        <v>12</v>
      </c>
      <c r="I315" s="388"/>
      <c r="J315" s="388"/>
      <c r="K315" s="154"/>
      <c r="L315" s="155">
        <f t="shared" ref="L315:N315" ca="1" si="142">L316+L317</f>
        <v>0</v>
      </c>
      <c r="M315" s="155">
        <f t="shared" ca="1" si="142"/>
        <v>0</v>
      </c>
      <c r="N315" s="155">
        <f t="shared" ca="1" si="142"/>
        <v>0</v>
      </c>
      <c r="O315" s="155">
        <f t="shared" ref="O315:O323" ca="1" si="143">IF(L315&gt;0,N315*100/L315,0)</f>
        <v>0</v>
      </c>
      <c r="P315" s="155">
        <f t="shared" ref="P315:P323" ca="1" si="144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2" t="s">
        <v>18</v>
      </c>
      <c r="F316" s="40"/>
      <c r="G316" s="157"/>
      <c r="H316" s="158" t="s">
        <v>12</v>
      </c>
      <c r="I316" s="583"/>
      <c r="J316" s="583"/>
      <c r="K316" s="93"/>
      <c r="L316" s="93">
        <f t="shared" ref="L316:N317" si="145">L319+L322</f>
        <v>0</v>
      </c>
      <c r="M316" s="93">
        <f t="shared" si="145"/>
        <v>0</v>
      </c>
      <c r="N316" s="93">
        <f t="shared" si="145"/>
        <v>0</v>
      </c>
      <c r="O316" s="93">
        <f t="shared" si="143"/>
        <v>0</v>
      </c>
      <c r="P316" s="93">
        <f t="shared" si="144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2" t="s">
        <v>19</v>
      </c>
      <c r="F317" s="40"/>
      <c r="G317" s="157"/>
      <c r="H317" s="158" t="s">
        <v>12</v>
      </c>
      <c r="I317" s="583"/>
      <c r="J317" s="583"/>
      <c r="K317" s="93"/>
      <c r="L317" s="93">
        <f t="shared" ca="1" si="145"/>
        <v>0</v>
      </c>
      <c r="M317" s="93">
        <f t="shared" ca="1" si="145"/>
        <v>0</v>
      </c>
      <c r="N317" s="93">
        <f t="shared" ca="1" si="145"/>
        <v>0</v>
      </c>
      <c r="O317" s="93">
        <f t="shared" ca="1" si="143"/>
        <v>0</v>
      </c>
      <c r="P317" s="93">
        <f t="shared" ca="1" si="144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1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65">
        <f t="shared" ref="L318:N318" ca="1" si="146">L319+L320</f>
        <v>0</v>
      </c>
      <c r="M318" s="465">
        <f t="shared" ca="1" si="146"/>
        <v>0</v>
      </c>
      <c r="N318" s="465">
        <f t="shared" ca="1" si="146"/>
        <v>0</v>
      </c>
      <c r="O318" s="465">
        <f t="shared" ca="1" si="143"/>
        <v>0</v>
      </c>
      <c r="P318" s="465">
        <f t="shared" ca="1" si="144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2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3"/>
        <v>0</v>
      </c>
      <c r="P319" s="93">
        <f t="shared" si="144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2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IFERROR(__xludf.DUMMYFUNCTION("IMPORTRANGE(""https://docs.google.com/spreadsheets/d/1MeEWN-I1oV_STSDYn1IFDPWt_1FKiwhDph83XaGc0o0/edit?usp=sharing"",""งบพรบ!EC24"")"),0)</f>
        <v>0</v>
      </c>
      <c r="M320" s="93">
        <f ca="1">IFERROR(__xludf.DUMMYFUNCTION("IMPORTRANGE(""https://docs.google.com/spreadsheets/d/1MeEWN-I1oV_STSDYn1IFDPWt_1FKiwhDph83XaGc0o0/edit?usp=sharing"",""งบพรบ!EH24"")"),0)</f>
        <v>0</v>
      </c>
      <c r="N320" s="93">
        <f ca="1">IFERROR(__xludf.DUMMYFUNCTION("IMPORTRANGE(""https://docs.google.com/spreadsheets/d/1MeEWN-I1oV_STSDYn1IFDPWt_1FKiwhDph83XaGc0o0/edit?usp=sharing"",""งบพรบ!EJ24"")"),0)</f>
        <v>0</v>
      </c>
      <c r="O320" s="93">
        <f t="shared" ca="1" si="143"/>
        <v>0</v>
      </c>
      <c r="P320" s="93">
        <f t="shared" ca="1" si="144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1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65">
        <f t="shared" ref="L321:N321" ca="1" si="147">L322+L323</f>
        <v>0</v>
      </c>
      <c r="M321" s="465">
        <f t="shared" ca="1" si="147"/>
        <v>0</v>
      </c>
      <c r="N321" s="465">
        <f t="shared" ca="1" si="147"/>
        <v>0</v>
      </c>
      <c r="O321" s="465">
        <f t="shared" ca="1" si="143"/>
        <v>0</v>
      </c>
      <c r="P321" s="465">
        <f t="shared" ca="1" si="144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2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3"/>
        <v>0</v>
      </c>
      <c r="P322" s="93">
        <f t="shared" si="144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2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IFERROR(__xludf.DUMMYFUNCTION("IMPORTRANGE(""https://docs.google.com/spreadsheets/d/1MeEWN-I1oV_STSDYn1IFDPWt_1FKiwhDph83XaGc0o0/edit?usp=sharing"",""งบพรบ!EF24"")"),0)</f>
        <v>0</v>
      </c>
      <c r="M323" s="93">
        <f ca="1">IFERROR(__xludf.DUMMYFUNCTION("IMPORTRANGE(""https://docs.google.com/spreadsheets/d/1MeEWN-I1oV_STSDYn1IFDPWt_1FKiwhDph83XaGc0o0/edit?usp=sharing"",""งบพรบ!EI24"")"),0)</f>
        <v>0</v>
      </c>
      <c r="N323" s="93">
        <f ca="1">IFERROR(__xludf.DUMMYFUNCTION("IMPORTRANGE(""https://docs.google.com/spreadsheets/d/1MeEWN-I1oV_STSDYn1IFDPWt_1FKiwhDph83XaGc0o0/edit?usp=sharing"",""งบพรบ!EK24"")"),0)</f>
        <v>0</v>
      </c>
      <c r="O323" s="93">
        <f t="shared" ca="1" si="143"/>
        <v>0</v>
      </c>
      <c r="P323" s="93">
        <f t="shared" ca="1" si="144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18" t="s">
        <v>38</v>
      </c>
      <c r="E324" s="173"/>
      <c r="F324" s="173"/>
      <c r="G324" s="174"/>
      <c r="H324" s="726"/>
      <c r="I324" s="184"/>
      <c r="J324" s="269"/>
      <c r="K324" s="465"/>
      <c r="L324" s="465"/>
      <c r="M324" s="465"/>
      <c r="N324" s="465"/>
      <c r="O324" s="163"/>
      <c r="P324" s="163"/>
    </row>
    <row r="325" spans="1:26" ht="18.75" hidden="1">
      <c r="A325" s="170"/>
      <c r="B325" s="171"/>
      <c r="C325" s="171"/>
      <c r="D325" s="343" t="s">
        <v>147</v>
      </c>
      <c r="E325" s="342"/>
      <c r="F325" s="415"/>
      <c r="G325" s="179"/>
      <c r="H325" s="589" t="s">
        <v>146</v>
      </c>
      <c r="I325" s="269">
        <f ca="1">IFERROR(__xludf.DUMMYFUNCTION("IMPORTRANGE(""https://docs.google.com/spreadsheets/d/1QqKyyYR6Q21VydFLVH3TRQUabQu_ym0Zz7PgGX0-kHA/edit?usp=sharing"",""แผน!EF24"")"),0)</f>
        <v>0</v>
      </c>
      <c r="J325" s="214">
        <v>0</v>
      </c>
      <c r="K325" s="465">
        <f ca="1">IF(I325&gt;0,J325*100/I325,0)</f>
        <v>0</v>
      </c>
      <c r="L325" s="465"/>
      <c r="M325" s="465"/>
      <c r="N325" s="465"/>
      <c r="O325" s="163"/>
      <c r="P325" s="163"/>
    </row>
    <row r="326" spans="1:26" ht="19.5">
      <c r="A326" s="400" t="s">
        <v>148</v>
      </c>
      <c r="B326" s="401"/>
      <c r="C326" s="401"/>
      <c r="D326" s="402"/>
      <c r="E326" s="401"/>
      <c r="F326" s="401"/>
      <c r="G326" s="401"/>
      <c r="H326" s="417"/>
      <c r="I326" s="405"/>
      <c r="J326" s="405"/>
      <c r="K326" s="406"/>
      <c r="L326" s="406"/>
      <c r="M326" s="406"/>
      <c r="N326" s="406"/>
      <c r="O326" s="406"/>
      <c r="P326" s="406"/>
    </row>
    <row r="327" spans="1:26" ht="19.5">
      <c r="A327" s="407"/>
      <c r="B327" s="408" t="s">
        <v>149</v>
      </c>
      <c r="C327" s="420"/>
      <c r="D327" s="409"/>
      <c r="E327" s="409"/>
      <c r="F327" s="409"/>
      <c r="G327" s="410"/>
      <c r="H327" s="411" t="s">
        <v>35</v>
      </c>
      <c r="I327" s="412">
        <f ca="1">IFERROR(__xludf.DUMMYFUNCTION("IMPORTRANGE(""https://docs.google.com/spreadsheets/d/1QqKyyYR6Q21VydFLVH3TRQUabQu_ym0Zz7PgGX0-kHA/edit?usp=sharing"",""แผน!EG24"")"),1700)</f>
        <v>1700</v>
      </c>
      <c r="J327" s="412">
        <f ca="1">J338+J341+J342+J343</f>
        <v>443</v>
      </c>
      <c r="K327" s="413">
        <f ca="1">IF(I327&gt;0,J327*100/I327,0)</f>
        <v>26.058823529411764</v>
      </c>
      <c r="L327" s="414"/>
      <c r="M327" s="414"/>
      <c r="N327" s="414"/>
      <c r="O327" s="414"/>
      <c r="P327" s="414"/>
    </row>
    <row r="328" spans="1:26" ht="19.5">
      <c r="A328" s="147"/>
      <c r="B328" s="148"/>
      <c r="C328" s="149" t="s">
        <v>16</v>
      </c>
      <c r="D328" s="817" t="s">
        <v>17</v>
      </c>
      <c r="E328" s="148"/>
      <c r="F328" s="148"/>
      <c r="G328" s="151"/>
      <c r="H328" s="152" t="s">
        <v>12</v>
      </c>
      <c r="I328" s="388"/>
      <c r="J328" s="388"/>
      <c r="K328" s="154"/>
      <c r="L328" s="155">
        <f t="shared" ref="L328:N328" ca="1" si="148">L329+L330</f>
        <v>170000</v>
      </c>
      <c r="M328" s="155">
        <f t="shared" ca="1" si="148"/>
        <v>85000</v>
      </c>
      <c r="N328" s="155">
        <f t="shared" ca="1" si="148"/>
        <v>30574</v>
      </c>
      <c r="O328" s="155">
        <f t="shared" ref="O328:O336" ca="1" si="149">IF(L328&gt;0,N328*100/L328,0)</f>
        <v>17.984705882352941</v>
      </c>
      <c r="P328" s="155">
        <f t="shared" ref="P328:P336" ca="1" si="150">IF(M328&gt;0,N328*100/M328,0)</f>
        <v>35.969411764705882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2" t="s">
        <v>18</v>
      </c>
      <c r="F329" s="40"/>
      <c r="G329" s="157"/>
      <c r="H329" s="158" t="s">
        <v>12</v>
      </c>
      <c r="I329" s="583"/>
      <c r="J329" s="583"/>
      <c r="K329" s="93"/>
      <c r="L329" s="93">
        <f t="shared" ref="L329:N330" si="151">L332+L335</f>
        <v>0</v>
      </c>
      <c r="M329" s="93">
        <f t="shared" si="151"/>
        <v>0</v>
      </c>
      <c r="N329" s="93">
        <f t="shared" si="151"/>
        <v>0</v>
      </c>
      <c r="O329" s="93">
        <f t="shared" si="149"/>
        <v>0</v>
      </c>
      <c r="P329" s="93">
        <f t="shared" si="150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2" t="s">
        <v>19</v>
      </c>
      <c r="F330" s="40"/>
      <c r="G330" s="157"/>
      <c r="H330" s="158" t="s">
        <v>12</v>
      </c>
      <c r="I330" s="583"/>
      <c r="J330" s="583"/>
      <c r="K330" s="93"/>
      <c r="L330" s="93">
        <f t="shared" ca="1" si="151"/>
        <v>170000</v>
      </c>
      <c r="M330" s="93">
        <f t="shared" ca="1" si="151"/>
        <v>85000</v>
      </c>
      <c r="N330" s="93">
        <f t="shared" ca="1" si="151"/>
        <v>30574</v>
      </c>
      <c r="O330" s="93">
        <f t="shared" ca="1" si="149"/>
        <v>17.984705882352941</v>
      </c>
      <c r="P330" s="93">
        <f t="shared" ca="1" si="150"/>
        <v>35.969411764705882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1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65">
        <f t="shared" ref="L331:N331" ca="1" si="152">L332+L333</f>
        <v>170000</v>
      </c>
      <c r="M331" s="465">
        <f t="shared" ca="1" si="152"/>
        <v>85000</v>
      </c>
      <c r="N331" s="465">
        <f t="shared" ca="1" si="152"/>
        <v>30574</v>
      </c>
      <c r="O331" s="465">
        <f t="shared" ca="1" si="149"/>
        <v>17.984705882352941</v>
      </c>
      <c r="P331" s="465">
        <f t="shared" ca="1" si="150"/>
        <v>35.969411764705882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2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49"/>
        <v>0</v>
      </c>
      <c r="P332" s="93">
        <f t="shared" si="150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2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IFERROR(__xludf.DUMMYFUNCTION("IMPORTRANGE(""https://docs.google.com/spreadsheets/d/1MeEWN-I1oV_STSDYn1IFDPWt_1FKiwhDph83XaGc0o0/edit?usp=sharing"",""งบพรบ!EM24"")"),170000)</f>
        <v>170000</v>
      </c>
      <c r="M333" s="93">
        <f ca="1">IFERROR(__xludf.DUMMYFUNCTION("IMPORTRANGE(""https://docs.google.com/spreadsheets/d/1MeEWN-I1oV_STSDYn1IFDPWt_1FKiwhDph83XaGc0o0/edit?usp=sharing"",""งบพรบ!ER24"")"),85000)</f>
        <v>85000</v>
      </c>
      <c r="N333" s="93">
        <f ca="1">IFERROR(__xludf.DUMMYFUNCTION("IMPORTRANGE(""https://docs.google.com/spreadsheets/d/1MeEWN-I1oV_STSDYn1IFDPWt_1FKiwhDph83XaGc0o0/edit?usp=sharing"",""งบพรบ!ET24"")"),30574)</f>
        <v>30574</v>
      </c>
      <c r="O333" s="93">
        <f t="shared" ca="1" si="149"/>
        <v>17.984705882352941</v>
      </c>
      <c r="P333" s="93">
        <f t="shared" ca="1" si="150"/>
        <v>35.969411764705882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1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65">
        <f t="shared" ref="L334:N334" ca="1" si="153">L335+L336</f>
        <v>0</v>
      </c>
      <c r="M334" s="465">
        <f t="shared" ca="1" si="153"/>
        <v>0</v>
      </c>
      <c r="N334" s="465">
        <f t="shared" ca="1" si="153"/>
        <v>0</v>
      </c>
      <c r="O334" s="465">
        <f t="shared" ca="1" si="149"/>
        <v>0</v>
      </c>
      <c r="P334" s="465">
        <f t="shared" ca="1" si="150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2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49"/>
        <v>0</v>
      </c>
      <c r="P335" s="93">
        <f t="shared" si="150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2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IFERROR(__xludf.DUMMYFUNCTION("IMPORTRANGE(""https://docs.google.com/spreadsheets/d/1MeEWN-I1oV_STSDYn1IFDPWt_1FKiwhDph83XaGc0o0/edit?usp=sharing"",""งบพรบ!EP24"")"),0)</f>
        <v>0</v>
      </c>
      <c r="M336" s="93">
        <f ca="1">IFERROR(__xludf.DUMMYFUNCTION("IMPORTRANGE(""https://docs.google.com/spreadsheets/d/1MeEWN-I1oV_STSDYn1IFDPWt_1FKiwhDph83XaGc0o0/edit?usp=sharing"",""งบพรบ!ES24"")"),0)</f>
        <v>0</v>
      </c>
      <c r="N336" s="93">
        <f ca="1">IFERROR(__xludf.DUMMYFUNCTION("IMPORTRANGE(""https://docs.google.com/spreadsheets/d/1MeEWN-I1oV_STSDYn1IFDPWt_1FKiwhDph83XaGc0o0/edit?usp=sharing"",""งบพรบ!EU24"")"),0)</f>
        <v>0</v>
      </c>
      <c r="O336" s="93">
        <f t="shared" ca="1" si="149"/>
        <v>0</v>
      </c>
      <c r="P336" s="93">
        <f t="shared" ca="1" si="150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18" t="s">
        <v>38</v>
      </c>
      <c r="E337" s="173"/>
      <c r="F337" s="173"/>
      <c r="G337" s="174"/>
      <c r="H337" s="726"/>
      <c r="I337" s="184"/>
      <c r="J337" s="269"/>
      <c r="K337" s="465"/>
      <c r="L337" s="465"/>
      <c r="M337" s="465"/>
      <c r="N337" s="465"/>
      <c r="O337" s="163"/>
      <c r="P337" s="163"/>
    </row>
    <row r="338" spans="1:26" ht="18.75">
      <c r="A338" s="283"/>
      <c r="B338" s="33"/>
      <c r="C338" s="280"/>
      <c r="D338" s="415" t="s">
        <v>150</v>
      </c>
      <c r="E338" s="171"/>
      <c r="F338" s="33"/>
      <c r="G338" s="35"/>
      <c r="H338" s="276" t="s">
        <v>35</v>
      </c>
      <c r="I338" s="269">
        <f ca="1">IFERROR(__xludf.DUMMYFUNCTION("IMPORTRANGE(""https://docs.google.com/spreadsheets/d/1QqKyyYR6Q21VydFLVH3TRQUabQu_ym0Zz7PgGX0-kHA/edit?usp=sharing"",""แผน!EG24"")"),1700)</f>
        <v>1700</v>
      </c>
      <c r="J338" s="269">
        <f ca="1">IFERROR(__xludf.DUMMYFUNCTION("IMPORTRANGE(""https://docs.google.com/spreadsheets/d/1kVcqe37tkHyjCSG3S0O1AXqVkqjo8mSIZil3BcpIysc/edit?usp=sharing"",""ศูนย์!D24"")"),443)</f>
        <v>443</v>
      </c>
      <c r="K338" s="465">
        <f ca="1">IF(I338&gt;0,J338*100/I338,0)</f>
        <v>26.058823529411764</v>
      </c>
      <c r="L338" s="465"/>
      <c r="M338" s="465"/>
      <c r="N338" s="465"/>
      <c r="O338" s="465"/>
      <c r="P338" s="465"/>
    </row>
    <row r="339" spans="1:26" ht="18.75">
      <c r="A339" s="283"/>
      <c r="B339" s="33"/>
      <c r="C339" s="280"/>
      <c r="D339" s="415" t="s">
        <v>151</v>
      </c>
      <c r="E339" s="171"/>
      <c r="F339" s="33"/>
      <c r="G339" s="35"/>
      <c r="H339" s="276"/>
      <c r="I339" s="269"/>
      <c r="J339" s="269"/>
      <c r="K339" s="465"/>
      <c r="L339" s="465"/>
      <c r="M339" s="465"/>
      <c r="N339" s="465"/>
      <c r="O339" s="465"/>
      <c r="P339" s="465"/>
    </row>
    <row r="340" spans="1:26" ht="18.75">
      <c r="A340" s="283"/>
      <c r="B340" s="33"/>
      <c r="C340" s="280"/>
      <c r="D340" s="342"/>
      <c r="E340" s="415" t="s">
        <v>152</v>
      </c>
      <c r="F340" s="33"/>
      <c r="G340" s="35"/>
      <c r="H340" s="276" t="s">
        <v>153</v>
      </c>
      <c r="I340" s="269">
        <f ca="1">IFERROR(__xludf.DUMMYFUNCTION("IMPORTRANGE(""https://docs.google.com/spreadsheets/d/1QqKyyYR6Q21VydFLVH3TRQUabQu_ym0Zz7PgGX0-kHA/edit?usp=sharing"",""แผน!EH24"")"),6)</f>
        <v>6</v>
      </c>
      <c r="J340" s="269">
        <f ca="1">IFERROR(__xludf.DUMMYFUNCTION("IMPORTRANGE(""https://docs.google.com/spreadsheets/d/1kVcqe37tkHyjCSG3S0O1AXqVkqjo8mSIZil3BcpIysc/edit?usp=sharing"",""ศูนย์!E24"")"),0)</f>
        <v>0</v>
      </c>
      <c r="K340" s="465">
        <f ca="1">IF(I340&gt;0,J340*100/I340,0)</f>
        <v>0</v>
      </c>
      <c r="L340" s="465"/>
      <c r="M340" s="465"/>
      <c r="N340" s="465"/>
      <c r="O340" s="465"/>
      <c r="P340" s="465"/>
    </row>
    <row r="341" spans="1:26" ht="18.75">
      <c r="A341" s="283"/>
      <c r="B341" s="33"/>
      <c r="C341" s="280"/>
      <c r="D341" s="342"/>
      <c r="E341" s="415" t="s">
        <v>154</v>
      </c>
      <c r="F341" s="33"/>
      <c r="G341" s="35"/>
      <c r="H341" s="276" t="s">
        <v>35</v>
      </c>
      <c r="I341" s="269"/>
      <c r="J341" s="269">
        <f ca="1">IFERROR(__xludf.DUMMYFUNCTION("IMPORTRANGE(""https://docs.google.com/spreadsheets/d/1kVcqe37tkHyjCSG3S0O1AXqVkqjo8mSIZil3BcpIysc/edit?usp=sharing"",""ศูนย์!F24"")"),0)</f>
        <v>0</v>
      </c>
      <c r="K341" s="465"/>
      <c r="L341" s="465"/>
      <c r="M341" s="465"/>
      <c r="N341" s="465"/>
      <c r="O341" s="465"/>
      <c r="P341" s="465"/>
    </row>
    <row r="342" spans="1:26" ht="18.75">
      <c r="A342" s="283"/>
      <c r="B342" s="33"/>
      <c r="C342" s="280"/>
      <c r="D342" s="415" t="s">
        <v>155</v>
      </c>
      <c r="E342" s="342"/>
      <c r="F342" s="342"/>
      <c r="G342" s="35"/>
      <c r="H342" s="276" t="s">
        <v>35</v>
      </c>
      <c r="I342" s="269"/>
      <c r="J342" s="269">
        <f ca="1">IFERROR(__xludf.DUMMYFUNCTION("IMPORTRANGE(""https://docs.google.com/spreadsheets/d/1kVcqe37tkHyjCSG3S0O1AXqVkqjo8mSIZil3BcpIysc/edit?usp=sharing"",""ศูนย์!G24"")"),0)</f>
        <v>0</v>
      </c>
      <c r="K342" s="465"/>
      <c r="L342" s="465"/>
      <c r="M342" s="465"/>
      <c r="N342" s="465"/>
      <c r="O342" s="465"/>
      <c r="P342" s="465"/>
    </row>
    <row r="343" spans="1:26" ht="18.75">
      <c r="A343" s="283"/>
      <c r="B343" s="33"/>
      <c r="C343" s="280"/>
      <c r="D343" s="415" t="s">
        <v>156</v>
      </c>
      <c r="E343" s="342"/>
      <c r="F343" s="342"/>
      <c r="G343" s="35"/>
      <c r="H343" s="276" t="s">
        <v>35</v>
      </c>
      <c r="I343" s="269"/>
      <c r="J343" s="269">
        <f ca="1">IFERROR(__xludf.DUMMYFUNCTION("IMPORTRANGE(""https://docs.google.com/spreadsheets/d/1kVcqe37tkHyjCSG3S0O1AXqVkqjo8mSIZil3BcpIysc/edit?usp=sharing"",""ศูนย์!H24"")"),0)</f>
        <v>0</v>
      </c>
      <c r="K343" s="465"/>
      <c r="L343" s="465"/>
      <c r="M343" s="465"/>
      <c r="N343" s="465"/>
      <c r="O343" s="465"/>
      <c r="P343" s="465"/>
    </row>
    <row r="344" spans="1:26" ht="19.5">
      <c r="A344" s="407"/>
      <c r="B344" s="408" t="s">
        <v>157</v>
      </c>
      <c r="C344" s="420"/>
      <c r="D344" s="409"/>
      <c r="E344" s="409"/>
      <c r="F344" s="409"/>
      <c r="G344" s="410"/>
      <c r="H344" s="411"/>
      <c r="I344" s="421"/>
      <c r="J344" s="421"/>
      <c r="K344" s="414"/>
      <c r="L344" s="414"/>
      <c r="M344" s="414"/>
      <c r="N344" s="414"/>
      <c r="O344" s="414"/>
      <c r="P344" s="414"/>
    </row>
    <row r="345" spans="1:26" ht="19.5">
      <c r="A345" s="147"/>
      <c r="B345" s="148"/>
      <c r="C345" s="149" t="s">
        <v>16</v>
      </c>
      <c r="D345" s="817" t="s">
        <v>17</v>
      </c>
      <c r="E345" s="148"/>
      <c r="F345" s="148"/>
      <c r="G345" s="151"/>
      <c r="H345" s="152" t="s">
        <v>12</v>
      </c>
      <c r="I345" s="388"/>
      <c r="J345" s="388"/>
      <c r="K345" s="154"/>
      <c r="L345" s="155">
        <f t="shared" ref="L345:N345" ca="1" si="154">L346+L347</f>
        <v>614330</v>
      </c>
      <c r="M345" s="155">
        <f t="shared" ca="1" si="154"/>
        <v>341270</v>
      </c>
      <c r="N345" s="155">
        <f t="shared" ca="1" si="154"/>
        <v>155419.84</v>
      </c>
      <c r="O345" s="155">
        <f t="shared" ref="O345:O353" ca="1" si="155">IF(L345&gt;0,N345*100/L345,0)</f>
        <v>25.299080298862176</v>
      </c>
      <c r="P345" s="155">
        <f t="shared" ref="P345:P353" ca="1" si="156">IF(M345&gt;0,N345*100/M345,0)</f>
        <v>45.541606352741233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2" t="s">
        <v>18</v>
      </c>
      <c r="F346" s="40"/>
      <c r="G346" s="157"/>
      <c r="H346" s="158" t="s">
        <v>12</v>
      </c>
      <c r="I346" s="583"/>
      <c r="J346" s="583"/>
      <c r="K346" s="93"/>
      <c r="L346" s="93">
        <f t="shared" ref="L346:N347" si="157">L349+L352</f>
        <v>0</v>
      </c>
      <c r="M346" s="93">
        <f t="shared" si="157"/>
        <v>0</v>
      </c>
      <c r="N346" s="93">
        <f t="shared" si="157"/>
        <v>0</v>
      </c>
      <c r="O346" s="93">
        <f t="shared" si="155"/>
        <v>0</v>
      </c>
      <c r="P346" s="93">
        <f t="shared" si="156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2" t="s">
        <v>19</v>
      </c>
      <c r="F347" s="40"/>
      <c r="G347" s="157"/>
      <c r="H347" s="158" t="s">
        <v>12</v>
      </c>
      <c r="I347" s="583"/>
      <c r="J347" s="583"/>
      <c r="K347" s="93"/>
      <c r="L347" s="93">
        <f t="shared" ca="1" si="157"/>
        <v>614330</v>
      </c>
      <c r="M347" s="93">
        <f t="shared" ca="1" si="157"/>
        <v>341270</v>
      </c>
      <c r="N347" s="93">
        <f t="shared" ca="1" si="157"/>
        <v>155419.84</v>
      </c>
      <c r="O347" s="93">
        <f t="shared" ca="1" si="155"/>
        <v>25.299080298862176</v>
      </c>
      <c r="P347" s="93">
        <f t="shared" ca="1" si="156"/>
        <v>45.541606352741233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1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65">
        <f t="shared" ref="L348:N348" ca="1" si="158">L349+L350</f>
        <v>545530</v>
      </c>
      <c r="M348" s="465">
        <f t="shared" ca="1" si="158"/>
        <v>272770</v>
      </c>
      <c r="N348" s="465">
        <f t="shared" ca="1" si="158"/>
        <v>86919.84</v>
      </c>
      <c r="O348" s="465">
        <f t="shared" ca="1" si="155"/>
        <v>15.93309992117757</v>
      </c>
      <c r="P348" s="465">
        <f t="shared" ca="1" si="156"/>
        <v>31.865615720203834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2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5"/>
        <v>0</v>
      </c>
      <c r="P349" s="93">
        <f t="shared" si="156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2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IFERROR(__xludf.DUMMYFUNCTION("IMPORTRANGE(""https://docs.google.com/spreadsheets/d/1MeEWN-I1oV_STSDYn1IFDPWt_1FKiwhDph83XaGc0o0/edit?usp=sharing"",""งบพรบ!EW24"")"),545530)</f>
        <v>545530</v>
      </c>
      <c r="M350" s="93">
        <f ca="1">IFERROR(__xludf.DUMMYFUNCTION("IMPORTRANGE(""https://docs.google.com/spreadsheets/d/1MeEWN-I1oV_STSDYn1IFDPWt_1FKiwhDph83XaGc0o0/edit?usp=sharing"",""งบพรบ!FB24"")"),272770)</f>
        <v>272770</v>
      </c>
      <c r="N350" s="93">
        <f ca="1">IFERROR(__xludf.DUMMYFUNCTION("IMPORTRANGE(""https://docs.google.com/spreadsheets/d/1MeEWN-I1oV_STSDYn1IFDPWt_1FKiwhDph83XaGc0o0/edit?usp=sharing"",""งบพรบ!FD24"")"),86919.84)</f>
        <v>86919.84</v>
      </c>
      <c r="O350" s="93">
        <f t="shared" ca="1" si="155"/>
        <v>15.93309992117757</v>
      </c>
      <c r="P350" s="93">
        <f t="shared" ca="1" si="156"/>
        <v>31.865615720203834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1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65">
        <f t="shared" ref="L351:N351" ca="1" si="159">L352+L353</f>
        <v>68800</v>
      </c>
      <c r="M351" s="465">
        <f t="shared" ca="1" si="159"/>
        <v>68500</v>
      </c>
      <c r="N351" s="465">
        <f t="shared" ca="1" si="159"/>
        <v>68500</v>
      </c>
      <c r="O351" s="465">
        <f t="shared" ca="1" si="155"/>
        <v>99.563953488372093</v>
      </c>
      <c r="P351" s="465">
        <f t="shared" ca="1" si="156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2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5"/>
        <v>0</v>
      </c>
      <c r="P352" s="93">
        <f t="shared" si="156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2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IFERROR(__xludf.DUMMYFUNCTION("IMPORTRANGE(""https://docs.google.com/spreadsheets/d/1MeEWN-I1oV_STSDYn1IFDPWt_1FKiwhDph83XaGc0o0/edit?usp=sharing"",""งบพรบ!EZ24"")"),68800)</f>
        <v>68800</v>
      </c>
      <c r="M353" s="93">
        <f ca="1">IFERROR(__xludf.DUMMYFUNCTION("IMPORTRANGE(""https://docs.google.com/spreadsheets/d/1MeEWN-I1oV_STSDYn1IFDPWt_1FKiwhDph83XaGc0o0/edit?usp=sharing"",""งบพรบ!FC24"")"),68500)</f>
        <v>68500</v>
      </c>
      <c r="N353" s="93">
        <f ca="1">IFERROR(__xludf.DUMMYFUNCTION("IMPORTRANGE(""https://docs.google.com/spreadsheets/d/1MeEWN-I1oV_STSDYn1IFDPWt_1FKiwhDph83XaGc0o0/edit?usp=sharing"",""งบพรบ!FE24"")"),68500)</f>
        <v>68500</v>
      </c>
      <c r="O353" s="93">
        <f t="shared" ca="1" si="155"/>
        <v>99.563953488372093</v>
      </c>
      <c r="P353" s="93">
        <f t="shared" ca="1" si="156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5"/>
      <c r="B354" s="263"/>
      <c r="C354" s="256"/>
      <c r="D354" s="845" t="s">
        <v>158</v>
      </c>
      <c r="E354" s="256"/>
      <c r="F354" s="256"/>
      <c r="G354" s="258"/>
      <c r="H354" s="423"/>
      <c r="I354" s="260"/>
      <c r="J354" s="260"/>
      <c r="K354" s="261"/>
      <c r="L354" s="261"/>
      <c r="M354" s="261"/>
      <c r="N354" s="261"/>
      <c r="O354" s="261"/>
      <c r="P354" s="261"/>
    </row>
    <row r="355" spans="1:26" ht="19.5">
      <c r="A355" s="424"/>
      <c r="B355" s="425"/>
      <c r="C355" s="426"/>
      <c r="D355" s="846" t="s">
        <v>159</v>
      </c>
      <c r="E355" s="428"/>
      <c r="F355" s="428"/>
      <c r="G355" s="429"/>
      <c r="H355" s="430" t="s">
        <v>35</v>
      </c>
      <c r="I355" s="432">
        <f ca="1">IFERROR(__xludf.DUMMYFUNCTION("IMPORTRANGE(""https://docs.google.com/spreadsheets/d/1QqKyyYR6Q21VydFLVH3TRQUabQu_ym0Zz7PgGX0-kHA/edit?usp=sharing"",""แผน!EP24"")"),80)</f>
        <v>80</v>
      </c>
      <c r="J355" s="432">
        <f ca="1">J362</f>
        <v>0</v>
      </c>
      <c r="K355" s="433">
        <f ca="1">IF(I355&gt;0,J355*100/I355,0)</f>
        <v>0</v>
      </c>
      <c r="L355" s="434"/>
      <c r="M355" s="434"/>
      <c r="N355" s="434"/>
      <c r="O355" s="434"/>
      <c r="P355" s="434"/>
    </row>
    <row r="356" spans="1:26" ht="19.5">
      <c r="A356" s="424"/>
      <c r="B356" s="425"/>
      <c r="C356" s="426"/>
      <c r="D356" s="435" t="s">
        <v>160</v>
      </c>
      <c r="E356" s="428"/>
      <c r="F356" s="428"/>
      <c r="G356" s="429"/>
      <c r="H356" s="436"/>
      <c r="I356" s="437"/>
      <c r="J356" s="437"/>
      <c r="K356" s="434"/>
      <c r="L356" s="434"/>
      <c r="M356" s="434"/>
      <c r="N356" s="434"/>
      <c r="O356" s="434"/>
      <c r="P356" s="434"/>
    </row>
    <row r="357" spans="1:26" ht="19.5">
      <c r="A357" s="170"/>
      <c r="B357" s="171"/>
      <c r="C357" s="164" t="s">
        <v>16</v>
      </c>
      <c r="D357" s="818" t="s">
        <v>38</v>
      </c>
      <c r="E357" s="173"/>
      <c r="F357" s="173"/>
      <c r="G357" s="174"/>
      <c r="H357" s="726"/>
      <c r="I357" s="269"/>
      <c r="J357" s="269"/>
      <c r="K357" s="465"/>
      <c r="L357" s="163"/>
      <c r="M357" s="163"/>
      <c r="N357" s="163"/>
      <c r="O357" s="163"/>
      <c r="P357" s="163"/>
    </row>
    <row r="358" spans="1:26" ht="18.75">
      <c r="A358" s="170"/>
      <c r="B358" s="342"/>
      <c r="C358" s="171"/>
      <c r="D358" s="342"/>
      <c r="E358" s="343" t="s">
        <v>161</v>
      </c>
      <c r="F358" s="342"/>
      <c r="G358" s="179"/>
      <c r="H358" s="185" t="s">
        <v>35</v>
      </c>
      <c r="I358" s="269">
        <v>0</v>
      </c>
      <c r="J358" s="269">
        <f ca="1">IFERROR(__xludf.DUMMYFUNCTION("IMPORTRANGE(""https://docs.google.com/spreadsheets/d/1XWAQStnk-4SwqDmLtmXYiTMKHgktTP8We1SCoS47DrQ/edit?usp=sharing"",""จัดที่ดิน!W24"")"),14)</f>
        <v>14</v>
      </c>
      <c r="K358" s="465">
        <f t="shared" ref="K358:K365" si="160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342"/>
      <c r="C359" s="171"/>
      <c r="D359" s="342"/>
      <c r="E359" s="342"/>
      <c r="F359" s="342"/>
      <c r="G359" s="179"/>
      <c r="H359" s="185" t="s">
        <v>46</v>
      </c>
      <c r="I359" s="269">
        <f ca="1">IFERROR(__xludf.DUMMYFUNCTION("IMPORTRANGE(""https://docs.google.com/spreadsheets/d/1QqKyyYR6Q21VydFLVH3TRQUabQu_ym0Zz7PgGX0-kHA/edit?usp=sharing"",""แผน!EO24"")"),800)</f>
        <v>800</v>
      </c>
      <c r="J359" s="269">
        <f ca="1">IFERROR(__xludf.DUMMYFUNCTION("IMPORTRANGE(""https://docs.google.com/spreadsheets/d/1XWAQStnk-4SwqDmLtmXYiTMKHgktTP8We1SCoS47DrQ/edit?usp=sharing"",""จัดที่ดิน!X24"")"),169.58)</f>
        <v>169.58</v>
      </c>
      <c r="K359" s="465">
        <f t="shared" ca="1" si="160"/>
        <v>21.197500000000002</v>
      </c>
      <c r="L359" s="163"/>
      <c r="M359" s="163"/>
      <c r="N359" s="163"/>
      <c r="O359" s="163"/>
      <c r="P359" s="163"/>
    </row>
    <row r="360" spans="1:26" ht="18.75">
      <c r="A360" s="170"/>
      <c r="B360" s="342"/>
      <c r="C360" s="171"/>
      <c r="D360" s="342"/>
      <c r="E360" s="343" t="s">
        <v>162</v>
      </c>
      <c r="F360" s="342"/>
      <c r="G360" s="179"/>
      <c r="H360" s="728" t="s">
        <v>35</v>
      </c>
      <c r="I360" s="269">
        <f ca="1">IFERROR(__xludf.DUMMYFUNCTION("IMPORTRANGE(""https://docs.google.com/spreadsheets/d/1QqKyyYR6Q21VydFLVH3TRQUabQu_ym0Zz7PgGX0-kHA/edit?usp=sharing"",""แผน!EP24"")"),80)</f>
        <v>80</v>
      </c>
      <c r="J360" s="269">
        <f ca="1">IFERROR(__xludf.DUMMYFUNCTION("IMPORTRANGE(""https://docs.google.com/spreadsheets/d/1XWAQStnk-4SwqDmLtmXYiTMKHgktTP8We1SCoS47DrQ/edit?usp=sharing"",""จัดที่ดิน!Y24"")"),4)</f>
        <v>4</v>
      </c>
      <c r="K360" s="465">
        <f t="shared" ca="1" si="160"/>
        <v>5</v>
      </c>
      <c r="L360" s="163"/>
      <c r="M360" s="163"/>
      <c r="N360" s="163"/>
      <c r="O360" s="163"/>
      <c r="P360" s="163"/>
    </row>
    <row r="361" spans="1:26" ht="18.75">
      <c r="A361" s="170"/>
      <c r="B361" s="342"/>
      <c r="C361" s="171"/>
      <c r="D361" s="342"/>
      <c r="E361" s="342"/>
      <c r="F361" s="342"/>
      <c r="G361" s="179"/>
      <c r="H361" s="728" t="s">
        <v>46</v>
      </c>
      <c r="I361" s="269">
        <v>0</v>
      </c>
      <c r="J361" s="269">
        <f ca="1">IFERROR(__xludf.DUMMYFUNCTION("IMPORTRANGE(""https://docs.google.com/spreadsheets/d/1XWAQStnk-4SwqDmLtmXYiTMKHgktTP8We1SCoS47DrQ/edit?usp=sharing"",""จัดที่ดิน!Z24"")"),36.98)</f>
        <v>36.979999999999997</v>
      </c>
      <c r="K361" s="465">
        <f t="shared" si="160"/>
        <v>0</v>
      </c>
      <c r="L361" s="163"/>
      <c r="M361" s="163"/>
      <c r="N361" s="163"/>
      <c r="O361" s="163"/>
      <c r="P361" s="163"/>
    </row>
    <row r="362" spans="1:26" ht="18.75">
      <c r="A362" s="170"/>
      <c r="B362" s="342"/>
      <c r="C362" s="171"/>
      <c r="D362" s="342"/>
      <c r="E362" s="343" t="s">
        <v>163</v>
      </c>
      <c r="F362" s="342"/>
      <c r="G362" s="179"/>
      <c r="H362" s="728" t="s">
        <v>35</v>
      </c>
      <c r="I362" s="269">
        <f ca="1">IFERROR(__xludf.DUMMYFUNCTION("IMPORTRANGE(""https://docs.google.com/spreadsheets/d/1QqKyyYR6Q21VydFLVH3TRQUabQu_ym0Zz7PgGX0-kHA/edit?usp=sharing"",""แผน!EP24"")"),80)</f>
        <v>80</v>
      </c>
      <c r="J362" s="269">
        <f ca="1">IFERROR(__xludf.DUMMYFUNCTION("IMPORTRANGE(""https://docs.google.com/spreadsheets/d/1XWAQStnk-4SwqDmLtmXYiTMKHgktTP8We1SCoS47DrQ/edit?usp=sharing"",""จัดที่ดิน!AA24"")"),0)</f>
        <v>0</v>
      </c>
      <c r="K362" s="465">
        <f t="shared" ca="1" si="160"/>
        <v>0</v>
      </c>
      <c r="L362" s="163"/>
      <c r="M362" s="163"/>
      <c r="N362" s="163"/>
      <c r="O362" s="163"/>
      <c r="P362" s="163"/>
    </row>
    <row r="363" spans="1:26" ht="18.75">
      <c r="A363" s="438" t="s">
        <v>164</v>
      </c>
      <c r="B363" s="342"/>
      <c r="C363" s="171"/>
      <c r="D363" s="342"/>
      <c r="E363" s="415"/>
      <c r="F363" s="342"/>
      <c r="G363" s="179"/>
      <c r="H363" s="728" t="s">
        <v>46</v>
      </c>
      <c r="I363" s="269">
        <v>0</v>
      </c>
      <c r="J363" s="269">
        <f ca="1">IFERROR(__xludf.DUMMYFUNCTION("IMPORTRANGE(""https://docs.google.com/spreadsheets/d/1XWAQStnk-4SwqDmLtmXYiTMKHgktTP8We1SCoS47DrQ/edit?usp=sharing"",""จัดที่ดิน!AB24"")"),0)</f>
        <v>0</v>
      </c>
      <c r="K363" s="465">
        <f t="shared" si="160"/>
        <v>0</v>
      </c>
      <c r="L363" s="163"/>
      <c r="M363" s="163"/>
      <c r="N363" s="163"/>
      <c r="O363" s="163"/>
      <c r="P363" s="163"/>
    </row>
    <row r="364" spans="1:26" ht="19.5">
      <c r="A364" s="439"/>
      <c r="B364" s="440"/>
      <c r="C364" s="441"/>
      <c r="D364" s="442" t="s">
        <v>165</v>
      </c>
      <c r="E364" s="443"/>
      <c r="F364" s="443"/>
      <c r="G364" s="444"/>
      <c r="H364" s="445" t="s">
        <v>35</v>
      </c>
      <c r="I364" s="446">
        <f t="shared" ref="I364:J364" ca="1" si="161">I365+I374</f>
        <v>380</v>
      </c>
      <c r="J364" s="446">
        <f t="shared" ca="1" si="161"/>
        <v>100</v>
      </c>
      <c r="K364" s="447">
        <f t="shared" ca="1" si="160"/>
        <v>26.315789473684209</v>
      </c>
      <c r="L364" s="448"/>
      <c r="M364" s="448"/>
      <c r="N364" s="448"/>
      <c r="O364" s="448"/>
      <c r="P364" s="448"/>
      <c r="Q364" s="449"/>
      <c r="R364" s="449"/>
      <c r="S364" s="449"/>
      <c r="T364" s="449"/>
      <c r="U364" s="449"/>
      <c r="V364" s="449"/>
      <c r="W364" s="449"/>
      <c r="X364" s="449"/>
      <c r="Y364" s="449"/>
      <c r="Z364" s="449"/>
    </row>
    <row r="365" spans="1:26" ht="19.5">
      <c r="A365" s="450"/>
      <c r="B365" s="451"/>
      <c r="C365" s="453"/>
      <c r="D365" s="453" t="s">
        <v>166</v>
      </c>
      <c r="E365" s="454"/>
      <c r="F365" s="454"/>
      <c r="G365" s="455"/>
      <c r="H365" s="456" t="s">
        <v>35</v>
      </c>
      <c r="I365" s="458">
        <f ca="1">IFERROR(__xludf.DUMMYFUNCTION("IMPORTRANGE(""https://docs.google.com/spreadsheets/d/1QqKyyYR6Q21VydFLVH3TRQUabQu_ym0Zz7PgGX0-kHA/edit?usp=sharing"",""แผน!EJ24"")"),50)</f>
        <v>50</v>
      </c>
      <c r="J365" s="458">
        <f ca="1">J372</f>
        <v>0</v>
      </c>
      <c r="K365" s="459">
        <f t="shared" ca="1" si="160"/>
        <v>0</v>
      </c>
      <c r="L365" s="460"/>
      <c r="M365" s="460"/>
      <c r="N365" s="460"/>
      <c r="O365" s="460"/>
      <c r="P365" s="460"/>
      <c r="Q365" s="449"/>
      <c r="R365" s="449"/>
      <c r="S365" s="449"/>
      <c r="T365" s="449"/>
      <c r="U365" s="449"/>
      <c r="V365" s="449"/>
      <c r="W365" s="449"/>
      <c r="X365" s="449"/>
      <c r="Y365" s="449"/>
      <c r="Z365" s="449"/>
    </row>
    <row r="366" spans="1:26" ht="19.5">
      <c r="A366" s="450"/>
      <c r="B366" s="451"/>
      <c r="C366" s="453"/>
      <c r="D366" s="461" t="s">
        <v>167</v>
      </c>
      <c r="E366" s="454"/>
      <c r="F366" s="454"/>
      <c r="G366" s="455"/>
      <c r="H366" s="462"/>
      <c r="I366" s="463"/>
      <c r="J366" s="463"/>
      <c r="K366" s="460"/>
      <c r="L366" s="460"/>
      <c r="M366" s="460"/>
      <c r="N366" s="460"/>
      <c r="O366" s="460"/>
      <c r="P366" s="460"/>
      <c r="Q366" s="449"/>
      <c r="R366" s="449"/>
      <c r="S366" s="449"/>
      <c r="T366" s="449"/>
      <c r="U366" s="449"/>
      <c r="V366" s="449"/>
      <c r="W366" s="449"/>
      <c r="X366" s="449"/>
      <c r="Y366" s="449"/>
      <c r="Z366" s="449"/>
    </row>
    <row r="367" spans="1:26" ht="19.5">
      <c r="A367" s="170"/>
      <c r="B367" s="171"/>
      <c r="C367" s="164" t="s">
        <v>16</v>
      </c>
      <c r="D367" s="818" t="s">
        <v>38</v>
      </c>
      <c r="E367" s="173"/>
      <c r="F367" s="173"/>
      <c r="G367" s="174"/>
      <c r="H367" s="726"/>
      <c r="I367" s="269"/>
      <c r="J367" s="269"/>
      <c r="K367" s="465"/>
      <c r="L367" s="163"/>
      <c r="M367" s="163"/>
      <c r="N367" s="163"/>
      <c r="O367" s="163"/>
      <c r="P367" s="163"/>
    </row>
    <row r="368" spans="1:26" ht="18.75">
      <c r="A368" s="170"/>
      <c r="B368" s="342"/>
      <c r="C368" s="171"/>
      <c r="D368" s="342"/>
      <c r="E368" s="343" t="s">
        <v>161</v>
      </c>
      <c r="F368" s="342"/>
      <c r="G368" s="179"/>
      <c r="H368" s="185" t="s">
        <v>35</v>
      </c>
      <c r="I368" s="269">
        <v>0</v>
      </c>
      <c r="J368" s="269">
        <f ca="1">IFERROR(__xludf.DUMMYFUNCTION("IMPORTRANGE(""https://docs.google.com/spreadsheets/d/1XWAQStnk-4SwqDmLtmXYiTMKHgktTP8We1SCoS47DrQ/edit?usp=sharing"",""จัดที่ดิน!E24"")"),12)</f>
        <v>12</v>
      </c>
      <c r="K368" s="465">
        <f t="shared" ref="K368:K374" si="162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342"/>
      <c r="C369" s="171"/>
      <c r="D369" s="342"/>
      <c r="E369" s="342"/>
      <c r="F369" s="342"/>
      <c r="G369" s="179"/>
      <c r="H369" s="185" t="s">
        <v>46</v>
      </c>
      <c r="I369" s="269">
        <f ca="1">IFERROR(__xludf.DUMMYFUNCTION("IMPORTRANGE(""https://docs.google.com/spreadsheets/d/1QqKyyYR6Q21VydFLVH3TRQUabQu_ym0Zz7PgGX0-kHA/edit?usp=sharing"",""แผน!EI24"")"),500)</f>
        <v>500</v>
      </c>
      <c r="J369" s="269">
        <f ca="1">IFERROR(__xludf.DUMMYFUNCTION("IMPORTRANGE(""https://docs.google.com/spreadsheets/d/1XWAQStnk-4SwqDmLtmXYiTMKHgktTP8We1SCoS47DrQ/edit?usp=sharing"",""จัดที่ดิน!F24"")"),161.59)</f>
        <v>161.59</v>
      </c>
      <c r="K369" s="465">
        <f t="shared" ca="1" si="162"/>
        <v>32.317999999999998</v>
      </c>
      <c r="L369" s="163"/>
      <c r="M369" s="163"/>
      <c r="N369" s="163"/>
      <c r="O369" s="163"/>
      <c r="P369" s="163"/>
    </row>
    <row r="370" spans="1:26" ht="18.75">
      <c r="A370" s="170"/>
      <c r="B370" s="342"/>
      <c r="C370" s="171"/>
      <c r="D370" s="342"/>
      <c r="E370" s="343" t="s">
        <v>162</v>
      </c>
      <c r="F370" s="342"/>
      <c r="G370" s="179"/>
      <c r="H370" s="728" t="s">
        <v>35</v>
      </c>
      <c r="I370" s="269">
        <f ca="1">IFERROR(__xludf.DUMMYFUNCTION("IMPORTRANGE(""https://docs.google.com/spreadsheets/d/1QqKyyYR6Q21VydFLVH3TRQUabQu_ym0Zz7PgGX0-kHA/edit?usp=sharing"",""แผน!EJ24"")"),50)</f>
        <v>50</v>
      </c>
      <c r="J370" s="269">
        <f ca="1">IFERROR(__xludf.DUMMYFUNCTION("IMPORTRANGE(""https://docs.google.com/spreadsheets/d/1XWAQStnk-4SwqDmLtmXYiTMKHgktTP8We1SCoS47DrQ/edit?usp=sharing"",""จัดที่ดิน!G24"")"),4)</f>
        <v>4</v>
      </c>
      <c r="K370" s="465">
        <f t="shared" ca="1" si="162"/>
        <v>8</v>
      </c>
      <c r="L370" s="163"/>
      <c r="M370" s="163"/>
      <c r="N370" s="163"/>
      <c r="O370" s="163"/>
      <c r="P370" s="163"/>
    </row>
    <row r="371" spans="1:26" ht="18.75">
      <c r="A371" s="170"/>
      <c r="B371" s="342"/>
      <c r="C371" s="171"/>
      <c r="D371" s="342"/>
      <c r="E371" s="342"/>
      <c r="F371" s="342"/>
      <c r="G371" s="179"/>
      <c r="H371" s="728" t="s">
        <v>46</v>
      </c>
      <c r="I371" s="269">
        <v>0</v>
      </c>
      <c r="J371" s="269">
        <f ca="1">IFERROR(__xludf.DUMMYFUNCTION("IMPORTRANGE(""https://docs.google.com/spreadsheets/d/1XWAQStnk-4SwqDmLtmXYiTMKHgktTP8We1SCoS47DrQ/edit?usp=sharing"",""จัดที่ดิน!H24"")"),36.98)</f>
        <v>36.979999999999997</v>
      </c>
      <c r="K371" s="465">
        <f t="shared" si="162"/>
        <v>0</v>
      </c>
      <c r="L371" s="163"/>
      <c r="M371" s="163"/>
      <c r="N371" s="163"/>
      <c r="O371" s="163"/>
      <c r="P371" s="163"/>
    </row>
    <row r="372" spans="1:26" ht="18.75">
      <c r="A372" s="170"/>
      <c r="B372" s="342"/>
      <c r="C372" s="171"/>
      <c r="D372" s="342"/>
      <c r="E372" s="343" t="s">
        <v>163</v>
      </c>
      <c r="F372" s="342"/>
      <c r="G372" s="179"/>
      <c r="H372" s="728" t="s">
        <v>35</v>
      </c>
      <c r="I372" s="269">
        <f ca="1">IFERROR(__xludf.DUMMYFUNCTION("IMPORTRANGE(""https://docs.google.com/spreadsheets/d/1QqKyyYR6Q21VydFLVH3TRQUabQu_ym0Zz7PgGX0-kHA/edit?usp=sharing"",""แผน!EJ24"")"),50)</f>
        <v>50</v>
      </c>
      <c r="J372" s="269">
        <f ca="1">IFERROR(__xludf.DUMMYFUNCTION("IMPORTRANGE(""https://docs.google.com/spreadsheets/d/1XWAQStnk-4SwqDmLtmXYiTMKHgktTP8We1SCoS47DrQ/edit?usp=sharing"",""จัดที่ดิน!I24"")"),0)</f>
        <v>0</v>
      </c>
      <c r="K372" s="465">
        <f t="shared" ca="1" si="162"/>
        <v>0</v>
      </c>
      <c r="L372" s="163"/>
      <c r="M372" s="163"/>
      <c r="N372" s="163"/>
      <c r="O372" s="163"/>
      <c r="P372" s="163"/>
    </row>
    <row r="373" spans="1:26" ht="18.75">
      <c r="A373" s="438" t="s">
        <v>164</v>
      </c>
      <c r="B373" s="342"/>
      <c r="C373" s="171"/>
      <c r="D373" s="342"/>
      <c r="E373" s="415"/>
      <c r="F373" s="342"/>
      <c r="G373" s="179"/>
      <c r="H373" s="728" t="s">
        <v>46</v>
      </c>
      <c r="I373" s="269">
        <v>0</v>
      </c>
      <c r="J373" s="269">
        <f ca="1">IFERROR(__xludf.DUMMYFUNCTION("IMPORTRANGE(""https://docs.google.com/spreadsheets/d/1XWAQStnk-4SwqDmLtmXYiTMKHgktTP8We1SCoS47DrQ/edit?usp=sharing"",""จัดที่ดิน!J24"")"),0)</f>
        <v>0</v>
      </c>
      <c r="K373" s="465">
        <f t="shared" si="162"/>
        <v>0</v>
      </c>
      <c r="L373" s="163"/>
      <c r="M373" s="163"/>
      <c r="N373" s="163"/>
      <c r="O373" s="163"/>
      <c r="P373" s="163"/>
    </row>
    <row r="374" spans="1:26" ht="19.5">
      <c r="A374" s="450"/>
      <c r="B374" s="451"/>
      <c r="C374" s="453"/>
      <c r="D374" s="453" t="s">
        <v>168</v>
      </c>
      <c r="E374" s="454"/>
      <c r="F374" s="454"/>
      <c r="G374" s="455"/>
      <c r="H374" s="456" t="s">
        <v>35</v>
      </c>
      <c r="I374" s="464">
        <f ca="1">IFERROR(__xludf.DUMMYFUNCTION("IMPORTRANGE(""https://docs.google.com/spreadsheets/d/1QqKyyYR6Q21VydFLVH3TRQUabQu_ym0Zz7PgGX0-kHA/edit?usp=sharing"",""แผน!EU24"")"),330)</f>
        <v>330</v>
      </c>
      <c r="J374" s="458">
        <f ca="1">J381</f>
        <v>100</v>
      </c>
      <c r="K374" s="459">
        <f t="shared" ca="1" si="162"/>
        <v>30.303030303030305</v>
      </c>
      <c r="L374" s="460"/>
      <c r="M374" s="460"/>
      <c r="N374" s="460"/>
      <c r="O374" s="460"/>
      <c r="P374" s="460"/>
      <c r="Q374" s="449"/>
      <c r="R374" s="449"/>
      <c r="S374" s="449"/>
      <c r="T374" s="449"/>
      <c r="U374" s="449"/>
      <c r="V374" s="449"/>
      <c r="W374" s="449"/>
      <c r="X374" s="449"/>
      <c r="Y374" s="449"/>
      <c r="Z374" s="449"/>
    </row>
    <row r="375" spans="1:26" ht="19.5">
      <c r="A375" s="450"/>
      <c r="B375" s="451"/>
      <c r="C375" s="453"/>
      <c r="D375" s="461" t="s">
        <v>169</v>
      </c>
      <c r="E375" s="454"/>
      <c r="F375" s="454"/>
      <c r="G375" s="455"/>
      <c r="H375" s="462"/>
      <c r="I375" s="463"/>
      <c r="J375" s="463"/>
      <c r="K375" s="460"/>
      <c r="L375" s="460"/>
      <c r="M375" s="460"/>
      <c r="N375" s="460"/>
      <c r="O375" s="460"/>
      <c r="P375" s="460"/>
      <c r="Q375" s="449"/>
      <c r="R375" s="449"/>
      <c r="S375" s="449"/>
      <c r="T375" s="449"/>
      <c r="U375" s="449"/>
      <c r="V375" s="449"/>
      <c r="W375" s="449"/>
      <c r="X375" s="449"/>
      <c r="Y375" s="449"/>
      <c r="Z375" s="449"/>
    </row>
    <row r="376" spans="1:26" ht="19.5">
      <c r="A376" s="170"/>
      <c r="B376" s="171"/>
      <c r="C376" s="164" t="s">
        <v>16</v>
      </c>
      <c r="D376" s="818" t="s">
        <v>38</v>
      </c>
      <c r="E376" s="173"/>
      <c r="F376" s="173"/>
      <c r="G376" s="174"/>
      <c r="H376" s="726"/>
      <c r="I376" s="269"/>
      <c r="J376" s="269"/>
      <c r="K376" s="465"/>
      <c r="L376" s="163"/>
      <c r="M376" s="163"/>
      <c r="N376" s="163"/>
      <c r="O376" s="163"/>
      <c r="P376" s="163"/>
    </row>
    <row r="377" spans="1:26" ht="18.75">
      <c r="A377" s="170"/>
      <c r="B377" s="342"/>
      <c r="C377" s="171"/>
      <c r="D377" s="342"/>
      <c r="E377" s="343" t="s">
        <v>161</v>
      </c>
      <c r="F377" s="342"/>
      <c r="G377" s="179"/>
      <c r="H377" s="185" t="s">
        <v>35</v>
      </c>
      <c r="I377" s="269">
        <v>0</v>
      </c>
      <c r="J377" s="269">
        <f ca="1">IFERROR(__xludf.DUMMYFUNCTION("IMPORTRANGE(""https://docs.google.com/spreadsheets/d/1XWAQStnk-4SwqDmLtmXYiTMKHgktTP8We1SCoS47DrQ/edit?usp=sharing"",""จัดที่ดิน!AH24"")"),2)</f>
        <v>2</v>
      </c>
      <c r="K377" s="465">
        <f t="shared" ref="K377:K382" si="163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342"/>
      <c r="C378" s="171"/>
      <c r="D378" s="342"/>
      <c r="E378" s="342"/>
      <c r="F378" s="342"/>
      <c r="G378" s="179"/>
      <c r="H378" s="185" t="s">
        <v>46</v>
      </c>
      <c r="I378" s="269">
        <f ca="1">IFERROR(__xludf.DUMMYFUNCTION("IMPORTRANGE(""https://docs.google.com/spreadsheets/d/1QqKyyYR6Q21VydFLVH3TRQUabQu_ym0Zz7PgGX0-kHA/edit?usp=sharing"",""แผน!ET24"")"),300)</f>
        <v>300</v>
      </c>
      <c r="J378" s="269">
        <f ca="1">IFERROR(__xludf.DUMMYFUNCTION("IMPORTRANGE(""https://docs.google.com/spreadsheets/d/1XWAQStnk-4SwqDmLtmXYiTMKHgktTP8We1SCoS47DrQ/edit?usp=sharing"",""จัดที่ดิน!AI24"")"),7.99)</f>
        <v>7.99</v>
      </c>
      <c r="K378" s="465">
        <f t="shared" ca="1" si="163"/>
        <v>2.6633333333333336</v>
      </c>
      <c r="L378" s="163"/>
      <c r="M378" s="163"/>
      <c r="N378" s="163"/>
      <c r="O378" s="163"/>
      <c r="P378" s="163"/>
    </row>
    <row r="379" spans="1:26" ht="18.75">
      <c r="A379" s="170"/>
      <c r="B379" s="342"/>
      <c r="C379" s="171"/>
      <c r="D379" s="342"/>
      <c r="E379" s="343" t="s">
        <v>162</v>
      </c>
      <c r="F379" s="342"/>
      <c r="G379" s="179"/>
      <c r="H379" s="728" t="s">
        <v>35</v>
      </c>
      <c r="I379" s="269">
        <f ca="1">IFERROR(__xludf.DUMMYFUNCTION("IMPORTRANGE(""https://docs.google.com/spreadsheets/d/1QqKyyYR6Q21VydFLVH3TRQUabQu_ym0Zz7PgGX0-kHA/edit?usp=sharing"",""แผน!EU24"")"),330)</f>
        <v>330</v>
      </c>
      <c r="J379" s="269">
        <f ca="1">IFERROR(__xludf.DUMMYFUNCTION("IMPORTRANGE(""https://docs.google.com/spreadsheets/d/1XWAQStnk-4SwqDmLtmXYiTMKHgktTP8We1SCoS47DrQ/edit?usp=sharing"",""จัดที่ดิน!AJ24"")"),101)</f>
        <v>101</v>
      </c>
      <c r="K379" s="465">
        <f t="shared" ca="1" si="163"/>
        <v>30.606060606060606</v>
      </c>
      <c r="L379" s="163"/>
      <c r="M379" s="163"/>
      <c r="N379" s="163"/>
      <c r="O379" s="163"/>
      <c r="P379" s="163"/>
    </row>
    <row r="380" spans="1:26" ht="18.75">
      <c r="A380" s="170"/>
      <c r="B380" s="342"/>
      <c r="C380" s="171"/>
      <c r="D380" s="342"/>
      <c r="E380" s="342"/>
      <c r="F380" s="342"/>
      <c r="G380" s="179"/>
      <c r="H380" s="728" t="s">
        <v>46</v>
      </c>
      <c r="I380" s="269">
        <v>0</v>
      </c>
      <c r="J380" s="269">
        <f ca="1">IFERROR(__xludf.DUMMYFUNCTION("IMPORTRANGE(""https://docs.google.com/spreadsheets/d/1XWAQStnk-4SwqDmLtmXYiTMKHgktTP8We1SCoS47DrQ/edit?usp=sharing"",""จัดที่ดิน!AK24"")"),963.67)</f>
        <v>963.67</v>
      </c>
      <c r="K380" s="465">
        <f t="shared" si="163"/>
        <v>0</v>
      </c>
      <c r="L380" s="163"/>
      <c r="M380" s="163"/>
      <c r="N380" s="163"/>
      <c r="O380" s="163"/>
      <c r="P380" s="163"/>
    </row>
    <row r="381" spans="1:26" ht="18.75">
      <c r="A381" s="170"/>
      <c r="B381" s="342"/>
      <c r="C381" s="171"/>
      <c r="D381" s="342"/>
      <c r="E381" s="343" t="s">
        <v>163</v>
      </c>
      <c r="F381" s="342"/>
      <c r="G381" s="179"/>
      <c r="H381" s="728" t="s">
        <v>35</v>
      </c>
      <c r="I381" s="269">
        <f ca="1">IFERROR(__xludf.DUMMYFUNCTION("IMPORTRANGE(""https://docs.google.com/spreadsheets/d/1QqKyyYR6Q21VydFLVH3TRQUabQu_ym0Zz7PgGX0-kHA/edit?usp=sharing"",""แผน!EU24"")"),330)</f>
        <v>330</v>
      </c>
      <c r="J381" s="269">
        <f ca="1">IFERROR(__xludf.DUMMYFUNCTION("IMPORTRANGE(""https://docs.google.com/spreadsheets/d/1XWAQStnk-4SwqDmLtmXYiTMKHgktTP8We1SCoS47DrQ/edit?usp=sharing"",""จัดที่ดิน!AL24"")"),100)</f>
        <v>100</v>
      </c>
      <c r="K381" s="465">
        <f t="shared" ca="1" si="163"/>
        <v>30.303030303030305</v>
      </c>
      <c r="L381" s="163"/>
      <c r="M381" s="163"/>
      <c r="N381" s="163"/>
      <c r="O381" s="163"/>
      <c r="P381" s="163"/>
    </row>
    <row r="382" spans="1:26" ht="18.75">
      <c r="A382" s="438" t="s">
        <v>164</v>
      </c>
      <c r="B382" s="342"/>
      <c r="C382" s="171"/>
      <c r="D382" s="342"/>
      <c r="E382" s="415"/>
      <c r="F382" s="342"/>
      <c r="G382" s="179"/>
      <c r="H382" s="728" t="s">
        <v>46</v>
      </c>
      <c r="I382" s="269">
        <v>0</v>
      </c>
      <c r="J382" s="269">
        <f ca="1">IFERROR(__xludf.DUMMYFUNCTION("IMPORTRANGE(""https://docs.google.com/spreadsheets/d/1XWAQStnk-4SwqDmLtmXYiTMKHgktTP8We1SCoS47DrQ/edit?usp=sharing"",""จัดที่ดิน!AM24"")"),951.39)</f>
        <v>951.39</v>
      </c>
      <c r="K382" s="465">
        <f t="shared" si="163"/>
        <v>0</v>
      </c>
      <c r="L382" s="163"/>
      <c r="M382" s="163"/>
      <c r="N382" s="163"/>
      <c r="O382" s="163"/>
      <c r="P382" s="163"/>
    </row>
    <row r="383" spans="1:26" ht="19.5">
      <c r="A383" s="255"/>
      <c r="B383" s="263"/>
      <c r="C383" s="256"/>
      <c r="D383" s="845" t="s">
        <v>170</v>
      </c>
      <c r="E383" s="256"/>
      <c r="F383" s="256"/>
      <c r="G383" s="258"/>
      <c r="H383" s="423"/>
      <c r="I383" s="260"/>
      <c r="J383" s="260"/>
      <c r="K383" s="261"/>
      <c r="L383" s="261"/>
      <c r="M383" s="261"/>
      <c r="N383" s="261"/>
      <c r="O383" s="261"/>
      <c r="P383" s="261"/>
    </row>
    <row r="384" spans="1:26" ht="19.5">
      <c r="A384" s="170"/>
      <c r="B384" s="171"/>
      <c r="C384" s="33" t="s">
        <v>16</v>
      </c>
      <c r="D384" s="818" t="s">
        <v>38</v>
      </c>
      <c r="E384" s="173"/>
      <c r="F384" s="173"/>
      <c r="G384" s="174"/>
      <c r="H384" s="726"/>
      <c r="I384" s="269"/>
      <c r="J384" s="269"/>
      <c r="K384" s="465"/>
      <c r="L384" s="163"/>
      <c r="M384" s="163"/>
      <c r="N384" s="163"/>
      <c r="O384" s="163"/>
      <c r="P384" s="163"/>
    </row>
    <row r="385" spans="1:26" ht="18.75">
      <c r="A385" s="346"/>
      <c r="B385" s="349"/>
      <c r="C385" s="347"/>
      <c r="D385" s="349"/>
      <c r="E385" s="466" t="s">
        <v>163</v>
      </c>
      <c r="F385" s="349"/>
      <c r="G385" s="350"/>
      <c r="H385" s="467" t="s">
        <v>35</v>
      </c>
      <c r="I385" s="468">
        <f ca="1">IFERROR(__xludf.DUMMYFUNCTION("IMPORTRANGE(""https://docs.google.com/spreadsheets/d/1QqKyyYR6Q21VydFLVH3TRQUabQu_ym0Zz7PgGX0-kHA/edit?usp=sharing"",""แผน!EW24"")"),20)</f>
        <v>20</v>
      </c>
      <c r="J385" s="468">
        <f ca="1">IFERROR(__xludf.DUMMYFUNCTION("IMPORTRANGE(""https://docs.google.com/spreadsheets/d/1XWAQStnk-4SwqDmLtmXYiTMKHgktTP8We1SCoS47DrQ/edit?usp=sharing"",""จัดที่ดิน!AP24"")"),0)</f>
        <v>0</v>
      </c>
      <c r="K385" s="469">
        <f ca="1">IF(I385&gt;0,J385*100/I385,0)</f>
        <v>0</v>
      </c>
      <c r="L385" s="353"/>
      <c r="M385" s="353"/>
      <c r="N385" s="353"/>
      <c r="O385" s="353"/>
      <c r="P385" s="353"/>
    </row>
    <row r="386" spans="1:26" ht="19.5" hidden="1">
      <c r="A386" s="470" t="s">
        <v>171</v>
      </c>
      <c r="B386" s="471"/>
      <c r="C386" s="471"/>
      <c r="D386" s="471"/>
      <c r="E386" s="472"/>
      <c r="F386" s="472"/>
      <c r="G386" s="473"/>
      <c r="H386" s="474"/>
      <c r="I386" s="475"/>
      <c r="J386" s="475"/>
      <c r="K386" s="476"/>
      <c r="L386" s="476"/>
      <c r="M386" s="476"/>
      <c r="N386" s="476"/>
      <c r="O386" s="476"/>
      <c r="P386" s="476"/>
    </row>
    <row r="387" spans="1:26" ht="19.5" hidden="1">
      <c r="A387" s="477" t="s">
        <v>172</v>
      </c>
      <c r="B387" s="478"/>
      <c r="C387" s="478"/>
      <c r="D387" s="479"/>
      <c r="E387" s="478"/>
      <c r="F387" s="478"/>
      <c r="G387" s="478"/>
      <c r="H387" s="480"/>
      <c r="I387" s="481"/>
      <c r="J387" s="481"/>
      <c r="K387" s="482"/>
      <c r="L387" s="482"/>
      <c r="M387" s="482"/>
      <c r="N387" s="482"/>
      <c r="O387" s="482"/>
      <c r="P387" s="482"/>
    </row>
    <row r="388" spans="1:26" ht="19.5" hidden="1">
      <c r="A388" s="483"/>
      <c r="B388" s="484" t="s">
        <v>173</v>
      </c>
      <c r="C388" s="485"/>
      <c r="D388" s="486"/>
      <c r="E388" s="486"/>
      <c r="F388" s="486"/>
      <c r="G388" s="487"/>
      <c r="H388" s="488" t="s">
        <v>69</v>
      </c>
      <c r="I388" s="489">
        <f t="shared" ref="I388:J388" si="164">I400</f>
        <v>0</v>
      </c>
      <c r="J388" s="489">
        <f t="shared" si="164"/>
        <v>0</v>
      </c>
      <c r="K388" s="490">
        <f>IF(I388&gt;0,J388*100/I388,0)</f>
        <v>0</v>
      </c>
      <c r="L388" s="491"/>
      <c r="M388" s="491"/>
      <c r="N388" s="491"/>
      <c r="O388" s="491"/>
      <c r="P388" s="491"/>
    </row>
    <row r="389" spans="1:26" ht="19.5" hidden="1">
      <c r="A389" s="147"/>
      <c r="B389" s="148"/>
      <c r="C389" s="149" t="s">
        <v>16</v>
      </c>
      <c r="D389" s="817" t="s">
        <v>17</v>
      </c>
      <c r="E389" s="148"/>
      <c r="F389" s="148"/>
      <c r="G389" s="151"/>
      <c r="H389" s="152" t="s">
        <v>12</v>
      </c>
      <c r="I389" s="388"/>
      <c r="J389" s="388"/>
      <c r="K389" s="154"/>
      <c r="L389" s="155">
        <f t="shared" ref="L389:N389" ca="1" si="165">L390+L391</f>
        <v>0</v>
      </c>
      <c r="M389" s="155">
        <f t="shared" ca="1" si="165"/>
        <v>0</v>
      </c>
      <c r="N389" s="155">
        <f t="shared" ca="1" si="165"/>
        <v>0</v>
      </c>
      <c r="O389" s="155">
        <f t="shared" ref="O389:O397" ca="1" si="166">IF(L389&gt;0,N389*100/L389,0)</f>
        <v>0</v>
      </c>
      <c r="P389" s="155">
        <f t="shared" ref="P389:P397" ca="1" si="167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2" t="s">
        <v>18</v>
      </c>
      <c r="F390" s="40"/>
      <c r="G390" s="157"/>
      <c r="H390" s="158" t="s">
        <v>12</v>
      </c>
      <c r="I390" s="583"/>
      <c r="J390" s="583"/>
      <c r="K390" s="93"/>
      <c r="L390" s="93">
        <f t="shared" ref="L390:N391" si="168">L393+L396</f>
        <v>0</v>
      </c>
      <c r="M390" s="93">
        <f t="shared" si="168"/>
        <v>0</v>
      </c>
      <c r="N390" s="93">
        <f t="shared" si="168"/>
        <v>0</v>
      </c>
      <c r="O390" s="93">
        <f t="shared" si="166"/>
        <v>0</v>
      </c>
      <c r="P390" s="93">
        <f t="shared" si="167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2" t="s">
        <v>19</v>
      </c>
      <c r="F391" s="40"/>
      <c r="G391" s="157"/>
      <c r="H391" s="158" t="s">
        <v>12</v>
      </c>
      <c r="I391" s="583"/>
      <c r="J391" s="583"/>
      <c r="K391" s="93"/>
      <c r="L391" s="93">
        <f t="shared" ca="1" si="168"/>
        <v>0</v>
      </c>
      <c r="M391" s="93">
        <f t="shared" ca="1" si="168"/>
        <v>0</v>
      </c>
      <c r="N391" s="93">
        <f t="shared" ca="1" si="168"/>
        <v>0</v>
      </c>
      <c r="O391" s="93">
        <f t="shared" ca="1" si="166"/>
        <v>0</v>
      </c>
      <c r="P391" s="93">
        <f t="shared" ca="1" si="167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1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65">
        <f t="shared" ref="L392:N392" ca="1" si="169">L393+L394</f>
        <v>0</v>
      </c>
      <c r="M392" s="465">
        <f t="shared" ca="1" si="169"/>
        <v>0</v>
      </c>
      <c r="N392" s="465">
        <f t="shared" ca="1" si="169"/>
        <v>0</v>
      </c>
      <c r="O392" s="465">
        <f t="shared" ca="1" si="166"/>
        <v>0</v>
      </c>
      <c r="P392" s="465">
        <f t="shared" ca="1" si="167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2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6"/>
        <v>0</v>
      </c>
      <c r="P393" s="93">
        <f t="shared" si="167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2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IFERROR(__xludf.DUMMYFUNCTION("IMPORTRANGE(""https://docs.google.com/spreadsheets/d/1MeEWN-I1oV_STSDYn1IFDPWt_1FKiwhDph83XaGc0o0/edit?usp=sharing"",""งบพรบ!FG24"")"),0)</f>
        <v>0</v>
      </c>
      <c r="M394" s="93">
        <f ca="1">IFERROR(__xludf.DUMMYFUNCTION("IMPORTRANGE(""https://docs.google.com/spreadsheets/d/1MeEWN-I1oV_STSDYn1IFDPWt_1FKiwhDph83XaGc0o0/edit?usp=sharing"",""งบพรบ!FL24"")"),0)</f>
        <v>0</v>
      </c>
      <c r="N394" s="93">
        <f ca="1">IFERROR(__xludf.DUMMYFUNCTION("IMPORTRANGE(""https://docs.google.com/spreadsheets/d/1MeEWN-I1oV_STSDYn1IFDPWt_1FKiwhDph83XaGc0o0/edit?usp=sharing"",""งบพรบ!FN24"")"),0)</f>
        <v>0</v>
      </c>
      <c r="O394" s="93">
        <f t="shared" ca="1" si="166"/>
        <v>0</v>
      </c>
      <c r="P394" s="93">
        <f t="shared" ca="1" si="167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1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65">
        <f t="shared" ref="L395:N395" ca="1" si="170">L396+L397</f>
        <v>0</v>
      </c>
      <c r="M395" s="465">
        <f t="shared" ca="1" si="170"/>
        <v>0</v>
      </c>
      <c r="N395" s="465">
        <f t="shared" ca="1" si="170"/>
        <v>0</v>
      </c>
      <c r="O395" s="465">
        <f t="shared" ca="1" si="166"/>
        <v>0</v>
      </c>
      <c r="P395" s="465">
        <f t="shared" ca="1" si="167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2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6"/>
        <v>0</v>
      </c>
      <c r="P396" s="93">
        <f t="shared" si="167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2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IFERROR(__xludf.DUMMYFUNCTION("IMPORTRANGE(""https://docs.google.com/spreadsheets/d/1MeEWN-I1oV_STSDYn1IFDPWt_1FKiwhDph83XaGc0o0/edit?usp=sharing"",""งบพรบ!FJ24"")"),0)</f>
        <v>0</v>
      </c>
      <c r="M397" s="93">
        <f ca="1">IFERROR(__xludf.DUMMYFUNCTION("IMPORTRANGE(""https://docs.google.com/spreadsheets/d/1MeEWN-I1oV_STSDYn1IFDPWt_1FKiwhDph83XaGc0o0/edit?usp=sharing"",""งบพรบ!FM24"")"),0)</f>
        <v>0</v>
      </c>
      <c r="N397" s="93">
        <f ca="1">IFERROR(__xludf.DUMMYFUNCTION("IMPORTRANGE(""https://docs.google.com/spreadsheets/d/1MeEWN-I1oV_STSDYn1IFDPWt_1FKiwhDph83XaGc0o0/edit?usp=sharing"",""งบพรบ!FO24"")"),0)</f>
        <v>0</v>
      </c>
      <c r="O397" s="93">
        <f t="shared" ca="1" si="166"/>
        <v>0</v>
      </c>
      <c r="P397" s="93">
        <f t="shared" ca="1" si="167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18" t="s">
        <v>38</v>
      </c>
      <c r="E398" s="173"/>
      <c r="F398" s="173"/>
      <c r="G398" s="174"/>
      <c r="H398" s="726"/>
      <c r="I398" s="184"/>
      <c r="J398" s="269"/>
      <c r="K398" s="465"/>
      <c r="L398" s="465"/>
      <c r="M398" s="465"/>
      <c r="N398" s="465"/>
      <c r="O398" s="163"/>
      <c r="P398" s="163"/>
    </row>
    <row r="399" spans="1:26" ht="18.75" hidden="1">
      <c r="A399" s="492"/>
      <c r="B399" s="148"/>
      <c r="C399" s="493"/>
      <c r="D399" s="494" t="s">
        <v>174</v>
      </c>
      <c r="E399" s="383"/>
      <c r="F399" s="148"/>
      <c r="G399" s="151"/>
      <c r="H399" s="495" t="s">
        <v>9</v>
      </c>
      <c r="I399" s="269">
        <v>0</v>
      </c>
      <c r="J399" s="214">
        <v>0</v>
      </c>
      <c r="K399" s="465">
        <f t="shared" ref="K399:K401" si="171">IF(I399&gt;0,J399*100/I399,0)</f>
        <v>0</v>
      </c>
      <c r="L399" s="496"/>
      <c r="M399" s="496"/>
      <c r="N399" s="496"/>
      <c r="O399" s="496"/>
      <c r="P399" s="496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3"/>
      <c r="B400" s="33"/>
      <c r="C400" s="280"/>
      <c r="D400" s="415" t="s">
        <v>175</v>
      </c>
      <c r="E400" s="171"/>
      <c r="F400" s="33"/>
      <c r="G400" s="35"/>
      <c r="H400" s="276" t="s">
        <v>69</v>
      </c>
      <c r="I400" s="269">
        <v>0</v>
      </c>
      <c r="J400" s="214">
        <v>0</v>
      </c>
      <c r="K400" s="465">
        <f t="shared" si="171"/>
        <v>0</v>
      </c>
      <c r="L400" s="465"/>
      <c r="M400" s="465"/>
      <c r="N400" s="465"/>
      <c r="O400" s="465"/>
      <c r="P400" s="465"/>
    </row>
    <row r="401" spans="1:26" ht="19.5" hidden="1">
      <c r="A401" s="483"/>
      <c r="B401" s="484" t="s">
        <v>176</v>
      </c>
      <c r="C401" s="485"/>
      <c r="D401" s="486"/>
      <c r="E401" s="486"/>
      <c r="F401" s="486"/>
      <c r="G401" s="487"/>
      <c r="H401" s="488" t="s">
        <v>69</v>
      </c>
      <c r="I401" s="489">
        <f t="shared" ref="I401:J401" si="172">I412</f>
        <v>0</v>
      </c>
      <c r="J401" s="489">
        <f t="shared" si="172"/>
        <v>0</v>
      </c>
      <c r="K401" s="490">
        <f t="shared" si="171"/>
        <v>0</v>
      </c>
      <c r="L401" s="491"/>
      <c r="M401" s="491"/>
      <c r="N401" s="491"/>
      <c r="O401" s="491"/>
      <c r="P401" s="491"/>
    </row>
    <row r="402" spans="1:26" ht="19.5" hidden="1">
      <c r="A402" s="147"/>
      <c r="B402" s="148"/>
      <c r="C402" s="149" t="s">
        <v>16</v>
      </c>
      <c r="D402" s="817" t="s">
        <v>17</v>
      </c>
      <c r="E402" s="148"/>
      <c r="F402" s="148"/>
      <c r="G402" s="151"/>
      <c r="H402" s="152" t="s">
        <v>12</v>
      </c>
      <c r="I402" s="388"/>
      <c r="J402" s="388"/>
      <c r="K402" s="154"/>
      <c r="L402" s="155">
        <f t="shared" ref="L402:N402" ca="1" si="173">L403+L404</f>
        <v>0</v>
      </c>
      <c r="M402" s="155">
        <f t="shared" ca="1" si="173"/>
        <v>0</v>
      </c>
      <c r="N402" s="155">
        <f t="shared" ca="1" si="173"/>
        <v>0</v>
      </c>
      <c r="O402" s="155">
        <f t="shared" ref="O402:O410" ca="1" si="174">IF(L402&gt;0,N402*100/L402,0)</f>
        <v>0</v>
      </c>
      <c r="P402" s="155">
        <f t="shared" ref="P402:P410" ca="1" si="175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2" t="s">
        <v>18</v>
      </c>
      <c r="F403" s="40"/>
      <c r="G403" s="157"/>
      <c r="H403" s="158" t="s">
        <v>12</v>
      </c>
      <c r="I403" s="583"/>
      <c r="J403" s="583"/>
      <c r="K403" s="93"/>
      <c r="L403" s="93">
        <f t="shared" ref="L403:N404" si="176">L406+L409</f>
        <v>0</v>
      </c>
      <c r="M403" s="93">
        <f t="shared" si="176"/>
        <v>0</v>
      </c>
      <c r="N403" s="93">
        <f t="shared" si="176"/>
        <v>0</v>
      </c>
      <c r="O403" s="93">
        <f t="shared" si="174"/>
        <v>0</v>
      </c>
      <c r="P403" s="93">
        <f t="shared" si="175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2" t="s">
        <v>19</v>
      </c>
      <c r="F404" s="40"/>
      <c r="G404" s="157"/>
      <c r="H404" s="158" t="s">
        <v>12</v>
      </c>
      <c r="I404" s="583"/>
      <c r="J404" s="583"/>
      <c r="K404" s="93"/>
      <c r="L404" s="93">
        <f t="shared" ca="1" si="176"/>
        <v>0</v>
      </c>
      <c r="M404" s="93">
        <f t="shared" ca="1" si="176"/>
        <v>0</v>
      </c>
      <c r="N404" s="93">
        <f t="shared" ca="1" si="176"/>
        <v>0</v>
      </c>
      <c r="O404" s="93">
        <f t="shared" ca="1" si="174"/>
        <v>0</v>
      </c>
      <c r="P404" s="93">
        <f t="shared" ca="1" si="175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1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65">
        <f t="shared" ref="L405:N405" ca="1" si="177">L406+L407</f>
        <v>0</v>
      </c>
      <c r="M405" s="465">
        <f t="shared" ca="1" si="177"/>
        <v>0</v>
      </c>
      <c r="N405" s="465">
        <f t="shared" ca="1" si="177"/>
        <v>0</v>
      </c>
      <c r="O405" s="465">
        <f t="shared" ca="1" si="174"/>
        <v>0</v>
      </c>
      <c r="P405" s="465">
        <f t="shared" ca="1" si="175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2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4"/>
        <v>0</v>
      </c>
      <c r="P406" s="93">
        <f t="shared" si="175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2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IFERROR(__xludf.DUMMYFUNCTION("IMPORTRANGE(""https://docs.google.com/spreadsheets/d/1MeEWN-I1oV_STSDYn1IFDPWt_1FKiwhDph83XaGc0o0/edit?usp=sharing"",""งบพรบ!FQ24"")"),0)</f>
        <v>0</v>
      </c>
      <c r="M407" s="93">
        <f ca="1">IFERROR(__xludf.DUMMYFUNCTION("IMPORTRANGE(""https://docs.google.com/spreadsheets/d/1MeEWN-I1oV_STSDYn1IFDPWt_1FKiwhDph83XaGc0o0/edit?usp=sharing"",""งบพรบ!FV24"")"),0)</f>
        <v>0</v>
      </c>
      <c r="N407" s="93">
        <f ca="1">IFERROR(__xludf.DUMMYFUNCTION("IMPORTRANGE(""https://docs.google.com/spreadsheets/d/1MeEWN-I1oV_STSDYn1IFDPWt_1FKiwhDph83XaGc0o0/edit?usp=sharing"",""งบพรบ!FX24"")"),0)</f>
        <v>0</v>
      </c>
      <c r="O407" s="93">
        <f t="shared" ca="1" si="174"/>
        <v>0</v>
      </c>
      <c r="P407" s="93">
        <f t="shared" ca="1" si="175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1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65">
        <f t="shared" ref="L408:N408" ca="1" si="178">L409+L410</f>
        <v>0</v>
      </c>
      <c r="M408" s="465">
        <f t="shared" ca="1" si="178"/>
        <v>0</v>
      </c>
      <c r="N408" s="465">
        <f t="shared" ca="1" si="178"/>
        <v>0</v>
      </c>
      <c r="O408" s="465">
        <f t="shared" ca="1" si="174"/>
        <v>0</v>
      </c>
      <c r="P408" s="465">
        <f t="shared" ca="1" si="175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2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4"/>
        <v>0</v>
      </c>
      <c r="P409" s="93">
        <f t="shared" si="175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2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IFERROR(__xludf.DUMMYFUNCTION("IMPORTRANGE(""https://docs.google.com/spreadsheets/d/1MeEWN-I1oV_STSDYn1IFDPWt_1FKiwhDph83XaGc0o0/edit?usp=sharing"",""งบพรบ!FT24"")"),0)</f>
        <v>0</v>
      </c>
      <c r="M410" s="93">
        <f ca="1">IFERROR(__xludf.DUMMYFUNCTION("IMPORTRANGE(""https://docs.google.com/spreadsheets/d/1MeEWN-I1oV_STSDYn1IFDPWt_1FKiwhDph83XaGc0o0/edit?usp=sharing"",""งบพรบ!FW24"")"),0)</f>
        <v>0</v>
      </c>
      <c r="N410" s="93">
        <f ca="1">IFERROR(__xludf.DUMMYFUNCTION("IMPORTRANGE(""https://docs.google.com/spreadsheets/d/1MeEWN-I1oV_STSDYn1IFDPWt_1FKiwhDph83XaGc0o0/edit?usp=sharing"",""งบพรบ!FY24"")"),0)</f>
        <v>0</v>
      </c>
      <c r="O410" s="93">
        <f t="shared" ca="1" si="174"/>
        <v>0</v>
      </c>
      <c r="P410" s="93">
        <f t="shared" ca="1" si="175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47" t="s">
        <v>38</v>
      </c>
      <c r="E411" s="498"/>
      <c r="F411" s="498"/>
      <c r="G411" s="499"/>
      <c r="H411" s="726"/>
      <c r="I411" s="269"/>
      <c r="J411" s="269"/>
      <c r="K411" s="465"/>
      <c r="L411" s="163"/>
      <c r="M411" s="163"/>
      <c r="N411" s="163"/>
      <c r="O411" s="163"/>
      <c r="P411" s="163"/>
    </row>
    <row r="412" spans="1:26" ht="18.75" hidden="1">
      <c r="A412" s="170"/>
      <c r="B412" s="342"/>
      <c r="C412" s="342"/>
      <c r="D412" s="415" t="s">
        <v>177</v>
      </c>
      <c r="E412" s="342"/>
      <c r="F412" s="342"/>
      <c r="G412" s="179"/>
      <c r="H412" s="500" t="s">
        <v>69</v>
      </c>
      <c r="I412" s="269">
        <v>0</v>
      </c>
      <c r="J412" s="214">
        <v>0</v>
      </c>
      <c r="K412" s="465">
        <f t="shared" ref="K412:K413" si="179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01"/>
      <c r="B413" s="502"/>
      <c r="C413" s="502"/>
      <c r="D413" s="503" t="s">
        <v>178</v>
      </c>
      <c r="E413" s="502"/>
      <c r="F413" s="502"/>
      <c r="G413" s="504"/>
      <c r="H413" s="505" t="s">
        <v>179</v>
      </c>
      <c r="I413" s="506">
        <v>0</v>
      </c>
      <c r="J413" s="507">
        <v>0</v>
      </c>
      <c r="K413" s="508">
        <f t="shared" si="179"/>
        <v>0</v>
      </c>
      <c r="L413" s="509"/>
      <c r="M413" s="509"/>
      <c r="N413" s="509"/>
      <c r="O413" s="509"/>
      <c r="P413" s="509"/>
    </row>
    <row r="414" spans="1:26" ht="19.5">
      <c r="A414" s="510" t="s">
        <v>180</v>
      </c>
      <c r="B414" s="511"/>
      <c r="C414" s="511"/>
      <c r="D414" s="511"/>
      <c r="E414" s="511"/>
      <c r="F414" s="511"/>
      <c r="G414" s="512"/>
      <c r="H414" s="513"/>
      <c r="I414" s="514"/>
      <c r="J414" s="514"/>
      <c r="K414" s="515"/>
      <c r="L414" s="516">
        <f t="shared" ref="L414:N414" ca="1" si="180">L419+L444+L467+L502+L523+L544+L629+L655+L685+L737+L754+L770+L786+L805</f>
        <v>2253497</v>
      </c>
      <c r="M414" s="516">
        <f t="shared" si="180"/>
        <v>0</v>
      </c>
      <c r="N414" s="516">
        <f t="shared" si="180"/>
        <v>0</v>
      </c>
      <c r="O414" s="516">
        <f ca="1">IF(L414&gt;0,N414*100/L414,0)</f>
        <v>0</v>
      </c>
      <c r="P414" s="516">
        <f>IF(M414&gt;0,N414*100/M414,0)</f>
        <v>0</v>
      </c>
    </row>
    <row r="415" spans="1:26" ht="19.5">
      <c r="A415" s="517" t="s">
        <v>181</v>
      </c>
      <c r="B415" s="518"/>
      <c r="C415" s="518"/>
      <c r="D415" s="518"/>
      <c r="E415" s="518"/>
      <c r="F415" s="518"/>
      <c r="G415" s="518"/>
      <c r="H415" s="519"/>
      <c r="I415" s="520"/>
      <c r="J415" s="520"/>
      <c r="K415" s="521"/>
      <c r="L415" s="522"/>
      <c r="M415" s="522"/>
      <c r="N415" s="522"/>
      <c r="O415" s="522"/>
      <c r="P415" s="522"/>
    </row>
    <row r="416" spans="1:26" ht="19.5">
      <c r="A416" s="517" t="s">
        <v>182</v>
      </c>
      <c r="B416" s="518"/>
      <c r="C416" s="518"/>
      <c r="D416" s="518"/>
      <c r="E416" s="518"/>
      <c r="F416" s="518"/>
      <c r="G416" s="523"/>
      <c r="H416" s="524"/>
      <c r="I416" s="525"/>
      <c r="J416" s="525"/>
      <c r="K416" s="522"/>
      <c r="L416" s="522"/>
      <c r="M416" s="522"/>
      <c r="N416" s="522"/>
      <c r="O416" s="522"/>
      <c r="P416" s="522"/>
    </row>
    <row r="417" spans="1:26" ht="21.75" customHeight="1">
      <c r="A417" s="526">
        <v>1</v>
      </c>
      <c r="B417" s="528" t="s">
        <v>183</v>
      </c>
      <c r="C417" s="528"/>
      <c r="D417" s="529"/>
      <c r="E417" s="529"/>
      <c r="F417" s="529"/>
      <c r="G417" s="530"/>
      <c r="H417" s="531" t="s">
        <v>35</v>
      </c>
      <c r="I417" s="532">
        <f t="shared" ref="I417:J418" ca="1" si="181">I433</f>
        <v>20</v>
      </c>
      <c r="J417" s="532">
        <f t="shared" ca="1" si="181"/>
        <v>0</v>
      </c>
      <c r="K417" s="533">
        <f t="shared" ref="K417:K418" ca="1" si="182">IF(I417&gt;0,J417*100/I417,0)</f>
        <v>0</v>
      </c>
      <c r="L417" s="534"/>
      <c r="M417" s="534"/>
      <c r="N417" s="534"/>
      <c r="O417" s="534"/>
      <c r="P417" s="534"/>
    </row>
    <row r="418" spans="1:26" ht="19.5">
      <c r="A418" s="535"/>
      <c r="B418" s="526"/>
      <c r="C418" s="528"/>
      <c r="D418" s="529"/>
      <c r="E418" s="529"/>
      <c r="F418" s="529"/>
      <c r="G418" s="530"/>
      <c r="H418" s="531" t="s">
        <v>49</v>
      </c>
      <c r="I418" s="532">
        <f t="shared" ca="1" si="181"/>
        <v>1</v>
      </c>
      <c r="J418" s="532">
        <f t="shared" si="181"/>
        <v>0</v>
      </c>
      <c r="K418" s="533">
        <f t="shared" ca="1" si="182"/>
        <v>0</v>
      </c>
      <c r="L418" s="534"/>
      <c r="M418" s="534"/>
      <c r="N418" s="534"/>
      <c r="O418" s="534"/>
      <c r="P418" s="534"/>
    </row>
    <row r="419" spans="1:26" ht="19.5">
      <c r="A419" s="147"/>
      <c r="B419" s="148"/>
      <c r="C419" s="148" t="s">
        <v>16</v>
      </c>
      <c r="D419" s="848" t="s">
        <v>17</v>
      </c>
      <c r="E419" s="810"/>
      <c r="F419" s="810"/>
      <c r="G419" s="151"/>
      <c r="H419" s="274" t="s">
        <v>12</v>
      </c>
      <c r="I419" s="388"/>
      <c r="J419" s="388"/>
      <c r="K419" s="154"/>
      <c r="L419" s="155">
        <f t="shared" ref="L419:N419" ca="1" si="183">L420+L421</f>
        <v>78660</v>
      </c>
      <c r="M419" s="155">
        <f t="shared" si="183"/>
        <v>0</v>
      </c>
      <c r="N419" s="155">
        <f t="shared" si="183"/>
        <v>0</v>
      </c>
      <c r="O419" s="155">
        <f t="shared" ref="O419:O424" ca="1" si="184">IF(L419&gt;0,N419*100/L419,0)</f>
        <v>0</v>
      </c>
      <c r="P419" s="155">
        <f t="shared" ref="P419:P424" si="185">IF(M419&gt;0,N419*100/M419,0)</f>
        <v>0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536"/>
      <c r="E420" s="222" t="s">
        <v>184</v>
      </c>
      <c r="F420" s="40"/>
      <c r="G420" s="157"/>
      <c r="H420" s="165" t="s">
        <v>12</v>
      </c>
      <c r="I420" s="583"/>
      <c r="J420" s="583"/>
      <c r="K420" s="93"/>
      <c r="L420" s="93">
        <f t="shared" ref="L420:N421" si="186">L423+L430</f>
        <v>0</v>
      </c>
      <c r="M420" s="93">
        <f t="shared" si="186"/>
        <v>0</v>
      </c>
      <c r="N420" s="93">
        <f t="shared" si="186"/>
        <v>0</v>
      </c>
      <c r="O420" s="93">
        <f t="shared" si="184"/>
        <v>0</v>
      </c>
      <c r="P420" s="93">
        <f t="shared" si="185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536"/>
      <c r="E421" s="222" t="s">
        <v>185</v>
      </c>
      <c r="F421" s="40"/>
      <c r="G421" s="157"/>
      <c r="H421" s="165" t="s">
        <v>12</v>
      </c>
      <c r="I421" s="583"/>
      <c r="J421" s="583"/>
      <c r="K421" s="93"/>
      <c r="L421" s="93">
        <f t="shared" ca="1" si="186"/>
        <v>78660</v>
      </c>
      <c r="M421" s="93">
        <f t="shared" si="186"/>
        <v>0</v>
      </c>
      <c r="N421" s="93">
        <f t="shared" si="186"/>
        <v>0</v>
      </c>
      <c r="O421" s="93">
        <f t="shared" ca="1" si="184"/>
        <v>0</v>
      </c>
      <c r="P421" s="93">
        <f t="shared" si="185"/>
        <v>0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0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65">
        <f t="shared" ref="L422:N422" ca="1" si="187">L423+L424</f>
        <v>78660</v>
      </c>
      <c r="M422" s="465">
        <f t="shared" si="187"/>
        <v>0</v>
      </c>
      <c r="N422" s="465">
        <f t="shared" si="187"/>
        <v>0</v>
      </c>
      <c r="O422" s="465">
        <f t="shared" ca="1" si="184"/>
        <v>0</v>
      </c>
      <c r="P422" s="465">
        <f t="shared" si="185"/>
        <v>0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536"/>
      <c r="E423" s="222" t="s">
        <v>184</v>
      </c>
      <c r="F423" s="40"/>
      <c r="G423" s="157"/>
      <c r="H423" s="165" t="s">
        <v>12</v>
      </c>
      <c r="I423" s="583"/>
      <c r="J423" s="583"/>
      <c r="K423" s="93"/>
      <c r="L423" s="93">
        <v>0</v>
      </c>
      <c r="M423" s="93">
        <v>0</v>
      </c>
      <c r="N423" s="93">
        <v>0</v>
      </c>
      <c r="O423" s="93">
        <f t="shared" si="184"/>
        <v>0</v>
      </c>
      <c r="P423" s="93">
        <f t="shared" si="185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536"/>
      <c r="E424" s="222" t="s">
        <v>185</v>
      </c>
      <c r="F424" s="40"/>
      <c r="G424" s="157"/>
      <c r="H424" s="165" t="s">
        <v>12</v>
      </c>
      <c r="I424" s="583"/>
      <c r="J424" s="583"/>
      <c r="K424" s="93"/>
      <c r="L424" s="93">
        <f ca="1">IFERROR(__xludf.DUMMYFUNCTION("IMPORTRANGE(""https://docs.google.com/spreadsheets/d/1QqKyyYR6Q21VydFLVH3TRQUabQu_ym0Zz7PgGX0-kHA/edit?usp=sharing"",""แผน!EY24"")"),78660)</f>
        <v>78660</v>
      </c>
      <c r="M424" s="93">
        <v>0</v>
      </c>
      <c r="N424" s="93">
        <f>N425+N426+N427+N428</f>
        <v>0</v>
      </c>
      <c r="O424" s="93">
        <f t="shared" ca="1" si="184"/>
        <v>0</v>
      </c>
      <c r="P424" s="93">
        <f t="shared" si="185"/>
        <v>0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37"/>
      <c r="B425" s="538"/>
      <c r="C425" s="727"/>
      <c r="D425" s="727"/>
      <c r="E425" s="727"/>
      <c r="F425" s="727" t="s">
        <v>186</v>
      </c>
      <c r="G425" s="189"/>
      <c r="H425" s="161" t="s">
        <v>12</v>
      </c>
      <c r="I425" s="269"/>
      <c r="J425" s="269"/>
      <c r="K425" s="465"/>
      <c r="L425" s="465"/>
      <c r="M425" s="465"/>
      <c r="N425" s="789">
        <v>0</v>
      </c>
      <c r="O425" s="465"/>
      <c r="P425" s="465"/>
      <c r="Q425" s="541"/>
      <c r="R425" s="541"/>
      <c r="S425" s="541"/>
      <c r="T425" s="541"/>
      <c r="U425" s="541"/>
      <c r="V425" s="541"/>
      <c r="W425" s="541"/>
      <c r="X425" s="541"/>
      <c r="Y425" s="541"/>
      <c r="Z425" s="541"/>
    </row>
    <row r="426" spans="1:26" ht="18.75">
      <c r="A426" s="537"/>
      <c r="B426" s="538"/>
      <c r="C426" s="727"/>
      <c r="D426" s="727"/>
      <c r="E426" s="727"/>
      <c r="F426" s="727" t="s">
        <v>187</v>
      </c>
      <c r="G426" s="189"/>
      <c r="H426" s="161" t="s">
        <v>12</v>
      </c>
      <c r="I426" s="269"/>
      <c r="J426" s="269"/>
      <c r="K426" s="465"/>
      <c r="L426" s="465"/>
      <c r="M426" s="465"/>
      <c r="N426" s="789">
        <v>0</v>
      </c>
      <c r="O426" s="465"/>
      <c r="P426" s="465"/>
      <c r="Q426" s="541"/>
      <c r="R426" s="541"/>
      <c r="S426" s="541"/>
      <c r="T426" s="541"/>
      <c r="U426" s="541"/>
      <c r="V426" s="541"/>
      <c r="W426" s="541"/>
      <c r="X426" s="541"/>
      <c r="Y426" s="541"/>
      <c r="Z426" s="541"/>
    </row>
    <row r="427" spans="1:26" ht="18.75">
      <c r="A427" s="537"/>
      <c r="B427" s="538"/>
      <c r="C427" s="727"/>
      <c r="D427" s="727"/>
      <c r="E427" s="727"/>
      <c r="F427" s="727" t="s">
        <v>188</v>
      </c>
      <c r="G427" s="189"/>
      <c r="H427" s="161" t="s">
        <v>12</v>
      </c>
      <c r="I427" s="269"/>
      <c r="J427" s="269"/>
      <c r="K427" s="465"/>
      <c r="L427" s="465"/>
      <c r="M427" s="465"/>
      <c r="N427" s="789">
        <v>0</v>
      </c>
      <c r="O427" s="465"/>
      <c r="P427" s="465"/>
      <c r="Q427" s="541"/>
      <c r="R427" s="541"/>
      <c r="S427" s="541"/>
      <c r="T427" s="541"/>
      <c r="U427" s="541"/>
      <c r="V427" s="541"/>
      <c r="W427" s="541"/>
      <c r="X427" s="541"/>
      <c r="Y427" s="541"/>
      <c r="Z427" s="541"/>
    </row>
    <row r="428" spans="1:26" ht="18.75">
      <c r="A428" s="283"/>
      <c r="B428" s="280"/>
      <c r="C428" s="33"/>
      <c r="D428" s="33"/>
      <c r="E428" s="33"/>
      <c r="F428" s="281" t="s">
        <v>189</v>
      </c>
      <c r="G428" s="213"/>
      <c r="H428" s="161" t="s">
        <v>12</v>
      </c>
      <c r="I428" s="269"/>
      <c r="J428" s="269"/>
      <c r="K428" s="465"/>
      <c r="L428" s="465"/>
      <c r="M428" s="465"/>
      <c r="N428" s="789">
        <v>0</v>
      </c>
      <c r="O428" s="465"/>
      <c r="P428" s="465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0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65">
        <f t="shared" ref="L429:N429" ca="1" si="188">L430+L431</f>
        <v>0</v>
      </c>
      <c r="M429" s="465">
        <f t="shared" si="188"/>
        <v>0</v>
      </c>
      <c r="N429" s="465">
        <f t="shared" si="188"/>
        <v>0</v>
      </c>
      <c r="O429" s="465">
        <f t="shared" ref="O429:O431" ca="1" si="189">IF(L429&gt;0,N429*100/L429,0)</f>
        <v>0</v>
      </c>
      <c r="P429" s="465">
        <f t="shared" ref="P429:P431" si="190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542"/>
      <c r="C430" s="40"/>
      <c r="D430" s="40"/>
      <c r="E430" s="222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89"/>
        <v>0</v>
      </c>
      <c r="P430" s="93">
        <f t="shared" si="190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542"/>
      <c r="C431" s="40"/>
      <c r="D431" s="40"/>
      <c r="E431" s="222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IFERROR(__xludf.DUMMYFUNCTION("IMPORTRANGE(""https://docs.google.com/spreadsheets/d/1QqKyyYR6Q21VydFLVH3TRQUabQu_ym0Zz7PgGX0-kHA/edit?usp=sharing"",""แผน!FB24"")"),0)</f>
        <v>0</v>
      </c>
      <c r="M431" s="93">
        <v>0</v>
      </c>
      <c r="N431" s="93">
        <v>0</v>
      </c>
      <c r="O431" s="93">
        <f t="shared" ca="1" si="189"/>
        <v>0</v>
      </c>
      <c r="P431" s="93">
        <f t="shared" si="190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382"/>
      <c r="B432" s="383"/>
      <c r="C432" s="148" t="s">
        <v>16</v>
      </c>
      <c r="D432" s="849" t="s">
        <v>38</v>
      </c>
      <c r="E432" s="544"/>
      <c r="F432" s="544"/>
      <c r="G432" s="545"/>
      <c r="H432" s="546"/>
      <c r="I432" s="388"/>
      <c r="J432" s="388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190</v>
      </c>
      <c r="E433" s="342"/>
      <c r="F433" s="342"/>
      <c r="G433" s="179"/>
      <c r="H433" s="196" t="s">
        <v>35</v>
      </c>
      <c r="I433" s="647">
        <f ca="1">I435</f>
        <v>20</v>
      </c>
      <c r="J433" s="647">
        <f ca="1">IF(AND(J435=I435,J437=I437,J439=I439),I437+I439,IF(AND(J435=I437,J437=I437),I437,IF(AND(J435=I439,J439=I439),I439,0)))</f>
        <v>0</v>
      </c>
      <c r="K433" s="195">
        <f t="shared" ref="K433:K435" ca="1" si="191">IF(I433&gt;0,J433*100/I433,0)</f>
        <v>0</v>
      </c>
      <c r="L433" s="465"/>
      <c r="M433" s="465"/>
      <c r="N433" s="465"/>
      <c r="O433" s="465"/>
      <c r="P433" s="465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191</v>
      </c>
      <c r="E434" s="342"/>
      <c r="F434" s="342"/>
      <c r="G434" s="179"/>
      <c r="H434" s="196" t="s">
        <v>49</v>
      </c>
      <c r="I434" s="647">
        <f t="shared" ref="I434:J434" ca="1" si="192">I438+I440</f>
        <v>1</v>
      </c>
      <c r="J434" s="647">
        <f t="shared" si="192"/>
        <v>0</v>
      </c>
      <c r="K434" s="195">
        <f t="shared" ca="1" si="191"/>
        <v>0</v>
      </c>
      <c r="L434" s="465"/>
      <c r="M434" s="465"/>
      <c r="N434" s="465"/>
      <c r="O434" s="465"/>
      <c r="P434" s="465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15" t="s">
        <v>192</v>
      </c>
      <c r="E435" s="342"/>
      <c r="F435" s="342"/>
      <c r="G435" s="179"/>
      <c r="H435" s="589" t="s">
        <v>35</v>
      </c>
      <c r="I435" s="547">
        <f ca="1">IFERROR(__xludf.DUMMYFUNCTION("IMPORTRANGE(""https://docs.google.com/spreadsheets/d/1QqKyyYR6Q21VydFLVH3TRQUabQu_ym0Zz7PgGX0-kHA/edit?usp=sharing"",""แผน!FC24"")"),20)</f>
        <v>20</v>
      </c>
      <c r="J435" s="548">
        <v>0</v>
      </c>
      <c r="K435" s="465">
        <f t="shared" ca="1" si="191"/>
        <v>0</v>
      </c>
      <c r="L435" s="465"/>
      <c r="M435" s="465"/>
      <c r="N435" s="465"/>
      <c r="O435" s="465"/>
      <c r="P435" s="465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15" t="s">
        <v>193</v>
      </c>
      <c r="E436" s="342"/>
      <c r="F436" s="342"/>
      <c r="G436" s="179"/>
      <c r="H436" s="589"/>
      <c r="I436" s="269"/>
      <c r="J436" s="269"/>
      <c r="K436" s="465"/>
      <c r="L436" s="465"/>
      <c r="M436" s="465"/>
      <c r="N436" s="465"/>
      <c r="O436" s="465"/>
      <c r="P436" s="465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15" t="s">
        <v>194</v>
      </c>
      <c r="E437" s="342"/>
      <c r="F437" s="342"/>
      <c r="G437" s="179"/>
      <c r="H437" s="589" t="s">
        <v>35</v>
      </c>
      <c r="I437" s="547">
        <f ca="1">IFERROR(__xludf.DUMMYFUNCTION("IMPORTRANGE(""https://docs.google.com/spreadsheets/d/1QqKyyYR6Q21VydFLVH3TRQUabQu_ym0Zz7PgGX0-kHA/edit?usp=sharing"",""แผน!FD24"")"),0)</f>
        <v>0</v>
      </c>
      <c r="J437" s="548">
        <v>0</v>
      </c>
      <c r="K437" s="465">
        <f t="shared" ref="K437:K443" ca="1" si="193">IF(I437&gt;0,J437*100/I437,0)</f>
        <v>0</v>
      </c>
      <c r="L437" s="465"/>
      <c r="M437" s="465"/>
      <c r="N437" s="465"/>
      <c r="O437" s="465"/>
      <c r="P437" s="465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15" t="s">
        <v>195</v>
      </c>
      <c r="E438" s="342"/>
      <c r="F438" s="342"/>
      <c r="G438" s="179"/>
      <c r="H438" s="589" t="s">
        <v>49</v>
      </c>
      <c r="I438" s="269">
        <f ca="1">IFERROR(__xludf.DUMMYFUNCTION("IMPORTRANGE(""https://docs.google.com/spreadsheets/d/1QqKyyYR6Q21VydFLVH3TRQUabQu_ym0Zz7PgGX0-kHA/edit?usp=sharing"",""แผน!FE24"")"),0)</f>
        <v>0</v>
      </c>
      <c r="J438" s="214">
        <v>0</v>
      </c>
      <c r="K438" s="465">
        <f t="shared" ca="1" si="193"/>
        <v>0</v>
      </c>
      <c r="L438" s="465"/>
      <c r="M438" s="465"/>
      <c r="N438" s="465"/>
      <c r="O438" s="465"/>
      <c r="P438" s="465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15" t="s">
        <v>196</v>
      </c>
      <c r="E439" s="342"/>
      <c r="F439" s="342"/>
      <c r="G439" s="179"/>
      <c r="H439" s="589" t="s">
        <v>35</v>
      </c>
      <c r="I439" s="547">
        <f ca="1">IFERROR(__xludf.DUMMYFUNCTION("IMPORTRANGE(""https://docs.google.com/spreadsheets/d/1QqKyyYR6Q21VydFLVH3TRQUabQu_ym0Zz7PgGX0-kHA/edit?usp=sharing"",""แผน!FF24"")"),20)</f>
        <v>20</v>
      </c>
      <c r="J439" s="548">
        <v>0</v>
      </c>
      <c r="K439" s="465">
        <f t="shared" ca="1" si="193"/>
        <v>0</v>
      </c>
      <c r="L439" s="465"/>
      <c r="M439" s="465"/>
      <c r="N439" s="465"/>
      <c r="O439" s="465"/>
      <c r="P439" s="465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15" t="s">
        <v>197</v>
      </c>
      <c r="E440" s="342"/>
      <c r="F440" s="342"/>
      <c r="G440" s="179"/>
      <c r="H440" s="589" t="s">
        <v>49</v>
      </c>
      <c r="I440" s="269">
        <f ca="1">IFERROR(__xludf.DUMMYFUNCTION("IMPORTRANGE(""https://docs.google.com/spreadsheets/d/1QqKyyYR6Q21VydFLVH3TRQUabQu_ym0Zz7PgGX0-kHA/edit?usp=sharing"",""แผน!FG24"")"),1)</f>
        <v>1</v>
      </c>
      <c r="J440" s="214">
        <v>0</v>
      </c>
      <c r="K440" s="465">
        <f t="shared" ca="1" si="193"/>
        <v>0</v>
      </c>
      <c r="L440" s="465"/>
      <c r="M440" s="465"/>
      <c r="N440" s="465"/>
      <c r="O440" s="465"/>
      <c r="P440" s="465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 hidden="1">
      <c r="A441" s="170"/>
      <c r="B441" s="171"/>
      <c r="C441" s="171"/>
      <c r="D441" s="415" t="s">
        <v>198</v>
      </c>
      <c r="E441" s="342"/>
      <c r="F441" s="342"/>
      <c r="G441" s="179"/>
      <c r="H441" s="589" t="s">
        <v>35</v>
      </c>
      <c r="I441" s="269">
        <f ca="1">IFERROR(__xludf.DUMMYFUNCTION("IMPORTRANGE(""https://docs.google.com/spreadsheets/d/1QqKyyYR6Q21VydFLVH3TRQUabQu_ym0Zz7PgGX0-kHA/edit?usp=sharing"",""แผน!FH24"")"),0)</f>
        <v>0</v>
      </c>
      <c r="J441" s="269">
        <v>0</v>
      </c>
      <c r="K441" s="465">
        <f t="shared" ca="1" si="193"/>
        <v>0</v>
      </c>
      <c r="L441" s="465"/>
      <c r="M441" s="465"/>
      <c r="N441" s="465"/>
      <c r="O441" s="465"/>
      <c r="P441" s="465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49">
        <v>2</v>
      </c>
      <c r="B442" s="550" t="s">
        <v>199</v>
      </c>
      <c r="C442" s="551"/>
      <c r="D442" s="551"/>
      <c r="E442" s="551"/>
      <c r="F442" s="551"/>
      <c r="G442" s="552"/>
      <c r="H442" s="553" t="s">
        <v>35</v>
      </c>
      <c r="I442" s="554">
        <f t="shared" ref="I442:J442" ca="1" si="194">I460</f>
        <v>55</v>
      </c>
      <c r="J442" s="554">
        <f t="shared" si="194"/>
        <v>0</v>
      </c>
      <c r="K442" s="555">
        <f t="shared" ca="1" si="193"/>
        <v>0</v>
      </c>
      <c r="L442" s="556"/>
      <c r="M442" s="556"/>
      <c r="N442" s="556"/>
      <c r="O442" s="556"/>
      <c r="P442" s="556"/>
      <c r="Q442" s="541"/>
      <c r="R442" s="541"/>
      <c r="S442" s="541"/>
      <c r="T442" s="541"/>
      <c r="U442" s="541"/>
      <c r="V442" s="541"/>
      <c r="W442" s="541"/>
      <c r="X442" s="541"/>
      <c r="Y442" s="541"/>
      <c r="Z442" s="541"/>
    </row>
    <row r="443" spans="1:26" ht="19.5">
      <c r="A443" s="557"/>
      <c r="B443" s="558"/>
      <c r="C443" s="559"/>
      <c r="D443" s="559"/>
      <c r="E443" s="559"/>
      <c r="F443" s="559"/>
      <c r="G443" s="560"/>
      <c r="H443" s="531" t="s">
        <v>46</v>
      </c>
      <c r="I443" s="532">
        <f t="shared" ref="I443:J443" ca="1" si="195">I462</f>
        <v>110</v>
      </c>
      <c r="J443" s="532">
        <f t="shared" si="195"/>
        <v>0</v>
      </c>
      <c r="K443" s="533">
        <f t="shared" ca="1" si="193"/>
        <v>0</v>
      </c>
      <c r="L443" s="534"/>
      <c r="M443" s="534"/>
      <c r="N443" s="534"/>
      <c r="O443" s="534"/>
      <c r="P443" s="534"/>
      <c r="Q443" s="541"/>
      <c r="R443" s="541"/>
      <c r="S443" s="541"/>
      <c r="T443" s="541"/>
      <c r="U443" s="541"/>
      <c r="V443" s="541"/>
      <c r="W443" s="541"/>
      <c r="X443" s="541"/>
      <c r="Y443" s="541"/>
      <c r="Z443" s="541"/>
    </row>
    <row r="444" spans="1:26" ht="19.5">
      <c r="A444" s="561"/>
      <c r="B444" s="727"/>
      <c r="C444" s="727" t="s">
        <v>16</v>
      </c>
      <c r="D444" s="811" t="s">
        <v>17</v>
      </c>
      <c r="E444" s="805"/>
      <c r="F444" s="805"/>
      <c r="G444" s="189"/>
      <c r="H444" s="562" t="s">
        <v>12</v>
      </c>
      <c r="I444" s="269"/>
      <c r="J444" s="269"/>
      <c r="K444" s="465"/>
      <c r="L444" s="195">
        <f t="shared" ref="L444:N444" ca="1" si="196">L445+L446</f>
        <v>365500</v>
      </c>
      <c r="M444" s="195">
        <f t="shared" si="196"/>
        <v>0</v>
      </c>
      <c r="N444" s="195">
        <f t="shared" si="196"/>
        <v>0</v>
      </c>
      <c r="O444" s="195">
        <f t="shared" ref="O444:O449" ca="1" si="197">IF(L444&gt;0,N444*100/L444,0)</f>
        <v>0</v>
      </c>
      <c r="P444" s="195">
        <f t="shared" ref="P444:P449" si="198">IF(M444&gt;0,N444*100/M444,0)</f>
        <v>0</v>
      </c>
      <c r="Q444" s="541"/>
      <c r="R444" s="541"/>
      <c r="S444" s="541"/>
      <c r="T444" s="541"/>
      <c r="U444" s="541"/>
      <c r="V444" s="541"/>
      <c r="W444" s="541"/>
      <c r="X444" s="541"/>
      <c r="Y444" s="541"/>
      <c r="Z444" s="541"/>
    </row>
    <row r="445" spans="1:26" ht="18.75" hidden="1">
      <c r="A445" s="563"/>
      <c r="B445" s="723"/>
      <c r="C445" s="723"/>
      <c r="D445" s="684"/>
      <c r="E445" s="723" t="s">
        <v>184</v>
      </c>
      <c r="F445" s="723"/>
      <c r="G445" s="567"/>
      <c r="H445" s="165" t="s">
        <v>12</v>
      </c>
      <c r="I445" s="583"/>
      <c r="J445" s="583"/>
      <c r="K445" s="93"/>
      <c r="L445" s="93">
        <f t="shared" ref="L445:N446" si="199">L448+L455</f>
        <v>0</v>
      </c>
      <c r="M445" s="93">
        <f t="shared" si="199"/>
        <v>0</v>
      </c>
      <c r="N445" s="93">
        <f t="shared" si="199"/>
        <v>0</v>
      </c>
      <c r="O445" s="93">
        <f t="shared" si="197"/>
        <v>0</v>
      </c>
      <c r="P445" s="93">
        <f t="shared" si="198"/>
        <v>0</v>
      </c>
      <c r="Q445" s="568"/>
      <c r="R445" s="568"/>
      <c r="S445" s="568"/>
      <c r="T445" s="568"/>
      <c r="U445" s="568"/>
      <c r="V445" s="568"/>
      <c r="W445" s="568"/>
      <c r="X445" s="568"/>
      <c r="Y445" s="568"/>
      <c r="Z445" s="568"/>
    </row>
    <row r="446" spans="1:26" ht="18.75" hidden="1">
      <c r="A446" s="563"/>
      <c r="B446" s="571"/>
      <c r="C446" s="723"/>
      <c r="D446" s="684"/>
      <c r="E446" s="723" t="s">
        <v>185</v>
      </c>
      <c r="F446" s="723"/>
      <c r="G446" s="567"/>
      <c r="H446" s="165" t="s">
        <v>12</v>
      </c>
      <c r="I446" s="583"/>
      <c r="J446" s="583"/>
      <c r="K446" s="93"/>
      <c r="L446" s="93">
        <f t="shared" ca="1" si="199"/>
        <v>365500</v>
      </c>
      <c r="M446" s="93">
        <f t="shared" si="199"/>
        <v>0</v>
      </c>
      <c r="N446" s="93">
        <f t="shared" si="199"/>
        <v>0</v>
      </c>
      <c r="O446" s="93">
        <f t="shared" ca="1" si="197"/>
        <v>0</v>
      </c>
      <c r="P446" s="93">
        <f t="shared" si="198"/>
        <v>0</v>
      </c>
      <c r="Q446" s="568"/>
      <c r="R446" s="568"/>
      <c r="S446" s="568"/>
      <c r="T446" s="568"/>
      <c r="U446" s="568"/>
      <c r="V446" s="568"/>
      <c r="W446" s="568"/>
      <c r="X446" s="568"/>
      <c r="Y446" s="568"/>
      <c r="Z446" s="568"/>
    </row>
    <row r="447" spans="1:26" ht="18.75">
      <c r="A447" s="561"/>
      <c r="B447" s="538"/>
      <c r="C447" s="727"/>
      <c r="D447" s="570" t="s">
        <v>20</v>
      </c>
      <c r="E447" s="727"/>
      <c r="F447" s="727"/>
      <c r="G447" s="189"/>
      <c r="H447" s="161" t="s">
        <v>12</v>
      </c>
      <c r="I447" s="184"/>
      <c r="J447" s="184"/>
      <c r="K447" s="163"/>
      <c r="L447" s="465">
        <f t="shared" ref="L447:N447" ca="1" si="200">L448+L449</f>
        <v>365500</v>
      </c>
      <c r="M447" s="465">
        <f t="shared" si="200"/>
        <v>0</v>
      </c>
      <c r="N447" s="465">
        <f t="shared" si="200"/>
        <v>0</v>
      </c>
      <c r="O447" s="465">
        <f t="shared" ca="1" si="197"/>
        <v>0</v>
      </c>
      <c r="P447" s="465">
        <f t="shared" si="198"/>
        <v>0</v>
      </c>
      <c r="Q447" s="541"/>
      <c r="R447" s="541"/>
      <c r="S447" s="541"/>
      <c r="T447" s="541"/>
      <c r="U447" s="541"/>
      <c r="V447" s="541"/>
      <c r="W447" s="541"/>
      <c r="X447" s="541"/>
      <c r="Y447" s="541"/>
      <c r="Z447" s="541"/>
    </row>
    <row r="448" spans="1:26" ht="18.75" hidden="1">
      <c r="A448" s="563"/>
      <c r="B448" s="571"/>
      <c r="C448" s="723"/>
      <c r="D448" s="684"/>
      <c r="E448" s="723" t="s">
        <v>184</v>
      </c>
      <c r="F448" s="723"/>
      <c r="G448" s="567"/>
      <c r="H448" s="165" t="s">
        <v>12</v>
      </c>
      <c r="I448" s="583"/>
      <c r="J448" s="583"/>
      <c r="K448" s="93"/>
      <c r="L448" s="93">
        <v>0</v>
      </c>
      <c r="M448" s="93">
        <v>0</v>
      </c>
      <c r="N448" s="93">
        <v>0</v>
      </c>
      <c r="O448" s="93">
        <f t="shared" si="197"/>
        <v>0</v>
      </c>
      <c r="P448" s="93">
        <f t="shared" si="198"/>
        <v>0</v>
      </c>
      <c r="Q448" s="568"/>
      <c r="R448" s="568"/>
      <c r="S448" s="568"/>
      <c r="T448" s="568"/>
      <c r="U448" s="568"/>
      <c r="V448" s="568"/>
      <c r="W448" s="568"/>
      <c r="X448" s="568"/>
      <c r="Y448" s="568"/>
      <c r="Z448" s="568"/>
    </row>
    <row r="449" spans="1:26" ht="18.75" hidden="1">
      <c r="A449" s="563"/>
      <c r="B449" s="571"/>
      <c r="C449" s="723"/>
      <c r="D449" s="684"/>
      <c r="E449" s="723" t="s">
        <v>185</v>
      </c>
      <c r="F449" s="723"/>
      <c r="G449" s="567"/>
      <c r="H449" s="165" t="s">
        <v>12</v>
      </c>
      <c r="I449" s="583"/>
      <c r="J449" s="583"/>
      <c r="K449" s="93"/>
      <c r="L449" s="93">
        <f ca="1">IFERROR(__xludf.DUMMYFUNCTION("IMPORTRANGE(""https://docs.google.com/spreadsheets/d/1QqKyyYR6Q21VydFLVH3TRQUabQu_ym0Zz7PgGX0-kHA/edit?usp=sharing"",""แผน!FJ24"")"),365500)</f>
        <v>365500</v>
      </c>
      <c r="M449" s="93">
        <v>0</v>
      </c>
      <c r="N449" s="93">
        <f>N450+N451+N452+N453</f>
        <v>0</v>
      </c>
      <c r="O449" s="93">
        <f t="shared" ca="1" si="197"/>
        <v>0</v>
      </c>
      <c r="P449" s="93">
        <f t="shared" si="198"/>
        <v>0</v>
      </c>
      <c r="Q449" s="568"/>
      <c r="R449" s="568"/>
      <c r="S449" s="568"/>
      <c r="T449" s="568"/>
      <c r="U449" s="568"/>
      <c r="V449" s="568"/>
      <c r="W449" s="568"/>
      <c r="X449" s="568"/>
      <c r="Y449" s="568"/>
      <c r="Z449" s="568"/>
    </row>
    <row r="450" spans="1:26" ht="18.75">
      <c r="A450" s="537"/>
      <c r="B450" s="538"/>
      <c r="C450" s="727"/>
      <c r="D450" s="727"/>
      <c r="E450" s="727"/>
      <c r="F450" s="727" t="s">
        <v>186</v>
      </c>
      <c r="G450" s="189"/>
      <c r="H450" s="161" t="s">
        <v>12</v>
      </c>
      <c r="I450" s="269"/>
      <c r="J450" s="269"/>
      <c r="K450" s="465"/>
      <c r="L450" s="465"/>
      <c r="M450" s="465"/>
      <c r="N450" s="789">
        <v>0</v>
      </c>
      <c r="O450" s="465"/>
      <c r="P450" s="465"/>
      <c r="Q450" s="541"/>
      <c r="R450" s="541"/>
      <c r="S450" s="541"/>
      <c r="T450" s="541"/>
      <c r="U450" s="541"/>
      <c r="V450" s="541"/>
      <c r="W450" s="541"/>
      <c r="X450" s="541"/>
      <c r="Y450" s="541"/>
      <c r="Z450" s="541"/>
    </row>
    <row r="451" spans="1:26" ht="18.75">
      <c r="A451" s="537"/>
      <c r="B451" s="538"/>
      <c r="C451" s="727"/>
      <c r="D451" s="727"/>
      <c r="E451" s="727"/>
      <c r="F451" s="727" t="s">
        <v>187</v>
      </c>
      <c r="G451" s="189"/>
      <c r="H451" s="161" t="s">
        <v>12</v>
      </c>
      <c r="I451" s="269"/>
      <c r="J451" s="269"/>
      <c r="K451" s="465"/>
      <c r="L451" s="465"/>
      <c r="M451" s="465"/>
      <c r="N451" s="789">
        <v>0</v>
      </c>
      <c r="O451" s="465"/>
      <c r="P451" s="465"/>
      <c r="Q451" s="541"/>
      <c r="R451" s="541"/>
      <c r="S451" s="541"/>
      <c r="T451" s="541"/>
      <c r="U451" s="541"/>
      <c r="V451" s="541"/>
      <c r="W451" s="541"/>
      <c r="X451" s="541"/>
      <c r="Y451" s="541"/>
      <c r="Z451" s="541"/>
    </row>
    <row r="452" spans="1:26" ht="18.75">
      <c r="A452" s="537"/>
      <c r="B452" s="538"/>
      <c r="C452" s="538"/>
      <c r="D452" s="538"/>
      <c r="E452" s="538"/>
      <c r="F452" s="727" t="s">
        <v>188</v>
      </c>
      <c r="G452" s="189"/>
      <c r="H452" s="161" t="s">
        <v>12</v>
      </c>
      <c r="I452" s="269"/>
      <c r="J452" s="269"/>
      <c r="K452" s="465"/>
      <c r="L452" s="465"/>
      <c r="M452" s="465"/>
      <c r="N452" s="789">
        <v>0</v>
      </c>
      <c r="O452" s="465"/>
      <c r="P452" s="465"/>
      <c r="Q452" s="541"/>
      <c r="R452" s="541"/>
      <c r="S452" s="541"/>
      <c r="T452" s="541"/>
      <c r="U452" s="541"/>
      <c r="V452" s="541"/>
      <c r="W452" s="541"/>
      <c r="X452" s="541"/>
      <c r="Y452" s="541"/>
      <c r="Z452" s="541"/>
    </row>
    <row r="453" spans="1:26" ht="18.75">
      <c r="A453" s="537"/>
      <c r="B453" s="538"/>
      <c r="C453" s="538"/>
      <c r="D453" s="538"/>
      <c r="E453" s="538"/>
      <c r="F453" s="727" t="s">
        <v>189</v>
      </c>
      <c r="G453" s="189"/>
      <c r="H453" s="161" t="s">
        <v>12</v>
      </c>
      <c r="I453" s="269"/>
      <c r="J453" s="269"/>
      <c r="K453" s="465"/>
      <c r="L453" s="465"/>
      <c r="M453" s="465"/>
      <c r="N453" s="789">
        <v>0</v>
      </c>
      <c r="O453" s="465"/>
      <c r="P453" s="465"/>
      <c r="Q453" s="541"/>
      <c r="R453" s="541"/>
      <c r="S453" s="541"/>
      <c r="T453" s="541"/>
      <c r="U453" s="541"/>
      <c r="V453" s="541"/>
      <c r="W453" s="541"/>
      <c r="X453" s="541"/>
      <c r="Y453" s="541"/>
      <c r="Z453" s="541"/>
    </row>
    <row r="454" spans="1:26" ht="18.75">
      <c r="A454" s="561"/>
      <c r="B454" s="538"/>
      <c r="C454" s="538"/>
      <c r="D454" s="570" t="s">
        <v>21</v>
      </c>
      <c r="E454" s="538"/>
      <c r="F454" s="727"/>
      <c r="G454" s="189"/>
      <c r="H454" s="168" t="s">
        <v>12</v>
      </c>
      <c r="I454" s="184"/>
      <c r="J454" s="184"/>
      <c r="K454" s="163"/>
      <c r="L454" s="465">
        <f t="shared" ref="L454:N454" ca="1" si="201">L455+L456</f>
        <v>0</v>
      </c>
      <c r="M454" s="465">
        <f t="shared" si="201"/>
        <v>0</v>
      </c>
      <c r="N454" s="465">
        <f t="shared" si="201"/>
        <v>0</v>
      </c>
      <c r="O454" s="465">
        <f t="shared" ref="O454:O456" ca="1" si="202">IF(L454&gt;0,N454*100/L454,0)</f>
        <v>0</v>
      </c>
      <c r="P454" s="465">
        <f t="shared" ref="P454:P456" si="203">IF(M454&gt;0,N454*100/M454,0)</f>
        <v>0</v>
      </c>
      <c r="Q454" s="541"/>
      <c r="R454" s="541"/>
      <c r="S454" s="541"/>
      <c r="T454" s="541"/>
      <c r="U454" s="541"/>
      <c r="V454" s="541"/>
      <c r="W454" s="541"/>
      <c r="X454" s="541"/>
      <c r="Y454" s="541"/>
      <c r="Z454" s="541"/>
    </row>
    <row r="455" spans="1:26" ht="18.75" hidden="1">
      <c r="A455" s="563"/>
      <c r="B455" s="571"/>
      <c r="C455" s="571"/>
      <c r="D455" s="571"/>
      <c r="E455" s="571" t="s">
        <v>18</v>
      </c>
      <c r="F455" s="723"/>
      <c r="G455" s="567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2"/>
        <v>0</v>
      </c>
      <c r="P455" s="93">
        <f t="shared" si="203"/>
        <v>0</v>
      </c>
      <c r="Q455" s="568"/>
      <c r="R455" s="568"/>
      <c r="S455" s="568"/>
      <c r="T455" s="568"/>
      <c r="U455" s="568"/>
      <c r="V455" s="568"/>
      <c r="W455" s="568"/>
      <c r="X455" s="568"/>
      <c r="Y455" s="568"/>
      <c r="Z455" s="568"/>
    </row>
    <row r="456" spans="1:26" ht="18.75" hidden="1">
      <c r="A456" s="563"/>
      <c r="B456" s="571"/>
      <c r="C456" s="571"/>
      <c r="D456" s="571"/>
      <c r="E456" s="571" t="s">
        <v>19</v>
      </c>
      <c r="F456" s="723"/>
      <c r="G456" s="567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IFERROR(__xludf.DUMMYFUNCTION("IMPORTRANGE(""https://docs.google.com/spreadsheets/d/1QqKyyYR6Q21VydFLVH3TRQUabQu_ym0Zz7PgGX0-kHA/edit?usp=sharing"",""แผน!FM24"")"),0)</f>
        <v>0</v>
      </c>
      <c r="M456" s="93">
        <v>0</v>
      </c>
      <c r="N456" s="93">
        <v>0</v>
      </c>
      <c r="O456" s="93">
        <f t="shared" ca="1" si="202"/>
        <v>0</v>
      </c>
      <c r="P456" s="93">
        <f t="shared" si="203"/>
        <v>0</v>
      </c>
      <c r="Q456" s="568"/>
      <c r="R456" s="568"/>
      <c r="S456" s="568"/>
      <c r="T456" s="568"/>
      <c r="U456" s="568"/>
      <c r="V456" s="568"/>
      <c r="W456" s="568"/>
      <c r="X456" s="568"/>
      <c r="Y456" s="568"/>
      <c r="Z456" s="568"/>
    </row>
    <row r="457" spans="1:26" ht="19.5">
      <c r="A457" s="572"/>
      <c r="B457" s="584"/>
      <c r="C457" s="538" t="s">
        <v>16</v>
      </c>
      <c r="D457" s="850" t="s">
        <v>38</v>
      </c>
      <c r="E457" s="575"/>
      <c r="F457" s="725"/>
      <c r="G457" s="577"/>
      <c r="H457" s="726"/>
      <c r="I457" s="269"/>
      <c r="J457" s="269"/>
      <c r="K457" s="465"/>
      <c r="L457" s="465"/>
      <c r="M457" s="465"/>
      <c r="N457" s="465"/>
      <c r="O457" s="465"/>
      <c r="P457" s="465"/>
      <c r="Q457" s="541"/>
      <c r="R457" s="541"/>
      <c r="S457" s="541"/>
      <c r="T457" s="541"/>
      <c r="U457" s="541"/>
      <c r="V457" s="541"/>
      <c r="W457" s="541"/>
      <c r="X457" s="541"/>
      <c r="Y457" s="541"/>
      <c r="Z457" s="541"/>
    </row>
    <row r="458" spans="1:26" ht="18.75" hidden="1">
      <c r="A458" s="578"/>
      <c r="B458" s="580"/>
      <c r="C458" s="580"/>
      <c r="D458" s="580" t="s">
        <v>200</v>
      </c>
      <c r="E458" s="580"/>
      <c r="F458" s="684"/>
      <c r="G458" s="581"/>
      <c r="H458" s="582" t="s">
        <v>35</v>
      </c>
      <c r="I458" s="583">
        <v>0</v>
      </c>
      <c r="J458" s="583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568"/>
      <c r="R458" s="568"/>
      <c r="S458" s="568"/>
      <c r="T458" s="568"/>
      <c r="U458" s="568"/>
      <c r="V458" s="568"/>
      <c r="W458" s="568"/>
      <c r="X458" s="568"/>
      <c r="Y458" s="568"/>
      <c r="Z458" s="568"/>
    </row>
    <row r="459" spans="1:26" ht="18.75" hidden="1">
      <c r="A459" s="578"/>
      <c r="B459" s="580"/>
      <c r="C459" s="580"/>
      <c r="D459" s="580" t="s">
        <v>201</v>
      </c>
      <c r="E459" s="580"/>
      <c r="F459" s="684"/>
      <c r="G459" s="581"/>
      <c r="H459" s="582"/>
      <c r="I459" s="583"/>
      <c r="J459" s="583"/>
      <c r="K459" s="93"/>
      <c r="L459" s="93"/>
      <c r="M459" s="93"/>
      <c r="N459" s="93"/>
      <c r="O459" s="93"/>
      <c r="P459" s="93"/>
      <c r="Q459" s="568"/>
      <c r="R459" s="568"/>
      <c r="S459" s="568"/>
      <c r="T459" s="568"/>
      <c r="U459" s="568"/>
      <c r="V459" s="568"/>
      <c r="W459" s="568"/>
      <c r="X459" s="568"/>
      <c r="Y459" s="568"/>
      <c r="Z459" s="568"/>
    </row>
    <row r="460" spans="1:26" ht="18.75">
      <c r="A460" s="572"/>
      <c r="B460" s="584"/>
      <c r="C460" s="584"/>
      <c r="D460" s="584" t="s">
        <v>202</v>
      </c>
      <c r="E460" s="584"/>
      <c r="F460" s="592"/>
      <c r="G460" s="726"/>
      <c r="H460" s="728" t="s">
        <v>35</v>
      </c>
      <c r="I460" s="269">
        <f ca="1">IFERROR(__xludf.DUMMYFUNCTION("IMPORTRANGE(""https://docs.google.com/spreadsheets/d/1QqKyyYR6Q21VydFLVH3TRQUabQu_ym0Zz7PgGX0-kHA/edit?usp=sharing"",""แผน!FN24"")"),55)</f>
        <v>55</v>
      </c>
      <c r="J460" s="214">
        <v>0</v>
      </c>
      <c r="K460" s="465">
        <f ca="1">IF(I460&gt;0,J460*100/I460,0)</f>
        <v>0</v>
      </c>
      <c r="L460" s="465"/>
      <c r="M460" s="465"/>
      <c r="N460" s="465"/>
      <c r="O460" s="465"/>
      <c r="P460" s="465"/>
      <c r="Q460" s="541"/>
      <c r="R460" s="541"/>
      <c r="S460" s="541"/>
      <c r="T460" s="541"/>
      <c r="U460" s="541"/>
      <c r="V460" s="541"/>
      <c r="W460" s="541"/>
      <c r="X460" s="541"/>
      <c r="Y460" s="541"/>
      <c r="Z460" s="541"/>
    </row>
    <row r="461" spans="1:26" ht="18.75">
      <c r="A461" s="572"/>
      <c r="B461" s="584"/>
      <c r="C461" s="584"/>
      <c r="D461" s="584" t="s">
        <v>203</v>
      </c>
      <c r="E461" s="592"/>
      <c r="F461" s="592"/>
      <c r="G461" s="726"/>
      <c r="H461" s="728"/>
      <c r="I461" s="269"/>
      <c r="J461" s="269"/>
      <c r="K461" s="465"/>
      <c r="L461" s="465"/>
      <c r="M461" s="465"/>
      <c r="N461" s="465"/>
      <c r="O461" s="465"/>
      <c r="P461" s="465"/>
      <c r="Q461" s="541"/>
      <c r="R461" s="541"/>
      <c r="S461" s="541"/>
      <c r="T461" s="541"/>
      <c r="U461" s="541"/>
      <c r="V461" s="541"/>
      <c r="W461" s="541"/>
      <c r="X461" s="541"/>
      <c r="Y461" s="541"/>
      <c r="Z461" s="541"/>
    </row>
    <row r="462" spans="1:26" ht="18.75">
      <c r="A462" s="572"/>
      <c r="B462" s="584"/>
      <c r="C462" s="584"/>
      <c r="D462" s="584" t="s">
        <v>204</v>
      </c>
      <c r="E462" s="592"/>
      <c r="F462" s="592"/>
      <c r="G462" s="726"/>
      <c r="H462" s="728" t="s">
        <v>46</v>
      </c>
      <c r="I462" s="269">
        <f ca="1">IFERROR(__xludf.DUMMYFUNCTION("IMPORTRANGE(""https://docs.google.com/spreadsheets/d/1QqKyyYR6Q21VydFLVH3TRQUabQu_ym0Zz7PgGX0-kHA/edit?usp=sharing"",""แผน!FO24"")"),110)</f>
        <v>110</v>
      </c>
      <c r="J462" s="214">
        <v>0</v>
      </c>
      <c r="K462" s="465">
        <f ca="1">IF(I462&gt;0,J462*100/I462,0)</f>
        <v>0</v>
      </c>
      <c r="L462" s="465"/>
      <c r="M462" s="465"/>
      <c r="N462" s="465"/>
      <c r="O462" s="465"/>
      <c r="P462" s="465"/>
      <c r="Q462" s="541"/>
      <c r="R462" s="541"/>
      <c r="S462" s="541"/>
      <c r="T462" s="541"/>
      <c r="U462" s="541"/>
      <c r="V462" s="541"/>
      <c r="W462" s="541"/>
      <c r="X462" s="541"/>
      <c r="Y462" s="541"/>
      <c r="Z462" s="541"/>
    </row>
    <row r="463" spans="1:26" ht="18.75">
      <c r="A463" s="572"/>
      <c r="B463" s="584"/>
      <c r="C463" s="584"/>
      <c r="D463" s="584" t="s">
        <v>59</v>
      </c>
      <c r="E463" s="592"/>
      <c r="F463" s="727"/>
      <c r="G463" s="189"/>
      <c r="H463" s="728" t="s">
        <v>46</v>
      </c>
      <c r="I463" s="269">
        <f ca="1">IFERROR(__xludf.DUMMYFUNCTION("IMPORTRANGE(""https://docs.google.com/spreadsheets/d/1QqKyyYR6Q21VydFLVH3TRQUabQu_ym0Zz7PgGX0-kHA/edit?usp=sharing"",""แผน!FO24"")"),110)</f>
        <v>110</v>
      </c>
      <c r="J463" s="214">
        <v>0</v>
      </c>
      <c r="K463" s="465"/>
      <c r="L463" s="465"/>
      <c r="M463" s="465"/>
      <c r="N463" s="465"/>
      <c r="O463" s="465"/>
      <c r="P463" s="465"/>
      <c r="Q463" s="541"/>
      <c r="R463" s="541"/>
      <c r="S463" s="541"/>
      <c r="T463" s="541"/>
      <c r="U463" s="541"/>
      <c r="V463" s="541"/>
      <c r="W463" s="541"/>
      <c r="X463" s="541"/>
      <c r="Y463" s="541"/>
      <c r="Z463" s="541"/>
    </row>
    <row r="464" spans="1:26" ht="19.5">
      <c r="A464" s="572"/>
      <c r="B464" s="584"/>
      <c r="C464" s="584"/>
      <c r="D464" s="584"/>
      <c r="E464" s="592"/>
      <c r="F464" s="592"/>
      <c r="G464" s="586"/>
      <c r="H464" s="728" t="s">
        <v>35</v>
      </c>
      <c r="I464" s="269">
        <f ca="1">IFERROR(__xludf.DUMMYFUNCTION("IMPORTRANGE(""https://docs.google.com/spreadsheets/d/1QqKyyYR6Q21VydFLVH3TRQUabQu_ym0Zz7PgGX0-kHA/edit?usp=sharing"",""แผน!FN24"")"),55)</f>
        <v>55</v>
      </c>
      <c r="J464" s="214">
        <v>0</v>
      </c>
      <c r="K464" s="465"/>
      <c r="L464" s="465"/>
      <c r="M464" s="465"/>
      <c r="N464" s="465"/>
      <c r="O464" s="465"/>
      <c r="P464" s="465"/>
      <c r="Q464" s="541"/>
      <c r="R464" s="541"/>
      <c r="S464" s="541"/>
      <c r="T464" s="541"/>
      <c r="U464" s="541"/>
      <c r="V464" s="541"/>
      <c r="W464" s="541"/>
      <c r="X464" s="541"/>
      <c r="Y464" s="541"/>
      <c r="Z464" s="541"/>
    </row>
    <row r="465" spans="1:26" ht="19.5">
      <c r="A465" s="549">
        <v>3</v>
      </c>
      <c r="B465" s="550" t="s">
        <v>205</v>
      </c>
      <c r="C465" s="551"/>
      <c r="D465" s="551"/>
      <c r="E465" s="551"/>
      <c r="F465" s="551"/>
      <c r="G465" s="552"/>
      <c r="H465" s="553" t="s">
        <v>35</v>
      </c>
      <c r="I465" s="554">
        <f ca="1">IFERROR(__xludf.DUMMYFUNCTION("IMPORTRANGE(""https://docs.google.com/spreadsheets/d/1QqKyyYR6Q21VydFLVH3TRQUabQu_ym0Zz7PgGX0-kHA/edit?usp=sharing"",""แผน!FX24"")"),131)</f>
        <v>131</v>
      </c>
      <c r="J465" s="554">
        <f>J485+J489+J492</f>
        <v>0</v>
      </c>
      <c r="K465" s="555">
        <f t="shared" ref="K465:K466" ca="1" si="204">IF(I465&gt;0,J465*100/I465,0)</f>
        <v>0</v>
      </c>
      <c r="L465" s="556"/>
      <c r="M465" s="556"/>
      <c r="N465" s="556"/>
      <c r="O465" s="556"/>
      <c r="P465" s="556"/>
      <c r="Q465" s="541"/>
      <c r="R465" s="541"/>
      <c r="S465" s="541"/>
      <c r="T465" s="541"/>
      <c r="U465" s="541"/>
      <c r="V465" s="541"/>
      <c r="W465" s="541"/>
      <c r="X465" s="541"/>
      <c r="Y465" s="541"/>
      <c r="Z465" s="541"/>
    </row>
    <row r="466" spans="1:26" ht="19.5">
      <c r="A466" s="557"/>
      <c r="B466" s="558"/>
      <c r="C466" s="559"/>
      <c r="D466" s="559"/>
      <c r="E466" s="559"/>
      <c r="F466" s="559"/>
      <c r="G466" s="560"/>
      <c r="H466" s="531" t="s">
        <v>46</v>
      </c>
      <c r="I466" s="532">
        <f ca="1">IFERROR(__xludf.DUMMYFUNCTION("IMPORTRANGE(""https://docs.google.com/spreadsheets/d/1QqKyyYR6Q21VydFLVH3TRQUabQu_ym0Zz7PgGX0-kHA/edit?usp=sharing"",""แผน!FW24"")"),1300)</f>
        <v>1300</v>
      </c>
      <c r="J466" s="532">
        <f>J483+J487</f>
        <v>0</v>
      </c>
      <c r="K466" s="533">
        <f t="shared" ca="1" si="204"/>
        <v>0</v>
      </c>
      <c r="L466" s="534"/>
      <c r="M466" s="534"/>
      <c r="N466" s="534"/>
      <c r="O466" s="534"/>
      <c r="P466" s="534"/>
      <c r="Q466" s="541"/>
      <c r="R466" s="541"/>
      <c r="S466" s="541"/>
      <c r="T466" s="541"/>
      <c r="U466" s="541"/>
      <c r="V466" s="541"/>
      <c r="W466" s="541"/>
      <c r="X466" s="541"/>
      <c r="Y466" s="541"/>
      <c r="Z466" s="541"/>
    </row>
    <row r="467" spans="1:26" ht="19.5">
      <c r="A467" s="561"/>
      <c r="B467" s="727"/>
      <c r="C467" s="727" t="s">
        <v>16</v>
      </c>
      <c r="D467" s="811" t="s">
        <v>17</v>
      </c>
      <c r="E467" s="805"/>
      <c r="F467" s="805"/>
      <c r="G467" s="189"/>
      <c r="H467" s="562" t="s">
        <v>12</v>
      </c>
      <c r="I467" s="269"/>
      <c r="J467" s="269"/>
      <c r="K467" s="465"/>
      <c r="L467" s="195">
        <f t="shared" ref="L467:N467" ca="1" si="205">L468+L469</f>
        <v>1161548</v>
      </c>
      <c r="M467" s="195">
        <f t="shared" si="205"/>
        <v>0</v>
      </c>
      <c r="N467" s="195">
        <f t="shared" si="205"/>
        <v>0</v>
      </c>
      <c r="O467" s="195">
        <f t="shared" ref="O467:O472" ca="1" si="206">IF(L467&gt;0,N467*100/L467,0)</f>
        <v>0</v>
      </c>
      <c r="P467" s="195">
        <f t="shared" ref="P467:P472" si="207">IF(M467&gt;0,N467*100/M467,0)</f>
        <v>0</v>
      </c>
      <c r="Q467" s="541"/>
      <c r="R467" s="541"/>
      <c r="S467" s="541"/>
      <c r="T467" s="541"/>
      <c r="U467" s="541"/>
      <c r="V467" s="541"/>
      <c r="W467" s="541"/>
      <c r="X467" s="541"/>
      <c r="Y467" s="541"/>
      <c r="Z467" s="541"/>
    </row>
    <row r="468" spans="1:26" ht="18.75" hidden="1">
      <c r="A468" s="563"/>
      <c r="B468" s="723"/>
      <c r="C468" s="723"/>
      <c r="D468" s="684"/>
      <c r="E468" s="723" t="s">
        <v>184</v>
      </c>
      <c r="F468" s="723"/>
      <c r="G468" s="567"/>
      <c r="H468" s="165" t="s">
        <v>12</v>
      </c>
      <c r="I468" s="583"/>
      <c r="J468" s="583"/>
      <c r="K468" s="93"/>
      <c r="L468" s="93">
        <f t="shared" ref="L468:N469" si="208">L471+L478</f>
        <v>0</v>
      </c>
      <c r="M468" s="93">
        <f t="shared" si="208"/>
        <v>0</v>
      </c>
      <c r="N468" s="93">
        <f t="shared" si="208"/>
        <v>0</v>
      </c>
      <c r="O468" s="93">
        <f t="shared" si="206"/>
        <v>0</v>
      </c>
      <c r="P468" s="93">
        <f t="shared" si="207"/>
        <v>0</v>
      </c>
      <c r="Q468" s="568"/>
      <c r="R468" s="568"/>
      <c r="S468" s="568"/>
      <c r="T468" s="568"/>
      <c r="U468" s="568"/>
      <c r="V468" s="568"/>
      <c r="W468" s="568"/>
      <c r="X468" s="568"/>
      <c r="Y468" s="568"/>
      <c r="Z468" s="568"/>
    </row>
    <row r="469" spans="1:26" ht="18.75" hidden="1">
      <c r="A469" s="563"/>
      <c r="B469" s="571"/>
      <c r="C469" s="723"/>
      <c r="D469" s="684"/>
      <c r="E469" s="723" t="s">
        <v>185</v>
      </c>
      <c r="F469" s="723"/>
      <c r="G469" s="567"/>
      <c r="H469" s="165" t="s">
        <v>12</v>
      </c>
      <c r="I469" s="583"/>
      <c r="J469" s="583"/>
      <c r="K469" s="93"/>
      <c r="L469" s="93">
        <f t="shared" ca="1" si="208"/>
        <v>1161548</v>
      </c>
      <c r="M469" s="93">
        <f t="shared" si="208"/>
        <v>0</v>
      </c>
      <c r="N469" s="93">
        <f t="shared" si="208"/>
        <v>0</v>
      </c>
      <c r="O469" s="93">
        <f t="shared" ca="1" si="206"/>
        <v>0</v>
      </c>
      <c r="P469" s="93">
        <f t="shared" si="207"/>
        <v>0</v>
      </c>
      <c r="Q469" s="568"/>
      <c r="R469" s="568"/>
      <c r="S469" s="568"/>
      <c r="T469" s="568"/>
      <c r="U469" s="568"/>
      <c r="V469" s="568"/>
      <c r="W469" s="568"/>
      <c r="X469" s="568"/>
      <c r="Y469" s="568"/>
      <c r="Z469" s="568"/>
    </row>
    <row r="470" spans="1:26" ht="18.75">
      <c r="A470" s="561"/>
      <c r="B470" s="538"/>
      <c r="C470" s="727"/>
      <c r="D470" s="570" t="s">
        <v>20</v>
      </c>
      <c r="E470" s="727"/>
      <c r="F470" s="727"/>
      <c r="G470" s="189"/>
      <c r="H470" s="161" t="s">
        <v>12</v>
      </c>
      <c r="I470" s="184"/>
      <c r="J470" s="184"/>
      <c r="K470" s="163"/>
      <c r="L470" s="465">
        <f t="shared" ref="L470:N470" ca="1" si="209">L471+L472</f>
        <v>1161548</v>
      </c>
      <c r="M470" s="465">
        <f t="shared" si="209"/>
        <v>0</v>
      </c>
      <c r="N470" s="465">
        <f t="shared" si="209"/>
        <v>0</v>
      </c>
      <c r="O470" s="465">
        <f t="shared" ca="1" si="206"/>
        <v>0</v>
      </c>
      <c r="P470" s="465">
        <f t="shared" si="207"/>
        <v>0</v>
      </c>
      <c r="Q470" s="541"/>
      <c r="R470" s="541"/>
      <c r="S470" s="541"/>
      <c r="T470" s="541"/>
      <c r="U470" s="541"/>
      <c r="V470" s="541"/>
      <c r="W470" s="541"/>
      <c r="X470" s="541"/>
      <c r="Y470" s="541"/>
      <c r="Z470" s="541"/>
    </row>
    <row r="471" spans="1:26" ht="18.75" hidden="1">
      <c r="A471" s="563"/>
      <c r="B471" s="571"/>
      <c r="C471" s="723"/>
      <c r="D471" s="684"/>
      <c r="E471" s="723" t="s">
        <v>184</v>
      </c>
      <c r="F471" s="723"/>
      <c r="G471" s="567"/>
      <c r="H471" s="165" t="s">
        <v>12</v>
      </c>
      <c r="I471" s="583"/>
      <c r="J471" s="583"/>
      <c r="K471" s="93"/>
      <c r="L471" s="93">
        <v>0</v>
      </c>
      <c r="M471" s="93">
        <v>0</v>
      </c>
      <c r="N471" s="93">
        <v>0</v>
      </c>
      <c r="O471" s="93">
        <f t="shared" si="206"/>
        <v>0</v>
      </c>
      <c r="P471" s="93">
        <f t="shared" si="207"/>
        <v>0</v>
      </c>
      <c r="Q471" s="568"/>
      <c r="R471" s="568"/>
      <c r="S471" s="568"/>
      <c r="T471" s="568"/>
      <c r="U471" s="568"/>
      <c r="V471" s="568"/>
      <c r="W471" s="568"/>
      <c r="X471" s="568"/>
      <c r="Y471" s="568"/>
      <c r="Z471" s="568"/>
    </row>
    <row r="472" spans="1:26" ht="18.75" hidden="1">
      <c r="A472" s="563"/>
      <c r="B472" s="571"/>
      <c r="C472" s="723"/>
      <c r="D472" s="684"/>
      <c r="E472" s="723" t="s">
        <v>185</v>
      </c>
      <c r="F472" s="723"/>
      <c r="G472" s="567"/>
      <c r="H472" s="165" t="s">
        <v>12</v>
      </c>
      <c r="I472" s="583"/>
      <c r="J472" s="583"/>
      <c r="K472" s="93"/>
      <c r="L472" s="93">
        <f ca="1">IFERROR(__xludf.DUMMYFUNCTION("IMPORTRANGE(""https://docs.google.com/spreadsheets/d/1QqKyyYR6Q21VydFLVH3TRQUabQu_ym0Zz7PgGX0-kHA/edit?usp=sharing"",""แผน!FS24"")"),1161548)</f>
        <v>1161548</v>
      </c>
      <c r="M472" s="93">
        <v>0</v>
      </c>
      <c r="N472" s="93">
        <f>N473+N474+N475+N476</f>
        <v>0</v>
      </c>
      <c r="O472" s="93">
        <f t="shared" ca="1" si="206"/>
        <v>0</v>
      </c>
      <c r="P472" s="93">
        <f t="shared" si="207"/>
        <v>0</v>
      </c>
      <c r="Q472" s="568"/>
      <c r="R472" s="568"/>
      <c r="S472" s="568"/>
      <c r="T472" s="568"/>
      <c r="U472" s="568"/>
      <c r="V472" s="568"/>
      <c r="W472" s="568"/>
      <c r="X472" s="568"/>
      <c r="Y472" s="568"/>
      <c r="Z472" s="568"/>
    </row>
    <row r="473" spans="1:26" ht="18.75">
      <c r="A473" s="537"/>
      <c r="B473" s="538"/>
      <c r="C473" s="727"/>
      <c r="D473" s="727"/>
      <c r="E473" s="727"/>
      <c r="F473" s="727" t="s">
        <v>186</v>
      </c>
      <c r="G473" s="189"/>
      <c r="H473" s="161" t="s">
        <v>12</v>
      </c>
      <c r="I473" s="269"/>
      <c r="J473" s="269"/>
      <c r="K473" s="465"/>
      <c r="L473" s="465"/>
      <c r="M473" s="465"/>
      <c r="N473" s="789">
        <v>0</v>
      </c>
      <c r="O473" s="465"/>
      <c r="P473" s="465"/>
      <c r="Q473" s="541"/>
      <c r="R473" s="541"/>
      <c r="S473" s="541"/>
      <c r="T473" s="541"/>
      <c r="U473" s="541"/>
      <c r="V473" s="541"/>
      <c r="W473" s="541"/>
      <c r="X473" s="541"/>
      <c r="Y473" s="541"/>
      <c r="Z473" s="541"/>
    </row>
    <row r="474" spans="1:26" ht="18.75">
      <c r="A474" s="537"/>
      <c r="B474" s="538"/>
      <c r="C474" s="727"/>
      <c r="D474" s="727"/>
      <c r="E474" s="727"/>
      <c r="F474" s="727" t="s">
        <v>187</v>
      </c>
      <c r="G474" s="189"/>
      <c r="H474" s="161" t="s">
        <v>12</v>
      </c>
      <c r="I474" s="269"/>
      <c r="J474" s="269"/>
      <c r="K474" s="465"/>
      <c r="L474" s="465"/>
      <c r="M474" s="465"/>
      <c r="N474" s="789">
        <v>0</v>
      </c>
      <c r="O474" s="465"/>
      <c r="P474" s="465"/>
      <c r="Q474" s="541"/>
      <c r="R474" s="541"/>
      <c r="S474" s="541"/>
      <c r="T474" s="541"/>
      <c r="U474" s="541"/>
      <c r="V474" s="541"/>
      <c r="W474" s="541"/>
      <c r="X474" s="541"/>
      <c r="Y474" s="541"/>
      <c r="Z474" s="541"/>
    </row>
    <row r="475" spans="1:26" ht="18.75">
      <c r="A475" s="537"/>
      <c r="B475" s="538"/>
      <c r="C475" s="538"/>
      <c r="D475" s="538"/>
      <c r="E475" s="538"/>
      <c r="F475" s="727" t="s">
        <v>188</v>
      </c>
      <c r="G475" s="189"/>
      <c r="H475" s="161" t="s">
        <v>12</v>
      </c>
      <c r="I475" s="269"/>
      <c r="J475" s="269"/>
      <c r="K475" s="465"/>
      <c r="L475" s="465"/>
      <c r="M475" s="465"/>
      <c r="N475" s="789">
        <v>0</v>
      </c>
      <c r="O475" s="465"/>
      <c r="P475" s="465"/>
      <c r="Q475" s="541"/>
      <c r="R475" s="541"/>
      <c r="S475" s="541"/>
      <c r="T475" s="541"/>
      <c r="U475" s="541"/>
      <c r="V475" s="541"/>
      <c r="W475" s="541"/>
      <c r="X475" s="541"/>
      <c r="Y475" s="541"/>
      <c r="Z475" s="541"/>
    </row>
    <row r="476" spans="1:26" ht="18.75">
      <c r="A476" s="537"/>
      <c r="B476" s="538"/>
      <c r="C476" s="538"/>
      <c r="D476" s="538"/>
      <c r="E476" s="538"/>
      <c r="F476" s="727" t="s">
        <v>189</v>
      </c>
      <c r="G476" s="189"/>
      <c r="H476" s="161" t="s">
        <v>12</v>
      </c>
      <c r="I476" s="269"/>
      <c r="J476" s="269"/>
      <c r="K476" s="465"/>
      <c r="L476" s="465"/>
      <c r="M476" s="465"/>
      <c r="N476" s="789">
        <v>0</v>
      </c>
      <c r="O476" s="465"/>
      <c r="P476" s="465"/>
      <c r="Q476" s="541"/>
      <c r="R476" s="541"/>
      <c r="S476" s="541"/>
      <c r="T476" s="541"/>
      <c r="U476" s="541"/>
      <c r="V476" s="541"/>
      <c r="W476" s="541"/>
      <c r="X476" s="541"/>
      <c r="Y476" s="541"/>
      <c r="Z476" s="541"/>
    </row>
    <row r="477" spans="1:26" ht="18.75">
      <c r="A477" s="561"/>
      <c r="B477" s="538"/>
      <c r="C477" s="538"/>
      <c r="D477" s="570" t="s">
        <v>21</v>
      </c>
      <c r="E477" s="538"/>
      <c r="F477" s="538"/>
      <c r="G477" s="189"/>
      <c r="H477" s="168" t="s">
        <v>12</v>
      </c>
      <c r="I477" s="184"/>
      <c r="J477" s="184"/>
      <c r="K477" s="163"/>
      <c r="L477" s="465">
        <f t="shared" ref="L477:N477" ca="1" si="210">L478+L479</f>
        <v>0</v>
      </c>
      <c r="M477" s="465">
        <f t="shared" si="210"/>
        <v>0</v>
      </c>
      <c r="N477" s="465">
        <f t="shared" si="210"/>
        <v>0</v>
      </c>
      <c r="O477" s="465">
        <f t="shared" ref="O477:O479" ca="1" si="211">IF(L477&gt;0,N477*100/L477,0)</f>
        <v>0</v>
      </c>
      <c r="P477" s="465">
        <f t="shared" ref="P477:P479" si="212">IF(M477&gt;0,N477*100/M477,0)</f>
        <v>0</v>
      </c>
      <c r="Q477" s="541"/>
      <c r="R477" s="541"/>
      <c r="S477" s="541"/>
      <c r="T477" s="541"/>
      <c r="U477" s="541"/>
      <c r="V477" s="541"/>
      <c r="W477" s="541"/>
      <c r="X477" s="541"/>
      <c r="Y477" s="541"/>
      <c r="Z477" s="541"/>
    </row>
    <row r="478" spans="1:26" ht="18.75" hidden="1">
      <c r="A478" s="563"/>
      <c r="B478" s="571"/>
      <c r="C478" s="571"/>
      <c r="D478" s="571"/>
      <c r="E478" s="571" t="s">
        <v>18</v>
      </c>
      <c r="F478" s="571"/>
      <c r="G478" s="567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1"/>
        <v>0</v>
      </c>
      <c r="P478" s="93">
        <f t="shared" si="212"/>
        <v>0</v>
      </c>
      <c r="Q478" s="568"/>
      <c r="R478" s="568"/>
      <c r="S478" s="568"/>
      <c r="T478" s="568"/>
      <c r="U478" s="568"/>
      <c r="V478" s="568"/>
      <c r="W478" s="568"/>
      <c r="X478" s="568"/>
      <c r="Y478" s="568"/>
      <c r="Z478" s="568"/>
    </row>
    <row r="479" spans="1:26" ht="18.75" hidden="1">
      <c r="A479" s="563"/>
      <c r="B479" s="571"/>
      <c r="C479" s="571"/>
      <c r="D479" s="571"/>
      <c r="E479" s="571" t="s">
        <v>19</v>
      </c>
      <c r="F479" s="571"/>
      <c r="G479" s="567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IFERROR(__xludf.DUMMYFUNCTION("IMPORTRANGE(""https://docs.google.com/spreadsheets/d/1QqKyyYR6Q21VydFLVH3TRQUabQu_ym0Zz7PgGX0-kHA/edit?usp=sharing"",""แผน!FV24"")"),0)</f>
        <v>0</v>
      </c>
      <c r="M479" s="93">
        <v>0</v>
      </c>
      <c r="N479" s="93">
        <v>0</v>
      </c>
      <c r="O479" s="93">
        <f t="shared" ca="1" si="211"/>
        <v>0</v>
      </c>
      <c r="P479" s="93">
        <f t="shared" si="212"/>
        <v>0</v>
      </c>
      <c r="Q479" s="568"/>
      <c r="R479" s="568"/>
      <c r="S479" s="568"/>
      <c r="T479" s="568"/>
      <c r="U479" s="568"/>
      <c r="V479" s="568"/>
      <c r="W479" s="568"/>
      <c r="X479" s="568"/>
      <c r="Y479" s="568"/>
      <c r="Z479" s="568"/>
    </row>
    <row r="480" spans="1:26" ht="19.5">
      <c r="A480" s="572"/>
      <c r="B480" s="584"/>
      <c r="C480" s="538" t="s">
        <v>16</v>
      </c>
      <c r="D480" s="851" t="s">
        <v>38</v>
      </c>
      <c r="E480" s="575"/>
      <c r="F480" s="725"/>
      <c r="G480" s="577"/>
      <c r="H480" s="726"/>
      <c r="I480" s="269"/>
      <c r="J480" s="269"/>
      <c r="K480" s="465"/>
      <c r="L480" s="465"/>
      <c r="M480" s="465"/>
      <c r="N480" s="465"/>
      <c r="O480" s="465"/>
      <c r="P480" s="465"/>
      <c r="Q480" s="541"/>
      <c r="R480" s="541"/>
      <c r="S480" s="541"/>
      <c r="T480" s="541"/>
      <c r="U480" s="541"/>
      <c r="V480" s="541"/>
      <c r="W480" s="541"/>
      <c r="X480" s="541"/>
      <c r="Y480" s="541"/>
      <c r="Z480" s="541"/>
    </row>
    <row r="481" spans="1:26" ht="19.5">
      <c r="A481" s="572"/>
      <c r="B481" s="584"/>
      <c r="C481" s="584"/>
      <c r="D481" s="591" t="s">
        <v>206</v>
      </c>
      <c r="E481" s="584"/>
      <c r="F481" s="584"/>
      <c r="G481" s="726"/>
      <c r="H481" s="189"/>
      <c r="I481" s="269"/>
      <c r="J481" s="269"/>
      <c r="K481" s="465"/>
      <c r="L481" s="465"/>
      <c r="M481" s="465"/>
      <c r="N481" s="465"/>
      <c r="O481" s="465"/>
      <c r="P481" s="465"/>
      <c r="Q481" s="541"/>
      <c r="R481" s="541"/>
      <c r="S481" s="541"/>
      <c r="T481" s="541"/>
      <c r="U481" s="541"/>
      <c r="V481" s="541"/>
      <c r="W481" s="541"/>
      <c r="X481" s="541"/>
      <c r="Y481" s="541"/>
      <c r="Z481" s="541"/>
    </row>
    <row r="482" spans="1:26" ht="18.75">
      <c r="A482" s="572"/>
      <c r="B482" s="584"/>
      <c r="C482" s="584"/>
      <c r="D482" s="584"/>
      <c r="E482" s="584" t="s">
        <v>207</v>
      </c>
      <c r="F482" s="584"/>
      <c r="G482" s="726"/>
      <c r="H482" s="189"/>
      <c r="I482" s="269"/>
      <c r="J482" s="269"/>
      <c r="K482" s="465"/>
      <c r="L482" s="465"/>
      <c r="M482" s="465"/>
      <c r="N482" s="465"/>
      <c r="O482" s="465"/>
      <c r="P482" s="465"/>
      <c r="Q482" s="541"/>
      <c r="R482" s="541"/>
      <c r="S482" s="541"/>
      <c r="T482" s="541"/>
      <c r="U482" s="541"/>
      <c r="V482" s="541"/>
      <c r="W482" s="541"/>
      <c r="X482" s="541"/>
      <c r="Y482" s="541"/>
      <c r="Z482" s="541"/>
    </row>
    <row r="483" spans="1:26" ht="18.75">
      <c r="A483" s="572"/>
      <c r="B483" s="584"/>
      <c r="C483" s="584"/>
      <c r="D483" s="584"/>
      <c r="E483" s="584"/>
      <c r="F483" s="584" t="s">
        <v>208</v>
      </c>
      <c r="G483" s="726"/>
      <c r="H483" s="589" t="s">
        <v>46</v>
      </c>
      <c r="I483" s="269">
        <f ca="1">IFERROR(__xludf.DUMMYFUNCTION("IMPORTRANGE(""https://docs.google.com/spreadsheets/d/1QqKyyYR6Q21VydFLVH3TRQUabQu_ym0Zz7PgGX0-kHA/edit?usp=sharing"",""แผน!FY24"")"),1170)</f>
        <v>1170</v>
      </c>
      <c r="J483" s="214">
        <v>0</v>
      </c>
      <c r="K483" s="465">
        <f ca="1">IF(I483&gt;0,J483*100/I483,0)</f>
        <v>0</v>
      </c>
      <c r="L483" s="465"/>
      <c r="M483" s="465"/>
      <c r="N483" s="465"/>
      <c r="O483" s="465"/>
      <c r="P483" s="465"/>
      <c r="Q483" s="541"/>
      <c r="R483" s="541"/>
      <c r="S483" s="541"/>
      <c r="T483" s="541"/>
      <c r="U483" s="541"/>
      <c r="V483" s="541"/>
      <c r="W483" s="541"/>
      <c r="X483" s="541"/>
      <c r="Y483" s="541"/>
      <c r="Z483" s="541"/>
    </row>
    <row r="484" spans="1:26" ht="18.75">
      <c r="A484" s="572"/>
      <c r="B484" s="584"/>
      <c r="C484" s="584"/>
      <c r="D484" s="584"/>
      <c r="E484" s="584"/>
      <c r="F484" s="584" t="s">
        <v>209</v>
      </c>
      <c r="G484" s="726"/>
      <c r="H484" s="589" t="s">
        <v>35</v>
      </c>
      <c r="I484" s="269"/>
      <c r="J484" s="214">
        <v>0</v>
      </c>
      <c r="K484" s="465"/>
      <c r="L484" s="465"/>
      <c r="M484" s="465"/>
      <c r="N484" s="465"/>
      <c r="O484" s="465"/>
      <c r="P484" s="465"/>
      <c r="Q484" s="541"/>
      <c r="R484" s="541"/>
      <c r="S484" s="541"/>
      <c r="T484" s="541"/>
      <c r="U484" s="541"/>
      <c r="V484" s="541"/>
      <c r="W484" s="541"/>
      <c r="X484" s="541"/>
      <c r="Y484" s="541"/>
      <c r="Z484" s="541"/>
    </row>
    <row r="485" spans="1:26" ht="18.75">
      <c r="A485" s="572"/>
      <c r="B485" s="584"/>
      <c r="C485" s="584"/>
      <c r="D485" s="584"/>
      <c r="E485" s="584"/>
      <c r="F485" s="584" t="s">
        <v>210</v>
      </c>
      <c r="G485" s="726"/>
      <c r="H485" s="589" t="s">
        <v>35</v>
      </c>
      <c r="I485" s="269">
        <f ca="1">IFERROR(__xludf.DUMMYFUNCTION("IMPORTRANGE(""https://docs.google.com/spreadsheets/d/1QqKyyYR6Q21VydFLVH3TRQUabQu_ym0Zz7PgGX0-kHA/edit?usp=sharing"",""แผน!FZ24"")"),117)</f>
        <v>117</v>
      </c>
      <c r="J485" s="214">
        <v>0</v>
      </c>
      <c r="K485" s="465">
        <f ca="1">IF(I485&gt;0,J485*100/I485,0)</f>
        <v>0</v>
      </c>
      <c r="L485" s="465"/>
      <c r="M485" s="465"/>
      <c r="N485" s="465"/>
      <c r="O485" s="465"/>
      <c r="P485" s="465"/>
      <c r="Q485" s="541"/>
      <c r="R485" s="541"/>
      <c r="S485" s="541"/>
      <c r="T485" s="541"/>
      <c r="U485" s="541"/>
      <c r="V485" s="541"/>
      <c r="W485" s="541"/>
      <c r="X485" s="541"/>
      <c r="Y485" s="541"/>
      <c r="Z485" s="541"/>
    </row>
    <row r="486" spans="1:26" ht="18.75">
      <c r="A486" s="572"/>
      <c r="B486" s="584"/>
      <c r="C486" s="584"/>
      <c r="D486" s="584"/>
      <c r="E486" s="584" t="s">
        <v>62</v>
      </c>
      <c r="F486" s="584"/>
      <c r="G486" s="726"/>
      <c r="H486" s="589"/>
      <c r="I486" s="269"/>
      <c r="J486" s="269"/>
      <c r="K486" s="465"/>
      <c r="L486" s="465"/>
      <c r="M486" s="465"/>
      <c r="N486" s="465"/>
      <c r="O486" s="465"/>
      <c r="P486" s="465"/>
      <c r="Q486" s="541"/>
      <c r="R486" s="541"/>
      <c r="S486" s="541"/>
      <c r="T486" s="541"/>
      <c r="U486" s="541"/>
      <c r="V486" s="541"/>
      <c r="W486" s="541"/>
      <c r="X486" s="541"/>
      <c r="Y486" s="541"/>
      <c r="Z486" s="541"/>
    </row>
    <row r="487" spans="1:26" ht="18.75">
      <c r="A487" s="572"/>
      <c r="B487" s="584"/>
      <c r="C487" s="584"/>
      <c r="D487" s="584"/>
      <c r="E487" s="584"/>
      <c r="F487" s="584" t="s">
        <v>208</v>
      </c>
      <c r="G487" s="726"/>
      <c r="H487" s="589" t="s">
        <v>46</v>
      </c>
      <c r="I487" s="269">
        <f ca="1">IFERROR(__xludf.DUMMYFUNCTION("IMPORTRANGE(""https://docs.google.com/spreadsheets/d/1QqKyyYR6Q21VydFLVH3TRQUabQu_ym0Zz7PgGX0-kHA/edit?usp=sharing"",""แผน!GA24"")"),130)</f>
        <v>130</v>
      </c>
      <c r="J487" s="214">
        <v>0</v>
      </c>
      <c r="K487" s="465">
        <f ca="1">IF(I487&gt;0,J487*100/I487,0)</f>
        <v>0</v>
      </c>
      <c r="L487" s="465"/>
      <c r="M487" s="465"/>
      <c r="N487" s="465"/>
      <c r="O487" s="465"/>
      <c r="P487" s="465"/>
      <c r="Q487" s="541"/>
      <c r="R487" s="541"/>
      <c r="S487" s="541"/>
      <c r="T487" s="541"/>
      <c r="U487" s="541"/>
      <c r="V487" s="541"/>
      <c r="W487" s="541"/>
      <c r="X487" s="541"/>
      <c r="Y487" s="541"/>
      <c r="Z487" s="541"/>
    </row>
    <row r="488" spans="1:26" ht="18.75">
      <c r="A488" s="572"/>
      <c r="B488" s="584"/>
      <c r="C488" s="584"/>
      <c r="D488" s="584"/>
      <c r="E488" s="584"/>
      <c r="F488" s="584" t="s">
        <v>211</v>
      </c>
      <c r="G488" s="726"/>
      <c r="H488" s="589" t="s">
        <v>35</v>
      </c>
      <c r="I488" s="269"/>
      <c r="J488" s="214">
        <v>0</v>
      </c>
      <c r="K488" s="465"/>
      <c r="L488" s="465"/>
      <c r="M488" s="465"/>
      <c r="N488" s="465"/>
      <c r="O488" s="465"/>
      <c r="P488" s="465"/>
      <c r="Q488" s="541"/>
      <c r="R488" s="541"/>
      <c r="S488" s="541"/>
      <c r="T488" s="541"/>
      <c r="U488" s="541"/>
      <c r="V488" s="541"/>
      <c r="W488" s="541"/>
      <c r="X488" s="541"/>
      <c r="Y488" s="541"/>
      <c r="Z488" s="541"/>
    </row>
    <row r="489" spans="1:26" ht="18.75">
      <c r="A489" s="572"/>
      <c r="B489" s="584"/>
      <c r="C489" s="584"/>
      <c r="D489" s="584"/>
      <c r="E489" s="584"/>
      <c r="F489" s="584" t="s">
        <v>212</v>
      </c>
      <c r="G489" s="726"/>
      <c r="H489" s="589" t="s">
        <v>35</v>
      </c>
      <c r="I489" s="269">
        <f ca="1">IFERROR(__xludf.DUMMYFUNCTION("IMPORTRANGE(""https://docs.google.com/spreadsheets/d/1QqKyyYR6Q21VydFLVH3TRQUabQu_ym0Zz7PgGX0-kHA/edit?usp=sharing"",""แผน!GB24"")"),13)</f>
        <v>13</v>
      </c>
      <c r="J489" s="214">
        <v>0</v>
      </c>
      <c r="K489" s="465">
        <f ca="1">IF(I489&gt;0,J489*100/I489,0)</f>
        <v>0</v>
      </c>
      <c r="L489" s="465"/>
      <c r="M489" s="465"/>
      <c r="N489" s="465"/>
      <c r="O489" s="465"/>
      <c r="P489" s="465"/>
      <c r="Q489" s="541"/>
      <c r="R489" s="541"/>
      <c r="S489" s="541"/>
      <c r="T489" s="541"/>
      <c r="U489" s="541"/>
      <c r="V489" s="541"/>
      <c r="W489" s="541"/>
      <c r="X489" s="541"/>
      <c r="Y489" s="541"/>
      <c r="Z489" s="541"/>
    </row>
    <row r="490" spans="1:26" ht="18.75">
      <c r="A490" s="572"/>
      <c r="B490" s="584"/>
      <c r="C490" s="584"/>
      <c r="D490" s="584"/>
      <c r="E490" s="584" t="s">
        <v>63</v>
      </c>
      <c r="F490" s="592"/>
      <c r="G490" s="726"/>
      <c r="H490" s="589"/>
      <c r="I490" s="269"/>
      <c r="J490" s="269"/>
      <c r="K490" s="465"/>
      <c r="L490" s="465"/>
      <c r="M490" s="465"/>
      <c r="N490" s="465"/>
      <c r="O490" s="465"/>
      <c r="P490" s="465"/>
      <c r="Q490" s="541"/>
      <c r="R490" s="541"/>
      <c r="S490" s="541"/>
      <c r="T490" s="541"/>
      <c r="U490" s="541"/>
      <c r="V490" s="541"/>
      <c r="W490" s="541"/>
      <c r="X490" s="541"/>
      <c r="Y490" s="541"/>
      <c r="Z490" s="541"/>
    </row>
    <row r="491" spans="1:26" ht="18.75">
      <c r="A491" s="572"/>
      <c r="B491" s="584"/>
      <c r="C491" s="584"/>
      <c r="D491" s="584"/>
      <c r="E491" s="584"/>
      <c r="F491" s="584" t="s">
        <v>213</v>
      </c>
      <c r="G491" s="726"/>
      <c r="H491" s="589" t="s">
        <v>35</v>
      </c>
      <c r="I491" s="269"/>
      <c r="J491" s="214">
        <v>0</v>
      </c>
      <c r="K491" s="465"/>
      <c r="L491" s="465"/>
      <c r="M491" s="465"/>
      <c r="N491" s="465"/>
      <c r="O491" s="465"/>
      <c r="P491" s="465"/>
      <c r="Q491" s="541"/>
      <c r="R491" s="541"/>
      <c r="S491" s="541"/>
      <c r="T491" s="541"/>
      <c r="U491" s="541"/>
      <c r="V491" s="541"/>
      <c r="W491" s="541"/>
      <c r="X491" s="541"/>
      <c r="Y491" s="541"/>
      <c r="Z491" s="541"/>
    </row>
    <row r="492" spans="1:26" ht="18.75">
      <c r="A492" s="572"/>
      <c r="B492" s="584"/>
      <c r="C492" s="584"/>
      <c r="D492" s="584"/>
      <c r="E492" s="584"/>
      <c r="F492" s="584" t="s">
        <v>214</v>
      </c>
      <c r="G492" s="726"/>
      <c r="H492" s="589" t="s">
        <v>35</v>
      </c>
      <c r="I492" s="269">
        <f ca="1">IFERROR(__xludf.DUMMYFUNCTION("IMPORTRANGE(""https://docs.google.com/spreadsheets/d/1QqKyyYR6Q21VydFLVH3TRQUabQu_ym0Zz7PgGX0-kHA/edit?usp=sharing"",""แผน!GC24"")"),1)</f>
        <v>1</v>
      </c>
      <c r="J492" s="214">
        <v>0</v>
      </c>
      <c r="K492" s="465">
        <f ca="1">IF(I492&gt;0,J492*100/I492,0)</f>
        <v>0</v>
      </c>
      <c r="L492" s="465"/>
      <c r="M492" s="465"/>
      <c r="N492" s="465"/>
      <c r="O492" s="465"/>
      <c r="P492" s="465"/>
      <c r="Q492" s="541"/>
      <c r="R492" s="541"/>
      <c r="S492" s="541"/>
      <c r="T492" s="541"/>
      <c r="U492" s="541"/>
      <c r="V492" s="541"/>
      <c r="W492" s="541"/>
      <c r="X492" s="541"/>
      <c r="Y492" s="541"/>
      <c r="Z492" s="541"/>
    </row>
    <row r="493" spans="1:26" ht="19.5">
      <c r="A493" s="572"/>
      <c r="B493" s="584"/>
      <c r="C493" s="584"/>
      <c r="D493" s="591" t="s">
        <v>59</v>
      </c>
      <c r="E493" s="584"/>
      <c r="F493" s="592"/>
      <c r="G493" s="726"/>
      <c r="H493" s="189"/>
      <c r="I493" s="269"/>
      <c r="J493" s="269"/>
      <c r="K493" s="465"/>
      <c r="L493" s="465"/>
      <c r="M493" s="465"/>
      <c r="N493" s="465"/>
      <c r="O493" s="465"/>
      <c r="P493" s="465"/>
      <c r="Q493" s="541"/>
      <c r="R493" s="541"/>
      <c r="S493" s="541"/>
      <c r="T493" s="541"/>
      <c r="U493" s="541"/>
      <c r="V493" s="541"/>
      <c r="W493" s="541"/>
      <c r="X493" s="541"/>
      <c r="Y493" s="541"/>
      <c r="Z493" s="541"/>
    </row>
    <row r="494" spans="1:26" ht="18.75">
      <c r="A494" s="572"/>
      <c r="B494" s="584"/>
      <c r="C494" s="584"/>
      <c r="D494" s="584"/>
      <c r="E494" s="584" t="s">
        <v>207</v>
      </c>
      <c r="F494" s="592"/>
      <c r="G494" s="726"/>
      <c r="H494" s="189"/>
      <c r="I494" s="269"/>
      <c r="J494" s="269"/>
      <c r="K494" s="465"/>
      <c r="L494" s="465"/>
      <c r="M494" s="465"/>
      <c r="N494" s="465"/>
      <c r="O494" s="465"/>
      <c r="P494" s="465"/>
      <c r="Q494" s="541"/>
      <c r="R494" s="541"/>
      <c r="S494" s="541"/>
      <c r="T494" s="541"/>
      <c r="U494" s="541"/>
      <c r="V494" s="541"/>
      <c r="W494" s="541"/>
      <c r="X494" s="541"/>
      <c r="Y494" s="541"/>
      <c r="Z494" s="541"/>
    </row>
    <row r="495" spans="1:26" ht="18.75">
      <c r="A495" s="572"/>
      <c r="B495" s="584"/>
      <c r="C495" s="584"/>
      <c r="D495" s="584"/>
      <c r="E495" s="584"/>
      <c r="F495" s="592" t="s">
        <v>215</v>
      </c>
      <c r="G495" s="726"/>
      <c r="H495" s="589" t="s">
        <v>46</v>
      </c>
      <c r="I495" s="269">
        <f ca="1">IFERROR(__xludf.DUMMYFUNCTION("IMPORTRANGE(""https://docs.google.com/spreadsheets/d/1QqKyyYR6Q21VydFLVH3TRQUabQu_ym0Zz7PgGX0-kHA/edit?usp=sharing"",""แผน!FY24"")"),1170)</f>
        <v>1170</v>
      </c>
      <c r="J495" s="214">
        <v>0</v>
      </c>
      <c r="K495" s="465">
        <f ca="1">IF(I495&gt;0,J495*100/I495,0)</f>
        <v>0</v>
      </c>
      <c r="L495" s="465"/>
      <c r="M495" s="465"/>
      <c r="N495" s="465"/>
      <c r="O495" s="465"/>
      <c r="P495" s="465"/>
      <c r="Q495" s="541"/>
      <c r="R495" s="541"/>
      <c r="S495" s="541"/>
      <c r="T495" s="541"/>
      <c r="U495" s="541"/>
      <c r="V495" s="541"/>
      <c r="W495" s="541"/>
      <c r="X495" s="541"/>
      <c r="Y495" s="541"/>
      <c r="Z495" s="541"/>
    </row>
    <row r="496" spans="1:26" ht="18.75">
      <c r="A496" s="572"/>
      <c r="B496" s="584"/>
      <c r="C496" s="584"/>
      <c r="D496" s="584"/>
      <c r="E496" s="584"/>
      <c r="F496" s="592" t="s">
        <v>216</v>
      </c>
      <c r="G496" s="726"/>
      <c r="H496" s="589" t="s">
        <v>46</v>
      </c>
      <c r="I496" s="269"/>
      <c r="J496" s="214">
        <v>0</v>
      </c>
      <c r="K496" s="465"/>
      <c r="L496" s="465"/>
      <c r="M496" s="465"/>
      <c r="N496" s="465"/>
      <c r="O496" s="465"/>
      <c r="P496" s="465"/>
      <c r="Q496" s="541"/>
      <c r="R496" s="541"/>
      <c r="S496" s="541"/>
      <c r="T496" s="541"/>
      <c r="U496" s="541"/>
      <c r="V496" s="541"/>
      <c r="W496" s="541"/>
      <c r="X496" s="541"/>
      <c r="Y496" s="541"/>
      <c r="Z496" s="541"/>
    </row>
    <row r="497" spans="1:26" ht="18.75">
      <c r="A497" s="572"/>
      <c r="B497" s="584"/>
      <c r="C497" s="584"/>
      <c r="D497" s="584"/>
      <c r="E497" s="584" t="s">
        <v>62</v>
      </c>
      <c r="F497" s="592"/>
      <c r="G497" s="726"/>
      <c r="H497" s="189"/>
      <c r="I497" s="269"/>
      <c r="J497" s="269"/>
      <c r="K497" s="465"/>
      <c r="L497" s="465"/>
      <c r="M497" s="465"/>
      <c r="N497" s="465"/>
      <c r="O497" s="465"/>
      <c r="P497" s="465"/>
      <c r="Q497" s="541"/>
      <c r="R497" s="541"/>
      <c r="S497" s="541"/>
      <c r="T497" s="541"/>
      <c r="U497" s="541"/>
      <c r="V497" s="541"/>
      <c r="W497" s="541"/>
      <c r="X497" s="541"/>
      <c r="Y497" s="541"/>
      <c r="Z497" s="541"/>
    </row>
    <row r="498" spans="1:26" ht="18.75">
      <c r="A498" s="572"/>
      <c r="B498" s="584"/>
      <c r="C498" s="584"/>
      <c r="D498" s="584"/>
      <c r="E498" s="592"/>
      <c r="F498" s="592" t="s">
        <v>217</v>
      </c>
      <c r="G498" s="726"/>
      <c r="H498" s="589" t="s">
        <v>46</v>
      </c>
      <c r="I498" s="269">
        <f ca="1">IFERROR(__xludf.DUMMYFUNCTION("IMPORTRANGE(""https://docs.google.com/spreadsheets/d/1QqKyyYR6Q21VydFLVH3TRQUabQu_ym0Zz7PgGX0-kHA/edit?usp=sharing"",""แผน!GA24"")"),130)</f>
        <v>130</v>
      </c>
      <c r="J498" s="214">
        <v>0</v>
      </c>
      <c r="K498" s="465">
        <f ca="1">IF(I498&gt;0,J498*100/I498,0)</f>
        <v>0</v>
      </c>
      <c r="L498" s="465"/>
      <c r="M498" s="465"/>
      <c r="N498" s="465"/>
      <c r="O498" s="465"/>
      <c r="P498" s="465"/>
      <c r="Q498" s="541"/>
      <c r="R498" s="541"/>
      <c r="S498" s="541"/>
      <c r="T498" s="541"/>
      <c r="U498" s="541"/>
      <c r="V498" s="541"/>
      <c r="W498" s="541"/>
      <c r="X498" s="541"/>
      <c r="Y498" s="541"/>
      <c r="Z498" s="541"/>
    </row>
    <row r="499" spans="1:26" ht="18.75">
      <c r="A499" s="572"/>
      <c r="B499" s="584"/>
      <c r="C499" s="584"/>
      <c r="D499" s="584"/>
      <c r="E499" s="592"/>
      <c r="F499" s="592" t="s">
        <v>218</v>
      </c>
      <c r="G499" s="726"/>
      <c r="H499" s="589" t="s">
        <v>46</v>
      </c>
      <c r="I499" s="269"/>
      <c r="J499" s="214">
        <v>0</v>
      </c>
      <c r="K499" s="465"/>
      <c r="L499" s="465"/>
      <c r="M499" s="465"/>
      <c r="N499" s="465"/>
      <c r="O499" s="465"/>
      <c r="P499" s="465"/>
      <c r="Q499" s="541"/>
      <c r="R499" s="541"/>
      <c r="S499" s="541"/>
      <c r="T499" s="541"/>
      <c r="U499" s="541"/>
      <c r="V499" s="541"/>
      <c r="W499" s="541"/>
      <c r="X499" s="541"/>
      <c r="Y499" s="541"/>
      <c r="Z499" s="541"/>
    </row>
    <row r="500" spans="1:26" ht="19.5" hidden="1">
      <c r="A500" s="593">
        <v>4</v>
      </c>
      <c r="B500" s="594" t="s">
        <v>219</v>
      </c>
      <c r="C500" s="595"/>
      <c r="D500" s="596"/>
      <c r="E500" s="596"/>
      <c r="F500" s="596"/>
      <c r="G500" s="597"/>
      <c r="H500" s="598" t="s">
        <v>109</v>
      </c>
      <c r="I500" s="599"/>
      <c r="J500" s="599">
        <f t="shared" ref="J500:J501" si="213">J516</f>
        <v>0</v>
      </c>
      <c r="K500" s="600">
        <f t="shared" ref="K500:K501" si="214">IF(I500&gt;0,J500*100/I500,0)</f>
        <v>0</v>
      </c>
      <c r="L500" s="601"/>
      <c r="M500" s="601"/>
      <c r="N500" s="601"/>
      <c r="O500" s="601"/>
      <c r="P500" s="601"/>
      <c r="Q500" s="568"/>
      <c r="R500" s="568"/>
      <c r="S500" s="568"/>
      <c r="T500" s="568"/>
      <c r="U500" s="568"/>
      <c r="V500" s="568"/>
      <c r="W500" s="568"/>
      <c r="X500" s="568"/>
      <c r="Y500" s="568"/>
      <c r="Z500" s="568"/>
    </row>
    <row r="501" spans="1:26" ht="19.5" hidden="1">
      <c r="A501" s="602"/>
      <c r="B501" s="604" t="s">
        <v>220</v>
      </c>
      <c r="C501" s="604"/>
      <c r="D501" s="605"/>
      <c r="E501" s="605"/>
      <c r="F501" s="605"/>
      <c r="G501" s="606"/>
      <c r="H501" s="607" t="s">
        <v>35</v>
      </c>
      <c r="I501" s="608"/>
      <c r="J501" s="608">
        <f t="shared" si="213"/>
        <v>0</v>
      </c>
      <c r="K501" s="609">
        <f t="shared" si="214"/>
        <v>0</v>
      </c>
      <c r="L501" s="610"/>
      <c r="M501" s="610"/>
      <c r="N501" s="610"/>
      <c r="O501" s="610"/>
      <c r="P501" s="610"/>
      <c r="Q501" s="568"/>
      <c r="R501" s="568"/>
      <c r="S501" s="568"/>
      <c r="T501" s="568"/>
      <c r="U501" s="568"/>
      <c r="V501" s="568"/>
      <c r="W501" s="568"/>
      <c r="X501" s="568"/>
      <c r="Y501" s="568"/>
      <c r="Z501" s="568"/>
    </row>
    <row r="502" spans="1:26" ht="19.5" hidden="1">
      <c r="A502" s="563"/>
      <c r="B502" s="723"/>
      <c r="C502" s="723" t="s">
        <v>16</v>
      </c>
      <c r="D502" s="812" t="s">
        <v>17</v>
      </c>
      <c r="E502" s="805"/>
      <c r="F502" s="805"/>
      <c r="G502" s="567"/>
      <c r="H502" s="612" t="s">
        <v>12</v>
      </c>
      <c r="I502" s="583"/>
      <c r="J502" s="583"/>
      <c r="K502" s="93"/>
      <c r="L502" s="613">
        <f t="shared" ref="L502:N502" si="215">L503+L504</f>
        <v>0</v>
      </c>
      <c r="M502" s="613">
        <f t="shared" si="215"/>
        <v>0</v>
      </c>
      <c r="N502" s="613">
        <f t="shared" si="215"/>
        <v>0</v>
      </c>
      <c r="O502" s="613">
        <f t="shared" ref="O502:O507" si="216">IF(L502&gt;0,N502*100/L502,0)</f>
        <v>0</v>
      </c>
      <c r="P502" s="613">
        <f t="shared" ref="P502:P507" si="217">IF(M502&gt;0,N502*100/M502,0)</f>
        <v>0</v>
      </c>
      <c r="Q502" s="568"/>
      <c r="R502" s="568"/>
      <c r="S502" s="568"/>
      <c r="T502" s="568"/>
      <c r="U502" s="568"/>
      <c r="V502" s="568"/>
      <c r="W502" s="568"/>
      <c r="X502" s="568"/>
      <c r="Y502" s="568"/>
      <c r="Z502" s="568"/>
    </row>
    <row r="503" spans="1:26" ht="18.75" hidden="1">
      <c r="A503" s="563"/>
      <c r="B503" s="723"/>
      <c r="C503" s="723"/>
      <c r="D503" s="684"/>
      <c r="E503" s="723" t="s">
        <v>184</v>
      </c>
      <c r="F503" s="723"/>
      <c r="G503" s="567"/>
      <c r="H503" s="165" t="s">
        <v>12</v>
      </c>
      <c r="I503" s="583"/>
      <c r="J503" s="583"/>
      <c r="K503" s="93"/>
      <c r="L503" s="93">
        <f t="shared" ref="L503:N504" si="218">L506+L513</f>
        <v>0</v>
      </c>
      <c r="M503" s="93">
        <f t="shared" si="218"/>
        <v>0</v>
      </c>
      <c r="N503" s="93">
        <f t="shared" si="218"/>
        <v>0</v>
      </c>
      <c r="O503" s="93">
        <f t="shared" si="216"/>
        <v>0</v>
      </c>
      <c r="P503" s="93">
        <f t="shared" si="217"/>
        <v>0</v>
      </c>
      <c r="Q503" s="568"/>
      <c r="R503" s="568"/>
      <c r="S503" s="568"/>
      <c r="T503" s="568"/>
      <c r="U503" s="568"/>
      <c r="V503" s="568"/>
      <c r="W503" s="568"/>
      <c r="X503" s="568"/>
      <c r="Y503" s="568"/>
      <c r="Z503" s="568"/>
    </row>
    <row r="504" spans="1:26" ht="18.75" hidden="1">
      <c r="A504" s="563"/>
      <c r="B504" s="571"/>
      <c r="C504" s="723"/>
      <c r="D504" s="684"/>
      <c r="E504" s="723" t="s">
        <v>185</v>
      </c>
      <c r="F504" s="723"/>
      <c r="G504" s="567"/>
      <c r="H504" s="165" t="s">
        <v>12</v>
      </c>
      <c r="I504" s="583"/>
      <c r="J504" s="583"/>
      <c r="K504" s="93"/>
      <c r="L504" s="93">
        <f t="shared" si="218"/>
        <v>0</v>
      </c>
      <c r="M504" s="93">
        <f t="shared" si="218"/>
        <v>0</v>
      </c>
      <c r="N504" s="93">
        <f t="shared" si="218"/>
        <v>0</v>
      </c>
      <c r="O504" s="93">
        <f t="shared" si="216"/>
        <v>0</v>
      </c>
      <c r="P504" s="93">
        <f t="shared" si="217"/>
        <v>0</v>
      </c>
      <c r="Q504" s="568"/>
      <c r="R504" s="568"/>
      <c r="S504" s="568"/>
      <c r="T504" s="568"/>
      <c r="U504" s="568"/>
      <c r="V504" s="568"/>
      <c r="W504" s="568"/>
      <c r="X504" s="568"/>
      <c r="Y504" s="568"/>
      <c r="Z504" s="568"/>
    </row>
    <row r="505" spans="1:26" ht="18.75" hidden="1">
      <c r="A505" s="563"/>
      <c r="B505" s="571"/>
      <c r="C505" s="723"/>
      <c r="D505" s="614" t="s">
        <v>20</v>
      </c>
      <c r="E505" s="723"/>
      <c r="F505" s="723"/>
      <c r="G505" s="567"/>
      <c r="H505" s="165" t="s">
        <v>12</v>
      </c>
      <c r="I505" s="166"/>
      <c r="J505" s="166"/>
      <c r="K505" s="167"/>
      <c r="L505" s="93">
        <f t="shared" ref="L505:N505" si="219">L506+L507</f>
        <v>0</v>
      </c>
      <c r="M505" s="93">
        <f t="shared" si="219"/>
        <v>0</v>
      </c>
      <c r="N505" s="93">
        <f t="shared" si="219"/>
        <v>0</v>
      </c>
      <c r="O505" s="93">
        <f t="shared" si="216"/>
        <v>0</v>
      </c>
      <c r="P505" s="93">
        <f t="shared" si="217"/>
        <v>0</v>
      </c>
      <c r="Q505" s="568"/>
      <c r="R505" s="568"/>
      <c r="S505" s="568"/>
      <c r="T505" s="568"/>
      <c r="U505" s="568"/>
      <c r="V505" s="568"/>
      <c r="W505" s="568"/>
      <c r="X505" s="568"/>
      <c r="Y505" s="568"/>
      <c r="Z505" s="568"/>
    </row>
    <row r="506" spans="1:26" ht="18.75" hidden="1">
      <c r="A506" s="563"/>
      <c r="B506" s="571"/>
      <c r="C506" s="723"/>
      <c r="D506" s="684"/>
      <c r="E506" s="723" t="s">
        <v>184</v>
      </c>
      <c r="F506" s="723"/>
      <c r="G506" s="567"/>
      <c r="H506" s="165" t="s">
        <v>12</v>
      </c>
      <c r="I506" s="583"/>
      <c r="J506" s="583"/>
      <c r="K506" s="93"/>
      <c r="L506" s="93">
        <v>0</v>
      </c>
      <c r="M506" s="93">
        <v>0</v>
      </c>
      <c r="N506" s="93">
        <v>0</v>
      </c>
      <c r="O506" s="93">
        <f t="shared" si="216"/>
        <v>0</v>
      </c>
      <c r="P506" s="93">
        <f t="shared" si="217"/>
        <v>0</v>
      </c>
      <c r="Q506" s="568"/>
      <c r="R506" s="568"/>
      <c r="S506" s="568"/>
      <c r="T506" s="568"/>
      <c r="U506" s="568"/>
      <c r="V506" s="568"/>
      <c r="W506" s="568"/>
      <c r="X506" s="568"/>
      <c r="Y506" s="568"/>
      <c r="Z506" s="568"/>
    </row>
    <row r="507" spans="1:26" ht="18.75" hidden="1">
      <c r="A507" s="563"/>
      <c r="B507" s="571"/>
      <c r="C507" s="723"/>
      <c r="D507" s="684"/>
      <c r="E507" s="723" t="s">
        <v>185</v>
      </c>
      <c r="F507" s="723"/>
      <c r="G507" s="567"/>
      <c r="H507" s="165" t="s">
        <v>12</v>
      </c>
      <c r="I507" s="583"/>
      <c r="J507" s="583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6"/>
        <v>0</v>
      </c>
      <c r="P507" s="93">
        <f t="shared" si="217"/>
        <v>0</v>
      </c>
      <c r="Q507" s="568"/>
      <c r="R507" s="568"/>
      <c r="S507" s="568"/>
      <c r="T507" s="568"/>
      <c r="U507" s="568"/>
      <c r="V507" s="568"/>
      <c r="W507" s="568"/>
      <c r="X507" s="568"/>
      <c r="Y507" s="568"/>
      <c r="Z507" s="568"/>
    </row>
    <row r="508" spans="1:26" ht="18.75" hidden="1">
      <c r="A508" s="615"/>
      <c r="B508" s="571"/>
      <c r="C508" s="723"/>
      <c r="D508" s="723"/>
      <c r="E508" s="723"/>
      <c r="F508" s="723" t="s">
        <v>186</v>
      </c>
      <c r="G508" s="567"/>
      <c r="H508" s="165" t="s">
        <v>12</v>
      </c>
      <c r="I508" s="583"/>
      <c r="J508" s="583"/>
      <c r="K508" s="93"/>
      <c r="L508" s="93"/>
      <c r="M508" s="93"/>
      <c r="N508" s="93">
        <v>0</v>
      </c>
      <c r="O508" s="93"/>
      <c r="P508" s="93"/>
      <c r="Q508" s="568"/>
      <c r="R508" s="568"/>
      <c r="S508" s="568"/>
      <c r="T508" s="568"/>
      <c r="U508" s="568"/>
      <c r="V508" s="568"/>
      <c r="W508" s="568"/>
      <c r="X508" s="568"/>
      <c r="Y508" s="568"/>
      <c r="Z508" s="568"/>
    </row>
    <row r="509" spans="1:26" ht="18.75" hidden="1">
      <c r="A509" s="615"/>
      <c r="B509" s="571"/>
      <c r="C509" s="723"/>
      <c r="D509" s="723"/>
      <c r="E509" s="723"/>
      <c r="F509" s="723" t="s">
        <v>187</v>
      </c>
      <c r="G509" s="567"/>
      <c r="H509" s="165" t="s">
        <v>12</v>
      </c>
      <c r="I509" s="583"/>
      <c r="J509" s="583"/>
      <c r="K509" s="93"/>
      <c r="L509" s="93"/>
      <c r="M509" s="93"/>
      <c r="N509" s="93">
        <v>0</v>
      </c>
      <c r="O509" s="93"/>
      <c r="P509" s="93"/>
      <c r="Q509" s="568"/>
      <c r="R509" s="568"/>
      <c r="S509" s="568"/>
      <c r="T509" s="568"/>
      <c r="U509" s="568"/>
      <c r="V509" s="568"/>
      <c r="W509" s="568"/>
      <c r="X509" s="568"/>
      <c r="Y509" s="568"/>
      <c r="Z509" s="568"/>
    </row>
    <row r="510" spans="1:26" ht="18.75" hidden="1">
      <c r="A510" s="615"/>
      <c r="B510" s="571"/>
      <c r="C510" s="571"/>
      <c r="D510" s="571"/>
      <c r="E510" s="723"/>
      <c r="F510" s="723" t="s">
        <v>188</v>
      </c>
      <c r="G510" s="567"/>
      <c r="H510" s="165" t="s">
        <v>12</v>
      </c>
      <c r="I510" s="583"/>
      <c r="J510" s="583"/>
      <c r="K510" s="93"/>
      <c r="L510" s="93"/>
      <c r="M510" s="93"/>
      <c r="N510" s="93">
        <v>0</v>
      </c>
      <c r="O510" s="93"/>
      <c r="P510" s="93"/>
      <c r="Q510" s="568"/>
      <c r="R510" s="568"/>
      <c r="S510" s="568"/>
      <c r="T510" s="568"/>
      <c r="U510" s="568"/>
      <c r="V510" s="568"/>
      <c r="W510" s="568"/>
      <c r="X510" s="568"/>
      <c r="Y510" s="568"/>
      <c r="Z510" s="568"/>
    </row>
    <row r="511" spans="1:26" ht="18.75" hidden="1">
      <c r="A511" s="615"/>
      <c r="B511" s="571"/>
      <c r="C511" s="571"/>
      <c r="D511" s="571"/>
      <c r="E511" s="723"/>
      <c r="F511" s="723" t="s">
        <v>189</v>
      </c>
      <c r="G511" s="567"/>
      <c r="H511" s="165" t="s">
        <v>12</v>
      </c>
      <c r="I511" s="583"/>
      <c r="J511" s="583"/>
      <c r="K511" s="93"/>
      <c r="L511" s="93"/>
      <c r="M511" s="93"/>
      <c r="N511" s="93">
        <v>0</v>
      </c>
      <c r="O511" s="93"/>
      <c r="P511" s="93"/>
      <c r="Q511" s="568"/>
      <c r="R511" s="568"/>
      <c r="S511" s="568"/>
      <c r="T511" s="568"/>
      <c r="U511" s="568"/>
      <c r="V511" s="568"/>
      <c r="W511" s="568"/>
      <c r="X511" s="568"/>
      <c r="Y511" s="568"/>
      <c r="Z511" s="568"/>
    </row>
    <row r="512" spans="1:26" ht="18.75" hidden="1">
      <c r="A512" s="563"/>
      <c r="B512" s="571"/>
      <c r="C512" s="571"/>
      <c r="D512" s="614" t="s">
        <v>21</v>
      </c>
      <c r="E512" s="571"/>
      <c r="F512" s="723"/>
      <c r="G512" s="567"/>
      <c r="H512" s="169" t="s">
        <v>12</v>
      </c>
      <c r="I512" s="166"/>
      <c r="J512" s="166"/>
      <c r="K512" s="167"/>
      <c r="L512" s="93">
        <f t="shared" ref="L512:N512" si="220">L513+L514</f>
        <v>0</v>
      </c>
      <c r="M512" s="93">
        <f t="shared" si="220"/>
        <v>0</v>
      </c>
      <c r="N512" s="93">
        <f t="shared" si="220"/>
        <v>0</v>
      </c>
      <c r="O512" s="93">
        <f t="shared" ref="O512:O514" si="221">IF(L512&gt;0,N512*100/L512,0)</f>
        <v>0</v>
      </c>
      <c r="P512" s="93">
        <f t="shared" ref="P512:P514" si="222">IF(M512&gt;0,N512*100/M512,0)</f>
        <v>0</v>
      </c>
      <c r="Q512" s="568"/>
      <c r="R512" s="568"/>
      <c r="S512" s="568"/>
      <c r="T512" s="568"/>
      <c r="U512" s="568"/>
      <c r="V512" s="568"/>
      <c r="W512" s="568"/>
      <c r="X512" s="568"/>
      <c r="Y512" s="568"/>
      <c r="Z512" s="568"/>
    </row>
    <row r="513" spans="1:26" ht="18.75" hidden="1">
      <c r="A513" s="563"/>
      <c r="B513" s="571"/>
      <c r="C513" s="571"/>
      <c r="D513" s="571"/>
      <c r="E513" s="571" t="s">
        <v>18</v>
      </c>
      <c r="F513" s="723"/>
      <c r="G513" s="567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1"/>
        <v>0</v>
      </c>
      <c r="P513" s="93">
        <f t="shared" si="222"/>
        <v>0</v>
      </c>
      <c r="Q513" s="568"/>
      <c r="R513" s="568"/>
      <c r="S513" s="568"/>
      <c r="T513" s="568"/>
      <c r="U513" s="568"/>
      <c r="V513" s="568"/>
      <c r="W513" s="568"/>
      <c r="X513" s="568"/>
      <c r="Y513" s="568"/>
      <c r="Z513" s="568"/>
    </row>
    <row r="514" spans="1:26" ht="18.75" hidden="1">
      <c r="A514" s="563"/>
      <c r="B514" s="571"/>
      <c r="C514" s="571"/>
      <c r="D514" s="723"/>
      <c r="E514" s="571" t="s">
        <v>19</v>
      </c>
      <c r="F514" s="723"/>
      <c r="G514" s="567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1"/>
        <v>0</v>
      </c>
      <c r="P514" s="93">
        <f t="shared" si="222"/>
        <v>0</v>
      </c>
      <c r="Q514" s="568"/>
      <c r="R514" s="568"/>
      <c r="S514" s="568"/>
      <c r="T514" s="568"/>
      <c r="U514" s="568"/>
      <c r="V514" s="568"/>
      <c r="W514" s="568"/>
      <c r="X514" s="568"/>
      <c r="Y514" s="568"/>
      <c r="Z514" s="568"/>
    </row>
    <row r="515" spans="1:26" ht="19.5" hidden="1">
      <c r="A515" s="578"/>
      <c r="B515" s="580"/>
      <c r="C515" s="571" t="s">
        <v>16</v>
      </c>
      <c r="D515" s="852" t="s">
        <v>38</v>
      </c>
      <c r="E515" s="617"/>
      <c r="F515" s="617"/>
      <c r="G515" s="618"/>
      <c r="H515" s="581"/>
      <c r="I515" s="166"/>
      <c r="J515" s="166"/>
      <c r="K515" s="167"/>
      <c r="L515" s="167"/>
      <c r="M515" s="167"/>
      <c r="N515" s="167"/>
      <c r="O515" s="167"/>
      <c r="P515" s="167"/>
      <c r="Q515" s="568"/>
      <c r="R515" s="568"/>
      <c r="S515" s="568"/>
      <c r="T515" s="568"/>
      <c r="U515" s="568"/>
      <c r="V515" s="568"/>
      <c r="W515" s="568"/>
      <c r="X515" s="568"/>
      <c r="Y515" s="568"/>
      <c r="Z515" s="568"/>
    </row>
    <row r="516" spans="1:26" ht="18.75" hidden="1">
      <c r="A516" s="578"/>
      <c r="B516" s="580"/>
      <c r="C516" s="580"/>
      <c r="D516" s="580" t="s">
        <v>221</v>
      </c>
      <c r="E516" s="684"/>
      <c r="F516" s="684"/>
      <c r="G516" s="581"/>
      <c r="H516" s="619" t="s">
        <v>109</v>
      </c>
      <c r="I516" s="583"/>
      <c r="J516" s="583">
        <v>0</v>
      </c>
      <c r="K516" s="167">
        <f t="shared" ref="K516:K517" si="223">IF(I516&gt;0,J516*100/I516,0)</f>
        <v>0</v>
      </c>
      <c r="L516" s="167"/>
      <c r="M516" s="167"/>
      <c r="N516" s="167"/>
      <c r="O516" s="167"/>
      <c r="P516" s="167"/>
      <c r="Q516" s="568"/>
      <c r="R516" s="568"/>
      <c r="S516" s="568"/>
      <c r="T516" s="568"/>
      <c r="U516" s="568"/>
      <c r="V516" s="568"/>
      <c r="W516" s="568"/>
      <c r="X516" s="568"/>
      <c r="Y516" s="568"/>
      <c r="Z516" s="568"/>
    </row>
    <row r="517" spans="1:26" ht="19.5" hidden="1">
      <c r="A517" s="578"/>
      <c r="B517" s="580"/>
      <c r="C517" s="580"/>
      <c r="D517" s="580" t="s">
        <v>222</v>
      </c>
      <c r="E517" s="684"/>
      <c r="F517" s="684"/>
      <c r="G517" s="581"/>
      <c r="H517" s="620" t="s">
        <v>35</v>
      </c>
      <c r="I517" s="621"/>
      <c r="J517" s="621">
        <f>J518+J519</f>
        <v>0</v>
      </c>
      <c r="K517" s="622">
        <f t="shared" si="223"/>
        <v>0</v>
      </c>
      <c r="L517" s="167"/>
      <c r="M517" s="167"/>
      <c r="N517" s="167"/>
      <c r="O517" s="167"/>
      <c r="P517" s="167"/>
      <c r="Q517" s="568"/>
      <c r="R517" s="568"/>
      <c r="S517" s="568"/>
      <c r="T517" s="568"/>
      <c r="U517" s="568"/>
      <c r="V517" s="568"/>
      <c r="W517" s="568"/>
      <c r="X517" s="568"/>
      <c r="Y517" s="568"/>
      <c r="Z517" s="568"/>
    </row>
    <row r="518" spans="1:26" ht="18.75" hidden="1">
      <c r="A518" s="578"/>
      <c r="B518" s="580"/>
      <c r="C518" s="580"/>
      <c r="D518" s="580"/>
      <c r="E518" s="580" t="s">
        <v>223</v>
      </c>
      <c r="F518" s="684"/>
      <c r="G518" s="581"/>
      <c r="H518" s="582" t="s">
        <v>35</v>
      </c>
      <c r="I518" s="583"/>
      <c r="J518" s="583"/>
      <c r="K518" s="167"/>
      <c r="L518" s="167"/>
      <c r="M518" s="167"/>
      <c r="N518" s="167"/>
      <c r="O518" s="167"/>
      <c r="P518" s="167"/>
      <c r="Q518" s="568"/>
      <c r="R518" s="568"/>
      <c r="S518" s="568"/>
      <c r="T518" s="568"/>
      <c r="U518" s="568"/>
      <c r="V518" s="568"/>
      <c r="W518" s="568"/>
      <c r="X518" s="568"/>
      <c r="Y518" s="568"/>
      <c r="Z518" s="568"/>
    </row>
    <row r="519" spans="1:26" ht="18.75" hidden="1">
      <c r="A519" s="578"/>
      <c r="B519" s="580"/>
      <c r="C519" s="580"/>
      <c r="D519" s="580"/>
      <c r="E519" s="580" t="s">
        <v>224</v>
      </c>
      <c r="F519" s="684"/>
      <c r="G519" s="581"/>
      <c r="H519" s="619" t="s">
        <v>35</v>
      </c>
      <c r="I519" s="583"/>
      <c r="J519" s="583"/>
      <c r="K519" s="167"/>
      <c r="L519" s="167"/>
      <c r="M519" s="167"/>
      <c r="N519" s="167"/>
      <c r="O519" s="167"/>
      <c r="P519" s="167"/>
      <c r="Q519" s="568"/>
      <c r="R519" s="568"/>
      <c r="S519" s="568"/>
      <c r="T519" s="568"/>
      <c r="U519" s="568"/>
      <c r="V519" s="568"/>
      <c r="W519" s="568"/>
      <c r="X519" s="568"/>
      <c r="Y519" s="568"/>
      <c r="Z519" s="568"/>
    </row>
    <row r="520" spans="1:26" ht="19.5">
      <c r="A520" s="623" t="s">
        <v>137</v>
      </c>
      <c r="B520" s="624"/>
      <c r="C520" s="624"/>
      <c r="D520" s="625"/>
      <c r="E520" s="625"/>
      <c r="F520" s="625"/>
      <c r="G520" s="626"/>
      <c r="H520" s="627"/>
      <c r="I520" s="628"/>
      <c r="J520" s="628"/>
      <c r="K520" s="629"/>
      <c r="L520" s="629"/>
      <c r="M520" s="629"/>
      <c r="N520" s="629"/>
      <c r="O520" s="629"/>
      <c r="P520" s="629"/>
    </row>
    <row r="521" spans="1:26" ht="19.5" hidden="1">
      <c r="A521" s="630">
        <v>5</v>
      </c>
      <c r="B521" s="631" t="s">
        <v>225</v>
      </c>
      <c r="C521" s="632"/>
      <c r="D521" s="633"/>
      <c r="E521" s="633"/>
      <c r="F521" s="633"/>
      <c r="G521" s="633"/>
      <c r="H521" s="634"/>
      <c r="I521" s="635"/>
      <c r="J521" s="635"/>
      <c r="K521" s="636"/>
      <c r="L521" s="636"/>
      <c r="M521" s="636"/>
      <c r="N521" s="636"/>
      <c r="O521" s="636"/>
      <c r="P521" s="636"/>
      <c r="Q521" s="541"/>
      <c r="R521" s="541"/>
      <c r="S521" s="541"/>
      <c r="T521" s="541"/>
      <c r="U521" s="541"/>
      <c r="V521" s="541"/>
      <c r="W521" s="541"/>
      <c r="X521" s="541"/>
      <c r="Y521" s="541"/>
      <c r="Z521" s="541"/>
    </row>
    <row r="522" spans="1:26" ht="19.5" hidden="1">
      <c r="A522" s="637"/>
      <c r="B522" s="638" t="s">
        <v>226</v>
      </c>
      <c r="C522" s="639"/>
      <c r="D522" s="639"/>
      <c r="E522" s="639"/>
      <c r="F522" s="639"/>
      <c r="G522" s="640"/>
      <c r="H522" s="641" t="s">
        <v>35</v>
      </c>
      <c r="I522" s="672">
        <f t="shared" ref="I522:J522" ca="1" si="224">I537</f>
        <v>0</v>
      </c>
      <c r="J522" s="672">
        <f t="shared" ca="1" si="224"/>
        <v>0</v>
      </c>
      <c r="K522" s="643">
        <f ca="1">IF(I522&gt;0,J522*100/I522,0)</f>
        <v>0</v>
      </c>
      <c r="L522" s="644"/>
      <c r="M522" s="644"/>
      <c r="N522" s="644"/>
      <c r="O522" s="644"/>
      <c r="P522" s="644"/>
      <c r="Q522" s="541"/>
      <c r="R522" s="541"/>
      <c r="S522" s="541"/>
      <c r="T522" s="541"/>
      <c r="U522" s="541"/>
      <c r="V522" s="541"/>
      <c r="W522" s="541"/>
      <c r="X522" s="541"/>
      <c r="Y522" s="541"/>
      <c r="Z522" s="541"/>
    </row>
    <row r="523" spans="1:26" ht="19.5" hidden="1">
      <c r="A523" s="561"/>
      <c r="B523" s="727"/>
      <c r="C523" s="727" t="s">
        <v>16</v>
      </c>
      <c r="D523" s="811" t="s">
        <v>17</v>
      </c>
      <c r="E523" s="805"/>
      <c r="F523" s="805"/>
      <c r="G523" s="189"/>
      <c r="H523" s="562" t="s">
        <v>12</v>
      </c>
      <c r="I523" s="269"/>
      <c r="J523" s="269"/>
      <c r="K523" s="465"/>
      <c r="L523" s="195">
        <f t="shared" ref="L523:N523" ca="1" si="225">L524+L525</f>
        <v>0</v>
      </c>
      <c r="M523" s="195">
        <f t="shared" si="225"/>
        <v>0</v>
      </c>
      <c r="N523" s="195">
        <f t="shared" si="225"/>
        <v>0</v>
      </c>
      <c r="O523" s="195">
        <f t="shared" ref="O523:O528" ca="1" si="226">IF(L523&gt;0,N523*100/L523,0)</f>
        <v>0</v>
      </c>
      <c r="P523" s="195">
        <f t="shared" ref="P523:P528" si="227">IF(M523&gt;0,N523*100/M523,0)</f>
        <v>0</v>
      </c>
      <c r="Q523" s="541"/>
      <c r="R523" s="541"/>
      <c r="S523" s="541"/>
      <c r="T523" s="541"/>
      <c r="U523" s="541"/>
      <c r="V523" s="541"/>
      <c r="W523" s="541"/>
      <c r="X523" s="541"/>
      <c r="Y523" s="541"/>
      <c r="Z523" s="541"/>
    </row>
    <row r="524" spans="1:26" ht="18.75" hidden="1">
      <c r="A524" s="563"/>
      <c r="B524" s="723"/>
      <c r="C524" s="723"/>
      <c r="D524" s="684"/>
      <c r="E524" s="723" t="s">
        <v>184</v>
      </c>
      <c r="F524" s="723"/>
      <c r="G524" s="567"/>
      <c r="H524" s="165" t="s">
        <v>12</v>
      </c>
      <c r="I524" s="583"/>
      <c r="J524" s="583"/>
      <c r="K524" s="93"/>
      <c r="L524" s="93">
        <f t="shared" ref="L524:N525" si="228">L527+L534</f>
        <v>0</v>
      </c>
      <c r="M524" s="93">
        <f t="shared" si="228"/>
        <v>0</v>
      </c>
      <c r="N524" s="93">
        <f t="shared" si="228"/>
        <v>0</v>
      </c>
      <c r="O524" s="93">
        <f t="shared" si="226"/>
        <v>0</v>
      </c>
      <c r="P524" s="93">
        <f t="shared" si="227"/>
        <v>0</v>
      </c>
      <c r="Q524" s="568"/>
      <c r="R524" s="568"/>
      <c r="S524" s="568"/>
      <c r="T524" s="568"/>
      <c r="U524" s="568"/>
      <c r="V524" s="568"/>
      <c r="W524" s="568"/>
      <c r="X524" s="568"/>
      <c r="Y524" s="568"/>
      <c r="Z524" s="568"/>
    </row>
    <row r="525" spans="1:26" ht="18.75" hidden="1">
      <c r="A525" s="563"/>
      <c r="B525" s="571"/>
      <c r="C525" s="723"/>
      <c r="D525" s="684"/>
      <c r="E525" s="723" t="s">
        <v>185</v>
      </c>
      <c r="F525" s="723"/>
      <c r="G525" s="567"/>
      <c r="H525" s="165" t="s">
        <v>12</v>
      </c>
      <c r="I525" s="583"/>
      <c r="J525" s="583"/>
      <c r="K525" s="93"/>
      <c r="L525" s="93">
        <f t="shared" ca="1" si="228"/>
        <v>0</v>
      </c>
      <c r="M525" s="93">
        <f t="shared" si="228"/>
        <v>0</v>
      </c>
      <c r="N525" s="93">
        <f t="shared" si="228"/>
        <v>0</v>
      </c>
      <c r="O525" s="93">
        <f t="shared" ca="1" si="226"/>
        <v>0</v>
      </c>
      <c r="P525" s="93">
        <f t="shared" si="227"/>
        <v>0</v>
      </c>
      <c r="Q525" s="568"/>
      <c r="R525" s="568"/>
      <c r="S525" s="568"/>
      <c r="T525" s="568"/>
      <c r="U525" s="568"/>
      <c r="V525" s="568"/>
      <c r="W525" s="568"/>
      <c r="X525" s="568"/>
      <c r="Y525" s="568"/>
      <c r="Z525" s="568"/>
    </row>
    <row r="526" spans="1:26" ht="18.75" hidden="1">
      <c r="A526" s="561"/>
      <c r="B526" s="538"/>
      <c r="C526" s="727"/>
      <c r="D526" s="570" t="s">
        <v>20</v>
      </c>
      <c r="E526" s="727"/>
      <c r="F526" s="727"/>
      <c r="G526" s="189"/>
      <c r="H526" s="161" t="s">
        <v>12</v>
      </c>
      <c r="I526" s="184"/>
      <c r="J526" s="184"/>
      <c r="K526" s="163"/>
      <c r="L526" s="465">
        <f t="shared" ref="L526:N526" ca="1" si="229">L527+L528</f>
        <v>0</v>
      </c>
      <c r="M526" s="465">
        <f t="shared" si="229"/>
        <v>0</v>
      </c>
      <c r="N526" s="465">
        <f t="shared" si="229"/>
        <v>0</v>
      </c>
      <c r="O526" s="465">
        <f t="shared" ca="1" si="226"/>
        <v>0</v>
      </c>
      <c r="P526" s="465">
        <f t="shared" si="227"/>
        <v>0</v>
      </c>
      <c r="Q526" s="541"/>
      <c r="R526" s="541"/>
      <c r="S526" s="541"/>
      <c r="T526" s="541"/>
      <c r="U526" s="541"/>
      <c r="V526" s="541"/>
      <c r="W526" s="541"/>
      <c r="X526" s="541"/>
      <c r="Y526" s="541"/>
      <c r="Z526" s="541"/>
    </row>
    <row r="527" spans="1:26" ht="18.75" hidden="1">
      <c r="A527" s="563"/>
      <c r="B527" s="571"/>
      <c r="C527" s="723"/>
      <c r="D527" s="684"/>
      <c r="E527" s="723" t="s">
        <v>184</v>
      </c>
      <c r="F527" s="723"/>
      <c r="G527" s="567"/>
      <c r="H527" s="165" t="s">
        <v>12</v>
      </c>
      <c r="I527" s="583"/>
      <c r="J527" s="583"/>
      <c r="K527" s="93"/>
      <c r="L527" s="93">
        <v>0</v>
      </c>
      <c r="M527" s="93">
        <v>0</v>
      </c>
      <c r="N527" s="93">
        <v>0</v>
      </c>
      <c r="O527" s="93">
        <f t="shared" si="226"/>
        <v>0</v>
      </c>
      <c r="P527" s="93">
        <f t="shared" si="227"/>
        <v>0</v>
      </c>
      <c r="Q527" s="568"/>
      <c r="R527" s="568"/>
      <c r="S527" s="568"/>
      <c r="T527" s="568"/>
      <c r="U527" s="568"/>
      <c r="V527" s="568"/>
      <c r="W527" s="568"/>
      <c r="X527" s="568"/>
      <c r="Y527" s="568"/>
      <c r="Z527" s="568"/>
    </row>
    <row r="528" spans="1:26" ht="18.75" hidden="1">
      <c r="A528" s="563"/>
      <c r="B528" s="571"/>
      <c r="C528" s="723"/>
      <c r="D528" s="684"/>
      <c r="E528" s="723" t="s">
        <v>185</v>
      </c>
      <c r="F528" s="723"/>
      <c r="G528" s="567"/>
      <c r="H528" s="165" t="s">
        <v>12</v>
      </c>
      <c r="I528" s="583"/>
      <c r="J528" s="583"/>
      <c r="K528" s="93"/>
      <c r="L528" s="93">
        <f ca="1">IFERROR(__xludf.DUMMYFUNCTION("IMPORTRANGE(""https://docs.google.com/spreadsheets/d/1QqKyyYR6Q21VydFLVH3TRQUabQu_ym0Zz7PgGX0-kHA/edit?usp=sharing"",""แผน!GQ24"")"),0)</f>
        <v>0</v>
      </c>
      <c r="M528" s="93">
        <v>0</v>
      </c>
      <c r="N528" s="93">
        <f>N529+N530+N531+N532</f>
        <v>0</v>
      </c>
      <c r="O528" s="93">
        <f t="shared" ca="1" si="226"/>
        <v>0</v>
      </c>
      <c r="P528" s="93">
        <f t="shared" si="227"/>
        <v>0</v>
      </c>
      <c r="Q528" s="568"/>
      <c r="R528" s="568"/>
      <c r="S528" s="568"/>
      <c r="T528" s="568"/>
      <c r="U528" s="568"/>
      <c r="V528" s="568"/>
      <c r="W528" s="568"/>
      <c r="X528" s="568"/>
      <c r="Y528" s="568"/>
      <c r="Z528" s="568"/>
    </row>
    <row r="529" spans="1:26" ht="18.75" hidden="1">
      <c r="A529" s="537"/>
      <c r="B529" s="538"/>
      <c r="C529" s="727"/>
      <c r="D529" s="727"/>
      <c r="E529" s="727"/>
      <c r="F529" s="727" t="s">
        <v>186</v>
      </c>
      <c r="G529" s="189"/>
      <c r="H529" s="161" t="s">
        <v>12</v>
      </c>
      <c r="I529" s="269"/>
      <c r="J529" s="269"/>
      <c r="K529" s="465"/>
      <c r="L529" s="465"/>
      <c r="M529" s="465"/>
      <c r="N529" s="789">
        <v>0</v>
      </c>
      <c r="O529" s="465"/>
      <c r="P529" s="465"/>
      <c r="Q529" s="541"/>
      <c r="R529" s="541"/>
      <c r="S529" s="541"/>
      <c r="T529" s="541"/>
      <c r="U529" s="541"/>
      <c r="V529" s="541"/>
      <c r="W529" s="541"/>
      <c r="X529" s="541"/>
      <c r="Y529" s="541"/>
      <c r="Z529" s="541"/>
    </row>
    <row r="530" spans="1:26" ht="18.75" hidden="1">
      <c r="A530" s="537"/>
      <c r="B530" s="538"/>
      <c r="C530" s="727"/>
      <c r="D530" s="727"/>
      <c r="E530" s="727"/>
      <c r="F530" s="727" t="s">
        <v>187</v>
      </c>
      <c r="G530" s="189"/>
      <c r="H530" s="161" t="s">
        <v>12</v>
      </c>
      <c r="I530" s="269"/>
      <c r="J530" s="269"/>
      <c r="K530" s="465"/>
      <c r="L530" s="465"/>
      <c r="M530" s="465"/>
      <c r="N530" s="789">
        <v>0</v>
      </c>
      <c r="O530" s="465"/>
      <c r="P530" s="465"/>
      <c r="Q530" s="541"/>
      <c r="R530" s="541"/>
      <c r="S530" s="541"/>
      <c r="T530" s="541"/>
      <c r="U530" s="541"/>
      <c r="V530" s="541"/>
      <c r="W530" s="541"/>
      <c r="X530" s="541"/>
      <c r="Y530" s="541"/>
      <c r="Z530" s="541"/>
    </row>
    <row r="531" spans="1:26" ht="18.75" hidden="1">
      <c r="A531" s="537"/>
      <c r="B531" s="538"/>
      <c r="C531" s="727"/>
      <c r="D531" s="727"/>
      <c r="E531" s="727"/>
      <c r="F531" s="727" t="s">
        <v>188</v>
      </c>
      <c r="G531" s="189"/>
      <c r="H531" s="161" t="s">
        <v>12</v>
      </c>
      <c r="I531" s="269"/>
      <c r="J531" s="269"/>
      <c r="K531" s="465"/>
      <c r="L531" s="465"/>
      <c r="M531" s="465"/>
      <c r="N531" s="789">
        <v>0</v>
      </c>
      <c r="O531" s="465"/>
      <c r="P531" s="465"/>
      <c r="Q531" s="541"/>
      <c r="R531" s="541"/>
      <c r="S531" s="541"/>
      <c r="T531" s="541"/>
      <c r="U531" s="541"/>
      <c r="V531" s="541"/>
      <c r="W531" s="541"/>
      <c r="X531" s="541"/>
      <c r="Y531" s="541"/>
      <c r="Z531" s="541"/>
    </row>
    <row r="532" spans="1:26" ht="18.75" hidden="1">
      <c r="A532" s="537"/>
      <c r="B532" s="538"/>
      <c r="C532" s="727"/>
      <c r="D532" s="727"/>
      <c r="E532" s="727"/>
      <c r="F532" s="727" t="s">
        <v>189</v>
      </c>
      <c r="G532" s="189"/>
      <c r="H532" s="161" t="s">
        <v>12</v>
      </c>
      <c r="I532" s="269"/>
      <c r="J532" s="269"/>
      <c r="K532" s="465"/>
      <c r="L532" s="465"/>
      <c r="M532" s="465"/>
      <c r="N532" s="789">
        <v>0</v>
      </c>
      <c r="O532" s="465"/>
      <c r="P532" s="465"/>
      <c r="Q532" s="541"/>
      <c r="R532" s="541"/>
      <c r="S532" s="541"/>
      <c r="T532" s="541"/>
      <c r="U532" s="541"/>
      <c r="V532" s="541"/>
      <c r="W532" s="541"/>
      <c r="X532" s="541"/>
      <c r="Y532" s="541"/>
      <c r="Z532" s="541"/>
    </row>
    <row r="533" spans="1:26" ht="18.75" hidden="1">
      <c r="A533" s="561"/>
      <c r="B533" s="538"/>
      <c r="C533" s="727"/>
      <c r="D533" s="570" t="s">
        <v>21</v>
      </c>
      <c r="E533" s="727"/>
      <c r="F533" s="727"/>
      <c r="G533" s="189"/>
      <c r="H533" s="168" t="s">
        <v>12</v>
      </c>
      <c r="I533" s="184"/>
      <c r="J533" s="184"/>
      <c r="K533" s="163"/>
      <c r="L533" s="465">
        <f t="shared" ref="L533:N533" ca="1" si="230">L534+L535</f>
        <v>0</v>
      </c>
      <c r="M533" s="465">
        <f t="shared" si="230"/>
        <v>0</v>
      </c>
      <c r="N533" s="465">
        <f t="shared" si="230"/>
        <v>0</v>
      </c>
      <c r="O533" s="465">
        <f t="shared" ref="O533:O535" ca="1" si="231">IF(L533&gt;0,N533*100/L533,0)</f>
        <v>0</v>
      </c>
      <c r="P533" s="465">
        <f t="shared" ref="P533:P535" si="232">IF(M533&gt;0,N533*100/M533,0)</f>
        <v>0</v>
      </c>
      <c r="Q533" s="541"/>
      <c r="R533" s="541"/>
      <c r="S533" s="541"/>
      <c r="T533" s="541"/>
      <c r="U533" s="541"/>
      <c r="V533" s="541"/>
      <c r="W533" s="541"/>
      <c r="X533" s="541"/>
      <c r="Y533" s="541"/>
      <c r="Z533" s="541"/>
    </row>
    <row r="534" spans="1:26" ht="18.75" hidden="1">
      <c r="A534" s="563"/>
      <c r="B534" s="571"/>
      <c r="C534" s="723"/>
      <c r="D534" s="723"/>
      <c r="E534" s="723" t="s">
        <v>18</v>
      </c>
      <c r="F534" s="723"/>
      <c r="G534" s="567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1"/>
        <v>0</v>
      </c>
      <c r="P534" s="93">
        <f t="shared" si="232"/>
        <v>0</v>
      </c>
      <c r="Q534" s="568"/>
      <c r="R534" s="568"/>
      <c r="S534" s="568"/>
      <c r="T534" s="568"/>
      <c r="U534" s="568"/>
      <c r="V534" s="568"/>
      <c r="W534" s="568"/>
      <c r="X534" s="568"/>
      <c r="Y534" s="568"/>
      <c r="Z534" s="568"/>
    </row>
    <row r="535" spans="1:26" ht="18.75" hidden="1">
      <c r="A535" s="563"/>
      <c r="B535" s="571"/>
      <c r="C535" s="723"/>
      <c r="D535" s="723"/>
      <c r="E535" s="723" t="s">
        <v>19</v>
      </c>
      <c r="F535" s="723"/>
      <c r="G535" s="567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IFERROR(__xludf.DUMMYFUNCTION("IMPORTRANGE(""https://docs.google.com/spreadsheets/d/1QqKyyYR6Q21VydFLVH3TRQUabQu_ym0Zz7PgGX0-kHA/edit?usp=sharing"",""แผน!GT24"")"),0)</f>
        <v>0</v>
      </c>
      <c r="M535" s="93">
        <v>0</v>
      </c>
      <c r="N535" s="93">
        <v>0</v>
      </c>
      <c r="O535" s="93">
        <f t="shared" ca="1" si="231"/>
        <v>0</v>
      </c>
      <c r="P535" s="93">
        <f t="shared" si="232"/>
        <v>0</v>
      </c>
      <c r="Q535" s="568"/>
      <c r="R535" s="568"/>
      <c r="S535" s="568"/>
      <c r="T535" s="568"/>
      <c r="U535" s="568"/>
      <c r="V535" s="568"/>
      <c r="W535" s="568"/>
      <c r="X535" s="568"/>
      <c r="Y535" s="568"/>
      <c r="Z535" s="568"/>
    </row>
    <row r="536" spans="1:26" ht="19.5" hidden="1">
      <c r="A536" s="572"/>
      <c r="B536" s="584"/>
      <c r="C536" s="727" t="s">
        <v>16</v>
      </c>
      <c r="D536" s="853" t="s">
        <v>38</v>
      </c>
      <c r="E536" s="725"/>
      <c r="F536" s="725"/>
      <c r="G536" s="577"/>
      <c r="H536" s="726"/>
      <c r="I536" s="184"/>
      <c r="J536" s="184"/>
      <c r="K536" s="163"/>
      <c r="L536" s="163"/>
      <c r="M536" s="163"/>
      <c r="N536" s="163"/>
      <c r="O536" s="163"/>
      <c r="P536" s="163"/>
      <c r="Q536" s="541"/>
      <c r="R536" s="541"/>
      <c r="S536" s="541"/>
      <c r="T536" s="541"/>
      <c r="U536" s="541"/>
      <c r="V536" s="541"/>
      <c r="W536" s="541"/>
      <c r="X536" s="541"/>
      <c r="Y536" s="541"/>
      <c r="Z536" s="541"/>
    </row>
    <row r="537" spans="1:26" ht="19.5" hidden="1">
      <c r="A537" s="537"/>
      <c r="B537" s="538"/>
      <c r="C537" s="727"/>
      <c r="D537" s="727" t="s">
        <v>227</v>
      </c>
      <c r="E537" s="727"/>
      <c r="F537" s="727"/>
      <c r="G537" s="189"/>
      <c r="H537" s="589" t="s">
        <v>35</v>
      </c>
      <c r="I537" s="647">
        <f ca="1">IFERROR(__xludf.DUMMYFUNCTION("IMPORTRANGE(""https://docs.google.com/spreadsheets/d/1QqKyyYR6Q21VydFLVH3TRQUabQu_ym0Zz7PgGX0-kHA/edit?usp=sharing"",""แผน!GU24"")"),0)</f>
        <v>0</v>
      </c>
      <c r="J537" s="647">
        <f ca="1">IF(AND(J538=I538,J539=I539,J540=I540,J541=I541),I537,0)</f>
        <v>0</v>
      </c>
      <c r="K537" s="465">
        <f t="shared" ref="K537:K543" ca="1" si="233">IF(I537&gt;0,J537*100/I537,0)</f>
        <v>0</v>
      </c>
      <c r="L537" s="465"/>
      <c r="M537" s="465"/>
      <c r="N537" s="465"/>
      <c r="O537" s="465"/>
      <c r="P537" s="465"/>
      <c r="Q537" s="648"/>
      <c r="R537" s="648"/>
      <c r="S537" s="648"/>
      <c r="T537" s="648"/>
      <c r="U537" s="648"/>
      <c r="V537" s="648"/>
      <c r="W537" s="648"/>
      <c r="X537" s="648"/>
      <c r="Y537" s="648"/>
      <c r="Z537" s="648"/>
    </row>
    <row r="538" spans="1:26" ht="18.75" hidden="1">
      <c r="A538" s="537"/>
      <c r="B538" s="538"/>
      <c r="C538" s="727"/>
      <c r="D538" s="727"/>
      <c r="E538" s="727" t="s">
        <v>228</v>
      </c>
      <c r="F538" s="727"/>
      <c r="G538" s="189"/>
      <c r="H538" s="589" t="s">
        <v>35</v>
      </c>
      <c r="I538" s="269">
        <f ca="1">IFERROR(__xludf.DUMMYFUNCTION("IMPORTRANGE(""https://docs.google.com/spreadsheets/d/1QqKyyYR6Q21VydFLVH3TRQUabQu_ym0Zz7PgGX0-kHA/edit?usp=sharing"",""แผน!GV24"")"),0)</f>
        <v>0</v>
      </c>
      <c r="J538" s="214">
        <v>0</v>
      </c>
      <c r="K538" s="465">
        <f t="shared" ca="1" si="233"/>
        <v>0</v>
      </c>
      <c r="L538" s="465"/>
      <c r="M538" s="465"/>
      <c r="N538" s="465"/>
      <c r="O538" s="465"/>
      <c r="P538" s="465"/>
      <c r="Q538" s="648"/>
      <c r="R538" s="648"/>
      <c r="S538" s="648"/>
      <c r="T538" s="648"/>
      <c r="U538" s="648"/>
      <c r="V538" s="648"/>
      <c r="W538" s="648"/>
      <c r="X538" s="648"/>
      <c r="Y538" s="648"/>
      <c r="Z538" s="648"/>
    </row>
    <row r="539" spans="1:26" ht="18.75" hidden="1">
      <c r="A539" s="537"/>
      <c r="B539" s="538"/>
      <c r="C539" s="727"/>
      <c r="D539" s="727"/>
      <c r="E539" s="727" t="s">
        <v>229</v>
      </c>
      <c r="F539" s="727"/>
      <c r="G539" s="189"/>
      <c r="H539" s="589" t="s">
        <v>35</v>
      </c>
      <c r="I539" s="269">
        <f ca="1">IFERROR(__xludf.DUMMYFUNCTION("IMPORTRANGE(""https://docs.google.com/spreadsheets/d/1QqKyyYR6Q21VydFLVH3TRQUabQu_ym0Zz7PgGX0-kHA/edit?usp=sharing"",""แผน!GW24"")"),0)</f>
        <v>0</v>
      </c>
      <c r="J539" s="214">
        <v>0</v>
      </c>
      <c r="K539" s="465">
        <f t="shared" ca="1" si="233"/>
        <v>0</v>
      </c>
      <c r="L539" s="465"/>
      <c r="M539" s="465"/>
      <c r="N539" s="465"/>
      <c r="O539" s="465"/>
      <c r="P539" s="465"/>
      <c r="Q539" s="648"/>
      <c r="R539" s="648"/>
      <c r="S539" s="648"/>
      <c r="T539" s="648"/>
      <c r="U539" s="648"/>
      <c r="V539" s="648"/>
      <c r="W539" s="648"/>
      <c r="X539" s="648"/>
      <c r="Y539" s="648"/>
      <c r="Z539" s="648"/>
    </row>
    <row r="540" spans="1:26" ht="18.75" hidden="1">
      <c r="A540" s="537"/>
      <c r="B540" s="538"/>
      <c r="C540" s="727"/>
      <c r="D540" s="727"/>
      <c r="E540" s="727" t="s">
        <v>230</v>
      </c>
      <c r="F540" s="727"/>
      <c r="G540" s="189"/>
      <c r="H540" s="589" t="s">
        <v>35</v>
      </c>
      <c r="I540" s="269">
        <f ca="1">IFERROR(__xludf.DUMMYFUNCTION("IMPORTRANGE(""https://docs.google.com/spreadsheets/d/1QqKyyYR6Q21VydFLVH3TRQUabQu_ym0Zz7PgGX0-kHA/edit?usp=sharing"",""แผน!GX24"")"),0)</f>
        <v>0</v>
      </c>
      <c r="J540" s="214">
        <v>0</v>
      </c>
      <c r="K540" s="465">
        <f t="shared" ca="1" si="233"/>
        <v>0</v>
      </c>
      <c r="L540" s="465"/>
      <c r="M540" s="465"/>
      <c r="N540" s="465"/>
      <c r="O540" s="465"/>
      <c r="P540" s="465"/>
      <c r="Q540" s="648"/>
      <c r="R540" s="648"/>
      <c r="S540" s="648"/>
      <c r="T540" s="648"/>
      <c r="U540" s="648"/>
      <c r="V540" s="648"/>
      <c r="W540" s="648"/>
      <c r="X540" s="648"/>
      <c r="Y540" s="648"/>
      <c r="Z540" s="648"/>
    </row>
    <row r="541" spans="1:26" ht="18.75" hidden="1">
      <c r="A541" s="537"/>
      <c r="B541" s="538"/>
      <c r="C541" s="727"/>
      <c r="D541" s="727"/>
      <c r="E541" s="733" t="s">
        <v>231</v>
      </c>
      <c r="F541" s="727"/>
      <c r="G541" s="189"/>
      <c r="H541" s="589" t="s">
        <v>35</v>
      </c>
      <c r="I541" s="269">
        <f ca="1">IFERROR(__xludf.DUMMYFUNCTION("IMPORTRANGE(""https://docs.google.com/spreadsheets/d/1QqKyyYR6Q21VydFLVH3TRQUabQu_ym0Zz7PgGX0-kHA/edit?usp=sharing"",""แผน!GY24"")"),0)</f>
        <v>0</v>
      </c>
      <c r="J541" s="214">
        <v>0</v>
      </c>
      <c r="K541" s="465">
        <f t="shared" ca="1" si="233"/>
        <v>0</v>
      </c>
      <c r="L541" s="465"/>
      <c r="M541" s="465"/>
      <c r="N541" s="465"/>
      <c r="O541" s="465"/>
      <c r="P541" s="465"/>
      <c r="Q541" s="648"/>
      <c r="R541" s="648"/>
      <c r="S541" s="648"/>
      <c r="T541" s="648"/>
      <c r="U541" s="648"/>
      <c r="V541" s="648"/>
      <c r="W541" s="648"/>
      <c r="X541" s="648"/>
      <c r="Y541" s="648"/>
      <c r="Z541" s="648"/>
    </row>
    <row r="542" spans="1:26" ht="18.75" hidden="1">
      <c r="A542" s="537"/>
      <c r="B542" s="538"/>
      <c r="C542" s="727"/>
      <c r="D542" s="727" t="s">
        <v>59</v>
      </c>
      <c r="E542" s="727"/>
      <c r="F542" s="727"/>
      <c r="G542" s="189"/>
      <c r="H542" s="589" t="s">
        <v>35</v>
      </c>
      <c r="I542" s="269">
        <f ca="1">IFERROR(__xludf.DUMMYFUNCTION("IMPORTRANGE(""https://docs.google.com/spreadsheets/d/1QqKyyYR6Q21VydFLVH3TRQUabQu_ym0Zz7PgGX0-kHA/edit?usp=sharing"",""แผน!GZ24"")"),0)</f>
        <v>0</v>
      </c>
      <c r="J542" s="214">
        <v>0</v>
      </c>
      <c r="K542" s="465">
        <f t="shared" ca="1" si="233"/>
        <v>0</v>
      </c>
      <c r="L542" s="465"/>
      <c r="M542" s="465"/>
      <c r="N542" s="465"/>
      <c r="O542" s="465"/>
      <c r="P542" s="465"/>
      <c r="Q542" s="648"/>
      <c r="R542" s="648"/>
      <c r="S542" s="648"/>
      <c r="T542" s="648"/>
      <c r="U542" s="648"/>
      <c r="V542" s="648"/>
      <c r="W542" s="648"/>
      <c r="X542" s="648"/>
      <c r="Y542" s="648"/>
      <c r="Z542" s="648"/>
    </row>
    <row r="543" spans="1:26" ht="19.5">
      <c r="A543" s="630">
        <v>6</v>
      </c>
      <c r="B543" s="651" t="s">
        <v>232</v>
      </c>
      <c r="C543" s="633"/>
      <c r="D543" s="633"/>
      <c r="E543" s="633"/>
      <c r="F543" s="633"/>
      <c r="G543" s="634"/>
      <c r="H543" s="652" t="s">
        <v>46</v>
      </c>
      <c r="I543" s="653">
        <f t="shared" ref="I543:J543" ca="1" si="234">I559</f>
        <v>54558</v>
      </c>
      <c r="J543" s="653">
        <f t="shared" si="234"/>
        <v>0</v>
      </c>
      <c r="K543" s="654">
        <f t="shared" ca="1" si="233"/>
        <v>0</v>
      </c>
      <c r="L543" s="636"/>
      <c r="M543" s="636"/>
      <c r="N543" s="636"/>
      <c r="O543" s="636"/>
      <c r="P543" s="636"/>
      <c r="Q543" s="541"/>
      <c r="R543" s="541"/>
      <c r="S543" s="541"/>
      <c r="T543" s="541"/>
      <c r="U543" s="541"/>
      <c r="V543" s="541"/>
      <c r="W543" s="541"/>
      <c r="X543" s="541"/>
      <c r="Y543" s="541"/>
      <c r="Z543" s="541"/>
    </row>
    <row r="544" spans="1:26" ht="19.5">
      <c r="A544" s="655"/>
      <c r="B544" s="656"/>
      <c r="C544" s="656" t="s">
        <v>16</v>
      </c>
      <c r="D544" s="854" t="s">
        <v>17</v>
      </c>
      <c r="E544" s="810"/>
      <c r="F544" s="810"/>
      <c r="G544" s="657"/>
      <c r="H544" s="274" t="s">
        <v>12</v>
      </c>
      <c r="I544" s="388"/>
      <c r="J544" s="388"/>
      <c r="K544" s="154"/>
      <c r="L544" s="155">
        <f t="shared" ref="L544:N544" ca="1" si="235">L545+L546</f>
        <v>477114</v>
      </c>
      <c r="M544" s="155">
        <f t="shared" si="235"/>
        <v>0</v>
      </c>
      <c r="N544" s="155">
        <f t="shared" si="235"/>
        <v>0</v>
      </c>
      <c r="O544" s="155">
        <f t="shared" ref="O544:O549" ca="1" si="236">IF(L544&gt;0,N544*100/L544,0)</f>
        <v>0</v>
      </c>
      <c r="P544" s="155">
        <f t="shared" ref="P544:P549" si="237">IF(M544&gt;0,N544*100/M544,0)</f>
        <v>0</v>
      </c>
      <c r="Q544" s="541"/>
      <c r="R544" s="541"/>
      <c r="S544" s="541"/>
      <c r="T544" s="541"/>
      <c r="U544" s="541"/>
      <c r="V544" s="541"/>
      <c r="W544" s="541"/>
      <c r="X544" s="541"/>
      <c r="Y544" s="541"/>
      <c r="Z544" s="541"/>
    </row>
    <row r="545" spans="1:26" ht="18.75" hidden="1">
      <c r="A545" s="563"/>
      <c r="B545" s="723"/>
      <c r="C545" s="723"/>
      <c r="D545" s="723"/>
      <c r="E545" s="723" t="s">
        <v>184</v>
      </c>
      <c r="F545" s="723"/>
      <c r="G545" s="567"/>
      <c r="H545" s="165" t="s">
        <v>12</v>
      </c>
      <c r="I545" s="583"/>
      <c r="J545" s="583"/>
      <c r="K545" s="93"/>
      <c r="L545" s="93">
        <f t="shared" ref="L545:L546" si="238">L548+L556</f>
        <v>0</v>
      </c>
      <c r="M545" s="93">
        <f t="shared" ref="M545:N546" si="239">M548+M555</f>
        <v>0</v>
      </c>
      <c r="N545" s="93">
        <f t="shared" si="239"/>
        <v>0</v>
      </c>
      <c r="O545" s="93">
        <f t="shared" si="236"/>
        <v>0</v>
      </c>
      <c r="P545" s="93">
        <f t="shared" si="237"/>
        <v>0</v>
      </c>
      <c r="Q545" s="568"/>
      <c r="R545" s="568"/>
      <c r="S545" s="568"/>
      <c r="T545" s="568"/>
      <c r="U545" s="568"/>
      <c r="V545" s="568"/>
      <c r="W545" s="568"/>
      <c r="X545" s="568"/>
      <c r="Y545" s="568"/>
      <c r="Z545" s="568"/>
    </row>
    <row r="546" spans="1:26" ht="18.75" hidden="1">
      <c r="A546" s="563"/>
      <c r="B546" s="571"/>
      <c r="C546" s="723"/>
      <c r="D546" s="723"/>
      <c r="E546" s="723" t="s">
        <v>185</v>
      </c>
      <c r="F546" s="723"/>
      <c r="G546" s="567"/>
      <c r="H546" s="165" t="s">
        <v>12</v>
      </c>
      <c r="I546" s="583"/>
      <c r="J546" s="583"/>
      <c r="K546" s="93"/>
      <c r="L546" s="93">
        <f t="shared" ca="1" si="238"/>
        <v>477114</v>
      </c>
      <c r="M546" s="93">
        <f t="shared" si="239"/>
        <v>0</v>
      </c>
      <c r="N546" s="93">
        <f t="shared" si="239"/>
        <v>0</v>
      </c>
      <c r="O546" s="93">
        <f t="shared" ca="1" si="236"/>
        <v>0</v>
      </c>
      <c r="P546" s="93">
        <f t="shared" si="237"/>
        <v>0</v>
      </c>
      <c r="Q546" s="568"/>
      <c r="R546" s="568"/>
      <c r="S546" s="568"/>
      <c r="T546" s="568"/>
      <c r="U546" s="568"/>
      <c r="V546" s="568"/>
      <c r="W546" s="568"/>
      <c r="X546" s="568"/>
      <c r="Y546" s="568"/>
      <c r="Z546" s="568"/>
    </row>
    <row r="547" spans="1:26" ht="18.75">
      <c r="A547" s="561"/>
      <c r="B547" s="538"/>
      <c r="C547" s="727"/>
      <c r="D547" s="570" t="s">
        <v>20</v>
      </c>
      <c r="E547" s="727"/>
      <c r="F547" s="727"/>
      <c r="G547" s="189"/>
      <c r="H547" s="161" t="s">
        <v>12</v>
      </c>
      <c r="I547" s="184"/>
      <c r="J547" s="184"/>
      <c r="K547" s="163"/>
      <c r="L547" s="465">
        <f t="shared" ref="L547:N547" ca="1" si="240">L548+L549</f>
        <v>477114</v>
      </c>
      <c r="M547" s="465">
        <f t="shared" si="240"/>
        <v>0</v>
      </c>
      <c r="N547" s="465">
        <f t="shared" si="240"/>
        <v>0</v>
      </c>
      <c r="O547" s="465">
        <f t="shared" ca="1" si="236"/>
        <v>0</v>
      </c>
      <c r="P547" s="465">
        <f t="shared" si="237"/>
        <v>0</v>
      </c>
      <c r="Q547" s="541"/>
      <c r="R547" s="541"/>
      <c r="S547" s="541"/>
      <c r="T547" s="541"/>
      <c r="U547" s="541"/>
      <c r="V547" s="541"/>
      <c r="W547" s="541"/>
      <c r="X547" s="541"/>
      <c r="Y547" s="541"/>
      <c r="Z547" s="541"/>
    </row>
    <row r="548" spans="1:26" ht="18.75" hidden="1">
      <c r="A548" s="563"/>
      <c r="B548" s="571"/>
      <c r="C548" s="723"/>
      <c r="D548" s="684"/>
      <c r="E548" s="723" t="s">
        <v>184</v>
      </c>
      <c r="F548" s="723"/>
      <c r="G548" s="567"/>
      <c r="H548" s="165" t="s">
        <v>12</v>
      </c>
      <c r="I548" s="583"/>
      <c r="J548" s="583"/>
      <c r="K548" s="93"/>
      <c r="L548" s="93">
        <v>0</v>
      </c>
      <c r="M548" s="93">
        <v>0</v>
      </c>
      <c r="N548" s="93">
        <v>0</v>
      </c>
      <c r="O548" s="93">
        <f t="shared" si="236"/>
        <v>0</v>
      </c>
      <c r="P548" s="93">
        <f t="shared" si="237"/>
        <v>0</v>
      </c>
      <c r="Q548" s="568"/>
      <c r="R548" s="568"/>
      <c r="S548" s="568"/>
      <c r="T548" s="568"/>
      <c r="U548" s="568"/>
      <c r="V548" s="568"/>
      <c r="W548" s="568"/>
      <c r="X548" s="568"/>
      <c r="Y548" s="568"/>
      <c r="Z548" s="568"/>
    </row>
    <row r="549" spans="1:26" ht="18.75" hidden="1">
      <c r="A549" s="563"/>
      <c r="B549" s="571"/>
      <c r="C549" s="723"/>
      <c r="D549" s="684"/>
      <c r="E549" s="723" t="s">
        <v>185</v>
      </c>
      <c r="F549" s="723"/>
      <c r="G549" s="567"/>
      <c r="H549" s="165" t="s">
        <v>12</v>
      </c>
      <c r="I549" s="583"/>
      <c r="J549" s="583"/>
      <c r="K549" s="93"/>
      <c r="L549" s="93">
        <f ca="1">IFERROR(__xludf.DUMMYFUNCTION("IMPORTRANGE(""https://docs.google.com/spreadsheets/d/1QqKyyYR6Q21VydFLVH3TRQUabQu_ym0Zz7PgGX0-kHA/edit?usp=sharing"",""แผน!HB24"")"),477114)</f>
        <v>477114</v>
      </c>
      <c r="M549" s="93">
        <v>0</v>
      </c>
      <c r="N549" s="93">
        <f>N550+N551+N552+N553+N554</f>
        <v>0</v>
      </c>
      <c r="O549" s="93">
        <f t="shared" ca="1" si="236"/>
        <v>0</v>
      </c>
      <c r="P549" s="93">
        <f t="shared" si="237"/>
        <v>0</v>
      </c>
      <c r="Q549" s="568"/>
      <c r="R549" s="568"/>
      <c r="S549" s="568"/>
      <c r="T549" s="568"/>
      <c r="U549" s="568"/>
      <c r="V549" s="568"/>
      <c r="W549" s="568"/>
      <c r="X549" s="568"/>
      <c r="Y549" s="568"/>
      <c r="Z549" s="568"/>
    </row>
    <row r="550" spans="1:26" ht="18.75">
      <c r="A550" s="537"/>
      <c r="B550" s="538"/>
      <c r="C550" s="727"/>
      <c r="D550" s="727"/>
      <c r="E550" s="727"/>
      <c r="F550" s="727" t="s">
        <v>186</v>
      </c>
      <c r="G550" s="189"/>
      <c r="H550" s="161" t="s">
        <v>12</v>
      </c>
      <c r="I550" s="269"/>
      <c r="J550" s="269"/>
      <c r="K550" s="465"/>
      <c r="L550" s="465"/>
      <c r="M550" s="465"/>
      <c r="N550" s="789">
        <v>0</v>
      </c>
      <c r="O550" s="465"/>
      <c r="P550" s="465"/>
      <c r="Q550" s="541"/>
      <c r="R550" s="541"/>
      <c r="S550" s="541"/>
      <c r="T550" s="541"/>
      <c r="U550" s="541"/>
      <c r="V550" s="541"/>
      <c r="W550" s="541"/>
      <c r="X550" s="541"/>
      <c r="Y550" s="541"/>
      <c r="Z550" s="541"/>
    </row>
    <row r="551" spans="1:26" ht="18.75">
      <c r="A551" s="537"/>
      <c r="B551" s="538"/>
      <c r="C551" s="538"/>
      <c r="D551" s="538"/>
      <c r="E551" s="727"/>
      <c r="F551" s="727" t="s">
        <v>187</v>
      </c>
      <c r="G551" s="189"/>
      <c r="H551" s="161" t="s">
        <v>12</v>
      </c>
      <c r="I551" s="269"/>
      <c r="J551" s="269"/>
      <c r="K551" s="465"/>
      <c r="L551" s="465"/>
      <c r="M551" s="465"/>
      <c r="N551" s="789">
        <v>0</v>
      </c>
      <c r="O551" s="465"/>
      <c r="P551" s="465"/>
      <c r="Q551" s="541"/>
      <c r="R551" s="541"/>
      <c r="S551" s="541"/>
      <c r="T551" s="541"/>
      <c r="U551" s="541"/>
      <c r="V551" s="541"/>
      <c r="W551" s="541"/>
      <c r="X551" s="541"/>
      <c r="Y551" s="541"/>
      <c r="Z551" s="541"/>
    </row>
    <row r="552" spans="1:26" ht="18.75">
      <c r="A552" s="537"/>
      <c r="B552" s="538"/>
      <c r="C552" s="727"/>
      <c r="D552" s="727"/>
      <c r="E552" s="727"/>
      <c r="F552" s="727" t="s">
        <v>188</v>
      </c>
      <c r="G552" s="189"/>
      <c r="H552" s="161" t="s">
        <v>12</v>
      </c>
      <c r="I552" s="269"/>
      <c r="J552" s="269"/>
      <c r="K552" s="465"/>
      <c r="L552" s="465"/>
      <c r="M552" s="465"/>
      <c r="N552" s="789">
        <v>0</v>
      </c>
      <c r="O552" s="465"/>
      <c r="P552" s="465"/>
      <c r="Q552" s="541"/>
      <c r="R552" s="541"/>
      <c r="S552" s="541"/>
      <c r="T552" s="541"/>
      <c r="U552" s="541"/>
      <c r="V552" s="541"/>
      <c r="W552" s="541"/>
      <c r="X552" s="541"/>
      <c r="Y552" s="541"/>
      <c r="Z552" s="541"/>
    </row>
    <row r="553" spans="1:26" ht="18.75">
      <c r="A553" s="537"/>
      <c r="B553" s="538"/>
      <c r="C553" s="538"/>
      <c r="D553" s="538"/>
      <c r="E553" s="727"/>
      <c r="F553" s="727" t="s">
        <v>189</v>
      </c>
      <c r="G553" s="189"/>
      <c r="H553" s="161" t="s">
        <v>12</v>
      </c>
      <c r="I553" s="269"/>
      <c r="J553" s="269"/>
      <c r="K553" s="465"/>
      <c r="L553" s="465"/>
      <c r="M553" s="465"/>
      <c r="N553" s="789">
        <v>0</v>
      </c>
      <c r="O553" s="465"/>
      <c r="P553" s="465"/>
      <c r="Q553" s="541"/>
      <c r="R553" s="541"/>
      <c r="S553" s="541"/>
      <c r="T553" s="541"/>
      <c r="U553" s="541"/>
      <c r="V553" s="541"/>
      <c r="W553" s="541"/>
      <c r="X553" s="541"/>
      <c r="Y553" s="541"/>
      <c r="Z553" s="541"/>
    </row>
    <row r="554" spans="1:26" ht="18.75">
      <c r="A554" s="537"/>
      <c r="B554" s="538"/>
      <c r="C554" s="538"/>
      <c r="D554" s="538"/>
      <c r="E554" s="727"/>
      <c r="F554" s="727" t="s">
        <v>233</v>
      </c>
      <c r="G554" s="189"/>
      <c r="H554" s="161" t="s">
        <v>12</v>
      </c>
      <c r="I554" s="269"/>
      <c r="J554" s="269"/>
      <c r="K554" s="465"/>
      <c r="L554" s="465"/>
      <c r="M554" s="465"/>
      <c r="N554" s="789">
        <v>0</v>
      </c>
      <c r="O554" s="465"/>
      <c r="P554" s="465"/>
      <c r="Q554" s="541"/>
      <c r="R554" s="541"/>
      <c r="S554" s="541"/>
      <c r="T554" s="541"/>
      <c r="U554" s="541"/>
      <c r="V554" s="541"/>
      <c r="W554" s="541"/>
      <c r="X554" s="541"/>
      <c r="Y554" s="541"/>
      <c r="Z554" s="541"/>
    </row>
    <row r="555" spans="1:26" ht="18.75">
      <c r="A555" s="561"/>
      <c r="B555" s="538"/>
      <c r="C555" s="538"/>
      <c r="D555" s="570" t="s">
        <v>21</v>
      </c>
      <c r="E555" s="727"/>
      <c r="F555" s="727"/>
      <c r="G555" s="189"/>
      <c r="H555" s="168" t="s">
        <v>12</v>
      </c>
      <c r="I555" s="184"/>
      <c r="J555" s="184"/>
      <c r="K555" s="163"/>
      <c r="L555" s="465">
        <f t="shared" ref="L555:N555" ca="1" si="241">L556+L557</f>
        <v>0</v>
      </c>
      <c r="M555" s="465">
        <f t="shared" si="241"/>
        <v>0</v>
      </c>
      <c r="N555" s="465">
        <f t="shared" si="241"/>
        <v>0</v>
      </c>
      <c r="O555" s="465">
        <f t="shared" ref="O555:O557" ca="1" si="242">IF(L555&gt;0,N555*100/L555,0)</f>
        <v>0</v>
      </c>
      <c r="P555" s="465">
        <f t="shared" ref="P555:P557" si="243">IF(M555&gt;0,N555*100/M555,0)</f>
        <v>0</v>
      </c>
      <c r="Q555" s="541"/>
      <c r="R555" s="541"/>
      <c r="S555" s="541"/>
      <c r="T555" s="541"/>
      <c r="U555" s="541"/>
      <c r="V555" s="541"/>
      <c r="W555" s="541"/>
      <c r="X555" s="541"/>
      <c r="Y555" s="541"/>
      <c r="Z555" s="541"/>
    </row>
    <row r="556" spans="1:26" ht="18.75" hidden="1">
      <c r="A556" s="563"/>
      <c r="B556" s="571"/>
      <c r="C556" s="571"/>
      <c r="D556" s="723"/>
      <c r="E556" s="723" t="s">
        <v>18</v>
      </c>
      <c r="F556" s="723"/>
      <c r="G556" s="567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2"/>
        <v>0</v>
      </c>
      <c r="P556" s="93">
        <f t="shared" si="243"/>
        <v>0</v>
      </c>
      <c r="Q556" s="568"/>
      <c r="R556" s="568"/>
      <c r="S556" s="568"/>
      <c r="T556" s="568"/>
      <c r="U556" s="568"/>
      <c r="V556" s="568"/>
      <c r="W556" s="568"/>
      <c r="X556" s="568"/>
      <c r="Y556" s="568"/>
      <c r="Z556" s="568"/>
    </row>
    <row r="557" spans="1:26" ht="18.75" hidden="1">
      <c r="A557" s="563"/>
      <c r="B557" s="571"/>
      <c r="C557" s="571"/>
      <c r="D557" s="723"/>
      <c r="E557" s="723" t="s">
        <v>19</v>
      </c>
      <c r="F557" s="723"/>
      <c r="G557" s="567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IFERROR(__xludf.DUMMYFUNCTION("IMPORTRANGE(""https://docs.google.com/spreadsheets/d/1QqKyyYR6Q21VydFLVH3TRQUabQu_ym0Zz7PgGX0-kHA/edit?usp=sharing"",""แผน!HF24"")"),0)</f>
        <v>0</v>
      </c>
      <c r="M557" s="93">
        <v>0</v>
      </c>
      <c r="N557" s="93">
        <v>0</v>
      </c>
      <c r="O557" s="93">
        <f t="shared" ca="1" si="242"/>
        <v>0</v>
      </c>
      <c r="P557" s="93">
        <f t="shared" si="243"/>
        <v>0</v>
      </c>
      <c r="Q557" s="568"/>
      <c r="R557" s="568"/>
      <c r="S557" s="568"/>
      <c r="T557" s="568"/>
      <c r="U557" s="568"/>
      <c r="V557" s="568"/>
      <c r="W557" s="568"/>
      <c r="X557" s="568"/>
      <c r="Y557" s="568"/>
      <c r="Z557" s="568"/>
    </row>
    <row r="558" spans="1:26" ht="19.5">
      <c r="A558" s="572"/>
      <c r="B558" s="584"/>
      <c r="C558" s="538" t="s">
        <v>16</v>
      </c>
      <c r="D558" s="853" t="s">
        <v>38</v>
      </c>
      <c r="E558" s="725"/>
      <c r="F558" s="725"/>
      <c r="G558" s="577"/>
      <c r="H558" s="726"/>
      <c r="I558" s="184"/>
      <c r="J558" s="184"/>
      <c r="K558" s="163"/>
      <c r="L558" s="163"/>
      <c r="M558" s="163"/>
      <c r="N558" s="163"/>
      <c r="O558" s="163"/>
      <c r="P558" s="163"/>
      <c r="Q558" s="541"/>
      <c r="R558" s="541"/>
      <c r="S558" s="541"/>
      <c r="T558" s="541"/>
      <c r="U558" s="541"/>
      <c r="V558" s="541"/>
      <c r="W558" s="541"/>
      <c r="X558" s="541"/>
      <c r="Y558" s="541"/>
      <c r="Z558" s="541"/>
    </row>
    <row r="559" spans="1:26" ht="19.5">
      <c r="A559" s="658"/>
      <c r="B559" s="659" t="s">
        <v>234</v>
      </c>
      <c r="C559" s="660"/>
      <c r="D559" s="660"/>
      <c r="E559" s="639"/>
      <c r="F559" s="639"/>
      <c r="G559" s="640"/>
      <c r="H559" s="661" t="s">
        <v>46</v>
      </c>
      <c r="I559" s="672">
        <f t="shared" ref="I559:J559" ca="1" si="244">I576</f>
        <v>54558</v>
      </c>
      <c r="J559" s="672">
        <f t="shared" si="244"/>
        <v>0</v>
      </c>
      <c r="K559" s="643">
        <f t="shared" ref="K559:K561" ca="1" si="245">IF(I559&gt;0,J559*100/I559,0)</f>
        <v>0</v>
      </c>
      <c r="L559" s="644"/>
      <c r="M559" s="644"/>
      <c r="N559" s="644"/>
      <c r="O559" s="644"/>
      <c r="P559" s="644"/>
      <c r="Q559" s="541"/>
      <c r="R559" s="541"/>
      <c r="S559" s="541"/>
      <c r="T559" s="541"/>
      <c r="U559" s="541"/>
      <c r="V559" s="541"/>
      <c r="W559" s="541"/>
      <c r="X559" s="541"/>
      <c r="Y559" s="541"/>
      <c r="Z559" s="541"/>
    </row>
    <row r="560" spans="1:26" ht="19.5">
      <c r="A560" s="572"/>
      <c r="B560" s="584"/>
      <c r="C560" s="591" t="s">
        <v>235</v>
      </c>
      <c r="D560" s="584"/>
      <c r="E560" s="592"/>
      <c r="F560" s="592"/>
      <c r="G560" s="726"/>
      <c r="H560" s="731" t="s">
        <v>46</v>
      </c>
      <c r="I560" s="193">
        <f ca="1">IFERROR(__xludf.DUMMYFUNCTION("IMPORTRANGE(""https://docs.google.com/spreadsheets/d/1QqKyyYR6Q21VydFLVH3TRQUabQu_ym0Zz7PgGX0-kHA/edit?usp=sharing"",""แผน!HH24"")"),54558)</f>
        <v>54558</v>
      </c>
      <c r="J560" s="193">
        <f t="shared" ref="J560:J561" si="246">J562+J564+J566</f>
        <v>0</v>
      </c>
      <c r="K560" s="379">
        <f t="shared" ca="1" si="245"/>
        <v>0</v>
      </c>
      <c r="L560" s="163"/>
      <c r="M560" s="163"/>
      <c r="N560" s="163"/>
      <c r="O560" s="163"/>
      <c r="P560" s="163"/>
      <c r="Q560" s="541"/>
      <c r="R560" s="541"/>
      <c r="S560" s="541"/>
      <c r="T560" s="541"/>
      <c r="U560" s="541"/>
      <c r="V560" s="541"/>
      <c r="W560" s="541"/>
      <c r="X560" s="541"/>
      <c r="Y560" s="541"/>
      <c r="Z560" s="541"/>
    </row>
    <row r="561" spans="1:26" ht="19.5">
      <c r="A561" s="572"/>
      <c r="B561" s="584"/>
      <c r="C561" s="584"/>
      <c r="D561" s="592"/>
      <c r="E561" s="592"/>
      <c r="F561" s="592"/>
      <c r="G561" s="726"/>
      <c r="H561" s="731" t="s">
        <v>34</v>
      </c>
      <c r="I561" s="193">
        <f ca="1">IFERROR(__xludf.DUMMYFUNCTION("IMPORTRANGE(""https://docs.google.com/spreadsheets/d/1QqKyyYR6Q21VydFLVH3TRQUabQu_ym0Zz7PgGX0-kHA/edit?usp=sharing"",""แผน!HG24"")"),7999)</f>
        <v>7999</v>
      </c>
      <c r="J561" s="193">
        <f t="shared" si="246"/>
        <v>0</v>
      </c>
      <c r="K561" s="379">
        <f t="shared" ca="1" si="245"/>
        <v>0</v>
      </c>
      <c r="L561" s="163"/>
      <c r="M561" s="163"/>
      <c r="N561" s="163"/>
      <c r="O561" s="163"/>
      <c r="P561" s="163"/>
      <c r="Q561" s="541"/>
      <c r="R561" s="541"/>
      <c r="S561" s="541"/>
      <c r="T561" s="541"/>
      <c r="U561" s="541"/>
      <c r="V561" s="541"/>
      <c r="W561" s="541"/>
      <c r="X561" s="541"/>
      <c r="Y561" s="541"/>
      <c r="Z561" s="541"/>
    </row>
    <row r="562" spans="1:26" ht="18.75">
      <c r="A562" s="572"/>
      <c r="B562" s="584"/>
      <c r="C562" s="584"/>
      <c r="D562" s="592" t="s">
        <v>236</v>
      </c>
      <c r="E562" s="592"/>
      <c r="F562" s="592"/>
      <c r="G562" s="726"/>
      <c r="H562" s="728" t="s">
        <v>46</v>
      </c>
      <c r="I562" s="184"/>
      <c r="J562" s="214">
        <v>0</v>
      </c>
      <c r="K562" s="163"/>
      <c r="L562" s="163"/>
      <c r="M562" s="163"/>
      <c r="N562" s="163"/>
      <c r="O562" s="163"/>
      <c r="P562" s="163"/>
      <c r="Q562" s="541"/>
      <c r="R562" s="541"/>
      <c r="S562" s="541"/>
      <c r="T562" s="541"/>
      <c r="U562" s="541"/>
      <c r="V562" s="541"/>
      <c r="W562" s="541"/>
      <c r="X562" s="541"/>
      <c r="Y562" s="541"/>
      <c r="Z562" s="541"/>
    </row>
    <row r="563" spans="1:26" ht="18.75">
      <c r="A563" s="572"/>
      <c r="B563" s="584"/>
      <c r="C563" s="584"/>
      <c r="D563" s="584"/>
      <c r="E563" s="592"/>
      <c r="F563" s="592"/>
      <c r="G563" s="726"/>
      <c r="H563" s="728" t="s">
        <v>34</v>
      </c>
      <c r="I563" s="184"/>
      <c r="J563" s="214">
        <v>0</v>
      </c>
      <c r="K563" s="163"/>
      <c r="L563" s="163"/>
      <c r="M563" s="163"/>
      <c r="N563" s="163"/>
      <c r="O563" s="163"/>
      <c r="P563" s="163"/>
      <c r="Q563" s="541"/>
      <c r="R563" s="541"/>
      <c r="S563" s="541"/>
      <c r="T563" s="541"/>
      <c r="U563" s="541"/>
      <c r="V563" s="541"/>
      <c r="W563" s="541"/>
      <c r="X563" s="541"/>
      <c r="Y563" s="541"/>
      <c r="Z563" s="541"/>
    </row>
    <row r="564" spans="1:26" ht="18.75">
      <c r="A564" s="572"/>
      <c r="B564" s="584"/>
      <c r="C564" s="584"/>
      <c r="D564" s="592" t="s">
        <v>237</v>
      </c>
      <c r="E564" s="592"/>
      <c r="F564" s="592"/>
      <c r="G564" s="726"/>
      <c r="H564" s="728" t="s">
        <v>46</v>
      </c>
      <c r="I564" s="184"/>
      <c r="J564" s="214">
        <v>0</v>
      </c>
      <c r="K564" s="163"/>
      <c r="L564" s="163"/>
      <c r="M564" s="163"/>
      <c r="N564" s="163"/>
      <c r="O564" s="163"/>
      <c r="P564" s="163"/>
      <c r="Q564" s="541"/>
      <c r="R564" s="541"/>
      <c r="S564" s="541"/>
      <c r="T564" s="541"/>
      <c r="U564" s="541"/>
      <c r="V564" s="541"/>
      <c r="W564" s="541"/>
      <c r="X564" s="541"/>
      <c r="Y564" s="541"/>
      <c r="Z564" s="541"/>
    </row>
    <row r="565" spans="1:26" ht="18.75">
      <c r="A565" s="572"/>
      <c r="B565" s="584"/>
      <c r="C565" s="584"/>
      <c r="D565" s="592"/>
      <c r="E565" s="592"/>
      <c r="F565" s="592"/>
      <c r="G565" s="726"/>
      <c r="H565" s="728" t="s">
        <v>34</v>
      </c>
      <c r="I565" s="184"/>
      <c r="J565" s="214">
        <v>0</v>
      </c>
      <c r="K565" s="163"/>
      <c r="L565" s="163"/>
      <c r="M565" s="163"/>
      <c r="N565" s="163"/>
      <c r="O565" s="163"/>
      <c r="P565" s="163"/>
      <c r="Q565" s="541"/>
      <c r="R565" s="541"/>
      <c r="S565" s="541"/>
      <c r="T565" s="541"/>
      <c r="U565" s="541"/>
      <c r="V565" s="541"/>
      <c r="W565" s="541"/>
      <c r="X565" s="541"/>
      <c r="Y565" s="541"/>
      <c r="Z565" s="541"/>
    </row>
    <row r="566" spans="1:26" ht="18.75">
      <c r="A566" s="572"/>
      <c r="B566" s="584"/>
      <c r="C566" s="584"/>
      <c r="D566" s="592" t="s">
        <v>238</v>
      </c>
      <c r="E566" s="592"/>
      <c r="F566" s="592"/>
      <c r="G566" s="726"/>
      <c r="H566" s="728" t="s">
        <v>46</v>
      </c>
      <c r="I566" s="184"/>
      <c r="J566" s="214">
        <v>0</v>
      </c>
      <c r="K566" s="163"/>
      <c r="L566" s="163"/>
      <c r="M566" s="163"/>
      <c r="N566" s="163"/>
      <c r="O566" s="163"/>
      <c r="P566" s="163"/>
      <c r="Q566" s="541"/>
      <c r="R566" s="541"/>
      <c r="S566" s="541"/>
      <c r="T566" s="541"/>
      <c r="U566" s="541"/>
      <c r="V566" s="541"/>
      <c r="W566" s="541"/>
      <c r="X566" s="541"/>
      <c r="Y566" s="541"/>
      <c r="Z566" s="541"/>
    </row>
    <row r="567" spans="1:26" ht="18.75">
      <c r="A567" s="572"/>
      <c r="B567" s="584"/>
      <c r="C567" s="584"/>
      <c r="D567" s="592"/>
      <c r="E567" s="592"/>
      <c r="F567" s="592"/>
      <c r="G567" s="726"/>
      <c r="H567" s="728" t="s">
        <v>34</v>
      </c>
      <c r="I567" s="184"/>
      <c r="J567" s="214">
        <v>0</v>
      </c>
      <c r="K567" s="163"/>
      <c r="L567" s="163"/>
      <c r="M567" s="163"/>
      <c r="N567" s="163"/>
      <c r="O567" s="163"/>
      <c r="P567" s="163"/>
      <c r="Q567" s="541"/>
      <c r="R567" s="541"/>
      <c r="S567" s="541"/>
      <c r="T567" s="541"/>
      <c r="U567" s="541"/>
      <c r="V567" s="541"/>
      <c r="W567" s="541"/>
      <c r="X567" s="541"/>
      <c r="Y567" s="541"/>
      <c r="Z567" s="541"/>
    </row>
    <row r="568" spans="1:26" ht="19.5">
      <c r="A568" s="572"/>
      <c r="B568" s="584"/>
      <c r="C568" s="591" t="s">
        <v>239</v>
      </c>
      <c r="D568" s="592"/>
      <c r="E568" s="592"/>
      <c r="F568" s="592"/>
      <c r="G568" s="726"/>
      <c r="H568" s="731" t="s">
        <v>46</v>
      </c>
      <c r="I568" s="193">
        <f ca="1">IFERROR(__xludf.DUMMYFUNCTION("IMPORTRANGE(""https://docs.google.com/spreadsheets/d/1QqKyyYR6Q21VydFLVH3TRQUabQu_ym0Zz7PgGX0-kHA/edit?usp=sharing"",""แผน!HH24"")"),54558)</f>
        <v>54558</v>
      </c>
      <c r="J568" s="647">
        <f t="shared" ref="J568:J569" si="247">J570+J572+J574</f>
        <v>0</v>
      </c>
      <c r="K568" s="379">
        <f t="shared" ref="K568:K569" ca="1" si="248">IF(I568&gt;0,J568*100/I568,0)</f>
        <v>0</v>
      </c>
      <c r="L568" s="163"/>
      <c r="M568" s="163"/>
      <c r="N568" s="163"/>
      <c r="O568" s="163"/>
      <c r="P568" s="163"/>
      <c r="Q568" s="541"/>
      <c r="R568" s="541"/>
      <c r="S568" s="541"/>
      <c r="T568" s="541"/>
      <c r="U568" s="541"/>
      <c r="V568" s="541"/>
      <c r="W568" s="541"/>
      <c r="X568" s="541"/>
      <c r="Y568" s="541"/>
      <c r="Z568" s="541"/>
    </row>
    <row r="569" spans="1:26" ht="19.5">
      <c r="A569" s="572"/>
      <c r="B569" s="584"/>
      <c r="C569" s="584"/>
      <c r="D569" s="584"/>
      <c r="E569" s="592"/>
      <c r="F569" s="592"/>
      <c r="G569" s="726"/>
      <c r="H569" s="731" t="s">
        <v>34</v>
      </c>
      <c r="I569" s="193">
        <f ca="1">IFERROR(__xludf.DUMMYFUNCTION("IMPORTRANGE(""https://docs.google.com/spreadsheets/d/1QqKyyYR6Q21VydFLVH3TRQUabQu_ym0Zz7PgGX0-kHA/edit?usp=sharing"",""แผน!HG24"")"),7999)</f>
        <v>7999</v>
      </c>
      <c r="J569" s="647">
        <f t="shared" si="247"/>
        <v>0</v>
      </c>
      <c r="K569" s="379">
        <f t="shared" ca="1" si="248"/>
        <v>0</v>
      </c>
      <c r="L569" s="163"/>
      <c r="M569" s="163"/>
      <c r="N569" s="163"/>
      <c r="O569" s="163"/>
      <c r="P569" s="163"/>
      <c r="Q569" s="541"/>
      <c r="R569" s="541"/>
      <c r="S569" s="541"/>
      <c r="T569" s="541"/>
      <c r="U569" s="541"/>
      <c r="V569" s="541"/>
      <c r="W569" s="541"/>
      <c r="X569" s="541"/>
      <c r="Y569" s="541"/>
      <c r="Z569" s="541"/>
    </row>
    <row r="570" spans="1:26" ht="18.75">
      <c r="A570" s="572"/>
      <c r="B570" s="584"/>
      <c r="C570" s="584"/>
      <c r="D570" s="592" t="s">
        <v>240</v>
      </c>
      <c r="E570" s="584"/>
      <c r="F570" s="592"/>
      <c r="G570" s="726"/>
      <c r="H570" s="728" t="s">
        <v>46</v>
      </c>
      <c r="I570" s="184"/>
      <c r="J570" s="214">
        <v>0</v>
      </c>
      <c r="K570" s="163"/>
      <c r="L570" s="163"/>
      <c r="M570" s="163"/>
      <c r="N570" s="163"/>
      <c r="O570" s="163"/>
      <c r="P570" s="163"/>
      <c r="Q570" s="541"/>
      <c r="R570" s="541"/>
      <c r="S570" s="541"/>
      <c r="T570" s="541"/>
      <c r="U570" s="541"/>
      <c r="V570" s="541"/>
      <c r="W570" s="541"/>
      <c r="X570" s="541"/>
      <c r="Y570" s="541"/>
      <c r="Z570" s="541"/>
    </row>
    <row r="571" spans="1:26" ht="18.75">
      <c r="A571" s="572"/>
      <c r="B571" s="584"/>
      <c r="C571" s="584"/>
      <c r="D571" s="584"/>
      <c r="E571" s="592"/>
      <c r="F571" s="592"/>
      <c r="G571" s="726"/>
      <c r="H571" s="728" t="s">
        <v>34</v>
      </c>
      <c r="I571" s="184"/>
      <c r="J571" s="214">
        <v>0</v>
      </c>
      <c r="K571" s="163"/>
      <c r="L571" s="163"/>
      <c r="M571" s="163"/>
      <c r="N571" s="163"/>
      <c r="O571" s="163"/>
      <c r="P571" s="163"/>
      <c r="Q571" s="541"/>
      <c r="R571" s="541"/>
      <c r="S571" s="541"/>
      <c r="T571" s="541"/>
      <c r="U571" s="541"/>
      <c r="V571" s="541"/>
      <c r="W571" s="541"/>
      <c r="X571" s="541"/>
      <c r="Y571" s="541"/>
      <c r="Z571" s="541"/>
    </row>
    <row r="572" spans="1:26" ht="18.75">
      <c r="A572" s="572"/>
      <c r="B572" s="584"/>
      <c r="C572" s="584"/>
      <c r="D572" s="592" t="s">
        <v>241</v>
      </c>
      <c r="E572" s="592"/>
      <c r="F572" s="592"/>
      <c r="G572" s="726"/>
      <c r="H572" s="728" t="s">
        <v>46</v>
      </c>
      <c r="I572" s="184"/>
      <c r="J572" s="214">
        <v>0</v>
      </c>
      <c r="K572" s="163"/>
      <c r="L572" s="163"/>
      <c r="M572" s="163"/>
      <c r="N572" s="163"/>
      <c r="O572" s="163"/>
      <c r="P572" s="163"/>
      <c r="Q572" s="541"/>
      <c r="R572" s="541"/>
      <c r="S572" s="541"/>
      <c r="T572" s="541"/>
      <c r="U572" s="541"/>
      <c r="V572" s="541"/>
      <c r="W572" s="541"/>
      <c r="X572" s="541"/>
      <c r="Y572" s="541"/>
      <c r="Z572" s="541"/>
    </row>
    <row r="573" spans="1:26" ht="18.75">
      <c r="A573" s="572"/>
      <c r="B573" s="584"/>
      <c r="C573" s="584"/>
      <c r="D573" s="592"/>
      <c r="E573" s="592"/>
      <c r="F573" s="592"/>
      <c r="G573" s="726"/>
      <c r="H573" s="728" t="s">
        <v>34</v>
      </c>
      <c r="I573" s="184"/>
      <c r="J573" s="214">
        <v>0</v>
      </c>
      <c r="K573" s="163"/>
      <c r="L573" s="163"/>
      <c r="M573" s="163"/>
      <c r="N573" s="163"/>
      <c r="O573" s="163"/>
      <c r="P573" s="163"/>
      <c r="Q573" s="541"/>
      <c r="R573" s="541"/>
      <c r="S573" s="541"/>
      <c r="T573" s="541"/>
      <c r="U573" s="541"/>
      <c r="V573" s="541"/>
      <c r="W573" s="541"/>
      <c r="X573" s="541"/>
      <c r="Y573" s="541"/>
      <c r="Z573" s="541"/>
    </row>
    <row r="574" spans="1:26" ht="18.75">
      <c r="A574" s="572"/>
      <c r="B574" s="584"/>
      <c r="C574" s="584"/>
      <c r="D574" s="592" t="s">
        <v>242</v>
      </c>
      <c r="E574" s="592"/>
      <c r="F574" s="592"/>
      <c r="G574" s="726"/>
      <c r="H574" s="728" t="s">
        <v>46</v>
      </c>
      <c r="I574" s="184"/>
      <c r="J574" s="214">
        <v>0</v>
      </c>
      <c r="K574" s="163"/>
      <c r="L574" s="163"/>
      <c r="M574" s="163"/>
      <c r="N574" s="163"/>
      <c r="O574" s="163"/>
      <c r="P574" s="163"/>
      <c r="Q574" s="541"/>
      <c r="R574" s="541"/>
      <c r="S574" s="541"/>
      <c r="T574" s="541"/>
      <c r="U574" s="541"/>
      <c r="V574" s="541"/>
      <c r="W574" s="541"/>
      <c r="X574" s="541"/>
      <c r="Y574" s="541"/>
      <c r="Z574" s="541"/>
    </row>
    <row r="575" spans="1:26" ht="18.75">
      <c r="A575" s="572"/>
      <c r="B575" s="584"/>
      <c r="C575" s="584"/>
      <c r="D575" s="584"/>
      <c r="E575" s="592"/>
      <c r="F575" s="592"/>
      <c r="G575" s="726"/>
      <c r="H575" s="728" t="s">
        <v>34</v>
      </c>
      <c r="I575" s="184"/>
      <c r="J575" s="214">
        <v>0</v>
      </c>
      <c r="K575" s="163"/>
      <c r="L575" s="163"/>
      <c r="M575" s="163"/>
      <c r="N575" s="163"/>
      <c r="O575" s="163"/>
      <c r="P575" s="163"/>
      <c r="Q575" s="541"/>
      <c r="R575" s="541"/>
      <c r="S575" s="541"/>
      <c r="T575" s="541"/>
      <c r="U575" s="541"/>
      <c r="V575" s="541"/>
      <c r="W575" s="541"/>
      <c r="X575" s="541"/>
      <c r="Y575" s="541"/>
      <c r="Z575" s="541"/>
    </row>
    <row r="576" spans="1:26" ht="19.5">
      <c r="A576" s="572"/>
      <c r="B576" s="584"/>
      <c r="C576" s="591" t="s">
        <v>243</v>
      </c>
      <c r="D576" s="584"/>
      <c r="E576" s="584"/>
      <c r="F576" s="592"/>
      <c r="G576" s="726"/>
      <c r="H576" s="731" t="s">
        <v>46</v>
      </c>
      <c r="I576" s="193">
        <f ca="1">IFERROR(__xludf.DUMMYFUNCTION("IMPORTRANGE(""https://docs.google.com/spreadsheets/d/1QqKyyYR6Q21VydFLVH3TRQUabQu_ym0Zz7PgGX0-kHA/edit?usp=sharing"",""แผน!HH24"")"),54558)</f>
        <v>54558</v>
      </c>
      <c r="J576" s="647">
        <f t="shared" ref="J576:J577" si="249">J578+J580+J582+J588+J590</f>
        <v>0</v>
      </c>
      <c r="K576" s="379">
        <f t="shared" ref="K576:K577" ca="1" si="250">IF(I576&gt;0,J576*100/I576,0)</f>
        <v>0</v>
      </c>
      <c r="L576" s="163"/>
      <c r="M576" s="163"/>
      <c r="N576" s="163"/>
      <c r="O576" s="163"/>
      <c r="P576" s="163"/>
      <c r="Q576" s="541"/>
      <c r="R576" s="541"/>
      <c r="S576" s="541"/>
      <c r="T576" s="541"/>
      <c r="U576" s="541"/>
      <c r="V576" s="541"/>
      <c r="W576" s="541"/>
      <c r="X576" s="541"/>
      <c r="Y576" s="541"/>
      <c r="Z576" s="541"/>
    </row>
    <row r="577" spans="1:26" ht="19.5">
      <c r="A577" s="572"/>
      <c r="B577" s="584"/>
      <c r="C577" s="584"/>
      <c r="D577" s="584"/>
      <c r="E577" s="592"/>
      <c r="F577" s="592"/>
      <c r="G577" s="726"/>
      <c r="H577" s="731" t="s">
        <v>34</v>
      </c>
      <c r="I577" s="193">
        <f ca="1">IFERROR(__xludf.DUMMYFUNCTION("IMPORTRANGE(""https://docs.google.com/spreadsheets/d/1QqKyyYR6Q21VydFLVH3TRQUabQu_ym0Zz7PgGX0-kHA/edit?usp=sharing"",""แผน!HG24"")"),7999)</f>
        <v>7999</v>
      </c>
      <c r="J577" s="647">
        <f t="shared" si="249"/>
        <v>0</v>
      </c>
      <c r="K577" s="379">
        <f t="shared" ca="1" si="250"/>
        <v>0</v>
      </c>
      <c r="L577" s="163"/>
      <c r="M577" s="163"/>
      <c r="N577" s="163"/>
      <c r="O577" s="163"/>
      <c r="P577" s="163"/>
      <c r="Q577" s="541"/>
      <c r="R577" s="541"/>
      <c r="S577" s="541"/>
      <c r="T577" s="541"/>
      <c r="U577" s="541"/>
      <c r="V577" s="541"/>
      <c r="W577" s="541"/>
      <c r="X577" s="541"/>
      <c r="Y577" s="541"/>
      <c r="Z577" s="541"/>
    </row>
    <row r="578" spans="1:26" ht="18.75">
      <c r="A578" s="572"/>
      <c r="B578" s="584"/>
      <c r="C578" s="584"/>
      <c r="D578" s="592" t="s">
        <v>244</v>
      </c>
      <c r="E578" s="592"/>
      <c r="F578" s="592"/>
      <c r="G578" s="726"/>
      <c r="H578" s="728" t="s">
        <v>46</v>
      </c>
      <c r="I578" s="184"/>
      <c r="J578" s="214">
        <v>0</v>
      </c>
      <c r="K578" s="163"/>
      <c r="L578" s="163"/>
      <c r="M578" s="163"/>
      <c r="N578" s="163"/>
      <c r="O578" s="163"/>
      <c r="P578" s="163"/>
      <c r="Q578" s="541"/>
      <c r="R578" s="541"/>
      <c r="S578" s="541"/>
      <c r="T578" s="541"/>
      <c r="U578" s="541"/>
      <c r="V578" s="541"/>
      <c r="W578" s="541"/>
      <c r="X578" s="541"/>
      <c r="Y578" s="541"/>
      <c r="Z578" s="541"/>
    </row>
    <row r="579" spans="1:26" ht="18.75">
      <c r="A579" s="572"/>
      <c r="B579" s="584"/>
      <c r="C579" s="584"/>
      <c r="D579" s="584"/>
      <c r="E579" s="592"/>
      <c r="F579" s="592"/>
      <c r="G579" s="726"/>
      <c r="H579" s="728" t="s">
        <v>34</v>
      </c>
      <c r="I579" s="184"/>
      <c r="J579" s="214">
        <v>0</v>
      </c>
      <c r="K579" s="163"/>
      <c r="L579" s="163"/>
      <c r="M579" s="163"/>
      <c r="N579" s="163"/>
      <c r="O579" s="163"/>
      <c r="P579" s="163"/>
      <c r="Q579" s="541"/>
      <c r="R579" s="541"/>
      <c r="S579" s="541"/>
      <c r="T579" s="541"/>
      <c r="U579" s="541"/>
      <c r="V579" s="541"/>
      <c r="W579" s="541"/>
      <c r="X579" s="541"/>
      <c r="Y579" s="541"/>
      <c r="Z579" s="541"/>
    </row>
    <row r="580" spans="1:26" ht="18.75">
      <c r="A580" s="572"/>
      <c r="B580" s="584"/>
      <c r="C580" s="584"/>
      <c r="D580" s="592" t="s">
        <v>245</v>
      </c>
      <c r="E580" s="592"/>
      <c r="F580" s="592"/>
      <c r="G580" s="726"/>
      <c r="H580" s="728" t="s">
        <v>46</v>
      </c>
      <c r="I580" s="184"/>
      <c r="J580" s="214">
        <v>0</v>
      </c>
      <c r="K580" s="163"/>
      <c r="L580" s="163"/>
      <c r="M580" s="163"/>
      <c r="N580" s="163"/>
      <c r="O580" s="163"/>
      <c r="P580" s="163"/>
      <c r="Q580" s="541"/>
      <c r="R580" s="541"/>
      <c r="S580" s="541"/>
      <c r="T580" s="541"/>
      <c r="U580" s="541"/>
      <c r="V580" s="541"/>
      <c r="W580" s="541"/>
      <c r="X580" s="541"/>
      <c r="Y580" s="541"/>
      <c r="Z580" s="541"/>
    </row>
    <row r="581" spans="1:26" ht="18.75">
      <c r="A581" s="572"/>
      <c r="B581" s="584"/>
      <c r="C581" s="584"/>
      <c r="D581" s="584"/>
      <c r="E581" s="592"/>
      <c r="F581" s="592"/>
      <c r="G581" s="726"/>
      <c r="H581" s="728" t="s">
        <v>34</v>
      </c>
      <c r="I581" s="184"/>
      <c r="J581" s="214">
        <v>0</v>
      </c>
      <c r="K581" s="163"/>
      <c r="L581" s="163"/>
      <c r="M581" s="163"/>
      <c r="N581" s="163"/>
      <c r="O581" s="163"/>
      <c r="P581" s="163"/>
      <c r="Q581" s="541"/>
      <c r="R581" s="541"/>
      <c r="S581" s="541"/>
      <c r="T581" s="541"/>
      <c r="U581" s="541"/>
      <c r="V581" s="541"/>
      <c r="W581" s="541"/>
      <c r="X581" s="541"/>
      <c r="Y581" s="541"/>
      <c r="Z581" s="541"/>
    </row>
    <row r="582" spans="1:26" ht="19.5">
      <c r="A582" s="572"/>
      <c r="B582" s="584"/>
      <c r="C582" s="584"/>
      <c r="D582" s="592" t="s">
        <v>246</v>
      </c>
      <c r="E582" s="592"/>
      <c r="F582" s="592"/>
      <c r="G582" s="726"/>
      <c r="H582" s="728" t="s">
        <v>46</v>
      </c>
      <c r="I582" s="184"/>
      <c r="J582" s="647">
        <f t="shared" ref="J582:J583" si="251">J584+J586</f>
        <v>0</v>
      </c>
      <c r="K582" s="379"/>
      <c r="L582" s="163"/>
      <c r="M582" s="163"/>
      <c r="N582" s="163"/>
      <c r="O582" s="163"/>
      <c r="P582" s="163"/>
      <c r="Q582" s="541"/>
      <c r="R582" s="541"/>
      <c r="S582" s="541"/>
      <c r="T582" s="541"/>
      <c r="U582" s="541"/>
      <c r="V582" s="541"/>
      <c r="W582" s="541"/>
      <c r="X582" s="541"/>
      <c r="Y582" s="541"/>
      <c r="Z582" s="541"/>
    </row>
    <row r="583" spans="1:26" ht="19.5">
      <c r="A583" s="572"/>
      <c r="B583" s="584"/>
      <c r="C583" s="584"/>
      <c r="D583" s="584"/>
      <c r="E583" s="592"/>
      <c r="F583" s="592"/>
      <c r="G583" s="726"/>
      <c r="H583" s="728" t="s">
        <v>34</v>
      </c>
      <c r="I583" s="184"/>
      <c r="J583" s="647">
        <f t="shared" si="251"/>
        <v>0</v>
      </c>
      <c r="K583" s="379"/>
      <c r="L583" s="163"/>
      <c r="M583" s="163"/>
      <c r="N583" s="163"/>
      <c r="O583" s="163"/>
      <c r="P583" s="163"/>
      <c r="Q583" s="541"/>
      <c r="R583" s="541"/>
      <c r="S583" s="541"/>
      <c r="T583" s="541"/>
      <c r="U583" s="541"/>
      <c r="V583" s="541"/>
      <c r="W583" s="541"/>
      <c r="X583" s="541"/>
      <c r="Y583" s="541"/>
      <c r="Z583" s="541"/>
    </row>
    <row r="584" spans="1:26" ht="18.75">
      <c r="A584" s="572"/>
      <c r="B584" s="584"/>
      <c r="C584" s="584"/>
      <c r="D584" s="584"/>
      <c r="E584" s="592" t="s">
        <v>247</v>
      </c>
      <c r="F584" s="592"/>
      <c r="G584" s="726"/>
      <c r="H584" s="728" t="s">
        <v>46</v>
      </c>
      <c r="I584" s="184"/>
      <c r="J584" s="214">
        <v>0</v>
      </c>
      <c r="K584" s="163"/>
      <c r="L584" s="163"/>
      <c r="M584" s="163"/>
      <c r="N584" s="163"/>
      <c r="O584" s="163"/>
      <c r="P584" s="163"/>
      <c r="Q584" s="541"/>
      <c r="R584" s="541"/>
      <c r="S584" s="541"/>
      <c r="T584" s="541"/>
      <c r="U584" s="541"/>
      <c r="V584" s="541"/>
      <c r="W584" s="541"/>
      <c r="X584" s="541"/>
      <c r="Y584" s="541"/>
      <c r="Z584" s="541"/>
    </row>
    <row r="585" spans="1:26" ht="18.75">
      <c r="A585" s="572"/>
      <c r="B585" s="584"/>
      <c r="C585" s="584"/>
      <c r="D585" s="584"/>
      <c r="E585" s="592"/>
      <c r="F585" s="592"/>
      <c r="G585" s="726"/>
      <c r="H585" s="728" t="s">
        <v>34</v>
      </c>
      <c r="I585" s="184"/>
      <c r="J585" s="214">
        <v>0</v>
      </c>
      <c r="K585" s="163"/>
      <c r="L585" s="163"/>
      <c r="M585" s="163"/>
      <c r="N585" s="163"/>
      <c r="O585" s="163"/>
      <c r="P585" s="163"/>
      <c r="Q585" s="541"/>
      <c r="R585" s="541"/>
      <c r="S585" s="541"/>
      <c r="T585" s="541"/>
      <c r="U585" s="541"/>
      <c r="V585" s="541"/>
      <c r="W585" s="541"/>
      <c r="X585" s="541"/>
      <c r="Y585" s="541"/>
      <c r="Z585" s="541"/>
    </row>
    <row r="586" spans="1:26" ht="18.75">
      <c r="A586" s="572"/>
      <c r="B586" s="584"/>
      <c r="C586" s="584"/>
      <c r="D586" s="584"/>
      <c r="E586" s="592" t="s">
        <v>248</v>
      </c>
      <c r="F586" s="592"/>
      <c r="G586" s="726"/>
      <c r="H586" s="728" t="s">
        <v>46</v>
      </c>
      <c r="I586" s="184"/>
      <c r="J586" s="214">
        <v>0</v>
      </c>
      <c r="K586" s="163"/>
      <c r="L586" s="163"/>
      <c r="M586" s="163"/>
      <c r="N586" s="163"/>
      <c r="O586" s="163"/>
      <c r="P586" s="163"/>
      <c r="Q586" s="541"/>
      <c r="R586" s="541"/>
      <c r="S586" s="541"/>
      <c r="T586" s="541"/>
      <c r="U586" s="541"/>
      <c r="V586" s="541"/>
      <c r="W586" s="541"/>
      <c r="X586" s="541"/>
      <c r="Y586" s="541"/>
      <c r="Z586" s="541"/>
    </row>
    <row r="587" spans="1:26" ht="18.75">
      <c r="A587" s="572"/>
      <c r="B587" s="584"/>
      <c r="C587" s="584"/>
      <c r="D587" s="584"/>
      <c r="E587" s="584"/>
      <c r="F587" s="592"/>
      <c r="G587" s="726"/>
      <c r="H587" s="728" t="s">
        <v>34</v>
      </c>
      <c r="I587" s="184"/>
      <c r="J587" s="214">
        <v>0</v>
      </c>
      <c r="K587" s="163"/>
      <c r="L587" s="163"/>
      <c r="M587" s="163"/>
      <c r="N587" s="163"/>
      <c r="O587" s="163"/>
      <c r="P587" s="163"/>
      <c r="Q587" s="541"/>
      <c r="R587" s="541"/>
      <c r="S587" s="541"/>
      <c r="T587" s="541"/>
      <c r="U587" s="541"/>
      <c r="V587" s="541"/>
      <c r="W587" s="541"/>
      <c r="X587" s="541"/>
      <c r="Y587" s="541"/>
      <c r="Z587" s="541"/>
    </row>
    <row r="588" spans="1:26" ht="18.75">
      <c r="A588" s="572"/>
      <c r="B588" s="584"/>
      <c r="C588" s="584"/>
      <c r="D588" s="592" t="s">
        <v>249</v>
      </c>
      <c r="E588" s="592"/>
      <c r="F588" s="592"/>
      <c r="G588" s="726"/>
      <c r="H588" s="728" t="s">
        <v>46</v>
      </c>
      <c r="I588" s="184"/>
      <c r="J588" s="214">
        <v>0</v>
      </c>
      <c r="K588" s="163"/>
      <c r="L588" s="163"/>
      <c r="M588" s="163"/>
      <c r="N588" s="163"/>
      <c r="O588" s="163"/>
      <c r="P588" s="163"/>
      <c r="Q588" s="541"/>
      <c r="R588" s="541"/>
      <c r="S588" s="541"/>
      <c r="T588" s="541"/>
      <c r="U588" s="541"/>
      <c r="V588" s="541"/>
      <c r="W588" s="541"/>
      <c r="X588" s="541"/>
      <c r="Y588" s="541"/>
      <c r="Z588" s="541"/>
    </row>
    <row r="589" spans="1:26" ht="18.75">
      <c r="A589" s="572"/>
      <c r="B589" s="584"/>
      <c r="C589" s="584"/>
      <c r="D589" s="584"/>
      <c r="E589" s="584"/>
      <c r="F589" s="592"/>
      <c r="G589" s="726"/>
      <c r="H589" s="728" t="s">
        <v>34</v>
      </c>
      <c r="I589" s="184"/>
      <c r="J589" s="214">
        <v>0</v>
      </c>
      <c r="K589" s="163"/>
      <c r="L589" s="163"/>
      <c r="M589" s="163"/>
      <c r="N589" s="163"/>
      <c r="O589" s="163"/>
      <c r="P589" s="163"/>
      <c r="Q589" s="541"/>
      <c r="R589" s="541"/>
      <c r="S589" s="541"/>
      <c r="T589" s="541"/>
      <c r="U589" s="541"/>
      <c r="V589" s="541"/>
      <c r="W589" s="541"/>
      <c r="X589" s="541"/>
      <c r="Y589" s="541"/>
      <c r="Z589" s="541"/>
    </row>
    <row r="590" spans="1:26" ht="18.75">
      <c r="A590" s="572"/>
      <c r="B590" s="584"/>
      <c r="C590" s="584"/>
      <c r="D590" s="592" t="s">
        <v>250</v>
      </c>
      <c r="E590" s="592"/>
      <c r="F590" s="592"/>
      <c r="G590" s="726"/>
      <c r="H590" s="728" t="s">
        <v>46</v>
      </c>
      <c r="I590" s="184"/>
      <c r="J590" s="214">
        <v>0</v>
      </c>
      <c r="K590" s="163"/>
      <c r="L590" s="163"/>
      <c r="M590" s="163"/>
      <c r="N590" s="163"/>
      <c r="O590" s="163"/>
      <c r="P590" s="163"/>
      <c r="Q590" s="541"/>
      <c r="R590" s="541"/>
      <c r="S590" s="541"/>
      <c r="T590" s="541"/>
      <c r="U590" s="541"/>
      <c r="V590" s="541"/>
      <c r="W590" s="541"/>
      <c r="X590" s="541"/>
      <c r="Y590" s="541"/>
      <c r="Z590" s="541"/>
    </row>
    <row r="591" spans="1:26" ht="18.75">
      <c r="A591" s="662"/>
      <c r="B591" s="663"/>
      <c r="C591" s="663"/>
      <c r="D591" s="663"/>
      <c r="E591" s="541"/>
      <c r="F591" s="541"/>
      <c r="G591" s="664"/>
      <c r="H591" s="665" t="s">
        <v>34</v>
      </c>
      <c r="I591" s="666"/>
      <c r="J591" s="667">
        <v>0</v>
      </c>
      <c r="K591" s="668"/>
      <c r="L591" s="668"/>
      <c r="M591" s="668"/>
      <c r="N591" s="668"/>
      <c r="O591" s="668"/>
      <c r="P591" s="668"/>
      <c r="Q591" s="541"/>
      <c r="R591" s="541"/>
      <c r="S591" s="541"/>
      <c r="T591" s="541"/>
      <c r="U591" s="541"/>
      <c r="V591" s="541"/>
      <c r="W591" s="541"/>
      <c r="X591" s="541"/>
      <c r="Y591" s="541"/>
      <c r="Z591" s="541"/>
    </row>
    <row r="592" spans="1:26" ht="19.5">
      <c r="A592" s="658"/>
      <c r="B592" s="659" t="s">
        <v>251</v>
      </c>
      <c r="C592" s="660"/>
      <c r="D592" s="660"/>
      <c r="E592" s="639"/>
      <c r="F592" s="639"/>
      <c r="G592" s="640"/>
      <c r="H592" s="661" t="s">
        <v>46</v>
      </c>
      <c r="I592" s="672">
        <f t="shared" ref="I592:J592" ca="1" si="252">I593</f>
        <v>1400</v>
      </c>
      <c r="J592" s="672">
        <f t="shared" si="252"/>
        <v>0</v>
      </c>
      <c r="K592" s="643">
        <f t="shared" ref="K592:K594" ca="1" si="253">IF(I592&gt;0,J592*100/I592,0)</f>
        <v>0</v>
      </c>
      <c r="L592" s="644"/>
      <c r="M592" s="644"/>
      <c r="N592" s="644"/>
      <c r="O592" s="644"/>
      <c r="P592" s="644"/>
      <c r="Q592" s="541"/>
      <c r="R592" s="541"/>
      <c r="S592" s="541"/>
      <c r="T592" s="541"/>
      <c r="U592" s="541"/>
      <c r="V592" s="541"/>
      <c r="W592" s="541"/>
      <c r="X592" s="541"/>
      <c r="Y592" s="541"/>
      <c r="Z592" s="541"/>
    </row>
    <row r="593" spans="1:26" ht="19.5">
      <c r="A593" s="572"/>
      <c r="B593" s="584"/>
      <c r="C593" s="591" t="s">
        <v>252</v>
      </c>
      <c r="D593" s="584"/>
      <c r="E593" s="584"/>
      <c r="F593" s="592"/>
      <c r="G593" s="726"/>
      <c r="H593" s="731" t="s">
        <v>46</v>
      </c>
      <c r="I593" s="193">
        <f ca="1">IFERROR(__xludf.DUMMYFUNCTION("IMPORTRANGE(""https://docs.google.com/spreadsheets/d/1QqKyyYR6Q21VydFLVH3TRQUabQu_ym0Zz7PgGX0-kHA/edit?usp=sharing"",""แผน!HJ24"")"),1400)</f>
        <v>1400</v>
      </c>
      <c r="J593" s="193">
        <f t="shared" ref="J593:J594" si="254">J595+J603+J609</f>
        <v>0</v>
      </c>
      <c r="K593" s="379">
        <f t="shared" ca="1" si="253"/>
        <v>0</v>
      </c>
      <c r="L593" s="163"/>
      <c r="M593" s="163"/>
      <c r="N593" s="163"/>
      <c r="O593" s="163"/>
      <c r="P593" s="163"/>
      <c r="Q593" s="541"/>
      <c r="R593" s="541"/>
      <c r="S593" s="541"/>
      <c r="T593" s="541"/>
      <c r="U593" s="541"/>
      <c r="V593" s="541"/>
      <c r="W593" s="541"/>
      <c r="X593" s="541"/>
      <c r="Y593" s="541"/>
      <c r="Z593" s="541"/>
    </row>
    <row r="594" spans="1:26" ht="19.5">
      <c r="A594" s="572"/>
      <c r="B594" s="584"/>
      <c r="C594" s="584"/>
      <c r="D594" s="584"/>
      <c r="E594" s="592"/>
      <c r="F594" s="592"/>
      <c r="G594" s="726"/>
      <c r="H594" s="731" t="s">
        <v>34</v>
      </c>
      <c r="I594" s="193">
        <f ca="1">IFERROR(__xludf.DUMMYFUNCTION("IMPORTRANGE(""https://docs.google.com/spreadsheets/d/1QqKyyYR6Q21VydFLVH3TRQUabQu_ym0Zz7PgGX0-kHA/edit?usp=sharing"",""แผน!HI24"")"),313)</f>
        <v>313</v>
      </c>
      <c r="J594" s="193">
        <f t="shared" si="254"/>
        <v>0</v>
      </c>
      <c r="K594" s="379">
        <f t="shared" ca="1" si="253"/>
        <v>0</v>
      </c>
      <c r="L594" s="163"/>
      <c r="M594" s="163"/>
      <c r="N594" s="163"/>
      <c r="O594" s="163"/>
      <c r="P594" s="163"/>
      <c r="Q594" s="541"/>
      <c r="R594" s="541"/>
      <c r="S594" s="541"/>
      <c r="T594" s="541"/>
      <c r="U594" s="541"/>
      <c r="V594" s="541"/>
      <c r="W594" s="541"/>
      <c r="X594" s="541"/>
      <c r="Y594" s="541"/>
      <c r="Z594" s="541"/>
    </row>
    <row r="595" spans="1:26" ht="18.75">
      <c r="A595" s="572"/>
      <c r="B595" s="584"/>
      <c r="C595" s="584" t="s">
        <v>253</v>
      </c>
      <c r="D595" s="584"/>
      <c r="E595" s="584"/>
      <c r="F595" s="592"/>
      <c r="G595" s="726"/>
      <c r="H595" s="728" t="s">
        <v>46</v>
      </c>
      <c r="I595" s="184"/>
      <c r="J595" s="184">
        <f t="shared" ref="J595:J596" si="255">J597+J599</f>
        <v>0</v>
      </c>
      <c r="K595" s="163"/>
      <c r="L595" s="163"/>
      <c r="M595" s="163"/>
      <c r="N595" s="163"/>
      <c r="O595" s="163"/>
      <c r="P595" s="163"/>
      <c r="Q595" s="541"/>
      <c r="R595" s="541"/>
      <c r="S595" s="541"/>
      <c r="T595" s="541"/>
      <c r="U595" s="541"/>
      <c r="V595" s="541"/>
      <c r="W595" s="541"/>
      <c r="X595" s="541"/>
      <c r="Y595" s="541"/>
      <c r="Z595" s="541"/>
    </row>
    <row r="596" spans="1:26" ht="18.75">
      <c r="A596" s="572"/>
      <c r="B596" s="584"/>
      <c r="C596" s="584"/>
      <c r="D596" s="584"/>
      <c r="E596" s="592"/>
      <c r="F596" s="592"/>
      <c r="G596" s="726"/>
      <c r="H596" s="728" t="s">
        <v>34</v>
      </c>
      <c r="I596" s="184"/>
      <c r="J596" s="184">
        <f t="shared" si="255"/>
        <v>0</v>
      </c>
      <c r="K596" s="163"/>
      <c r="L596" s="163"/>
      <c r="M596" s="163"/>
      <c r="N596" s="163"/>
      <c r="O596" s="163"/>
      <c r="P596" s="163"/>
      <c r="Q596" s="541"/>
      <c r="R596" s="541"/>
      <c r="S596" s="541"/>
      <c r="T596" s="541"/>
      <c r="U596" s="541"/>
      <c r="V596" s="541"/>
      <c r="W596" s="541"/>
      <c r="X596" s="541"/>
      <c r="Y596" s="541"/>
      <c r="Z596" s="541"/>
    </row>
    <row r="597" spans="1:26" ht="18.75">
      <c r="A597" s="572"/>
      <c r="B597" s="584"/>
      <c r="C597" s="584"/>
      <c r="D597" s="710" t="s">
        <v>254</v>
      </c>
      <c r="E597" s="592"/>
      <c r="F597" s="592"/>
      <c r="G597" s="726"/>
      <c r="H597" s="728" t="s">
        <v>46</v>
      </c>
      <c r="I597" s="184"/>
      <c r="J597" s="214">
        <v>0</v>
      </c>
      <c r="K597" s="163"/>
      <c r="L597" s="163"/>
      <c r="M597" s="163"/>
      <c r="N597" s="163"/>
      <c r="O597" s="163"/>
      <c r="P597" s="163"/>
      <c r="Q597" s="541"/>
      <c r="R597" s="541"/>
      <c r="S597" s="541"/>
      <c r="T597" s="541"/>
      <c r="U597" s="541"/>
      <c r="V597" s="541"/>
      <c r="W597" s="541"/>
      <c r="X597" s="541"/>
      <c r="Y597" s="541"/>
      <c r="Z597" s="541"/>
    </row>
    <row r="598" spans="1:26" ht="18.75">
      <c r="A598" s="572"/>
      <c r="B598" s="584"/>
      <c r="C598" s="584"/>
      <c r="D598" s="584"/>
      <c r="E598" s="592"/>
      <c r="F598" s="592"/>
      <c r="G598" s="726"/>
      <c r="H598" s="728" t="s">
        <v>34</v>
      </c>
      <c r="I598" s="269"/>
      <c r="J598" s="214">
        <v>0</v>
      </c>
      <c r="K598" s="163"/>
      <c r="L598" s="163"/>
      <c r="M598" s="163"/>
      <c r="N598" s="163"/>
      <c r="O598" s="163"/>
      <c r="P598" s="163"/>
      <c r="Q598" s="541"/>
      <c r="R598" s="541"/>
      <c r="S598" s="541"/>
      <c r="T598" s="541"/>
      <c r="U598" s="541"/>
      <c r="V598" s="541"/>
      <c r="W598" s="541"/>
      <c r="X598" s="541"/>
      <c r="Y598" s="541"/>
      <c r="Z598" s="541"/>
    </row>
    <row r="599" spans="1:26" ht="18.75">
      <c r="A599" s="572"/>
      <c r="B599" s="584"/>
      <c r="C599" s="584"/>
      <c r="D599" s="710" t="s">
        <v>255</v>
      </c>
      <c r="E599" s="592"/>
      <c r="F599" s="592"/>
      <c r="G599" s="726"/>
      <c r="H599" s="728" t="s">
        <v>46</v>
      </c>
      <c r="I599" s="269"/>
      <c r="J599" s="214">
        <v>0</v>
      </c>
      <c r="K599" s="163"/>
      <c r="L599" s="163"/>
      <c r="M599" s="163"/>
      <c r="N599" s="163"/>
      <c r="O599" s="163"/>
      <c r="P599" s="163"/>
      <c r="Q599" s="541"/>
      <c r="R599" s="541"/>
      <c r="S599" s="541"/>
      <c r="T599" s="541"/>
      <c r="U599" s="541"/>
      <c r="V599" s="541"/>
      <c r="W599" s="541"/>
      <c r="X599" s="541"/>
      <c r="Y599" s="541"/>
      <c r="Z599" s="541"/>
    </row>
    <row r="600" spans="1:26" ht="18.75">
      <c r="A600" s="572"/>
      <c r="B600" s="584"/>
      <c r="C600" s="584"/>
      <c r="D600" s="584"/>
      <c r="E600" s="592"/>
      <c r="F600" s="592"/>
      <c r="G600" s="726"/>
      <c r="H600" s="728" t="s">
        <v>34</v>
      </c>
      <c r="I600" s="269"/>
      <c r="J600" s="214">
        <v>0</v>
      </c>
      <c r="K600" s="163"/>
      <c r="L600" s="163"/>
      <c r="M600" s="163"/>
      <c r="N600" s="163"/>
      <c r="O600" s="163"/>
      <c r="P600" s="163"/>
      <c r="Q600" s="541"/>
      <c r="R600" s="541"/>
      <c r="S600" s="541"/>
      <c r="T600" s="541"/>
      <c r="U600" s="541"/>
      <c r="V600" s="541"/>
      <c r="W600" s="541"/>
      <c r="X600" s="541"/>
      <c r="Y600" s="541"/>
      <c r="Z600" s="541"/>
    </row>
    <row r="601" spans="1:26" ht="18.75">
      <c r="A601" s="572"/>
      <c r="B601" s="584"/>
      <c r="C601" s="584"/>
      <c r="D601" s="710" t="s">
        <v>256</v>
      </c>
      <c r="E601" s="592"/>
      <c r="F601" s="592"/>
      <c r="G601" s="726"/>
      <c r="H601" s="728" t="s">
        <v>46</v>
      </c>
      <c r="I601" s="269"/>
      <c r="J601" s="214">
        <v>0</v>
      </c>
      <c r="K601" s="163"/>
      <c r="L601" s="163"/>
      <c r="M601" s="163"/>
      <c r="N601" s="163"/>
      <c r="O601" s="163"/>
      <c r="P601" s="163"/>
      <c r="Q601" s="541"/>
      <c r="R601" s="541"/>
      <c r="S601" s="541"/>
      <c r="T601" s="541"/>
      <c r="U601" s="541"/>
      <c r="V601" s="541"/>
      <c r="W601" s="541"/>
      <c r="X601" s="541"/>
      <c r="Y601" s="541"/>
      <c r="Z601" s="541"/>
    </row>
    <row r="602" spans="1:26" ht="18.75">
      <c r="A602" s="572"/>
      <c r="B602" s="584"/>
      <c r="C602" s="584"/>
      <c r="D602" s="584"/>
      <c r="E602" s="592"/>
      <c r="F602" s="592"/>
      <c r="G602" s="726"/>
      <c r="H602" s="728" t="s">
        <v>34</v>
      </c>
      <c r="I602" s="269"/>
      <c r="J602" s="214">
        <v>0</v>
      </c>
      <c r="K602" s="163"/>
      <c r="L602" s="163"/>
      <c r="M602" s="163"/>
      <c r="N602" s="163"/>
      <c r="O602" s="163"/>
      <c r="P602" s="163"/>
      <c r="Q602" s="541"/>
      <c r="R602" s="541"/>
      <c r="S602" s="541"/>
      <c r="T602" s="541"/>
      <c r="U602" s="541"/>
      <c r="V602" s="541"/>
      <c r="W602" s="541"/>
      <c r="X602" s="541"/>
      <c r="Y602" s="541"/>
      <c r="Z602" s="541"/>
    </row>
    <row r="603" spans="1:26" ht="18.75">
      <c r="A603" s="572"/>
      <c r="B603" s="584"/>
      <c r="C603" s="669" t="s">
        <v>257</v>
      </c>
      <c r="D603" s="584"/>
      <c r="E603" s="584"/>
      <c r="F603" s="592"/>
      <c r="G603" s="726"/>
      <c r="H603" s="728" t="s">
        <v>46</v>
      </c>
      <c r="I603" s="269"/>
      <c r="J603" s="269">
        <f t="shared" ref="J603:J604" si="256">J605+J607</f>
        <v>0</v>
      </c>
      <c r="K603" s="163"/>
      <c r="L603" s="163"/>
      <c r="M603" s="163"/>
      <c r="N603" s="163"/>
      <c r="O603" s="163"/>
      <c r="P603" s="163"/>
      <c r="Q603" s="541"/>
      <c r="R603" s="541"/>
      <c r="S603" s="541"/>
      <c r="T603" s="541"/>
      <c r="U603" s="541"/>
      <c r="V603" s="541"/>
      <c r="W603" s="541"/>
      <c r="X603" s="541"/>
      <c r="Y603" s="541"/>
      <c r="Z603" s="541"/>
    </row>
    <row r="604" spans="1:26" ht="18.75">
      <c r="A604" s="572"/>
      <c r="B604" s="584"/>
      <c r="C604" s="584"/>
      <c r="D604" s="584"/>
      <c r="E604" s="592"/>
      <c r="F604" s="592"/>
      <c r="G604" s="726"/>
      <c r="H604" s="728" t="s">
        <v>34</v>
      </c>
      <c r="I604" s="269"/>
      <c r="J604" s="269">
        <f t="shared" si="256"/>
        <v>0</v>
      </c>
      <c r="K604" s="163"/>
      <c r="L604" s="163"/>
      <c r="M604" s="163"/>
      <c r="N604" s="163"/>
      <c r="O604" s="163"/>
      <c r="P604" s="163"/>
      <c r="Q604" s="541"/>
      <c r="R604" s="541"/>
      <c r="S604" s="541"/>
      <c r="T604" s="541"/>
      <c r="U604" s="541"/>
      <c r="V604" s="541"/>
      <c r="W604" s="541"/>
      <c r="X604" s="541"/>
      <c r="Y604" s="541"/>
      <c r="Z604" s="541"/>
    </row>
    <row r="605" spans="1:26" ht="18.75">
      <c r="A605" s="572"/>
      <c r="B605" s="584"/>
      <c r="C605" s="584"/>
      <c r="D605" s="669" t="s">
        <v>258</v>
      </c>
      <c r="E605" s="592"/>
      <c r="F605" s="592"/>
      <c r="G605" s="726"/>
      <c r="H605" s="728" t="s">
        <v>46</v>
      </c>
      <c r="I605" s="269"/>
      <c r="J605" s="214">
        <v>0</v>
      </c>
      <c r="K605" s="163"/>
      <c r="L605" s="163"/>
      <c r="M605" s="163"/>
      <c r="N605" s="163"/>
      <c r="O605" s="163"/>
      <c r="P605" s="163"/>
      <c r="Q605" s="541"/>
      <c r="R605" s="541"/>
      <c r="S605" s="541"/>
      <c r="T605" s="541"/>
      <c r="U605" s="541"/>
      <c r="V605" s="541"/>
      <c r="W605" s="541"/>
      <c r="X605" s="541"/>
      <c r="Y605" s="541"/>
      <c r="Z605" s="541"/>
    </row>
    <row r="606" spans="1:26" ht="18.75">
      <c r="A606" s="572"/>
      <c r="B606" s="584"/>
      <c r="C606" s="584"/>
      <c r="D606" s="584"/>
      <c r="E606" s="584"/>
      <c r="F606" s="592"/>
      <c r="G606" s="726"/>
      <c r="H606" s="728" t="s">
        <v>34</v>
      </c>
      <c r="I606" s="269"/>
      <c r="J606" s="214">
        <v>0</v>
      </c>
      <c r="K606" s="163"/>
      <c r="L606" s="163"/>
      <c r="M606" s="163"/>
      <c r="N606" s="163"/>
      <c r="O606" s="163"/>
      <c r="P606" s="163"/>
      <c r="Q606" s="541"/>
      <c r="R606" s="541"/>
      <c r="S606" s="541"/>
      <c r="T606" s="541"/>
      <c r="U606" s="541"/>
      <c r="V606" s="541"/>
      <c r="W606" s="541"/>
      <c r="X606" s="541"/>
      <c r="Y606" s="541"/>
      <c r="Z606" s="541"/>
    </row>
    <row r="607" spans="1:26" ht="18.75">
      <c r="A607" s="572"/>
      <c r="B607" s="584"/>
      <c r="C607" s="584"/>
      <c r="D607" s="669" t="s">
        <v>259</v>
      </c>
      <c r="E607" s="584"/>
      <c r="F607" s="592"/>
      <c r="G607" s="726"/>
      <c r="H607" s="728" t="s">
        <v>46</v>
      </c>
      <c r="I607" s="269"/>
      <c r="J607" s="214">
        <v>0</v>
      </c>
      <c r="K607" s="163"/>
      <c r="L607" s="163"/>
      <c r="M607" s="163"/>
      <c r="N607" s="163"/>
      <c r="O607" s="163"/>
      <c r="P607" s="163"/>
      <c r="Q607" s="541"/>
      <c r="R607" s="541"/>
      <c r="S607" s="541"/>
      <c r="T607" s="541"/>
      <c r="U607" s="541"/>
      <c r="V607" s="541"/>
      <c r="W607" s="541"/>
      <c r="X607" s="541"/>
      <c r="Y607" s="541"/>
      <c r="Z607" s="541"/>
    </row>
    <row r="608" spans="1:26" ht="18.75">
      <c r="A608" s="572"/>
      <c r="B608" s="584"/>
      <c r="C608" s="584"/>
      <c r="D608" s="584"/>
      <c r="E608" s="592"/>
      <c r="F608" s="592"/>
      <c r="G608" s="726"/>
      <c r="H608" s="728" t="s">
        <v>34</v>
      </c>
      <c r="I608" s="269"/>
      <c r="J608" s="214">
        <v>0</v>
      </c>
      <c r="K608" s="163"/>
      <c r="L608" s="163"/>
      <c r="M608" s="163"/>
      <c r="N608" s="163"/>
      <c r="O608" s="163"/>
      <c r="P608" s="163"/>
      <c r="Q608" s="541"/>
      <c r="R608" s="541"/>
      <c r="S608" s="541"/>
      <c r="T608" s="541"/>
      <c r="U608" s="541"/>
      <c r="V608" s="541"/>
      <c r="W608" s="541"/>
      <c r="X608" s="541"/>
      <c r="Y608" s="541"/>
      <c r="Z608" s="541"/>
    </row>
    <row r="609" spans="1:26" ht="18.75">
      <c r="A609" s="572"/>
      <c r="B609" s="584"/>
      <c r="C609" s="584" t="s">
        <v>260</v>
      </c>
      <c r="D609" s="584"/>
      <c r="E609" s="584"/>
      <c r="F609" s="592"/>
      <c r="G609" s="726"/>
      <c r="H609" s="728" t="s">
        <v>46</v>
      </c>
      <c r="I609" s="269"/>
      <c r="J609" s="214">
        <v>0</v>
      </c>
      <c r="K609" s="163"/>
      <c r="L609" s="163"/>
      <c r="M609" s="163"/>
      <c r="N609" s="163"/>
      <c r="O609" s="163"/>
      <c r="P609" s="163"/>
      <c r="Q609" s="541"/>
      <c r="R609" s="541"/>
      <c r="S609" s="541"/>
      <c r="T609" s="541"/>
      <c r="U609" s="541"/>
      <c r="V609" s="541"/>
      <c r="W609" s="541"/>
      <c r="X609" s="541"/>
      <c r="Y609" s="541"/>
      <c r="Z609" s="541"/>
    </row>
    <row r="610" spans="1:26" ht="18.75">
      <c r="A610" s="572"/>
      <c r="B610" s="584"/>
      <c r="C610" s="584"/>
      <c r="D610" s="584"/>
      <c r="E610" s="592"/>
      <c r="F610" s="592"/>
      <c r="G610" s="726"/>
      <c r="H610" s="728" t="s">
        <v>34</v>
      </c>
      <c r="I610" s="269"/>
      <c r="J610" s="214">
        <v>0</v>
      </c>
      <c r="K610" s="163"/>
      <c r="L610" s="163"/>
      <c r="M610" s="163"/>
      <c r="N610" s="163"/>
      <c r="O610" s="163"/>
      <c r="P610" s="163"/>
      <c r="Q610" s="541"/>
      <c r="R610" s="541"/>
      <c r="S610" s="541"/>
      <c r="T610" s="541"/>
      <c r="U610" s="541"/>
      <c r="V610" s="541"/>
      <c r="W610" s="541"/>
      <c r="X610" s="541"/>
      <c r="Y610" s="541"/>
      <c r="Z610" s="541"/>
    </row>
    <row r="611" spans="1:26" ht="19.5">
      <c r="A611" s="658"/>
      <c r="B611" s="670" t="s">
        <v>261</v>
      </c>
      <c r="C611" s="660"/>
      <c r="D611" s="660"/>
      <c r="E611" s="639"/>
      <c r="F611" s="639"/>
      <c r="G611" s="640"/>
      <c r="H611" s="671" t="s">
        <v>46</v>
      </c>
      <c r="I611" s="672">
        <v>0</v>
      </c>
      <c r="J611" s="672">
        <f>J614+J616</f>
        <v>0</v>
      </c>
      <c r="K611" s="643">
        <f t="shared" ref="K611:K613" si="257">IF(I611&gt;0,J611*100/I611,0)</f>
        <v>0</v>
      </c>
      <c r="L611" s="644"/>
      <c r="M611" s="644"/>
      <c r="N611" s="644"/>
      <c r="O611" s="644"/>
      <c r="P611" s="644"/>
      <c r="Q611" s="541"/>
      <c r="R611" s="541"/>
      <c r="S611" s="541"/>
      <c r="T611" s="541"/>
      <c r="U611" s="541"/>
      <c r="V611" s="541"/>
      <c r="W611" s="541"/>
      <c r="X611" s="541"/>
      <c r="Y611" s="541"/>
      <c r="Z611" s="541"/>
    </row>
    <row r="612" spans="1:26" ht="19.5" hidden="1">
      <c r="A612" s="673"/>
      <c r="B612" s="683"/>
      <c r="C612" s="675" t="s">
        <v>262</v>
      </c>
      <c r="D612" s="683"/>
      <c r="E612" s="683"/>
      <c r="F612" s="676"/>
      <c r="G612" s="677"/>
      <c r="H612" s="678" t="s">
        <v>46</v>
      </c>
      <c r="I612" s="680">
        <v>0</v>
      </c>
      <c r="J612" s="680">
        <f t="shared" ref="J612:J613" si="258">J614+J616</f>
        <v>0</v>
      </c>
      <c r="K612" s="681">
        <f t="shared" si="257"/>
        <v>0</v>
      </c>
      <c r="L612" s="682"/>
      <c r="M612" s="682"/>
      <c r="N612" s="682"/>
      <c r="O612" s="682"/>
      <c r="P612" s="682"/>
      <c r="Q612" s="568"/>
      <c r="R612" s="568"/>
      <c r="S612" s="568"/>
      <c r="T612" s="568"/>
      <c r="U612" s="568"/>
      <c r="V612" s="568"/>
      <c r="W612" s="568"/>
      <c r="X612" s="568"/>
      <c r="Y612" s="568"/>
      <c r="Z612" s="568"/>
    </row>
    <row r="613" spans="1:26" ht="19.5" hidden="1">
      <c r="A613" s="673"/>
      <c r="B613" s="683"/>
      <c r="C613" s="683" t="s">
        <v>263</v>
      </c>
      <c r="D613" s="683"/>
      <c r="E613" s="683"/>
      <c r="F613" s="676"/>
      <c r="G613" s="677"/>
      <c r="H613" s="678" t="s">
        <v>34</v>
      </c>
      <c r="I613" s="680">
        <v>0</v>
      </c>
      <c r="J613" s="680">
        <f t="shared" si="258"/>
        <v>0</v>
      </c>
      <c r="K613" s="681">
        <f t="shared" si="257"/>
        <v>0</v>
      </c>
      <c r="L613" s="682"/>
      <c r="M613" s="682"/>
      <c r="N613" s="682"/>
      <c r="O613" s="682"/>
      <c r="P613" s="682"/>
      <c r="Q613" s="568"/>
      <c r="R613" s="568"/>
      <c r="S613" s="568"/>
      <c r="T613" s="568"/>
      <c r="U613" s="568"/>
      <c r="V613" s="568"/>
      <c r="W613" s="568"/>
      <c r="X613" s="568"/>
      <c r="Y613" s="568"/>
      <c r="Z613" s="568"/>
    </row>
    <row r="614" spans="1:26" ht="18.75" hidden="1">
      <c r="A614" s="578"/>
      <c r="B614" s="580"/>
      <c r="C614" s="580"/>
      <c r="D614" s="684" t="s">
        <v>264</v>
      </c>
      <c r="E614" s="580"/>
      <c r="F614" s="684"/>
      <c r="G614" s="581"/>
      <c r="H614" s="582" t="s">
        <v>46</v>
      </c>
      <c r="I614" s="583"/>
      <c r="J614" s="583">
        <v>0</v>
      </c>
      <c r="K614" s="167"/>
      <c r="L614" s="167"/>
      <c r="M614" s="167"/>
      <c r="N614" s="167"/>
      <c r="O614" s="167"/>
      <c r="P614" s="167"/>
      <c r="Q614" s="568"/>
      <c r="R614" s="568"/>
      <c r="S614" s="568"/>
      <c r="T614" s="568"/>
      <c r="U614" s="568"/>
      <c r="V614" s="568"/>
      <c r="W614" s="568"/>
      <c r="X614" s="568"/>
      <c r="Y614" s="568"/>
      <c r="Z614" s="568"/>
    </row>
    <row r="615" spans="1:26" ht="18.75" hidden="1">
      <c r="A615" s="578"/>
      <c r="B615" s="580"/>
      <c r="C615" s="580"/>
      <c r="D615" s="580"/>
      <c r="E615" s="580"/>
      <c r="F615" s="684"/>
      <c r="G615" s="581"/>
      <c r="H615" s="582" t="s">
        <v>34</v>
      </c>
      <c r="I615" s="583"/>
      <c r="J615" s="583">
        <v>0</v>
      </c>
      <c r="K615" s="167"/>
      <c r="L615" s="167"/>
      <c r="M615" s="167"/>
      <c r="N615" s="167"/>
      <c r="O615" s="167"/>
      <c r="P615" s="167"/>
      <c r="Q615" s="568"/>
      <c r="R615" s="568"/>
      <c r="S615" s="568"/>
      <c r="T615" s="568"/>
      <c r="U615" s="568"/>
      <c r="V615" s="568"/>
      <c r="W615" s="568"/>
      <c r="X615" s="568"/>
      <c r="Y615" s="568"/>
      <c r="Z615" s="568"/>
    </row>
    <row r="616" spans="1:26" ht="18.75" hidden="1">
      <c r="A616" s="578"/>
      <c r="B616" s="580"/>
      <c r="C616" s="580"/>
      <c r="D616" s="685" t="s">
        <v>264</v>
      </c>
      <c r="E616" s="684"/>
      <c r="F616" s="684"/>
      <c r="G616" s="581"/>
      <c r="H616" s="582" t="s">
        <v>46</v>
      </c>
      <c r="I616" s="583"/>
      <c r="J616" s="583">
        <v>0</v>
      </c>
      <c r="K616" s="167"/>
      <c r="L616" s="167"/>
      <c r="M616" s="167"/>
      <c r="N616" s="167"/>
      <c r="O616" s="167"/>
      <c r="P616" s="167"/>
      <c r="Q616" s="568"/>
      <c r="R616" s="568"/>
      <c r="S616" s="568"/>
      <c r="T616" s="568"/>
      <c r="U616" s="568"/>
      <c r="V616" s="568"/>
      <c r="W616" s="568"/>
      <c r="X616" s="568"/>
      <c r="Y616" s="568"/>
      <c r="Z616" s="568"/>
    </row>
    <row r="617" spans="1:26" ht="18.75" hidden="1">
      <c r="A617" s="578"/>
      <c r="B617" s="580"/>
      <c r="C617" s="580"/>
      <c r="D617" s="580"/>
      <c r="E617" s="684"/>
      <c r="F617" s="684"/>
      <c r="G617" s="581"/>
      <c r="H617" s="582" t="s">
        <v>34</v>
      </c>
      <c r="I617" s="583"/>
      <c r="J617" s="583">
        <v>0</v>
      </c>
      <c r="K617" s="167"/>
      <c r="L617" s="167"/>
      <c r="M617" s="167"/>
      <c r="N617" s="167"/>
      <c r="O617" s="167"/>
      <c r="P617" s="167"/>
      <c r="Q617" s="568"/>
      <c r="R617" s="568"/>
      <c r="S617" s="568"/>
      <c r="T617" s="568"/>
      <c r="U617" s="568"/>
      <c r="V617" s="568"/>
      <c r="W617" s="568"/>
      <c r="X617" s="568"/>
      <c r="Y617" s="568"/>
      <c r="Z617" s="568"/>
    </row>
    <row r="618" spans="1:26" ht="18.75" hidden="1">
      <c r="A618" s="578"/>
      <c r="B618" s="580"/>
      <c r="C618" s="580"/>
      <c r="D618" s="685" t="s">
        <v>265</v>
      </c>
      <c r="E618" s="684"/>
      <c r="F618" s="684"/>
      <c r="G618" s="581"/>
      <c r="H618" s="582" t="s">
        <v>46</v>
      </c>
      <c r="I618" s="583"/>
      <c r="J618" s="583">
        <v>0</v>
      </c>
      <c r="K618" s="167"/>
      <c r="L618" s="167"/>
      <c r="M618" s="167"/>
      <c r="N618" s="167"/>
      <c r="O618" s="167"/>
      <c r="P618" s="167"/>
      <c r="Q618" s="568"/>
      <c r="R618" s="568"/>
      <c r="S618" s="568"/>
      <c r="T618" s="568"/>
      <c r="U618" s="568"/>
      <c r="V618" s="568"/>
      <c r="W618" s="568"/>
      <c r="X618" s="568"/>
      <c r="Y618" s="568"/>
      <c r="Z618" s="568"/>
    </row>
    <row r="619" spans="1:26" ht="18.75" hidden="1">
      <c r="A619" s="578"/>
      <c r="B619" s="580"/>
      <c r="C619" s="580"/>
      <c r="D619" s="580"/>
      <c r="E619" s="684"/>
      <c r="F619" s="684"/>
      <c r="G619" s="581"/>
      <c r="H619" s="582" t="s">
        <v>34</v>
      </c>
      <c r="I619" s="583"/>
      <c r="J619" s="583">
        <v>0</v>
      </c>
      <c r="K619" s="167"/>
      <c r="L619" s="167"/>
      <c r="M619" s="167"/>
      <c r="N619" s="167"/>
      <c r="O619" s="167"/>
      <c r="P619" s="167"/>
      <c r="Q619" s="568"/>
      <c r="R619" s="568"/>
      <c r="S619" s="568"/>
      <c r="T619" s="568"/>
      <c r="U619" s="568"/>
      <c r="V619" s="568"/>
      <c r="W619" s="568"/>
      <c r="X619" s="568"/>
      <c r="Y619" s="568"/>
      <c r="Z619" s="568"/>
    </row>
    <row r="620" spans="1:26" ht="19.5">
      <c r="A620" s="686"/>
      <c r="B620" s="695"/>
      <c r="C620" s="688" t="s">
        <v>266</v>
      </c>
      <c r="D620" s="695"/>
      <c r="E620" s="695"/>
      <c r="F620" s="689"/>
      <c r="G620" s="690"/>
      <c r="H620" s="691" t="s">
        <v>46</v>
      </c>
      <c r="I620" s="692">
        <f ca="1">IFERROR(__xludf.DUMMYFUNCTION("IMPORTRANGE(""https://docs.google.com/spreadsheets/d/1QqKyyYR6Q21VydFLVH3TRQUabQu_ym0Zz7PgGX0-kHA/edit?usp=sharing"",""แผน!HL24"")"),0)</f>
        <v>0</v>
      </c>
      <c r="J620" s="692">
        <f t="shared" ref="J620:J621" si="259">J622+J624+J626</f>
        <v>0</v>
      </c>
      <c r="K620" s="693">
        <f t="shared" ref="K620:K621" ca="1" si="260">IF(I620&gt;0,J620*100/I620,0)</f>
        <v>0</v>
      </c>
      <c r="L620" s="694"/>
      <c r="M620" s="694"/>
      <c r="N620" s="694"/>
      <c r="O620" s="694"/>
      <c r="P620" s="694"/>
      <c r="Q620" s="541"/>
      <c r="R620" s="541"/>
      <c r="S620" s="541"/>
      <c r="T620" s="541"/>
      <c r="U620" s="541"/>
      <c r="V620" s="541"/>
      <c r="W620" s="541"/>
      <c r="X620" s="541"/>
      <c r="Y620" s="541"/>
      <c r="Z620" s="541"/>
    </row>
    <row r="621" spans="1:26" ht="19.5">
      <c r="A621" s="686"/>
      <c r="B621" s="695"/>
      <c r="C621" s="695" t="s">
        <v>267</v>
      </c>
      <c r="D621" s="695"/>
      <c r="E621" s="695"/>
      <c r="F621" s="689"/>
      <c r="G621" s="690"/>
      <c r="H621" s="691" t="s">
        <v>34</v>
      </c>
      <c r="I621" s="692">
        <f ca="1">IFERROR(__xludf.DUMMYFUNCTION("IMPORTRANGE(""https://docs.google.com/spreadsheets/d/1QqKyyYR6Q21VydFLVH3TRQUabQu_ym0Zz7PgGX0-kHA/edit?usp=sharing"",""แผน!HK24"")"),0)</f>
        <v>0</v>
      </c>
      <c r="J621" s="692">
        <f t="shared" si="259"/>
        <v>0</v>
      </c>
      <c r="K621" s="693">
        <f t="shared" ca="1" si="260"/>
        <v>0</v>
      </c>
      <c r="L621" s="694"/>
      <c r="M621" s="694"/>
      <c r="N621" s="694"/>
      <c r="O621" s="694"/>
      <c r="P621" s="694"/>
      <c r="Q621" s="541"/>
      <c r="R621" s="541"/>
      <c r="S621" s="541"/>
      <c r="T621" s="541"/>
      <c r="U621" s="541"/>
      <c r="V621" s="541"/>
      <c r="W621" s="541"/>
      <c r="X621" s="541"/>
      <c r="Y621" s="541"/>
      <c r="Z621" s="541"/>
    </row>
    <row r="622" spans="1:26" ht="18.75">
      <c r="A622" s="572"/>
      <c r="B622" s="584"/>
      <c r="C622" s="584"/>
      <c r="D622" s="710" t="s">
        <v>268</v>
      </c>
      <c r="E622" s="592"/>
      <c r="F622" s="592"/>
      <c r="G622" s="726"/>
      <c r="H622" s="728" t="s">
        <v>46</v>
      </c>
      <c r="I622" s="269"/>
      <c r="J622" s="214">
        <v>0</v>
      </c>
      <c r="K622" s="163"/>
      <c r="L622" s="163"/>
      <c r="M622" s="163"/>
      <c r="N622" s="163"/>
      <c r="O622" s="163"/>
      <c r="P622" s="163"/>
      <c r="Q622" s="541"/>
      <c r="R622" s="541"/>
      <c r="S622" s="541"/>
      <c r="T622" s="541"/>
      <c r="U622" s="541"/>
      <c r="V622" s="541"/>
      <c r="W622" s="541"/>
      <c r="X622" s="541"/>
      <c r="Y622" s="541"/>
      <c r="Z622" s="541"/>
    </row>
    <row r="623" spans="1:26" ht="18.75">
      <c r="A623" s="572"/>
      <c r="B623" s="584"/>
      <c r="C623" s="584"/>
      <c r="D623" s="584"/>
      <c r="E623" s="592"/>
      <c r="F623" s="592"/>
      <c r="G623" s="726"/>
      <c r="H623" s="728" t="s">
        <v>34</v>
      </c>
      <c r="I623" s="269"/>
      <c r="J623" s="214">
        <v>0</v>
      </c>
      <c r="K623" s="163"/>
      <c r="L623" s="163"/>
      <c r="M623" s="163"/>
      <c r="N623" s="163"/>
      <c r="O623" s="163"/>
      <c r="P623" s="163"/>
      <c r="Q623" s="541"/>
      <c r="R623" s="541"/>
      <c r="S623" s="541"/>
      <c r="T623" s="541"/>
      <c r="U623" s="541"/>
      <c r="V623" s="541"/>
      <c r="W623" s="541"/>
      <c r="X623" s="541"/>
      <c r="Y623" s="541"/>
      <c r="Z623" s="541"/>
    </row>
    <row r="624" spans="1:26" ht="18.75">
      <c r="A624" s="572"/>
      <c r="B624" s="584"/>
      <c r="C624" s="584"/>
      <c r="D624" s="710" t="s">
        <v>264</v>
      </c>
      <c r="E624" s="592"/>
      <c r="F624" s="592"/>
      <c r="G624" s="726"/>
      <c r="H624" s="728" t="s">
        <v>46</v>
      </c>
      <c r="I624" s="269"/>
      <c r="J624" s="214">
        <v>0</v>
      </c>
      <c r="K624" s="163"/>
      <c r="L624" s="163"/>
      <c r="M624" s="163"/>
      <c r="N624" s="163"/>
      <c r="O624" s="163"/>
      <c r="P624" s="163"/>
      <c r="Q624" s="541"/>
      <c r="R624" s="541"/>
      <c r="S624" s="541"/>
      <c r="T624" s="541"/>
      <c r="U624" s="541"/>
      <c r="V624" s="541"/>
      <c r="W624" s="541"/>
      <c r="X624" s="541"/>
      <c r="Y624" s="541"/>
      <c r="Z624" s="541"/>
    </row>
    <row r="625" spans="1:26" ht="18.75">
      <c r="A625" s="572"/>
      <c r="B625" s="584"/>
      <c r="C625" s="584"/>
      <c r="D625" s="584"/>
      <c r="E625" s="592"/>
      <c r="F625" s="592"/>
      <c r="G625" s="726"/>
      <c r="H625" s="728" t="s">
        <v>34</v>
      </c>
      <c r="I625" s="269"/>
      <c r="J625" s="214">
        <v>0</v>
      </c>
      <c r="K625" s="163"/>
      <c r="L625" s="163"/>
      <c r="M625" s="163"/>
      <c r="N625" s="163"/>
      <c r="O625" s="163"/>
      <c r="P625" s="163"/>
      <c r="Q625" s="541"/>
      <c r="R625" s="541"/>
      <c r="S625" s="541"/>
      <c r="T625" s="541"/>
      <c r="U625" s="541"/>
      <c r="V625" s="541"/>
      <c r="W625" s="541"/>
      <c r="X625" s="541"/>
      <c r="Y625" s="541"/>
      <c r="Z625" s="541"/>
    </row>
    <row r="626" spans="1:26" ht="18.75">
      <c r="A626" s="572"/>
      <c r="B626" s="584"/>
      <c r="C626" s="584"/>
      <c r="D626" s="710" t="s">
        <v>269</v>
      </c>
      <c r="E626" s="592"/>
      <c r="F626" s="592"/>
      <c r="G626" s="726"/>
      <c r="H626" s="728" t="s">
        <v>46</v>
      </c>
      <c r="I626" s="269"/>
      <c r="J626" s="214">
        <v>0</v>
      </c>
      <c r="K626" s="163"/>
      <c r="L626" s="163"/>
      <c r="M626" s="163"/>
      <c r="N626" s="163"/>
      <c r="O626" s="163"/>
      <c r="P626" s="163"/>
      <c r="Q626" s="541"/>
      <c r="R626" s="541"/>
      <c r="S626" s="541"/>
      <c r="T626" s="541"/>
      <c r="U626" s="541"/>
      <c r="V626" s="541"/>
      <c r="W626" s="541"/>
      <c r="X626" s="541"/>
      <c r="Y626" s="541"/>
      <c r="Z626" s="541"/>
    </row>
    <row r="627" spans="1:26" ht="18.75">
      <c r="A627" s="696"/>
      <c r="B627" s="697"/>
      <c r="C627" s="697"/>
      <c r="D627" s="697"/>
      <c r="E627" s="698"/>
      <c r="F627" s="698"/>
      <c r="G627" s="699"/>
      <c r="H627" s="390" t="s">
        <v>34</v>
      </c>
      <c r="I627" s="468"/>
      <c r="J627" s="392">
        <v>0</v>
      </c>
      <c r="K627" s="353"/>
      <c r="L627" s="353"/>
      <c r="M627" s="353"/>
      <c r="N627" s="353"/>
      <c r="O627" s="353"/>
      <c r="P627" s="353"/>
      <c r="Q627" s="541"/>
      <c r="R627" s="541"/>
      <c r="S627" s="541"/>
      <c r="T627" s="541"/>
      <c r="U627" s="541"/>
      <c r="V627" s="541"/>
      <c r="W627" s="541"/>
      <c r="X627" s="541"/>
      <c r="Y627" s="541"/>
      <c r="Z627" s="541"/>
    </row>
    <row r="628" spans="1:26" ht="19.5">
      <c r="A628" s="700">
        <v>7</v>
      </c>
      <c r="B628" s="701" t="s">
        <v>270</v>
      </c>
      <c r="C628" s="702"/>
      <c r="D628" s="702"/>
      <c r="E628" s="702"/>
      <c r="F628" s="702"/>
      <c r="G628" s="703"/>
      <c r="H628" s="704" t="s">
        <v>35</v>
      </c>
      <c r="I628" s="705">
        <f t="shared" ref="I628:J628" ca="1" si="261">I651</f>
        <v>25</v>
      </c>
      <c r="J628" s="705">
        <f t="shared" ca="1" si="261"/>
        <v>0</v>
      </c>
      <c r="K628" s="706">
        <f ca="1">IF(I628&gt;0,J628*100/I628,0)</f>
        <v>0</v>
      </c>
      <c r="L628" s="707"/>
      <c r="M628" s="707"/>
      <c r="N628" s="707"/>
      <c r="O628" s="707"/>
      <c r="P628" s="707"/>
      <c r="Q628" s="541"/>
      <c r="R628" s="541"/>
      <c r="S628" s="541"/>
      <c r="T628" s="541"/>
      <c r="U628" s="541"/>
      <c r="V628" s="541"/>
      <c r="W628" s="541"/>
      <c r="X628" s="541"/>
      <c r="Y628" s="541"/>
      <c r="Z628" s="541"/>
    </row>
    <row r="629" spans="1:26" ht="19.5">
      <c r="A629" s="561"/>
      <c r="B629" s="727"/>
      <c r="C629" s="727" t="s">
        <v>16</v>
      </c>
      <c r="D629" s="811" t="s">
        <v>17</v>
      </c>
      <c r="E629" s="805"/>
      <c r="F629" s="805"/>
      <c r="G629" s="189"/>
      <c r="H629" s="562" t="s">
        <v>12</v>
      </c>
      <c r="I629" s="269"/>
      <c r="J629" s="269"/>
      <c r="K629" s="465"/>
      <c r="L629" s="195">
        <f t="shared" ref="L629:N629" ca="1" si="262">L630+L631</f>
        <v>170675</v>
      </c>
      <c r="M629" s="195">
        <f t="shared" si="262"/>
        <v>0</v>
      </c>
      <c r="N629" s="195">
        <f t="shared" si="262"/>
        <v>0</v>
      </c>
      <c r="O629" s="195">
        <f t="shared" ref="O629:O634" ca="1" si="263">IF(L629&gt;0,N629*100/L629,0)</f>
        <v>0</v>
      </c>
      <c r="P629" s="195">
        <f t="shared" ref="P629:P634" si="264">IF(M629&gt;0,N629*100/M629,0)</f>
        <v>0</v>
      </c>
      <c r="Q629" s="541"/>
      <c r="R629" s="541"/>
      <c r="S629" s="541"/>
      <c r="T629" s="541"/>
      <c r="U629" s="541"/>
      <c r="V629" s="541"/>
      <c r="W629" s="541"/>
      <c r="X629" s="541"/>
      <c r="Y629" s="541"/>
      <c r="Z629" s="541"/>
    </row>
    <row r="630" spans="1:26" ht="18.75" hidden="1">
      <c r="A630" s="563"/>
      <c r="B630" s="723"/>
      <c r="C630" s="723"/>
      <c r="D630" s="684"/>
      <c r="E630" s="723" t="s">
        <v>184</v>
      </c>
      <c r="F630" s="723"/>
      <c r="G630" s="567"/>
      <c r="H630" s="165" t="s">
        <v>12</v>
      </c>
      <c r="I630" s="583"/>
      <c r="J630" s="583"/>
      <c r="K630" s="93"/>
      <c r="L630" s="93">
        <f t="shared" ref="L630:N631" si="265">L633+L640</f>
        <v>0</v>
      </c>
      <c r="M630" s="93">
        <f t="shared" si="265"/>
        <v>0</v>
      </c>
      <c r="N630" s="93">
        <f t="shared" si="265"/>
        <v>0</v>
      </c>
      <c r="O630" s="93">
        <f t="shared" si="263"/>
        <v>0</v>
      </c>
      <c r="P630" s="93">
        <f t="shared" si="264"/>
        <v>0</v>
      </c>
      <c r="Q630" s="568"/>
      <c r="R630" s="568"/>
      <c r="S630" s="568"/>
      <c r="T630" s="568"/>
      <c r="U630" s="568"/>
      <c r="V630" s="568"/>
      <c r="W630" s="568"/>
      <c r="X630" s="568"/>
      <c r="Y630" s="568"/>
      <c r="Z630" s="568"/>
    </row>
    <row r="631" spans="1:26" ht="18.75" hidden="1">
      <c r="A631" s="563"/>
      <c r="B631" s="571"/>
      <c r="C631" s="723"/>
      <c r="D631" s="684"/>
      <c r="E631" s="723" t="s">
        <v>185</v>
      </c>
      <c r="F631" s="723"/>
      <c r="G631" s="567"/>
      <c r="H631" s="165" t="s">
        <v>12</v>
      </c>
      <c r="I631" s="583"/>
      <c r="J631" s="583"/>
      <c r="K631" s="93"/>
      <c r="L631" s="93">
        <f t="shared" ca="1" si="265"/>
        <v>170675</v>
      </c>
      <c r="M631" s="93">
        <f t="shared" si="265"/>
        <v>0</v>
      </c>
      <c r="N631" s="93">
        <f t="shared" si="265"/>
        <v>0</v>
      </c>
      <c r="O631" s="93">
        <f t="shared" ca="1" si="263"/>
        <v>0</v>
      </c>
      <c r="P631" s="93">
        <f t="shared" si="264"/>
        <v>0</v>
      </c>
      <c r="Q631" s="568"/>
      <c r="R631" s="568"/>
      <c r="S631" s="568"/>
      <c r="T631" s="568"/>
      <c r="U631" s="568"/>
      <c r="V631" s="568"/>
      <c r="W631" s="568"/>
      <c r="X631" s="568"/>
      <c r="Y631" s="568"/>
      <c r="Z631" s="568"/>
    </row>
    <row r="632" spans="1:26" ht="18.75">
      <c r="A632" s="561"/>
      <c r="B632" s="538"/>
      <c r="C632" s="727"/>
      <c r="D632" s="570" t="s">
        <v>20</v>
      </c>
      <c r="E632" s="727"/>
      <c r="F632" s="727"/>
      <c r="G632" s="189"/>
      <c r="H632" s="161" t="s">
        <v>12</v>
      </c>
      <c r="I632" s="184"/>
      <c r="J632" s="184"/>
      <c r="K632" s="163"/>
      <c r="L632" s="465">
        <f t="shared" ref="L632:N632" ca="1" si="266">L633+L634</f>
        <v>170675</v>
      </c>
      <c r="M632" s="465">
        <f t="shared" si="266"/>
        <v>0</v>
      </c>
      <c r="N632" s="465">
        <f t="shared" si="266"/>
        <v>0</v>
      </c>
      <c r="O632" s="465">
        <f t="shared" ca="1" si="263"/>
        <v>0</v>
      </c>
      <c r="P632" s="465">
        <f t="shared" si="264"/>
        <v>0</v>
      </c>
      <c r="Q632" s="541"/>
      <c r="R632" s="541"/>
      <c r="S632" s="541"/>
      <c r="T632" s="541"/>
      <c r="U632" s="541"/>
      <c r="V632" s="541"/>
      <c r="W632" s="541"/>
      <c r="X632" s="541"/>
      <c r="Y632" s="541"/>
      <c r="Z632" s="541"/>
    </row>
    <row r="633" spans="1:26" ht="18.75" hidden="1">
      <c r="A633" s="563"/>
      <c r="B633" s="571"/>
      <c r="C633" s="723"/>
      <c r="D633" s="684"/>
      <c r="E633" s="723" t="s">
        <v>184</v>
      </c>
      <c r="F633" s="723"/>
      <c r="G633" s="567"/>
      <c r="H633" s="165" t="s">
        <v>12</v>
      </c>
      <c r="I633" s="583"/>
      <c r="J633" s="583"/>
      <c r="K633" s="93"/>
      <c r="L633" s="93">
        <v>0</v>
      </c>
      <c r="M633" s="93">
        <v>0</v>
      </c>
      <c r="N633" s="93">
        <v>0</v>
      </c>
      <c r="O633" s="93">
        <f t="shared" si="263"/>
        <v>0</v>
      </c>
      <c r="P633" s="93">
        <f t="shared" si="264"/>
        <v>0</v>
      </c>
      <c r="Q633" s="568"/>
      <c r="R633" s="568"/>
      <c r="S633" s="568"/>
      <c r="T633" s="568"/>
      <c r="U633" s="568"/>
      <c r="V633" s="568"/>
      <c r="W633" s="568"/>
      <c r="X633" s="568"/>
      <c r="Y633" s="568"/>
      <c r="Z633" s="568"/>
    </row>
    <row r="634" spans="1:26" ht="18.75" hidden="1">
      <c r="A634" s="563"/>
      <c r="B634" s="571"/>
      <c r="C634" s="723"/>
      <c r="D634" s="684"/>
      <c r="E634" s="723" t="s">
        <v>185</v>
      </c>
      <c r="F634" s="723"/>
      <c r="G634" s="567"/>
      <c r="H634" s="165" t="s">
        <v>12</v>
      </c>
      <c r="I634" s="583"/>
      <c r="J634" s="583"/>
      <c r="K634" s="93"/>
      <c r="L634" s="93">
        <f ca="1">IFERROR(__xludf.DUMMYFUNCTION("IMPORTRANGE(""https://docs.google.com/spreadsheets/d/1QqKyyYR6Q21VydFLVH3TRQUabQu_ym0Zz7PgGX0-kHA/edit?usp=sharing"",""แผน!HN24"")"),170675)</f>
        <v>170675</v>
      </c>
      <c r="M634" s="93">
        <v>0</v>
      </c>
      <c r="N634" s="93">
        <f>N635+N636+N637+N638</f>
        <v>0</v>
      </c>
      <c r="O634" s="93">
        <f t="shared" ca="1" si="263"/>
        <v>0</v>
      </c>
      <c r="P634" s="93">
        <f t="shared" si="264"/>
        <v>0</v>
      </c>
      <c r="Q634" s="568"/>
      <c r="R634" s="568"/>
      <c r="S634" s="568"/>
      <c r="T634" s="568"/>
      <c r="U634" s="568"/>
      <c r="V634" s="568"/>
      <c r="W634" s="568"/>
      <c r="X634" s="568"/>
      <c r="Y634" s="568"/>
      <c r="Z634" s="568"/>
    </row>
    <row r="635" spans="1:26" ht="18.75">
      <c r="A635" s="537"/>
      <c r="B635" s="538"/>
      <c r="C635" s="727"/>
      <c r="D635" s="727"/>
      <c r="E635" s="727"/>
      <c r="F635" s="727" t="s">
        <v>186</v>
      </c>
      <c r="G635" s="189"/>
      <c r="H635" s="161" t="s">
        <v>12</v>
      </c>
      <c r="I635" s="269"/>
      <c r="J635" s="269"/>
      <c r="K635" s="465"/>
      <c r="L635" s="465"/>
      <c r="M635" s="465"/>
      <c r="N635" s="789">
        <v>0</v>
      </c>
      <c r="O635" s="465"/>
      <c r="P635" s="465"/>
      <c r="Q635" s="541"/>
      <c r="R635" s="541"/>
      <c r="S635" s="541"/>
      <c r="T635" s="541"/>
      <c r="U635" s="541"/>
      <c r="V635" s="541"/>
      <c r="W635" s="541"/>
      <c r="X635" s="541"/>
      <c r="Y635" s="541"/>
      <c r="Z635" s="541"/>
    </row>
    <row r="636" spans="1:26" ht="18.75">
      <c r="A636" s="537"/>
      <c r="B636" s="538"/>
      <c r="C636" s="727"/>
      <c r="D636" s="727"/>
      <c r="E636" s="727"/>
      <c r="F636" s="727" t="s">
        <v>187</v>
      </c>
      <c r="G636" s="189"/>
      <c r="H636" s="161" t="s">
        <v>12</v>
      </c>
      <c r="I636" s="269"/>
      <c r="J636" s="269"/>
      <c r="K636" s="465"/>
      <c r="L636" s="465"/>
      <c r="M636" s="465"/>
      <c r="N636" s="789">
        <v>0</v>
      </c>
      <c r="O636" s="465"/>
      <c r="P636" s="465"/>
      <c r="Q636" s="541"/>
      <c r="R636" s="541"/>
      <c r="S636" s="541"/>
      <c r="T636" s="541"/>
      <c r="U636" s="541"/>
      <c r="V636" s="541"/>
      <c r="W636" s="541"/>
      <c r="X636" s="541"/>
      <c r="Y636" s="541"/>
      <c r="Z636" s="541"/>
    </row>
    <row r="637" spans="1:26" ht="18.75">
      <c r="A637" s="537"/>
      <c r="B637" s="538"/>
      <c r="C637" s="727"/>
      <c r="D637" s="727"/>
      <c r="E637" s="727"/>
      <c r="F637" s="727" t="s">
        <v>188</v>
      </c>
      <c r="G637" s="189"/>
      <c r="H637" s="161" t="s">
        <v>12</v>
      </c>
      <c r="I637" s="269"/>
      <c r="J637" s="269"/>
      <c r="K637" s="465"/>
      <c r="L637" s="465"/>
      <c r="M637" s="465"/>
      <c r="N637" s="789">
        <v>0</v>
      </c>
      <c r="O637" s="465"/>
      <c r="P637" s="465"/>
      <c r="Q637" s="541"/>
      <c r="R637" s="541"/>
      <c r="S637" s="541"/>
      <c r="T637" s="541"/>
      <c r="U637" s="541"/>
      <c r="V637" s="541"/>
      <c r="W637" s="541"/>
      <c r="X637" s="541"/>
      <c r="Y637" s="541"/>
      <c r="Z637" s="541"/>
    </row>
    <row r="638" spans="1:26" ht="18.75">
      <c r="A638" s="537"/>
      <c r="B638" s="538"/>
      <c r="C638" s="727"/>
      <c r="D638" s="727"/>
      <c r="E638" s="727"/>
      <c r="F638" s="727" t="s">
        <v>189</v>
      </c>
      <c r="G638" s="189"/>
      <c r="H638" s="161" t="s">
        <v>12</v>
      </c>
      <c r="I638" s="269"/>
      <c r="J638" s="269"/>
      <c r="K638" s="465"/>
      <c r="L638" s="465"/>
      <c r="M638" s="465"/>
      <c r="N638" s="789">
        <v>0</v>
      </c>
      <c r="O638" s="465"/>
      <c r="P638" s="465"/>
      <c r="Q638" s="541"/>
      <c r="R638" s="541"/>
      <c r="S638" s="541"/>
      <c r="T638" s="541"/>
      <c r="U638" s="541"/>
      <c r="V638" s="541"/>
      <c r="W638" s="541"/>
      <c r="X638" s="541"/>
      <c r="Y638" s="541"/>
      <c r="Z638" s="541"/>
    </row>
    <row r="639" spans="1:26" ht="18.75">
      <c r="A639" s="561"/>
      <c r="B639" s="538"/>
      <c r="C639" s="727"/>
      <c r="D639" s="570" t="s">
        <v>21</v>
      </c>
      <c r="E639" s="727"/>
      <c r="F639" s="727"/>
      <c r="G639" s="189"/>
      <c r="H639" s="168" t="s">
        <v>12</v>
      </c>
      <c r="I639" s="184"/>
      <c r="J639" s="184"/>
      <c r="K639" s="163"/>
      <c r="L639" s="465">
        <f t="shared" ref="L639:N639" ca="1" si="267">L640+L641</f>
        <v>0</v>
      </c>
      <c r="M639" s="465">
        <f t="shared" si="267"/>
        <v>0</v>
      </c>
      <c r="N639" s="465">
        <f t="shared" si="267"/>
        <v>0</v>
      </c>
      <c r="O639" s="465">
        <f t="shared" ref="O639:O641" ca="1" si="268">IF(L639&gt;0,N639*100/L639,0)</f>
        <v>0</v>
      </c>
      <c r="P639" s="465">
        <f t="shared" ref="P639:P641" si="269">IF(M639&gt;0,N639*100/M639,0)</f>
        <v>0</v>
      </c>
      <c r="Q639" s="541"/>
      <c r="R639" s="541"/>
      <c r="S639" s="541"/>
      <c r="T639" s="541"/>
      <c r="U639" s="541"/>
      <c r="V639" s="541"/>
      <c r="W639" s="541"/>
      <c r="X639" s="541"/>
      <c r="Y639" s="541"/>
      <c r="Z639" s="541"/>
    </row>
    <row r="640" spans="1:26" ht="18.75" hidden="1">
      <c r="A640" s="563"/>
      <c r="B640" s="571"/>
      <c r="C640" s="723"/>
      <c r="D640" s="723"/>
      <c r="E640" s="723" t="s">
        <v>18</v>
      </c>
      <c r="F640" s="723"/>
      <c r="G640" s="567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8"/>
        <v>0</v>
      </c>
      <c r="P640" s="93">
        <f t="shared" si="269"/>
        <v>0</v>
      </c>
      <c r="Q640" s="568"/>
      <c r="R640" s="568"/>
      <c r="S640" s="568"/>
      <c r="T640" s="568"/>
      <c r="U640" s="568"/>
      <c r="V640" s="568"/>
      <c r="W640" s="568"/>
      <c r="X640" s="568"/>
      <c r="Y640" s="568"/>
      <c r="Z640" s="568"/>
    </row>
    <row r="641" spans="1:26" ht="18.75" hidden="1">
      <c r="A641" s="563"/>
      <c r="B641" s="571"/>
      <c r="C641" s="723"/>
      <c r="D641" s="723"/>
      <c r="E641" s="723" t="s">
        <v>19</v>
      </c>
      <c r="F641" s="723"/>
      <c r="G641" s="567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IFERROR(__xludf.DUMMYFUNCTION("IMPORTRANGE(""https://docs.google.com/spreadsheets/d/1QqKyyYR6Q21VydFLVH3TRQUabQu_ym0Zz7PgGX0-kHA/edit?usp=sharing"",""แผน!HQ24"")"),0)</f>
        <v>0</v>
      </c>
      <c r="M641" s="93">
        <v>0</v>
      </c>
      <c r="N641" s="93">
        <v>0</v>
      </c>
      <c r="O641" s="93">
        <f t="shared" ca="1" si="268"/>
        <v>0</v>
      </c>
      <c r="P641" s="93">
        <f t="shared" si="269"/>
        <v>0</v>
      </c>
      <c r="Q641" s="568"/>
      <c r="R641" s="568"/>
      <c r="S641" s="568"/>
      <c r="T641" s="568"/>
      <c r="U641" s="568"/>
      <c r="V641" s="568"/>
      <c r="W641" s="568"/>
      <c r="X641" s="568"/>
      <c r="Y641" s="568"/>
      <c r="Z641" s="568"/>
    </row>
    <row r="642" spans="1:26" ht="19.5">
      <c r="A642" s="572"/>
      <c r="B642" s="584"/>
      <c r="C642" s="727" t="s">
        <v>16</v>
      </c>
      <c r="D642" s="853" t="s">
        <v>38</v>
      </c>
      <c r="E642" s="725"/>
      <c r="F642" s="725"/>
      <c r="G642" s="577"/>
      <c r="H642" s="726"/>
      <c r="I642" s="184"/>
      <c r="J642" s="184"/>
      <c r="K642" s="163"/>
      <c r="L642" s="163"/>
      <c r="M642" s="163"/>
      <c r="N642" s="163"/>
      <c r="O642" s="163"/>
      <c r="P642" s="163"/>
      <c r="Q642" s="541"/>
      <c r="R642" s="541"/>
      <c r="S642" s="541"/>
      <c r="T642" s="541"/>
      <c r="U642" s="541"/>
      <c r="V642" s="541"/>
      <c r="W642" s="541"/>
      <c r="X642" s="541"/>
      <c r="Y642" s="541"/>
      <c r="Z642" s="541"/>
    </row>
    <row r="643" spans="1:26" ht="18.75">
      <c r="A643" s="708"/>
      <c r="B643" s="538"/>
      <c r="C643" s="727"/>
      <c r="D643" s="592"/>
      <c r="E643" s="710" t="s">
        <v>271</v>
      </c>
      <c r="F643" s="592"/>
      <c r="G643" s="726"/>
      <c r="H643" s="728" t="s">
        <v>272</v>
      </c>
      <c r="I643" s="269">
        <f ca="1">IFERROR(__xludf.DUMMYFUNCTION("IMPORTRANGE(""https://docs.google.com/spreadsheets/d/1QqKyyYR6Q21VydFLVH3TRQUabQu_ym0Zz7PgGX0-kHA/edit?usp=sharing"",""แผน!HR24"")"),0)</f>
        <v>0</v>
      </c>
      <c r="J643" s="214">
        <v>0</v>
      </c>
      <c r="K643" s="163">
        <f t="shared" ref="K643:K652" ca="1" si="270">IF(I643&gt;0,J643*100/I643,0)</f>
        <v>0</v>
      </c>
      <c r="L643" s="163"/>
      <c r="M643" s="163"/>
      <c r="N643" s="465"/>
      <c r="O643" s="163"/>
      <c r="P643" s="163"/>
      <c r="Q643" s="541"/>
      <c r="R643" s="541"/>
      <c r="S643" s="541"/>
      <c r="T643" s="541"/>
      <c r="U643" s="541"/>
      <c r="V643" s="541"/>
      <c r="W643" s="541"/>
      <c r="X643" s="541"/>
      <c r="Y643" s="541"/>
      <c r="Z643" s="541"/>
    </row>
    <row r="644" spans="1:26" ht="18.75">
      <c r="A644" s="708"/>
      <c r="B644" s="538"/>
      <c r="C644" s="727"/>
      <c r="D644" s="592"/>
      <c r="E644" s="710" t="s">
        <v>273</v>
      </c>
      <c r="F644" s="592"/>
      <c r="G644" s="726"/>
      <c r="H644" s="728" t="s">
        <v>274</v>
      </c>
      <c r="I644" s="269">
        <f ca="1">IFERROR(__xludf.DUMMYFUNCTION("IMPORTRANGE(""https://docs.google.com/spreadsheets/d/1QqKyyYR6Q21VydFLVH3TRQUabQu_ym0Zz7PgGX0-kHA/edit?usp=sharing"",""แผน!HR24"")"),0)</f>
        <v>0</v>
      </c>
      <c r="J644" s="214">
        <v>0</v>
      </c>
      <c r="K644" s="163">
        <f t="shared" ca="1" si="270"/>
        <v>0</v>
      </c>
      <c r="L644" s="163"/>
      <c r="M644" s="163"/>
      <c r="N644" s="465"/>
      <c r="O644" s="163"/>
      <c r="P644" s="163"/>
      <c r="Q644" s="541"/>
      <c r="R644" s="541"/>
      <c r="S644" s="541"/>
      <c r="T644" s="541"/>
      <c r="U644" s="541"/>
      <c r="V644" s="541"/>
      <c r="W644" s="541"/>
      <c r="X644" s="541"/>
      <c r="Y644" s="541"/>
      <c r="Z644" s="541"/>
    </row>
    <row r="645" spans="1:26" ht="18.75">
      <c r="A645" s="708"/>
      <c r="B645" s="538"/>
      <c r="C645" s="727"/>
      <c r="D645" s="592"/>
      <c r="E645" s="710" t="s">
        <v>275</v>
      </c>
      <c r="F645" s="592"/>
      <c r="G645" s="726"/>
      <c r="H645" s="728" t="s">
        <v>34</v>
      </c>
      <c r="I645" s="269">
        <v>0</v>
      </c>
      <c r="J645" s="269">
        <f ca="1">IFERROR(__xludf.DUMMYFUNCTION("IMPORTRANGE(""https://docs.google.com/spreadsheets/d/1XWAQStnk-4SwqDmLtmXYiTMKHgktTP8We1SCoS47DrQ/edit?usp=sharing"",""จัดที่ดิน!AS24"")"),0)</f>
        <v>0</v>
      </c>
      <c r="K645" s="163">
        <f t="shared" si="270"/>
        <v>0</v>
      </c>
      <c r="L645" s="163"/>
      <c r="M645" s="163"/>
      <c r="N645" s="465"/>
      <c r="O645" s="163"/>
      <c r="P645" s="163"/>
      <c r="Q645" s="541"/>
      <c r="R645" s="541"/>
      <c r="S645" s="541"/>
      <c r="T645" s="541"/>
      <c r="U645" s="541"/>
      <c r="V645" s="541"/>
      <c r="W645" s="541"/>
      <c r="X645" s="541"/>
      <c r="Y645" s="541"/>
      <c r="Z645" s="541"/>
    </row>
    <row r="646" spans="1:26" ht="18.75">
      <c r="A646" s="708"/>
      <c r="B646" s="538"/>
      <c r="C646" s="727"/>
      <c r="D646" s="592"/>
      <c r="E646" s="592"/>
      <c r="F646" s="592"/>
      <c r="G646" s="726"/>
      <c r="H646" s="728" t="s">
        <v>46</v>
      </c>
      <c r="I646" s="269">
        <v>0</v>
      </c>
      <c r="J646" s="269">
        <f ca="1">IFERROR(__xludf.DUMMYFUNCTION("IMPORTRANGE(""https://docs.google.com/spreadsheets/d/1XWAQStnk-4SwqDmLtmXYiTMKHgktTP8We1SCoS47DrQ/edit?usp=sharing"",""จัดที่ดิน!AT24"")"),0)</f>
        <v>0</v>
      </c>
      <c r="K646" s="465">
        <f t="shared" si="270"/>
        <v>0</v>
      </c>
      <c r="L646" s="163"/>
      <c r="M646" s="163"/>
      <c r="N646" s="465"/>
      <c r="O646" s="163"/>
      <c r="P646" s="163"/>
      <c r="Q646" s="541"/>
      <c r="R646" s="541"/>
      <c r="S646" s="541"/>
      <c r="T646" s="541"/>
      <c r="U646" s="541"/>
      <c r="V646" s="541"/>
      <c r="W646" s="541"/>
      <c r="X646" s="541"/>
      <c r="Y646" s="541"/>
      <c r="Z646" s="541"/>
    </row>
    <row r="647" spans="1:26" ht="18.75">
      <c r="A647" s="708"/>
      <c r="B647" s="538"/>
      <c r="C647" s="727"/>
      <c r="D647" s="592"/>
      <c r="E647" s="710" t="s">
        <v>162</v>
      </c>
      <c r="F647" s="592"/>
      <c r="G647" s="726"/>
      <c r="H647" s="728" t="s">
        <v>35</v>
      </c>
      <c r="I647" s="269">
        <f ca="1">IFERROR(__xludf.DUMMYFUNCTION("IMPORTRANGE(""https://docs.google.com/spreadsheets/d/1QqKyyYR6Q21VydFLVH3TRQUabQu_ym0Zz7PgGX0-kHA/edit?usp=sharing"",""แผน!HS24"")"),25)</f>
        <v>25</v>
      </c>
      <c r="J647" s="269">
        <f ca="1">IFERROR(__xludf.DUMMYFUNCTION("IMPORTRANGE(""https://docs.google.com/spreadsheets/d/1XWAQStnk-4SwqDmLtmXYiTMKHgktTP8We1SCoS47DrQ/edit?usp=sharing"",""จัดที่ดิน!AU24"")"),0)</f>
        <v>0</v>
      </c>
      <c r="K647" s="163">
        <f t="shared" ca="1" si="270"/>
        <v>0</v>
      </c>
      <c r="L647" s="163"/>
      <c r="M647" s="163"/>
      <c r="N647" s="163"/>
      <c r="O647" s="163"/>
      <c r="P647" s="163"/>
      <c r="Q647" s="541"/>
      <c r="R647" s="541"/>
      <c r="S647" s="541"/>
      <c r="T647" s="541"/>
      <c r="U647" s="541"/>
      <c r="V647" s="541"/>
      <c r="W647" s="541"/>
      <c r="X647" s="541"/>
      <c r="Y647" s="541"/>
      <c r="Z647" s="541"/>
    </row>
    <row r="648" spans="1:26" ht="18.75">
      <c r="A648" s="708"/>
      <c r="B648" s="538"/>
      <c r="C648" s="727"/>
      <c r="D648" s="592"/>
      <c r="E648" s="592"/>
      <c r="F648" s="592"/>
      <c r="G648" s="726"/>
      <c r="H648" s="728" t="s">
        <v>46</v>
      </c>
      <c r="I648" s="269">
        <v>0</v>
      </c>
      <c r="J648" s="269">
        <f ca="1">IFERROR(__xludf.DUMMYFUNCTION("IMPORTRANGE(""https://docs.google.com/spreadsheets/d/1XWAQStnk-4SwqDmLtmXYiTMKHgktTP8We1SCoS47DrQ/edit?usp=sharing"",""จัดที่ดิน!AV24"")"),0)</f>
        <v>0</v>
      </c>
      <c r="K648" s="465">
        <f t="shared" si="270"/>
        <v>0</v>
      </c>
      <c r="L648" s="163"/>
      <c r="M648" s="163"/>
      <c r="N648" s="163"/>
      <c r="O648" s="163"/>
      <c r="P648" s="163"/>
      <c r="Q648" s="541"/>
      <c r="R648" s="541"/>
      <c r="S648" s="541"/>
      <c r="T648" s="541"/>
      <c r="U648" s="541"/>
      <c r="V648" s="541"/>
      <c r="W648" s="541"/>
      <c r="X648" s="541"/>
      <c r="Y648" s="541"/>
      <c r="Z648" s="541"/>
    </row>
    <row r="649" spans="1:26" ht="18.75">
      <c r="A649" s="708"/>
      <c r="B649" s="538"/>
      <c r="C649" s="727"/>
      <c r="D649" s="592"/>
      <c r="E649" s="710" t="s">
        <v>276</v>
      </c>
      <c r="F649" s="592"/>
      <c r="G649" s="726"/>
      <c r="H649" s="728" t="s">
        <v>35</v>
      </c>
      <c r="I649" s="269">
        <f ca="1">IFERROR(__xludf.DUMMYFUNCTION("IMPORTRANGE(""https://docs.google.com/spreadsheets/d/1QqKyyYR6Q21VydFLVH3TRQUabQu_ym0Zz7PgGX0-kHA/edit?usp=sharing"",""แผน!HS24"")"),25)</f>
        <v>25</v>
      </c>
      <c r="J649" s="269">
        <f ca="1">IFERROR(__xludf.DUMMYFUNCTION("IMPORTRANGE(""https://docs.google.com/spreadsheets/d/1XWAQStnk-4SwqDmLtmXYiTMKHgktTP8We1SCoS47DrQ/edit?usp=sharing"",""จัดที่ดิน!AW24"")"),0)</f>
        <v>0</v>
      </c>
      <c r="K649" s="163">
        <f t="shared" ca="1" si="270"/>
        <v>0</v>
      </c>
      <c r="L649" s="163"/>
      <c r="M649" s="163"/>
      <c r="N649" s="163"/>
      <c r="O649" s="163"/>
      <c r="P649" s="163"/>
      <c r="Q649" s="541"/>
      <c r="R649" s="541"/>
      <c r="S649" s="541"/>
      <c r="T649" s="541"/>
      <c r="U649" s="541"/>
      <c r="V649" s="541"/>
      <c r="W649" s="541"/>
      <c r="X649" s="541"/>
      <c r="Y649" s="541"/>
      <c r="Z649" s="541"/>
    </row>
    <row r="650" spans="1:26" ht="18.75">
      <c r="A650" s="708"/>
      <c r="B650" s="538"/>
      <c r="C650" s="727"/>
      <c r="D650" s="592"/>
      <c r="E650" s="592"/>
      <c r="F650" s="592"/>
      <c r="G650" s="726"/>
      <c r="H650" s="728" t="s">
        <v>46</v>
      </c>
      <c r="I650" s="269">
        <v>0</v>
      </c>
      <c r="J650" s="269">
        <f ca="1">IFERROR(__xludf.DUMMYFUNCTION("IMPORTRANGE(""https://docs.google.com/spreadsheets/d/1XWAQStnk-4SwqDmLtmXYiTMKHgktTP8We1SCoS47DrQ/edit?usp=sharing"",""จัดที่ดิน!AX24"")"),0)</f>
        <v>0</v>
      </c>
      <c r="K650" s="465">
        <f t="shared" si="270"/>
        <v>0</v>
      </c>
      <c r="L650" s="163"/>
      <c r="M650" s="163"/>
      <c r="N650" s="163"/>
      <c r="O650" s="163"/>
      <c r="P650" s="163"/>
      <c r="Q650" s="541"/>
      <c r="R650" s="541"/>
      <c r="S650" s="541"/>
      <c r="T650" s="541"/>
      <c r="U650" s="541"/>
      <c r="V650" s="541"/>
      <c r="W650" s="541"/>
      <c r="X650" s="541"/>
      <c r="Y650" s="541"/>
      <c r="Z650" s="541"/>
    </row>
    <row r="651" spans="1:26" ht="18.75">
      <c r="A651" s="708"/>
      <c r="B651" s="538"/>
      <c r="C651" s="727"/>
      <c r="D651" s="592"/>
      <c r="E651" s="710" t="s">
        <v>277</v>
      </c>
      <c r="F651" s="592"/>
      <c r="G651" s="726"/>
      <c r="H651" s="728" t="s">
        <v>35</v>
      </c>
      <c r="I651" s="269">
        <f ca="1">IFERROR(__xludf.DUMMYFUNCTION("IMPORTRANGE(""https://docs.google.com/spreadsheets/d/1QqKyyYR6Q21VydFLVH3TRQUabQu_ym0Zz7PgGX0-kHA/edit?usp=sharing"",""แผน!HS24"")"),25)</f>
        <v>25</v>
      </c>
      <c r="J651" s="269">
        <f ca="1">IFERROR(__xludf.DUMMYFUNCTION("IMPORTRANGE(""https://docs.google.com/spreadsheets/d/1XWAQStnk-4SwqDmLtmXYiTMKHgktTP8We1SCoS47DrQ/edit?usp=sharing"",""จัดที่ดิน!AY24"")"),0)</f>
        <v>0</v>
      </c>
      <c r="K651" s="163">
        <f t="shared" ca="1" si="270"/>
        <v>0</v>
      </c>
      <c r="L651" s="163"/>
      <c r="M651" s="163"/>
      <c r="N651" s="163"/>
      <c r="O651" s="163"/>
      <c r="P651" s="163"/>
      <c r="Q651" s="541"/>
      <c r="R651" s="541"/>
      <c r="S651" s="541"/>
      <c r="T651" s="541"/>
      <c r="U651" s="541"/>
      <c r="V651" s="541"/>
      <c r="W651" s="541"/>
      <c r="X651" s="541"/>
      <c r="Y651" s="541"/>
      <c r="Z651" s="541"/>
    </row>
    <row r="652" spans="1:26" ht="18.75">
      <c r="A652" s="711"/>
      <c r="B652" s="712"/>
      <c r="C652" s="713"/>
      <c r="D652" s="698"/>
      <c r="E652" s="698"/>
      <c r="F652" s="698"/>
      <c r="G652" s="699"/>
      <c r="H652" s="467" t="s">
        <v>46</v>
      </c>
      <c r="I652" s="468">
        <v>0</v>
      </c>
      <c r="J652" s="468">
        <f ca="1">IFERROR(__xludf.DUMMYFUNCTION("IMPORTRANGE(""https://docs.google.com/spreadsheets/d/1XWAQStnk-4SwqDmLtmXYiTMKHgktTP8We1SCoS47DrQ/edit?usp=sharing"",""จัดที่ดิน!AZ24"")"),0)</f>
        <v>0</v>
      </c>
      <c r="K652" s="469">
        <f t="shared" si="270"/>
        <v>0</v>
      </c>
      <c r="L652" s="353"/>
      <c r="M652" s="353"/>
      <c r="N652" s="353"/>
      <c r="O652" s="353"/>
      <c r="P652" s="353"/>
      <c r="Q652" s="541"/>
      <c r="R652" s="541"/>
      <c r="S652" s="541"/>
      <c r="T652" s="541"/>
      <c r="U652" s="541"/>
      <c r="V652" s="541"/>
      <c r="W652" s="541"/>
      <c r="X652" s="541"/>
      <c r="Y652" s="541"/>
      <c r="Z652" s="541"/>
    </row>
    <row r="653" spans="1:26" ht="19.5" hidden="1">
      <c r="A653" s="714">
        <v>8</v>
      </c>
      <c r="B653" s="701" t="s">
        <v>278</v>
      </c>
      <c r="C653" s="702"/>
      <c r="D653" s="702"/>
      <c r="E653" s="702"/>
      <c r="F653" s="702"/>
      <c r="G653" s="703"/>
      <c r="H653" s="703"/>
      <c r="I653" s="715"/>
      <c r="J653" s="715"/>
      <c r="K653" s="707"/>
      <c r="L653" s="707"/>
      <c r="M653" s="707"/>
      <c r="N653" s="707"/>
      <c r="O653" s="707"/>
      <c r="P653" s="707"/>
      <c r="Q653" s="541"/>
      <c r="R653" s="541"/>
      <c r="S653" s="541"/>
      <c r="T653" s="541"/>
      <c r="U653" s="541"/>
      <c r="V653" s="541"/>
      <c r="W653" s="541"/>
      <c r="X653" s="541"/>
      <c r="Y653" s="541"/>
      <c r="Z653" s="541"/>
    </row>
    <row r="654" spans="1:26" ht="19.5" hidden="1">
      <c r="A654" s="639"/>
      <c r="B654" s="638" t="s">
        <v>279</v>
      </c>
      <c r="C654" s="639"/>
      <c r="D654" s="639"/>
      <c r="E654" s="639"/>
      <c r="F654" s="639"/>
      <c r="G654" s="640"/>
      <c r="H654" s="671" t="s">
        <v>46</v>
      </c>
      <c r="I654" s="672">
        <f t="shared" ref="I654:J654" ca="1" si="271">I669</f>
        <v>0</v>
      </c>
      <c r="J654" s="672">
        <f t="shared" si="271"/>
        <v>0</v>
      </c>
      <c r="K654" s="643">
        <f ca="1">IF(I654&gt;0,J654*100/I654,0)</f>
        <v>0</v>
      </c>
      <c r="L654" s="644"/>
      <c r="M654" s="644"/>
      <c r="N654" s="644"/>
      <c r="O654" s="644"/>
      <c r="P654" s="644"/>
      <c r="Q654" s="541"/>
      <c r="R654" s="541"/>
      <c r="S654" s="541"/>
      <c r="T654" s="541"/>
      <c r="U654" s="541"/>
      <c r="V654" s="541"/>
      <c r="W654" s="541"/>
      <c r="X654" s="541"/>
      <c r="Y654" s="541"/>
      <c r="Z654" s="541"/>
    </row>
    <row r="655" spans="1:26" ht="19.5" hidden="1">
      <c r="A655" s="561"/>
      <c r="B655" s="727"/>
      <c r="C655" s="727" t="s">
        <v>16</v>
      </c>
      <c r="D655" s="811" t="s">
        <v>17</v>
      </c>
      <c r="E655" s="805"/>
      <c r="F655" s="805"/>
      <c r="G655" s="189"/>
      <c r="H655" s="562" t="s">
        <v>12</v>
      </c>
      <c r="I655" s="269"/>
      <c r="J655" s="269"/>
      <c r="K655" s="465"/>
      <c r="L655" s="195">
        <f t="shared" ref="L655:N655" ca="1" si="272">L656+L657</f>
        <v>0</v>
      </c>
      <c r="M655" s="195">
        <f t="shared" si="272"/>
        <v>0</v>
      </c>
      <c r="N655" s="195">
        <f t="shared" si="272"/>
        <v>0</v>
      </c>
      <c r="O655" s="195">
        <f t="shared" ref="O655:O660" ca="1" si="273">IF(L655&gt;0,N655*100/L655,0)</f>
        <v>0</v>
      </c>
      <c r="P655" s="195">
        <f t="shared" ref="P655:P660" si="274">IF(M655&gt;0,N655*100/M655,0)</f>
        <v>0</v>
      </c>
      <c r="Q655" s="541"/>
      <c r="R655" s="541"/>
      <c r="S655" s="541"/>
      <c r="T655" s="541"/>
      <c r="U655" s="541"/>
      <c r="V655" s="541"/>
      <c r="W655" s="541"/>
      <c r="X655" s="541"/>
      <c r="Y655" s="541"/>
      <c r="Z655" s="541"/>
    </row>
    <row r="656" spans="1:26" ht="18.75" hidden="1">
      <c r="A656" s="563"/>
      <c r="B656" s="723"/>
      <c r="C656" s="723"/>
      <c r="D656" s="684"/>
      <c r="E656" s="723" t="s">
        <v>184</v>
      </c>
      <c r="F656" s="723"/>
      <c r="G656" s="567"/>
      <c r="H656" s="165" t="s">
        <v>12</v>
      </c>
      <c r="I656" s="583"/>
      <c r="J656" s="583"/>
      <c r="K656" s="93"/>
      <c r="L656" s="93">
        <f t="shared" ref="L656:N657" si="275">L659+L666</f>
        <v>0</v>
      </c>
      <c r="M656" s="93">
        <f t="shared" si="275"/>
        <v>0</v>
      </c>
      <c r="N656" s="93">
        <f t="shared" si="275"/>
        <v>0</v>
      </c>
      <c r="O656" s="93">
        <f t="shared" si="273"/>
        <v>0</v>
      </c>
      <c r="P656" s="93">
        <f t="shared" si="274"/>
        <v>0</v>
      </c>
      <c r="Q656" s="568"/>
      <c r="R656" s="568"/>
      <c r="S656" s="568"/>
      <c r="T656" s="568"/>
      <c r="U656" s="568"/>
      <c r="V656" s="568"/>
      <c r="W656" s="568"/>
      <c r="X656" s="568"/>
      <c r="Y656" s="568"/>
      <c r="Z656" s="568"/>
    </row>
    <row r="657" spans="1:26" ht="18.75" hidden="1">
      <c r="A657" s="563"/>
      <c r="B657" s="571"/>
      <c r="C657" s="723"/>
      <c r="D657" s="684"/>
      <c r="E657" s="723" t="s">
        <v>185</v>
      </c>
      <c r="F657" s="723"/>
      <c r="G657" s="567"/>
      <c r="H657" s="165" t="s">
        <v>12</v>
      </c>
      <c r="I657" s="583"/>
      <c r="J657" s="583"/>
      <c r="K657" s="93"/>
      <c r="L657" s="93">
        <f t="shared" ca="1" si="275"/>
        <v>0</v>
      </c>
      <c r="M657" s="93">
        <f t="shared" si="275"/>
        <v>0</v>
      </c>
      <c r="N657" s="93">
        <f t="shared" si="275"/>
        <v>0</v>
      </c>
      <c r="O657" s="93">
        <f t="shared" ca="1" si="273"/>
        <v>0</v>
      </c>
      <c r="P657" s="93">
        <f t="shared" si="274"/>
        <v>0</v>
      </c>
      <c r="Q657" s="568"/>
      <c r="R657" s="568"/>
      <c r="S657" s="568"/>
      <c r="T657" s="568"/>
      <c r="U657" s="568"/>
      <c r="V657" s="568"/>
      <c r="W657" s="568"/>
      <c r="X657" s="568"/>
      <c r="Y657" s="568"/>
      <c r="Z657" s="568"/>
    </row>
    <row r="658" spans="1:26" ht="18.75" hidden="1">
      <c r="A658" s="561"/>
      <c r="B658" s="538"/>
      <c r="C658" s="727"/>
      <c r="D658" s="570" t="s">
        <v>20</v>
      </c>
      <c r="E658" s="727"/>
      <c r="F658" s="727"/>
      <c r="G658" s="189"/>
      <c r="H658" s="161" t="s">
        <v>12</v>
      </c>
      <c r="I658" s="184"/>
      <c r="J658" s="184"/>
      <c r="K658" s="163"/>
      <c r="L658" s="465">
        <f t="shared" ref="L658:N658" ca="1" si="276">L659+L660</f>
        <v>0</v>
      </c>
      <c r="M658" s="465">
        <f t="shared" si="276"/>
        <v>0</v>
      </c>
      <c r="N658" s="465">
        <f t="shared" si="276"/>
        <v>0</v>
      </c>
      <c r="O658" s="465">
        <f t="shared" ca="1" si="273"/>
        <v>0</v>
      </c>
      <c r="P658" s="465">
        <f t="shared" si="274"/>
        <v>0</v>
      </c>
      <c r="Q658" s="541"/>
      <c r="R658" s="541"/>
      <c r="S658" s="541"/>
      <c r="T658" s="541"/>
      <c r="U658" s="541"/>
      <c r="V658" s="541"/>
      <c r="W658" s="541"/>
      <c r="X658" s="541"/>
      <c r="Y658" s="541"/>
      <c r="Z658" s="541"/>
    </row>
    <row r="659" spans="1:26" ht="18.75" hidden="1">
      <c r="A659" s="563"/>
      <c r="B659" s="571"/>
      <c r="C659" s="723"/>
      <c r="D659" s="684"/>
      <c r="E659" s="723" t="s">
        <v>184</v>
      </c>
      <c r="F659" s="723"/>
      <c r="G659" s="567"/>
      <c r="H659" s="165" t="s">
        <v>12</v>
      </c>
      <c r="I659" s="583"/>
      <c r="J659" s="583"/>
      <c r="K659" s="93"/>
      <c r="L659" s="93">
        <v>0</v>
      </c>
      <c r="M659" s="93">
        <v>0</v>
      </c>
      <c r="N659" s="93">
        <v>0</v>
      </c>
      <c r="O659" s="93">
        <f t="shared" si="273"/>
        <v>0</v>
      </c>
      <c r="P659" s="93">
        <f t="shared" si="274"/>
        <v>0</v>
      </c>
      <c r="Q659" s="568"/>
      <c r="R659" s="568"/>
      <c r="S659" s="568"/>
      <c r="T659" s="568"/>
      <c r="U659" s="568"/>
      <c r="V659" s="568"/>
      <c r="W659" s="568"/>
      <c r="X659" s="568"/>
      <c r="Y659" s="568"/>
      <c r="Z659" s="568"/>
    </row>
    <row r="660" spans="1:26" ht="18.75" hidden="1">
      <c r="A660" s="563"/>
      <c r="B660" s="571"/>
      <c r="C660" s="723"/>
      <c r="D660" s="684"/>
      <c r="E660" s="723" t="s">
        <v>185</v>
      </c>
      <c r="F660" s="723"/>
      <c r="G660" s="567"/>
      <c r="H660" s="165" t="s">
        <v>12</v>
      </c>
      <c r="I660" s="583"/>
      <c r="J660" s="583"/>
      <c r="K660" s="93"/>
      <c r="L660" s="93">
        <f ca="1">IFERROR(__xludf.DUMMYFUNCTION("IMPORTRANGE(""https://docs.google.com/spreadsheets/d/1QqKyyYR6Q21VydFLVH3TRQUabQu_ym0Zz7PgGX0-kHA/edit?usp=sharing"",""แผน!HV24"")"),0)</f>
        <v>0</v>
      </c>
      <c r="M660" s="93">
        <v>0</v>
      </c>
      <c r="N660" s="93">
        <f>N661+N662+N663+N664</f>
        <v>0</v>
      </c>
      <c r="O660" s="93">
        <f t="shared" ca="1" si="273"/>
        <v>0</v>
      </c>
      <c r="P660" s="93">
        <f t="shared" si="274"/>
        <v>0</v>
      </c>
      <c r="Q660" s="568"/>
      <c r="R660" s="568"/>
      <c r="S660" s="568"/>
      <c r="T660" s="568"/>
      <c r="U660" s="568"/>
      <c r="V660" s="568"/>
      <c r="W660" s="568"/>
      <c r="X660" s="568"/>
      <c r="Y660" s="568"/>
      <c r="Z660" s="568"/>
    </row>
    <row r="661" spans="1:26" ht="18.75" hidden="1">
      <c r="A661" s="537"/>
      <c r="B661" s="538"/>
      <c r="C661" s="727"/>
      <c r="D661" s="727"/>
      <c r="E661" s="727"/>
      <c r="F661" s="727" t="s">
        <v>186</v>
      </c>
      <c r="G661" s="189"/>
      <c r="H661" s="161" t="s">
        <v>12</v>
      </c>
      <c r="I661" s="269"/>
      <c r="J661" s="269"/>
      <c r="K661" s="465"/>
      <c r="L661" s="465"/>
      <c r="M661" s="465"/>
      <c r="N661" s="789">
        <v>0</v>
      </c>
      <c r="O661" s="465"/>
      <c r="P661" s="465"/>
      <c r="Q661" s="541"/>
      <c r="R661" s="541"/>
      <c r="S661" s="541"/>
      <c r="T661" s="541"/>
      <c r="U661" s="541"/>
      <c r="V661" s="541"/>
      <c r="W661" s="541"/>
      <c r="X661" s="541"/>
      <c r="Y661" s="541"/>
      <c r="Z661" s="541"/>
    </row>
    <row r="662" spans="1:26" ht="18.75" hidden="1">
      <c r="A662" s="537"/>
      <c r="B662" s="538"/>
      <c r="C662" s="727"/>
      <c r="D662" s="727"/>
      <c r="E662" s="727"/>
      <c r="F662" s="727" t="s">
        <v>187</v>
      </c>
      <c r="G662" s="189"/>
      <c r="H662" s="161" t="s">
        <v>12</v>
      </c>
      <c r="I662" s="269"/>
      <c r="J662" s="269"/>
      <c r="K662" s="465"/>
      <c r="L662" s="465"/>
      <c r="M662" s="465"/>
      <c r="N662" s="789">
        <v>0</v>
      </c>
      <c r="O662" s="465"/>
      <c r="P662" s="465"/>
      <c r="Q662" s="541"/>
      <c r="R662" s="541"/>
      <c r="S662" s="541"/>
      <c r="T662" s="541"/>
      <c r="U662" s="541"/>
      <c r="V662" s="541"/>
      <c r="W662" s="541"/>
      <c r="X662" s="541"/>
      <c r="Y662" s="541"/>
      <c r="Z662" s="541"/>
    </row>
    <row r="663" spans="1:26" ht="18.75" hidden="1">
      <c r="A663" s="537"/>
      <c r="B663" s="538"/>
      <c r="C663" s="538"/>
      <c r="D663" s="727"/>
      <c r="E663" s="727"/>
      <c r="F663" s="727" t="s">
        <v>188</v>
      </c>
      <c r="G663" s="189"/>
      <c r="H663" s="161" t="s">
        <v>12</v>
      </c>
      <c r="I663" s="269"/>
      <c r="J663" s="269"/>
      <c r="K663" s="465"/>
      <c r="L663" s="465"/>
      <c r="M663" s="465"/>
      <c r="N663" s="789">
        <v>0</v>
      </c>
      <c r="O663" s="465"/>
      <c r="P663" s="465"/>
      <c r="Q663" s="541"/>
      <c r="R663" s="541"/>
      <c r="S663" s="541"/>
      <c r="T663" s="541"/>
      <c r="U663" s="541"/>
      <c r="V663" s="541"/>
      <c r="W663" s="541"/>
      <c r="X663" s="541"/>
      <c r="Y663" s="541"/>
      <c r="Z663" s="541"/>
    </row>
    <row r="664" spans="1:26" ht="18.75" hidden="1">
      <c r="A664" s="537"/>
      <c r="B664" s="538"/>
      <c r="C664" s="538"/>
      <c r="D664" s="538"/>
      <c r="E664" s="727"/>
      <c r="F664" s="727" t="s">
        <v>189</v>
      </c>
      <c r="G664" s="189"/>
      <c r="H664" s="161" t="s">
        <v>12</v>
      </c>
      <c r="I664" s="269"/>
      <c r="J664" s="269"/>
      <c r="K664" s="465"/>
      <c r="L664" s="465"/>
      <c r="M664" s="465"/>
      <c r="N664" s="789">
        <v>0</v>
      </c>
      <c r="O664" s="465"/>
      <c r="P664" s="465"/>
      <c r="Q664" s="541"/>
      <c r="R664" s="541"/>
      <c r="S664" s="541"/>
      <c r="T664" s="541"/>
      <c r="U664" s="541"/>
      <c r="V664" s="541"/>
      <c r="W664" s="541"/>
      <c r="X664" s="541"/>
      <c r="Y664" s="541"/>
      <c r="Z664" s="541"/>
    </row>
    <row r="665" spans="1:26" ht="18.75" hidden="1">
      <c r="A665" s="561"/>
      <c r="B665" s="538"/>
      <c r="C665" s="538"/>
      <c r="D665" s="570" t="s">
        <v>21</v>
      </c>
      <c r="E665" s="727"/>
      <c r="F665" s="727"/>
      <c r="G665" s="189"/>
      <c r="H665" s="168" t="s">
        <v>12</v>
      </c>
      <c r="I665" s="184"/>
      <c r="J665" s="184"/>
      <c r="K665" s="163"/>
      <c r="L665" s="465">
        <f t="shared" ref="L665:N665" si="277">L666+L667</f>
        <v>0</v>
      </c>
      <c r="M665" s="465">
        <f t="shared" si="277"/>
        <v>0</v>
      </c>
      <c r="N665" s="465">
        <f t="shared" si="277"/>
        <v>0</v>
      </c>
      <c r="O665" s="465">
        <f t="shared" ref="O665:O667" si="278">IF(L665&gt;0,N665*100/L665,0)</f>
        <v>0</v>
      </c>
      <c r="P665" s="465">
        <f t="shared" ref="P665:P667" si="279">IF(M665&gt;0,N665*100/M665,0)</f>
        <v>0</v>
      </c>
      <c r="Q665" s="541"/>
      <c r="R665" s="541"/>
      <c r="S665" s="541"/>
      <c r="T665" s="541"/>
      <c r="U665" s="541"/>
      <c r="V665" s="541"/>
      <c r="W665" s="541"/>
      <c r="X665" s="541"/>
      <c r="Y665" s="541"/>
      <c r="Z665" s="541"/>
    </row>
    <row r="666" spans="1:26" ht="18.75" hidden="1">
      <c r="A666" s="563"/>
      <c r="B666" s="571"/>
      <c r="C666" s="571"/>
      <c r="D666" s="571"/>
      <c r="E666" s="723" t="s">
        <v>18</v>
      </c>
      <c r="F666" s="723"/>
      <c r="G666" s="567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8"/>
        <v>0</v>
      </c>
      <c r="P666" s="93">
        <f t="shared" si="279"/>
        <v>0</v>
      </c>
      <c r="Q666" s="568"/>
      <c r="R666" s="568"/>
      <c r="S666" s="568"/>
      <c r="T666" s="568"/>
      <c r="U666" s="568"/>
      <c r="V666" s="568"/>
      <c r="W666" s="568"/>
      <c r="X666" s="568"/>
      <c r="Y666" s="568"/>
      <c r="Z666" s="568"/>
    </row>
    <row r="667" spans="1:26" ht="18.75" hidden="1">
      <c r="A667" s="563"/>
      <c r="B667" s="571"/>
      <c r="C667" s="571"/>
      <c r="D667" s="571"/>
      <c r="E667" s="723" t="s">
        <v>19</v>
      </c>
      <c r="F667" s="723"/>
      <c r="G667" s="567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8"/>
        <v>0</v>
      </c>
      <c r="P667" s="93">
        <f t="shared" si="279"/>
        <v>0</v>
      </c>
      <c r="Q667" s="568"/>
      <c r="R667" s="568"/>
      <c r="S667" s="568"/>
      <c r="T667" s="568"/>
      <c r="U667" s="568"/>
      <c r="V667" s="568"/>
      <c r="W667" s="568"/>
      <c r="X667" s="568"/>
      <c r="Y667" s="568"/>
      <c r="Z667" s="568"/>
    </row>
    <row r="668" spans="1:26" ht="19.5" hidden="1">
      <c r="A668" s="572"/>
      <c r="B668" s="584"/>
      <c r="C668" s="538" t="s">
        <v>16</v>
      </c>
      <c r="D668" s="850" t="s">
        <v>38</v>
      </c>
      <c r="E668" s="725"/>
      <c r="F668" s="725"/>
      <c r="G668" s="577"/>
      <c r="H668" s="726"/>
      <c r="I668" s="184"/>
      <c r="J668" s="184"/>
      <c r="K668" s="163"/>
      <c r="L668" s="163"/>
      <c r="M668" s="163"/>
      <c r="N668" s="163"/>
      <c r="O668" s="163"/>
      <c r="P668" s="163"/>
      <c r="Q668" s="541"/>
      <c r="R668" s="541"/>
      <c r="S668" s="541"/>
      <c r="T668" s="541"/>
      <c r="U668" s="541"/>
      <c r="V668" s="541"/>
      <c r="W668" s="541"/>
      <c r="X668" s="541"/>
      <c r="Y668" s="541"/>
      <c r="Z668" s="541"/>
    </row>
    <row r="669" spans="1:26" ht="19.5" hidden="1">
      <c r="A669" s="572"/>
      <c r="B669" s="584"/>
      <c r="C669" s="584"/>
      <c r="D669" s="584" t="s">
        <v>280</v>
      </c>
      <c r="E669" s="592"/>
      <c r="F669" s="592"/>
      <c r="G669" s="726"/>
      <c r="H669" s="731" t="s">
        <v>46</v>
      </c>
      <c r="I669" s="647">
        <f ca="1">IFERROR(__xludf.DUMMYFUNCTION("IMPORTRANGE(""https://docs.google.com/spreadsheets/d/1QqKyyYR6Q21VydFLVH3TRQUabQu_ym0Zz7PgGX0-kHA/edit?usp=sharing"",""แผน!IA24"")"),0)</f>
        <v>0</v>
      </c>
      <c r="J669" s="647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41"/>
      <c r="R669" s="541"/>
      <c r="S669" s="541"/>
      <c r="T669" s="541"/>
      <c r="U669" s="541"/>
      <c r="V669" s="541"/>
      <c r="W669" s="541"/>
      <c r="X669" s="541"/>
      <c r="Y669" s="541"/>
      <c r="Z669" s="541"/>
    </row>
    <row r="670" spans="1:26" ht="18.75" hidden="1">
      <c r="A670" s="572"/>
      <c r="B670" s="584"/>
      <c r="C670" s="584"/>
      <c r="D670" s="584"/>
      <c r="E670" s="592" t="s">
        <v>281</v>
      </c>
      <c r="F670" s="592"/>
      <c r="G670" s="726"/>
      <c r="H670" s="728" t="s">
        <v>69</v>
      </c>
      <c r="I670" s="269">
        <f ca="1">IFERROR(__xludf.DUMMYFUNCTION("IMPORTRANGE(""https://docs.google.com/spreadsheets/d/1QqKyyYR6Q21VydFLVH3TRQUabQu_ym0Zz7PgGX0-kHA/edit?usp=sharing"",""แผน!HZ24"")"),0)</f>
        <v>0</v>
      </c>
      <c r="J670" s="214">
        <v>0</v>
      </c>
      <c r="K670" s="465">
        <f ca="1">IF(I670&gt;0,(J670*100)/I670,0)</f>
        <v>0</v>
      </c>
      <c r="L670" s="163"/>
      <c r="M670" s="163"/>
      <c r="N670" s="163"/>
      <c r="O670" s="163"/>
      <c r="P670" s="163"/>
      <c r="Q670" s="541"/>
      <c r="R670" s="541"/>
      <c r="S670" s="541"/>
      <c r="T670" s="541"/>
      <c r="U670" s="541"/>
      <c r="V670" s="541"/>
      <c r="W670" s="541"/>
      <c r="X670" s="541"/>
      <c r="Y670" s="541"/>
      <c r="Z670" s="541"/>
    </row>
    <row r="671" spans="1:26" ht="18.75" hidden="1">
      <c r="A671" s="572"/>
      <c r="B671" s="584"/>
      <c r="C671" s="584"/>
      <c r="D671" s="584"/>
      <c r="E671" s="592" t="s">
        <v>282</v>
      </c>
      <c r="F671" s="592"/>
      <c r="G671" s="726"/>
      <c r="H671" s="728" t="s">
        <v>69</v>
      </c>
      <c r="I671" s="269">
        <f ca="1">IFERROR(__xludf.DUMMYFUNCTION("IMPORTRANGE(""https://docs.google.com/spreadsheets/d/1QqKyyYR6Q21VydFLVH3TRQUabQu_ym0Zz7PgGX0-kHA/edit?usp=sharing"",""แผน!HZ24"")"),0)</f>
        <v>0</v>
      </c>
      <c r="J671" s="214">
        <v>0</v>
      </c>
      <c r="K671" s="465">
        <f ca="1">IF(I$671&gt;0,J671*100/I$671,0)</f>
        <v>0</v>
      </c>
      <c r="L671" s="163"/>
      <c r="M671" s="163"/>
      <c r="N671" s="163"/>
      <c r="O671" s="163"/>
      <c r="P671" s="163"/>
      <c r="Q671" s="541"/>
      <c r="R671" s="541"/>
      <c r="S671" s="541"/>
      <c r="T671" s="541"/>
      <c r="U671" s="541"/>
      <c r="V671" s="541"/>
      <c r="W671" s="541"/>
      <c r="X671" s="541"/>
      <c r="Y671" s="541"/>
      <c r="Z671" s="541"/>
    </row>
    <row r="672" spans="1:26" ht="18.75" hidden="1">
      <c r="A672" s="572"/>
      <c r="B672" s="584"/>
      <c r="C672" s="584"/>
      <c r="D672" s="584"/>
      <c r="E672" s="592" t="s">
        <v>283</v>
      </c>
      <c r="F672" s="592"/>
      <c r="G672" s="726"/>
      <c r="H672" s="728" t="s">
        <v>46</v>
      </c>
      <c r="I672" s="269"/>
      <c r="J672" s="214">
        <v>0</v>
      </c>
      <c r="K672" s="465">
        <f t="shared" ref="K672:K675" ca="1" si="280">IF(I$669&gt;0,J672*100/I$669,0)</f>
        <v>0</v>
      </c>
      <c r="L672" s="163"/>
      <c r="M672" s="163"/>
      <c r="N672" s="163"/>
      <c r="O672" s="163"/>
      <c r="P672" s="163"/>
      <c r="Q672" s="541"/>
      <c r="R672" s="541"/>
      <c r="S672" s="541"/>
      <c r="T672" s="541"/>
      <c r="U672" s="541"/>
      <c r="V672" s="541"/>
      <c r="W672" s="541"/>
      <c r="X672" s="541"/>
      <c r="Y672" s="541"/>
      <c r="Z672" s="541"/>
    </row>
    <row r="673" spans="1:26" ht="18.75" hidden="1">
      <c r="A673" s="572"/>
      <c r="B673" s="584"/>
      <c r="C673" s="584"/>
      <c r="D673" s="584"/>
      <c r="E673" s="592" t="s">
        <v>284</v>
      </c>
      <c r="F673" s="592"/>
      <c r="G673" s="726"/>
      <c r="H673" s="728" t="s">
        <v>46</v>
      </c>
      <c r="I673" s="269"/>
      <c r="J673" s="214">
        <v>0</v>
      </c>
      <c r="K673" s="465">
        <f t="shared" ca="1" si="280"/>
        <v>0</v>
      </c>
      <c r="L673" s="163"/>
      <c r="M673" s="163"/>
      <c r="N673" s="163"/>
      <c r="O673" s="163"/>
      <c r="P673" s="163"/>
      <c r="Q673" s="541"/>
      <c r="R673" s="541"/>
      <c r="S673" s="541"/>
      <c r="T673" s="541"/>
      <c r="U673" s="541"/>
      <c r="V673" s="541"/>
      <c r="W673" s="541"/>
      <c r="X673" s="541"/>
      <c r="Y673" s="541"/>
      <c r="Z673" s="541"/>
    </row>
    <row r="674" spans="1:26" ht="18.75" hidden="1">
      <c r="A674" s="572"/>
      <c r="B674" s="584"/>
      <c r="C674" s="584"/>
      <c r="D674" s="584"/>
      <c r="E674" s="592" t="s">
        <v>285</v>
      </c>
      <c r="F674" s="592"/>
      <c r="G674" s="726"/>
      <c r="H674" s="728" t="s">
        <v>46</v>
      </c>
      <c r="I674" s="269"/>
      <c r="J674" s="214">
        <v>0</v>
      </c>
      <c r="K674" s="465">
        <f t="shared" ca="1" si="280"/>
        <v>0</v>
      </c>
      <c r="L674" s="163"/>
      <c r="M674" s="163"/>
      <c r="N674" s="163"/>
      <c r="O674" s="163"/>
      <c r="P674" s="163"/>
      <c r="Q674" s="541"/>
      <c r="R674" s="541"/>
      <c r="S674" s="541"/>
      <c r="T674" s="541"/>
      <c r="U674" s="541"/>
      <c r="V674" s="541"/>
      <c r="W674" s="541"/>
      <c r="X674" s="541"/>
      <c r="Y674" s="541"/>
      <c r="Z674" s="541"/>
    </row>
    <row r="675" spans="1:26" ht="19.5" hidden="1">
      <c r="A675" s="572"/>
      <c r="B675" s="584"/>
      <c r="C675" s="584"/>
      <c r="D675" s="584"/>
      <c r="E675" s="592" t="s">
        <v>286</v>
      </c>
      <c r="F675" s="592"/>
      <c r="G675" s="726"/>
      <c r="H675" s="728" t="s">
        <v>46</v>
      </c>
      <c r="I675" s="269"/>
      <c r="J675" s="647">
        <f>J676+J677</f>
        <v>0</v>
      </c>
      <c r="K675" s="195">
        <f t="shared" ca="1" si="280"/>
        <v>0</v>
      </c>
      <c r="L675" s="163"/>
      <c r="M675" s="163"/>
      <c r="N675" s="163"/>
      <c r="O675" s="163"/>
      <c r="P675" s="163"/>
      <c r="Q675" s="541"/>
      <c r="R675" s="541"/>
      <c r="S675" s="541"/>
      <c r="T675" s="541"/>
      <c r="U675" s="541"/>
      <c r="V675" s="541"/>
      <c r="W675" s="541"/>
      <c r="X675" s="541"/>
      <c r="Y675" s="541"/>
      <c r="Z675" s="541"/>
    </row>
    <row r="676" spans="1:26" ht="18.75" hidden="1">
      <c r="A676" s="572"/>
      <c r="B676" s="584"/>
      <c r="C676" s="584"/>
      <c r="D676" s="584"/>
      <c r="E676" s="592"/>
      <c r="F676" s="592" t="s">
        <v>287</v>
      </c>
      <c r="G676" s="726"/>
      <c r="H676" s="728" t="s">
        <v>46</v>
      </c>
      <c r="I676" s="269"/>
      <c r="J676" s="214">
        <v>0</v>
      </c>
      <c r="K676" s="465"/>
      <c r="L676" s="163"/>
      <c r="M676" s="163"/>
      <c r="N676" s="163"/>
      <c r="O676" s="163"/>
      <c r="P676" s="163"/>
      <c r="Q676" s="541"/>
      <c r="R676" s="541"/>
      <c r="S676" s="541"/>
      <c r="T676" s="541"/>
      <c r="U676" s="541"/>
      <c r="V676" s="541"/>
      <c r="W676" s="541"/>
      <c r="X676" s="541"/>
      <c r="Y676" s="541"/>
      <c r="Z676" s="541"/>
    </row>
    <row r="677" spans="1:26" ht="18.75" hidden="1">
      <c r="A677" s="572"/>
      <c r="B677" s="584"/>
      <c r="C677" s="584"/>
      <c r="D677" s="584"/>
      <c r="E677" s="592"/>
      <c r="F677" s="592" t="s">
        <v>288</v>
      </c>
      <c r="G677" s="726"/>
      <c r="H677" s="728" t="s">
        <v>46</v>
      </c>
      <c r="I677" s="269"/>
      <c r="J677" s="214">
        <v>0</v>
      </c>
      <c r="K677" s="465"/>
      <c r="L677" s="163"/>
      <c r="M677" s="163"/>
      <c r="N677" s="163"/>
      <c r="O677" s="163"/>
      <c r="P677" s="163"/>
      <c r="Q677" s="541"/>
      <c r="R677" s="541"/>
      <c r="S677" s="541"/>
      <c r="T677" s="541"/>
      <c r="U677" s="541"/>
      <c r="V677" s="541"/>
      <c r="W677" s="541"/>
      <c r="X677" s="541"/>
      <c r="Y677" s="541"/>
      <c r="Z677" s="541"/>
    </row>
    <row r="678" spans="1:26" ht="19.5" hidden="1">
      <c r="A678" s="572"/>
      <c r="B678" s="584"/>
      <c r="C678" s="584"/>
      <c r="D678" s="584" t="s">
        <v>289</v>
      </c>
      <c r="E678" s="592"/>
      <c r="F678" s="592"/>
      <c r="G678" s="726"/>
      <c r="H678" s="728" t="s">
        <v>46</v>
      </c>
      <c r="I678" s="647">
        <f ca="1">IFERROR(__xludf.DUMMYFUNCTION("IMPORTRANGE(""https://docs.google.com/spreadsheets/d/1QqKyyYR6Q21VydFLVH3TRQUabQu_ym0Zz7PgGX0-kHA/edit?usp=sharing"",""แผน!IB24"")"),0)</f>
        <v>0</v>
      </c>
      <c r="J678" s="647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41"/>
      <c r="R678" s="541"/>
      <c r="S678" s="541"/>
      <c r="T678" s="541"/>
      <c r="U678" s="541"/>
      <c r="V678" s="541"/>
      <c r="W678" s="541"/>
      <c r="X678" s="541"/>
      <c r="Y678" s="541"/>
      <c r="Z678" s="541"/>
    </row>
    <row r="679" spans="1:26" ht="18.75" hidden="1">
      <c r="A679" s="572"/>
      <c r="B679" s="584"/>
      <c r="C679" s="584"/>
      <c r="D679" s="584"/>
      <c r="E679" s="592" t="s">
        <v>290</v>
      </c>
      <c r="F679" s="592"/>
      <c r="G679" s="726"/>
      <c r="H679" s="728" t="s">
        <v>46</v>
      </c>
      <c r="I679" s="269"/>
      <c r="J679" s="269">
        <f>J680+J681</f>
        <v>0</v>
      </c>
      <c r="K679" s="465"/>
      <c r="L679" s="163"/>
      <c r="M679" s="163"/>
      <c r="N679" s="163"/>
      <c r="O679" s="163"/>
      <c r="P679" s="163"/>
      <c r="Q679" s="541"/>
      <c r="R679" s="541"/>
      <c r="S679" s="541"/>
      <c r="T679" s="541"/>
      <c r="U679" s="541"/>
      <c r="V679" s="541"/>
      <c r="W679" s="541"/>
      <c r="X679" s="541"/>
      <c r="Y679" s="541"/>
      <c r="Z679" s="541"/>
    </row>
    <row r="680" spans="1:26" ht="18.75" hidden="1">
      <c r="A680" s="572"/>
      <c r="B680" s="584"/>
      <c r="C680" s="584"/>
      <c r="D680" s="584"/>
      <c r="E680" s="592"/>
      <c r="F680" s="592" t="s">
        <v>287</v>
      </c>
      <c r="G680" s="726"/>
      <c r="H680" s="728" t="s">
        <v>46</v>
      </c>
      <c r="I680" s="269"/>
      <c r="J680" s="214">
        <v>0</v>
      </c>
      <c r="K680" s="465"/>
      <c r="L680" s="163"/>
      <c r="M680" s="163"/>
      <c r="N680" s="163"/>
      <c r="O680" s="163"/>
      <c r="P680" s="163"/>
      <c r="Q680" s="541"/>
      <c r="R680" s="541"/>
      <c r="S680" s="541"/>
      <c r="T680" s="541"/>
      <c r="U680" s="541"/>
      <c r="V680" s="541"/>
      <c r="W680" s="541"/>
      <c r="X680" s="541"/>
      <c r="Y680" s="541"/>
      <c r="Z680" s="541"/>
    </row>
    <row r="681" spans="1:26" ht="18.75" hidden="1">
      <c r="A681" s="572"/>
      <c r="B681" s="584"/>
      <c r="C681" s="584"/>
      <c r="D681" s="584"/>
      <c r="E681" s="592"/>
      <c r="F681" s="592" t="s">
        <v>288</v>
      </c>
      <c r="G681" s="726"/>
      <c r="H681" s="728" t="s">
        <v>46</v>
      </c>
      <c r="I681" s="269"/>
      <c r="J681" s="214">
        <v>0</v>
      </c>
      <c r="K681" s="465"/>
      <c r="L681" s="163"/>
      <c r="M681" s="163"/>
      <c r="N681" s="163"/>
      <c r="O681" s="163"/>
      <c r="P681" s="163"/>
      <c r="Q681" s="541"/>
      <c r="R681" s="541"/>
      <c r="S681" s="541"/>
      <c r="T681" s="541"/>
      <c r="U681" s="541"/>
      <c r="V681" s="541"/>
      <c r="W681" s="541"/>
      <c r="X681" s="541"/>
      <c r="Y681" s="541"/>
      <c r="Z681" s="541"/>
    </row>
    <row r="682" spans="1:26" ht="18.75" hidden="1">
      <c r="A682" s="572"/>
      <c r="B682" s="584"/>
      <c r="C682" s="584"/>
      <c r="D682" s="584"/>
      <c r="E682" s="592" t="s">
        <v>291</v>
      </c>
      <c r="F682" s="592"/>
      <c r="G682" s="726"/>
      <c r="H682" s="728" t="s">
        <v>46</v>
      </c>
      <c r="I682" s="269"/>
      <c r="J682" s="214">
        <v>0</v>
      </c>
      <c r="K682" s="465"/>
      <c r="L682" s="163"/>
      <c r="M682" s="163"/>
      <c r="N682" s="163"/>
      <c r="O682" s="163"/>
      <c r="P682" s="163"/>
      <c r="Q682" s="541"/>
      <c r="R682" s="541"/>
      <c r="S682" s="541"/>
      <c r="T682" s="541"/>
      <c r="U682" s="541"/>
      <c r="V682" s="541"/>
      <c r="W682" s="541"/>
      <c r="X682" s="541"/>
      <c r="Y682" s="541"/>
      <c r="Z682" s="541"/>
    </row>
    <row r="683" spans="1:26" ht="18.75" hidden="1">
      <c r="A683" s="572"/>
      <c r="B683" s="584"/>
      <c r="C683" s="584"/>
      <c r="D683" s="584"/>
      <c r="E683" s="592"/>
      <c r="F683" s="592" t="s">
        <v>292</v>
      </c>
      <c r="G683" s="726"/>
      <c r="H683" s="728" t="s">
        <v>46</v>
      </c>
      <c r="I683" s="269"/>
      <c r="J683" s="214">
        <v>0</v>
      </c>
      <c r="K683" s="465"/>
      <c r="L683" s="163"/>
      <c r="M683" s="163"/>
      <c r="N683" s="163"/>
      <c r="O683" s="163"/>
      <c r="P683" s="163"/>
      <c r="Q683" s="541"/>
      <c r="R683" s="541"/>
      <c r="S683" s="541"/>
      <c r="T683" s="541"/>
      <c r="U683" s="541"/>
      <c r="V683" s="541"/>
      <c r="W683" s="541"/>
      <c r="X683" s="541"/>
      <c r="Y683" s="541"/>
      <c r="Z683" s="541"/>
    </row>
    <row r="684" spans="1:26" ht="19.5" hidden="1">
      <c r="A684" s="717"/>
      <c r="B684" s="718" t="s">
        <v>293</v>
      </c>
      <c r="C684" s="717"/>
      <c r="D684" s="717"/>
      <c r="E684" s="717"/>
      <c r="F684" s="717"/>
      <c r="G684" s="719"/>
      <c r="H684" s="719"/>
      <c r="I684" s="720"/>
      <c r="J684" s="720"/>
      <c r="K684" s="721"/>
      <c r="L684" s="721"/>
      <c r="M684" s="721"/>
      <c r="N684" s="721"/>
      <c r="O684" s="721"/>
      <c r="P684" s="721"/>
      <c r="Q684" s="541"/>
      <c r="R684" s="541"/>
      <c r="S684" s="541"/>
      <c r="T684" s="541"/>
      <c r="U684" s="541"/>
      <c r="V684" s="541"/>
      <c r="W684" s="541"/>
      <c r="X684" s="541"/>
      <c r="Y684" s="541"/>
      <c r="Z684" s="541"/>
    </row>
    <row r="685" spans="1:26" ht="19.5" hidden="1">
      <c r="A685" s="561"/>
      <c r="B685" s="727"/>
      <c r="C685" s="727" t="s">
        <v>16</v>
      </c>
      <c r="D685" s="811" t="s">
        <v>17</v>
      </c>
      <c r="E685" s="805"/>
      <c r="F685" s="805"/>
      <c r="G685" s="189"/>
      <c r="H685" s="562" t="s">
        <v>12</v>
      </c>
      <c r="I685" s="269"/>
      <c r="J685" s="269"/>
      <c r="K685" s="465"/>
      <c r="L685" s="195">
        <f t="shared" ref="L685:N685" ca="1" si="281">L686+L687</f>
        <v>0</v>
      </c>
      <c r="M685" s="195">
        <f t="shared" si="281"/>
        <v>0</v>
      </c>
      <c r="N685" s="195">
        <f t="shared" si="281"/>
        <v>0</v>
      </c>
      <c r="O685" s="195">
        <f t="shared" ref="O685:O688" ca="1" si="282">IF(L685&gt;0,N685*100/L685,0)</f>
        <v>0</v>
      </c>
      <c r="P685" s="195">
        <f t="shared" ref="P685:P688" si="283">IF(M685&gt;0,N685*100/M685,0)</f>
        <v>0</v>
      </c>
      <c r="Q685" s="541"/>
      <c r="R685" s="541"/>
      <c r="S685" s="541"/>
      <c r="T685" s="541"/>
      <c r="U685" s="541"/>
      <c r="V685" s="541"/>
      <c r="W685" s="541"/>
      <c r="X685" s="541"/>
      <c r="Y685" s="541"/>
      <c r="Z685" s="541"/>
    </row>
    <row r="686" spans="1:26" ht="18.75" hidden="1">
      <c r="A686" s="563"/>
      <c r="B686" s="723"/>
      <c r="C686" s="723"/>
      <c r="D686" s="684"/>
      <c r="E686" s="723" t="s">
        <v>184</v>
      </c>
      <c r="F686" s="723"/>
      <c r="G686" s="567"/>
      <c r="H686" s="165" t="s">
        <v>12</v>
      </c>
      <c r="I686" s="583"/>
      <c r="J686" s="583"/>
      <c r="K686" s="93"/>
      <c r="L686" s="93">
        <f t="shared" ref="L686:N687" si="284">L689+L696</f>
        <v>0</v>
      </c>
      <c r="M686" s="93">
        <f t="shared" si="284"/>
        <v>0</v>
      </c>
      <c r="N686" s="93">
        <f t="shared" si="284"/>
        <v>0</v>
      </c>
      <c r="O686" s="93">
        <f t="shared" si="282"/>
        <v>0</v>
      </c>
      <c r="P686" s="93">
        <f t="shared" si="283"/>
        <v>0</v>
      </c>
      <c r="Q686" s="568"/>
      <c r="R686" s="568"/>
      <c r="S686" s="568"/>
      <c r="T686" s="568"/>
      <c r="U686" s="568"/>
      <c r="V686" s="568"/>
      <c r="W686" s="568"/>
      <c r="X686" s="568"/>
      <c r="Y686" s="568"/>
      <c r="Z686" s="568"/>
    </row>
    <row r="687" spans="1:26" ht="18.75" hidden="1">
      <c r="A687" s="563"/>
      <c r="B687" s="571"/>
      <c r="C687" s="723"/>
      <c r="D687" s="684"/>
      <c r="E687" s="723" t="s">
        <v>185</v>
      </c>
      <c r="F687" s="723"/>
      <c r="G687" s="567"/>
      <c r="H687" s="165" t="s">
        <v>12</v>
      </c>
      <c r="I687" s="583"/>
      <c r="J687" s="583"/>
      <c r="K687" s="93"/>
      <c r="L687" s="93">
        <f t="shared" ca="1" si="284"/>
        <v>0</v>
      </c>
      <c r="M687" s="93">
        <f t="shared" si="284"/>
        <v>0</v>
      </c>
      <c r="N687" s="93">
        <f t="shared" si="284"/>
        <v>0</v>
      </c>
      <c r="O687" s="93">
        <f t="shared" ca="1" si="282"/>
        <v>0</v>
      </c>
      <c r="P687" s="93">
        <f t="shared" si="283"/>
        <v>0</v>
      </c>
      <c r="Q687" s="568"/>
      <c r="R687" s="568"/>
      <c r="S687" s="568"/>
      <c r="T687" s="568"/>
      <c r="U687" s="568"/>
      <c r="V687" s="568"/>
      <c r="W687" s="568"/>
      <c r="X687" s="568"/>
      <c r="Y687" s="568"/>
      <c r="Z687" s="568"/>
    </row>
    <row r="688" spans="1:26" ht="18.75" hidden="1">
      <c r="A688" s="561"/>
      <c r="B688" s="538"/>
      <c r="C688" s="727"/>
      <c r="D688" s="570" t="s">
        <v>20</v>
      </c>
      <c r="E688" s="727"/>
      <c r="F688" s="727"/>
      <c r="G688" s="189"/>
      <c r="H688" s="161" t="s">
        <v>12</v>
      </c>
      <c r="I688" s="184"/>
      <c r="J688" s="184"/>
      <c r="K688" s="163"/>
      <c r="L688" s="465">
        <f t="shared" ref="L688:N688" ca="1" si="285">L689+L690</f>
        <v>0</v>
      </c>
      <c r="M688" s="465">
        <f t="shared" si="285"/>
        <v>0</v>
      </c>
      <c r="N688" s="465">
        <f t="shared" si="285"/>
        <v>0</v>
      </c>
      <c r="O688" s="465">
        <f t="shared" ca="1" si="282"/>
        <v>0</v>
      </c>
      <c r="P688" s="465">
        <f t="shared" si="283"/>
        <v>0</v>
      </c>
      <c r="Q688" s="541"/>
      <c r="R688" s="541"/>
      <c r="S688" s="541"/>
      <c r="T688" s="541"/>
      <c r="U688" s="541"/>
      <c r="V688" s="541"/>
      <c r="W688" s="541"/>
      <c r="X688" s="541"/>
      <c r="Y688" s="541"/>
      <c r="Z688" s="541"/>
    </row>
    <row r="689" spans="1:26" ht="18.75" hidden="1">
      <c r="A689" s="563"/>
      <c r="B689" s="571"/>
      <c r="C689" s="723"/>
      <c r="D689" s="684"/>
      <c r="E689" s="723" t="s">
        <v>184</v>
      </c>
      <c r="F689" s="723"/>
      <c r="G689" s="567"/>
      <c r="H689" s="165" t="s">
        <v>12</v>
      </c>
      <c r="I689" s="583"/>
      <c r="J689" s="583"/>
      <c r="K689" s="93"/>
      <c r="L689" s="93">
        <v>0</v>
      </c>
      <c r="M689" s="93">
        <v>0</v>
      </c>
      <c r="N689" s="93">
        <v>0</v>
      </c>
      <c r="O689" s="93"/>
      <c r="P689" s="93"/>
      <c r="Q689" s="568"/>
      <c r="R689" s="568"/>
      <c r="S689" s="568"/>
      <c r="T689" s="568"/>
      <c r="U689" s="568"/>
      <c r="V689" s="568"/>
      <c r="W689" s="568"/>
      <c r="X689" s="568"/>
      <c r="Y689" s="568"/>
      <c r="Z689" s="568"/>
    </row>
    <row r="690" spans="1:26" ht="18.75" hidden="1">
      <c r="A690" s="563"/>
      <c r="B690" s="571"/>
      <c r="C690" s="723"/>
      <c r="D690" s="684"/>
      <c r="E690" s="723" t="s">
        <v>185</v>
      </c>
      <c r="F690" s="723"/>
      <c r="G690" s="567"/>
      <c r="H690" s="165" t="s">
        <v>12</v>
      </c>
      <c r="I690" s="583"/>
      <c r="J690" s="583"/>
      <c r="K690" s="93"/>
      <c r="L690" s="93">
        <f ca="1">IFERROR(__xludf.DUMMYFUNCTION("IMPORTRANGE(""https://docs.google.com/spreadsheets/d/1QqKyyYR6Q21VydFLVH3TRQUabQu_ym0Zz7PgGX0-kHA/edit?usp=sharing"",""แผน!HW24"")"),0)</f>
        <v>0</v>
      </c>
      <c r="M690" s="93">
        <v>0</v>
      </c>
      <c r="N690" s="93">
        <f>N691+N692+N693+N694</f>
        <v>0</v>
      </c>
      <c r="O690" s="93">
        <f ca="1">IF(L690&gt;0,N690*100/L690,0)</f>
        <v>0</v>
      </c>
      <c r="P690" s="93">
        <f>IF(M690&gt;0,N690*100/M690,0)</f>
        <v>0</v>
      </c>
      <c r="Q690" s="568"/>
      <c r="R690" s="568"/>
      <c r="S690" s="568"/>
      <c r="T690" s="568"/>
      <c r="U690" s="568"/>
      <c r="V690" s="568"/>
      <c r="W690" s="568"/>
      <c r="X690" s="568"/>
      <c r="Y690" s="568"/>
      <c r="Z690" s="568"/>
    </row>
    <row r="691" spans="1:26" ht="18.75" hidden="1">
      <c r="A691" s="537"/>
      <c r="B691" s="538"/>
      <c r="C691" s="727"/>
      <c r="D691" s="727"/>
      <c r="E691" s="727"/>
      <c r="F691" s="727" t="s">
        <v>186</v>
      </c>
      <c r="G691" s="189"/>
      <c r="H691" s="161" t="s">
        <v>12</v>
      </c>
      <c r="I691" s="269"/>
      <c r="J691" s="269"/>
      <c r="K691" s="465"/>
      <c r="L691" s="465"/>
      <c r="M691" s="465"/>
      <c r="N691" s="789">
        <v>0</v>
      </c>
      <c r="O691" s="465"/>
      <c r="P691" s="465"/>
      <c r="Q691" s="541"/>
      <c r="R691" s="541"/>
      <c r="S691" s="541"/>
      <c r="T691" s="541"/>
      <c r="U691" s="541"/>
      <c r="V691" s="541"/>
      <c r="W691" s="541"/>
      <c r="X691" s="541"/>
      <c r="Y691" s="541"/>
      <c r="Z691" s="541"/>
    </row>
    <row r="692" spans="1:26" ht="18.75" hidden="1">
      <c r="A692" s="537"/>
      <c r="B692" s="538"/>
      <c r="C692" s="727"/>
      <c r="D692" s="727"/>
      <c r="E692" s="727"/>
      <c r="F692" s="727" t="s">
        <v>187</v>
      </c>
      <c r="G692" s="189"/>
      <c r="H692" s="161" t="s">
        <v>12</v>
      </c>
      <c r="I692" s="269"/>
      <c r="J692" s="269"/>
      <c r="K692" s="465"/>
      <c r="L692" s="465"/>
      <c r="M692" s="465"/>
      <c r="N692" s="789">
        <v>0</v>
      </c>
      <c r="O692" s="465"/>
      <c r="P692" s="465"/>
      <c r="Q692" s="541"/>
      <c r="R692" s="541"/>
      <c r="S692" s="541"/>
      <c r="T692" s="541"/>
      <c r="U692" s="541"/>
      <c r="V692" s="541"/>
      <c r="W692" s="541"/>
      <c r="X692" s="541"/>
      <c r="Y692" s="541"/>
      <c r="Z692" s="541"/>
    </row>
    <row r="693" spans="1:26" ht="18.75" hidden="1">
      <c r="A693" s="537"/>
      <c r="B693" s="538"/>
      <c r="C693" s="727"/>
      <c r="D693" s="727"/>
      <c r="E693" s="727"/>
      <c r="F693" s="727" t="s">
        <v>188</v>
      </c>
      <c r="G693" s="189"/>
      <c r="H693" s="161" t="s">
        <v>12</v>
      </c>
      <c r="I693" s="269"/>
      <c r="J693" s="269"/>
      <c r="K693" s="465"/>
      <c r="L693" s="465"/>
      <c r="M693" s="465"/>
      <c r="N693" s="789">
        <v>0</v>
      </c>
      <c r="O693" s="465"/>
      <c r="P693" s="465"/>
      <c r="Q693" s="541"/>
      <c r="R693" s="541"/>
      <c r="S693" s="541"/>
      <c r="T693" s="541"/>
      <c r="U693" s="541"/>
      <c r="V693" s="541"/>
      <c r="W693" s="541"/>
      <c r="X693" s="541"/>
      <c r="Y693" s="541"/>
      <c r="Z693" s="541"/>
    </row>
    <row r="694" spans="1:26" ht="18.75" hidden="1">
      <c r="A694" s="537"/>
      <c r="B694" s="538"/>
      <c r="C694" s="727"/>
      <c r="D694" s="727"/>
      <c r="E694" s="727"/>
      <c r="F694" s="727" t="s">
        <v>189</v>
      </c>
      <c r="G694" s="189"/>
      <c r="H694" s="161" t="s">
        <v>12</v>
      </c>
      <c r="I694" s="269"/>
      <c r="J694" s="269"/>
      <c r="K694" s="465"/>
      <c r="L694" s="465"/>
      <c r="M694" s="465"/>
      <c r="N694" s="789">
        <v>0</v>
      </c>
      <c r="O694" s="465"/>
      <c r="P694" s="465"/>
      <c r="Q694" s="541"/>
      <c r="R694" s="541"/>
      <c r="S694" s="541"/>
      <c r="T694" s="541"/>
      <c r="U694" s="541"/>
      <c r="V694" s="541"/>
      <c r="W694" s="541"/>
      <c r="X694" s="541"/>
      <c r="Y694" s="541"/>
      <c r="Z694" s="541"/>
    </row>
    <row r="695" spans="1:26" ht="18.75" hidden="1">
      <c r="A695" s="561"/>
      <c r="B695" s="538"/>
      <c r="C695" s="727"/>
      <c r="D695" s="570" t="s">
        <v>21</v>
      </c>
      <c r="E695" s="727"/>
      <c r="F695" s="727"/>
      <c r="G695" s="189"/>
      <c r="H695" s="168" t="s">
        <v>12</v>
      </c>
      <c r="I695" s="184"/>
      <c r="J695" s="184"/>
      <c r="K695" s="163"/>
      <c r="L695" s="465">
        <f t="shared" ref="L695:N695" si="286">L696+L697</f>
        <v>0</v>
      </c>
      <c r="M695" s="465">
        <f t="shared" si="286"/>
        <v>0</v>
      </c>
      <c r="N695" s="465">
        <f t="shared" si="286"/>
        <v>0</v>
      </c>
      <c r="O695" s="465">
        <f t="shared" ref="O695:O697" si="287">IF(L695&gt;0,N695*100/L695,0)</f>
        <v>0</v>
      </c>
      <c r="P695" s="465">
        <f t="shared" ref="P695:P697" si="288">IF(M695&gt;0,N695*100/M695,0)</f>
        <v>0</v>
      </c>
      <c r="Q695" s="541"/>
      <c r="R695" s="541"/>
      <c r="S695" s="541"/>
      <c r="T695" s="541"/>
      <c r="U695" s="541"/>
      <c r="V695" s="541"/>
      <c r="W695" s="541"/>
      <c r="X695" s="541"/>
      <c r="Y695" s="541"/>
      <c r="Z695" s="541"/>
    </row>
    <row r="696" spans="1:26" ht="18.75" hidden="1">
      <c r="A696" s="563"/>
      <c r="B696" s="571"/>
      <c r="C696" s="723"/>
      <c r="D696" s="723"/>
      <c r="E696" s="723" t="s">
        <v>18</v>
      </c>
      <c r="F696" s="723"/>
      <c r="G696" s="567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7"/>
        <v>0</v>
      </c>
      <c r="P696" s="93">
        <f t="shared" si="288"/>
        <v>0</v>
      </c>
      <c r="Q696" s="568"/>
      <c r="R696" s="568"/>
      <c r="S696" s="568"/>
      <c r="T696" s="568"/>
      <c r="U696" s="568"/>
      <c r="V696" s="568"/>
      <c r="W696" s="568"/>
      <c r="X696" s="568"/>
      <c r="Y696" s="568"/>
      <c r="Z696" s="568"/>
    </row>
    <row r="697" spans="1:26" ht="18.75" hidden="1">
      <c r="A697" s="563"/>
      <c r="B697" s="571"/>
      <c r="C697" s="723"/>
      <c r="D697" s="723"/>
      <c r="E697" s="723" t="s">
        <v>19</v>
      </c>
      <c r="F697" s="723"/>
      <c r="G697" s="567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7"/>
        <v>0</v>
      </c>
      <c r="P697" s="93">
        <f t="shared" si="288"/>
        <v>0</v>
      </c>
      <c r="Q697" s="568"/>
      <c r="R697" s="568"/>
      <c r="S697" s="568"/>
      <c r="T697" s="568"/>
      <c r="U697" s="568"/>
      <c r="V697" s="568"/>
      <c r="W697" s="568"/>
      <c r="X697" s="568"/>
      <c r="Y697" s="568"/>
      <c r="Z697" s="568"/>
    </row>
    <row r="698" spans="1:26" ht="19.5" hidden="1">
      <c r="A698" s="572"/>
      <c r="B698" s="584"/>
      <c r="C698" s="727" t="s">
        <v>16</v>
      </c>
      <c r="D698" s="855" t="s">
        <v>38</v>
      </c>
      <c r="E698" s="725"/>
      <c r="F698" s="725"/>
      <c r="G698" s="577"/>
      <c r="H698" s="726"/>
      <c r="I698" s="184"/>
      <c r="J698" s="184"/>
      <c r="K698" s="163"/>
      <c r="L698" s="163"/>
      <c r="M698" s="163"/>
      <c r="N698" s="163"/>
      <c r="O698" s="163"/>
      <c r="P698" s="163"/>
      <c r="Q698" s="541"/>
      <c r="R698" s="541"/>
      <c r="S698" s="541"/>
      <c r="T698" s="541"/>
      <c r="U698" s="541"/>
      <c r="V698" s="541"/>
      <c r="W698" s="541"/>
      <c r="X698" s="541"/>
      <c r="Y698" s="541"/>
      <c r="Z698" s="541"/>
    </row>
    <row r="699" spans="1:26" ht="18.75" hidden="1">
      <c r="A699" s="708"/>
      <c r="B699" s="727"/>
      <c r="C699" s="727"/>
      <c r="D699" s="727" t="s">
        <v>294</v>
      </c>
      <c r="E699" s="727"/>
      <c r="F699" s="727"/>
      <c r="G699" s="189"/>
      <c r="H699" s="728" t="s">
        <v>46</v>
      </c>
      <c r="I699" s="729">
        <f ca="1">IFERROR(__xludf.DUMMYFUNCTION("IMPORTRANGE(""https://docs.google.com/spreadsheets/d/1QqKyyYR6Q21VydFLVH3TRQUabQu_ym0Zz7PgGX0-kHA/edit?usp=sharing"",""แผน!IC24"")"),0)</f>
        <v>0</v>
      </c>
      <c r="J699" s="269">
        <f ca="1">IFERROR(__xludf.DUMMYFUNCTION("IMPORTRANGE(""https://docs.google.com/spreadsheets/d/1XWAQStnk-4SwqDmLtmXYiTMKHgktTP8We1SCoS47DrQ/edit?usp=sharing"",""จัดที่ดิน!BB24"")"),0)</f>
        <v>0</v>
      </c>
      <c r="K699" s="465">
        <f t="shared" ref="K699:K701" ca="1" si="289">IF(I699&gt;0,J699*100/I699,0)</f>
        <v>0</v>
      </c>
      <c r="L699" s="465"/>
      <c r="M699" s="189"/>
      <c r="N699" s="730"/>
      <c r="O699" s="465"/>
      <c r="P699" s="465"/>
      <c r="Q699" s="541"/>
      <c r="R699" s="541"/>
      <c r="S699" s="541"/>
      <c r="T699" s="541"/>
      <c r="U699" s="541"/>
      <c r="V699" s="541"/>
      <c r="W699" s="541"/>
      <c r="X699" s="541"/>
      <c r="Y699" s="541"/>
      <c r="Z699" s="541"/>
    </row>
    <row r="700" spans="1:26" ht="18.75" hidden="1">
      <c r="A700" s="708"/>
      <c r="B700" s="727"/>
      <c r="C700" s="727"/>
      <c r="D700" s="727" t="s">
        <v>295</v>
      </c>
      <c r="E700" s="727"/>
      <c r="F700" s="727"/>
      <c r="G700" s="189"/>
      <c r="H700" s="728" t="s">
        <v>35</v>
      </c>
      <c r="I700" s="729">
        <f ca="1">IFERROR(__xludf.DUMMYFUNCTION("IMPORTRANGE(""https://docs.google.com/spreadsheets/d/1QqKyyYR6Q21VydFLVH3TRQUabQu_ym0Zz7PgGX0-kHA/edit?usp=sharing"",""แผน!ID24"")"),0)</f>
        <v>0</v>
      </c>
      <c r="J700" s="269">
        <f ca="1">IFERROR(__xludf.DUMMYFUNCTION("IMPORTRANGE(""https://docs.google.com/spreadsheets/d/1XWAQStnk-4SwqDmLtmXYiTMKHgktTP8We1SCoS47DrQ/edit?usp=sharing"",""จัดที่ดิน!BD24"")"),0)</f>
        <v>0</v>
      </c>
      <c r="K700" s="465">
        <f t="shared" ca="1" si="289"/>
        <v>0</v>
      </c>
      <c r="L700" s="465"/>
      <c r="M700" s="189"/>
      <c r="N700" s="730"/>
      <c r="O700" s="465"/>
      <c r="P700" s="465"/>
      <c r="Q700" s="541"/>
      <c r="R700" s="541"/>
      <c r="S700" s="541"/>
      <c r="T700" s="541"/>
      <c r="U700" s="541"/>
      <c r="V700" s="541"/>
      <c r="W700" s="541"/>
      <c r="X700" s="541"/>
      <c r="Y700" s="541"/>
      <c r="Z700" s="541"/>
    </row>
    <row r="701" spans="1:26" ht="19.5" hidden="1">
      <c r="A701" s="708"/>
      <c r="B701" s="727"/>
      <c r="C701" s="727"/>
      <c r="D701" s="727" t="s">
        <v>296</v>
      </c>
      <c r="E701" s="727"/>
      <c r="F701" s="727"/>
      <c r="G701" s="189"/>
      <c r="H701" s="731" t="s">
        <v>46</v>
      </c>
      <c r="I701" s="732">
        <f ca="1">IFERROR(__xludf.DUMMYFUNCTION("IMPORTRANGE(""https://docs.google.com/spreadsheets/d/1QqKyyYR6Q21VydFLVH3TRQUabQu_ym0Zz7PgGX0-kHA/edit?usp=sharing"",""แผน!IE24"")"),0)</f>
        <v>0</v>
      </c>
      <c r="J701" s="647">
        <f>J704+J707</f>
        <v>0</v>
      </c>
      <c r="K701" s="195">
        <f t="shared" ca="1" si="289"/>
        <v>0</v>
      </c>
      <c r="L701" s="465"/>
      <c r="M701" s="189"/>
      <c r="N701" s="730"/>
      <c r="O701" s="465"/>
      <c r="P701" s="465"/>
      <c r="Q701" s="541"/>
      <c r="R701" s="541"/>
      <c r="S701" s="541"/>
      <c r="T701" s="541"/>
      <c r="U701" s="541"/>
      <c r="V701" s="541"/>
      <c r="W701" s="541"/>
      <c r="X701" s="541"/>
      <c r="Y701" s="541"/>
      <c r="Z701" s="541"/>
    </row>
    <row r="702" spans="1:26" ht="18.75" hidden="1">
      <c r="A702" s="708"/>
      <c r="B702" s="727"/>
      <c r="C702" s="727"/>
      <c r="D702" s="727"/>
      <c r="E702" s="727" t="s">
        <v>297</v>
      </c>
      <c r="F702" s="727"/>
      <c r="G702" s="189"/>
      <c r="H702" s="728" t="s">
        <v>35</v>
      </c>
      <c r="I702" s="729"/>
      <c r="J702" s="214">
        <v>0</v>
      </c>
      <c r="K702" s="465"/>
      <c r="L702" s="465"/>
      <c r="M702" s="189"/>
      <c r="N702" s="730"/>
      <c r="O702" s="465"/>
      <c r="P702" s="465"/>
      <c r="Q702" s="541"/>
      <c r="R702" s="541"/>
      <c r="S702" s="541"/>
      <c r="T702" s="541"/>
      <c r="U702" s="541"/>
      <c r="V702" s="541"/>
      <c r="W702" s="541"/>
      <c r="X702" s="541"/>
      <c r="Y702" s="541"/>
      <c r="Z702" s="541"/>
    </row>
    <row r="703" spans="1:26" ht="18.75" hidden="1">
      <c r="A703" s="708"/>
      <c r="B703" s="727"/>
      <c r="C703" s="727"/>
      <c r="D703" s="727"/>
      <c r="E703" s="727"/>
      <c r="F703" s="727"/>
      <c r="G703" s="189"/>
      <c r="H703" s="728" t="s">
        <v>34</v>
      </c>
      <c r="I703" s="729"/>
      <c r="J703" s="214">
        <v>0</v>
      </c>
      <c r="K703" s="465"/>
      <c r="L703" s="465"/>
      <c r="M703" s="189"/>
      <c r="N703" s="730"/>
      <c r="O703" s="465"/>
      <c r="P703" s="465"/>
      <c r="Q703" s="541"/>
      <c r="R703" s="541"/>
      <c r="S703" s="541"/>
      <c r="T703" s="541"/>
      <c r="U703" s="541"/>
      <c r="V703" s="541"/>
      <c r="W703" s="541"/>
      <c r="X703" s="541"/>
      <c r="Y703" s="541"/>
      <c r="Z703" s="541"/>
    </row>
    <row r="704" spans="1:26" ht="18.75" hidden="1">
      <c r="A704" s="708"/>
      <c r="B704" s="727"/>
      <c r="C704" s="727"/>
      <c r="D704" s="727"/>
      <c r="E704" s="727"/>
      <c r="F704" s="727"/>
      <c r="G704" s="189"/>
      <c r="H704" s="728" t="s">
        <v>46</v>
      </c>
      <c r="I704" s="729">
        <f ca="1">IFERROR(__xludf.DUMMYFUNCTION("IMPORTRANGE(""https://docs.google.com/spreadsheets/d/1QqKyyYR6Q21VydFLVH3TRQUabQu_ym0Zz7PgGX0-kHA/edit?usp=sharing"",""แผน!IF24"")"),0)</f>
        <v>0</v>
      </c>
      <c r="J704" s="214">
        <v>0</v>
      </c>
      <c r="K704" s="465"/>
      <c r="L704" s="465"/>
      <c r="M704" s="189"/>
      <c r="N704" s="730"/>
      <c r="O704" s="465"/>
      <c r="P704" s="465"/>
      <c r="Q704" s="541"/>
      <c r="R704" s="541"/>
      <c r="S704" s="541"/>
      <c r="T704" s="541"/>
      <c r="U704" s="541"/>
      <c r="V704" s="541"/>
      <c r="W704" s="541"/>
      <c r="X704" s="541"/>
      <c r="Y704" s="541"/>
      <c r="Z704" s="541"/>
    </row>
    <row r="705" spans="1:26" ht="18.75" hidden="1">
      <c r="A705" s="708"/>
      <c r="B705" s="727"/>
      <c r="C705" s="727"/>
      <c r="D705" s="727"/>
      <c r="E705" s="727" t="s">
        <v>298</v>
      </c>
      <c r="F705" s="727"/>
      <c r="G705" s="189"/>
      <c r="H705" s="728" t="s">
        <v>35</v>
      </c>
      <c r="I705" s="729"/>
      <c r="J705" s="214">
        <v>0</v>
      </c>
      <c r="K705" s="465"/>
      <c r="L705" s="465"/>
      <c r="M705" s="189"/>
      <c r="N705" s="730"/>
      <c r="O705" s="465"/>
      <c r="P705" s="465"/>
      <c r="Q705" s="541"/>
      <c r="R705" s="541"/>
      <c r="S705" s="541"/>
      <c r="T705" s="541"/>
      <c r="U705" s="541"/>
      <c r="V705" s="541"/>
      <c r="W705" s="541"/>
      <c r="X705" s="541"/>
      <c r="Y705" s="541"/>
      <c r="Z705" s="541"/>
    </row>
    <row r="706" spans="1:26" ht="18.75" hidden="1">
      <c r="A706" s="708"/>
      <c r="B706" s="727"/>
      <c r="C706" s="727"/>
      <c r="D706" s="727"/>
      <c r="E706" s="727"/>
      <c r="F706" s="727"/>
      <c r="G706" s="189"/>
      <c r="H706" s="728" t="s">
        <v>34</v>
      </c>
      <c r="I706" s="729"/>
      <c r="J706" s="214">
        <v>0</v>
      </c>
      <c r="K706" s="465"/>
      <c r="L706" s="465"/>
      <c r="M706" s="189"/>
      <c r="N706" s="730"/>
      <c r="O706" s="465"/>
      <c r="P706" s="465"/>
      <c r="Q706" s="541"/>
      <c r="R706" s="541"/>
      <c r="S706" s="541"/>
      <c r="T706" s="541"/>
      <c r="U706" s="541"/>
      <c r="V706" s="541"/>
      <c r="W706" s="541"/>
      <c r="X706" s="541"/>
      <c r="Y706" s="541"/>
      <c r="Z706" s="541"/>
    </row>
    <row r="707" spans="1:26" ht="18.75" hidden="1">
      <c r="A707" s="708"/>
      <c r="B707" s="727"/>
      <c r="C707" s="727"/>
      <c r="D707" s="727"/>
      <c r="E707" s="727"/>
      <c r="F707" s="727"/>
      <c r="G707" s="189"/>
      <c r="H707" s="728" t="s">
        <v>46</v>
      </c>
      <c r="I707" s="729">
        <f ca="1">IFERROR(__xludf.DUMMYFUNCTION("IMPORTRANGE(""https://docs.google.com/spreadsheets/d/1QqKyyYR6Q21VydFLVH3TRQUabQu_ym0Zz7PgGX0-kHA/edit?usp=sharing"",""แผน!IG24"")"),0)</f>
        <v>0</v>
      </c>
      <c r="J707" s="214">
        <v>0</v>
      </c>
      <c r="K707" s="465"/>
      <c r="L707" s="465"/>
      <c r="M707" s="189"/>
      <c r="N707" s="730"/>
      <c r="O707" s="465"/>
      <c r="P707" s="465"/>
      <c r="Q707" s="541"/>
      <c r="R707" s="541"/>
      <c r="S707" s="541"/>
      <c r="T707" s="541"/>
      <c r="U707" s="541"/>
      <c r="V707" s="541"/>
      <c r="W707" s="541"/>
      <c r="X707" s="541"/>
      <c r="Y707" s="541"/>
      <c r="Z707" s="541"/>
    </row>
    <row r="708" spans="1:26" ht="19.5" hidden="1">
      <c r="A708" s="708"/>
      <c r="B708" s="727"/>
      <c r="C708" s="727"/>
      <c r="D708" s="733" t="s">
        <v>299</v>
      </c>
      <c r="E708" s="727"/>
      <c r="F708" s="727"/>
      <c r="G708" s="189"/>
      <c r="H708" s="731" t="s">
        <v>46</v>
      </c>
      <c r="I708" s="732">
        <f ca="1">IFERROR(__xludf.DUMMYFUNCTION("IMPORTRANGE(""https://docs.google.com/spreadsheets/d/1QqKyyYR6Q21VydFLVH3TRQUabQu_ym0Zz7PgGX0-kHA/edit?usp=sharing"",""แผน!IH24"")"),0)</f>
        <v>0</v>
      </c>
      <c r="J708" s="647">
        <f>J714+J717</f>
        <v>0</v>
      </c>
      <c r="K708" s="195">
        <f ca="1">IF(I708&gt;0,J708*100/I708,0)</f>
        <v>0</v>
      </c>
      <c r="L708" s="465"/>
      <c r="M708" s="189"/>
      <c r="N708" s="730"/>
      <c r="O708" s="465"/>
      <c r="P708" s="465"/>
      <c r="Q708" s="541"/>
      <c r="R708" s="541"/>
      <c r="S708" s="541"/>
      <c r="T708" s="541"/>
      <c r="U708" s="541"/>
      <c r="V708" s="541"/>
      <c r="W708" s="541"/>
      <c r="X708" s="541"/>
      <c r="Y708" s="541"/>
      <c r="Z708" s="541"/>
    </row>
    <row r="709" spans="1:26" ht="18.75" hidden="1">
      <c r="A709" s="708"/>
      <c r="B709" s="727"/>
      <c r="C709" s="727"/>
      <c r="D709" s="727"/>
      <c r="E709" s="727" t="s">
        <v>300</v>
      </c>
      <c r="F709" s="727"/>
      <c r="G709" s="189"/>
      <c r="H709" s="728" t="s">
        <v>34</v>
      </c>
      <c r="I709" s="729"/>
      <c r="J709" s="214">
        <v>0</v>
      </c>
      <c r="K709" s="465"/>
      <c r="L709" s="730"/>
      <c r="M709" s="189"/>
      <c r="N709" s="730"/>
      <c r="O709" s="465"/>
      <c r="P709" s="465"/>
      <c r="Q709" s="541"/>
      <c r="R709" s="541"/>
      <c r="S709" s="541"/>
      <c r="T709" s="541"/>
      <c r="U709" s="541"/>
      <c r="V709" s="541"/>
      <c r="W709" s="541"/>
      <c r="X709" s="541"/>
      <c r="Y709" s="541"/>
      <c r="Z709" s="541"/>
    </row>
    <row r="710" spans="1:26" ht="18.75" hidden="1">
      <c r="A710" s="708"/>
      <c r="B710" s="727"/>
      <c r="C710" s="727"/>
      <c r="D710" s="727"/>
      <c r="E710" s="727"/>
      <c r="F710" s="727"/>
      <c r="G710" s="189"/>
      <c r="H710" s="728" t="s">
        <v>46</v>
      </c>
      <c r="I710" s="729"/>
      <c r="J710" s="214">
        <v>0</v>
      </c>
      <c r="K710" s="465"/>
      <c r="L710" s="730"/>
      <c r="M710" s="189"/>
      <c r="N710" s="730"/>
      <c r="O710" s="465"/>
      <c r="P710" s="465"/>
      <c r="Q710" s="541"/>
      <c r="R710" s="541"/>
      <c r="S710" s="541"/>
      <c r="T710" s="541"/>
      <c r="U710" s="541"/>
      <c r="V710" s="541"/>
      <c r="W710" s="541"/>
      <c r="X710" s="541"/>
      <c r="Y710" s="541"/>
      <c r="Z710" s="541"/>
    </row>
    <row r="711" spans="1:26" ht="18.75" hidden="1">
      <c r="A711" s="708"/>
      <c r="B711" s="727"/>
      <c r="C711" s="727"/>
      <c r="D711" s="727"/>
      <c r="E711" s="727" t="s">
        <v>301</v>
      </c>
      <c r="F711" s="727"/>
      <c r="G711" s="189"/>
      <c r="H711" s="726"/>
      <c r="I711" s="729"/>
      <c r="J711" s="269"/>
      <c r="K711" s="465"/>
      <c r="L711" s="730"/>
      <c r="M711" s="189"/>
      <c r="N711" s="730"/>
      <c r="O711" s="465"/>
      <c r="P711" s="465"/>
      <c r="Q711" s="541"/>
      <c r="R711" s="541"/>
      <c r="S711" s="541"/>
      <c r="T711" s="541"/>
      <c r="U711" s="541"/>
      <c r="V711" s="541"/>
      <c r="W711" s="541"/>
      <c r="X711" s="541"/>
      <c r="Y711" s="541"/>
      <c r="Z711" s="541"/>
    </row>
    <row r="712" spans="1:26" ht="18.75" hidden="1">
      <c r="A712" s="708"/>
      <c r="B712" s="727"/>
      <c r="C712" s="727"/>
      <c r="D712" s="727"/>
      <c r="E712" s="727"/>
      <c r="F712" s="727" t="s">
        <v>302</v>
      </c>
      <c r="G712" s="189"/>
      <c r="H712" s="728" t="s">
        <v>35</v>
      </c>
      <c r="I712" s="729"/>
      <c r="J712" s="214">
        <v>0</v>
      </c>
      <c r="K712" s="465"/>
      <c r="L712" s="730"/>
      <c r="M712" s="189"/>
      <c r="N712" s="730"/>
      <c r="O712" s="465"/>
      <c r="P712" s="465"/>
      <c r="Q712" s="541"/>
      <c r="R712" s="541"/>
      <c r="S712" s="541"/>
      <c r="T712" s="541"/>
      <c r="U712" s="541"/>
      <c r="V712" s="541"/>
      <c r="W712" s="541"/>
      <c r="X712" s="541"/>
      <c r="Y712" s="541"/>
      <c r="Z712" s="541"/>
    </row>
    <row r="713" spans="1:26" ht="18.75" hidden="1">
      <c r="A713" s="708"/>
      <c r="B713" s="727"/>
      <c r="C713" s="727"/>
      <c r="D713" s="727"/>
      <c r="E713" s="727"/>
      <c r="F713" s="727"/>
      <c r="G713" s="189"/>
      <c r="H713" s="728" t="s">
        <v>34</v>
      </c>
      <c r="I713" s="729"/>
      <c r="J713" s="214">
        <v>0</v>
      </c>
      <c r="K713" s="465"/>
      <c r="L713" s="730"/>
      <c r="M713" s="189"/>
      <c r="N713" s="730"/>
      <c r="O713" s="465"/>
      <c r="P713" s="465"/>
      <c r="Q713" s="541"/>
      <c r="R713" s="541"/>
      <c r="S713" s="541"/>
      <c r="T713" s="541"/>
      <c r="U713" s="541"/>
      <c r="V713" s="541"/>
      <c r="W713" s="541"/>
      <c r="X713" s="541"/>
      <c r="Y713" s="541"/>
      <c r="Z713" s="541"/>
    </row>
    <row r="714" spans="1:26" ht="18.75" hidden="1">
      <c r="A714" s="708"/>
      <c r="B714" s="727"/>
      <c r="C714" s="727"/>
      <c r="D714" s="727"/>
      <c r="E714" s="727"/>
      <c r="F714" s="727"/>
      <c r="G714" s="189"/>
      <c r="H714" s="728" t="s">
        <v>46</v>
      </c>
      <c r="I714" s="729"/>
      <c r="J714" s="214">
        <v>0</v>
      </c>
      <c r="K714" s="465"/>
      <c r="L714" s="730"/>
      <c r="M714" s="189"/>
      <c r="N714" s="730"/>
      <c r="O714" s="465"/>
      <c r="P714" s="465"/>
      <c r="Q714" s="541"/>
      <c r="R714" s="541"/>
      <c r="S714" s="541"/>
      <c r="T714" s="541"/>
      <c r="U714" s="541"/>
      <c r="V714" s="541"/>
      <c r="W714" s="541"/>
      <c r="X714" s="541"/>
      <c r="Y714" s="541"/>
      <c r="Z714" s="541"/>
    </row>
    <row r="715" spans="1:26" ht="18.75" hidden="1">
      <c r="A715" s="708"/>
      <c r="B715" s="727"/>
      <c r="C715" s="727"/>
      <c r="D715" s="727"/>
      <c r="E715" s="727"/>
      <c r="F715" s="727" t="s">
        <v>303</v>
      </c>
      <c r="G715" s="189"/>
      <c r="H715" s="728" t="s">
        <v>35</v>
      </c>
      <c r="I715" s="729"/>
      <c r="J715" s="214">
        <v>0</v>
      </c>
      <c r="K715" s="465"/>
      <c r="L715" s="730"/>
      <c r="M715" s="189"/>
      <c r="N715" s="730"/>
      <c r="O715" s="465"/>
      <c r="P715" s="465"/>
      <c r="Q715" s="541"/>
      <c r="R715" s="541"/>
      <c r="S715" s="541"/>
      <c r="T715" s="541"/>
      <c r="U715" s="541"/>
      <c r="V715" s="541"/>
      <c r="W715" s="541"/>
      <c r="X715" s="541"/>
      <c r="Y715" s="541"/>
      <c r="Z715" s="541"/>
    </row>
    <row r="716" spans="1:26" ht="18.75" hidden="1">
      <c r="A716" s="708"/>
      <c r="B716" s="727"/>
      <c r="C716" s="727"/>
      <c r="D716" s="727"/>
      <c r="E716" s="727"/>
      <c r="F716" s="727"/>
      <c r="G716" s="189"/>
      <c r="H716" s="728" t="s">
        <v>34</v>
      </c>
      <c r="I716" s="729"/>
      <c r="J716" s="214">
        <v>0</v>
      </c>
      <c r="K716" s="465"/>
      <c r="L716" s="730"/>
      <c r="M716" s="189"/>
      <c r="N716" s="730"/>
      <c r="O716" s="465"/>
      <c r="P716" s="465"/>
      <c r="Q716" s="541"/>
      <c r="R716" s="541"/>
      <c r="S716" s="541"/>
      <c r="T716" s="541"/>
      <c r="U716" s="541"/>
      <c r="V716" s="541"/>
      <c r="W716" s="541"/>
      <c r="X716" s="541"/>
      <c r="Y716" s="541"/>
      <c r="Z716" s="541"/>
    </row>
    <row r="717" spans="1:26" ht="18.75" hidden="1">
      <c r="A717" s="708"/>
      <c r="B717" s="727"/>
      <c r="C717" s="727"/>
      <c r="D717" s="727"/>
      <c r="E717" s="727"/>
      <c r="F717" s="727"/>
      <c r="G717" s="189"/>
      <c r="H717" s="728" t="s">
        <v>46</v>
      </c>
      <c r="I717" s="729"/>
      <c r="J717" s="214">
        <v>0</v>
      </c>
      <c r="K717" s="465"/>
      <c r="L717" s="730"/>
      <c r="M717" s="189"/>
      <c r="N717" s="730"/>
      <c r="O717" s="465"/>
      <c r="P717" s="465"/>
      <c r="Q717" s="541"/>
      <c r="R717" s="541"/>
      <c r="S717" s="541"/>
      <c r="T717" s="541"/>
      <c r="U717" s="541"/>
      <c r="V717" s="541"/>
      <c r="W717" s="541"/>
      <c r="X717" s="541"/>
      <c r="Y717" s="541"/>
      <c r="Z717" s="541"/>
    </row>
    <row r="718" spans="1:26" ht="18.75" hidden="1">
      <c r="A718" s="708"/>
      <c r="B718" s="727"/>
      <c r="C718" s="727"/>
      <c r="D718" s="727" t="s">
        <v>304</v>
      </c>
      <c r="E718" s="727"/>
      <c r="F718" s="727"/>
      <c r="G718" s="189"/>
      <c r="H718" s="728" t="s">
        <v>35</v>
      </c>
      <c r="I718" s="729"/>
      <c r="J718" s="269">
        <f ca="1">IFERROR(__xludf.DUMMYFUNCTION("IMPORTRANGE(""https://docs.google.com/spreadsheets/d/1XWAQStnk-4SwqDmLtmXYiTMKHgktTP8We1SCoS47DrQ/edit?usp=sharing"",""จัดที่ดิน!BF24"")"),0)</f>
        <v>0</v>
      </c>
      <c r="K718" s="465"/>
      <c r="L718" s="465"/>
      <c r="M718" s="189"/>
      <c r="N718" s="730"/>
      <c r="O718" s="465"/>
      <c r="P718" s="465"/>
      <c r="Q718" s="541"/>
      <c r="R718" s="541"/>
      <c r="S718" s="541"/>
      <c r="T718" s="541"/>
      <c r="U718" s="541"/>
      <c r="V718" s="541"/>
      <c r="W718" s="541"/>
      <c r="X718" s="541"/>
      <c r="Y718" s="541"/>
      <c r="Z718" s="541"/>
    </row>
    <row r="719" spans="1:26" ht="18.75" hidden="1">
      <c r="A719" s="708"/>
      <c r="B719" s="727"/>
      <c r="C719" s="727"/>
      <c r="D719" s="727"/>
      <c r="E719" s="727"/>
      <c r="F719" s="727"/>
      <c r="G719" s="189"/>
      <c r="H719" s="728" t="s">
        <v>34</v>
      </c>
      <c r="I719" s="729"/>
      <c r="J719" s="269">
        <f ca="1">IFERROR(__xludf.DUMMYFUNCTION("IMPORTRANGE(""https://docs.google.com/spreadsheets/d/1XWAQStnk-4SwqDmLtmXYiTMKHgktTP8We1SCoS47DrQ/edit?usp=sharing"",""จัดที่ดิน!BG24"")"),0)</f>
        <v>0</v>
      </c>
      <c r="K719" s="465"/>
      <c r="L719" s="730"/>
      <c r="M719" s="189"/>
      <c r="N719" s="730"/>
      <c r="O719" s="465"/>
      <c r="P719" s="465"/>
      <c r="Q719" s="541"/>
      <c r="R719" s="541"/>
      <c r="S719" s="541"/>
      <c r="T719" s="541"/>
      <c r="U719" s="541"/>
      <c r="V719" s="541"/>
      <c r="W719" s="541"/>
      <c r="X719" s="541"/>
      <c r="Y719" s="541"/>
      <c r="Z719" s="541"/>
    </row>
    <row r="720" spans="1:26" ht="18.75" hidden="1">
      <c r="A720" s="708"/>
      <c r="B720" s="727"/>
      <c r="C720" s="727"/>
      <c r="D720" s="727"/>
      <c r="E720" s="727"/>
      <c r="F720" s="727"/>
      <c r="G720" s="189"/>
      <c r="H720" s="728" t="s">
        <v>46</v>
      </c>
      <c r="I720" s="729">
        <f ca="1">IFERROR(__xludf.DUMMYFUNCTION("IMPORTRANGE(""https://docs.google.com/spreadsheets/d/1QqKyyYR6Q21VydFLVH3TRQUabQu_ym0Zz7PgGX0-kHA/edit?usp=sharing"",""แผน!II24"")"),0)</f>
        <v>0</v>
      </c>
      <c r="J720" s="269">
        <f ca="1">IFERROR(__xludf.DUMMYFUNCTION("IMPORTRANGE(""https://docs.google.com/spreadsheets/d/1XWAQStnk-4SwqDmLtmXYiTMKHgktTP8We1SCoS47DrQ/edit?usp=sharing"",""จัดที่ดิน!BH24"")"),0)</f>
        <v>0</v>
      </c>
      <c r="K720" s="465">
        <f t="shared" ref="K720:K723" ca="1" si="290">IF(I720&gt;0,J720*100/I720,0)</f>
        <v>0</v>
      </c>
      <c r="L720" s="730"/>
      <c r="M720" s="189"/>
      <c r="N720" s="730"/>
      <c r="O720" s="465"/>
      <c r="P720" s="465"/>
      <c r="Q720" s="541"/>
      <c r="R720" s="541"/>
      <c r="S720" s="541"/>
      <c r="T720" s="541"/>
      <c r="U720" s="541"/>
      <c r="V720" s="541"/>
      <c r="W720" s="541"/>
      <c r="X720" s="541"/>
      <c r="Y720" s="541"/>
      <c r="Z720" s="541"/>
    </row>
    <row r="721" spans="1:26" ht="19.5" hidden="1">
      <c r="A721" s="708"/>
      <c r="B721" s="727"/>
      <c r="C721" s="727"/>
      <c r="D721" s="727" t="s">
        <v>305</v>
      </c>
      <c r="E721" s="727"/>
      <c r="F721" s="727"/>
      <c r="G721" s="189"/>
      <c r="H721" s="731" t="s">
        <v>35</v>
      </c>
      <c r="I721" s="732">
        <f ca="1">IFERROR(__xludf.DUMMYFUNCTION("IMPORTRANGE(""https://docs.google.com/spreadsheets/d/1QqKyyYR6Q21VydFLVH3TRQUabQu_ym0Zz7PgGX0-kHA/edit?usp=sharing"",""แผน!IJ24"")"),0)</f>
        <v>0</v>
      </c>
      <c r="J721" s="647">
        <f ca="1">J723+J726</f>
        <v>0</v>
      </c>
      <c r="K721" s="195">
        <f t="shared" ca="1" si="290"/>
        <v>0</v>
      </c>
      <c r="L721" s="730"/>
      <c r="M721" s="189"/>
      <c r="N721" s="730"/>
      <c r="O721" s="465"/>
      <c r="P721" s="465"/>
      <c r="Q721" s="541"/>
      <c r="R721" s="541"/>
      <c r="S721" s="541"/>
      <c r="T721" s="541"/>
      <c r="U721" s="541"/>
      <c r="V721" s="541"/>
      <c r="W721" s="541"/>
      <c r="X721" s="541"/>
      <c r="Y721" s="541"/>
      <c r="Z721" s="541"/>
    </row>
    <row r="722" spans="1:26" ht="19.5" hidden="1">
      <c r="A722" s="708"/>
      <c r="B722" s="727"/>
      <c r="C722" s="727"/>
      <c r="D722" s="727"/>
      <c r="E722" s="727"/>
      <c r="F722" s="727"/>
      <c r="G722" s="189"/>
      <c r="H722" s="731" t="s">
        <v>46</v>
      </c>
      <c r="I722" s="732">
        <f ca="1">IFERROR(__xludf.DUMMYFUNCTION("IMPORTRANGE(""https://docs.google.com/spreadsheets/d/1QqKyyYR6Q21VydFLVH3TRQUabQu_ym0Zz7PgGX0-kHA/edit?usp=sharing"",""แผน!IK24"")"),0)</f>
        <v>0</v>
      </c>
      <c r="J722" s="647">
        <f ca="1">J725+J728</f>
        <v>0</v>
      </c>
      <c r="K722" s="195">
        <f t="shared" ca="1" si="290"/>
        <v>0</v>
      </c>
      <c r="L722" s="465"/>
      <c r="M722" s="189"/>
      <c r="N722" s="730"/>
      <c r="O722" s="465"/>
      <c r="P722" s="465"/>
      <c r="Q722" s="541"/>
      <c r="R722" s="541"/>
      <c r="S722" s="541"/>
      <c r="T722" s="541"/>
      <c r="U722" s="541"/>
      <c r="V722" s="541"/>
      <c r="W722" s="541"/>
      <c r="X722" s="541"/>
      <c r="Y722" s="541"/>
      <c r="Z722" s="541"/>
    </row>
    <row r="723" spans="1:26" ht="18.75" hidden="1">
      <c r="A723" s="708"/>
      <c r="B723" s="727"/>
      <c r="C723" s="727"/>
      <c r="D723" s="727"/>
      <c r="E723" s="727" t="s">
        <v>306</v>
      </c>
      <c r="F723" s="727"/>
      <c r="G723" s="189"/>
      <c r="H723" s="728" t="s">
        <v>35</v>
      </c>
      <c r="I723" s="729">
        <f ca="1">IFERROR(__xludf.DUMMYFUNCTION("IMPORTRANGE(""https://docs.google.com/spreadsheets/d/1QqKyyYR6Q21VydFLVH3TRQUabQu_ym0Zz7PgGX0-kHA/edit?usp=sharing"",""แผน!IL24"")"),0)</f>
        <v>0</v>
      </c>
      <c r="J723" s="269">
        <f ca="1">IFERROR(__xludf.DUMMYFUNCTION("IMPORTRANGE(""https://docs.google.com/spreadsheets/d/1XWAQStnk-4SwqDmLtmXYiTMKHgktTP8We1SCoS47DrQ/edit?usp=sharing"",""จัดที่ดิน!BM24"")"),0)</f>
        <v>0</v>
      </c>
      <c r="K723" s="465">
        <f t="shared" ca="1" si="290"/>
        <v>0</v>
      </c>
      <c r="L723" s="465"/>
      <c r="M723" s="189"/>
      <c r="N723" s="730"/>
      <c r="O723" s="465"/>
      <c r="P723" s="465"/>
      <c r="Q723" s="541"/>
      <c r="R723" s="541"/>
      <c r="S723" s="541"/>
      <c r="T723" s="541"/>
      <c r="U723" s="541"/>
      <c r="V723" s="541"/>
      <c r="W723" s="541"/>
      <c r="X723" s="541"/>
      <c r="Y723" s="541"/>
      <c r="Z723" s="541"/>
    </row>
    <row r="724" spans="1:26" ht="18.75" hidden="1">
      <c r="A724" s="708"/>
      <c r="B724" s="727"/>
      <c r="C724" s="727"/>
      <c r="D724" s="727"/>
      <c r="E724" s="727"/>
      <c r="F724" s="727"/>
      <c r="G724" s="189"/>
      <c r="H724" s="728" t="s">
        <v>34</v>
      </c>
      <c r="I724" s="729"/>
      <c r="J724" s="269">
        <f ca="1">IFERROR(__xludf.DUMMYFUNCTION("IMPORTRANGE(""https://docs.google.com/spreadsheets/d/1XWAQStnk-4SwqDmLtmXYiTMKHgktTP8We1SCoS47DrQ/edit?usp=sharing"",""จัดที่ดิน!BN24"")"),0)</f>
        <v>0</v>
      </c>
      <c r="K724" s="465"/>
      <c r="L724" s="730"/>
      <c r="M724" s="189"/>
      <c r="N724" s="730"/>
      <c r="O724" s="465"/>
      <c r="P724" s="465"/>
      <c r="Q724" s="541"/>
      <c r="R724" s="541"/>
      <c r="S724" s="541"/>
      <c r="T724" s="541"/>
      <c r="U724" s="541"/>
      <c r="V724" s="541"/>
      <c r="W724" s="541"/>
      <c r="X724" s="541"/>
      <c r="Y724" s="541"/>
      <c r="Z724" s="541"/>
    </row>
    <row r="725" spans="1:26" ht="18.75" hidden="1">
      <c r="A725" s="708"/>
      <c r="B725" s="727"/>
      <c r="C725" s="727"/>
      <c r="D725" s="727"/>
      <c r="E725" s="727"/>
      <c r="F725" s="727"/>
      <c r="G725" s="189"/>
      <c r="H725" s="728" t="s">
        <v>46</v>
      </c>
      <c r="I725" s="729">
        <f ca="1">IFERROR(__xludf.DUMMYFUNCTION("IMPORTRANGE(""https://docs.google.com/spreadsheets/d/1QqKyyYR6Q21VydFLVH3TRQUabQu_ym0Zz7PgGX0-kHA/edit?usp=sharing"",""แผน!IM24"")"),0)</f>
        <v>0</v>
      </c>
      <c r="J725" s="269">
        <f ca="1">IFERROR(__xludf.DUMMYFUNCTION("IMPORTRANGE(""https://docs.google.com/spreadsheets/d/1XWAQStnk-4SwqDmLtmXYiTMKHgktTP8We1SCoS47DrQ/edit?usp=sharing"",""จัดที่ดิน!BO24"")"),0)</f>
        <v>0</v>
      </c>
      <c r="K725" s="465">
        <f t="shared" ref="K725:K726" ca="1" si="291">IF(I725&gt;0,J725*100/I725,0)</f>
        <v>0</v>
      </c>
      <c r="L725" s="730"/>
      <c r="M725" s="189"/>
      <c r="N725" s="730"/>
      <c r="O725" s="465"/>
      <c r="P725" s="465"/>
      <c r="Q725" s="541"/>
      <c r="R725" s="541"/>
      <c r="S725" s="541"/>
      <c r="T725" s="541"/>
      <c r="U725" s="541"/>
      <c r="V725" s="541"/>
      <c r="W725" s="541"/>
      <c r="X725" s="541"/>
      <c r="Y725" s="541"/>
      <c r="Z725" s="541"/>
    </row>
    <row r="726" spans="1:26" ht="18.75" hidden="1">
      <c r="A726" s="708"/>
      <c r="B726" s="727"/>
      <c r="C726" s="727"/>
      <c r="D726" s="727"/>
      <c r="E726" s="727" t="s">
        <v>307</v>
      </c>
      <c r="F726" s="727"/>
      <c r="G726" s="189"/>
      <c r="H726" s="728" t="s">
        <v>35</v>
      </c>
      <c r="I726" s="729">
        <f ca="1">IFERROR(__xludf.DUMMYFUNCTION("IMPORTRANGE(""https://docs.google.com/spreadsheets/d/1QqKyyYR6Q21VydFLVH3TRQUabQu_ym0Zz7PgGX0-kHA/edit?usp=sharing"",""แผน!IN24"")"),0)</f>
        <v>0</v>
      </c>
      <c r="J726" s="269">
        <f ca="1">IFERROR(__xludf.DUMMYFUNCTION("IMPORTRANGE(""https://docs.google.com/spreadsheets/d/1XWAQStnk-4SwqDmLtmXYiTMKHgktTP8We1SCoS47DrQ/edit?usp=sharing"",""จัดที่ดิน!BR24"")"),0)</f>
        <v>0</v>
      </c>
      <c r="K726" s="465">
        <f t="shared" ca="1" si="291"/>
        <v>0</v>
      </c>
      <c r="L726" s="465"/>
      <c r="M726" s="189"/>
      <c r="N726" s="730"/>
      <c r="O726" s="465"/>
      <c r="P726" s="465"/>
      <c r="Q726" s="541"/>
      <c r="R726" s="541"/>
      <c r="S726" s="541"/>
      <c r="T726" s="541"/>
      <c r="U726" s="541"/>
      <c r="V726" s="541"/>
      <c r="W726" s="541"/>
      <c r="X726" s="541"/>
      <c r="Y726" s="541"/>
      <c r="Z726" s="541"/>
    </row>
    <row r="727" spans="1:26" ht="18.75" hidden="1">
      <c r="A727" s="708"/>
      <c r="B727" s="727"/>
      <c r="C727" s="727"/>
      <c r="D727" s="727"/>
      <c r="E727" s="727"/>
      <c r="F727" s="727"/>
      <c r="G727" s="189"/>
      <c r="H727" s="728" t="s">
        <v>34</v>
      </c>
      <c r="I727" s="729"/>
      <c r="J727" s="269">
        <f ca="1">IFERROR(__xludf.DUMMYFUNCTION("IMPORTRANGE(""https://docs.google.com/spreadsheets/d/1XWAQStnk-4SwqDmLtmXYiTMKHgktTP8We1SCoS47DrQ/edit?usp=sharing"",""จัดที่ดิน!BS24"")"),0)</f>
        <v>0</v>
      </c>
      <c r="K727" s="465"/>
      <c r="L727" s="730"/>
      <c r="M727" s="189"/>
      <c r="N727" s="730"/>
      <c r="O727" s="465"/>
      <c r="P727" s="465"/>
      <c r="Q727" s="541"/>
      <c r="R727" s="541"/>
      <c r="S727" s="541"/>
      <c r="T727" s="541"/>
      <c r="U727" s="541"/>
      <c r="V727" s="541"/>
      <c r="W727" s="541"/>
      <c r="X727" s="541"/>
      <c r="Y727" s="541"/>
      <c r="Z727" s="541"/>
    </row>
    <row r="728" spans="1:26" ht="18.75" hidden="1">
      <c r="A728" s="708"/>
      <c r="B728" s="727"/>
      <c r="C728" s="727"/>
      <c r="D728" s="727"/>
      <c r="E728" s="727"/>
      <c r="F728" s="727"/>
      <c r="G728" s="189"/>
      <c r="H728" s="728" t="s">
        <v>46</v>
      </c>
      <c r="I728" s="729">
        <f ca="1">IFERROR(__xludf.DUMMYFUNCTION("IMPORTRANGE(""https://docs.google.com/spreadsheets/d/1QqKyyYR6Q21VydFLVH3TRQUabQu_ym0Zz7PgGX0-kHA/edit?usp=sharing"",""แผน!IO24"")"),0)</f>
        <v>0</v>
      </c>
      <c r="J728" s="269">
        <f ca="1">IFERROR(__xludf.DUMMYFUNCTION("IMPORTRANGE(""https://docs.google.com/spreadsheets/d/1XWAQStnk-4SwqDmLtmXYiTMKHgktTP8We1SCoS47DrQ/edit?usp=sharing"",""จัดที่ดิน!BT24"")"),0)</f>
        <v>0</v>
      </c>
      <c r="K728" s="465">
        <f t="shared" ref="K728:K729" ca="1" si="292">IF(I728&gt;0,J728*100/I728,0)</f>
        <v>0</v>
      </c>
      <c r="L728" s="730"/>
      <c r="M728" s="189"/>
      <c r="N728" s="730"/>
      <c r="O728" s="465"/>
      <c r="P728" s="465"/>
      <c r="Q728" s="541"/>
      <c r="R728" s="541"/>
      <c r="S728" s="541"/>
      <c r="T728" s="541"/>
      <c r="U728" s="541"/>
      <c r="V728" s="541"/>
      <c r="W728" s="541"/>
      <c r="X728" s="541"/>
      <c r="Y728" s="541"/>
      <c r="Z728" s="541"/>
    </row>
    <row r="729" spans="1:26" ht="19.5" hidden="1">
      <c r="A729" s="708"/>
      <c r="B729" s="727"/>
      <c r="C729" s="727"/>
      <c r="D729" s="727" t="s">
        <v>308</v>
      </c>
      <c r="E729" s="727"/>
      <c r="F729" s="727"/>
      <c r="G729" s="189"/>
      <c r="H729" s="731" t="s">
        <v>46</v>
      </c>
      <c r="I729" s="732">
        <f ca="1">IFERROR(__xludf.DUMMYFUNCTION("IMPORTRANGE(""https://docs.google.com/spreadsheets/d/1QqKyyYR6Q21VydFLVH3TRQUabQu_ym0Zz7PgGX0-kHA/edit?usp=sharing"",""แผน!IP24"")"),0)</f>
        <v>0</v>
      </c>
      <c r="J729" s="647">
        <f>J732+J735</f>
        <v>0</v>
      </c>
      <c r="K729" s="195">
        <f t="shared" ca="1" si="292"/>
        <v>0</v>
      </c>
      <c r="L729" s="465"/>
      <c r="M729" s="189"/>
      <c r="N729" s="730"/>
      <c r="O729" s="465"/>
      <c r="P729" s="465"/>
      <c r="Q729" s="541"/>
      <c r="R729" s="541"/>
      <c r="S729" s="541"/>
      <c r="T729" s="541"/>
      <c r="U729" s="541"/>
      <c r="V729" s="541"/>
      <c r="W729" s="541"/>
      <c r="X729" s="541"/>
      <c r="Y729" s="541"/>
      <c r="Z729" s="541"/>
    </row>
    <row r="730" spans="1:26" ht="18.75" hidden="1">
      <c r="A730" s="708"/>
      <c r="B730" s="727"/>
      <c r="C730" s="727"/>
      <c r="D730" s="727"/>
      <c r="E730" s="727" t="s">
        <v>309</v>
      </c>
      <c r="F730" s="727"/>
      <c r="G730" s="189"/>
      <c r="H730" s="728" t="s">
        <v>35</v>
      </c>
      <c r="I730" s="729"/>
      <c r="J730" s="214">
        <v>0</v>
      </c>
      <c r="K730" s="465"/>
      <c r="L730" s="730"/>
      <c r="M730" s="465"/>
      <c r="N730" s="730"/>
      <c r="O730" s="465"/>
      <c r="P730" s="465"/>
      <c r="Q730" s="541"/>
      <c r="R730" s="541"/>
      <c r="S730" s="541"/>
      <c r="T730" s="541"/>
      <c r="U730" s="541"/>
      <c r="V730" s="541"/>
      <c r="W730" s="541"/>
      <c r="X730" s="541"/>
      <c r="Y730" s="541"/>
      <c r="Z730" s="541"/>
    </row>
    <row r="731" spans="1:26" ht="18.75" hidden="1">
      <c r="A731" s="708"/>
      <c r="B731" s="727"/>
      <c r="C731" s="727"/>
      <c r="D731" s="727"/>
      <c r="E731" s="727"/>
      <c r="F731" s="727"/>
      <c r="G731" s="189"/>
      <c r="H731" s="728" t="s">
        <v>34</v>
      </c>
      <c r="I731" s="729"/>
      <c r="J731" s="214">
        <v>0</v>
      </c>
      <c r="K731" s="465"/>
      <c r="L731" s="730"/>
      <c r="M731" s="465"/>
      <c r="N731" s="730"/>
      <c r="O731" s="465"/>
      <c r="P731" s="465"/>
      <c r="Q731" s="541"/>
      <c r="R731" s="541"/>
      <c r="S731" s="541"/>
      <c r="T731" s="541"/>
      <c r="U731" s="541"/>
      <c r="V731" s="541"/>
      <c r="W731" s="541"/>
      <c r="X731" s="541"/>
      <c r="Y731" s="541"/>
      <c r="Z731" s="541"/>
    </row>
    <row r="732" spans="1:26" ht="18.75" hidden="1">
      <c r="A732" s="708"/>
      <c r="B732" s="727"/>
      <c r="C732" s="727"/>
      <c r="D732" s="727"/>
      <c r="E732" s="727"/>
      <c r="F732" s="727"/>
      <c r="G732" s="189"/>
      <c r="H732" s="728" t="s">
        <v>46</v>
      </c>
      <c r="I732" s="729"/>
      <c r="J732" s="214">
        <v>0</v>
      </c>
      <c r="K732" s="465"/>
      <c r="L732" s="730"/>
      <c r="M732" s="465"/>
      <c r="N732" s="730"/>
      <c r="O732" s="465"/>
      <c r="P732" s="465"/>
      <c r="Q732" s="541"/>
      <c r="R732" s="541"/>
      <c r="S732" s="541"/>
      <c r="T732" s="541"/>
      <c r="U732" s="541"/>
      <c r="V732" s="541"/>
      <c r="W732" s="541"/>
      <c r="X732" s="541"/>
      <c r="Y732" s="541"/>
      <c r="Z732" s="541"/>
    </row>
    <row r="733" spans="1:26" ht="18.75" hidden="1">
      <c r="A733" s="708"/>
      <c r="B733" s="727"/>
      <c r="C733" s="727"/>
      <c r="D733" s="727"/>
      <c r="E733" s="727" t="s">
        <v>310</v>
      </c>
      <c r="F733" s="727"/>
      <c r="G733" s="189"/>
      <c r="H733" s="728" t="s">
        <v>35</v>
      </c>
      <c r="I733" s="729"/>
      <c r="J733" s="214">
        <v>0</v>
      </c>
      <c r="K733" s="465"/>
      <c r="L733" s="730"/>
      <c r="M733" s="465"/>
      <c r="N733" s="730"/>
      <c r="O733" s="465"/>
      <c r="P733" s="465"/>
      <c r="Q733" s="541"/>
      <c r="R733" s="541"/>
      <c r="S733" s="541"/>
      <c r="T733" s="541"/>
      <c r="U733" s="541"/>
      <c r="V733" s="541"/>
      <c r="W733" s="541"/>
      <c r="X733" s="541"/>
      <c r="Y733" s="541"/>
      <c r="Z733" s="541"/>
    </row>
    <row r="734" spans="1:26" ht="18.75" hidden="1">
      <c r="A734" s="708"/>
      <c r="B734" s="727"/>
      <c r="C734" s="727"/>
      <c r="D734" s="727"/>
      <c r="E734" s="727"/>
      <c r="F734" s="727"/>
      <c r="G734" s="189"/>
      <c r="H734" s="728" t="s">
        <v>34</v>
      </c>
      <c r="I734" s="729"/>
      <c r="J734" s="214">
        <v>0</v>
      </c>
      <c r="K734" s="465"/>
      <c r="L734" s="730"/>
      <c r="M734" s="465"/>
      <c r="N734" s="730"/>
      <c r="O734" s="465"/>
      <c r="P734" s="465"/>
      <c r="Q734" s="541"/>
      <c r="R734" s="541"/>
      <c r="S734" s="541"/>
      <c r="T734" s="541"/>
      <c r="U734" s="541"/>
      <c r="V734" s="541"/>
      <c r="W734" s="541"/>
      <c r="X734" s="541"/>
      <c r="Y734" s="541"/>
      <c r="Z734" s="541"/>
    </row>
    <row r="735" spans="1:26" ht="19.5" hidden="1">
      <c r="A735" s="734"/>
      <c r="B735" s="735" t="s">
        <v>311</v>
      </c>
      <c r="C735" s="698"/>
      <c r="D735" s="698"/>
      <c r="E735" s="698"/>
      <c r="F735" s="698"/>
      <c r="G735" s="699"/>
      <c r="H735" s="390" t="s">
        <v>46</v>
      </c>
      <c r="I735" s="736"/>
      <c r="J735" s="392">
        <v>0</v>
      </c>
      <c r="K735" s="469"/>
      <c r="L735" s="737"/>
      <c r="M735" s="469"/>
      <c r="N735" s="737"/>
      <c r="O735" s="469"/>
      <c r="P735" s="469"/>
      <c r="Q735" s="541"/>
      <c r="R735" s="541"/>
      <c r="S735" s="541"/>
      <c r="T735" s="541"/>
      <c r="U735" s="541"/>
      <c r="V735" s="541"/>
      <c r="W735" s="541"/>
      <c r="X735" s="541"/>
      <c r="Y735" s="541"/>
      <c r="Z735" s="541"/>
    </row>
    <row r="736" spans="1:26" ht="19.5" hidden="1">
      <c r="A736" s="738">
        <v>9</v>
      </c>
      <c r="B736" s="739" t="s">
        <v>312</v>
      </c>
      <c r="C736" s="740"/>
      <c r="D736" s="740"/>
      <c r="E736" s="740"/>
      <c r="F736" s="740"/>
      <c r="G736" s="741"/>
      <c r="H736" s="742" t="s">
        <v>46</v>
      </c>
      <c r="I736" s="743"/>
      <c r="J736" s="743">
        <f>J751</f>
        <v>0</v>
      </c>
      <c r="K736" s="744">
        <f>IF(I736&gt;0,J736*100/I736,0)</f>
        <v>0</v>
      </c>
      <c r="L736" s="745"/>
      <c r="M736" s="745"/>
      <c r="N736" s="745"/>
      <c r="O736" s="745"/>
      <c r="P736" s="745"/>
      <c r="Q736" s="568"/>
      <c r="R736" s="568"/>
      <c r="S736" s="568"/>
      <c r="T736" s="568"/>
      <c r="U736" s="568"/>
      <c r="V736" s="568"/>
      <c r="W736" s="568"/>
      <c r="X736" s="568"/>
      <c r="Y736" s="568"/>
      <c r="Z736" s="568"/>
    </row>
    <row r="737" spans="1:26" ht="19.5" hidden="1">
      <c r="A737" s="563"/>
      <c r="B737" s="723"/>
      <c r="C737" s="723" t="s">
        <v>16</v>
      </c>
      <c r="D737" s="812" t="s">
        <v>17</v>
      </c>
      <c r="E737" s="805"/>
      <c r="F737" s="805"/>
      <c r="G737" s="567"/>
      <c r="H737" s="612" t="s">
        <v>12</v>
      </c>
      <c r="I737" s="583"/>
      <c r="J737" s="583"/>
      <c r="K737" s="93"/>
      <c r="L737" s="613">
        <f t="shared" ref="L737:N737" si="293">L738+L739</f>
        <v>0</v>
      </c>
      <c r="M737" s="613">
        <f t="shared" si="293"/>
        <v>0</v>
      </c>
      <c r="N737" s="613">
        <f t="shared" si="293"/>
        <v>0</v>
      </c>
      <c r="O737" s="613">
        <f t="shared" ref="O737:O742" si="294">IF(L737&gt;0,N737*100/L737,0)</f>
        <v>0</v>
      </c>
      <c r="P737" s="613">
        <f t="shared" ref="P737:P742" si="295">IF(M737&gt;0,N737*100/M737,0)</f>
        <v>0</v>
      </c>
      <c r="Q737" s="568"/>
      <c r="R737" s="568"/>
      <c r="S737" s="568"/>
      <c r="T737" s="568"/>
      <c r="U737" s="568"/>
      <c r="V737" s="568"/>
      <c r="W737" s="568"/>
      <c r="X737" s="568"/>
      <c r="Y737" s="568"/>
      <c r="Z737" s="568"/>
    </row>
    <row r="738" spans="1:26" ht="18.75" hidden="1">
      <c r="A738" s="563"/>
      <c r="B738" s="723"/>
      <c r="C738" s="723"/>
      <c r="D738" s="684"/>
      <c r="E738" s="723" t="s">
        <v>184</v>
      </c>
      <c r="F738" s="723"/>
      <c r="G738" s="567"/>
      <c r="H738" s="165" t="s">
        <v>12</v>
      </c>
      <c r="I738" s="583"/>
      <c r="J738" s="583"/>
      <c r="K738" s="93"/>
      <c r="L738" s="93">
        <f t="shared" ref="L738:N739" si="296">L741+L748</f>
        <v>0</v>
      </c>
      <c r="M738" s="93">
        <f t="shared" si="296"/>
        <v>0</v>
      </c>
      <c r="N738" s="93">
        <f t="shared" si="296"/>
        <v>0</v>
      </c>
      <c r="O738" s="93">
        <f t="shared" si="294"/>
        <v>0</v>
      </c>
      <c r="P738" s="93">
        <f t="shared" si="295"/>
        <v>0</v>
      </c>
      <c r="Q738" s="568"/>
      <c r="R738" s="568"/>
      <c r="S738" s="568"/>
      <c r="T738" s="568"/>
      <c r="U738" s="568"/>
      <c r="V738" s="568"/>
      <c r="W738" s="568"/>
      <c r="X738" s="568"/>
      <c r="Y738" s="568"/>
      <c r="Z738" s="568"/>
    </row>
    <row r="739" spans="1:26" ht="18.75" hidden="1">
      <c r="A739" s="563"/>
      <c r="B739" s="571"/>
      <c r="C739" s="723"/>
      <c r="D739" s="684"/>
      <c r="E739" s="723" t="s">
        <v>185</v>
      </c>
      <c r="F739" s="723"/>
      <c r="G739" s="567"/>
      <c r="H739" s="165" t="s">
        <v>12</v>
      </c>
      <c r="I739" s="583"/>
      <c r="J739" s="583"/>
      <c r="K739" s="93"/>
      <c r="L739" s="93">
        <f t="shared" si="296"/>
        <v>0</v>
      </c>
      <c r="M739" s="93">
        <f t="shared" si="296"/>
        <v>0</v>
      </c>
      <c r="N739" s="93">
        <f t="shared" si="296"/>
        <v>0</v>
      </c>
      <c r="O739" s="93">
        <f t="shared" si="294"/>
        <v>0</v>
      </c>
      <c r="P739" s="93">
        <f t="shared" si="295"/>
        <v>0</v>
      </c>
      <c r="Q739" s="568"/>
      <c r="R739" s="568"/>
      <c r="S739" s="568"/>
      <c r="T739" s="568"/>
      <c r="U739" s="568"/>
      <c r="V739" s="568"/>
      <c r="W739" s="568"/>
      <c r="X739" s="568"/>
      <c r="Y739" s="568"/>
      <c r="Z739" s="568"/>
    </row>
    <row r="740" spans="1:26" ht="19.5" hidden="1">
      <c r="A740" s="563"/>
      <c r="B740" s="571"/>
      <c r="C740" s="723"/>
      <c r="D740" s="611" t="s">
        <v>20</v>
      </c>
      <c r="E740" s="723"/>
      <c r="F740" s="723"/>
      <c r="G740" s="567"/>
      <c r="H740" s="612" t="s">
        <v>12</v>
      </c>
      <c r="I740" s="166"/>
      <c r="J740" s="166"/>
      <c r="K740" s="167"/>
      <c r="L740" s="613">
        <f t="shared" ref="L740:N740" si="297">L741+L742</f>
        <v>0</v>
      </c>
      <c r="M740" s="613">
        <f t="shared" si="297"/>
        <v>0</v>
      </c>
      <c r="N740" s="613">
        <f t="shared" si="297"/>
        <v>0</v>
      </c>
      <c r="O740" s="613">
        <f t="shared" si="294"/>
        <v>0</v>
      </c>
      <c r="P740" s="613">
        <f t="shared" si="295"/>
        <v>0</v>
      </c>
      <c r="Q740" s="568"/>
      <c r="R740" s="568"/>
      <c r="S740" s="568"/>
      <c r="T740" s="568"/>
      <c r="U740" s="568"/>
      <c r="V740" s="568"/>
      <c r="W740" s="568"/>
      <c r="X740" s="568"/>
      <c r="Y740" s="568"/>
      <c r="Z740" s="568"/>
    </row>
    <row r="741" spans="1:26" ht="18.75" hidden="1">
      <c r="A741" s="563"/>
      <c r="B741" s="571"/>
      <c r="C741" s="723"/>
      <c r="D741" s="684"/>
      <c r="E741" s="723" t="s">
        <v>184</v>
      </c>
      <c r="F741" s="723"/>
      <c r="G741" s="567"/>
      <c r="H741" s="165" t="s">
        <v>12</v>
      </c>
      <c r="I741" s="583"/>
      <c r="J741" s="583"/>
      <c r="K741" s="93"/>
      <c r="L741" s="93">
        <v>0</v>
      </c>
      <c r="M741" s="93">
        <v>0</v>
      </c>
      <c r="N741" s="93">
        <v>0</v>
      </c>
      <c r="O741" s="93">
        <f t="shared" si="294"/>
        <v>0</v>
      </c>
      <c r="P741" s="93">
        <f t="shared" si="295"/>
        <v>0</v>
      </c>
      <c r="Q741" s="568"/>
      <c r="R741" s="568"/>
      <c r="S741" s="568"/>
      <c r="T741" s="568"/>
      <c r="U741" s="568"/>
      <c r="V741" s="568"/>
      <c r="W741" s="568"/>
      <c r="X741" s="568"/>
      <c r="Y741" s="568"/>
      <c r="Z741" s="568"/>
    </row>
    <row r="742" spans="1:26" ht="18.75" hidden="1">
      <c r="A742" s="563"/>
      <c r="B742" s="571"/>
      <c r="C742" s="723"/>
      <c r="D742" s="684"/>
      <c r="E742" s="723" t="s">
        <v>185</v>
      </c>
      <c r="F742" s="723"/>
      <c r="G742" s="567"/>
      <c r="H742" s="165" t="s">
        <v>12</v>
      </c>
      <c r="I742" s="583"/>
      <c r="J742" s="583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4"/>
        <v>0</v>
      </c>
      <c r="P742" s="93">
        <f t="shared" si="295"/>
        <v>0</v>
      </c>
      <c r="Q742" s="568"/>
      <c r="R742" s="568"/>
      <c r="S742" s="568"/>
      <c r="T742" s="568"/>
      <c r="U742" s="568"/>
      <c r="V742" s="568"/>
      <c r="W742" s="568"/>
      <c r="X742" s="568"/>
      <c r="Y742" s="568"/>
      <c r="Z742" s="568"/>
    </row>
    <row r="743" spans="1:26" ht="18.75" hidden="1">
      <c r="A743" s="615"/>
      <c r="B743" s="571"/>
      <c r="C743" s="723"/>
      <c r="D743" s="723"/>
      <c r="E743" s="723"/>
      <c r="F743" s="723" t="s">
        <v>186</v>
      </c>
      <c r="G743" s="567"/>
      <c r="H743" s="165" t="s">
        <v>12</v>
      </c>
      <c r="I743" s="583"/>
      <c r="J743" s="583"/>
      <c r="K743" s="93"/>
      <c r="L743" s="93"/>
      <c r="M743" s="93"/>
      <c r="N743" s="93"/>
      <c r="O743" s="93"/>
      <c r="P743" s="93"/>
      <c r="Q743" s="568"/>
      <c r="R743" s="568"/>
      <c r="S743" s="568"/>
      <c r="T743" s="568"/>
      <c r="U743" s="568"/>
      <c r="V743" s="568"/>
      <c r="W743" s="568"/>
      <c r="X743" s="568"/>
      <c r="Y743" s="568"/>
      <c r="Z743" s="568"/>
    </row>
    <row r="744" spans="1:26" ht="18.75" hidden="1">
      <c r="A744" s="615"/>
      <c r="B744" s="571"/>
      <c r="C744" s="723"/>
      <c r="D744" s="723"/>
      <c r="E744" s="723"/>
      <c r="F744" s="723" t="s">
        <v>187</v>
      </c>
      <c r="G744" s="567"/>
      <c r="H744" s="165" t="s">
        <v>12</v>
      </c>
      <c r="I744" s="583"/>
      <c r="J744" s="583"/>
      <c r="K744" s="93"/>
      <c r="L744" s="93"/>
      <c r="M744" s="93"/>
      <c r="N744" s="93"/>
      <c r="O744" s="93"/>
      <c r="P744" s="93"/>
      <c r="Q744" s="568"/>
      <c r="R744" s="568"/>
      <c r="S744" s="568"/>
      <c r="T744" s="568"/>
      <c r="U744" s="568"/>
      <c r="V744" s="568"/>
      <c r="W744" s="568"/>
      <c r="X744" s="568"/>
      <c r="Y744" s="568"/>
      <c r="Z744" s="568"/>
    </row>
    <row r="745" spans="1:26" ht="18.75" hidden="1">
      <c r="A745" s="615"/>
      <c r="B745" s="571"/>
      <c r="C745" s="723"/>
      <c r="D745" s="723"/>
      <c r="E745" s="723"/>
      <c r="F745" s="723" t="s">
        <v>188</v>
      </c>
      <c r="G745" s="567"/>
      <c r="H745" s="165" t="s">
        <v>12</v>
      </c>
      <c r="I745" s="583"/>
      <c r="J745" s="583"/>
      <c r="K745" s="93"/>
      <c r="L745" s="93"/>
      <c r="M745" s="93"/>
      <c r="N745" s="93"/>
      <c r="O745" s="93"/>
      <c r="P745" s="93"/>
      <c r="Q745" s="568"/>
      <c r="R745" s="568"/>
      <c r="S745" s="568"/>
      <c r="T745" s="568"/>
      <c r="U745" s="568"/>
      <c r="V745" s="568"/>
      <c r="W745" s="568"/>
      <c r="X745" s="568"/>
      <c r="Y745" s="568"/>
      <c r="Z745" s="568"/>
    </row>
    <row r="746" spans="1:26" ht="18.75" hidden="1">
      <c r="A746" s="615"/>
      <c r="B746" s="571"/>
      <c r="C746" s="723"/>
      <c r="D746" s="723"/>
      <c r="E746" s="723"/>
      <c r="F746" s="723" t="s">
        <v>189</v>
      </c>
      <c r="G746" s="567"/>
      <c r="H746" s="165" t="s">
        <v>12</v>
      </c>
      <c r="I746" s="583"/>
      <c r="J746" s="583"/>
      <c r="K746" s="93"/>
      <c r="L746" s="93"/>
      <c r="M746" s="93"/>
      <c r="N746" s="93"/>
      <c r="O746" s="93"/>
      <c r="P746" s="93"/>
      <c r="Q746" s="568"/>
      <c r="R746" s="568"/>
      <c r="S746" s="568"/>
      <c r="T746" s="568"/>
      <c r="U746" s="568"/>
      <c r="V746" s="568"/>
      <c r="W746" s="568"/>
      <c r="X746" s="568"/>
      <c r="Y746" s="568"/>
      <c r="Z746" s="568"/>
    </row>
    <row r="747" spans="1:26" ht="19.5" hidden="1">
      <c r="A747" s="563"/>
      <c r="B747" s="571"/>
      <c r="C747" s="723"/>
      <c r="D747" s="611" t="s">
        <v>21</v>
      </c>
      <c r="E747" s="723"/>
      <c r="F747" s="723"/>
      <c r="G747" s="567"/>
      <c r="H747" s="747" t="s">
        <v>12</v>
      </c>
      <c r="I747" s="166"/>
      <c r="J747" s="166"/>
      <c r="K747" s="167"/>
      <c r="L747" s="613">
        <f t="shared" ref="L747:N747" si="298">L748+L749</f>
        <v>0</v>
      </c>
      <c r="M747" s="613">
        <f t="shared" si="298"/>
        <v>0</v>
      </c>
      <c r="N747" s="613">
        <f t="shared" si="298"/>
        <v>0</v>
      </c>
      <c r="O747" s="613">
        <f t="shared" ref="O747:O749" si="299">IF(L747&gt;0,N747*100/L747,0)</f>
        <v>0</v>
      </c>
      <c r="P747" s="613">
        <f t="shared" ref="P747:P749" si="300">IF(M747&gt;0,N747*100/M747,0)</f>
        <v>0</v>
      </c>
      <c r="Q747" s="568"/>
      <c r="R747" s="568"/>
      <c r="S747" s="568"/>
      <c r="T747" s="568"/>
      <c r="U747" s="568"/>
      <c r="V747" s="568"/>
      <c r="W747" s="568"/>
      <c r="X747" s="568"/>
      <c r="Y747" s="568"/>
      <c r="Z747" s="568"/>
    </row>
    <row r="748" spans="1:26" ht="18.75" hidden="1">
      <c r="A748" s="563"/>
      <c r="B748" s="571"/>
      <c r="C748" s="723"/>
      <c r="D748" s="723"/>
      <c r="E748" s="723" t="s">
        <v>18</v>
      </c>
      <c r="F748" s="723"/>
      <c r="G748" s="567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299"/>
        <v>0</v>
      </c>
      <c r="P748" s="93">
        <f t="shared" si="300"/>
        <v>0</v>
      </c>
      <c r="Q748" s="568"/>
      <c r="R748" s="568"/>
      <c r="S748" s="568"/>
      <c r="T748" s="568"/>
      <c r="U748" s="568"/>
      <c r="V748" s="568"/>
      <c r="W748" s="568"/>
      <c r="X748" s="568"/>
      <c r="Y748" s="568"/>
      <c r="Z748" s="568"/>
    </row>
    <row r="749" spans="1:26" ht="18.75" hidden="1">
      <c r="A749" s="563"/>
      <c r="B749" s="571"/>
      <c r="C749" s="723"/>
      <c r="D749" s="723"/>
      <c r="E749" s="723" t="s">
        <v>19</v>
      </c>
      <c r="F749" s="723"/>
      <c r="G749" s="567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299"/>
        <v>0</v>
      </c>
      <c r="P749" s="93">
        <f t="shared" si="300"/>
        <v>0</v>
      </c>
      <c r="Q749" s="568"/>
      <c r="R749" s="568"/>
      <c r="S749" s="568"/>
      <c r="T749" s="568"/>
      <c r="U749" s="568"/>
      <c r="V749" s="568"/>
      <c r="W749" s="568"/>
      <c r="X749" s="568"/>
      <c r="Y749" s="568"/>
      <c r="Z749" s="568"/>
    </row>
    <row r="750" spans="1:26" ht="19.5" hidden="1">
      <c r="A750" s="578"/>
      <c r="B750" s="580"/>
      <c r="C750" s="723" t="s">
        <v>16</v>
      </c>
      <c r="D750" s="856" t="s">
        <v>38</v>
      </c>
      <c r="E750" s="617"/>
      <c r="F750" s="617"/>
      <c r="G750" s="618"/>
      <c r="H750" s="581"/>
      <c r="I750" s="166"/>
      <c r="J750" s="166"/>
      <c r="K750" s="167"/>
      <c r="L750" s="167"/>
      <c r="M750" s="167"/>
      <c r="N750" s="167"/>
      <c r="O750" s="167"/>
      <c r="P750" s="167"/>
      <c r="Q750" s="568"/>
      <c r="R750" s="568"/>
      <c r="S750" s="568"/>
      <c r="T750" s="568"/>
      <c r="U750" s="568"/>
      <c r="V750" s="568"/>
      <c r="W750" s="568"/>
      <c r="X750" s="568"/>
      <c r="Y750" s="568"/>
      <c r="Z750" s="568"/>
    </row>
    <row r="751" spans="1:26" ht="18.75" hidden="1">
      <c r="A751" s="615"/>
      <c r="B751" s="571"/>
      <c r="C751" s="723"/>
      <c r="D751" s="723"/>
      <c r="E751" s="723" t="s">
        <v>313</v>
      </c>
      <c r="F751" s="723"/>
      <c r="G751" s="567"/>
      <c r="H751" s="165" t="s">
        <v>46</v>
      </c>
      <c r="I751" s="583"/>
      <c r="J751" s="583"/>
      <c r="K751" s="93"/>
      <c r="L751" s="93"/>
      <c r="M751" s="93"/>
      <c r="N751" s="93"/>
      <c r="O751" s="93"/>
      <c r="P751" s="93"/>
      <c r="Q751" s="568"/>
      <c r="R751" s="568"/>
      <c r="S751" s="568"/>
      <c r="T751" s="568"/>
      <c r="U751" s="568"/>
      <c r="V751" s="568"/>
      <c r="W751" s="568"/>
      <c r="X751" s="568"/>
      <c r="Y751" s="568"/>
      <c r="Z751" s="568"/>
    </row>
    <row r="752" spans="1:26" ht="18.75" hidden="1">
      <c r="A752" s="615"/>
      <c r="B752" s="571"/>
      <c r="C752" s="723"/>
      <c r="D752" s="723"/>
      <c r="E752" s="723"/>
      <c r="F752" s="723"/>
      <c r="G752" s="567"/>
      <c r="H752" s="165" t="s">
        <v>314</v>
      </c>
      <c r="I752" s="583"/>
      <c r="J752" s="583"/>
      <c r="K752" s="93"/>
      <c r="L752" s="93"/>
      <c r="M752" s="93"/>
      <c r="N752" s="93"/>
      <c r="O752" s="93"/>
      <c r="P752" s="93"/>
      <c r="Q752" s="568"/>
      <c r="R752" s="568"/>
      <c r="S752" s="568"/>
      <c r="T752" s="568"/>
      <c r="U752" s="568"/>
      <c r="V752" s="568"/>
      <c r="W752" s="568"/>
      <c r="X752" s="568"/>
      <c r="Y752" s="568"/>
      <c r="Z752" s="568"/>
    </row>
    <row r="753" spans="1:26" ht="19.5" hidden="1">
      <c r="A753" s="749">
        <v>10</v>
      </c>
      <c r="B753" s="750" t="s">
        <v>315</v>
      </c>
      <c r="C753" s="751"/>
      <c r="D753" s="751"/>
      <c r="E753" s="751"/>
      <c r="F753" s="751"/>
      <c r="G753" s="752"/>
      <c r="H753" s="753" t="s">
        <v>46</v>
      </c>
      <c r="I753" s="754"/>
      <c r="J753" s="754">
        <f>J768</f>
        <v>0</v>
      </c>
      <c r="K753" s="755">
        <f>IF(I753&gt;0,J753*100/I753,0)</f>
        <v>0</v>
      </c>
      <c r="L753" s="756"/>
      <c r="M753" s="756"/>
      <c r="N753" s="756"/>
      <c r="O753" s="756"/>
      <c r="P753" s="756"/>
      <c r="Q753" s="568"/>
      <c r="R753" s="568"/>
      <c r="S753" s="568"/>
      <c r="T753" s="568"/>
      <c r="U753" s="568"/>
      <c r="V753" s="568"/>
      <c r="W753" s="568"/>
      <c r="X753" s="568"/>
      <c r="Y753" s="568"/>
      <c r="Z753" s="568"/>
    </row>
    <row r="754" spans="1:26" ht="19.5" hidden="1">
      <c r="A754" s="563"/>
      <c r="B754" s="723"/>
      <c r="C754" s="723" t="s">
        <v>16</v>
      </c>
      <c r="D754" s="812" t="s">
        <v>17</v>
      </c>
      <c r="E754" s="805"/>
      <c r="F754" s="805"/>
      <c r="G754" s="567"/>
      <c r="H754" s="612" t="s">
        <v>12</v>
      </c>
      <c r="I754" s="583"/>
      <c r="J754" s="583"/>
      <c r="K754" s="93"/>
      <c r="L754" s="613">
        <f t="shared" ref="L754:N754" si="301">L755+L756</f>
        <v>0</v>
      </c>
      <c r="M754" s="613">
        <f t="shared" si="301"/>
        <v>0</v>
      </c>
      <c r="N754" s="613">
        <f t="shared" si="301"/>
        <v>0</v>
      </c>
      <c r="O754" s="613">
        <f t="shared" ref="O754:O759" si="302">IF(L754&gt;0,N754*100/L754,0)</f>
        <v>0</v>
      </c>
      <c r="P754" s="613">
        <f t="shared" ref="P754:P759" si="303">IF(M754&gt;0,N754*100/M754,0)</f>
        <v>0</v>
      </c>
      <c r="Q754" s="568"/>
      <c r="R754" s="568"/>
      <c r="S754" s="568"/>
      <c r="T754" s="568"/>
      <c r="U754" s="568"/>
      <c r="V754" s="568"/>
      <c r="W754" s="568"/>
      <c r="X754" s="568"/>
      <c r="Y754" s="568"/>
      <c r="Z754" s="568"/>
    </row>
    <row r="755" spans="1:26" ht="18.75" hidden="1">
      <c r="A755" s="563"/>
      <c r="B755" s="723"/>
      <c r="C755" s="723"/>
      <c r="D755" s="684"/>
      <c r="E755" s="723" t="s">
        <v>184</v>
      </c>
      <c r="F755" s="723"/>
      <c r="G755" s="567"/>
      <c r="H755" s="165" t="s">
        <v>12</v>
      </c>
      <c r="I755" s="583"/>
      <c r="J755" s="583"/>
      <c r="K755" s="93"/>
      <c r="L755" s="93">
        <f t="shared" ref="L755:N756" si="304">L758+L765</f>
        <v>0</v>
      </c>
      <c r="M755" s="93">
        <f t="shared" si="304"/>
        <v>0</v>
      </c>
      <c r="N755" s="93">
        <f t="shared" si="304"/>
        <v>0</v>
      </c>
      <c r="O755" s="93">
        <f t="shared" si="302"/>
        <v>0</v>
      </c>
      <c r="P755" s="93">
        <f t="shared" si="303"/>
        <v>0</v>
      </c>
      <c r="Q755" s="568"/>
      <c r="R755" s="568"/>
      <c r="S755" s="568"/>
      <c r="T755" s="568"/>
      <c r="U755" s="568"/>
      <c r="V755" s="568"/>
      <c r="W755" s="568"/>
      <c r="X755" s="568"/>
      <c r="Y755" s="568"/>
      <c r="Z755" s="568"/>
    </row>
    <row r="756" spans="1:26" ht="18.75" hidden="1">
      <c r="A756" s="563"/>
      <c r="B756" s="571"/>
      <c r="C756" s="723"/>
      <c r="D756" s="684"/>
      <c r="E756" s="723" t="s">
        <v>185</v>
      </c>
      <c r="F756" s="723"/>
      <c r="G756" s="567"/>
      <c r="H756" s="165" t="s">
        <v>12</v>
      </c>
      <c r="I756" s="583"/>
      <c r="J756" s="583"/>
      <c r="K756" s="93"/>
      <c r="L756" s="93">
        <f t="shared" si="304"/>
        <v>0</v>
      </c>
      <c r="M756" s="93">
        <f t="shared" si="304"/>
        <v>0</v>
      </c>
      <c r="N756" s="93">
        <f t="shared" si="304"/>
        <v>0</v>
      </c>
      <c r="O756" s="93">
        <f t="shared" si="302"/>
        <v>0</v>
      </c>
      <c r="P756" s="93">
        <f t="shared" si="303"/>
        <v>0</v>
      </c>
      <c r="Q756" s="568"/>
      <c r="R756" s="568"/>
      <c r="S756" s="568"/>
      <c r="T756" s="568"/>
      <c r="U756" s="568"/>
      <c r="V756" s="568"/>
      <c r="W756" s="568"/>
      <c r="X756" s="568"/>
      <c r="Y756" s="568"/>
      <c r="Z756" s="568"/>
    </row>
    <row r="757" spans="1:26" ht="19.5" hidden="1">
      <c r="A757" s="563"/>
      <c r="B757" s="571"/>
      <c r="C757" s="723"/>
      <c r="D757" s="611" t="s">
        <v>20</v>
      </c>
      <c r="E757" s="723"/>
      <c r="F757" s="723"/>
      <c r="G757" s="567"/>
      <c r="H757" s="612" t="s">
        <v>12</v>
      </c>
      <c r="I757" s="166"/>
      <c r="J757" s="166"/>
      <c r="K757" s="167"/>
      <c r="L757" s="613">
        <f t="shared" ref="L757:N757" si="305">L758+L759</f>
        <v>0</v>
      </c>
      <c r="M757" s="613">
        <f t="shared" si="305"/>
        <v>0</v>
      </c>
      <c r="N757" s="613">
        <f t="shared" si="305"/>
        <v>0</v>
      </c>
      <c r="O757" s="613">
        <f t="shared" si="302"/>
        <v>0</v>
      </c>
      <c r="P757" s="613">
        <f t="shared" si="303"/>
        <v>0</v>
      </c>
      <c r="Q757" s="568"/>
      <c r="R757" s="568"/>
      <c r="S757" s="568"/>
      <c r="T757" s="568"/>
      <c r="U757" s="568"/>
      <c r="V757" s="568"/>
      <c r="W757" s="568"/>
      <c r="X757" s="568"/>
      <c r="Y757" s="568"/>
      <c r="Z757" s="568"/>
    </row>
    <row r="758" spans="1:26" ht="18.75" hidden="1">
      <c r="A758" s="563"/>
      <c r="B758" s="571"/>
      <c r="C758" s="723"/>
      <c r="D758" s="684"/>
      <c r="E758" s="723" t="s">
        <v>184</v>
      </c>
      <c r="F758" s="723"/>
      <c r="G758" s="567"/>
      <c r="H758" s="165" t="s">
        <v>12</v>
      </c>
      <c r="I758" s="583"/>
      <c r="J758" s="583"/>
      <c r="K758" s="93"/>
      <c r="L758" s="93">
        <v>0</v>
      </c>
      <c r="M758" s="93">
        <v>0</v>
      </c>
      <c r="N758" s="93">
        <v>0</v>
      </c>
      <c r="O758" s="93">
        <f t="shared" si="302"/>
        <v>0</v>
      </c>
      <c r="P758" s="93">
        <f t="shared" si="303"/>
        <v>0</v>
      </c>
      <c r="Q758" s="568"/>
      <c r="R758" s="568"/>
      <c r="S758" s="568"/>
      <c r="T758" s="568"/>
      <c r="U758" s="568"/>
      <c r="V758" s="568"/>
      <c r="W758" s="568"/>
      <c r="X758" s="568"/>
      <c r="Y758" s="568"/>
      <c r="Z758" s="568"/>
    </row>
    <row r="759" spans="1:26" ht="18.75" hidden="1">
      <c r="A759" s="563"/>
      <c r="B759" s="571"/>
      <c r="C759" s="723"/>
      <c r="D759" s="684"/>
      <c r="E759" s="723" t="s">
        <v>185</v>
      </c>
      <c r="F759" s="723"/>
      <c r="G759" s="567"/>
      <c r="H759" s="165" t="s">
        <v>12</v>
      </c>
      <c r="I759" s="583"/>
      <c r="J759" s="583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2"/>
        <v>0</v>
      </c>
      <c r="P759" s="93">
        <f t="shared" si="303"/>
        <v>0</v>
      </c>
      <c r="Q759" s="568"/>
      <c r="R759" s="568"/>
      <c r="S759" s="568"/>
      <c r="T759" s="568"/>
      <c r="U759" s="568"/>
      <c r="V759" s="568"/>
      <c r="W759" s="568"/>
      <c r="X759" s="568"/>
      <c r="Y759" s="568"/>
      <c r="Z759" s="568"/>
    </row>
    <row r="760" spans="1:26" ht="18.75" hidden="1">
      <c r="A760" s="615"/>
      <c r="B760" s="571"/>
      <c r="C760" s="723"/>
      <c r="D760" s="723"/>
      <c r="E760" s="723"/>
      <c r="F760" s="723" t="s">
        <v>186</v>
      </c>
      <c r="G760" s="567"/>
      <c r="H760" s="165" t="s">
        <v>12</v>
      </c>
      <c r="I760" s="583"/>
      <c r="J760" s="583"/>
      <c r="K760" s="93"/>
      <c r="L760" s="93"/>
      <c r="M760" s="93"/>
      <c r="N760" s="93"/>
      <c r="O760" s="93"/>
      <c r="P760" s="93"/>
      <c r="Q760" s="568"/>
      <c r="R760" s="568"/>
      <c r="S760" s="568"/>
      <c r="T760" s="568"/>
      <c r="U760" s="568"/>
      <c r="V760" s="568"/>
      <c r="W760" s="568"/>
      <c r="X760" s="568"/>
      <c r="Y760" s="568"/>
      <c r="Z760" s="568"/>
    </row>
    <row r="761" spans="1:26" ht="18.75" hidden="1">
      <c r="A761" s="615"/>
      <c r="B761" s="571"/>
      <c r="C761" s="723"/>
      <c r="D761" s="723"/>
      <c r="E761" s="723"/>
      <c r="F761" s="723" t="s">
        <v>187</v>
      </c>
      <c r="G761" s="567"/>
      <c r="H761" s="165" t="s">
        <v>12</v>
      </c>
      <c r="I761" s="583"/>
      <c r="J761" s="583"/>
      <c r="K761" s="93"/>
      <c r="L761" s="93"/>
      <c r="M761" s="93"/>
      <c r="N761" s="93"/>
      <c r="O761" s="93"/>
      <c r="P761" s="93"/>
      <c r="Q761" s="568"/>
      <c r="R761" s="568"/>
      <c r="S761" s="568"/>
      <c r="T761" s="568"/>
      <c r="U761" s="568"/>
      <c r="V761" s="568"/>
      <c r="W761" s="568"/>
      <c r="X761" s="568"/>
      <c r="Y761" s="568"/>
      <c r="Z761" s="568"/>
    </row>
    <row r="762" spans="1:26" ht="18.75" hidden="1">
      <c r="A762" s="615"/>
      <c r="B762" s="571"/>
      <c r="C762" s="723"/>
      <c r="D762" s="723"/>
      <c r="E762" s="723"/>
      <c r="F762" s="723" t="s">
        <v>188</v>
      </c>
      <c r="G762" s="567"/>
      <c r="H762" s="165" t="s">
        <v>12</v>
      </c>
      <c r="I762" s="583"/>
      <c r="J762" s="583"/>
      <c r="K762" s="93"/>
      <c r="L762" s="93"/>
      <c r="M762" s="93"/>
      <c r="N762" s="93"/>
      <c r="O762" s="93"/>
      <c r="P762" s="93"/>
      <c r="Q762" s="568"/>
      <c r="R762" s="568"/>
      <c r="S762" s="568"/>
      <c r="T762" s="568"/>
      <c r="U762" s="568"/>
      <c r="V762" s="568"/>
      <c r="W762" s="568"/>
      <c r="X762" s="568"/>
      <c r="Y762" s="568"/>
      <c r="Z762" s="568"/>
    </row>
    <row r="763" spans="1:26" ht="18.75" hidden="1">
      <c r="A763" s="615"/>
      <c r="B763" s="571"/>
      <c r="C763" s="723"/>
      <c r="D763" s="723"/>
      <c r="E763" s="723"/>
      <c r="F763" s="723" t="s">
        <v>189</v>
      </c>
      <c r="G763" s="567"/>
      <c r="H763" s="165" t="s">
        <v>12</v>
      </c>
      <c r="I763" s="583"/>
      <c r="J763" s="583"/>
      <c r="K763" s="93"/>
      <c r="L763" s="93"/>
      <c r="M763" s="93"/>
      <c r="N763" s="93"/>
      <c r="O763" s="93"/>
      <c r="P763" s="93"/>
      <c r="Q763" s="568"/>
      <c r="R763" s="568"/>
      <c r="S763" s="568"/>
      <c r="T763" s="568"/>
      <c r="U763" s="568"/>
      <c r="V763" s="568"/>
      <c r="W763" s="568"/>
      <c r="X763" s="568"/>
      <c r="Y763" s="568"/>
      <c r="Z763" s="568"/>
    </row>
    <row r="764" spans="1:26" ht="19.5" hidden="1">
      <c r="A764" s="563"/>
      <c r="B764" s="571"/>
      <c r="C764" s="723"/>
      <c r="D764" s="611" t="s">
        <v>21</v>
      </c>
      <c r="E764" s="723"/>
      <c r="F764" s="723"/>
      <c r="G764" s="567"/>
      <c r="H764" s="747" t="s">
        <v>12</v>
      </c>
      <c r="I764" s="166"/>
      <c r="J764" s="166"/>
      <c r="K764" s="167"/>
      <c r="L764" s="613">
        <f t="shared" ref="L764:N764" si="306">L765+L766</f>
        <v>0</v>
      </c>
      <c r="M764" s="613">
        <f t="shared" si="306"/>
        <v>0</v>
      </c>
      <c r="N764" s="613">
        <f t="shared" si="306"/>
        <v>0</v>
      </c>
      <c r="O764" s="613">
        <f t="shared" ref="O764:O766" si="307">IF(L764&gt;0,N764*100/L764,0)</f>
        <v>0</v>
      </c>
      <c r="P764" s="613">
        <f t="shared" ref="P764:P766" si="308">IF(M764&gt;0,N764*100/M764,0)</f>
        <v>0</v>
      </c>
      <c r="Q764" s="568"/>
      <c r="R764" s="568"/>
      <c r="S764" s="568"/>
      <c r="T764" s="568"/>
      <c r="U764" s="568"/>
      <c r="V764" s="568"/>
      <c r="W764" s="568"/>
      <c r="X764" s="568"/>
      <c r="Y764" s="568"/>
      <c r="Z764" s="568"/>
    </row>
    <row r="765" spans="1:26" ht="18.75" hidden="1">
      <c r="A765" s="563"/>
      <c r="B765" s="571"/>
      <c r="C765" s="723"/>
      <c r="D765" s="723"/>
      <c r="E765" s="723" t="s">
        <v>18</v>
      </c>
      <c r="F765" s="723"/>
      <c r="G765" s="567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7"/>
        <v>0</v>
      </c>
      <c r="P765" s="93">
        <f t="shared" si="308"/>
        <v>0</v>
      </c>
      <c r="Q765" s="568"/>
      <c r="R765" s="568"/>
      <c r="S765" s="568"/>
      <c r="T765" s="568"/>
      <c r="U765" s="568"/>
      <c r="V765" s="568"/>
      <c r="W765" s="568"/>
      <c r="X765" s="568"/>
      <c r="Y765" s="568"/>
      <c r="Z765" s="568"/>
    </row>
    <row r="766" spans="1:26" ht="18.75" hidden="1">
      <c r="A766" s="563"/>
      <c r="B766" s="571"/>
      <c r="C766" s="723"/>
      <c r="D766" s="723"/>
      <c r="E766" s="723" t="s">
        <v>19</v>
      </c>
      <c r="F766" s="723"/>
      <c r="G766" s="567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7"/>
        <v>0</v>
      </c>
      <c r="P766" s="93">
        <f t="shared" si="308"/>
        <v>0</v>
      </c>
      <c r="Q766" s="568"/>
      <c r="R766" s="568"/>
      <c r="S766" s="568"/>
      <c r="T766" s="568"/>
      <c r="U766" s="568"/>
      <c r="V766" s="568"/>
      <c r="W766" s="568"/>
      <c r="X766" s="568"/>
      <c r="Y766" s="568"/>
      <c r="Z766" s="568"/>
    </row>
    <row r="767" spans="1:26" ht="19.5" hidden="1">
      <c r="A767" s="578"/>
      <c r="B767" s="580"/>
      <c r="C767" s="723" t="s">
        <v>16</v>
      </c>
      <c r="D767" s="856" t="s">
        <v>38</v>
      </c>
      <c r="E767" s="617"/>
      <c r="F767" s="617"/>
      <c r="G767" s="618"/>
      <c r="H767" s="581"/>
      <c r="I767" s="166"/>
      <c r="J767" s="166"/>
      <c r="K767" s="167"/>
      <c r="L767" s="167"/>
      <c r="M767" s="167"/>
      <c r="N767" s="167"/>
      <c r="O767" s="167"/>
      <c r="P767" s="167"/>
      <c r="Q767" s="568"/>
      <c r="R767" s="568"/>
      <c r="S767" s="568"/>
      <c r="T767" s="568"/>
      <c r="U767" s="568"/>
      <c r="V767" s="568"/>
      <c r="W767" s="568"/>
      <c r="X767" s="568"/>
      <c r="Y767" s="568"/>
      <c r="Z767" s="568"/>
    </row>
    <row r="768" spans="1:26" ht="18.75" hidden="1">
      <c r="A768" s="615"/>
      <c r="B768" s="571"/>
      <c r="C768" s="723"/>
      <c r="D768" s="723"/>
      <c r="E768" s="723" t="s">
        <v>316</v>
      </c>
      <c r="F768" s="723"/>
      <c r="G768" s="567"/>
      <c r="H768" s="165" t="s">
        <v>46</v>
      </c>
      <c r="I768" s="583"/>
      <c r="J768" s="583"/>
      <c r="K768" s="93"/>
      <c r="L768" s="93"/>
      <c r="M768" s="93"/>
      <c r="N768" s="93"/>
      <c r="O768" s="93"/>
      <c r="P768" s="93"/>
      <c r="Q768" s="568"/>
      <c r="R768" s="568"/>
      <c r="S768" s="568"/>
      <c r="T768" s="568"/>
      <c r="U768" s="568"/>
      <c r="V768" s="568"/>
      <c r="W768" s="568"/>
      <c r="X768" s="568"/>
      <c r="Y768" s="568"/>
      <c r="Z768" s="568"/>
    </row>
    <row r="769" spans="1:26" ht="19.5" hidden="1">
      <c r="A769" s="757">
        <v>11</v>
      </c>
      <c r="B769" s="758" t="s">
        <v>317</v>
      </c>
      <c r="C769" s="759"/>
      <c r="D769" s="759"/>
      <c r="E769" s="759"/>
      <c r="F769" s="759"/>
      <c r="G769" s="760"/>
      <c r="H769" s="761" t="s">
        <v>46</v>
      </c>
      <c r="I769" s="762"/>
      <c r="J769" s="762">
        <f>J784</f>
        <v>0</v>
      </c>
      <c r="K769" s="763">
        <f>IF(I769&gt;0,J769*100/I769,0)</f>
        <v>0</v>
      </c>
      <c r="L769" s="764"/>
      <c r="M769" s="764"/>
      <c r="N769" s="764"/>
      <c r="O769" s="764"/>
      <c r="P769" s="764"/>
      <c r="Q769" s="568"/>
      <c r="R769" s="568"/>
      <c r="S769" s="568"/>
      <c r="T769" s="568"/>
      <c r="U769" s="568"/>
      <c r="V769" s="568"/>
      <c r="W769" s="568"/>
      <c r="X769" s="568"/>
      <c r="Y769" s="568"/>
      <c r="Z769" s="568"/>
    </row>
    <row r="770" spans="1:26" ht="19.5" hidden="1">
      <c r="A770" s="563"/>
      <c r="B770" s="723"/>
      <c r="C770" s="723" t="s">
        <v>16</v>
      </c>
      <c r="D770" s="812" t="s">
        <v>17</v>
      </c>
      <c r="E770" s="805"/>
      <c r="F770" s="805"/>
      <c r="G770" s="567"/>
      <c r="H770" s="612" t="s">
        <v>12</v>
      </c>
      <c r="I770" s="583"/>
      <c r="J770" s="583"/>
      <c r="K770" s="93"/>
      <c r="L770" s="613">
        <f t="shared" ref="L770:N770" si="309">L771+L772</f>
        <v>0</v>
      </c>
      <c r="M770" s="613">
        <f t="shared" si="309"/>
        <v>0</v>
      </c>
      <c r="N770" s="613">
        <f t="shared" si="309"/>
        <v>0</v>
      </c>
      <c r="O770" s="613">
        <f t="shared" ref="O770:O775" si="310">IF(L770&gt;0,N770*100/L770,0)</f>
        <v>0</v>
      </c>
      <c r="P770" s="613">
        <f t="shared" ref="P770:P775" si="311">IF(M770&gt;0,N770*100/M770,0)</f>
        <v>0</v>
      </c>
      <c r="Q770" s="568"/>
      <c r="R770" s="568"/>
      <c r="S770" s="568"/>
      <c r="T770" s="568"/>
      <c r="U770" s="568"/>
      <c r="V770" s="568"/>
      <c r="W770" s="568"/>
      <c r="X770" s="568"/>
      <c r="Y770" s="568"/>
      <c r="Z770" s="568"/>
    </row>
    <row r="771" spans="1:26" ht="18.75" hidden="1">
      <c r="A771" s="563"/>
      <c r="B771" s="723"/>
      <c r="C771" s="723"/>
      <c r="D771" s="684"/>
      <c r="E771" s="723" t="s">
        <v>184</v>
      </c>
      <c r="F771" s="723"/>
      <c r="G771" s="567"/>
      <c r="H771" s="165" t="s">
        <v>12</v>
      </c>
      <c r="I771" s="583"/>
      <c r="J771" s="583"/>
      <c r="K771" s="93"/>
      <c r="L771" s="93">
        <f t="shared" ref="L771:N772" si="312">L774+L781</f>
        <v>0</v>
      </c>
      <c r="M771" s="93">
        <f t="shared" si="312"/>
        <v>0</v>
      </c>
      <c r="N771" s="93">
        <f t="shared" si="312"/>
        <v>0</v>
      </c>
      <c r="O771" s="93">
        <f t="shared" si="310"/>
        <v>0</v>
      </c>
      <c r="P771" s="93">
        <f t="shared" si="311"/>
        <v>0</v>
      </c>
      <c r="Q771" s="568"/>
      <c r="R771" s="568"/>
      <c r="S771" s="568"/>
      <c r="T771" s="568"/>
      <c r="U771" s="568"/>
      <c r="V771" s="568"/>
      <c r="W771" s="568"/>
      <c r="X771" s="568"/>
      <c r="Y771" s="568"/>
      <c r="Z771" s="568"/>
    </row>
    <row r="772" spans="1:26" ht="18.75" hidden="1">
      <c r="A772" s="563"/>
      <c r="B772" s="571"/>
      <c r="C772" s="723"/>
      <c r="D772" s="684"/>
      <c r="E772" s="723" t="s">
        <v>185</v>
      </c>
      <c r="F772" s="723"/>
      <c r="G772" s="567"/>
      <c r="H772" s="165" t="s">
        <v>12</v>
      </c>
      <c r="I772" s="583"/>
      <c r="J772" s="583"/>
      <c r="K772" s="93"/>
      <c r="L772" s="93">
        <f t="shared" si="312"/>
        <v>0</v>
      </c>
      <c r="M772" s="93">
        <f t="shared" si="312"/>
        <v>0</v>
      </c>
      <c r="N772" s="93">
        <f t="shared" si="312"/>
        <v>0</v>
      </c>
      <c r="O772" s="93">
        <f t="shared" si="310"/>
        <v>0</v>
      </c>
      <c r="P772" s="93">
        <f t="shared" si="311"/>
        <v>0</v>
      </c>
      <c r="Q772" s="568"/>
      <c r="R772" s="568"/>
      <c r="S772" s="568"/>
      <c r="T772" s="568"/>
      <c r="U772" s="568"/>
      <c r="V772" s="568"/>
      <c r="W772" s="568"/>
      <c r="X772" s="568"/>
      <c r="Y772" s="568"/>
      <c r="Z772" s="568"/>
    </row>
    <row r="773" spans="1:26" ht="19.5" hidden="1">
      <c r="A773" s="563"/>
      <c r="B773" s="571"/>
      <c r="C773" s="723"/>
      <c r="D773" s="611" t="s">
        <v>20</v>
      </c>
      <c r="E773" s="723"/>
      <c r="F773" s="723"/>
      <c r="G773" s="567"/>
      <c r="H773" s="612" t="s">
        <v>12</v>
      </c>
      <c r="I773" s="166"/>
      <c r="J773" s="166"/>
      <c r="K773" s="167"/>
      <c r="L773" s="613">
        <f t="shared" ref="L773:N773" si="313">L774+L775</f>
        <v>0</v>
      </c>
      <c r="M773" s="613">
        <f t="shared" si="313"/>
        <v>0</v>
      </c>
      <c r="N773" s="613">
        <f t="shared" si="313"/>
        <v>0</v>
      </c>
      <c r="O773" s="613">
        <f t="shared" si="310"/>
        <v>0</v>
      </c>
      <c r="P773" s="613">
        <f t="shared" si="311"/>
        <v>0</v>
      </c>
      <c r="Q773" s="568"/>
      <c r="R773" s="568"/>
      <c r="S773" s="568"/>
      <c r="T773" s="568"/>
      <c r="U773" s="568"/>
      <c r="V773" s="568"/>
      <c r="W773" s="568"/>
      <c r="X773" s="568"/>
      <c r="Y773" s="568"/>
      <c r="Z773" s="568"/>
    </row>
    <row r="774" spans="1:26" ht="18.75" hidden="1">
      <c r="A774" s="563"/>
      <c r="B774" s="571"/>
      <c r="C774" s="723"/>
      <c r="D774" s="684"/>
      <c r="E774" s="723" t="s">
        <v>184</v>
      </c>
      <c r="F774" s="723"/>
      <c r="G774" s="567"/>
      <c r="H774" s="165" t="s">
        <v>12</v>
      </c>
      <c r="I774" s="583"/>
      <c r="J774" s="583"/>
      <c r="K774" s="93"/>
      <c r="L774" s="93">
        <v>0</v>
      </c>
      <c r="M774" s="93">
        <v>0</v>
      </c>
      <c r="N774" s="93">
        <v>0</v>
      </c>
      <c r="O774" s="93">
        <f t="shared" si="310"/>
        <v>0</v>
      </c>
      <c r="P774" s="93">
        <f t="shared" si="311"/>
        <v>0</v>
      </c>
      <c r="Q774" s="568"/>
      <c r="R774" s="568"/>
      <c r="S774" s="568"/>
      <c r="T774" s="568"/>
      <c r="U774" s="568"/>
      <c r="V774" s="568"/>
      <c r="W774" s="568"/>
      <c r="X774" s="568"/>
      <c r="Y774" s="568"/>
      <c r="Z774" s="568"/>
    </row>
    <row r="775" spans="1:26" ht="18.75" hidden="1">
      <c r="A775" s="563"/>
      <c r="B775" s="571"/>
      <c r="C775" s="723"/>
      <c r="D775" s="684"/>
      <c r="E775" s="723" t="s">
        <v>185</v>
      </c>
      <c r="F775" s="723"/>
      <c r="G775" s="567"/>
      <c r="H775" s="165" t="s">
        <v>12</v>
      </c>
      <c r="I775" s="583"/>
      <c r="J775" s="583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0"/>
        <v>0</v>
      </c>
      <c r="P775" s="93">
        <f t="shared" si="311"/>
        <v>0</v>
      </c>
      <c r="Q775" s="568"/>
      <c r="R775" s="568"/>
      <c r="S775" s="568"/>
      <c r="T775" s="568"/>
      <c r="U775" s="568"/>
      <c r="V775" s="568"/>
      <c r="W775" s="568"/>
      <c r="X775" s="568"/>
      <c r="Y775" s="568"/>
      <c r="Z775" s="568"/>
    </row>
    <row r="776" spans="1:26" ht="18.75" hidden="1">
      <c r="A776" s="615"/>
      <c r="B776" s="571"/>
      <c r="C776" s="723"/>
      <c r="D776" s="723"/>
      <c r="E776" s="723"/>
      <c r="F776" s="723" t="s">
        <v>186</v>
      </c>
      <c r="G776" s="567"/>
      <c r="H776" s="165" t="s">
        <v>12</v>
      </c>
      <c r="I776" s="583"/>
      <c r="J776" s="583"/>
      <c r="K776" s="93"/>
      <c r="L776" s="93"/>
      <c r="M776" s="93"/>
      <c r="N776" s="93"/>
      <c r="O776" s="93"/>
      <c r="P776" s="93"/>
      <c r="Q776" s="568"/>
      <c r="R776" s="568"/>
      <c r="S776" s="568"/>
      <c r="T776" s="568"/>
      <c r="U776" s="568"/>
      <c r="V776" s="568"/>
      <c r="W776" s="568"/>
      <c r="X776" s="568"/>
      <c r="Y776" s="568"/>
      <c r="Z776" s="568"/>
    </row>
    <row r="777" spans="1:26" ht="18.75" hidden="1">
      <c r="A777" s="615"/>
      <c r="B777" s="571"/>
      <c r="C777" s="723"/>
      <c r="D777" s="723"/>
      <c r="E777" s="723"/>
      <c r="F777" s="723" t="s">
        <v>187</v>
      </c>
      <c r="G777" s="567"/>
      <c r="H777" s="165" t="s">
        <v>12</v>
      </c>
      <c r="I777" s="583"/>
      <c r="J777" s="583"/>
      <c r="K777" s="93"/>
      <c r="L777" s="93"/>
      <c r="M777" s="93"/>
      <c r="N777" s="93"/>
      <c r="O777" s="93"/>
      <c r="P777" s="93"/>
      <c r="Q777" s="568"/>
      <c r="R777" s="568"/>
      <c r="S777" s="568"/>
      <c r="T777" s="568"/>
      <c r="U777" s="568"/>
      <c r="V777" s="568"/>
      <c r="W777" s="568"/>
      <c r="X777" s="568"/>
      <c r="Y777" s="568"/>
      <c r="Z777" s="568"/>
    </row>
    <row r="778" spans="1:26" ht="18.75" hidden="1">
      <c r="A778" s="615"/>
      <c r="B778" s="571"/>
      <c r="C778" s="723"/>
      <c r="D778" s="723"/>
      <c r="E778" s="723"/>
      <c r="F778" s="723" t="s">
        <v>188</v>
      </c>
      <c r="G778" s="567"/>
      <c r="H778" s="165" t="s">
        <v>12</v>
      </c>
      <c r="I778" s="583"/>
      <c r="J778" s="583"/>
      <c r="K778" s="93"/>
      <c r="L778" s="93"/>
      <c r="M778" s="93"/>
      <c r="N778" s="93"/>
      <c r="O778" s="93"/>
      <c r="P778" s="93"/>
      <c r="Q778" s="568"/>
      <c r="R778" s="568"/>
      <c r="S778" s="568"/>
      <c r="T778" s="568"/>
      <c r="U778" s="568"/>
      <c r="V778" s="568"/>
      <c r="W778" s="568"/>
      <c r="X778" s="568"/>
      <c r="Y778" s="568"/>
      <c r="Z778" s="568"/>
    </row>
    <row r="779" spans="1:26" ht="18.75" hidden="1">
      <c r="A779" s="615"/>
      <c r="B779" s="571"/>
      <c r="C779" s="723"/>
      <c r="D779" s="723"/>
      <c r="E779" s="723"/>
      <c r="F779" s="723" t="s">
        <v>189</v>
      </c>
      <c r="G779" s="567"/>
      <c r="H779" s="165" t="s">
        <v>12</v>
      </c>
      <c r="I779" s="583"/>
      <c r="J779" s="583"/>
      <c r="K779" s="93"/>
      <c r="L779" s="93"/>
      <c r="M779" s="93"/>
      <c r="N779" s="93"/>
      <c r="O779" s="93"/>
      <c r="P779" s="93"/>
      <c r="Q779" s="568"/>
      <c r="R779" s="568"/>
      <c r="S779" s="568"/>
      <c r="T779" s="568"/>
      <c r="U779" s="568"/>
      <c r="V779" s="568"/>
      <c r="W779" s="568"/>
      <c r="X779" s="568"/>
      <c r="Y779" s="568"/>
      <c r="Z779" s="568"/>
    </row>
    <row r="780" spans="1:26" ht="19.5" hidden="1">
      <c r="A780" s="563"/>
      <c r="B780" s="571"/>
      <c r="C780" s="723"/>
      <c r="D780" s="611" t="s">
        <v>21</v>
      </c>
      <c r="E780" s="723"/>
      <c r="F780" s="723"/>
      <c r="G780" s="567"/>
      <c r="H780" s="747" t="s">
        <v>12</v>
      </c>
      <c r="I780" s="166"/>
      <c r="J780" s="166"/>
      <c r="K780" s="167"/>
      <c r="L780" s="613">
        <f t="shared" ref="L780:N780" si="314">L781+L782</f>
        <v>0</v>
      </c>
      <c r="M780" s="613">
        <f t="shared" si="314"/>
        <v>0</v>
      </c>
      <c r="N780" s="613">
        <f t="shared" si="314"/>
        <v>0</v>
      </c>
      <c r="O780" s="613">
        <f t="shared" ref="O780:O782" si="315">IF(L780&gt;0,N780*100/L780,0)</f>
        <v>0</v>
      </c>
      <c r="P780" s="613">
        <f t="shared" ref="P780:P782" si="316">IF(M780&gt;0,N780*100/M780,0)</f>
        <v>0</v>
      </c>
      <c r="Q780" s="568"/>
      <c r="R780" s="568"/>
      <c r="S780" s="568"/>
      <c r="T780" s="568"/>
      <c r="U780" s="568"/>
      <c r="V780" s="568"/>
      <c r="W780" s="568"/>
      <c r="X780" s="568"/>
      <c r="Y780" s="568"/>
      <c r="Z780" s="568"/>
    </row>
    <row r="781" spans="1:26" ht="18.75" hidden="1">
      <c r="A781" s="563"/>
      <c r="B781" s="571"/>
      <c r="C781" s="723"/>
      <c r="D781" s="723"/>
      <c r="E781" s="723" t="s">
        <v>18</v>
      </c>
      <c r="F781" s="723"/>
      <c r="G781" s="567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5"/>
        <v>0</v>
      </c>
      <c r="P781" s="93">
        <f t="shared" si="316"/>
        <v>0</v>
      </c>
      <c r="Q781" s="568"/>
      <c r="R781" s="568"/>
      <c r="S781" s="568"/>
      <c r="T781" s="568"/>
      <c r="U781" s="568"/>
      <c r="V781" s="568"/>
      <c r="W781" s="568"/>
      <c r="X781" s="568"/>
      <c r="Y781" s="568"/>
      <c r="Z781" s="568"/>
    </row>
    <row r="782" spans="1:26" ht="18.75" hidden="1">
      <c r="A782" s="563"/>
      <c r="B782" s="571"/>
      <c r="C782" s="723"/>
      <c r="D782" s="723"/>
      <c r="E782" s="723" t="s">
        <v>19</v>
      </c>
      <c r="F782" s="723"/>
      <c r="G782" s="567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5"/>
        <v>0</v>
      </c>
      <c r="P782" s="93">
        <f t="shared" si="316"/>
        <v>0</v>
      </c>
      <c r="Q782" s="568"/>
      <c r="R782" s="568"/>
      <c r="S782" s="568"/>
      <c r="T782" s="568"/>
      <c r="U782" s="568"/>
      <c r="V782" s="568"/>
      <c r="W782" s="568"/>
      <c r="X782" s="568"/>
      <c r="Y782" s="568"/>
      <c r="Z782" s="568"/>
    </row>
    <row r="783" spans="1:26" ht="19.5" hidden="1">
      <c r="A783" s="578"/>
      <c r="B783" s="580"/>
      <c r="C783" s="723" t="s">
        <v>16</v>
      </c>
      <c r="D783" s="856" t="s">
        <v>38</v>
      </c>
      <c r="E783" s="617"/>
      <c r="F783" s="617"/>
      <c r="G783" s="618"/>
      <c r="H783" s="765"/>
      <c r="I783" s="166"/>
      <c r="J783" s="166"/>
      <c r="K783" s="167"/>
      <c r="L783" s="167"/>
      <c r="M783" s="167"/>
      <c r="N783" s="167"/>
      <c r="O783" s="167"/>
      <c r="P783" s="167"/>
      <c r="Q783" s="568"/>
      <c r="R783" s="568"/>
      <c r="S783" s="568"/>
      <c r="T783" s="568"/>
      <c r="U783" s="568"/>
      <c r="V783" s="568"/>
      <c r="W783" s="568"/>
      <c r="X783" s="568"/>
      <c r="Y783" s="568"/>
      <c r="Z783" s="568"/>
    </row>
    <row r="784" spans="1:26" ht="18.75" hidden="1">
      <c r="A784" s="615"/>
      <c r="B784" s="571"/>
      <c r="C784" s="723"/>
      <c r="D784" s="723"/>
      <c r="E784" s="723" t="s">
        <v>318</v>
      </c>
      <c r="F784" s="723"/>
      <c r="G784" s="567"/>
      <c r="H784" s="165" t="s">
        <v>46</v>
      </c>
      <c r="I784" s="583"/>
      <c r="J784" s="583"/>
      <c r="K784" s="93"/>
      <c r="L784" s="93"/>
      <c r="M784" s="93"/>
      <c r="N784" s="93"/>
      <c r="O784" s="93"/>
      <c r="P784" s="93"/>
      <c r="Q784" s="568"/>
      <c r="R784" s="568"/>
      <c r="S784" s="568"/>
      <c r="T784" s="568"/>
      <c r="U784" s="568"/>
      <c r="V784" s="568"/>
      <c r="W784" s="568"/>
      <c r="X784" s="568"/>
      <c r="Y784" s="568"/>
      <c r="Z784" s="568"/>
    </row>
    <row r="785" spans="1:26" ht="19.5" hidden="1">
      <c r="A785" s="766">
        <v>12</v>
      </c>
      <c r="B785" s="767" t="s">
        <v>319</v>
      </c>
      <c r="C785" s="768"/>
      <c r="D785" s="768"/>
      <c r="E785" s="768"/>
      <c r="F785" s="768"/>
      <c r="G785" s="769"/>
      <c r="H785" s="770" t="s">
        <v>46</v>
      </c>
      <c r="I785" s="860">
        <f t="shared" ref="I785:J785" ca="1" si="317">I800</f>
        <v>0</v>
      </c>
      <c r="J785" s="771">
        <f t="shared" ca="1" si="317"/>
        <v>0</v>
      </c>
      <c r="K785" s="772">
        <f ca="1">IF(I785&gt;0,J785*100/I785,0)</f>
        <v>0</v>
      </c>
      <c r="L785" s="773"/>
      <c r="M785" s="773"/>
      <c r="N785" s="773"/>
      <c r="O785" s="773"/>
      <c r="P785" s="773"/>
      <c r="Q785" s="541"/>
      <c r="R785" s="541"/>
      <c r="S785" s="541"/>
      <c r="T785" s="541"/>
      <c r="U785" s="541"/>
      <c r="V785" s="541"/>
      <c r="W785" s="541"/>
      <c r="X785" s="541"/>
      <c r="Y785" s="541"/>
      <c r="Z785" s="541"/>
    </row>
    <row r="786" spans="1:26" ht="19.5" hidden="1">
      <c r="A786" s="561"/>
      <c r="B786" s="538"/>
      <c r="C786" s="727" t="s">
        <v>16</v>
      </c>
      <c r="D786" s="811" t="s">
        <v>17</v>
      </c>
      <c r="E786" s="805"/>
      <c r="F786" s="805"/>
      <c r="G786" s="189"/>
      <c r="H786" s="562" t="s">
        <v>12</v>
      </c>
      <c r="I786" s="269"/>
      <c r="J786" s="269"/>
      <c r="K786" s="465"/>
      <c r="L786" s="195">
        <f t="shared" ref="L786:N786" ca="1" si="318">L787+L788</f>
        <v>0</v>
      </c>
      <c r="M786" s="195">
        <f t="shared" si="318"/>
        <v>0</v>
      </c>
      <c r="N786" s="195">
        <f t="shared" si="318"/>
        <v>0</v>
      </c>
      <c r="O786" s="195">
        <f t="shared" ref="O786:O791" ca="1" si="319">IF(L786&gt;0,N786*100/L786,0)</f>
        <v>0</v>
      </c>
      <c r="P786" s="195">
        <f t="shared" ref="P786:P791" si="320">IF(M786&gt;0,N786*100/M786,0)</f>
        <v>0</v>
      </c>
      <c r="Q786" s="541"/>
      <c r="R786" s="541"/>
      <c r="S786" s="541"/>
      <c r="T786" s="541"/>
      <c r="U786" s="541"/>
      <c r="V786" s="541"/>
      <c r="W786" s="541"/>
      <c r="X786" s="541"/>
      <c r="Y786" s="541"/>
      <c r="Z786" s="541"/>
    </row>
    <row r="787" spans="1:26" ht="18.75" hidden="1">
      <c r="A787" s="563"/>
      <c r="B787" s="571"/>
      <c r="C787" s="723"/>
      <c r="D787" s="684"/>
      <c r="E787" s="723" t="s">
        <v>184</v>
      </c>
      <c r="F787" s="723"/>
      <c r="G787" s="567"/>
      <c r="H787" s="165" t="s">
        <v>12</v>
      </c>
      <c r="I787" s="583"/>
      <c r="J787" s="583"/>
      <c r="K787" s="93"/>
      <c r="L787" s="93">
        <f t="shared" ref="L787:N788" si="321">L790+L797</f>
        <v>0</v>
      </c>
      <c r="M787" s="93">
        <f t="shared" si="321"/>
        <v>0</v>
      </c>
      <c r="N787" s="93">
        <f t="shared" si="321"/>
        <v>0</v>
      </c>
      <c r="O787" s="93">
        <f t="shared" si="319"/>
        <v>0</v>
      </c>
      <c r="P787" s="93">
        <f t="shared" si="320"/>
        <v>0</v>
      </c>
      <c r="Q787" s="568"/>
      <c r="R787" s="568"/>
      <c r="S787" s="568"/>
      <c r="T787" s="568"/>
      <c r="U787" s="568"/>
      <c r="V787" s="568"/>
      <c r="W787" s="568"/>
      <c r="X787" s="568"/>
      <c r="Y787" s="568"/>
      <c r="Z787" s="568"/>
    </row>
    <row r="788" spans="1:26" ht="18.75" hidden="1">
      <c r="A788" s="563"/>
      <c r="B788" s="571"/>
      <c r="C788" s="571"/>
      <c r="D788" s="580"/>
      <c r="E788" s="723" t="s">
        <v>185</v>
      </c>
      <c r="F788" s="723"/>
      <c r="G788" s="567"/>
      <c r="H788" s="165" t="s">
        <v>12</v>
      </c>
      <c r="I788" s="583"/>
      <c r="J788" s="583"/>
      <c r="K788" s="93"/>
      <c r="L788" s="93">
        <f t="shared" ca="1" si="321"/>
        <v>0</v>
      </c>
      <c r="M788" s="93">
        <f t="shared" si="321"/>
        <v>0</v>
      </c>
      <c r="N788" s="93">
        <f t="shared" si="321"/>
        <v>0</v>
      </c>
      <c r="O788" s="93">
        <f t="shared" ca="1" si="319"/>
        <v>0</v>
      </c>
      <c r="P788" s="93">
        <f t="shared" si="320"/>
        <v>0</v>
      </c>
      <c r="Q788" s="568"/>
      <c r="R788" s="568"/>
      <c r="S788" s="568"/>
      <c r="T788" s="568"/>
      <c r="U788" s="568"/>
      <c r="V788" s="568"/>
      <c r="W788" s="568"/>
      <c r="X788" s="568"/>
      <c r="Y788" s="568"/>
      <c r="Z788" s="568"/>
    </row>
    <row r="789" spans="1:26" ht="18.75" hidden="1">
      <c r="A789" s="561"/>
      <c r="B789" s="538"/>
      <c r="C789" s="538"/>
      <c r="D789" s="570" t="s">
        <v>20</v>
      </c>
      <c r="E789" s="727"/>
      <c r="F789" s="727"/>
      <c r="G789" s="189"/>
      <c r="H789" s="161" t="s">
        <v>12</v>
      </c>
      <c r="I789" s="184"/>
      <c r="J789" s="184"/>
      <c r="K789" s="163"/>
      <c r="L789" s="465">
        <f t="shared" ref="L789:N789" ca="1" si="322">L790+L791</f>
        <v>0</v>
      </c>
      <c r="M789" s="465">
        <f t="shared" si="322"/>
        <v>0</v>
      </c>
      <c r="N789" s="465">
        <f t="shared" si="322"/>
        <v>0</v>
      </c>
      <c r="O789" s="465">
        <f t="shared" ca="1" si="319"/>
        <v>0</v>
      </c>
      <c r="P789" s="465">
        <f t="shared" si="320"/>
        <v>0</v>
      </c>
      <c r="Q789" s="541"/>
      <c r="R789" s="541"/>
      <c r="S789" s="541"/>
      <c r="T789" s="541"/>
      <c r="U789" s="541"/>
      <c r="V789" s="541"/>
      <c r="W789" s="541"/>
      <c r="X789" s="541"/>
      <c r="Y789" s="541"/>
      <c r="Z789" s="541"/>
    </row>
    <row r="790" spans="1:26" ht="18.75" hidden="1">
      <c r="A790" s="563"/>
      <c r="B790" s="571"/>
      <c r="C790" s="571"/>
      <c r="D790" s="580"/>
      <c r="E790" s="723" t="s">
        <v>184</v>
      </c>
      <c r="F790" s="723"/>
      <c r="G790" s="567"/>
      <c r="H790" s="165" t="s">
        <v>12</v>
      </c>
      <c r="I790" s="583"/>
      <c r="J790" s="583"/>
      <c r="K790" s="93"/>
      <c r="L790" s="93">
        <v>0</v>
      </c>
      <c r="M790" s="93">
        <v>0</v>
      </c>
      <c r="N790" s="93">
        <v>0</v>
      </c>
      <c r="O790" s="93">
        <f t="shared" si="319"/>
        <v>0</v>
      </c>
      <c r="P790" s="93">
        <f t="shared" si="320"/>
        <v>0</v>
      </c>
      <c r="Q790" s="568"/>
      <c r="R790" s="568"/>
      <c r="S790" s="568"/>
      <c r="T790" s="568"/>
      <c r="U790" s="568"/>
      <c r="V790" s="568"/>
      <c r="W790" s="568"/>
      <c r="X790" s="568"/>
      <c r="Y790" s="568"/>
      <c r="Z790" s="568"/>
    </row>
    <row r="791" spans="1:26" ht="18.75" hidden="1">
      <c r="A791" s="563"/>
      <c r="B791" s="571"/>
      <c r="C791" s="571"/>
      <c r="D791" s="580"/>
      <c r="E791" s="723" t="s">
        <v>185</v>
      </c>
      <c r="F791" s="723"/>
      <c r="G791" s="567"/>
      <c r="H791" s="165" t="s">
        <v>12</v>
      </c>
      <c r="I791" s="583"/>
      <c r="J791" s="583"/>
      <c r="K791" s="93"/>
      <c r="L791" s="93">
        <f ca="1">IFERROR(__xludf.DUMMYFUNCTION("IMPORTRANGE(""https://docs.google.com/spreadsheets/d/1QqKyyYR6Q21VydFLVH3TRQUabQu_ym0Zz7PgGX0-kHA/edit?usp=sharing"",""แผน!JJ24"")"),0)</f>
        <v>0</v>
      </c>
      <c r="M791" s="93">
        <v>0</v>
      </c>
      <c r="N791" s="93">
        <f>N792+N793+N794+N795</f>
        <v>0</v>
      </c>
      <c r="O791" s="93">
        <f t="shared" ca="1" si="319"/>
        <v>0</v>
      </c>
      <c r="P791" s="93">
        <f t="shared" si="320"/>
        <v>0</v>
      </c>
      <c r="Q791" s="568"/>
      <c r="R791" s="568"/>
      <c r="S791" s="568"/>
      <c r="T791" s="568"/>
      <c r="U791" s="568"/>
      <c r="V791" s="568"/>
      <c r="W791" s="568"/>
      <c r="X791" s="568"/>
      <c r="Y791" s="568"/>
      <c r="Z791" s="568"/>
    </row>
    <row r="792" spans="1:26" ht="18.75" hidden="1">
      <c r="A792" s="537"/>
      <c r="B792" s="538"/>
      <c r="C792" s="727"/>
      <c r="D792" s="727"/>
      <c r="E792" s="727"/>
      <c r="F792" s="727" t="s">
        <v>186</v>
      </c>
      <c r="G792" s="189"/>
      <c r="H792" s="161" t="s">
        <v>12</v>
      </c>
      <c r="I792" s="269"/>
      <c r="J792" s="269"/>
      <c r="K792" s="465"/>
      <c r="L792" s="465"/>
      <c r="M792" s="465"/>
      <c r="N792" s="789">
        <v>0</v>
      </c>
      <c r="O792" s="465"/>
      <c r="P792" s="465"/>
      <c r="Q792" s="541"/>
      <c r="R792" s="541"/>
      <c r="S792" s="541"/>
      <c r="T792" s="541"/>
      <c r="U792" s="541"/>
      <c r="V792" s="541"/>
      <c r="W792" s="541"/>
      <c r="X792" s="541"/>
      <c r="Y792" s="541"/>
      <c r="Z792" s="541"/>
    </row>
    <row r="793" spans="1:26" ht="18.75" hidden="1">
      <c r="A793" s="537"/>
      <c r="B793" s="538"/>
      <c r="C793" s="727"/>
      <c r="D793" s="727"/>
      <c r="E793" s="727"/>
      <c r="F793" s="727" t="s">
        <v>187</v>
      </c>
      <c r="G793" s="189"/>
      <c r="H793" s="161" t="s">
        <v>12</v>
      </c>
      <c r="I793" s="269"/>
      <c r="J793" s="269"/>
      <c r="K793" s="465"/>
      <c r="L793" s="465"/>
      <c r="M793" s="465"/>
      <c r="N793" s="789">
        <v>0</v>
      </c>
      <c r="O793" s="465"/>
      <c r="P793" s="465"/>
      <c r="Q793" s="541"/>
      <c r="R793" s="541"/>
      <c r="S793" s="541"/>
      <c r="T793" s="541"/>
      <c r="U793" s="541"/>
      <c r="V793" s="541"/>
      <c r="W793" s="541"/>
      <c r="X793" s="541"/>
      <c r="Y793" s="541"/>
      <c r="Z793" s="541"/>
    </row>
    <row r="794" spans="1:26" ht="18.75" hidden="1">
      <c r="A794" s="537"/>
      <c r="B794" s="538"/>
      <c r="C794" s="727"/>
      <c r="D794" s="727"/>
      <c r="E794" s="727"/>
      <c r="F794" s="727" t="s">
        <v>188</v>
      </c>
      <c r="G794" s="189"/>
      <c r="H794" s="161" t="s">
        <v>12</v>
      </c>
      <c r="I794" s="269"/>
      <c r="J794" s="269"/>
      <c r="K794" s="465"/>
      <c r="L794" s="465"/>
      <c r="M794" s="465"/>
      <c r="N794" s="789">
        <v>0</v>
      </c>
      <c r="O794" s="465"/>
      <c r="P794" s="465"/>
      <c r="Q794" s="541"/>
      <c r="R794" s="541"/>
      <c r="S794" s="541"/>
      <c r="T794" s="541"/>
      <c r="U794" s="541"/>
      <c r="V794" s="541"/>
      <c r="W794" s="541"/>
      <c r="X794" s="541"/>
      <c r="Y794" s="541"/>
      <c r="Z794" s="541"/>
    </row>
    <row r="795" spans="1:26" ht="18.75" hidden="1">
      <c r="A795" s="537"/>
      <c r="B795" s="538"/>
      <c r="C795" s="727"/>
      <c r="D795" s="727"/>
      <c r="E795" s="727"/>
      <c r="F795" s="727" t="s">
        <v>189</v>
      </c>
      <c r="G795" s="189"/>
      <c r="H795" s="161" t="s">
        <v>12</v>
      </c>
      <c r="I795" s="269"/>
      <c r="J795" s="269"/>
      <c r="K795" s="465"/>
      <c r="L795" s="465"/>
      <c r="M795" s="465"/>
      <c r="N795" s="789">
        <v>0</v>
      </c>
      <c r="O795" s="465"/>
      <c r="P795" s="465"/>
      <c r="Q795" s="541"/>
      <c r="R795" s="541"/>
      <c r="S795" s="541"/>
      <c r="T795" s="541"/>
      <c r="U795" s="541"/>
      <c r="V795" s="541"/>
      <c r="W795" s="541"/>
      <c r="X795" s="541"/>
      <c r="Y795" s="541"/>
      <c r="Z795" s="541"/>
    </row>
    <row r="796" spans="1:26" ht="18.75" hidden="1">
      <c r="A796" s="561"/>
      <c r="B796" s="538"/>
      <c r="C796" s="727"/>
      <c r="D796" s="570" t="s">
        <v>21</v>
      </c>
      <c r="E796" s="727"/>
      <c r="F796" s="727"/>
      <c r="G796" s="189"/>
      <c r="H796" s="168" t="s">
        <v>12</v>
      </c>
      <c r="I796" s="184"/>
      <c r="J796" s="184"/>
      <c r="K796" s="163"/>
      <c r="L796" s="465">
        <f t="shared" ref="L796:N796" si="323">L797+L798</f>
        <v>0</v>
      </c>
      <c r="M796" s="465">
        <f t="shared" si="323"/>
        <v>0</v>
      </c>
      <c r="N796" s="465">
        <f t="shared" si="323"/>
        <v>0</v>
      </c>
      <c r="O796" s="465">
        <f t="shared" ref="O796:O798" si="324">IF(L796&gt;0,N796*100/L796,0)</f>
        <v>0</v>
      </c>
      <c r="P796" s="465">
        <f t="shared" ref="P796:P798" si="325">IF(M796&gt;0,N796*100/M796,0)</f>
        <v>0</v>
      </c>
      <c r="Q796" s="541"/>
      <c r="R796" s="541"/>
      <c r="S796" s="541"/>
      <c r="T796" s="541"/>
      <c r="U796" s="541"/>
      <c r="V796" s="541"/>
      <c r="W796" s="541"/>
      <c r="X796" s="541"/>
      <c r="Y796" s="541"/>
      <c r="Z796" s="541"/>
    </row>
    <row r="797" spans="1:26" ht="18.75" hidden="1">
      <c r="A797" s="563"/>
      <c r="B797" s="571"/>
      <c r="C797" s="723"/>
      <c r="D797" s="723"/>
      <c r="E797" s="723" t="s">
        <v>18</v>
      </c>
      <c r="F797" s="723"/>
      <c r="G797" s="567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4"/>
        <v>0</v>
      </c>
      <c r="P797" s="93">
        <f t="shared" si="325"/>
        <v>0</v>
      </c>
      <c r="Q797" s="568"/>
      <c r="R797" s="568"/>
      <c r="S797" s="568"/>
      <c r="T797" s="568"/>
      <c r="U797" s="568"/>
      <c r="V797" s="568"/>
      <c r="W797" s="568"/>
      <c r="X797" s="568"/>
      <c r="Y797" s="568"/>
      <c r="Z797" s="568"/>
    </row>
    <row r="798" spans="1:26" ht="18.75" hidden="1">
      <c r="A798" s="563"/>
      <c r="B798" s="571"/>
      <c r="C798" s="723"/>
      <c r="D798" s="723"/>
      <c r="E798" s="723" t="s">
        <v>19</v>
      </c>
      <c r="F798" s="723"/>
      <c r="G798" s="567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4"/>
        <v>0</v>
      </c>
      <c r="P798" s="93">
        <f t="shared" si="325"/>
        <v>0</v>
      </c>
      <c r="Q798" s="568"/>
      <c r="R798" s="568"/>
      <c r="S798" s="568"/>
      <c r="T798" s="568"/>
      <c r="U798" s="568"/>
      <c r="V798" s="568"/>
      <c r="W798" s="568"/>
      <c r="X798" s="568"/>
      <c r="Y798" s="568"/>
      <c r="Z798" s="568"/>
    </row>
    <row r="799" spans="1:26" ht="19.5" hidden="1">
      <c r="A799" s="572"/>
      <c r="B799" s="584"/>
      <c r="C799" s="727" t="s">
        <v>16</v>
      </c>
      <c r="D799" s="855" t="s">
        <v>38</v>
      </c>
      <c r="E799" s="725"/>
      <c r="F799" s="725"/>
      <c r="G799" s="577"/>
      <c r="H799" s="774"/>
      <c r="I799" s="184"/>
      <c r="J799" s="184"/>
      <c r="K799" s="163"/>
      <c r="L799" s="163"/>
      <c r="M799" s="163"/>
      <c r="N799" s="163"/>
      <c r="O799" s="163"/>
      <c r="P799" s="163"/>
      <c r="Q799" s="541"/>
      <c r="R799" s="541"/>
      <c r="S799" s="541"/>
      <c r="T799" s="541"/>
      <c r="U799" s="541"/>
      <c r="V799" s="541"/>
      <c r="W799" s="541"/>
      <c r="X799" s="541"/>
      <c r="Y799" s="541"/>
      <c r="Z799" s="541"/>
    </row>
    <row r="800" spans="1:26" ht="18.75" hidden="1">
      <c r="A800" s="572"/>
      <c r="B800" s="584"/>
      <c r="C800" s="584"/>
      <c r="D800" s="584"/>
      <c r="E800" s="592"/>
      <c r="F800" s="592" t="s">
        <v>320</v>
      </c>
      <c r="G800" s="726"/>
      <c r="H800" s="185" t="s">
        <v>46</v>
      </c>
      <c r="I800" s="184">
        <f ca="1">IFERROR(__xludf.DUMMYFUNCTION("IMPORTRANGE(""https://docs.google.com/spreadsheets/d/1QqKyyYR6Q21VydFLVH3TRQUabQu_ym0Zz7PgGX0-kHA/edit?usp=sharing"",""แผน!JN24"")"),0)</f>
        <v>0</v>
      </c>
      <c r="J800" s="184">
        <f ca="1">IFERROR(__xludf.DUMMYFUNCTION("IMPORTRANGE(""https://docs.google.com/spreadsheets/d/1MaWodYyGHDf7siQLGxnXhG4mBNTNIuy296niS2xXulU/edit?usp=sharing"",""RTK!H24"")"),0)</f>
        <v>0</v>
      </c>
      <c r="K800" s="465">
        <f ca="1">IF(I800&gt;0,J800*100/I800,0)</f>
        <v>0</v>
      </c>
      <c r="L800" s="465"/>
      <c r="M800" s="465"/>
      <c r="N800" s="465"/>
      <c r="O800" s="163"/>
      <c r="P800" s="163"/>
      <c r="Q800" s="541"/>
      <c r="R800" s="541"/>
      <c r="S800" s="541"/>
      <c r="T800" s="541"/>
      <c r="U800" s="541"/>
      <c r="V800" s="541"/>
      <c r="W800" s="541"/>
      <c r="X800" s="541"/>
      <c r="Y800" s="541"/>
      <c r="Z800" s="541"/>
    </row>
    <row r="801" spans="1:26" ht="18.75" hidden="1">
      <c r="A801" s="572"/>
      <c r="B801" s="584"/>
      <c r="C801" s="584"/>
      <c r="D801" s="584"/>
      <c r="E801" s="592"/>
      <c r="F801" s="592"/>
      <c r="G801" s="726"/>
      <c r="H801" s="161" t="s">
        <v>34</v>
      </c>
      <c r="I801" s="184"/>
      <c r="J801" s="269">
        <f ca="1">IFERROR(__xludf.DUMMYFUNCTION("IMPORTRANGE(""https://docs.google.com/spreadsheets/d/1MaWodYyGHDf7siQLGxnXhG4mBNTNIuy296niS2xXulU/edit?usp=sharing"",""RTK!I24"")"),0)</f>
        <v>0</v>
      </c>
      <c r="K801" s="465"/>
      <c r="L801" s="465"/>
      <c r="M801" s="465"/>
      <c r="N801" s="465"/>
      <c r="O801" s="163"/>
      <c r="P801" s="163"/>
      <c r="Q801" s="541"/>
      <c r="R801" s="541"/>
      <c r="S801" s="541"/>
      <c r="T801" s="541"/>
      <c r="U801" s="541"/>
      <c r="V801" s="541"/>
      <c r="W801" s="541"/>
      <c r="X801" s="541"/>
      <c r="Y801" s="541"/>
      <c r="Z801" s="541"/>
    </row>
    <row r="802" spans="1:26" ht="18.75" hidden="1">
      <c r="A802" s="578"/>
      <c r="B802" s="580"/>
      <c r="C802" s="580"/>
      <c r="D802" s="580"/>
      <c r="E802" s="684"/>
      <c r="F802" s="684" t="s">
        <v>321</v>
      </c>
      <c r="G802" s="581"/>
      <c r="H802" s="619" t="s">
        <v>46</v>
      </c>
      <c r="I802" s="166"/>
      <c r="J802" s="583"/>
      <c r="K802" s="167">
        <f>IF(I802&gt;0,J802*100/I802,0)</f>
        <v>0</v>
      </c>
      <c r="L802" s="167"/>
      <c r="M802" s="167"/>
      <c r="N802" s="167"/>
      <c r="O802" s="167"/>
      <c r="P802" s="167"/>
      <c r="Q802" s="568"/>
      <c r="R802" s="568"/>
      <c r="S802" s="568"/>
      <c r="T802" s="568"/>
      <c r="U802" s="568"/>
      <c r="V802" s="568"/>
      <c r="W802" s="568"/>
      <c r="X802" s="568"/>
      <c r="Y802" s="568"/>
      <c r="Z802" s="568"/>
    </row>
    <row r="803" spans="1:26" ht="18.75" hidden="1">
      <c r="A803" s="578"/>
      <c r="B803" s="580"/>
      <c r="C803" s="580"/>
      <c r="D803" s="580"/>
      <c r="E803" s="684"/>
      <c r="F803" s="684"/>
      <c r="G803" s="581"/>
      <c r="H803" s="619" t="s">
        <v>34</v>
      </c>
      <c r="I803" s="166"/>
      <c r="J803" s="583"/>
      <c r="K803" s="167"/>
      <c r="L803" s="167"/>
      <c r="M803" s="167"/>
      <c r="N803" s="167"/>
      <c r="O803" s="167"/>
      <c r="P803" s="167"/>
      <c r="Q803" s="568"/>
      <c r="R803" s="568"/>
      <c r="S803" s="568"/>
      <c r="T803" s="568"/>
      <c r="U803" s="568"/>
      <c r="V803" s="568"/>
      <c r="W803" s="568"/>
      <c r="X803" s="568"/>
      <c r="Y803" s="568"/>
      <c r="Z803" s="568"/>
    </row>
    <row r="804" spans="1:26" ht="19.5" hidden="1">
      <c r="A804" s="757">
        <v>13</v>
      </c>
      <c r="B804" s="758" t="s">
        <v>322</v>
      </c>
      <c r="C804" s="759"/>
      <c r="D804" s="775"/>
      <c r="E804" s="759"/>
      <c r="F804" s="759"/>
      <c r="G804" s="760"/>
      <c r="H804" s="761" t="s">
        <v>46</v>
      </c>
      <c r="I804" s="762"/>
      <c r="J804" s="762">
        <f>J819</f>
        <v>0</v>
      </c>
      <c r="K804" s="763">
        <f>IF(I804&gt;0,J804*100/I804,0)</f>
        <v>0</v>
      </c>
      <c r="L804" s="764"/>
      <c r="M804" s="764"/>
      <c r="N804" s="764"/>
      <c r="O804" s="764"/>
      <c r="P804" s="764"/>
      <c r="Q804" s="568"/>
      <c r="R804" s="568"/>
      <c r="S804" s="568"/>
      <c r="T804" s="568"/>
      <c r="U804" s="568"/>
      <c r="V804" s="568"/>
      <c r="W804" s="568"/>
      <c r="X804" s="568"/>
      <c r="Y804" s="568"/>
      <c r="Z804" s="568"/>
    </row>
    <row r="805" spans="1:26" ht="19.5" hidden="1">
      <c r="A805" s="563"/>
      <c r="B805" s="723"/>
      <c r="C805" s="723" t="s">
        <v>16</v>
      </c>
      <c r="D805" s="812" t="s">
        <v>17</v>
      </c>
      <c r="E805" s="805"/>
      <c r="F805" s="805"/>
      <c r="G805" s="567"/>
      <c r="H805" s="612" t="s">
        <v>12</v>
      </c>
      <c r="I805" s="583"/>
      <c r="J805" s="583"/>
      <c r="K805" s="93"/>
      <c r="L805" s="613">
        <f t="shared" ref="L805:N805" si="326">L806+L807</f>
        <v>0</v>
      </c>
      <c r="M805" s="613">
        <f t="shared" si="326"/>
        <v>0</v>
      </c>
      <c r="N805" s="613">
        <f t="shared" si="326"/>
        <v>0</v>
      </c>
      <c r="O805" s="613">
        <f t="shared" ref="O805:O810" si="327">IF(L805&gt;0,N805*100/L805,0)</f>
        <v>0</v>
      </c>
      <c r="P805" s="613">
        <f t="shared" ref="P805:P810" si="328">IF(M805&gt;0,N805*100/M805,0)</f>
        <v>0</v>
      </c>
      <c r="Q805" s="568"/>
      <c r="R805" s="568"/>
      <c r="S805" s="568"/>
      <c r="T805" s="568"/>
      <c r="U805" s="568"/>
      <c r="V805" s="568"/>
      <c r="W805" s="568"/>
      <c r="X805" s="568"/>
      <c r="Y805" s="568"/>
      <c r="Z805" s="568"/>
    </row>
    <row r="806" spans="1:26" ht="18.75" hidden="1">
      <c r="A806" s="563"/>
      <c r="B806" s="723"/>
      <c r="C806" s="723"/>
      <c r="D806" s="580"/>
      <c r="E806" s="723" t="s">
        <v>184</v>
      </c>
      <c r="F806" s="723"/>
      <c r="G806" s="567"/>
      <c r="H806" s="165" t="s">
        <v>12</v>
      </c>
      <c r="I806" s="583"/>
      <c r="J806" s="583"/>
      <c r="K806" s="93"/>
      <c r="L806" s="93">
        <f t="shared" ref="L806:N807" si="329">L809+L816</f>
        <v>0</v>
      </c>
      <c r="M806" s="93">
        <f t="shared" si="329"/>
        <v>0</v>
      </c>
      <c r="N806" s="93">
        <f t="shared" si="329"/>
        <v>0</v>
      </c>
      <c r="O806" s="93">
        <f t="shared" si="327"/>
        <v>0</v>
      </c>
      <c r="P806" s="93">
        <f t="shared" si="328"/>
        <v>0</v>
      </c>
      <c r="Q806" s="568"/>
      <c r="R806" s="568"/>
      <c r="S806" s="568"/>
      <c r="T806" s="568"/>
      <c r="U806" s="568"/>
      <c r="V806" s="568"/>
      <c r="W806" s="568"/>
      <c r="X806" s="568"/>
      <c r="Y806" s="568"/>
      <c r="Z806" s="568"/>
    </row>
    <row r="807" spans="1:26" ht="18.75" hidden="1">
      <c r="A807" s="563"/>
      <c r="B807" s="723"/>
      <c r="C807" s="723"/>
      <c r="D807" s="580"/>
      <c r="E807" s="723" t="s">
        <v>185</v>
      </c>
      <c r="F807" s="723"/>
      <c r="G807" s="567"/>
      <c r="H807" s="165" t="s">
        <v>12</v>
      </c>
      <c r="I807" s="583"/>
      <c r="J807" s="583"/>
      <c r="K807" s="93"/>
      <c r="L807" s="93">
        <f t="shared" si="329"/>
        <v>0</v>
      </c>
      <c r="M807" s="93">
        <f t="shared" si="329"/>
        <v>0</v>
      </c>
      <c r="N807" s="93">
        <f t="shared" si="329"/>
        <v>0</v>
      </c>
      <c r="O807" s="93">
        <f t="shared" si="327"/>
        <v>0</v>
      </c>
      <c r="P807" s="93">
        <f t="shared" si="328"/>
        <v>0</v>
      </c>
      <c r="Q807" s="568"/>
      <c r="R807" s="568"/>
      <c r="S807" s="568"/>
      <c r="T807" s="568"/>
      <c r="U807" s="568"/>
      <c r="V807" s="568"/>
      <c r="W807" s="568"/>
      <c r="X807" s="568"/>
      <c r="Y807" s="568"/>
      <c r="Z807" s="568"/>
    </row>
    <row r="808" spans="1:26" ht="19.5" hidden="1">
      <c r="A808" s="563"/>
      <c r="B808" s="571"/>
      <c r="C808" s="723"/>
      <c r="D808" s="857" t="s">
        <v>20</v>
      </c>
      <c r="E808" s="805"/>
      <c r="F808" s="805"/>
      <c r="G808" s="567"/>
      <c r="H808" s="612" t="s">
        <v>12</v>
      </c>
      <c r="I808" s="166"/>
      <c r="J808" s="166"/>
      <c r="K808" s="167"/>
      <c r="L808" s="613">
        <f t="shared" ref="L808:N808" si="330">L809+L810</f>
        <v>0</v>
      </c>
      <c r="M808" s="613">
        <f t="shared" si="330"/>
        <v>0</v>
      </c>
      <c r="N808" s="613">
        <f t="shared" si="330"/>
        <v>0</v>
      </c>
      <c r="O808" s="613">
        <f t="shared" si="327"/>
        <v>0</v>
      </c>
      <c r="P808" s="613">
        <f t="shared" si="328"/>
        <v>0</v>
      </c>
      <c r="Q808" s="568"/>
      <c r="R808" s="568"/>
      <c r="S808" s="568"/>
      <c r="T808" s="568"/>
      <c r="U808" s="568"/>
      <c r="V808" s="568"/>
      <c r="W808" s="568"/>
      <c r="X808" s="568"/>
      <c r="Y808" s="568"/>
      <c r="Z808" s="568"/>
    </row>
    <row r="809" spans="1:26" ht="18.75" hidden="1">
      <c r="A809" s="563"/>
      <c r="B809" s="723"/>
      <c r="C809" s="723"/>
      <c r="D809" s="580"/>
      <c r="E809" s="723" t="s">
        <v>184</v>
      </c>
      <c r="F809" s="723"/>
      <c r="G809" s="567"/>
      <c r="H809" s="165" t="s">
        <v>12</v>
      </c>
      <c r="I809" s="583"/>
      <c r="J809" s="583"/>
      <c r="K809" s="93"/>
      <c r="L809" s="93">
        <v>0</v>
      </c>
      <c r="M809" s="93">
        <v>0</v>
      </c>
      <c r="N809" s="93">
        <v>0</v>
      </c>
      <c r="O809" s="93">
        <f t="shared" si="327"/>
        <v>0</v>
      </c>
      <c r="P809" s="93">
        <f t="shared" si="328"/>
        <v>0</v>
      </c>
      <c r="Q809" s="568"/>
      <c r="R809" s="568"/>
      <c r="S809" s="568"/>
      <c r="T809" s="568"/>
      <c r="U809" s="568"/>
      <c r="V809" s="568"/>
      <c r="W809" s="568"/>
      <c r="X809" s="568"/>
      <c r="Y809" s="568"/>
      <c r="Z809" s="568"/>
    </row>
    <row r="810" spans="1:26" ht="18.75" hidden="1">
      <c r="A810" s="563"/>
      <c r="B810" s="723"/>
      <c r="C810" s="723"/>
      <c r="D810" s="580"/>
      <c r="E810" s="723" t="s">
        <v>185</v>
      </c>
      <c r="F810" s="723"/>
      <c r="G810" s="567"/>
      <c r="H810" s="165" t="s">
        <v>12</v>
      </c>
      <c r="I810" s="583"/>
      <c r="J810" s="583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7"/>
        <v>0</v>
      </c>
      <c r="P810" s="93">
        <f t="shared" si="328"/>
        <v>0</v>
      </c>
      <c r="Q810" s="568"/>
      <c r="R810" s="568"/>
      <c r="S810" s="568"/>
      <c r="T810" s="568"/>
      <c r="U810" s="568"/>
      <c r="V810" s="568"/>
      <c r="W810" s="568"/>
      <c r="X810" s="568"/>
      <c r="Y810" s="568"/>
      <c r="Z810" s="568"/>
    </row>
    <row r="811" spans="1:26" ht="18.75" hidden="1">
      <c r="A811" s="615"/>
      <c r="B811" s="571"/>
      <c r="C811" s="723"/>
      <c r="D811" s="571"/>
      <c r="E811" s="723"/>
      <c r="F811" s="723" t="s">
        <v>186</v>
      </c>
      <c r="G811" s="567"/>
      <c r="H811" s="165" t="s">
        <v>12</v>
      </c>
      <c r="I811" s="583"/>
      <c r="J811" s="583"/>
      <c r="K811" s="93"/>
      <c r="L811" s="93"/>
      <c r="M811" s="93"/>
      <c r="N811" s="93"/>
      <c r="O811" s="93"/>
      <c r="P811" s="93"/>
      <c r="Q811" s="568"/>
      <c r="R811" s="568"/>
      <c r="S811" s="568"/>
      <c r="T811" s="568"/>
      <c r="U811" s="568"/>
      <c r="V811" s="568"/>
      <c r="W811" s="568"/>
      <c r="X811" s="568"/>
      <c r="Y811" s="568"/>
      <c r="Z811" s="568"/>
    </row>
    <row r="812" spans="1:26" ht="18.75" hidden="1">
      <c r="A812" s="615"/>
      <c r="B812" s="571"/>
      <c r="C812" s="723"/>
      <c r="D812" s="571"/>
      <c r="E812" s="723"/>
      <c r="F812" s="723" t="s">
        <v>187</v>
      </c>
      <c r="G812" s="567"/>
      <c r="H812" s="165" t="s">
        <v>12</v>
      </c>
      <c r="I812" s="583"/>
      <c r="J812" s="583"/>
      <c r="K812" s="93"/>
      <c r="L812" s="93"/>
      <c r="M812" s="93"/>
      <c r="N812" s="93"/>
      <c r="O812" s="93"/>
      <c r="P812" s="93"/>
      <c r="Q812" s="568"/>
      <c r="R812" s="568"/>
      <c r="S812" s="568"/>
      <c r="T812" s="568"/>
      <c r="U812" s="568"/>
      <c r="V812" s="568"/>
      <c r="W812" s="568"/>
      <c r="X812" s="568"/>
      <c r="Y812" s="568"/>
      <c r="Z812" s="568"/>
    </row>
    <row r="813" spans="1:26" ht="18.75" hidden="1">
      <c r="A813" s="615"/>
      <c r="B813" s="571"/>
      <c r="C813" s="723"/>
      <c r="D813" s="571"/>
      <c r="E813" s="723"/>
      <c r="F813" s="723" t="s">
        <v>188</v>
      </c>
      <c r="G813" s="567"/>
      <c r="H813" s="165" t="s">
        <v>12</v>
      </c>
      <c r="I813" s="583"/>
      <c r="J813" s="583"/>
      <c r="K813" s="93"/>
      <c r="L813" s="93"/>
      <c r="M813" s="93"/>
      <c r="N813" s="93"/>
      <c r="O813" s="93"/>
      <c r="P813" s="93"/>
      <c r="Q813" s="568"/>
      <c r="R813" s="568"/>
      <c r="S813" s="568"/>
      <c r="T813" s="568"/>
      <c r="U813" s="568"/>
      <c r="V813" s="568"/>
      <c r="W813" s="568"/>
      <c r="X813" s="568"/>
      <c r="Y813" s="568"/>
      <c r="Z813" s="568"/>
    </row>
    <row r="814" spans="1:26" ht="18.75" hidden="1">
      <c r="A814" s="615"/>
      <c r="B814" s="571"/>
      <c r="C814" s="723"/>
      <c r="D814" s="571"/>
      <c r="E814" s="723"/>
      <c r="F814" s="723" t="s">
        <v>189</v>
      </c>
      <c r="G814" s="567"/>
      <c r="H814" s="165" t="s">
        <v>12</v>
      </c>
      <c r="I814" s="583"/>
      <c r="J814" s="583"/>
      <c r="K814" s="93"/>
      <c r="L814" s="93"/>
      <c r="M814" s="93"/>
      <c r="N814" s="93"/>
      <c r="O814" s="93"/>
      <c r="P814" s="93"/>
      <c r="Q814" s="568"/>
      <c r="R814" s="568"/>
      <c r="S814" s="568"/>
      <c r="T814" s="568"/>
      <c r="U814" s="568"/>
      <c r="V814" s="568"/>
      <c r="W814" s="568"/>
      <c r="X814" s="568"/>
      <c r="Y814" s="568"/>
      <c r="Z814" s="568"/>
    </row>
    <row r="815" spans="1:26" ht="19.5" hidden="1">
      <c r="A815" s="563"/>
      <c r="B815" s="571"/>
      <c r="C815" s="723"/>
      <c r="D815" s="857" t="s">
        <v>21</v>
      </c>
      <c r="E815" s="805"/>
      <c r="F815" s="805"/>
      <c r="G815" s="567"/>
      <c r="H815" s="747" t="s">
        <v>12</v>
      </c>
      <c r="I815" s="166"/>
      <c r="J815" s="166"/>
      <c r="K815" s="167"/>
      <c r="L815" s="613">
        <f t="shared" ref="L815:N815" si="331">L816+L817</f>
        <v>0</v>
      </c>
      <c r="M815" s="613">
        <f t="shared" si="331"/>
        <v>0</v>
      </c>
      <c r="N815" s="613">
        <f t="shared" si="331"/>
        <v>0</v>
      </c>
      <c r="O815" s="613">
        <f t="shared" ref="O815:O817" si="332">IF(L815&gt;0,N815*100/L815,0)</f>
        <v>0</v>
      </c>
      <c r="P815" s="613">
        <f t="shared" ref="P815:P817" si="333">IF(M815&gt;0,N815*100/M815,0)</f>
        <v>0</v>
      </c>
      <c r="Q815" s="568"/>
      <c r="R815" s="568"/>
      <c r="S815" s="568"/>
      <c r="T815" s="568"/>
      <c r="U815" s="568"/>
      <c r="V815" s="568"/>
      <c r="W815" s="568"/>
      <c r="X815" s="568"/>
      <c r="Y815" s="568"/>
      <c r="Z815" s="568"/>
    </row>
    <row r="816" spans="1:26" ht="18.75" hidden="1">
      <c r="A816" s="563"/>
      <c r="B816" s="571"/>
      <c r="C816" s="723"/>
      <c r="D816" s="571"/>
      <c r="E816" s="723" t="s">
        <v>18</v>
      </c>
      <c r="F816" s="723"/>
      <c r="G816" s="567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2"/>
        <v>0</v>
      </c>
      <c r="P816" s="93">
        <f t="shared" si="333"/>
        <v>0</v>
      </c>
      <c r="Q816" s="568"/>
      <c r="R816" s="568"/>
      <c r="S816" s="568"/>
      <c r="T816" s="568"/>
      <c r="U816" s="568"/>
      <c r="V816" s="568"/>
      <c r="W816" s="568"/>
      <c r="X816" s="568"/>
      <c r="Y816" s="568"/>
      <c r="Z816" s="568"/>
    </row>
    <row r="817" spans="1:26" ht="18.75" hidden="1">
      <c r="A817" s="563"/>
      <c r="B817" s="571"/>
      <c r="C817" s="723"/>
      <c r="D817" s="571"/>
      <c r="E817" s="723" t="s">
        <v>19</v>
      </c>
      <c r="F817" s="723"/>
      <c r="G817" s="567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2"/>
        <v>0</v>
      </c>
      <c r="P817" s="93">
        <f t="shared" si="333"/>
        <v>0</v>
      </c>
      <c r="Q817" s="568"/>
      <c r="R817" s="568"/>
      <c r="S817" s="568"/>
      <c r="T817" s="568"/>
      <c r="U817" s="568"/>
      <c r="V817" s="568"/>
      <c r="W817" s="568"/>
      <c r="X817" s="568"/>
      <c r="Y817" s="568"/>
      <c r="Z817" s="568"/>
    </row>
    <row r="818" spans="1:26" ht="19.5" hidden="1">
      <c r="A818" s="578"/>
      <c r="B818" s="580"/>
      <c r="C818" s="723" t="s">
        <v>16</v>
      </c>
      <c r="D818" s="858" t="s">
        <v>38</v>
      </c>
      <c r="E818" s="617"/>
      <c r="F818" s="617"/>
      <c r="G818" s="618"/>
      <c r="H818" s="581"/>
      <c r="I818" s="166"/>
      <c r="J818" s="166"/>
      <c r="K818" s="167"/>
      <c r="L818" s="167"/>
      <c r="M818" s="167"/>
      <c r="N818" s="167"/>
      <c r="O818" s="167"/>
      <c r="P818" s="167"/>
      <c r="Q818" s="568"/>
      <c r="R818" s="568"/>
      <c r="S818" s="568"/>
      <c r="T818" s="568"/>
      <c r="U818" s="568"/>
      <c r="V818" s="568"/>
      <c r="W818" s="568"/>
      <c r="X818" s="568"/>
      <c r="Y818" s="568"/>
      <c r="Z818" s="568"/>
    </row>
    <row r="819" spans="1:26" ht="19.5" hidden="1" thickBot="1">
      <c r="A819" s="777"/>
      <c r="B819" s="778"/>
      <c r="C819" s="780"/>
      <c r="D819" s="778"/>
      <c r="E819" s="780" t="s">
        <v>323</v>
      </c>
      <c r="F819" s="780"/>
      <c r="G819" s="781"/>
      <c r="H819" s="782" t="s">
        <v>46</v>
      </c>
      <c r="I819" s="783"/>
      <c r="J819" s="783"/>
      <c r="K819" s="784"/>
      <c r="L819" s="784"/>
      <c r="M819" s="784"/>
      <c r="N819" s="784"/>
      <c r="O819" s="784"/>
      <c r="P819" s="784"/>
      <c r="Q819" s="568"/>
      <c r="R819" s="568"/>
      <c r="S819" s="568"/>
      <c r="T819" s="568"/>
      <c r="U819" s="568"/>
      <c r="V819" s="568"/>
      <c r="W819" s="568"/>
      <c r="X819" s="568"/>
      <c r="Y819" s="568"/>
      <c r="Z819" s="568"/>
    </row>
    <row r="820" spans="1:26" ht="19.5">
      <c r="A820" s="785" t="s">
        <v>332</v>
      </c>
      <c r="B820" s="786"/>
      <c r="C820" s="786"/>
      <c r="D820" s="787"/>
      <c r="E820" s="786"/>
      <c r="F820" s="786"/>
      <c r="G820" s="788"/>
      <c r="H820" s="788"/>
      <c r="I820" s="214"/>
      <c r="J820" s="214"/>
      <c r="K820" s="789"/>
      <c r="L820" s="789"/>
      <c r="M820" s="789"/>
      <c r="N820" s="789"/>
      <c r="O820" s="789"/>
      <c r="P820" s="789"/>
      <c r="Q820" s="541"/>
      <c r="R820" s="541"/>
      <c r="S820" s="541"/>
      <c r="T820" s="541"/>
      <c r="U820" s="541"/>
      <c r="V820" s="541"/>
      <c r="W820" s="541"/>
      <c r="X820" s="541"/>
      <c r="Y820" s="541"/>
      <c r="Z820" s="541"/>
    </row>
    <row r="821" spans="1:26" ht="18.75">
      <c r="A821" s="708"/>
      <c r="B821" s="727" t="s">
        <v>325</v>
      </c>
      <c r="C821" s="727"/>
      <c r="D821" s="538"/>
      <c r="E821" s="727"/>
      <c r="F821" s="727"/>
      <c r="G821" s="189"/>
      <c r="H821" s="589" t="s">
        <v>12</v>
      </c>
      <c r="I821" s="269">
        <f ca="1">IFERROR(__xludf.DUMMYFUNCTION("IMPORTRANGE(""https://docs.google.com/spreadsheets/d/19vJNZY_5yjcGF2XGBMNZRCAIB0Kwfpjp8YEOfu-bneM/edit?usp=sharing"",""งานกองทุน!D24"")"),3553511.69)</f>
        <v>3553511.69</v>
      </c>
      <c r="J821" s="269">
        <f ca="1">IFERROR(__xludf.DUMMYFUNCTION("IMPORTRANGE(""https://docs.google.com/spreadsheets/d/19vJNZY_5yjcGF2XGBMNZRCAIB0Kwfpjp8YEOfu-bneM/edit?usp=sharing"",""งานกองทุน!F24"")"),25000)</f>
        <v>25000</v>
      </c>
      <c r="K821" s="465">
        <f t="shared" ref="K821:K828" ca="1" si="334">IF(I821&gt;0,J821*100/I821,0)</f>
        <v>0.70352941487016751</v>
      </c>
      <c r="L821" s="465"/>
      <c r="M821" s="465"/>
      <c r="N821" s="465"/>
      <c r="O821" s="465"/>
      <c r="P821" s="465"/>
      <c r="Q821" s="541"/>
      <c r="R821" s="541"/>
      <c r="S821" s="541"/>
      <c r="T821" s="541"/>
      <c r="U821" s="541"/>
      <c r="V821" s="541"/>
      <c r="W821" s="541"/>
      <c r="X821" s="541"/>
      <c r="Y821" s="541"/>
      <c r="Z821" s="541"/>
    </row>
    <row r="822" spans="1:26" ht="18.75">
      <c r="A822" s="708"/>
      <c r="B822" s="727"/>
      <c r="C822" s="727"/>
      <c r="D822" s="538"/>
      <c r="E822" s="727"/>
      <c r="F822" s="727"/>
      <c r="G822" s="189"/>
      <c r="H822" s="589" t="s">
        <v>35</v>
      </c>
      <c r="I822" s="269">
        <f ca="1">IFERROR(__xludf.DUMMYFUNCTION("IMPORTRANGE(""https://docs.google.com/spreadsheets/d/19vJNZY_5yjcGF2XGBMNZRCAIB0Kwfpjp8YEOfu-bneM/edit?usp=sharing"",""งานกองทุน!C24"")"),170)</f>
        <v>170</v>
      </c>
      <c r="J822" s="269">
        <f ca="1">IFERROR(__xludf.DUMMYFUNCTION("IMPORTRANGE(""https://docs.google.com/spreadsheets/d/19vJNZY_5yjcGF2XGBMNZRCAIB0Kwfpjp8YEOfu-bneM/edit?usp=sharing"",""งานกองทุน!E24"")"),1)</f>
        <v>1</v>
      </c>
      <c r="K822" s="465">
        <f t="shared" ca="1" si="334"/>
        <v>0.58823529411764708</v>
      </c>
      <c r="L822" s="465"/>
      <c r="M822" s="465"/>
      <c r="N822" s="465"/>
      <c r="O822" s="465"/>
      <c r="P822" s="465"/>
      <c r="Q822" s="541"/>
      <c r="R822" s="541"/>
      <c r="S822" s="541"/>
      <c r="T822" s="541"/>
      <c r="U822" s="541"/>
      <c r="V822" s="541"/>
      <c r="W822" s="541"/>
      <c r="X822" s="541"/>
      <c r="Y822" s="541"/>
      <c r="Z822" s="541"/>
    </row>
    <row r="823" spans="1:26" ht="18.75">
      <c r="A823" s="708"/>
      <c r="B823" s="727" t="s">
        <v>326</v>
      </c>
      <c r="C823" s="727"/>
      <c r="D823" s="538"/>
      <c r="E823" s="727"/>
      <c r="F823" s="727"/>
      <c r="G823" s="189"/>
      <c r="H823" s="589" t="s">
        <v>12</v>
      </c>
      <c r="I823" s="269">
        <f ca="1">IFERROR(__xludf.DUMMYFUNCTION("IMPORTRANGE(""https://docs.google.com/spreadsheets/d/19vJNZY_5yjcGF2XGBMNZRCAIB0Kwfpjp8YEOfu-bneM/edit?usp=sharing"",""งานกองทุน!I24"")"),635205.94)</f>
        <v>635205.93999999994</v>
      </c>
      <c r="J823" s="269">
        <f ca="1">IFERROR(__xludf.DUMMYFUNCTION("IMPORTRANGE(""https://docs.google.com/spreadsheets/d/19vJNZY_5yjcGF2XGBMNZRCAIB0Kwfpjp8YEOfu-bneM/edit?usp=sharing"",""งานกองทุน!K24"")"),1490.4)</f>
        <v>1490.4</v>
      </c>
      <c r="K823" s="465">
        <f t="shared" ca="1" si="334"/>
        <v>0.23463256656573458</v>
      </c>
      <c r="L823" s="465"/>
      <c r="M823" s="465"/>
      <c r="N823" s="465"/>
      <c r="O823" s="465"/>
      <c r="P823" s="465"/>
      <c r="Q823" s="541"/>
      <c r="R823" s="541"/>
      <c r="S823" s="541"/>
      <c r="T823" s="541"/>
      <c r="U823" s="541"/>
      <c r="V823" s="541"/>
      <c r="W823" s="541"/>
      <c r="X823" s="541"/>
      <c r="Y823" s="541"/>
      <c r="Z823" s="541"/>
    </row>
    <row r="824" spans="1:26" ht="18.75">
      <c r="A824" s="708"/>
      <c r="B824" s="727"/>
      <c r="C824" s="727"/>
      <c r="D824" s="538"/>
      <c r="E824" s="727"/>
      <c r="F824" s="727"/>
      <c r="G824" s="189"/>
      <c r="H824" s="589" t="s">
        <v>35</v>
      </c>
      <c r="I824" s="269">
        <f ca="1">IFERROR(__xludf.DUMMYFUNCTION("IMPORTRANGE(""https://docs.google.com/spreadsheets/d/19vJNZY_5yjcGF2XGBMNZRCAIB0Kwfpjp8YEOfu-bneM/edit?usp=sharing"",""งานกองทุน!H24"")"),50)</f>
        <v>50</v>
      </c>
      <c r="J824" s="269">
        <f ca="1">IFERROR(__xludf.DUMMYFUNCTION("IMPORTRANGE(""https://docs.google.com/spreadsheets/d/19vJNZY_5yjcGF2XGBMNZRCAIB0Kwfpjp8YEOfu-bneM/edit?usp=sharing"",""งานกองทุน!J24"")"),4)</f>
        <v>4</v>
      </c>
      <c r="K824" s="465">
        <f t="shared" ca="1" si="334"/>
        <v>8</v>
      </c>
      <c r="L824" s="465"/>
      <c r="M824" s="465"/>
      <c r="N824" s="465"/>
      <c r="O824" s="465"/>
      <c r="P824" s="465"/>
      <c r="Q824" s="541"/>
      <c r="R824" s="541"/>
      <c r="S824" s="541"/>
      <c r="T824" s="541"/>
      <c r="U824" s="541"/>
      <c r="V824" s="541"/>
      <c r="W824" s="541"/>
      <c r="X824" s="541"/>
      <c r="Y824" s="541"/>
      <c r="Z824" s="541"/>
    </row>
    <row r="825" spans="1:26" ht="18.75">
      <c r="A825" s="708"/>
      <c r="B825" s="727" t="s">
        <v>327</v>
      </c>
      <c r="C825" s="727"/>
      <c r="D825" s="538"/>
      <c r="E825" s="727"/>
      <c r="F825" s="727"/>
      <c r="G825" s="189"/>
      <c r="H825" s="589" t="s">
        <v>12</v>
      </c>
      <c r="I825" s="269">
        <f ca="1">IFERROR(__xludf.DUMMYFUNCTION("IMPORTRANGE(""https://docs.google.com/spreadsheets/d/19vJNZY_5yjcGF2XGBMNZRCAIB0Kwfpjp8YEOfu-bneM/edit?usp=sharing"",""งานกองทุน!N24"")"),0)</f>
        <v>0</v>
      </c>
      <c r="J825" s="269">
        <f ca="1">IFERROR(__xludf.DUMMYFUNCTION("IMPORTRANGE(""https://docs.google.com/spreadsheets/d/19vJNZY_5yjcGF2XGBMNZRCAIB0Kwfpjp8YEOfu-bneM/edit?usp=sharing"",""งานกองทุน!P24"")"),0)</f>
        <v>0</v>
      </c>
      <c r="K825" s="465">
        <f t="shared" ca="1" si="334"/>
        <v>0</v>
      </c>
      <c r="L825" s="465"/>
      <c r="M825" s="465"/>
      <c r="N825" s="465"/>
      <c r="O825" s="465"/>
      <c r="P825" s="465"/>
      <c r="Q825" s="541"/>
      <c r="R825" s="541"/>
      <c r="S825" s="541"/>
      <c r="T825" s="541"/>
      <c r="U825" s="541"/>
      <c r="V825" s="541"/>
      <c r="W825" s="541"/>
      <c r="X825" s="541"/>
      <c r="Y825" s="541"/>
      <c r="Z825" s="541"/>
    </row>
    <row r="826" spans="1:26" ht="18.75">
      <c r="A826" s="708"/>
      <c r="B826" s="727"/>
      <c r="C826" s="727"/>
      <c r="D826" s="538"/>
      <c r="E826" s="727"/>
      <c r="F826" s="727"/>
      <c r="G826" s="189"/>
      <c r="H826" s="589" t="s">
        <v>35</v>
      </c>
      <c r="I826" s="269">
        <f ca="1">IFERROR(__xludf.DUMMYFUNCTION("IMPORTRANGE(""https://docs.google.com/spreadsheets/d/19vJNZY_5yjcGF2XGBMNZRCAIB0Kwfpjp8YEOfu-bneM/edit?usp=sharing"",""งานกองทุน!M24"")"),0)</f>
        <v>0</v>
      </c>
      <c r="J826" s="269">
        <f ca="1">IFERROR(__xludf.DUMMYFUNCTION("IMPORTRANGE(""https://docs.google.com/spreadsheets/d/19vJNZY_5yjcGF2XGBMNZRCAIB0Kwfpjp8YEOfu-bneM/edit?usp=sharing"",""งานกองทุน!O24"")"),0)</f>
        <v>0</v>
      </c>
      <c r="K826" s="465">
        <f t="shared" ca="1" si="334"/>
        <v>0</v>
      </c>
      <c r="L826" s="465"/>
      <c r="M826" s="465"/>
      <c r="N826" s="465"/>
      <c r="O826" s="465"/>
      <c r="P826" s="465"/>
      <c r="Q826" s="541"/>
      <c r="R826" s="541"/>
      <c r="S826" s="541"/>
      <c r="T826" s="541"/>
      <c r="U826" s="541"/>
      <c r="V826" s="541"/>
      <c r="W826" s="541"/>
      <c r="X826" s="541"/>
      <c r="Y826" s="541"/>
      <c r="Z826" s="541"/>
    </row>
    <row r="827" spans="1:26" ht="18.75">
      <c r="A827" s="708"/>
      <c r="B827" s="727" t="s">
        <v>328</v>
      </c>
      <c r="C827" s="727"/>
      <c r="D827" s="538"/>
      <c r="E827" s="727"/>
      <c r="F827" s="727"/>
      <c r="G827" s="189"/>
      <c r="H827" s="589" t="s">
        <v>12</v>
      </c>
      <c r="I827" s="269">
        <f ca="1">IFERROR(__xludf.DUMMYFUNCTION("IMPORTRANGE(""https://docs.google.com/spreadsheets/d/19vJNZY_5yjcGF2XGBMNZRCAIB0Kwfpjp8YEOfu-bneM/edit?usp=sharing"",""งานกองทุน!S24"")"),3700000)</f>
        <v>3700000</v>
      </c>
      <c r="J827" s="269">
        <f ca="1">IFERROR(__xludf.DUMMYFUNCTION("IMPORTRANGE(""https://docs.google.com/spreadsheets/d/19vJNZY_5yjcGF2XGBMNZRCAIB0Kwfpjp8YEOfu-bneM/edit?usp=sharing"",""งานกองทุน!U24"")"),0)</f>
        <v>0</v>
      </c>
      <c r="K827" s="465">
        <f t="shared" ca="1" si="334"/>
        <v>0</v>
      </c>
      <c r="L827" s="465"/>
      <c r="M827" s="465"/>
      <c r="N827" s="465"/>
      <c r="O827" s="465"/>
      <c r="P827" s="465"/>
      <c r="Q827" s="541"/>
      <c r="R827" s="541"/>
      <c r="S827" s="541"/>
      <c r="T827" s="541"/>
      <c r="U827" s="541"/>
      <c r="V827" s="541"/>
      <c r="W827" s="541"/>
      <c r="X827" s="541"/>
      <c r="Y827" s="541"/>
      <c r="Z827" s="541"/>
    </row>
    <row r="828" spans="1:26" ht="18.75">
      <c r="A828" s="711"/>
      <c r="B828" s="713"/>
      <c r="C828" s="713"/>
      <c r="D828" s="712"/>
      <c r="E828" s="713"/>
      <c r="F828" s="713"/>
      <c r="G828" s="790"/>
      <c r="H828" s="791" t="s">
        <v>35</v>
      </c>
      <c r="I828" s="468">
        <f ca="1">IFERROR(__xludf.DUMMYFUNCTION("IMPORTRANGE(""https://docs.google.com/spreadsheets/d/19vJNZY_5yjcGF2XGBMNZRCAIB0Kwfpjp8YEOfu-bneM/edit?usp=sharing"",""งานกองทุน!R24"")"),148)</f>
        <v>148</v>
      </c>
      <c r="J828" s="468">
        <f ca="1">IFERROR(__xludf.DUMMYFUNCTION("IMPORTRANGE(""https://docs.google.com/spreadsheets/d/19vJNZY_5yjcGF2XGBMNZRCAIB0Kwfpjp8YEOfu-bneM/edit?usp=sharing"",""งานกองทุน!T24"")"),11)</f>
        <v>11</v>
      </c>
      <c r="K828" s="469">
        <f t="shared" ca="1" si="334"/>
        <v>7.4324324324324325</v>
      </c>
      <c r="L828" s="469"/>
      <c r="M828" s="469"/>
      <c r="N828" s="469"/>
      <c r="O828" s="469"/>
      <c r="P828" s="469"/>
      <c r="Q828" s="541"/>
      <c r="R828" s="541"/>
      <c r="S828" s="541"/>
      <c r="T828" s="541"/>
      <c r="U828" s="541"/>
      <c r="V828" s="541"/>
      <c r="W828" s="541"/>
      <c r="X828" s="541"/>
      <c r="Y828" s="541"/>
      <c r="Z828" s="541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1" fitToHeight="0" pageOrder="overThenDown" orientation="portrait" cellComments="atEnd" r:id="rId1"/>
  <headerFooter>
    <oddFooter>&amp;Cหน้า &amp;P/&amp;N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9A92ED-C0B0-4296-A898-4AB439444F13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activeCell="S28" sqref="S28"/>
      <selection pane="bottomLeft" activeCell="A2" sqref="A2:P2"/>
    </sheetView>
  </sheetViews>
  <sheetFormatPr defaultColWidth="12.5703125" defaultRowHeight="15.75" customHeight="1"/>
  <cols>
    <col min="1" max="1" width="5.140625" customWidth="1"/>
    <col min="2" max="3" width="3.28515625" customWidth="1"/>
    <col min="4" max="6" width="5.85546875" customWidth="1"/>
    <col min="7" max="7" width="56.42578125" customWidth="1"/>
    <col min="8" max="8" width="9.42578125" customWidth="1"/>
    <col min="9" max="9" width="16.85546875" bestFit="1" customWidth="1"/>
    <col min="10" max="10" width="12.5703125" bestFit="1" customWidth="1"/>
    <col min="11" max="11" width="12.5703125" customWidth="1"/>
    <col min="12" max="13" width="21.28515625" bestFit="1" customWidth="1"/>
    <col min="14" max="14" width="18.7109375" bestFit="1" customWidth="1"/>
    <col min="15" max="15" width="20.140625" bestFit="1" customWidth="1"/>
    <col min="16" max="16" width="22" bestFit="1" customWidth="1"/>
  </cols>
  <sheetData>
    <row r="1" spans="1:26" ht="19.5">
      <c r="A1" s="792" t="s">
        <v>0</v>
      </c>
      <c r="B1" s="793"/>
      <c r="C1" s="793"/>
      <c r="D1" s="793"/>
      <c r="E1" s="793"/>
      <c r="F1" s="793"/>
      <c r="G1" s="793"/>
      <c r="H1" s="793"/>
      <c r="I1" s="793"/>
      <c r="J1" s="793"/>
      <c r="K1" s="793"/>
      <c r="L1" s="793"/>
      <c r="M1" s="793"/>
      <c r="N1" s="793"/>
      <c r="O1" s="793"/>
      <c r="P1" s="793"/>
    </row>
    <row r="2" spans="1:26" ht="19.5">
      <c r="A2" s="792" t="s">
        <v>347</v>
      </c>
      <c r="B2" s="793"/>
      <c r="C2" s="793"/>
      <c r="D2" s="793"/>
      <c r="E2" s="793"/>
      <c r="F2" s="793"/>
      <c r="G2" s="793"/>
      <c r="H2" s="793"/>
      <c r="I2" s="793"/>
      <c r="J2" s="793"/>
      <c r="K2" s="793"/>
      <c r="L2" s="793"/>
      <c r="M2" s="793"/>
      <c r="N2" s="793"/>
      <c r="O2" s="793"/>
      <c r="P2" s="793"/>
    </row>
    <row r="3" spans="1:26" ht="19.5">
      <c r="A3" s="792" t="s">
        <v>355</v>
      </c>
      <c r="B3" s="793"/>
      <c r="C3" s="793"/>
      <c r="D3" s="793"/>
      <c r="E3" s="793"/>
      <c r="F3" s="793"/>
      <c r="G3" s="793"/>
      <c r="H3" s="793"/>
      <c r="I3" s="793"/>
      <c r="J3" s="793"/>
      <c r="K3" s="793"/>
      <c r="L3" s="793"/>
      <c r="M3" s="793"/>
      <c r="N3" s="793"/>
      <c r="O3" s="793"/>
      <c r="P3" s="793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00" t="s">
        <v>2</v>
      </c>
      <c r="B5" s="793"/>
      <c r="C5" s="793"/>
      <c r="D5" s="793"/>
      <c r="E5" s="793"/>
      <c r="F5" s="793"/>
      <c r="G5" s="801"/>
      <c r="H5" s="794" t="s">
        <v>3</v>
      </c>
      <c r="I5" s="796" t="s">
        <v>4</v>
      </c>
      <c r="J5" s="797"/>
      <c r="K5" s="795"/>
      <c r="L5" s="798" t="s">
        <v>5</v>
      </c>
      <c r="M5" s="795"/>
      <c r="N5" s="799" t="s">
        <v>6</v>
      </c>
      <c r="O5" s="797"/>
      <c r="P5" s="795"/>
    </row>
    <row r="6" spans="1:26" ht="19.5">
      <c r="A6" s="802"/>
      <c r="B6" s="797"/>
      <c r="C6" s="797"/>
      <c r="D6" s="797"/>
      <c r="E6" s="797"/>
      <c r="F6" s="797"/>
      <c r="G6" s="795"/>
      <c r="H6" s="795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03" t="s">
        <v>15</v>
      </c>
      <c r="B7" s="797"/>
      <c r="C7" s="797"/>
      <c r="D7" s="797"/>
      <c r="E7" s="797"/>
      <c r="F7" s="797"/>
      <c r="G7" s="795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3129075</v>
      </c>
      <c r="M8" s="22">
        <f t="shared" ca="1" si="0"/>
        <v>1247630</v>
      </c>
      <c r="N8" s="22">
        <f t="shared" ca="1" si="0"/>
        <v>448824.98</v>
      </c>
      <c r="O8" s="22">
        <f t="shared" ref="O8:O16" ca="1" si="1">IF(L8&gt;0,N8*100/L8,0)</f>
        <v>14.343695181483346</v>
      </c>
      <c r="P8" s="22">
        <f t="shared" ref="P8:P16" ca="1" si="2">IF(M8&gt;0,N8*100/M8,0)</f>
        <v>35.974205493615898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3129075</v>
      </c>
      <c r="M10" s="30">
        <f t="shared" ca="1" si="3"/>
        <v>1247630</v>
      </c>
      <c r="N10" s="30">
        <f t="shared" ca="1" si="3"/>
        <v>448824.98</v>
      </c>
      <c r="O10" s="30">
        <f t="shared" ca="1" si="1"/>
        <v>14.343695181483346</v>
      </c>
      <c r="P10" s="30">
        <f t="shared" ca="1" si="2"/>
        <v>35.974205493615898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589" t="s">
        <v>12</v>
      </c>
      <c r="I11" s="269"/>
      <c r="J11" s="269"/>
      <c r="K11" s="465"/>
      <c r="L11" s="465">
        <f t="shared" ref="L11:N11" ca="1" si="4">L12+L13</f>
        <v>3069075</v>
      </c>
      <c r="M11" s="465">
        <f t="shared" ca="1" si="4"/>
        <v>1187630</v>
      </c>
      <c r="N11" s="465">
        <f t="shared" ca="1" si="4"/>
        <v>388824.98</v>
      </c>
      <c r="O11" s="465">
        <f t="shared" ca="1" si="1"/>
        <v>12.669126039604766</v>
      </c>
      <c r="P11" s="465">
        <f t="shared" ca="1" si="2"/>
        <v>32.739572088950261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2" t="s">
        <v>18</v>
      </c>
      <c r="F12" s="40"/>
      <c r="G12" s="42"/>
      <c r="H12" s="43" t="s">
        <v>12</v>
      </c>
      <c r="I12" s="583"/>
      <c r="J12" s="583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2" t="s">
        <v>19</v>
      </c>
      <c r="F13" s="40"/>
      <c r="G13" s="42"/>
      <c r="H13" s="43" t="s">
        <v>12</v>
      </c>
      <c r="I13" s="583"/>
      <c r="J13" s="583"/>
      <c r="K13" s="93"/>
      <c r="L13" s="93">
        <f t="shared" ca="1" si="5"/>
        <v>3069075</v>
      </c>
      <c r="M13" s="93">
        <f t="shared" ca="1" si="5"/>
        <v>1187630</v>
      </c>
      <c r="N13" s="93">
        <f t="shared" ca="1" si="5"/>
        <v>388824.98</v>
      </c>
      <c r="O13" s="93">
        <f t="shared" ca="1" si="1"/>
        <v>12.669126039604766</v>
      </c>
      <c r="P13" s="93">
        <f t="shared" ca="1" si="2"/>
        <v>32.739572088950261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589" t="s">
        <v>12</v>
      </c>
      <c r="I14" s="269"/>
      <c r="J14" s="269"/>
      <c r="K14" s="465"/>
      <c r="L14" s="465">
        <f t="shared" ref="L14:N14" ca="1" si="6">L15+L16</f>
        <v>60000</v>
      </c>
      <c r="M14" s="465">
        <f t="shared" ca="1" si="6"/>
        <v>60000</v>
      </c>
      <c r="N14" s="465">
        <f t="shared" ca="1" si="6"/>
        <v>60000</v>
      </c>
      <c r="O14" s="465">
        <f t="shared" ca="1" si="1"/>
        <v>100</v>
      </c>
      <c r="P14" s="465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2" t="s">
        <v>18</v>
      </c>
      <c r="F15" s="40"/>
      <c r="G15" s="42"/>
      <c r="H15" s="43" t="s">
        <v>12</v>
      </c>
      <c r="I15" s="583"/>
      <c r="J15" s="583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60000</v>
      </c>
      <c r="M16" s="52">
        <f t="shared" ca="1" si="7"/>
        <v>60000</v>
      </c>
      <c r="N16" s="52">
        <f t="shared" ca="1" si="7"/>
        <v>60000</v>
      </c>
      <c r="O16" s="52">
        <f t="shared" ca="1" si="1"/>
        <v>100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03" t="s">
        <v>22</v>
      </c>
      <c r="B17" s="797"/>
      <c r="C17" s="797"/>
      <c r="D17" s="797"/>
      <c r="E17" s="797"/>
      <c r="F17" s="797"/>
      <c r="G17" s="795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2373920</v>
      </c>
      <c r="M18" s="22">
        <f t="shared" ca="1" si="8"/>
        <v>1247630</v>
      </c>
      <c r="N18" s="22">
        <f t="shared" ca="1" si="8"/>
        <v>448824.98</v>
      </c>
      <c r="O18" s="22">
        <f t="shared" ref="O18:O26" ca="1" si="9">IF(L18&gt;0,N18*100/L18,0)</f>
        <v>18.906491372919053</v>
      </c>
      <c r="P18" s="22">
        <f t="shared" ref="P18:P26" ca="1" si="10">IF(M18&gt;0,N18*100/M18,0)</f>
        <v>35.974205493615898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2373920</v>
      </c>
      <c r="M20" s="30">
        <f t="shared" ca="1" si="11"/>
        <v>1247630</v>
      </c>
      <c r="N20" s="30">
        <f t="shared" ca="1" si="11"/>
        <v>448824.98</v>
      </c>
      <c r="O20" s="30">
        <f t="shared" ca="1" si="9"/>
        <v>18.906491372919053</v>
      </c>
      <c r="P20" s="30">
        <f t="shared" ca="1" si="10"/>
        <v>35.974205493615898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589" t="s">
        <v>12</v>
      </c>
      <c r="I21" s="269"/>
      <c r="J21" s="269"/>
      <c r="K21" s="465"/>
      <c r="L21" s="465">
        <f t="shared" ref="L21:N21" ca="1" si="12">L22+L23</f>
        <v>2313920</v>
      </c>
      <c r="M21" s="465">
        <f t="shared" ca="1" si="12"/>
        <v>1187630</v>
      </c>
      <c r="N21" s="465">
        <f t="shared" ca="1" si="12"/>
        <v>388824.98</v>
      </c>
      <c r="O21" s="465">
        <f t="shared" ca="1" si="9"/>
        <v>16.803734787719542</v>
      </c>
      <c r="P21" s="465">
        <f t="shared" ca="1" si="10"/>
        <v>32.739572088950261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2" t="s">
        <v>18</v>
      </c>
      <c r="F22" s="40"/>
      <c r="G22" s="42"/>
      <c r="H22" s="43" t="s">
        <v>12</v>
      </c>
      <c r="I22" s="583"/>
      <c r="J22" s="583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2" t="s">
        <v>19</v>
      </c>
      <c r="F23" s="40"/>
      <c r="G23" s="42"/>
      <c r="H23" s="43" t="s">
        <v>12</v>
      </c>
      <c r="I23" s="583"/>
      <c r="J23" s="583"/>
      <c r="K23" s="93"/>
      <c r="L23" s="93">
        <f t="shared" ca="1" si="13"/>
        <v>2313920</v>
      </c>
      <c r="M23" s="93">
        <f t="shared" ca="1" si="13"/>
        <v>1187630</v>
      </c>
      <c r="N23" s="93">
        <f t="shared" ca="1" si="13"/>
        <v>388824.98</v>
      </c>
      <c r="O23" s="93">
        <f t="shared" ca="1" si="9"/>
        <v>16.803734787719542</v>
      </c>
      <c r="P23" s="93">
        <f t="shared" ca="1" si="10"/>
        <v>32.739572088950261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589" t="s">
        <v>12</v>
      </c>
      <c r="I24" s="269"/>
      <c r="J24" s="269"/>
      <c r="K24" s="465"/>
      <c r="L24" s="465">
        <f t="shared" ref="L24:N24" ca="1" si="14">L25+L26</f>
        <v>60000</v>
      </c>
      <c r="M24" s="465">
        <f t="shared" ca="1" si="14"/>
        <v>60000</v>
      </c>
      <c r="N24" s="465">
        <f t="shared" ca="1" si="14"/>
        <v>60000</v>
      </c>
      <c r="O24" s="465">
        <f t="shared" ca="1" si="9"/>
        <v>100</v>
      </c>
      <c r="P24" s="465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2" t="s">
        <v>18</v>
      </c>
      <c r="F25" s="40"/>
      <c r="G25" s="42"/>
      <c r="H25" s="43" t="s">
        <v>12</v>
      </c>
      <c r="I25" s="583"/>
      <c r="J25" s="583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60000</v>
      </c>
      <c r="M26" s="52">
        <f t="shared" ca="1" si="15"/>
        <v>60000</v>
      </c>
      <c r="N26" s="52">
        <f t="shared" ca="1" si="15"/>
        <v>60000</v>
      </c>
      <c r="O26" s="52">
        <f t="shared" ca="1" si="9"/>
        <v>100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03" t="s">
        <v>23</v>
      </c>
      <c r="B27" s="797"/>
      <c r="C27" s="797"/>
      <c r="D27" s="797"/>
      <c r="E27" s="797"/>
      <c r="F27" s="797"/>
      <c r="G27" s="795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755155</v>
      </c>
      <c r="M28" s="22">
        <f t="shared" si="16"/>
        <v>0</v>
      </c>
      <c r="N28" s="22">
        <f t="shared" si="16"/>
        <v>0</v>
      </c>
      <c r="O28" s="22">
        <f t="shared" ref="O28:O37" ca="1" si="17">IF(L28&gt;0,N28*100/L28,0)</f>
        <v>0</v>
      </c>
      <c r="P28" s="22">
        <f t="shared" ref="P28:P37" si="18">IF(M28&gt;0,N28*100/M28,0)</f>
        <v>0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755155</v>
      </c>
      <c r="M30" s="30">
        <f t="shared" si="19"/>
        <v>0</v>
      </c>
      <c r="N30" s="30">
        <f t="shared" si="19"/>
        <v>0</v>
      </c>
      <c r="O30" s="30">
        <f t="shared" ca="1" si="17"/>
        <v>0</v>
      </c>
      <c r="P30" s="30">
        <f t="shared" si="18"/>
        <v>0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589" t="s">
        <v>12</v>
      </c>
      <c r="I31" s="269"/>
      <c r="J31" s="269"/>
      <c r="K31" s="465"/>
      <c r="L31" s="465">
        <f t="shared" ref="L31:N31" ca="1" si="20">L32+L33</f>
        <v>755155</v>
      </c>
      <c r="M31" s="465">
        <f t="shared" si="20"/>
        <v>0</v>
      </c>
      <c r="N31" s="465">
        <f t="shared" si="20"/>
        <v>0</v>
      </c>
      <c r="O31" s="465">
        <f t="shared" ca="1" si="17"/>
        <v>0</v>
      </c>
      <c r="P31" s="465">
        <f t="shared" si="18"/>
        <v>0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2" t="s">
        <v>18</v>
      </c>
      <c r="F32" s="40"/>
      <c r="G32" s="42"/>
      <c r="H32" s="43" t="s">
        <v>12</v>
      </c>
      <c r="I32" s="583"/>
      <c r="J32" s="583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2" t="s">
        <v>19</v>
      </c>
      <c r="F33" s="40"/>
      <c r="G33" s="42"/>
      <c r="H33" s="43" t="s">
        <v>12</v>
      </c>
      <c r="I33" s="583"/>
      <c r="J33" s="583"/>
      <c r="K33" s="93"/>
      <c r="L33" s="93">
        <f t="shared" ca="1" si="21"/>
        <v>755155</v>
      </c>
      <c r="M33" s="93">
        <f t="shared" si="21"/>
        <v>0</v>
      </c>
      <c r="N33" s="93">
        <f t="shared" si="21"/>
        <v>0</v>
      </c>
      <c r="O33" s="93">
        <f t="shared" ca="1" si="17"/>
        <v>0</v>
      </c>
      <c r="P33" s="93">
        <f t="shared" si="18"/>
        <v>0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589" t="s">
        <v>12</v>
      </c>
      <c r="I34" s="269"/>
      <c r="J34" s="269"/>
      <c r="K34" s="465"/>
      <c r="L34" s="465">
        <f t="shared" ref="L34:N34" ca="1" si="22">L35+L36</f>
        <v>0</v>
      </c>
      <c r="M34" s="465">
        <f t="shared" si="22"/>
        <v>0</v>
      </c>
      <c r="N34" s="465">
        <f t="shared" si="22"/>
        <v>0</v>
      </c>
      <c r="O34" s="465">
        <f t="shared" ca="1" si="17"/>
        <v>0</v>
      </c>
      <c r="P34" s="465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2" t="s">
        <v>18</v>
      </c>
      <c r="F35" s="40"/>
      <c r="G35" s="42"/>
      <c r="H35" s="43" t="s">
        <v>12</v>
      </c>
      <c r="I35" s="583"/>
      <c r="J35" s="583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53" t="s">
        <v>24</v>
      </c>
      <c r="B37" s="54"/>
      <c r="C37" s="54"/>
      <c r="D37" s="54"/>
      <c r="E37" s="54"/>
      <c r="F37" s="54"/>
      <c r="G37" s="55"/>
      <c r="H37" s="56"/>
      <c r="I37" s="392"/>
      <c r="J37" s="392"/>
      <c r="K37" s="58"/>
      <c r="L37" s="59">
        <f t="shared" ref="L37:N37" ca="1" si="24">L41+L53+L66+L88+L119+L132+L149+L165+L181+L261+L277+L298+L315+L328+L345+L389+L402</f>
        <v>2373920</v>
      </c>
      <c r="M37" s="59">
        <f t="shared" ca="1" si="24"/>
        <v>1247630</v>
      </c>
      <c r="N37" s="59">
        <f t="shared" ca="1" si="24"/>
        <v>448824.98</v>
      </c>
      <c r="O37" s="59">
        <f t="shared" ca="1" si="17"/>
        <v>18.906491372919053</v>
      </c>
      <c r="P37" s="59">
        <f t="shared" ca="1" si="18"/>
        <v>35.974205493615898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04" t="s">
        <v>27</v>
      </c>
      <c r="C40" s="805"/>
      <c r="D40" s="805"/>
      <c r="E40" s="805"/>
      <c r="F40" s="805"/>
      <c r="G40" s="806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15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185550</v>
      </c>
      <c r="M41" s="85">
        <f t="shared" ca="1" si="25"/>
        <v>94800</v>
      </c>
      <c r="N41" s="85">
        <f t="shared" ca="1" si="25"/>
        <v>22700</v>
      </c>
      <c r="O41" s="85">
        <f t="shared" ref="O41:O49" ca="1" si="26">IF(L41&gt;0,N41*100/L41,0)</f>
        <v>12.233899218539477</v>
      </c>
      <c r="P41" s="85">
        <f t="shared" ref="P41:P49" ca="1" si="27">IF(M41&gt;0,N41*100/M41,0)</f>
        <v>23.945147679324894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185550</v>
      </c>
      <c r="M43" s="92">
        <f t="shared" ca="1" si="28"/>
        <v>94800</v>
      </c>
      <c r="N43" s="92">
        <f t="shared" ca="1" si="28"/>
        <v>22700</v>
      </c>
      <c r="O43" s="92">
        <f t="shared" ca="1" si="26"/>
        <v>12.233899218539477</v>
      </c>
      <c r="P43" s="92">
        <f t="shared" ca="1" si="27"/>
        <v>23.945147679324894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589" t="s">
        <v>12</v>
      </c>
      <c r="I44" s="269"/>
      <c r="J44" s="269"/>
      <c r="K44" s="465"/>
      <c r="L44" s="465">
        <f t="shared" ref="L44:N44" ca="1" si="29">L45+L46</f>
        <v>185550</v>
      </c>
      <c r="M44" s="465">
        <f t="shared" ca="1" si="29"/>
        <v>94800</v>
      </c>
      <c r="N44" s="465">
        <f t="shared" ca="1" si="29"/>
        <v>22700</v>
      </c>
      <c r="O44" s="465">
        <f t="shared" ca="1" si="26"/>
        <v>12.233899218539477</v>
      </c>
      <c r="P44" s="465">
        <f t="shared" ca="1" si="27"/>
        <v>23.945147679324894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2" t="s">
        <v>18</v>
      </c>
      <c r="F45" s="40"/>
      <c r="G45" s="42"/>
      <c r="H45" s="43" t="s">
        <v>12</v>
      </c>
      <c r="I45" s="583"/>
      <c r="J45" s="583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2" t="s">
        <v>19</v>
      </c>
      <c r="F46" s="40"/>
      <c r="G46" s="42"/>
      <c r="H46" s="43" t="s">
        <v>12</v>
      </c>
      <c r="I46" s="583"/>
      <c r="J46" s="583"/>
      <c r="K46" s="93"/>
      <c r="L46" s="93">
        <f ca="1">IFERROR(__xludf.DUMMYFUNCTION("IMPORTRANGE(""https://docs.google.com/spreadsheets/d/1MeEWN-I1oV_STSDYn1IFDPWt_1FKiwhDph83XaGc0o0/edit?usp=sharing"",""งบพรบ!M25"")"),185550)</f>
        <v>185550</v>
      </c>
      <c r="M46" s="93">
        <f ca="1">IFERROR(__xludf.DUMMYFUNCTION("IMPORTRANGE(""https://docs.google.com/spreadsheets/d/1MeEWN-I1oV_STSDYn1IFDPWt_1FKiwhDph83XaGc0o0/edit?usp=sharing"",""งบพรบ!R25"")"),94800)</f>
        <v>94800</v>
      </c>
      <c r="N46" s="93">
        <f ca="1">IFERROR(__xludf.DUMMYFUNCTION("IMPORTRANGE(""https://docs.google.com/spreadsheets/d/1MeEWN-I1oV_STSDYn1IFDPWt_1FKiwhDph83XaGc0o0/edit?usp=sharing"",""งบพรบ!T25"")"),22700)</f>
        <v>22700</v>
      </c>
      <c r="O46" s="93">
        <f t="shared" ca="1" si="26"/>
        <v>12.233899218539477</v>
      </c>
      <c r="P46" s="93">
        <f t="shared" ca="1" si="27"/>
        <v>23.945147679324894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589" t="s">
        <v>12</v>
      </c>
      <c r="I47" s="269"/>
      <c r="J47" s="269"/>
      <c r="K47" s="465"/>
      <c r="L47" s="465">
        <f t="shared" ref="L47:N47" ca="1" si="30">L48+L49</f>
        <v>0</v>
      </c>
      <c r="M47" s="465">
        <f t="shared" ca="1" si="30"/>
        <v>0</v>
      </c>
      <c r="N47" s="465">
        <f t="shared" ca="1" si="30"/>
        <v>0</v>
      </c>
      <c r="O47" s="465">
        <f t="shared" ca="1" si="26"/>
        <v>0</v>
      </c>
      <c r="P47" s="465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2" t="s">
        <v>18</v>
      </c>
      <c r="F48" s="40"/>
      <c r="G48" s="42"/>
      <c r="H48" s="43" t="s">
        <v>12</v>
      </c>
      <c r="I48" s="583"/>
      <c r="J48" s="583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IFERROR(__xludf.DUMMYFUNCTION("IMPORTRANGE(""https://docs.google.com/spreadsheets/d/1MeEWN-I1oV_STSDYn1IFDPWt_1FKiwhDph83XaGc0o0/edit?usp=sharing"",""งบพรบ!P25"")"),0)</f>
        <v>0</v>
      </c>
      <c r="M49" s="52">
        <f ca="1">IFERROR(__xludf.DUMMYFUNCTION("IMPORTRANGE(""https://docs.google.com/spreadsheets/d/1MeEWN-I1oV_STSDYn1IFDPWt_1FKiwhDph83XaGc0o0/edit?usp=sharing"",""งบพรบ!S25"")"),0)</f>
        <v>0</v>
      </c>
      <c r="N49" s="52">
        <f ca="1">IFERROR(__xludf.DUMMYFUNCTION("IMPORTRANGE(""https://docs.google.com/spreadsheets/d/1MeEWN-I1oV_STSDYn1IFDPWt_1FKiwhDph83XaGc0o0/edit?usp=sharing"",""งบพรบ!U25"")"),0)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07" t="s">
        <v>28</v>
      </c>
      <c r="B50" s="797"/>
      <c r="C50" s="797"/>
      <c r="D50" s="797"/>
      <c r="E50" s="797"/>
      <c r="F50" s="797"/>
      <c r="G50" s="795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08" t="s">
        <v>29</v>
      </c>
      <c r="C51" s="805"/>
      <c r="D51" s="805"/>
      <c r="E51" s="805"/>
      <c r="F51" s="805"/>
      <c r="G51" s="806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16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672400</v>
      </c>
      <c r="M53" s="116">
        <f t="shared" ca="1" si="31"/>
        <v>336200</v>
      </c>
      <c r="N53" s="116">
        <f t="shared" ca="1" si="31"/>
        <v>108721.58</v>
      </c>
      <c r="O53" s="116">
        <f t="shared" ref="O53:O61" ca="1" si="32">IF(L53&gt;0,N53*100/L53,0)</f>
        <v>16.169182034503272</v>
      </c>
      <c r="P53" s="116">
        <f t="shared" ref="P53:P61" ca="1" si="33">IF(M53&gt;0,N53*100/M53,0)</f>
        <v>32.338364069006545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672400</v>
      </c>
      <c r="M55" s="123">
        <f t="shared" ca="1" si="34"/>
        <v>336200</v>
      </c>
      <c r="N55" s="123">
        <f t="shared" ca="1" si="34"/>
        <v>108721.58</v>
      </c>
      <c r="O55" s="123">
        <f t="shared" ca="1" si="32"/>
        <v>16.169182034503272</v>
      </c>
      <c r="P55" s="123">
        <f t="shared" ca="1" si="33"/>
        <v>32.338364069006545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589" t="s">
        <v>12</v>
      </c>
      <c r="I56" s="269"/>
      <c r="J56" s="269"/>
      <c r="K56" s="465"/>
      <c r="L56" s="465">
        <f t="shared" ref="L56:N56" ca="1" si="35">L57+L58</f>
        <v>672400</v>
      </c>
      <c r="M56" s="465">
        <f t="shared" ca="1" si="35"/>
        <v>336200</v>
      </c>
      <c r="N56" s="465">
        <f t="shared" ca="1" si="35"/>
        <v>108721.58</v>
      </c>
      <c r="O56" s="465">
        <f t="shared" ca="1" si="32"/>
        <v>16.169182034503272</v>
      </c>
      <c r="P56" s="465">
        <f t="shared" ca="1" si="33"/>
        <v>32.338364069006545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2" t="s">
        <v>18</v>
      </c>
      <c r="F57" s="40"/>
      <c r="G57" s="42"/>
      <c r="H57" s="43" t="s">
        <v>12</v>
      </c>
      <c r="I57" s="583"/>
      <c r="J57" s="583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2" t="s">
        <v>19</v>
      </c>
      <c r="F58" s="40"/>
      <c r="G58" s="42"/>
      <c r="H58" s="43" t="s">
        <v>12</v>
      </c>
      <c r="I58" s="583"/>
      <c r="J58" s="583"/>
      <c r="K58" s="93"/>
      <c r="L58" s="93">
        <f ca="1">IFERROR(__xludf.DUMMYFUNCTION("IMPORTRANGE(""https://docs.google.com/spreadsheets/d/1MeEWN-I1oV_STSDYn1IFDPWt_1FKiwhDph83XaGc0o0/edit?usp=sharing"",""งบพรบ!W25"")"),672400)</f>
        <v>672400</v>
      </c>
      <c r="M58" s="93">
        <f ca="1">IFERROR(__xludf.DUMMYFUNCTION("IMPORTRANGE(""https://docs.google.com/spreadsheets/d/1MeEWN-I1oV_STSDYn1IFDPWt_1FKiwhDph83XaGc0o0/edit?usp=sharing"",""งบพรบ!AB25"")"),336200)</f>
        <v>336200</v>
      </c>
      <c r="N58" s="93">
        <f ca="1">IFERROR(__xludf.DUMMYFUNCTION("IMPORTRANGE(""https://docs.google.com/spreadsheets/d/1MeEWN-I1oV_STSDYn1IFDPWt_1FKiwhDph83XaGc0o0/edit?usp=sharing"",""งบพรบ!AD25"")"),108721.58)</f>
        <v>108721.58</v>
      </c>
      <c r="O58" s="93">
        <f t="shared" ca="1" si="32"/>
        <v>16.169182034503272</v>
      </c>
      <c r="P58" s="93">
        <f t="shared" ca="1" si="33"/>
        <v>32.338364069006545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589" t="s">
        <v>12</v>
      </c>
      <c r="I59" s="269"/>
      <c r="J59" s="269"/>
      <c r="K59" s="465"/>
      <c r="L59" s="465">
        <f t="shared" ref="L59:N59" ca="1" si="36">L60+L61</f>
        <v>0</v>
      </c>
      <c r="M59" s="465">
        <f t="shared" ca="1" si="36"/>
        <v>0</v>
      </c>
      <c r="N59" s="465">
        <f t="shared" ca="1" si="36"/>
        <v>0</v>
      </c>
      <c r="O59" s="465">
        <f t="shared" ca="1" si="32"/>
        <v>0</v>
      </c>
      <c r="P59" s="465">
        <f t="shared" ca="1" si="33"/>
        <v>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2" t="s">
        <v>18</v>
      </c>
      <c r="F60" s="40"/>
      <c r="G60" s="42"/>
      <c r="H60" s="43" t="s">
        <v>12</v>
      </c>
      <c r="I60" s="583"/>
      <c r="J60" s="583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IFERROR(__xludf.DUMMYFUNCTION("IMPORTRANGE(""https://docs.google.com/spreadsheets/d/1MeEWN-I1oV_STSDYn1IFDPWt_1FKiwhDph83XaGc0o0/edit?usp=sharing"",""งบพรบ!Z25"")"),0)</f>
        <v>0</v>
      </c>
      <c r="M61" s="52">
        <f ca="1">IFERROR(__xludf.DUMMYFUNCTION("IMPORTRANGE(""https://docs.google.com/spreadsheets/d/1MeEWN-I1oV_STSDYn1IFDPWt_1FKiwhDph83XaGc0o0/edit?usp=sharing"",""งบพรบ!AC25"")"),0)</f>
        <v>0</v>
      </c>
      <c r="N61" s="52">
        <f ca="1">IFERROR(__xludf.DUMMYFUNCTION("IMPORTRANGE(""https://docs.google.com/spreadsheets/d/1MeEWN-I1oV_STSDYn1IFDPWt_1FKiwhDph83XaGc0o0/edit?usp=sharing"",""งบพรบ!AE25"")"),0)</f>
        <v>0</v>
      </c>
      <c r="O61" s="52">
        <f t="shared" ca="1" si="32"/>
        <v>0</v>
      </c>
      <c r="P61" s="52">
        <f t="shared" ca="1" si="33"/>
        <v>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 hidden="1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 hidden="1">
      <c r="A64" s="138"/>
      <c r="B64" s="208" t="s">
        <v>33</v>
      </c>
      <c r="C64" s="140"/>
      <c r="D64" s="141"/>
      <c r="E64" s="140"/>
      <c r="F64" s="140"/>
      <c r="G64" s="142"/>
      <c r="H64" s="143" t="s">
        <v>34</v>
      </c>
      <c r="I64" s="144">
        <f t="shared" ref="I64:J65" ca="1" si="37">I76</f>
        <v>0</v>
      </c>
      <c r="J64" s="144">
        <f t="shared" si="37"/>
        <v>0</v>
      </c>
      <c r="K64" s="145">
        <f t="shared" ref="K64:K65" ca="1" si="38">IF(I64&gt;0,J64*100/I64,0)</f>
        <v>0</v>
      </c>
      <c r="L64" s="146"/>
      <c r="M64" s="146"/>
      <c r="N64" s="146"/>
      <c r="O64" s="146"/>
      <c r="P64" s="146"/>
    </row>
    <row r="65" spans="1:26" ht="19.5" hidden="1">
      <c r="A65" s="138"/>
      <c r="B65" s="140"/>
      <c r="C65" s="140"/>
      <c r="D65" s="141"/>
      <c r="E65" s="140"/>
      <c r="F65" s="140"/>
      <c r="G65" s="142"/>
      <c r="H65" s="143" t="s">
        <v>35</v>
      </c>
      <c r="I65" s="144">
        <f t="shared" ca="1" si="37"/>
        <v>0</v>
      </c>
      <c r="J65" s="144">
        <f t="shared" si="37"/>
        <v>0</v>
      </c>
      <c r="K65" s="145">
        <f t="shared" ca="1" si="38"/>
        <v>0</v>
      </c>
      <c r="L65" s="146"/>
      <c r="M65" s="146"/>
      <c r="N65" s="146"/>
      <c r="O65" s="146"/>
      <c r="P65" s="146"/>
    </row>
    <row r="66" spans="1:26" ht="19.5" hidden="1">
      <c r="A66" s="147"/>
      <c r="B66" s="148"/>
      <c r="C66" s="149" t="s">
        <v>16</v>
      </c>
      <c r="D66" s="817" t="s">
        <v>17</v>
      </c>
      <c r="E66" s="148"/>
      <c r="F66" s="148"/>
      <c r="G66" s="151"/>
      <c r="H66" s="152" t="s">
        <v>12</v>
      </c>
      <c r="I66" s="388"/>
      <c r="J66" s="388"/>
      <c r="K66" s="154"/>
      <c r="L66" s="155">
        <f t="shared" ref="L66:N66" ca="1" si="39">L67+L68</f>
        <v>0</v>
      </c>
      <c r="M66" s="155">
        <f t="shared" ca="1" si="39"/>
        <v>0</v>
      </c>
      <c r="N66" s="155">
        <f t="shared" ca="1" si="39"/>
        <v>0</v>
      </c>
      <c r="O66" s="155">
        <f t="shared" ref="O66:O74" ca="1" si="40">IF(L66&gt;0,N66*100/L66,0)</f>
        <v>0</v>
      </c>
      <c r="P66" s="155">
        <f t="shared" ref="P66:P74" ca="1" si="41">IF(M66&gt;0,N66*100/M66,0)</f>
        <v>0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2" t="s">
        <v>18</v>
      </c>
      <c r="F67" s="40"/>
      <c r="G67" s="157"/>
      <c r="H67" s="158" t="s">
        <v>12</v>
      </c>
      <c r="I67" s="583"/>
      <c r="J67" s="583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2" t="s">
        <v>19</v>
      </c>
      <c r="F68" s="40"/>
      <c r="G68" s="157"/>
      <c r="H68" s="158" t="s">
        <v>12</v>
      </c>
      <c r="I68" s="583"/>
      <c r="J68" s="583"/>
      <c r="K68" s="93"/>
      <c r="L68" s="93">
        <f t="shared" ca="1" si="42"/>
        <v>0</v>
      </c>
      <c r="M68" s="93">
        <f t="shared" ca="1" si="42"/>
        <v>0</v>
      </c>
      <c r="N68" s="93">
        <f t="shared" ca="1" si="42"/>
        <v>0</v>
      </c>
      <c r="O68" s="93">
        <f t="shared" ca="1" si="40"/>
        <v>0</v>
      </c>
      <c r="P68" s="93">
        <f t="shared" ca="1" si="41"/>
        <v>0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 hidden="1">
      <c r="A69" s="159"/>
      <c r="B69" s="33"/>
      <c r="C69" s="281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65">
        <f t="shared" ref="L69:N69" ca="1" si="43">L70+L71</f>
        <v>0</v>
      </c>
      <c r="M69" s="465">
        <f t="shared" ca="1" si="43"/>
        <v>0</v>
      </c>
      <c r="N69" s="465">
        <f t="shared" ca="1" si="43"/>
        <v>0</v>
      </c>
      <c r="O69" s="465">
        <f t="shared" ca="1" si="40"/>
        <v>0</v>
      </c>
      <c r="P69" s="465">
        <f t="shared" ca="1" si="41"/>
        <v>0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2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2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IFERROR(__xludf.DUMMYFUNCTION("IMPORTRANGE(""https://docs.google.com/spreadsheets/d/1MeEWN-I1oV_STSDYn1IFDPWt_1FKiwhDph83XaGc0o0/edit?usp=sharing"",""งบพรบ!AG25"")"),0)</f>
        <v>0</v>
      </c>
      <c r="M71" s="93">
        <f ca="1">IFERROR(__xludf.DUMMYFUNCTION("IMPORTRANGE(""https://docs.google.com/spreadsheets/d/1MeEWN-I1oV_STSDYn1IFDPWt_1FKiwhDph83XaGc0o0/edit?usp=sharing"",""งบพรบ!AL25"")"),0)</f>
        <v>0</v>
      </c>
      <c r="N71" s="93">
        <f ca="1">IFERROR(__xludf.DUMMYFUNCTION("IMPORTRANGE(""https://docs.google.com/spreadsheets/d/1MeEWN-I1oV_STSDYn1IFDPWt_1FKiwhDph83XaGc0o0/edit?usp=sharing"",""งบพรบ!AN25"")"),0)</f>
        <v>0</v>
      </c>
      <c r="O71" s="93">
        <f t="shared" ca="1" si="40"/>
        <v>0</v>
      </c>
      <c r="P71" s="93">
        <f t="shared" ca="1" si="41"/>
        <v>0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 hidden="1">
      <c r="A72" s="159"/>
      <c r="B72" s="33"/>
      <c r="C72" s="281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65">
        <f t="shared" ref="L72:N72" ca="1" si="44">L73+L74</f>
        <v>0</v>
      </c>
      <c r="M72" s="465">
        <f t="shared" ca="1" si="44"/>
        <v>0</v>
      </c>
      <c r="N72" s="465">
        <f t="shared" ca="1" si="44"/>
        <v>0</v>
      </c>
      <c r="O72" s="465">
        <f t="shared" ca="1" si="40"/>
        <v>0</v>
      </c>
      <c r="P72" s="465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2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2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IFERROR(__xludf.DUMMYFUNCTION("IMPORTRANGE(""https://docs.google.com/spreadsheets/d/1MeEWN-I1oV_STSDYn1IFDPWt_1FKiwhDph83XaGc0o0/edit?usp=sharing"",""งบพรบ!AJ25"")"),0)</f>
        <v>0</v>
      </c>
      <c r="M74" s="93">
        <f ca="1">IFERROR(__xludf.DUMMYFUNCTION("IMPORTRANGE(""https://docs.google.com/spreadsheets/d/1MeEWN-I1oV_STSDYn1IFDPWt_1FKiwhDph83XaGc0o0/edit?usp=sharing"",""งบพรบ!AM25"")"),0)</f>
        <v>0</v>
      </c>
      <c r="N74" s="93">
        <f ca="1">IFERROR(__xludf.DUMMYFUNCTION("IMPORTRANGE(""https://docs.google.com/spreadsheets/d/1MeEWN-I1oV_STSDYn1IFDPWt_1FKiwhDph83XaGc0o0/edit?usp=sharing"",""งบพรบ!AO25"")"),0)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 hidden="1">
      <c r="A75" s="170"/>
      <c r="B75" s="171"/>
      <c r="C75" s="164" t="s">
        <v>16</v>
      </c>
      <c r="D75" s="818" t="s">
        <v>38</v>
      </c>
      <c r="E75" s="173"/>
      <c r="F75" s="173"/>
      <c r="G75" s="174"/>
      <c r="H75" s="726"/>
      <c r="I75" s="184"/>
      <c r="J75" s="184"/>
      <c r="K75" s="163"/>
      <c r="L75" s="163"/>
      <c r="M75" s="163"/>
      <c r="N75" s="163"/>
      <c r="O75" s="163"/>
      <c r="P75" s="163"/>
    </row>
    <row r="76" spans="1:26" ht="19.5" hidden="1">
      <c r="A76" s="170"/>
      <c r="B76" s="171"/>
      <c r="C76" s="171"/>
      <c r="D76" s="343" t="s">
        <v>39</v>
      </c>
      <c r="E76" s="415"/>
      <c r="F76" s="342"/>
      <c r="G76" s="179"/>
      <c r="H76" s="180" t="s">
        <v>34</v>
      </c>
      <c r="I76" s="269">
        <f t="shared" ref="I76:J77" ca="1" si="45">I78+I80+I82</f>
        <v>0</v>
      </c>
      <c r="J76" s="269">
        <f t="shared" si="45"/>
        <v>0</v>
      </c>
      <c r="K76" s="163">
        <f t="shared" ref="K76:K84" ca="1" si="46">IF(I76&gt;0,J76*100/I76,0)</f>
        <v>0</v>
      </c>
      <c r="L76" s="163"/>
      <c r="M76" s="163"/>
      <c r="N76" s="163"/>
      <c r="O76" s="163"/>
      <c r="P76" s="163"/>
    </row>
    <row r="77" spans="1:26" ht="19.5" hidden="1">
      <c r="A77" s="170"/>
      <c r="B77" s="171"/>
      <c r="C77" s="171"/>
      <c r="D77" s="171"/>
      <c r="E77" s="342"/>
      <c r="F77" s="342"/>
      <c r="G77" s="179"/>
      <c r="H77" s="180" t="s">
        <v>35</v>
      </c>
      <c r="I77" s="269">
        <f t="shared" ca="1" si="45"/>
        <v>0</v>
      </c>
      <c r="J77" s="269">
        <f t="shared" si="45"/>
        <v>0</v>
      </c>
      <c r="K77" s="163">
        <f t="shared" ca="1" si="46"/>
        <v>0</v>
      </c>
      <c r="L77" s="163"/>
      <c r="M77" s="163"/>
      <c r="N77" s="163"/>
      <c r="O77" s="163"/>
      <c r="P77" s="163"/>
    </row>
    <row r="78" spans="1:26" ht="18.75" hidden="1">
      <c r="A78" s="170"/>
      <c r="B78" s="171"/>
      <c r="C78" s="171"/>
      <c r="D78" s="171"/>
      <c r="E78" s="415" t="s">
        <v>40</v>
      </c>
      <c r="F78" s="415"/>
      <c r="G78" s="179"/>
      <c r="H78" s="728" t="s">
        <v>34</v>
      </c>
      <c r="I78" s="184">
        <f ca="1">IFERROR(__xludf.DUMMYFUNCTION("IMPORTRANGE(""https://docs.google.com/spreadsheets/d/1QqKyyYR6Q21VydFLVH3TRQUabQu_ym0Zz7PgGX0-kHA/edit?usp=sharing"",""แผน!H25"")"),0)</f>
        <v>0</v>
      </c>
      <c r="J78" s="214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 hidden="1">
      <c r="A79" s="170"/>
      <c r="B79" s="171"/>
      <c r="C79" s="171"/>
      <c r="D79" s="171"/>
      <c r="E79" s="342"/>
      <c r="F79" s="342"/>
      <c r="G79" s="179"/>
      <c r="H79" s="728" t="s">
        <v>35</v>
      </c>
      <c r="I79" s="184">
        <f ca="1">IFERROR(__xludf.DUMMYFUNCTION("IMPORTRANGE(""https://docs.google.com/spreadsheets/d/1QqKyyYR6Q21VydFLVH3TRQUabQu_ym0Zz7PgGX0-kHA/edit?usp=sharing"",""แผน!I25"")"),0)</f>
        <v>0</v>
      </c>
      <c r="J79" s="214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 hidden="1">
      <c r="A80" s="170"/>
      <c r="B80" s="171"/>
      <c r="C80" s="171"/>
      <c r="D80" s="171"/>
      <c r="E80" s="415" t="s">
        <v>41</v>
      </c>
      <c r="F80" s="415"/>
      <c r="G80" s="179"/>
      <c r="H80" s="728" t="s">
        <v>34</v>
      </c>
      <c r="I80" s="184">
        <f ca="1">IFERROR(__xludf.DUMMYFUNCTION("IMPORTRANGE(""https://docs.google.com/spreadsheets/d/1QqKyyYR6Q21VydFLVH3TRQUabQu_ym0Zz7PgGX0-kHA/edit?usp=sharing"",""แผน!F25"")"),0)</f>
        <v>0</v>
      </c>
      <c r="J80" s="214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 hidden="1">
      <c r="A81" s="170"/>
      <c r="B81" s="171"/>
      <c r="C81" s="171"/>
      <c r="D81" s="171"/>
      <c r="E81" s="342"/>
      <c r="F81" s="342"/>
      <c r="G81" s="179"/>
      <c r="H81" s="728" t="s">
        <v>35</v>
      </c>
      <c r="I81" s="184">
        <f ca="1">IFERROR(__xludf.DUMMYFUNCTION("IMPORTRANGE(""https://docs.google.com/spreadsheets/d/1QqKyyYR6Q21VydFLVH3TRQUabQu_ym0Zz7PgGX0-kHA/edit?usp=sharing"",""แผน!G25"")"),0)</f>
        <v>0</v>
      </c>
      <c r="J81" s="214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 hidden="1">
      <c r="A82" s="170"/>
      <c r="B82" s="171"/>
      <c r="C82" s="171"/>
      <c r="D82" s="171"/>
      <c r="E82" s="415" t="s">
        <v>42</v>
      </c>
      <c r="F82" s="415"/>
      <c r="G82" s="179"/>
      <c r="H82" s="728" t="s">
        <v>34</v>
      </c>
      <c r="I82" s="184">
        <f ca="1">IFERROR(__xludf.DUMMYFUNCTION("IMPORTRANGE(""https://docs.google.com/spreadsheets/d/1QqKyyYR6Q21VydFLVH3TRQUabQu_ym0Zz7PgGX0-kHA/edit?usp=sharing"",""แผน!D25"")"),0)</f>
        <v>0</v>
      </c>
      <c r="J82" s="214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 hidden="1">
      <c r="A83" s="170"/>
      <c r="B83" s="171"/>
      <c r="C83" s="171"/>
      <c r="D83" s="171"/>
      <c r="E83" s="342"/>
      <c r="F83" s="342"/>
      <c r="G83" s="179"/>
      <c r="H83" s="728" t="s">
        <v>35</v>
      </c>
      <c r="I83" s="184">
        <f ca="1">IFERROR(__xludf.DUMMYFUNCTION("IMPORTRANGE(""https://docs.google.com/spreadsheets/d/1QqKyyYR6Q21VydFLVH3TRQUabQu_ym0Zz7PgGX0-kHA/edit?usp=sharing"",""แผน!E25"")"),0)</f>
        <v>0</v>
      </c>
      <c r="J83" s="214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 hidden="1">
      <c r="A84" s="170"/>
      <c r="B84" s="171"/>
      <c r="C84" s="171"/>
      <c r="D84" s="343" t="s">
        <v>43</v>
      </c>
      <c r="E84" s="415"/>
      <c r="F84" s="342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IFERROR(__xludf.DUMMYFUNCTION("IMPORTRANGE(""https://docs.google.com/spreadsheets/d/1QqKyyYR6Q21VydFLVH3TRQUabQu_ym0Zz7PgGX0-kHA/edit?usp=sharing"",""แผน!J25"")"),0)</f>
        <v>0</v>
      </c>
      <c r="J84" s="214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8" t="s">
        <v>45</v>
      </c>
      <c r="C86" s="140"/>
      <c r="D86" s="141"/>
      <c r="E86" s="140"/>
      <c r="F86" s="140"/>
      <c r="G86" s="142"/>
      <c r="H86" s="143" t="s">
        <v>46</v>
      </c>
      <c r="I86" s="144">
        <f t="shared" ref="I86:J87" ca="1" si="47">I98</f>
        <v>90</v>
      </c>
      <c r="J86" s="144">
        <f t="shared" si="47"/>
        <v>0</v>
      </c>
      <c r="K86" s="145">
        <f t="shared" ref="K86:K87" ca="1" si="48">IF(I86&gt;0,J86*100/I86,0)</f>
        <v>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143" t="s">
        <v>35</v>
      </c>
      <c r="I87" s="144">
        <f t="shared" ca="1" si="47"/>
        <v>30</v>
      </c>
      <c r="J87" s="144">
        <f t="shared" si="47"/>
        <v>0</v>
      </c>
      <c r="K87" s="145">
        <f t="shared" ca="1" si="48"/>
        <v>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17" t="s">
        <v>17</v>
      </c>
      <c r="E88" s="148"/>
      <c r="F88" s="148"/>
      <c r="G88" s="151"/>
      <c r="H88" s="152" t="s">
        <v>12</v>
      </c>
      <c r="I88" s="388"/>
      <c r="J88" s="388"/>
      <c r="K88" s="154"/>
      <c r="L88" s="155">
        <f t="shared" ref="L88:N88" ca="1" si="49">L89+L90</f>
        <v>235620</v>
      </c>
      <c r="M88" s="155">
        <f t="shared" ca="1" si="49"/>
        <v>145170</v>
      </c>
      <c r="N88" s="155">
        <f t="shared" ca="1" si="49"/>
        <v>60473.4</v>
      </c>
      <c r="O88" s="155">
        <f t="shared" ref="O88:O96" ca="1" si="50">IF(L88&gt;0,N88*100/L88,0)</f>
        <v>25.665648077412783</v>
      </c>
      <c r="P88" s="155">
        <f t="shared" ref="P88:P96" ca="1" si="51">IF(M88&gt;0,N88*100/M88,0)</f>
        <v>41.656953916098367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2" t="s">
        <v>18</v>
      </c>
      <c r="F89" s="40"/>
      <c r="G89" s="157"/>
      <c r="H89" s="158" t="s">
        <v>12</v>
      </c>
      <c r="I89" s="583"/>
      <c r="J89" s="583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2" t="s">
        <v>19</v>
      </c>
      <c r="F90" s="40"/>
      <c r="G90" s="157"/>
      <c r="H90" s="158" t="s">
        <v>12</v>
      </c>
      <c r="I90" s="583"/>
      <c r="J90" s="583"/>
      <c r="K90" s="93"/>
      <c r="L90" s="93">
        <f t="shared" ca="1" si="52"/>
        <v>235620</v>
      </c>
      <c r="M90" s="93">
        <f t="shared" ca="1" si="52"/>
        <v>145170</v>
      </c>
      <c r="N90" s="93">
        <f t="shared" ca="1" si="52"/>
        <v>60473.4</v>
      </c>
      <c r="O90" s="93">
        <f t="shared" ca="1" si="50"/>
        <v>25.665648077412783</v>
      </c>
      <c r="P90" s="93">
        <f t="shared" ca="1" si="51"/>
        <v>41.656953916098367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1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65">
        <f t="shared" ref="L91:N91" ca="1" si="53">L92+L93</f>
        <v>235620</v>
      </c>
      <c r="M91" s="465">
        <f t="shared" ca="1" si="53"/>
        <v>145170</v>
      </c>
      <c r="N91" s="465">
        <f t="shared" ca="1" si="53"/>
        <v>60473.4</v>
      </c>
      <c r="O91" s="465">
        <f t="shared" ca="1" si="50"/>
        <v>25.665648077412783</v>
      </c>
      <c r="P91" s="465">
        <f t="shared" ca="1" si="51"/>
        <v>41.656953916098367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2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2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IFERROR(__xludf.DUMMYFUNCTION("IMPORTRANGE(""https://docs.google.com/spreadsheets/d/1MeEWN-I1oV_STSDYn1IFDPWt_1FKiwhDph83XaGc0o0/edit?usp=sharing"",""งบพรบ!AQ25"")"),235620)</f>
        <v>235620</v>
      </c>
      <c r="M93" s="93">
        <f ca="1">IFERROR(__xludf.DUMMYFUNCTION("IMPORTRANGE(""https://docs.google.com/spreadsheets/d/1MeEWN-I1oV_STSDYn1IFDPWt_1FKiwhDph83XaGc0o0/edit?usp=sharing"",""งบพรบ!AV25"")"),145170)</f>
        <v>145170</v>
      </c>
      <c r="N93" s="93">
        <f ca="1">IFERROR(__xludf.DUMMYFUNCTION("IMPORTRANGE(""https://docs.google.com/spreadsheets/d/1MeEWN-I1oV_STSDYn1IFDPWt_1FKiwhDph83XaGc0o0/edit?usp=sharing"",""งบพรบ!AX25"")"),60473.4)</f>
        <v>60473.4</v>
      </c>
      <c r="O93" s="93">
        <f t="shared" ca="1" si="50"/>
        <v>25.665648077412783</v>
      </c>
      <c r="P93" s="93">
        <f t="shared" ca="1" si="51"/>
        <v>41.656953916098367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1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65">
        <f t="shared" ref="L94:N94" ca="1" si="54">L95+L96</f>
        <v>0</v>
      </c>
      <c r="M94" s="465">
        <f t="shared" ca="1" si="54"/>
        <v>0</v>
      </c>
      <c r="N94" s="465">
        <f t="shared" ca="1" si="54"/>
        <v>0</v>
      </c>
      <c r="O94" s="465">
        <f t="shared" ca="1" si="50"/>
        <v>0</v>
      </c>
      <c r="P94" s="465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2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2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IFERROR(__xludf.DUMMYFUNCTION("IMPORTRANGE(""https://docs.google.com/spreadsheets/d/1MeEWN-I1oV_STSDYn1IFDPWt_1FKiwhDph83XaGc0o0/edit?usp=sharing"",""งบพรบ!AT25"")"),0)</f>
        <v>0</v>
      </c>
      <c r="M96" s="93">
        <f ca="1">IFERROR(__xludf.DUMMYFUNCTION("IMPORTRANGE(""https://docs.google.com/spreadsheets/d/1MeEWN-I1oV_STSDYn1IFDPWt_1FKiwhDph83XaGc0o0/edit?usp=sharing"",""งบพรบ!AW25"")"),0)</f>
        <v>0</v>
      </c>
      <c r="N96" s="93">
        <f ca="1">IFERROR(__xludf.DUMMYFUNCTION("IMPORTRANGE(""https://docs.google.com/spreadsheets/d/1MeEWN-I1oV_STSDYn1IFDPWt_1FKiwhDph83XaGc0o0/edit?usp=sharing"",""งบพรบ!AY25"")"),0)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18" t="s">
        <v>38</v>
      </c>
      <c r="E97" s="173"/>
      <c r="F97" s="173"/>
      <c r="G97" s="174"/>
      <c r="H97" s="726"/>
      <c r="I97" s="184"/>
      <c r="J97" s="269"/>
      <c r="K97" s="465"/>
      <c r="L97" s="465"/>
      <c r="M97" s="465"/>
      <c r="N97" s="465"/>
      <c r="O97" s="163"/>
      <c r="P97" s="163"/>
    </row>
    <row r="98" spans="1:16" ht="18.75">
      <c r="A98" s="170"/>
      <c r="B98" s="171"/>
      <c r="C98" s="171"/>
      <c r="D98" s="415" t="s">
        <v>47</v>
      </c>
      <c r="E98" s="415"/>
      <c r="F98" s="342"/>
      <c r="G98" s="179"/>
      <c r="H98" s="589" t="s">
        <v>46</v>
      </c>
      <c r="I98" s="269">
        <f ca="1">IFERROR(__xludf.DUMMYFUNCTION("IMPORTRANGE(""https://docs.google.com/spreadsheets/d/1QqKyyYR6Q21VydFLVH3TRQUabQu_ym0Zz7PgGX0-kHA/edit?usp=sharing"",""แผน!K25"")"),90)</f>
        <v>90</v>
      </c>
      <c r="J98" s="269">
        <f>J102</f>
        <v>0</v>
      </c>
      <c r="K98" s="465">
        <f t="shared" ref="K98:K100" ca="1" si="55">IF(I98&gt;0,J98*100/I98,0)</f>
        <v>0</v>
      </c>
      <c r="L98" s="465"/>
      <c r="M98" s="465"/>
      <c r="N98" s="465"/>
      <c r="O98" s="163"/>
      <c r="P98" s="163"/>
    </row>
    <row r="99" spans="1:16" ht="18.75">
      <c r="A99" s="170"/>
      <c r="B99" s="171"/>
      <c r="C99" s="171"/>
      <c r="D99" s="415" t="s">
        <v>48</v>
      </c>
      <c r="E99" s="415"/>
      <c r="F99" s="342"/>
      <c r="G99" s="179"/>
      <c r="H99" s="589" t="s">
        <v>35</v>
      </c>
      <c r="I99" s="269">
        <f ca="1">IFERROR(__xludf.DUMMYFUNCTION("IMPORTRANGE(""https://docs.google.com/spreadsheets/d/1QqKyyYR6Q21VydFLVH3TRQUabQu_ym0Zz7PgGX0-kHA/edit?usp=sharing"",""แผน!L25"")"),30)</f>
        <v>30</v>
      </c>
      <c r="J99" s="269">
        <f>J104</f>
        <v>0</v>
      </c>
      <c r="K99" s="465">
        <f t="shared" ca="1" si="55"/>
        <v>0</v>
      </c>
      <c r="L99" s="465"/>
      <c r="M99" s="465"/>
      <c r="N99" s="465"/>
      <c r="O99" s="163"/>
      <c r="P99" s="163"/>
    </row>
    <row r="100" spans="1:16" ht="18.75">
      <c r="A100" s="170"/>
      <c r="B100" s="171"/>
      <c r="C100" s="171"/>
      <c r="D100" s="171"/>
      <c r="E100" s="342"/>
      <c r="F100" s="342"/>
      <c r="G100" s="179"/>
      <c r="H100" s="589" t="s">
        <v>49</v>
      </c>
      <c r="I100" s="269">
        <f ca="1">IFERROR(__xludf.DUMMYFUNCTION("IMPORTRANGE(""https://docs.google.com/spreadsheets/d/1QqKyyYR6Q21VydFLVH3TRQUabQu_ym0Zz7PgGX0-kHA/edit?usp=sharing"",""แผน!M25"")"),0)</f>
        <v>0</v>
      </c>
      <c r="J100" s="269">
        <f>J107+J110</f>
        <v>0</v>
      </c>
      <c r="K100" s="465">
        <f t="shared" ca="1" si="55"/>
        <v>0</v>
      </c>
      <c r="L100" s="465"/>
      <c r="M100" s="465"/>
      <c r="N100" s="465"/>
      <c r="O100" s="163"/>
      <c r="P100" s="163"/>
    </row>
    <row r="101" spans="1:16" ht="19.5">
      <c r="A101" s="170"/>
      <c r="B101" s="171"/>
      <c r="C101" s="171"/>
      <c r="D101" s="342"/>
      <c r="E101" s="191" t="s">
        <v>50</v>
      </c>
      <c r="F101" s="342"/>
      <c r="G101" s="179"/>
      <c r="H101" s="589"/>
      <c r="I101" s="269"/>
      <c r="J101" s="269"/>
      <c r="K101" s="465"/>
      <c r="L101" s="465"/>
      <c r="M101" s="465"/>
      <c r="N101" s="465"/>
      <c r="O101" s="163"/>
      <c r="P101" s="163"/>
    </row>
    <row r="102" spans="1:16" ht="18.75">
      <c r="A102" s="170"/>
      <c r="B102" s="171"/>
      <c r="C102" s="171"/>
      <c r="D102" s="342"/>
      <c r="E102" s="592" t="s">
        <v>47</v>
      </c>
      <c r="F102" s="342"/>
      <c r="G102" s="179"/>
      <c r="H102" s="589" t="s">
        <v>46</v>
      </c>
      <c r="I102" s="269">
        <f ca="1">IFERROR(__xludf.DUMMYFUNCTION("IMPORTRANGE(""https://docs.google.com/spreadsheets/d/1QqKyyYR6Q21VydFLVH3TRQUabQu_ym0Zz7PgGX0-kHA/edit?usp=sharing"",""แผน!N25"")"),90)</f>
        <v>90</v>
      </c>
      <c r="J102" s="214">
        <v>0</v>
      </c>
      <c r="K102" s="465">
        <f t="shared" ref="K102:K104" ca="1" si="56">IF(I102&gt;0,J102*100/I102,0)</f>
        <v>0</v>
      </c>
      <c r="L102" s="465"/>
      <c r="M102" s="465"/>
      <c r="N102" s="465"/>
      <c r="O102" s="163"/>
      <c r="P102" s="163"/>
    </row>
    <row r="103" spans="1:16" ht="19.5">
      <c r="A103" s="170"/>
      <c r="B103" s="171"/>
      <c r="C103" s="171"/>
      <c r="D103" s="342"/>
      <c r="E103" s="415" t="s">
        <v>51</v>
      </c>
      <c r="F103" s="342"/>
      <c r="G103" s="179"/>
      <c r="H103" s="589" t="s">
        <v>35</v>
      </c>
      <c r="I103" s="269">
        <f ca="1">IFERROR(__xludf.DUMMYFUNCTION("IMPORTRANGE(""https://docs.google.com/spreadsheets/d/1QqKyyYR6Q21VydFLVH3TRQUabQu_ym0Zz7PgGX0-kHA/edit?usp=sharing"",""แผน!O25"")"),30)</f>
        <v>30</v>
      </c>
      <c r="J103" s="214">
        <v>0</v>
      </c>
      <c r="K103" s="465">
        <f t="shared" ca="1" si="56"/>
        <v>0</v>
      </c>
      <c r="L103" s="465"/>
      <c r="M103" s="465"/>
      <c r="N103" s="465"/>
      <c r="O103" s="163"/>
      <c r="P103" s="163"/>
    </row>
    <row r="104" spans="1:16" ht="18.75">
      <c r="A104" s="170"/>
      <c r="B104" s="171"/>
      <c r="C104" s="171"/>
      <c r="D104" s="342"/>
      <c r="E104" s="188" t="s">
        <v>52</v>
      </c>
      <c r="F104" s="342"/>
      <c r="G104" s="179"/>
      <c r="H104" s="589" t="s">
        <v>35</v>
      </c>
      <c r="I104" s="269">
        <f ca="1">IFERROR(__xludf.DUMMYFUNCTION("IMPORTRANGE(""https://docs.google.com/spreadsheets/d/1QqKyyYR6Q21VydFLVH3TRQUabQu_ym0Zz7PgGX0-kHA/edit?usp=sharing"",""แผน!O25"")"),30)</f>
        <v>30</v>
      </c>
      <c r="J104" s="214">
        <v>0</v>
      </c>
      <c r="K104" s="465">
        <f t="shared" ca="1" si="56"/>
        <v>0</v>
      </c>
      <c r="L104" s="465"/>
      <c r="M104" s="465"/>
      <c r="N104" s="465"/>
      <c r="O104" s="163"/>
      <c r="P104" s="163"/>
    </row>
    <row r="105" spans="1:16" ht="19.5">
      <c r="A105" s="170"/>
      <c r="B105" s="171"/>
      <c r="C105" s="171"/>
      <c r="D105" s="342"/>
      <c r="E105" s="191" t="s">
        <v>53</v>
      </c>
      <c r="F105" s="342"/>
      <c r="G105" s="179"/>
      <c r="H105" s="189"/>
      <c r="I105" s="269"/>
      <c r="J105" s="269"/>
      <c r="K105" s="465"/>
      <c r="L105" s="465"/>
      <c r="M105" s="465"/>
      <c r="N105" s="465"/>
      <c r="O105" s="163"/>
      <c r="P105" s="163"/>
    </row>
    <row r="106" spans="1:16" ht="19.5">
      <c r="A106" s="170"/>
      <c r="B106" s="171"/>
      <c r="C106" s="171"/>
      <c r="D106" s="342"/>
      <c r="E106" s="415" t="s">
        <v>54</v>
      </c>
      <c r="F106" s="342"/>
      <c r="G106" s="179"/>
      <c r="H106" s="589" t="s">
        <v>49</v>
      </c>
      <c r="I106" s="269">
        <f ca="1">IFERROR(__xludf.DUMMYFUNCTION("IMPORTRANGE(""https://docs.google.com/spreadsheets/d/1QqKyyYR6Q21VydFLVH3TRQUabQu_ym0Zz7PgGX0-kHA/edit?usp=sharing"",""แผน!P25"")"),0)</f>
        <v>0</v>
      </c>
      <c r="J106" s="214">
        <v>0</v>
      </c>
      <c r="K106" s="465">
        <f t="shared" ref="K106:K107" ca="1" si="57">IF(I106&gt;0,J106*100/I106,0)</f>
        <v>0</v>
      </c>
      <c r="L106" s="465"/>
      <c r="M106" s="465"/>
      <c r="N106" s="465"/>
      <c r="O106" s="163"/>
      <c r="P106" s="163"/>
    </row>
    <row r="107" spans="1:16" ht="18.75">
      <c r="A107" s="170"/>
      <c r="B107" s="171"/>
      <c r="C107" s="171"/>
      <c r="D107" s="342"/>
      <c r="E107" s="188" t="s">
        <v>55</v>
      </c>
      <c r="F107" s="342"/>
      <c r="G107" s="179"/>
      <c r="H107" s="589" t="s">
        <v>49</v>
      </c>
      <c r="I107" s="269">
        <f ca="1">IFERROR(__xludf.DUMMYFUNCTION("IMPORTRANGE(""https://docs.google.com/spreadsheets/d/1QqKyyYR6Q21VydFLVH3TRQUabQu_ym0Zz7PgGX0-kHA/edit?usp=sharing"",""แผน!P25"")"),0)</f>
        <v>0</v>
      </c>
      <c r="J107" s="214">
        <v>0</v>
      </c>
      <c r="K107" s="465">
        <f t="shared" ca="1" si="57"/>
        <v>0</v>
      </c>
      <c r="L107" s="465"/>
      <c r="M107" s="465"/>
      <c r="N107" s="465"/>
      <c r="O107" s="163"/>
      <c r="P107" s="163"/>
    </row>
    <row r="108" spans="1:16" ht="19.5">
      <c r="A108" s="170"/>
      <c r="B108" s="171"/>
      <c r="C108" s="171"/>
      <c r="D108" s="342"/>
      <c r="E108" s="191" t="s">
        <v>56</v>
      </c>
      <c r="F108" s="342"/>
      <c r="G108" s="179"/>
      <c r="H108" s="189"/>
      <c r="I108" s="269"/>
      <c r="J108" s="269"/>
      <c r="K108" s="465"/>
      <c r="L108" s="465"/>
      <c r="M108" s="465"/>
      <c r="N108" s="465"/>
      <c r="O108" s="163"/>
      <c r="P108" s="163"/>
    </row>
    <row r="109" spans="1:16" ht="19.5">
      <c r="A109" s="170"/>
      <c r="B109" s="171"/>
      <c r="C109" s="171"/>
      <c r="D109" s="342"/>
      <c r="E109" s="415" t="s">
        <v>57</v>
      </c>
      <c r="F109" s="342"/>
      <c r="G109" s="179"/>
      <c r="H109" s="589" t="s">
        <v>49</v>
      </c>
      <c r="I109" s="269">
        <f ca="1">IFERROR(__xludf.DUMMYFUNCTION("IMPORTRANGE(""https://docs.google.com/spreadsheets/d/1QqKyyYR6Q21VydFLVH3TRQUabQu_ym0Zz7PgGX0-kHA/edit?usp=sharing"",""แผน!Q25"")"),0)</f>
        <v>0</v>
      </c>
      <c r="J109" s="214">
        <v>0</v>
      </c>
      <c r="K109" s="465">
        <f t="shared" ref="K109:K116" ca="1" si="58">IF(I109&gt;0,J109*100/I109,0)</f>
        <v>0</v>
      </c>
      <c r="L109" s="465"/>
      <c r="M109" s="465"/>
      <c r="N109" s="465"/>
      <c r="O109" s="163"/>
      <c r="P109" s="163"/>
    </row>
    <row r="110" spans="1:16" ht="18.75">
      <c r="A110" s="170"/>
      <c r="B110" s="171"/>
      <c r="C110" s="171"/>
      <c r="D110" s="342"/>
      <c r="E110" s="190" t="s">
        <v>58</v>
      </c>
      <c r="F110" s="342"/>
      <c r="G110" s="179"/>
      <c r="H110" s="589" t="s">
        <v>49</v>
      </c>
      <c r="I110" s="269">
        <f ca="1">IFERROR(__xludf.DUMMYFUNCTION("IMPORTRANGE(""https://docs.google.com/spreadsheets/d/1QqKyyYR6Q21VydFLVH3TRQUabQu_ym0Zz7PgGX0-kHA/edit?usp=sharing"",""แผน!Q25"")"),0)</f>
        <v>0</v>
      </c>
      <c r="J110" s="214">
        <v>0</v>
      </c>
      <c r="K110" s="465">
        <f t="shared" ca="1" si="58"/>
        <v>0</v>
      </c>
      <c r="L110" s="465"/>
      <c r="M110" s="465"/>
      <c r="N110" s="465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342"/>
      <c r="G111" s="179"/>
      <c r="H111" s="731" t="s">
        <v>35</v>
      </c>
      <c r="I111" s="193">
        <f ca="1">IFERROR(__xludf.DUMMYFUNCTION("IMPORTRANGE(""https://docs.google.com/spreadsheets/d/1QqKyyYR6Q21VydFLVH3TRQUabQu_ym0Zz7PgGX0-kHA/edit?usp=sharing"",""แผน!R25"")"),30)</f>
        <v>30</v>
      </c>
      <c r="J111" s="647">
        <f>J114</f>
        <v>0</v>
      </c>
      <c r="K111" s="195">
        <f t="shared" ca="1" si="58"/>
        <v>0</v>
      </c>
      <c r="L111" s="465"/>
      <c r="M111" s="465"/>
      <c r="N111" s="465"/>
      <c r="O111" s="163"/>
      <c r="P111" s="163"/>
    </row>
    <row r="112" spans="1:16" ht="19.5">
      <c r="A112" s="170"/>
      <c r="B112" s="171"/>
      <c r="C112" s="171"/>
      <c r="D112" s="171"/>
      <c r="E112" s="342"/>
      <c r="F112" s="342"/>
      <c r="G112" s="179"/>
      <c r="H112" s="196" t="s">
        <v>49</v>
      </c>
      <c r="I112" s="193">
        <f t="shared" ref="I112:J112" ca="1" si="59">I115+I116</f>
        <v>0</v>
      </c>
      <c r="J112" s="647">
        <f t="shared" si="59"/>
        <v>0</v>
      </c>
      <c r="K112" s="195">
        <f t="shared" ca="1" si="58"/>
        <v>0</v>
      </c>
      <c r="L112" s="465"/>
      <c r="M112" s="465"/>
      <c r="N112" s="465"/>
      <c r="O112" s="163"/>
      <c r="P112" s="163"/>
    </row>
    <row r="113" spans="1:26" ht="19.5">
      <c r="A113" s="170"/>
      <c r="B113" s="171"/>
      <c r="C113" s="171"/>
      <c r="D113" s="171"/>
      <c r="E113" s="494" t="s">
        <v>60</v>
      </c>
      <c r="F113" s="342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IFERROR(__xludf.DUMMYFUNCTION("IMPORTRANGE(""https://docs.google.com/spreadsheets/d/1QqKyyYR6Q21VydFLVH3TRQUabQu_ym0Zz7PgGX0-kHA/edit?usp=sharing"",""แผน!R25"")"),30)</f>
        <v>30</v>
      </c>
      <c r="J113" s="214">
        <v>0</v>
      </c>
      <c r="K113" s="465">
        <f t="shared" ca="1" si="58"/>
        <v>0</v>
      </c>
      <c r="L113" s="465"/>
      <c r="M113" s="465"/>
      <c r="N113" s="465"/>
      <c r="O113" s="163"/>
      <c r="P113" s="163"/>
    </row>
    <row r="114" spans="1:26" ht="19.5">
      <c r="A114" s="170"/>
      <c r="B114" s="171"/>
      <c r="C114" s="171"/>
      <c r="D114" s="171"/>
      <c r="E114" s="415" t="s">
        <v>61</v>
      </c>
      <c r="F114" s="342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IFERROR(__xludf.DUMMYFUNCTION("IMPORTRANGE(""https://docs.google.com/spreadsheets/d/1QqKyyYR6Q21VydFLVH3TRQUabQu_ym0Zz7PgGX0-kHA/edit?usp=sharing"",""แผน!R25"")"),30)</f>
        <v>30</v>
      </c>
      <c r="J114" s="214">
        <v>0</v>
      </c>
      <c r="K114" s="465">
        <f t="shared" ca="1" si="58"/>
        <v>0</v>
      </c>
      <c r="L114" s="465"/>
      <c r="M114" s="465"/>
      <c r="N114" s="465"/>
      <c r="O114" s="163"/>
      <c r="P114" s="163"/>
    </row>
    <row r="115" spans="1:26" ht="18.75">
      <c r="A115" s="170"/>
      <c r="B115" s="171"/>
      <c r="C115" s="171"/>
      <c r="D115" s="171"/>
      <c r="E115" s="415" t="s">
        <v>62</v>
      </c>
      <c r="F115" s="342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IFERROR(__xludf.DUMMYFUNCTION("IMPORTRANGE(""https://docs.google.com/spreadsheets/d/1QqKyyYR6Q21VydFLVH3TRQUabQu_ym0Zz7PgGX0-kHA/edit?usp=sharing"",""แผน!S25"")"),0)</f>
        <v>0</v>
      </c>
      <c r="J115" s="214">
        <v>0</v>
      </c>
      <c r="K115" s="465">
        <f t="shared" ca="1" si="58"/>
        <v>0</v>
      </c>
      <c r="L115" s="465"/>
      <c r="M115" s="465"/>
      <c r="N115" s="465"/>
      <c r="O115" s="163"/>
      <c r="P115" s="163"/>
    </row>
    <row r="116" spans="1:26" ht="18.75">
      <c r="A116" s="170"/>
      <c r="B116" s="171"/>
      <c r="C116" s="171"/>
      <c r="D116" s="171"/>
      <c r="E116" s="415" t="s">
        <v>63</v>
      </c>
      <c r="F116" s="342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IFERROR(__xludf.DUMMYFUNCTION("IMPORTRANGE(""https://docs.google.com/spreadsheets/d/1QqKyyYR6Q21VydFLVH3TRQUabQu_ym0Zz7PgGX0-kHA/edit?usp=sharing"",""แผน!T25"")"),0)</f>
        <v>0</v>
      </c>
      <c r="J116" s="214">
        <v>0</v>
      </c>
      <c r="K116" s="465">
        <f t="shared" ca="1" si="58"/>
        <v>0</v>
      </c>
      <c r="L116" s="465"/>
      <c r="M116" s="465"/>
      <c r="N116" s="465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8" t="s">
        <v>65</v>
      </c>
      <c r="C118" s="204"/>
      <c r="D118" s="141"/>
      <c r="E118" s="140"/>
      <c r="F118" s="140"/>
      <c r="G118" s="142"/>
      <c r="H118" s="143"/>
      <c r="I118" s="205"/>
      <c r="J118" s="205"/>
      <c r="K118" s="146"/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17" t="s">
        <v>17</v>
      </c>
      <c r="E119" s="148"/>
      <c r="F119" s="148"/>
      <c r="G119" s="151"/>
      <c r="H119" s="152" t="s">
        <v>12</v>
      </c>
      <c r="I119" s="388"/>
      <c r="J119" s="388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2" t="s">
        <v>18</v>
      </c>
      <c r="F120" s="40"/>
      <c r="G120" s="157"/>
      <c r="H120" s="158" t="s">
        <v>12</v>
      </c>
      <c r="I120" s="583"/>
      <c r="J120" s="583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2" t="s">
        <v>19</v>
      </c>
      <c r="F121" s="40"/>
      <c r="G121" s="157"/>
      <c r="H121" s="158" t="s">
        <v>12</v>
      </c>
      <c r="I121" s="583"/>
      <c r="J121" s="583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1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65">
        <f t="shared" ref="L122:N122" ca="1" si="64">L123+L124</f>
        <v>0</v>
      </c>
      <c r="M122" s="465">
        <f t="shared" ca="1" si="64"/>
        <v>0</v>
      </c>
      <c r="N122" s="465">
        <f t="shared" ca="1" si="64"/>
        <v>0</v>
      </c>
      <c r="O122" s="465">
        <f t="shared" ca="1" si="61"/>
        <v>0</v>
      </c>
      <c r="P122" s="465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2"/>
      <c r="D123" s="40"/>
      <c r="E123" s="222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2"/>
      <c r="D124" s="40"/>
      <c r="E124" s="222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IFERROR(__xludf.DUMMYFUNCTION("IMPORTRANGE(""https://docs.google.com/spreadsheets/d/1MeEWN-I1oV_STSDYn1IFDPWt_1FKiwhDph83XaGc0o0/edit?usp=sharing"",""งบพรบ!BA25"")"),0)</f>
        <v>0</v>
      </c>
      <c r="M124" s="93">
        <f ca="1">IFERROR(__xludf.DUMMYFUNCTION("IMPORTRANGE(""https://docs.google.com/spreadsheets/d/1MeEWN-I1oV_STSDYn1IFDPWt_1FKiwhDph83XaGc0o0/edit?usp=sharing"",""งบพรบ!BF25"")"),0)</f>
        <v>0</v>
      </c>
      <c r="N124" s="93">
        <f ca="1">IFERROR(__xludf.DUMMYFUNCTION("IMPORTRANGE(""https://docs.google.com/spreadsheets/d/1MeEWN-I1oV_STSDYn1IFDPWt_1FKiwhDph83XaGc0o0/edit?usp=sharing"",""งบพรบ!BH25"")"),0)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1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65">
        <f t="shared" ref="L125:N125" ca="1" si="65">L126+L127</f>
        <v>0</v>
      </c>
      <c r="M125" s="465">
        <f t="shared" ca="1" si="65"/>
        <v>0</v>
      </c>
      <c r="N125" s="465">
        <f t="shared" ca="1" si="65"/>
        <v>0</v>
      </c>
      <c r="O125" s="465">
        <f t="shared" ca="1" si="61"/>
        <v>0</v>
      </c>
      <c r="P125" s="465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2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2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IFERROR(__xludf.DUMMYFUNCTION("IMPORTRANGE(""https://docs.google.com/spreadsheets/d/1MeEWN-I1oV_STSDYn1IFDPWt_1FKiwhDph83XaGc0o0/edit?usp=sharing"",""งบพรบ!BD25"")"),0)</f>
        <v>0</v>
      </c>
      <c r="M127" s="93">
        <f ca="1">IFERROR(__xludf.DUMMYFUNCTION("IMPORTRANGE(""https://docs.google.com/spreadsheets/d/1MeEWN-I1oV_STSDYn1IFDPWt_1FKiwhDph83XaGc0o0/edit?usp=sharing"",""งบพรบ!BG25"")"),0)</f>
        <v>0</v>
      </c>
      <c r="N127" s="93">
        <f ca="1">IFERROR(__xludf.DUMMYFUNCTION("IMPORTRANGE(""https://docs.google.com/spreadsheets/d/1MeEWN-I1oV_STSDYn1IFDPWt_1FKiwhDph83XaGc0o0/edit?usp=sharing"",""งบพรบ!BI25"")"),0)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66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8" t="s">
        <v>67</v>
      </c>
      <c r="C129" s="204"/>
      <c r="D129" s="141"/>
      <c r="E129" s="140"/>
      <c r="F129" s="140"/>
      <c r="G129" s="140"/>
      <c r="H129" s="207"/>
      <c r="I129" s="205"/>
      <c r="J129" s="205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8"/>
      <c r="C130" s="209" t="s">
        <v>68</v>
      </c>
      <c r="D130" s="141"/>
      <c r="E130" s="140"/>
      <c r="F130" s="140"/>
      <c r="G130" s="142"/>
      <c r="H130" s="143" t="s">
        <v>69</v>
      </c>
      <c r="I130" s="144">
        <f t="shared" ref="I130:J130" ca="1" si="66">I146</f>
        <v>0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8"/>
      <c r="C131" s="209" t="s">
        <v>70</v>
      </c>
      <c r="D131" s="141"/>
      <c r="E131" s="140"/>
      <c r="F131" s="140"/>
      <c r="G131" s="142"/>
      <c r="H131" s="143" t="s">
        <v>35</v>
      </c>
      <c r="I131" s="144">
        <f t="shared" ref="I131:J131" ca="1" si="68">I143</f>
        <v>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817" t="s">
        <v>17</v>
      </c>
      <c r="E132" s="148"/>
      <c r="F132" s="148"/>
      <c r="G132" s="151"/>
      <c r="H132" s="152" t="s">
        <v>12</v>
      </c>
      <c r="I132" s="388"/>
      <c r="J132" s="388"/>
      <c r="K132" s="154"/>
      <c r="L132" s="155">
        <f t="shared" ref="L132:N132" ca="1" si="69">L133+L134</f>
        <v>0</v>
      </c>
      <c r="M132" s="155">
        <f t="shared" ca="1" si="69"/>
        <v>0</v>
      </c>
      <c r="N132" s="155">
        <f t="shared" ca="1" si="69"/>
        <v>0</v>
      </c>
      <c r="O132" s="155">
        <f t="shared" ref="O132:O140" ca="1" si="70">IF(L132&gt;0,N132*100/L132,0)</f>
        <v>0</v>
      </c>
      <c r="P132" s="155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2" t="s">
        <v>18</v>
      </c>
      <c r="F133" s="40"/>
      <c r="G133" s="157"/>
      <c r="H133" s="158" t="s">
        <v>12</v>
      </c>
      <c r="I133" s="583"/>
      <c r="J133" s="583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2" t="s">
        <v>19</v>
      </c>
      <c r="F134" s="40"/>
      <c r="G134" s="157"/>
      <c r="H134" s="158" t="s">
        <v>12</v>
      </c>
      <c r="I134" s="583"/>
      <c r="J134" s="583"/>
      <c r="K134" s="93"/>
      <c r="L134" s="93">
        <f t="shared" ca="1" si="72"/>
        <v>0</v>
      </c>
      <c r="M134" s="93">
        <f t="shared" ca="1" si="72"/>
        <v>0</v>
      </c>
      <c r="N134" s="93">
        <f t="shared" ca="1" si="72"/>
        <v>0</v>
      </c>
      <c r="O134" s="93">
        <f t="shared" ca="1" si="70"/>
        <v>0</v>
      </c>
      <c r="P134" s="93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1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65">
        <f t="shared" ref="L135:N135" ca="1" si="73">L136+L137</f>
        <v>0</v>
      </c>
      <c r="M135" s="465">
        <f t="shared" ca="1" si="73"/>
        <v>0</v>
      </c>
      <c r="N135" s="465">
        <f t="shared" ca="1" si="73"/>
        <v>0</v>
      </c>
      <c r="O135" s="465">
        <f t="shared" ca="1" si="70"/>
        <v>0</v>
      </c>
      <c r="P135" s="465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2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2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IFERROR(__xludf.DUMMYFUNCTION("IMPORTRANGE(""https://docs.google.com/spreadsheets/d/1MeEWN-I1oV_STSDYn1IFDPWt_1FKiwhDph83XaGc0o0/edit?usp=sharing"",""งบพรบ!BK25"")"),0)</f>
        <v>0</v>
      </c>
      <c r="M137" s="93">
        <f ca="1">IFERROR(__xludf.DUMMYFUNCTION("IMPORTRANGE(""https://docs.google.com/spreadsheets/d/1MeEWN-I1oV_STSDYn1IFDPWt_1FKiwhDph83XaGc0o0/edit?usp=sharing"",""งบพรบ!BP25"")"),0)</f>
        <v>0</v>
      </c>
      <c r="N137" s="93">
        <f ca="1">IFERROR(__xludf.DUMMYFUNCTION("IMPORTRANGE(""https://docs.google.com/spreadsheets/d/1MeEWN-I1oV_STSDYn1IFDPWt_1FKiwhDph83XaGc0o0/edit?usp=sharing"",""งบพรบ!BR25"")"),0)</f>
        <v>0</v>
      </c>
      <c r="O137" s="93">
        <f t="shared" ca="1" si="70"/>
        <v>0</v>
      </c>
      <c r="P137" s="93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1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65">
        <f t="shared" ref="L138:N138" ca="1" si="74">L139+L140</f>
        <v>0</v>
      </c>
      <c r="M138" s="465">
        <f t="shared" ca="1" si="74"/>
        <v>0</v>
      </c>
      <c r="N138" s="465">
        <f t="shared" ca="1" si="74"/>
        <v>0</v>
      </c>
      <c r="O138" s="465">
        <f t="shared" ca="1" si="70"/>
        <v>0</v>
      </c>
      <c r="P138" s="465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2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2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IFERROR(__xludf.DUMMYFUNCTION("IMPORTRANGE(""https://docs.google.com/spreadsheets/d/1MeEWN-I1oV_STSDYn1IFDPWt_1FKiwhDph83XaGc0o0/edit?usp=sharing"",""งบพรบ!BN25"")"),0)</f>
        <v>0</v>
      </c>
      <c r="M140" s="93">
        <f ca="1">IFERROR(__xludf.DUMMYFUNCTION("IMPORTRANGE(""https://docs.google.com/spreadsheets/d/1MeEWN-I1oV_STSDYn1IFDPWt_1FKiwhDph83XaGc0o0/edit?usp=sharing"",""งบพรบ!BQ25"")"),0)</f>
        <v>0</v>
      </c>
      <c r="N140" s="93">
        <f ca="1">IFERROR(__xludf.DUMMYFUNCTION("IMPORTRANGE(""https://docs.google.com/spreadsheets/d/1MeEWN-I1oV_STSDYn1IFDPWt_1FKiwhDph83XaGc0o0/edit?usp=sharing"",""งบพรบ!BS25"")"),0)</f>
        <v>0</v>
      </c>
      <c r="O140" s="93">
        <f t="shared" ca="1" si="70"/>
        <v>0</v>
      </c>
      <c r="P140" s="93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818" t="s">
        <v>38</v>
      </c>
      <c r="E141" s="173"/>
      <c r="F141" s="173"/>
      <c r="G141" s="174"/>
      <c r="H141" s="168"/>
      <c r="I141" s="269"/>
      <c r="J141" s="269"/>
      <c r="K141" s="465"/>
      <c r="L141" s="465"/>
      <c r="M141" s="465"/>
      <c r="N141" s="465"/>
      <c r="O141" s="465"/>
      <c r="P141" s="465"/>
    </row>
    <row r="142" spans="1:26" ht="19.5" hidden="1">
      <c r="A142" s="159"/>
      <c r="B142" s="33"/>
      <c r="C142" s="210"/>
      <c r="D142" s="281" t="s">
        <v>71</v>
      </c>
      <c r="E142" s="34"/>
      <c r="F142" s="33"/>
      <c r="G142" s="213"/>
      <c r="H142" s="168"/>
      <c r="I142" s="269"/>
      <c r="J142" s="214">
        <v>0</v>
      </c>
      <c r="K142" s="465"/>
      <c r="L142" s="465"/>
      <c r="M142" s="465"/>
      <c r="N142" s="465"/>
      <c r="O142" s="465"/>
      <c r="P142" s="465"/>
    </row>
    <row r="143" spans="1:26" ht="19.5" hidden="1">
      <c r="A143" s="159"/>
      <c r="B143" s="33"/>
      <c r="C143" s="210"/>
      <c r="D143" s="281" t="s">
        <v>72</v>
      </c>
      <c r="E143" s="34"/>
      <c r="F143" s="33"/>
      <c r="G143" s="213"/>
      <c r="H143" s="168" t="s">
        <v>35</v>
      </c>
      <c r="I143" s="269">
        <f ca="1">I145</f>
        <v>0</v>
      </c>
      <c r="J143" s="269">
        <f ca="1">IF(AND(J144&gt;=I144,J145&gt;=I145),J145,0)</f>
        <v>0</v>
      </c>
      <c r="K143" s="465">
        <f t="shared" ref="K143:K146" ca="1" si="75">IF(I143&gt;0,J143*100/I143,0)</f>
        <v>0</v>
      </c>
      <c r="L143" s="465"/>
      <c r="M143" s="465"/>
      <c r="N143" s="465"/>
      <c r="O143" s="465"/>
      <c r="P143" s="465"/>
    </row>
    <row r="144" spans="1:26" ht="19.5" hidden="1">
      <c r="A144" s="159"/>
      <c r="B144" s="33"/>
      <c r="C144" s="210"/>
      <c r="D144" s="342"/>
      <c r="E144" s="281" t="s">
        <v>73</v>
      </c>
      <c r="F144" s="33"/>
      <c r="G144" s="213"/>
      <c r="H144" s="168" t="s">
        <v>35</v>
      </c>
      <c r="I144" s="269">
        <f ca="1">IFERROR(__xludf.DUMMYFUNCTION("IMPORTRANGE(""https://docs.google.com/spreadsheets/d/1QqKyyYR6Q21VydFLVH3TRQUabQu_ym0Zz7PgGX0-kHA/edit?usp=sharing"",""แผน!U25"")"),0)</f>
        <v>0</v>
      </c>
      <c r="J144" s="214">
        <v>0</v>
      </c>
      <c r="K144" s="465">
        <f t="shared" ca="1" si="75"/>
        <v>0</v>
      </c>
      <c r="L144" s="465"/>
      <c r="M144" s="465"/>
      <c r="N144" s="465"/>
      <c r="O144" s="465"/>
      <c r="P144" s="465"/>
    </row>
    <row r="145" spans="1:26" ht="19.5" hidden="1">
      <c r="A145" s="159"/>
      <c r="B145" s="33"/>
      <c r="C145" s="210"/>
      <c r="D145" s="342"/>
      <c r="E145" s="281" t="s">
        <v>74</v>
      </c>
      <c r="F145" s="33"/>
      <c r="G145" s="213"/>
      <c r="H145" s="168" t="s">
        <v>35</v>
      </c>
      <c r="I145" s="269">
        <f ca="1">IFERROR(__xludf.DUMMYFUNCTION("IMPORTRANGE(""https://docs.google.com/spreadsheets/d/1QqKyyYR6Q21VydFLVH3TRQUabQu_ym0Zz7PgGX0-kHA/edit?usp=sharing"",""แผน!V25"")"),0)</f>
        <v>0</v>
      </c>
      <c r="J145" s="214">
        <v>0</v>
      </c>
      <c r="K145" s="465">
        <f t="shared" ca="1" si="75"/>
        <v>0</v>
      </c>
      <c r="L145" s="465"/>
      <c r="M145" s="465"/>
      <c r="N145" s="465"/>
      <c r="O145" s="465"/>
      <c r="P145" s="465"/>
    </row>
    <row r="146" spans="1:26" ht="19.5" hidden="1">
      <c r="A146" s="159"/>
      <c r="B146" s="33"/>
      <c r="C146" s="210"/>
      <c r="D146" s="281" t="s">
        <v>75</v>
      </c>
      <c r="E146" s="34"/>
      <c r="F146" s="33"/>
      <c r="G146" s="213"/>
      <c r="H146" s="168" t="s">
        <v>69</v>
      </c>
      <c r="I146" s="269">
        <f ca="1">IFERROR(__xludf.DUMMYFUNCTION("IMPORTRANGE(""https://docs.google.com/spreadsheets/d/1QqKyyYR6Q21VydFLVH3TRQUabQu_ym0Zz7PgGX0-kHA/edit?usp=sharing"",""แผน!W25"")"),0)</f>
        <v>0</v>
      </c>
      <c r="J146" s="214">
        <v>0</v>
      </c>
      <c r="K146" s="465">
        <f t="shared" ca="1" si="75"/>
        <v>0</v>
      </c>
      <c r="L146" s="465"/>
      <c r="M146" s="465"/>
      <c r="N146" s="465"/>
      <c r="O146" s="465"/>
      <c r="P146" s="465"/>
    </row>
    <row r="147" spans="1:26" ht="19.5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>
      <c r="A148" s="216"/>
      <c r="B148" s="208" t="s">
        <v>77</v>
      </c>
      <c r="C148" s="208"/>
      <c r="D148" s="208"/>
      <c r="E148" s="819"/>
      <c r="F148" s="218"/>
      <c r="G148" s="219"/>
      <c r="H148" s="220" t="s">
        <v>35</v>
      </c>
      <c r="I148" s="144">
        <f t="shared" ref="I148:J148" ca="1" si="76">I159</f>
        <v>20</v>
      </c>
      <c r="J148" s="144">
        <f t="shared" si="76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1"/>
      <c r="R148" s="221"/>
      <c r="S148" s="221"/>
      <c r="T148" s="221"/>
      <c r="U148" s="221"/>
      <c r="V148" s="221"/>
      <c r="W148" s="221"/>
      <c r="X148" s="221"/>
      <c r="Y148" s="221"/>
      <c r="Z148" s="221"/>
    </row>
    <row r="149" spans="1:26" ht="19.5">
      <c r="A149" s="147"/>
      <c r="B149" s="148"/>
      <c r="C149" s="149" t="s">
        <v>16</v>
      </c>
      <c r="D149" s="817" t="s">
        <v>17</v>
      </c>
      <c r="E149" s="148"/>
      <c r="F149" s="148"/>
      <c r="G149" s="151"/>
      <c r="H149" s="152" t="s">
        <v>12</v>
      </c>
      <c r="I149" s="388"/>
      <c r="J149" s="388"/>
      <c r="K149" s="154"/>
      <c r="L149" s="155">
        <f t="shared" ref="L149:N149" ca="1" si="77">L150+L151</f>
        <v>10000</v>
      </c>
      <c r="M149" s="155">
        <f t="shared" ca="1" si="77"/>
        <v>10000</v>
      </c>
      <c r="N149" s="155">
        <f t="shared" ca="1" si="77"/>
        <v>0</v>
      </c>
      <c r="O149" s="155">
        <f t="shared" ref="O149:O157" ca="1" si="78">IF(L149&gt;0,N149*100/L149,0)</f>
        <v>0</v>
      </c>
      <c r="P149" s="155">
        <f t="shared" ref="P149:P157" ca="1" si="79">IF(M149&gt;0,N149*100/M149,0)</f>
        <v>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2" t="s">
        <v>18</v>
      </c>
      <c r="F150" s="40"/>
      <c r="G150" s="157"/>
      <c r="H150" s="158" t="s">
        <v>12</v>
      </c>
      <c r="I150" s="583"/>
      <c r="J150" s="583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2" t="s">
        <v>19</v>
      </c>
      <c r="F151" s="40"/>
      <c r="G151" s="157"/>
      <c r="H151" s="158" t="s">
        <v>12</v>
      </c>
      <c r="I151" s="583"/>
      <c r="J151" s="583"/>
      <c r="K151" s="93"/>
      <c r="L151" s="93">
        <f t="shared" ca="1" si="80"/>
        <v>10000</v>
      </c>
      <c r="M151" s="93">
        <f t="shared" ca="1" si="80"/>
        <v>10000</v>
      </c>
      <c r="N151" s="93">
        <f t="shared" ca="1" si="80"/>
        <v>0</v>
      </c>
      <c r="O151" s="93">
        <f t="shared" ca="1" si="78"/>
        <v>0</v>
      </c>
      <c r="P151" s="93">
        <f t="shared" ca="1" si="79"/>
        <v>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>
      <c r="A152" s="159"/>
      <c r="B152" s="33"/>
      <c r="C152" s="281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65">
        <f t="shared" ref="L152:N152" ca="1" si="81">L153+L154</f>
        <v>10000</v>
      </c>
      <c r="M152" s="465">
        <f t="shared" ca="1" si="81"/>
        <v>10000</v>
      </c>
      <c r="N152" s="465">
        <f t="shared" ca="1" si="81"/>
        <v>0</v>
      </c>
      <c r="O152" s="465">
        <f t="shared" ca="1" si="78"/>
        <v>0</v>
      </c>
      <c r="P152" s="465">
        <f t="shared" ca="1" si="79"/>
        <v>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2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2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IFERROR(__xludf.DUMMYFUNCTION("IMPORTRANGE(""https://docs.google.com/spreadsheets/d/1MeEWN-I1oV_STSDYn1IFDPWt_1FKiwhDph83XaGc0o0/edit?usp=sharing"",""งบพรบ!BU25"")"),10000)</f>
        <v>10000</v>
      </c>
      <c r="M154" s="93">
        <f ca="1">IFERROR(__xludf.DUMMYFUNCTION("IMPORTRANGE(""https://docs.google.com/spreadsheets/d/1MeEWN-I1oV_STSDYn1IFDPWt_1FKiwhDph83XaGc0o0/edit?usp=sharing"",""งบพรบ!BZ25"")"),10000)</f>
        <v>10000</v>
      </c>
      <c r="N154" s="93">
        <f ca="1">IFERROR(__xludf.DUMMYFUNCTION("IMPORTRANGE(""https://docs.google.com/spreadsheets/d/1MeEWN-I1oV_STSDYn1IFDPWt_1FKiwhDph83XaGc0o0/edit?usp=sharing"",""งบพรบ!CB25"")"),0)</f>
        <v>0</v>
      </c>
      <c r="O154" s="93">
        <f t="shared" ca="1" si="78"/>
        <v>0</v>
      </c>
      <c r="P154" s="93">
        <f t="shared" ca="1" si="79"/>
        <v>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>
      <c r="A155" s="159"/>
      <c r="B155" s="33"/>
      <c r="C155" s="281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65">
        <f t="shared" ref="L155:N155" ca="1" si="82">L156+L157</f>
        <v>0</v>
      </c>
      <c r="M155" s="465">
        <f t="shared" ca="1" si="82"/>
        <v>0</v>
      </c>
      <c r="N155" s="465">
        <f t="shared" ca="1" si="82"/>
        <v>0</v>
      </c>
      <c r="O155" s="465">
        <f t="shared" ca="1" si="78"/>
        <v>0</v>
      </c>
      <c r="P155" s="465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2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2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IFERROR(__xludf.DUMMYFUNCTION("IMPORTRANGE(""https://docs.google.com/spreadsheets/d/1MeEWN-I1oV_STSDYn1IFDPWt_1FKiwhDph83XaGc0o0/edit?usp=sharing"",""งบพรบ!BX25"")"),0)</f>
        <v>0</v>
      </c>
      <c r="M157" s="93">
        <f ca="1">IFERROR(__xludf.DUMMYFUNCTION("IMPORTRANGE(""https://docs.google.com/spreadsheets/d/1MeEWN-I1oV_STSDYn1IFDPWt_1FKiwhDph83XaGc0o0/edit?usp=sharing"",""งบพรบ!CA25"")"),0)</f>
        <v>0</v>
      </c>
      <c r="N157" s="93">
        <f ca="1">IFERROR(__xludf.DUMMYFUNCTION("IMPORTRANGE(""https://docs.google.com/spreadsheets/d/1MeEWN-I1oV_STSDYn1IFDPWt_1FKiwhDph83XaGc0o0/edit?usp=sharing"",""งบพรบ!CC25"")"),0)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>
      <c r="A158" s="170"/>
      <c r="B158" s="171"/>
      <c r="C158" s="164" t="s">
        <v>16</v>
      </c>
      <c r="D158" s="818" t="s">
        <v>38</v>
      </c>
      <c r="E158" s="173"/>
      <c r="F158" s="173"/>
      <c r="G158" s="174"/>
      <c r="H158" s="168"/>
      <c r="I158" s="269"/>
      <c r="J158" s="269"/>
      <c r="K158" s="465"/>
      <c r="L158" s="465"/>
      <c r="M158" s="465"/>
      <c r="N158" s="465"/>
      <c r="O158" s="465"/>
      <c r="P158" s="465"/>
    </row>
    <row r="159" spans="1:26" ht="19.5">
      <c r="A159" s="159"/>
      <c r="B159" s="33"/>
      <c r="C159" s="210"/>
      <c r="D159" s="281" t="s">
        <v>78</v>
      </c>
      <c r="E159" s="34"/>
      <c r="F159" s="33"/>
      <c r="G159" s="213"/>
      <c r="H159" s="168" t="s">
        <v>35</v>
      </c>
      <c r="I159" s="269">
        <f ca="1">IFERROR(__xludf.DUMMYFUNCTION("IMPORTRANGE(""https://docs.google.com/spreadsheets/d/1QqKyyYR6Q21VydFLVH3TRQUabQu_ym0Zz7PgGX0-kHA/edit?usp=sharing"",""แผน!X25"")"),20)</f>
        <v>20</v>
      </c>
      <c r="J159" s="214">
        <v>0</v>
      </c>
      <c r="K159" s="465">
        <f ca="1">IF(I159&gt;0,J159*100/I159,0)</f>
        <v>0</v>
      </c>
      <c r="L159" s="465"/>
      <c r="M159" s="465"/>
      <c r="N159" s="465"/>
      <c r="O159" s="465"/>
      <c r="P159" s="465"/>
    </row>
    <row r="160" spans="1:26" ht="19.5" hidden="1">
      <c r="A160" s="156"/>
      <c r="B160" s="40"/>
      <c r="C160" s="164"/>
      <c r="D160" s="222" t="s">
        <v>79</v>
      </c>
      <c r="E160" s="223"/>
      <c r="F160" s="40"/>
      <c r="G160" s="157"/>
      <c r="H160" s="169" t="s">
        <v>35</v>
      </c>
      <c r="I160" s="583"/>
      <c r="J160" s="583"/>
      <c r="K160" s="93"/>
      <c r="L160" s="93"/>
      <c r="M160" s="93"/>
      <c r="N160" s="93"/>
      <c r="O160" s="93"/>
      <c r="P160" s="93"/>
      <c r="Q160" s="224"/>
      <c r="R160" s="224"/>
      <c r="S160" s="224"/>
      <c r="T160" s="224"/>
      <c r="U160" s="224"/>
      <c r="V160" s="224"/>
      <c r="W160" s="224"/>
      <c r="X160" s="224"/>
      <c r="Y160" s="224"/>
      <c r="Z160" s="224"/>
    </row>
    <row r="161" spans="1:26" ht="19.5" hidden="1">
      <c r="A161" s="225"/>
      <c r="B161" s="226"/>
      <c r="C161" s="227"/>
      <c r="D161" s="228" t="s">
        <v>80</v>
      </c>
      <c r="E161" s="820"/>
      <c r="F161" s="226"/>
      <c r="G161" s="230"/>
      <c r="H161" s="231" t="s">
        <v>35</v>
      </c>
      <c r="I161" s="232"/>
      <c r="J161" s="232"/>
      <c r="K161" s="233"/>
      <c r="L161" s="233"/>
      <c r="M161" s="233"/>
      <c r="N161" s="233"/>
      <c r="O161" s="233"/>
      <c r="P161" s="233"/>
      <c r="Q161" s="224"/>
      <c r="R161" s="224"/>
      <c r="S161" s="224"/>
      <c r="T161" s="224"/>
      <c r="U161" s="224"/>
      <c r="V161" s="224"/>
      <c r="W161" s="224"/>
      <c r="X161" s="224"/>
      <c r="Y161" s="224"/>
      <c r="Z161" s="224"/>
    </row>
    <row r="162" spans="1:26" ht="19.5">
      <c r="A162" s="234" t="s">
        <v>81</v>
      </c>
      <c r="B162" s="235"/>
      <c r="C162" s="235"/>
      <c r="D162" s="235"/>
      <c r="E162" s="236"/>
      <c r="F162" s="236"/>
      <c r="G162" s="237"/>
      <c r="H162" s="238"/>
      <c r="I162" s="239"/>
      <c r="J162" s="239"/>
      <c r="K162" s="240"/>
      <c r="L162" s="240"/>
      <c r="M162" s="240"/>
      <c r="N162" s="240"/>
      <c r="O162" s="240"/>
      <c r="P162" s="240"/>
    </row>
    <row r="163" spans="1:26" ht="19.5">
      <c r="A163" s="241" t="s">
        <v>82</v>
      </c>
      <c r="B163" s="242"/>
      <c r="C163" s="242"/>
      <c r="D163" s="243"/>
      <c r="E163" s="243"/>
      <c r="F163" s="243"/>
      <c r="G163" s="244"/>
      <c r="H163" s="245"/>
      <c r="I163" s="246"/>
      <c r="J163" s="246"/>
      <c r="K163" s="247"/>
      <c r="L163" s="247"/>
      <c r="M163" s="247"/>
      <c r="N163" s="247"/>
      <c r="O163" s="247"/>
      <c r="P163" s="247"/>
    </row>
    <row r="164" spans="1:26" ht="19.5">
      <c r="A164" s="248"/>
      <c r="B164" s="249" t="s">
        <v>83</v>
      </c>
      <c r="C164" s="250"/>
      <c r="D164" s="173"/>
      <c r="E164" s="173"/>
      <c r="F164" s="173"/>
      <c r="G164" s="174"/>
      <c r="H164" s="251" t="s">
        <v>35</v>
      </c>
      <c r="I164" s="252">
        <f t="shared" ref="I164:J164" ca="1" si="83">I174+I177</f>
        <v>12</v>
      </c>
      <c r="J164" s="252">
        <f t="shared" si="83"/>
        <v>12</v>
      </c>
      <c r="K164" s="253">
        <f ca="1">IF(I164&gt;0,J164*100/I164,0)</f>
        <v>100</v>
      </c>
      <c r="L164" s="254"/>
      <c r="M164" s="254"/>
      <c r="N164" s="254"/>
      <c r="O164" s="254"/>
      <c r="P164" s="254"/>
    </row>
    <row r="165" spans="1:26" ht="19.5">
      <c r="A165" s="147"/>
      <c r="B165" s="148"/>
      <c r="C165" s="149" t="s">
        <v>16</v>
      </c>
      <c r="D165" s="817" t="s">
        <v>17</v>
      </c>
      <c r="E165" s="148"/>
      <c r="F165" s="148"/>
      <c r="G165" s="151"/>
      <c r="H165" s="152" t="s">
        <v>12</v>
      </c>
      <c r="I165" s="388"/>
      <c r="J165" s="388"/>
      <c r="K165" s="154"/>
      <c r="L165" s="155">
        <f t="shared" ref="L165:N165" ca="1" si="84">L166+L167</f>
        <v>23060</v>
      </c>
      <c r="M165" s="155">
        <f t="shared" ca="1" si="84"/>
        <v>23060</v>
      </c>
      <c r="N165" s="155">
        <f t="shared" ca="1" si="84"/>
        <v>23060</v>
      </c>
      <c r="O165" s="155">
        <f t="shared" ref="O165:O173" ca="1" si="85">IF(L165&gt;0,N165*100/L165,0)</f>
        <v>100</v>
      </c>
      <c r="P165" s="155">
        <f t="shared" ref="P165:P173" ca="1" si="86">IF(M165&gt;0,N165*100/M165,0)</f>
        <v>100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2" t="s">
        <v>18</v>
      </c>
      <c r="F166" s="40"/>
      <c r="G166" s="157"/>
      <c r="H166" s="158" t="s">
        <v>12</v>
      </c>
      <c r="I166" s="583"/>
      <c r="J166" s="583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2" t="s">
        <v>19</v>
      </c>
      <c r="F167" s="40"/>
      <c r="G167" s="157"/>
      <c r="H167" s="158" t="s">
        <v>12</v>
      </c>
      <c r="I167" s="583"/>
      <c r="J167" s="583"/>
      <c r="K167" s="93"/>
      <c r="L167" s="93">
        <f t="shared" ca="1" si="87"/>
        <v>23060</v>
      </c>
      <c r="M167" s="93">
        <f t="shared" ca="1" si="87"/>
        <v>23060</v>
      </c>
      <c r="N167" s="93">
        <f t="shared" ca="1" si="87"/>
        <v>23060</v>
      </c>
      <c r="O167" s="93">
        <f t="shared" ca="1" si="85"/>
        <v>100</v>
      </c>
      <c r="P167" s="93">
        <f t="shared" ca="1" si="86"/>
        <v>100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1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65">
        <f t="shared" ref="L168:N168" ca="1" si="88">L169+L170</f>
        <v>23060</v>
      </c>
      <c r="M168" s="465">
        <f t="shared" ca="1" si="88"/>
        <v>23060</v>
      </c>
      <c r="N168" s="465">
        <f t="shared" ca="1" si="88"/>
        <v>23060</v>
      </c>
      <c r="O168" s="465">
        <f t="shared" ca="1" si="85"/>
        <v>100</v>
      </c>
      <c r="P168" s="465">
        <f t="shared" ca="1" si="86"/>
        <v>100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2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2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IFERROR(__xludf.DUMMYFUNCTION("IMPORTRANGE(""https://docs.google.com/spreadsheets/d/1MeEWN-I1oV_STSDYn1IFDPWt_1FKiwhDph83XaGc0o0/edit?usp=sharing"",""งบพรบ!CE25"")"),23060)</f>
        <v>23060</v>
      </c>
      <c r="M170" s="93">
        <f ca="1">IFERROR(__xludf.DUMMYFUNCTION("IMPORTRANGE(""https://docs.google.com/spreadsheets/d/1MeEWN-I1oV_STSDYn1IFDPWt_1FKiwhDph83XaGc0o0/edit?usp=sharing"",""งบพรบ!CJ25"")"),23060)</f>
        <v>23060</v>
      </c>
      <c r="N170" s="93">
        <f ca="1">IFERROR(__xludf.DUMMYFUNCTION("IMPORTRANGE(""https://docs.google.com/spreadsheets/d/1MeEWN-I1oV_STSDYn1IFDPWt_1FKiwhDph83XaGc0o0/edit?usp=sharing"",""งบพรบ!CL25"")"),23060)</f>
        <v>23060</v>
      </c>
      <c r="O170" s="93">
        <f t="shared" ca="1" si="85"/>
        <v>100</v>
      </c>
      <c r="P170" s="93">
        <f t="shared" ca="1" si="86"/>
        <v>100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1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65">
        <f t="shared" ref="L171:N171" ca="1" si="89">L172+L173</f>
        <v>0</v>
      </c>
      <c r="M171" s="465">
        <f t="shared" ca="1" si="89"/>
        <v>0</v>
      </c>
      <c r="N171" s="465">
        <f t="shared" ca="1" si="89"/>
        <v>0</v>
      </c>
      <c r="O171" s="465">
        <f t="shared" ca="1" si="85"/>
        <v>0</v>
      </c>
      <c r="P171" s="465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2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2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IFERROR(__xludf.DUMMYFUNCTION("IMPORTRANGE(""https://docs.google.com/spreadsheets/d/1MeEWN-I1oV_STSDYn1IFDPWt_1FKiwhDph83XaGc0o0/edit?usp=sharing"",""งบพรบ!CH25"")"),0)</f>
        <v>0</v>
      </c>
      <c r="M173" s="93">
        <f ca="1">IFERROR(__xludf.DUMMYFUNCTION("IMPORTRANGE(""https://docs.google.com/spreadsheets/d/1MeEWN-I1oV_STSDYn1IFDPWt_1FKiwhDph83XaGc0o0/edit?usp=sharing"",""งบพรบ!CK25"")"),0)</f>
        <v>0</v>
      </c>
      <c r="N173" s="93">
        <f ca="1">IFERROR(__xludf.DUMMYFUNCTION("IMPORTRANGE(""https://docs.google.com/spreadsheets/d/1MeEWN-I1oV_STSDYn1IFDPWt_1FKiwhDph83XaGc0o0/edit?usp=sharing"",""งบพรบ!CM25"")"),0)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5"/>
      <c r="B174" s="256"/>
      <c r="C174" s="257" t="s">
        <v>84</v>
      </c>
      <c r="D174" s="256"/>
      <c r="E174" s="256"/>
      <c r="F174" s="256"/>
      <c r="G174" s="258"/>
      <c r="H174" s="259" t="s">
        <v>35</v>
      </c>
      <c r="I174" s="260">
        <f t="shared" ref="I174:J174" ca="1" si="90">I176</f>
        <v>12</v>
      </c>
      <c r="J174" s="260">
        <f t="shared" si="90"/>
        <v>12</v>
      </c>
      <c r="K174" s="261">
        <f ca="1">IF(I174&gt;0,J174*100/I174,0)</f>
        <v>100</v>
      </c>
      <c r="L174" s="261"/>
      <c r="M174" s="261"/>
      <c r="N174" s="261"/>
      <c r="O174" s="261"/>
      <c r="P174" s="261"/>
    </row>
    <row r="175" spans="1:26" ht="19.5">
      <c r="A175" s="170"/>
      <c r="B175" s="171"/>
      <c r="C175" s="164" t="s">
        <v>16</v>
      </c>
      <c r="D175" s="818" t="s">
        <v>38</v>
      </c>
      <c r="E175" s="173"/>
      <c r="F175" s="173"/>
      <c r="G175" s="174"/>
      <c r="H175" s="726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10" t="s">
        <v>85</v>
      </c>
      <c r="E176" s="342"/>
      <c r="F176" s="342"/>
      <c r="G176" s="179"/>
      <c r="H176" s="589" t="s">
        <v>35</v>
      </c>
      <c r="I176" s="269">
        <f ca="1">IFERROR(__xludf.DUMMYFUNCTION("IMPORTRANGE(""https://docs.google.com/spreadsheets/d/1QqKyyYR6Q21VydFLVH3TRQUabQu_ym0Zz7PgGX0-kHA/edit?usp=sharing"",""แผน!Y25"")"),12)</f>
        <v>12</v>
      </c>
      <c r="J176" s="214">
        <v>12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5"/>
      <c r="B177" s="263"/>
      <c r="C177" s="264" t="s">
        <v>86</v>
      </c>
      <c r="D177" s="263"/>
      <c r="E177" s="256"/>
      <c r="F177" s="256"/>
      <c r="G177" s="258"/>
      <c r="H177" s="265" t="s">
        <v>35</v>
      </c>
      <c r="I177" s="260"/>
      <c r="J177" s="260">
        <f>J179</f>
        <v>0</v>
      </c>
      <c r="K177" s="261"/>
      <c r="L177" s="261"/>
      <c r="M177" s="261"/>
      <c r="N177" s="261"/>
      <c r="O177" s="261"/>
      <c r="P177" s="261"/>
    </row>
    <row r="178" spans="1:26" ht="19.5" hidden="1">
      <c r="A178" s="170"/>
      <c r="B178" s="171"/>
      <c r="C178" s="164" t="s">
        <v>16</v>
      </c>
      <c r="D178" s="266" t="s">
        <v>38</v>
      </c>
      <c r="E178" s="173"/>
      <c r="F178" s="173"/>
      <c r="G178" s="174"/>
      <c r="H178" s="726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267" t="s">
        <v>87</v>
      </c>
      <c r="E179" s="342"/>
      <c r="F179" s="268"/>
      <c r="G179" s="179"/>
      <c r="H179" s="43" t="s">
        <v>35</v>
      </c>
      <c r="I179" s="269"/>
      <c r="J179" s="269"/>
      <c r="K179" s="163"/>
      <c r="L179" s="163"/>
      <c r="M179" s="163"/>
      <c r="N179" s="163"/>
      <c r="O179" s="163"/>
      <c r="P179" s="163"/>
    </row>
    <row r="180" spans="1:26" ht="19.5">
      <c r="A180" s="248"/>
      <c r="B180" s="249" t="s">
        <v>88</v>
      </c>
      <c r="C180" s="250"/>
      <c r="D180" s="173"/>
      <c r="E180" s="173"/>
      <c r="F180" s="173"/>
      <c r="G180" s="174"/>
      <c r="H180" s="251" t="s">
        <v>35</v>
      </c>
      <c r="I180" s="821"/>
      <c r="J180" s="821">
        <f>J225+J226</f>
        <v>0</v>
      </c>
      <c r="K180" s="254">
        <f>IF(I180&gt;0,J180*100/I180,0)</f>
        <v>0</v>
      </c>
      <c r="L180" s="254"/>
      <c r="M180" s="254"/>
      <c r="N180" s="254"/>
      <c r="O180" s="254"/>
      <c r="P180" s="254"/>
    </row>
    <row r="181" spans="1:26" ht="19.5">
      <c r="A181" s="147"/>
      <c r="B181" s="148"/>
      <c r="C181" s="149" t="s">
        <v>16</v>
      </c>
      <c r="D181" s="817" t="s">
        <v>17</v>
      </c>
      <c r="E181" s="148"/>
      <c r="F181" s="148"/>
      <c r="G181" s="151"/>
      <c r="H181" s="152" t="s">
        <v>12</v>
      </c>
      <c r="I181" s="388"/>
      <c r="J181" s="388"/>
      <c r="K181" s="154"/>
      <c r="L181" s="155">
        <f t="shared" ref="L181:N181" ca="1" si="91">L182+L183</f>
        <v>221500</v>
      </c>
      <c r="M181" s="155">
        <f t="shared" ca="1" si="91"/>
        <v>86000</v>
      </c>
      <c r="N181" s="155">
        <f t="shared" ca="1" si="91"/>
        <v>20265</v>
      </c>
      <c r="O181" s="155">
        <f t="shared" ref="O181:O189" ca="1" si="92">IF(L181&gt;0,N181*100/L181,0)</f>
        <v>9.1489841986455982</v>
      </c>
      <c r="P181" s="155">
        <f t="shared" ref="P181:P189" ca="1" si="93">IF(M181&gt;0,N181*100/M181,0)</f>
        <v>23.563953488372093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2" t="s">
        <v>18</v>
      </c>
      <c r="F182" s="40"/>
      <c r="G182" s="157"/>
      <c r="H182" s="158" t="s">
        <v>12</v>
      </c>
      <c r="I182" s="583"/>
      <c r="J182" s="583"/>
      <c r="K182" s="93"/>
      <c r="L182" s="93">
        <f t="shared" ref="L182:N183" si="94">L185+L188</f>
        <v>0</v>
      </c>
      <c r="M182" s="93">
        <f t="shared" si="94"/>
        <v>0</v>
      </c>
      <c r="N182" s="93">
        <f t="shared" si="94"/>
        <v>0</v>
      </c>
      <c r="O182" s="93">
        <f t="shared" si="92"/>
        <v>0</v>
      </c>
      <c r="P182" s="93">
        <f t="shared" si="93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2" t="s">
        <v>19</v>
      </c>
      <c r="F183" s="40"/>
      <c r="G183" s="157"/>
      <c r="H183" s="158" t="s">
        <v>12</v>
      </c>
      <c r="I183" s="583"/>
      <c r="J183" s="583"/>
      <c r="K183" s="93"/>
      <c r="L183" s="93">
        <f t="shared" ca="1" si="94"/>
        <v>221500</v>
      </c>
      <c r="M183" s="93">
        <f t="shared" ca="1" si="94"/>
        <v>86000</v>
      </c>
      <c r="N183" s="93">
        <f t="shared" ca="1" si="94"/>
        <v>20265</v>
      </c>
      <c r="O183" s="93">
        <f t="shared" ca="1" si="92"/>
        <v>9.1489841986455982</v>
      </c>
      <c r="P183" s="93">
        <f t="shared" ca="1" si="93"/>
        <v>23.563953488372093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1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65">
        <f t="shared" ref="L184:N184" ca="1" si="95">L185+L186</f>
        <v>221500</v>
      </c>
      <c r="M184" s="465">
        <f t="shared" ca="1" si="95"/>
        <v>86000</v>
      </c>
      <c r="N184" s="465">
        <f t="shared" ca="1" si="95"/>
        <v>20265</v>
      </c>
      <c r="O184" s="465">
        <f t="shared" ca="1" si="92"/>
        <v>9.1489841986455982</v>
      </c>
      <c r="P184" s="465">
        <f t="shared" ca="1" si="93"/>
        <v>23.563953488372093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2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2"/>
        <v>0</v>
      </c>
      <c r="P185" s="93">
        <f t="shared" si="93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2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IFERROR(__xludf.DUMMYFUNCTION("IMPORTRANGE(""https://docs.google.com/spreadsheets/d/1MeEWN-I1oV_STSDYn1IFDPWt_1FKiwhDph83XaGc0o0/edit?usp=sharing"",""งบพรบ!CO25"")"),221500)</f>
        <v>221500</v>
      </c>
      <c r="M186" s="93">
        <f ca="1">IFERROR(__xludf.DUMMYFUNCTION("IMPORTRANGE(""https://docs.google.com/spreadsheets/d/1MeEWN-I1oV_STSDYn1IFDPWt_1FKiwhDph83XaGc0o0/edit?usp=sharing"",""งบพรบ!CT25"")"),86000)</f>
        <v>86000</v>
      </c>
      <c r="N186" s="93">
        <f ca="1">IFERROR(__xludf.DUMMYFUNCTION("IMPORTRANGE(""https://docs.google.com/spreadsheets/d/1MeEWN-I1oV_STSDYn1IFDPWt_1FKiwhDph83XaGc0o0/edit?usp=sharing"",""งบพรบ!CV25"")"),20265)</f>
        <v>20265</v>
      </c>
      <c r="O186" s="93">
        <f t="shared" ca="1" si="92"/>
        <v>9.1489841986455982</v>
      </c>
      <c r="P186" s="93">
        <f t="shared" ca="1" si="93"/>
        <v>23.563953488372093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1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65">
        <f t="shared" ref="L187:N187" ca="1" si="96">L188+L189</f>
        <v>0</v>
      </c>
      <c r="M187" s="465">
        <f t="shared" ca="1" si="96"/>
        <v>0</v>
      </c>
      <c r="N187" s="465">
        <f t="shared" ca="1" si="96"/>
        <v>0</v>
      </c>
      <c r="O187" s="465">
        <f t="shared" ca="1" si="92"/>
        <v>0</v>
      </c>
      <c r="P187" s="465">
        <f t="shared" ca="1" si="93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2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2"/>
        <v>0</v>
      </c>
      <c r="P188" s="93">
        <f t="shared" si="93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2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IFERROR(__xludf.DUMMYFUNCTION("IMPORTRANGE(""https://docs.google.com/spreadsheets/d/1MeEWN-I1oV_STSDYn1IFDPWt_1FKiwhDph83XaGc0o0/edit?usp=sharing"",""งบพรบ!CR25"")"),0)</f>
        <v>0</v>
      </c>
      <c r="M189" s="93">
        <f ca="1">IFERROR(__xludf.DUMMYFUNCTION("IMPORTRANGE(""https://docs.google.com/spreadsheets/d/1MeEWN-I1oV_STSDYn1IFDPWt_1FKiwhDph83XaGc0o0/edit?usp=sharing"",""งบพรบ!CU25"")"),0)</f>
        <v>0</v>
      </c>
      <c r="N189" s="93">
        <f ca="1">IFERROR(__xludf.DUMMYFUNCTION("IMPORTRANGE(""https://docs.google.com/spreadsheets/d/1MeEWN-I1oV_STSDYn1IFDPWt_1FKiwhDph83XaGc0o0/edit?usp=sharing"",""งบพรบ!CW25"")"),0)</f>
        <v>0</v>
      </c>
      <c r="O189" s="93">
        <f t="shared" ca="1" si="92"/>
        <v>0</v>
      </c>
      <c r="P189" s="93">
        <f t="shared" ca="1" si="93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5"/>
      <c r="B190" s="263"/>
      <c r="C190" s="339" t="s">
        <v>89</v>
      </c>
      <c r="D190" s="256"/>
      <c r="E190" s="256"/>
      <c r="F190" s="256"/>
      <c r="G190" s="258"/>
      <c r="H190" s="259" t="s">
        <v>90</v>
      </c>
      <c r="I190" s="271">
        <f t="shared" ref="I190:J190" ca="1" si="97">I193</f>
        <v>4</v>
      </c>
      <c r="J190" s="271">
        <f t="shared" si="97"/>
        <v>0</v>
      </c>
      <c r="K190" s="272">
        <f ca="1">IF(I190&gt;0,J190*100/I190,0)</f>
        <v>0</v>
      </c>
      <c r="L190" s="261"/>
      <c r="M190" s="261"/>
      <c r="N190" s="261"/>
      <c r="O190" s="261"/>
      <c r="P190" s="261"/>
    </row>
    <row r="191" spans="1:26" ht="19.5">
      <c r="A191" s="147"/>
      <c r="B191" s="148"/>
      <c r="C191" s="149" t="s">
        <v>16</v>
      </c>
      <c r="D191" s="822" t="s">
        <v>17</v>
      </c>
      <c r="E191" s="148"/>
      <c r="F191" s="148"/>
      <c r="G191" s="151"/>
      <c r="H191" s="274" t="s">
        <v>12</v>
      </c>
      <c r="I191" s="388"/>
      <c r="J191" s="388"/>
      <c r="K191" s="154"/>
      <c r="L191" s="155">
        <f ca="1">IFERROR(__xludf.DUMMYFUNCTION("IMPORTRANGE(""https://docs.google.com/spreadsheets/d/1QqKyyYR6Q21VydFLVH3TRQUabQu_ym0Zz7PgGX0-kHA/edit?usp=sharing"",""แผน!Z25"")"),6000)</f>
        <v>6000</v>
      </c>
      <c r="M191" s="155"/>
      <c r="N191" s="275">
        <v>0</v>
      </c>
      <c r="O191" s="155">
        <f ca="1">IF(L191&gt;0,N191*100/L191,0)</f>
        <v>0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0" t="s">
        <v>16</v>
      </c>
      <c r="D192" s="818" t="s">
        <v>38</v>
      </c>
      <c r="E192" s="173"/>
      <c r="F192" s="173"/>
      <c r="G192" s="174"/>
      <c r="H192" s="726"/>
      <c r="I192" s="269"/>
      <c r="J192" s="269"/>
      <c r="K192" s="465"/>
      <c r="L192" s="465"/>
      <c r="M192" s="465"/>
      <c r="N192" s="465"/>
      <c r="O192" s="465"/>
      <c r="P192" s="465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15" t="s">
        <v>91</v>
      </c>
      <c r="E193" s="342"/>
      <c r="F193" s="342"/>
      <c r="G193" s="179"/>
      <c r="H193" s="728" t="s">
        <v>90</v>
      </c>
      <c r="I193" s="269">
        <f ca="1">IFERROR(__xludf.DUMMYFUNCTION("IMPORTRANGE(""https://docs.google.com/spreadsheets/d/1QqKyyYR6Q21VydFLVH3TRQUabQu_ym0Zz7PgGX0-kHA/edit?usp=sharing"",""แผน!AC25"")"),4)</f>
        <v>4</v>
      </c>
      <c r="J193" s="214">
        <v>0</v>
      </c>
      <c r="K193" s="465">
        <f ca="1">IF(I193&gt;0,J193*100/I193,0)</f>
        <v>0</v>
      </c>
      <c r="L193" s="465"/>
      <c r="M193" s="465"/>
      <c r="N193" s="465"/>
      <c r="O193" s="465"/>
      <c r="P193" s="465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15" t="s">
        <v>92</v>
      </c>
      <c r="E194" s="342"/>
      <c r="F194" s="342"/>
      <c r="G194" s="179"/>
      <c r="H194" s="276" t="s">
        <v>35</v>
      </c>
      <c r="I194" s="269"/>
      <c r="J194" s="269">
        <f>J195+J196</f>
        <v>0</v>
      </c>
      <c r="K194" s="465"/>
      <c r="L194" s="465"/>
      <c r="M194" s="465"/>
      <c r="N194" s="465"/>
      <c r="O194" s="465"/>
      <c r="P194" s="465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15" t="s">
        <v>93</v>
      </c>
      <c r="F195" s="342"/>
      <c r="G195" s="179"/>
      <c r="H195" s="276" t="s">
        <v>35</v>
      </c>
      <c r="I195" s="269"/>
      <c r="J195" s="214">
        <v>0</v>
      </c>
      <c r="K195" s="465"/>
      <c r="L195" s="465"/>
      <c r="M195" s="465"/>
      <c r="N195" s="465"/>
      <c r="O195" s="465"/>
      <c r="P195" s="465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15" t="s">
        <v>94</v>
      </c>
      <c r="F196" s="342"/>
      <c r="G196" s="179"/>
      <c r="H196" s="276" t="s">
        <v>35</v>
      </c>
      <c r="I196" s="269"/>
      <c r="J196" s="214">
        <v>0</v>
      </c>
      <c r="K196" s="465"/>
      <c r="L196" s="465"/>
      <c r="M196" s="465"/>
      <c r="N196" s="465"/>
      <c r="O196" s="465"/>
      <c r="P196" s="465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5"/>
      <c r="B197" s="263"/>
      <c r="C197" s="339" t="s">
        <v>95</v>
      </c>
      <c r="D197" s="256"/>
      <c r="E197" s="256"/>
      <c r="F197" s="256"/>
      <c r="G197" s="258"/>
      <c r="H197" s="277" t="s">
        <v>96</v>
      </c>
      <c r="I197" s="271">
        <f t="shared" ref="I197:J197" ca="1" si="98">I204</f>
        <v>2</v>
      </c>
      <c r="J197" s="271">
        <f t="shared" si="98"/>
        <v>0</v>
      </c>
      <c r="K197" s="272">
        <f ca="1">IF(I197&gt;0,J197*100/I197,0)</f>
        <v>0</v>
      </c>
      <c r="L197" s="261"/>
      <c r="M197" s="261"/>
      <c r="N197" s="261"/>
      <c r="O197" s="261"/>
      <c r="P197" s="261"/>
    </row>
    <row r="198" spans="1:26" ht="19.5">
      <c r="A198" s="147"/>
      <c r="B198" s="148"/>
      <c r="C198" s="149" t="s">
        <v>16</v>
      </c>
      <c r="D198" s="822" t="s">
        <v>17</v>
      </c>
      <c r="E198" s="148"/>
      <c r="F198" s="148"/>
      <c r="G198" s="151"/>
      <c r="H198" s="274" t="s">
        <v>12</v>
      </c>
      <c r="I198" s="387"/>
      <c r="J198" s="387"/>
      <c r="K198" s="279"/>
      <c r="L198" s="155">
        <f ca="1">L199+L200+L201+L202</f>
        <v>26000</v>
      </c>
      <c r="M198" s="155"/>
      <c r="N198" s="155">
        <f>N199+N200+N201+N202</f>
        <v>0</v>
      </c>
      <c r="O198" s="155">
        <f ca="1">IF(L198&gt;0,N198*100/L198,0)</f>
        <v>0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0"/>
      <c r="C199" s="33"/>
      <c r="D199" s="281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65">
        <f ca="1">IFERROR(__xludf.DUMMYFUNCTION("IMPORTRANGE(""https://docs.google.com/spreadsheets/d/1QqKyyYR6Q21VydFLVH3TRQUabQu_ym0Zz7PgGX0-kHA/edit?usp=sharing"",""แผน!AE25"")"),2000)</f>
        <v>2000</v>
      </c>
      <c r="M199" s="465"/>
      <c r="N199" s="789">
        <v>0</v>
      </c>
      <c r="O199" s="465"/>
      <c r="P199" s="465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3"/>
      <c r="B200" s="280"/>
      <c r="C200" s="210"/>
      <c r="D200" s="281" t="s">
        <v>98</v>
      </c>
      <c r="E200" s="33"/>
      <c r="F200" s="33"/>
      <c r="G200" s="35"/>
      <c r="H200" s="589" t="s">
        <v>12</v>
      </c>
      <c r="I200" s="269"/>
      <c r="J200" s="269"/>
      <c r="K200" s="465"/>
      <c r="L200" s="465">
        <f ca="1">IFERROR(__xludf.DUMMYFUNCTION("IMPORTRANGE(""https://docs.google.com/spreadsheets/d/1QqKyyYR6Q21VydFLVH3TRQUabQu_ym0Zz7PgGX0-kHA/edit?usp=sharing"",""แผน!AF25"")"),16000)</f>
        <v>16000</v>
      </c>
      <c r="M200" s="465"/>
      <c r="N200" s="789">
        <v>0</v>
      </c>
      <c r="O200" s="465"/>
      <c r="P200" s="465"/>
      <c r="Q200" s="285"/>
      <c r="R200" s="285"/>
      <c r="S200" s="285"/>
      <c r="T200" s="285"/>
      <c r="U200" s="285"/>
      <c r="V200" s="285"/>
      <c r="W200" s="285"/>
      <c r="X200" s="285"/>
      <c r="Y200" s="285"/>
      <c r="Z200" s="285"/>
    </row>
    <row r="201" spans="1:26" ht="19.5">
      <c r="A201" s="283"/>
      <c r="B201" s="280"/>
      <c r="C201" s="210"/>
      <c r="D201" s="281" t="s">
        <v>99</v>
      </c>
      <c r="E201" s="33"/>
      <c r="F201" s="33"/>
      <c r="G201" s="35"/>
      <c r="H201" s="589" t="s">
        <v>12</v>
      </c>
      <c r="I201" s="269"/>
      <c r="J201" s="269"/>
      <c r="K201" s="465"/>
      <c r="L201" s="465">
        <f ca="1">IFERROR(__xludf.DUMMYFUNCTION("IMPORTRANGE(""https://docs.google.com/spreadsheets/d/1QqKyyYR6Q21VydFLVH3TRQUabQu_ym0Zz7PgGX0-kHA/edit?usp=sharing"",""แผน!AG25"")"),8000)</f>
        <v>8000</v>
      </c>
      <c r="M201" s="465"/>
      <c r="N201" s="789">
        <v>0</v>
      </c>
      <c r="O201" s="465"/>
      <c r="P201" s="465"/>
      <c r="Q201" s="285"/>
      <c r="R201" s="285"/>
      <c r="S201" s="285"/>
      <c r="T201" s="285"/>
      <c r="U201" s="285"/>
      <c r="V201" s="285"/>
      <c r="W201" s="285"/>
      <c r="X201" s="285"/>
      <c r="Y201" s="285"/>
      <c r="Z201" s="285"/>
    </row>
    <row r="202" spans="1:26" ht="19.5">
      <c r="A202" s="283"/>
      <c r="B202" s="280"/>
      <c r="C202" s="210"/>
      <c r="D202" s="281" t="s">
        <v>100</v>
      </c>
      <c r="E202" s="33"/>
      <c r="F202" s="33"/>
      <c r="G202" s="35"/>
      <c r="H202" s="589" t="s">
        <v>12</v>
      </c>
      <c r="I202" s="269"/>
      <c r="J202" s="269"/>
      <c r="K202" s="465"/>
      <c r="L202" s="465">
        <f ca="1">IFERROR(__xludf.DUMMYFUNCTION("IMPORTRANGE(""https://docs.google.com/spreadsheets/d/1QqKyyYR6Q21VydFLVH3TRQUabQu_ym0Zz7PgGX0-kHA/edit?usp=sharing"",""แผน!AH25"")"),0)</f>
        <v>0</v>
      </c>
      <c r="M202" s="465"/>
      <c r="N202" s="789">
        <v>0</v>
      </c>
      <c r="O202" s="465"/>
      <c r="P202" s="465"/>
      <c r="Q202" s="285"/>
      <c r="R202" s="285"/>
      <c r="S202" s="285"/>
      <c r="T202" s="285"/>
      <c r="U202" s="285"/>
      <c r="V202" s="285"/>
      <c r="W202" s="285"/>
      <c r="X202" s="285"/>
      <c r="Y202" s="285"/>
      <c r="Z202" s="285"/>
    </row>
    <row r="203" spans="1:26" ht="19.5">
      <c r="A203" s="170"/>
      <c r="B203" s="171"/>
      <c r="C203" s="210" t="s">
        <v>16</v>
      </c>
      <c r="D203" s="818" t="s">
        <v>38</v>
      </c>
      <c r="E203" s="173"/>
      <c r="F203" s="173"/>
      <c r="G203" s="174"/>
      <c r="H203" s="726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343" t="s">
        <v>101</v>
      </c>
      <c r="E204" s="342"/>
      <c r="F204" s="342"/>
      <c r="G204" s="179"/>
      <c r="H204" s="726" t="s">
        <v>96</v>
      </c>
      <c r="I204" s="269">
        <f ca="1">IFERROR(__xludf.DUMMYFUNCTION("IMPORTRANGE(""https://docs.google.com/spreadsheets/d/1QqKyyYR6Q21VydFLVH3TRQUabQu_ym0Zz7PgGX0-kHA/edit?usp=sharing"",""แผน!AI25"")"),2)</f>
        <v>2</v>
      </c>
      <c r="J204" s="214">
        <v>0</v>
      </c>
      <c r="K204" s="163">
        <f ca="1">IF(I204&gt;0,J204*100/I204,0)</f>
        <v>0</v>
      </c>
      <c r="L204" s="465"/>
      <c r="M204" s="465"/>
      <c r="N204" s="465"/>
      <c r="O204" s="465"/>
      <c r="P204" s="465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15" t="s">
        <v>59</v>
      </c>
      <c r="E205" s="342"/>
      <c r="F205" s="342"/>
      <c r="G205" s="179"/>
      <c r="H205" s="726"/>
      <c r="I205" s="269"/>
      <c r="J205" s="269"/>
      <c r="K205" s="163"/>
      <c r="L205" s="465"/>
      <c r="M205" s="465"/>
      <c r="N205" s="465"/>
      <c r="O205" s="465"/>
      <c r="P205" s="465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342"/>
      <c r="E206" s="494" t="s">
        <v>102</v>
      </c>
      <c r="F206" s="286"/>
      <c r="G206" s="287"/>
      <c r="H206" s="288" t="s">
        <v>96</v>
      </c>
      <c r="I206" s="269">
        <v>2</v>
      </c>
      <c r="J206" s="214">
        <v>0</v>
      </c>
      <c r="K206" s="163">
        <f t="shared" ref="K206:K208" si="99">IF(I206&gt;0,J206*100/I206,0)</f>
        <v>0</v>
      </c>
      <c r="L206" s="465"/>
      <c r="M206" s="465"/>
      <c r="N206" s="465"/>
      <c r="O206" s="465"/>
      <c r="P206" s="465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15"/>
      <c r="E207" s="415" t="s">
        <v>103</v>
      </c>
      <c r="F207" s="342"/>
      <c r="G207" s="342"/>
      <c r="H207" s="289" t="s">
        <v>104</v>
      </c>
      <c r="I207" s="269">
        <v>0</v>
      </c>
      <c r="J207" s="214">
        <v>0</v>
      </c>
      <c r="K207" s="163">
        <f t="shared" si="99"/>
        <v>0</v>
      </c>
      <c r="L207" s="465"/>
      <c r="M207" s="465"/>
      <c r="N207" s="465"/>
      <c r="O207" s="465"/>
      <c r="P207" s="465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 hidden="1">
      <c r="A208" s="255"/>
      <c r="B208" s="263"/>
      <c r="C208" s="339" t="s">
        <v>105</v>
      </c>
      <c r="D208" s="256"/>
      <c r="E208" s="256"/>
      <c r="F208" s="290"/>
      <c r="G208" s="258"/>
      <c r="H208" s="277" t="s">
        <v>96</v>
      </c>
      <c r="I208" s="271">
        <f t="shared" ref="I208:J208" ca="1" si="100">I215</f>
        <v>0</v>
      </c>
      <c r="J208" s="271">
        <f t="shared" si="100"/>
        <v>0</v>
      </c>
      <c r="K208" s="272">
        <f t="shared" ca="1" si="99"/>
        <v>0</v>
      </c>
      <c r="L208" s="261"/>
      <c r="M208" s="261"/>
      <c r="N208" s="261"/>
      <c r="O208" s="261"/>
      <c r="P208" s="261"/>
    </row>
    <row r="209" spans="1:26" ht="19.5" hidden="1">
      <c r="A209" s="147"/>
      <c r="B209" s="148"/>
      <c r="C209" s="149" t="s">
        <v>16</v>
      </c>
      <c r="D209" s="822" t="s">
        <v>17</v>
      </c>
      <c r="E209" s="148"/>
      <c r="F209" s="148"/>
      <c r="G209" s="151"/>
      <c r="H209" s="274" t="s">
        <v>12</v>
      </c>
      <c r="I209" s="387"/>
      <c r="J209" s="387"/>
      <c r="K209" s="279"/>
      <c r="L209" s="155">
        <f ca="1">L210+L211+L212</f>
        <v>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 hidden="1">
      <c r="A210" s="159"/>
      <c r="B210" s="280"/>
      <c r="C210" s="33"/>
      <c r="D210" s="281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65">
        <f ca="1">IFERROR(__xludf.DUMMYFUNCTION("IMPORTRANGE(""https://docs.google.com/spreadsheets/d/1QqKyyYR6Q21VydFLVH3TRQUabQu_ym0Zz7PgGX0-kHA/edit?usp=sharing"",""แผน!AK25"")"),0)</f>
        <v>0</v>
      </c>
      <c r="M210" s="465"/>
      <c r="N210" s="789">
        <v>0</v>
      </c>
      <c r="O210" s="465"/>
      <c r="P210" s="465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 hidden="1">
      <c r="A211" s="283"/>
      <c r="B211" s="280"/>
      <c r="C211" s="291"/>
      <c r="D211" s="281" t="s">
        <v>99</v>
      </c>
      <c r="E211" s="33"/>
      <c r="F211" s="33"/>
      <c r="G211" s="35"/>
      <c r="H211" s="161" t="s">
        <v>12</v>
      </c>
      <c r="I211" s="269"/>
      <c r="J211" s="269"/>
      <c r="K211" s="465"/>
      <c r="L211" s="465">
        <f ca="1">IFERROR(__xludf.DUMMYFUNCTION("IMPORTRANGE(""https://docs.google.com/spreadsheets/d/1QqKyyYR6Q21VydFLVH3TRQUabQu_ym0Zz7PgGX0-kHA/edit?usp=sharing"",""แผน!AL25"")"),0)</f>
        <v>0</v>
      </c>
      <c r="M211" s="465"/>
      <c r="N211" s="789">
        <v>0</v>
      </c>
      <c r="O211" s="465"/>
      <c r="P211" s="465"/>
      <c r="Q211" s="285"/>
      <c r="R211" s="285"/>
      <c r="S211" s="285"/>
      <c r="T211" s="285"/>
      <c r="U211" s="285"/>
      <c r="V211" s="285"/>
      <c r="W211" s="285"/>
      <c r="X211" s="285"/>
      <c r="Y211" s="285"/>
      <c r="Z211" s="285"/>
    </row>
    <row r="212" spans="1:26" ht="19.5" hidden="1">
      <c r="A212" s="283"/>
      <c r="B212" s="280"/>
      <c r="C212" s="291"/>
      <c r="D212" s="281" t="s">
        <v>98</v>
      </c>
      <c r="E212" s="33"/>
      <c r="F212" s="33"/>
      <c r="G212" s="35"/>
      <c r="H212" s="161" t="s">
        <v>12</v>
      </c>
      <c r="I212" s="269"/>
      <c r="J212" s="269"/>
      <c r="K212" s="465"/>
      <c r="L212" s="465">
        <f ca="1">IFERROR(__xludf.DUMMYFUNCTION("IMPORTRANGE(""https://docs.google.com/spreadsheets/d/1QqKyyYR6Q21VydFLVH3TRQUabQu_ym0Zz7PgGX0-kHA/edit?usp=sharing"",""แผน!AM25"")"),0)</f>
        <v>0</v>
      </c>
      <c r="M212" s="465"/>
      <c r="N212" s="789">
        <v>0</v>
      </c>
      <c r="O212" s="465"/>
      <c r="P212" s="465"/>
      <c r="Q212" s="285"/>
      <c r="R212" s="285"/>
      <c r="S212" s="285"/>
      <c r="T212" s="285"/>
      <c r="U212" s="285"/>
      <c r="V212" s="285"/>
      <c r="W212" s="285"/>
      <c r="X212" s="285"/>
      <c r="Y212" s="285"/>
      <c r="Z212" s="285"/>
    </row>
    <row r="213" spans="1:26" ht="19.5" hidden="1">
      <c r="A213" s="170"/>
      <c r="B213" s="171"/>
      <c r="C213" s="291" t="s">
        <v>16</v>
      </c>
      <c r="D213" s="818" t="s">
        <v>38</v>
      </c>
      <c r="E213" s="173"/>
      <c r="F213" s="173"/>
      <c r="G213" s="174"/>
      <c r="H213" s="726"/>
      <c r="I213" s="184"/>
      <c r="J213" s="269"/>
      <c r="K213" s="465"/>
      <c r="L213" s="465"/>
      <c r="M213" s="465"/>
      <c r="N213" s="465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 hidden="1">
      <c r="A214" s="170"/>
      <c r="B214" s="171"/>
      <c r="C214" s="171"/>
      <c r="D214" s="343" t="s">
        <v>106</v>
      </c>
      <c r="E214" s="342"/>
      <c r="F214" s="342"/>
      <c r="G214" s="179"/>
      <c r="H214" s="726" t="s">
        <v>96</v>
      </c>
      <c r="I214" s="269">
        <f ca="1">IFERROR(__xludf.DUMMYFUNCTION("IMPORTRANGE(""https://docs.google.com/spreadsheets/d/1QqKyyYR6Q21VydFLVH3TRQUabQu_ym0Zz7PgGX0-kHA/edit?usp=sharing"",""แผน!AN25"")"),0)</f>
        <v>0</v>
      </c>
      <c r="J214" s="214">
        <v>0</v>
      </c>
      <c r="K214" s="465">
        <f t="shared" ref="K214:K216" ca="1" si="101">IF(I214&gt;0,J214*100/I214,0)</f>
        <v>0</v>
      </c>
      <c r="L214" s="465"/>
      <c r="M214" s="465"/>
      <c r="N214" s="465"/>
      <c r="O214" s="465"/>
      <c r="P214" s="465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 hidden="1">
      <c r="A215" s="170"/>
      <c r="B215" s="171"/>
      <c r="C215" s="171"/>
      <c r="D215" s="343" t="s">
        <v>107</v>
      </c>
      <c r="E215" s="342"/>
      <c r="F215" s="342"/>
      <c r="G215" s="179"/>
      <c r="H215" s="726" t="s">
        <v>96</v>
      </c>
      <c r="I215" s="269">
        <f ca="1">IFERROR(__xludf.DUMMYFUNCTION("IMPORTRANGE(""https://docs.google.com/spreadsheets/d/1QqKyyYR6Q21VydFLVH3TRQUabQu_ym0Zz7PgGX0-kHA/edit?usp=sharing"",""แผน!AN25"")"),0)</f>
        <v>0</v>
      </c>
      <c r="J215" s="214">
        <v>0</v>
      </c>
      <c r="K215" s="465">
        <f t="shared" ca="1" si="101"/>
        <v>0</v>
      </c>
      <c r="L215" s="465"/>
      <c r="M215" s="465"/>
      <c r="N215" s="465"/>
      <c r="O215" s="465"/>
      <c r="P215" s="465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5"/>
      <c r="B216" s="263"/>
      <c r="C216" s="339" t="s">
        <v>108</v>
      </c>
      <c r="D216" s="256"/>
      <c r="E216" s="256"/>
      <c r="F216" s="290"/>
      <c r="G216" s="258"/>
      <c r="H216" s="259" t="s">
        <v>109</v>
      </c>
      <c r="I216" s="271">
        <f t="shared" ref="I216:J216" ca="1" si="102">I224</f>
        <v>150000</v>
      </c>
      <c r="J216" s="271">
        <f t="shared" si="102"/>
        <v>0</v>
      </c>
      <c r="K216" s="272">
        <f t="shared" ca="1" si="101"/>
        <v>0</v>
      </c>
      <c r="L216" s="261"/>
      <c r="M216" s="261"/>
      <c r="N216" s="261"/>
      <c r="O216" s="261"/>
      <c r="P216" s="261"/>
    </row>
    <row r="217" spans="1:26" ht="19.5">
      <c r="A217" s="147"/>
      <c r="B217" s="148"/>
      <c r="C217" s="149" t="s">
        <v>16</v>
      </c>
      <c r="D217" s="822" t="s">
        <v>17</v>
      </c>
      <c r="E217" s="148"/>
      <c r="F217" s="148"/>
      <c r="G217" s="151"/>
      <c r="H217" s="274" t="s">
        <v>12</v>
      </c>
      <c r="I217" s="387"/>
      <c r="J217" s="387"/>
      <c r="K217" s="279"/>
      <c r="L217" s="155">
        <f ca="1">L218+L219+L220</f>
        <v>46500</v>
      </c>
      <c r="M217" s="155"/>
      <c r="N217" s="155">
        <f>N218+N219+N220</f>
        <v>0</v>
      </c>
      <c r="O217" s="155">
        <f ca="1">IF(L217&gt;0,N217*100/L217,0)</f>
        <v>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0"/>
      <c r="C218" s="33"/>
      <c r="D218" s="281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65">
        <f ca="1">IFERROR(__xludf.DUMMYFUNCTION("IMPORTRANGE(""https://docs.google.com/spreadsheets/d/1QqKyyYR6Q21VydFLVH3TRQUabQu_ym0Zz7PgGX0-kHA/edit?usp=sharing"",""แผน!AP25"")"),8000)</f>
        <v>8000</v>
      </c>
      <c r="M218" s="465"/>
      <c r="N218" s="789">
        <v>0</v>
      </c>
      <c r="O218" s="465"/>
      <c r="P218" s="465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3"/>
      <c r="B219" s="280"/>
      <c r="C219" s="291"/>
      <c r="D219" s="281" t="s">
        <v>110</v>
      </c>
      <c r="E219" s="33"/>
      <c r="F219" s="33"/>
      <c r="G219" s="35"/>
      <c r="H219" s="161" t="s">
        <v>12</v>
      </c>
      <c r="I219" s="269"/>
      <c r="J219" s="269"/>
      <c r="K219" s="465"/>
      <c r="L219" s="465">
        <f ca="1">IFERROR(__xludf.DUMMYFUNCTION("IMPORTRANGE(""https://docs.google.com/spreadsheets/d/1QqKyyYR6Q21VydFLVH3TRQUabQu_ym0Zz7PgGX0-kHA/edit?usp=sharing"",""แผน!AQ25"")"),38500)</f>
        <v>38500</v>
      </c>
      <c r="M219" s="465"/>
      <c r="N219" s="789">
        <v>0</v>
      </c>
      <c r="O219" s="465"/>
      <c r="P219" s="465"/>
      <c r="Q219" s="285"/>
      <c r="R219" s="285"/>
      <c r="S219" s="285"/>
      <c r="T219" s="285"/>
      <c r="U219" s="285"/>
      <c r="V219" s="285"/>
      <c r="W219" s="285"/>
      <c r="X219" s="285"/>
      <c r="Y219" s="285"/>
      <c r="Z219" s="285"/>
    </row>
    <row r="220" spans="1:26" ht="19.5">
      <c r="A220" s="283"/>
      <c r="B220" s="280"/>
      <c r="C220" s="291"/>
      <c r="D220" s="281" t="s">
        <v>98</v>
      </c>
      <c r="E220" s="33"/>
      <c r="F220" s="33"/>
      <c r="G220" s="35"/>
      <c r="H220" s="161" t="s">
        <v>12</v>
      </c>
      <c r="I220" s="269"/>
      <c r="J220" s="269"/>
      <c r="K220" s="465"/>
      <c r="L220" s="465">
        <f ca="1">IFERROR(__xludf.DUMMYFUNCTION("IMPORTRANGE(""https://docs.google.com/spreadsheets/d/1QqKyyYR6Q21VydFLVH3TRQUabQu_ym0Zz7PgGX0-kHA/edit?usp=sharing"",""แผน!AR25"")"),0)</f>
        <v>0</v>
      </c>
      <c r="M220" s="465"/>
      <c r="N220" s="789">
        <v>0</v>
      </c>
      <c r="O220" s="465"/>
      <c r="P220" s="465"/>
      <c r="Q220" s="285"/>
      <c r="R220" s="285"/>
      <c r="S220" s="285"/>
      <c r="T220" s="285"/>
      <c r="U220" s="285"/>
      <c r="V220" s="285"/>
      <c r="W220" s="285"/>
      <c r="X220" s="285"/>
      <c r="Y220" s="285"/>
      <c r="Z220" s="285"/>
    </row>
    <row r="221" spans="1:26" ht="19.5">
      <c r="A221" s="170"/>
      <c r="B221" s="171"/>
      <c r="C221" s="291" t="s">
        <v>16</v>
      </c>
      <c r="D221" s="818" t="s">
        <v>38</v>
      </c>
      <c r="E221" s="173"/>
      <c r="F221" s="173"/>
      <c r="G221" s="174"/>
      <c r="H221" s="726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1" t="s">
        <v>111</v>
      </c>
      <c r="E222" s="342"/>
      <c r="F222" s="342"/>
      <c r="G222" s="179"/>
      <c r="H222" s="726"/>
      <c r="I222" s="269"/>
      <c r="J222" s="269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343" t="s">
        <v>112</v>
      </c>
      <c r="F223" s="342"/>
      <c r="G223" s="179"/>
      <c r="H223" s="728" t="s">
        <v>109</v>
      </c>
      <c r="I223" s="269">
        <f ca="1">IFERROR(__xludf.DUMMYFUNCTION("IMPORTRANGE(""https://docs.google.com/spreadsheets/d/1QqKyyYR6Q21VydFLVH3TRQUabQu_ym0Zz7PgGX0-kHA/edit?usp=sharing"",""แผน!AT25"")"),150000)</f>
        <v>150000</v>
      </c>
      <c r="J223" s="214">
        <v>0</v>
      </c>
      <c r="K223" s="163">
        <f t="shared" ref="K223:K226" ca="1" si="103">IF(I223&gt;0,J223*100/I223,0)</f>
        <v>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343" t="s">
        <v>113</v>
      </c>
      <c r="F224" s="342"/>
      <c r="G224" s="179"/>
      <c r="H224" s="728" t="s">
        <v>109</v>
      </c>
      <c r="I224" s="269">
        <f ca="1">IFERROR(__xludf.DUMMYFUNCTION("IMPORTRANGE(""https://docs.google.com/spreadsheets/d/1QqKyyYR6Q21VydFLVH3TRQUabQu_ym0Zz7PgGX0-kHA/edit?usp=sharing"",""แผน!AT25"")"),150000)</f>
        <v>150000</v>
      </c>
      <c r="J224" s="214">
        <v>0</v>
      </c>
      <c r="K224" s="163">
        <f t="shared" ca="1" si="103"/>
        <v>0</v>
      </c>
      <c r="L224" s="465"/>
      <c r="M224" s="465"/>
      <c r="N224" s="465"/>
      <c r="O224" s="465"/>
      <c r="P224" s="465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1" t="s">
        <v>114</v>
      </c>
      <c r="E225" s="342"/>
      <c r="F225" s="342"/>
      <c r="G225" s="179"/>
      <c r="H225" s="728" t="s">
        <v>35</v>
      </c>
      <c r="I225" s="269">
        <f ca="1">IFERROR(__xludf.DUMMYFUNCTION("IMPORTRANGE(""https://docs.google.com/spreadsheets/d/1QqKyyYR6Q21VydFLVH3TRQUabQu_ym0Zz7PgGX0-kHA/edit?usp=sharing"",""แผน!AS25"")"),0)</f>
        <v>0</v>
      </c>
      <c r="J225" s="214">
        <v>0</v>
      </c>
      <c r="K225" s="163">
        <f t="shared" ca="1" si="103"/>
        <v>0</v>
      </c>
      <c r="L225" s="465"/>
      <c r="M225" s="465"/>
      <c r="N225" s="465"/>
      <c r="O225" s="465"/>
      <c r="P225" s="465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5"/>
      <c r="B226" s="263"/>
      <c r="C226" s="823" t="s">
        <v>115</v>
      </c>
      <c r="D226" s="256"/>
      <c r="E226" s="256"/>
      <c r="F226" s="256"/>
      <c r="G226" s="258"/>
      <c r="H226" s="265" t="s">
        <v>35</v>
      </c>
      <c r="I226" s="824">
        <f t="shared" ref="I226:J226" ca="1" si="104">I237+I248</f>
        <v>0</v>
      </c>
      <c r="J226" s="824">
        <f t="shared" si="104"/>
        <v>0</v>
      </c>
      <c r="K226" s="825">
        <f t="shared" ca="1" si="103"/>
        <v>0</v>
      </c>
      <c r="L226" s="261"/>
      <c r="M226" s="261"/>
      <c r="N226" s="261"/>
      <c r="O226" s="261"/>
      <c r="P226" s="261"/>
    </row>
    <row r="227" spans="1:26" ht="19.5" hidden="1">
      <c r="A227" s="826"/>
      <c r="B227" s="827"/>
      <c r="C227" s="828" t="s">
        <v>16</v>
      </c>
      <c r="D227" s="829" t="s">
        <v>17</v>
      </c>
      <c r="E227" s="827"/>
      <c r="F227" s="827"/>
      <c r="G227" s="830"/>
      <c r="H227" s="831" t="s">
        <v>12</v>
      </c>
      <c r="I227" s="832"/>
      <c r="J227" s="832"/>
      <c r="K227" s="833"/>
      <c r="L227" s="834">
        <f t="shared" ref="L227:L231" ca="1" si="105">L238+L249</f>
        <v>0</v>
      </c>
      <c r="M227" s="834"/>
      <c r="N227" s="834">
        <f t="shared" ref="N227:N231" si="106">N238+N249</f>
        <v>0</v>
      </c>
      <c r="O227" s="835"/>
      <c r="P227" s="835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542"/>
      <c r="C228" s="40"/>
      <c r="D228" s="222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5"/>
        <v>0</v>
      </c>
      <c r="M228" s="93"/>
      <c r="N228" s="93">
        <f t="shared" si="106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836"/>
      <c r="B229" s="542"/>
      <c r="C229" s="837"/>
      <c r="D229" s="222" t="s">
        <v>98</v>
      </c>
      <c r="E229" s="40"/>
      <c r="F229" s="40"/>
      <c r="G229" s="42"/>
      <c r="H229" s="165" t="s">
        <v>12</v>
      </c>
      <c r="I229" s="583"/>
      <c r="J229" s="583"/>
      <c r="K229" s="93"/>
      <c r="L229" s="93">
        <f t="shared" ca="1" si="105"/>
        <v>0</v>
      </c>
      <c r="M229" s="93"/>
      <c r="N229" s="93">
        <f t="shared" si="106"/>
        <v>0</v>
      </c>
      <c r="O229" s="93"/>
      <c r="P229" s="93"/>
      <c r="Q229" s="838"/>
      <c r="R229" s="838"/>
      <c r="S229" s="838"/>
      <c r="T229" s="838"/>
      <c r="U229" s="838"/>
      <c r="V229" s="838"/>
      <c r="W229" s="838"/>
      <c r="X229" s="838"/>
      <c r="Y229" s="838"/>
      <c r="Z229" s="838"/>
    </row>
    <row r="230" spans="1:26" ht="19.5" hidden="1">
      <c r="A230" s="836"/>
      <c r="B230" s="542"/>
      <c r="C230" s="837"/>
      <c r="D230" s="222" t="s">
        <v>116</v>
      </c>
      <c r="E230" s="40"/>
      <c r="F230" s="40"/>
      <c r="G230" s="42"/>
      <c r="H230" s="165" t="s">
        <v>12</v>
      </c>
      <c r="I230" s="583"/>
      <c r="J230" s="583"/>
      <c r="K230" s="93"/>
      <c r="L230" s="93">
        <f t="shared" ca="1" si="105"/>
        <v>0</v>
      </c>
      <c r="M230" s="93"/>
      <c r="N230" s="93">
        <f t="shared" si="106"/>
        <v>0</v>
      </c>
      <c r="O230" s="93"/>
      <c r="P230" s="93"/>
      <c r="Q230" s="838"/>
      <c r="R230" s="838"/>
      <c r="S230" s="838"/>
      <c r="T230" s="838"/>
      <c r="U230" s="838"/>
      <c r="V230" s="838"/>
      <c r="W230" s="838"/>
      <c r="X230" s="838"/>
      <c r="Y230" s="838"/>
      <c r="Z230" s="838"/>
    </row>
    <row r="231" spans="1:26" ht="19.5" hidden="1">
      <c r="A231" s="836"/>
      <c r="B231" s="542"/>
      <c r="C231" s="837"/>
      <c r="D231" s="222" t="s">
        <v>100</v>
      </c>
      <c r="E231" s="40"/>
      <c r="F231" s="40"/>
      <c r="G231" s="42"/>
      <c r="H231" s="165" t="s">
        <v>12</v>
      </c>
      <c r="I231" s="583"/>
      <c r="J231" s="583"/>
      <c r="K231" s="93"/>
      <c r="L231" s="93">
        <f t="shared" ca="1" si="105"/>
        <v>0</v>
      </c>
      <c r="M231" s="93"/>
      <c r="N231" s="93">
        <f t="shared" si="106"/>
        <v>0</v>
      </c>
      <c r="O231" s="93"/>
      <c r="P231" s="93"/>
      <c r="Q231" s="838"/>
      <c r="R231" s="838"/>
      <c r="S231" s="838"/>
      <c r="T231" s="838"/>
      <c r="U231" s="838"/>
      <c r="V231" s="838"/>
      <c r="W231" s="838"/>
      <c r="X231" s="838"/>
      <c r="Y231" s="838"/>
      <c r="Z231" s="838"/>
    </row>
    <row r="232" spans="1:26" ht="19.5" hidden="1">
      <c r="A232" s="839"/>
      <c r="B232" s="840"/>
      <c r="C232" s="837" t="s">
        <v>16</v>
      </c>
      <c r="D232" s="266" t="s">
        <v>38</v>
      </c>
      <c r="E232" s="841"/>
      <c r="F232" s="841"/>
      <c r="G232" s="842"/>
      <c r="H232" s="581"/>
      <c r="I232" s="166"/>
      <c r="J232" s="583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839"/>
      <c r="B233" s="840"/>
      <c r="C233" s="840"/>
      <c r="D233" s="268" t="s">
        <v>117</v>
      </c>
      <c r="E233" s="536"/>
      <c r="F233" s="536"/>
      <c r="G233" s="843"/>
      <c r="H233" s="582" t="s">
        <v>35</v>
      </c>
      <c r="I233" s="583">
        <f t="shared" ref="I233:J233" ca="1" si="107">I244+I255</f>
        <v>0</v>
      </c>
      <c r="J233" s="583">
        <f t="shared" si="107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839"/>
      <c r="B234" s="840"/>
      <c r="C234" s="840"/>
      <c r="D234" s="844" t="s">
        <v>43</v>
      </c>
      <c r="E234" s="536"/>
      <c r="F234" s="536"/>
      <c r="G234" s="843"/>
      <c r="H234" s="582"/>
      <c r="I234" s="583"/>
      <c r="J234" s="583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839"/>
      <c r="B235" s="840"/>
      <c r="C235" s="840"/>
      <c r="D235" s="840"/>
      <c r="E235" s="267" t="s">
        <v>118</v>
      </c>
      <c r="F235" s="536"/>
      <c r="G235" s="843"/>
      <c r="H235" s="582" t="s">
        <v>35</v>
      </c>
      <c r="I235" s="583">
        <f t="shared" ref="I235:J236" si="108">I246+I257</f>
        <v>0</v>
      </c>
      <c r="J235" s="583">
        <f t="shared" si="108"/>
        <v>0</v>
      </c>
      <c r="K235" s="93">
        <f t="shared" ref="K235:K237" si="109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839"/>
      <c r="B236" s="840"/>
      <c r="C236" s="840"/>
      <c r="D236" s="840"/>
      <c r="E236" s="267" t="s">
        <v>119</v>
      </c>
      <c r="F236" s="536"/>
      <c r="G236" s="843"/>
      <c r="H236" s="582" t="s">
        <v>69</v>
      </c>
      <c r="I236" s="583">
        <f t="shared" si="108"/>
        <v>0</v>
      </c>
      <c r="J236" s="583">
        <f t="shared" si="108"/>
        <v>0</v>
      </c>
      <c r="K236" s="93">
        <f t="shared" si="109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5"/>
      <c r="B237" s="263"/>
      <c r="C237" s="339" t="s">
        <v>330</v>
      </c>
      <c r="D237" s="256"/>
      <c r="E237" s="256"/>
      <c r="F237" s="256"/>
      <c r="G237" s="258"/>
      <c r="H237" s="259" t="s">
        <v>35</v>
      </c>
      <c r="I237" s="271">
        <f t="shared" ref="I237:J237" ca="1" si="110">I244</f>
        <v>0</v>
      </c>
      <c r="J237" s="271">
        <f t="shared" si="110"/>
        <v>0</v>
      </c>
      <c r="K237" s="272">
        <f t="shared" ca="1" si="109"/>
        <v>0</v>
      </c>
      <c r="L237" s="261"/>
      <c r="M237" s="261"/>
      <c r="N237" s="261"/>
      <c r="O237" s="261"/>
      <c r="P237" s="261"/>
    </row>
    <row r="238" spans="1:26" ht="19.5" hidden="1">
      <c r="A238" s="147"/>
      <c r="B238" s="148"/>
      <c r="C238" s="149" t="s">
        <v>16</v>
      </c>
      <c r="D238" s="817" t="s">
        <v>17</v>
      </c>
      <c r="E238" s="148"/>
      <c r="F238" s="148"/>
      <c r="G238" s="151"/>
      <c r="H238" s="274" t="s">
        <v>12</v>
      </c>
      <c r="I238" s="387"/>
      <c r="J238" s="387"/>
      <c r="K238" s="279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3"/>
      <c r="B239" s="314"/>
      <c r="C239" s="315"/>
      <c r="D239" s="324" t="s">
        <v>97</v>
      </c>
      <c r="E239" s="315"/>
      <c r="F239" s="315"/>
      <c r="G239" s="317"/>
      <c r="H239" s="318" t="s">
        <v>12</v>
      </c>
      <c r="I239" s="319"/>
      <c r="J239" s="319"/>
      <c r="K239" s="320"/>
      <c r="L239" s="321">
        <f ca="1">IFERROR(__xludf.DUMMYFUNCTION("IMPORTRANGE(""https://docs.google.com/spreadsheets/d/1QqKyyYR6Q21VydFLVH3TRQUabQu_ym0Zz7PgGX0-kHA/edit?usp=sharing"",""แผน!AV25"")"),0)</f>
        <v>0</v>
      </c>
      <c r="M239" s="321"/>
      <c r="N239" s="340">
        <v>0</v>
      </c>
      <c r="O239" s="321"/>
      <c r="P239" s="321"/>
      <c r="Q239" s="312"/>
      <c r="R239" s="312"/>
      <c r="S239" s="312"/>
      <c r="T239" s="312"/>
      <c r="U239" s="312"/>
      <c r="V239" s="312"/>
      <c r="W239" s="312"/>
      <c r="X239" s="312"/>
      <c r="Y239" s="312"/>
      <c r="Z239" s="312"/>
    </row>
    <row r="240" spans="1:26" ht="19.5" hidden="1">
      <c r="A240" s="322"/>
      <c r="B240" s="314"/>
      <c r="C240" s="323"/>
      <c r="D240" s="324" t="s">
        <v>98</v>
      </c>
      <c r="E240" s="315"/>
      <c r="F240" s="315"/>
      <c r="G240" s="317"/>
      <c r="H240" s="318" t="s">
        <v>12</v>
      </c>
      <c r="I240" s="325"/>
      <c r="J240" s="325"/>
      <c r="K240" s="321"/>
      <c r="L240" s="321">
        <f ca="1">IFERROR(__xludf.DUMMYFUNCTION("IMPORTRANGE(""https://docs.google.com/spreadsheets/d/1QqKyyYR6Q21VydFLVH3TRQUabQu_ym0Zz7PgGX0-kHA/edit?usp=sharing"",""แผน!AW25"")"),0)</f>
        <v>0</v>
      </c>
      <c r="M240" s="321"/>
      <c r="N240" s="340">
        <v>0</v>
      </c>
      <c r="O240" s="321"/>
      <c r="P240" s="321"/>
      <c r="Q240" s="326"/>
      <c r="R240" s="326"/>
      <c r="S240" s="326"/>
      <c r="T240" s="326"/>
      <c r="U240" s="326"/>
      <c r="V240" s="326"/>
      <c r="W240" s="326"/>
      <c r="X240" s="326"/>
      <c r="Y240" s="326"/>
      <c r="Z240" s="326"/>
    </row>
    <row r="241" spans="1:26" ht="19.5" hidden="1">
      <c r="A241" s="322"/>
      <c r="B241" s="314"/>
      <c r="C241" s="323"/>
      <c r="D241" s="324" t="s">
        <v>116</v>
      </c>
      <c r="E241" s="315"/>
      <c r="F241" s="315"/>
      <c r="G241" s="317"/>
      <c r="H241" s="318" t="s">
        <v>12</v>
      </c>
      <c r="I241" s="325"/>
      <c r="J241" s="325"/>
      <c r="K241" s="321"/>
      <c r="L241" s="321">
        <f ca="1">IFERROR(__xludf.DUMMYFUNCTION("IMPORTRANGE(""https://docs.google.com/spreadsheets/d/1QqKyyYR6Q21VydFLVH3TRQUabQu_ym0Zz7PgGX0-kHA/edit?usp=sharing"",""แผน!AX25"")"),0)</f>
        <v>0</v>
      </c>
      <c r="M241" s="321"/>
      <c r="N241" s="340">
        <v>0</v>
      </c>
      <c r="O241" s="321"/>
      <c r="P241" s="321"/>
      <c r="Q241" s="326"/>
      <c r="R241" s="326"/>
      <c r="S241" s="326"/>
      <c r="T241" s="326"/>
      <c r="U241" s="326"/>
      <c r="V241" s="326"/>
      <c r="W241" s="326"/>
      <c r="X241" s="326"/>
      <c r="Y241" s="326"/>
      <c r="Z241" s="326"/>
    </row>
    <row r="242" spans="1:26" ht="19.5" hidden="1">
      <c r="A242" s="322"/>
      <c r="B242" s="314"/>
      <c r="C242" s="323"/>
      <c r="D242" s="324" t="s">
        <v>100</v>
      </c>
      <c r="E242" s="315"/>
      <c r="F242" s="315"/>
      <c r="G242" s="317"/>
      <c r="H242" s="318" t="s">
        <v>12</v>
      </c>
      <c r="I242" s="325"/>
      <c r="J242" s="325"/>
      <c r="K242" s="321"/>
      <c r="L242" s="321">
        <f ca="1">IFERROR(__xludf.DUMMYFUNCTION("IMPORTRANGE(""https://docs.google.com/spreadsheets/d/1QqKyyYR6Q21VydFLVH3TRQUabQu_ym0Zz7PgGX0-kHA/edit?usp=sharing"",""แผน!AY25"")"),0)</f>
        <v>0</v>
      </c>
      <c r="M242" s="321"/>
      <c r="N242" s="340">
        <v>0</v>
      </c>
      <c r="O242" s="321"/>
      <c r="P242" s="321"/>
      <c r="Q242" s="326"/>
      <c r="R242" s="326"/>
      <c r="S242" s="326"/>
      <c r="T242" s="326"/>
      <c r="U242" s="326"/>
      <c r="V242" s="326"/>
      <c r="W242" s="326"/>
      <c r="X242" s="326"/>
      <c r="Y242" s="326"/>
      <c r="Z242" s="326"/>
    </row>
    <row r="243" spans="1:26" ht="19.5" hidden="1">
      <c r="A243" s="170"/>
      <c r="B243" s="171"/>
      <c r="C243" s="291" t="s">
        <v>16</v>
      </c>
      <c r="D243" s="818" t="s">
        <v>38</v>
      </c>
      <c r="E243" s="173"/>
      <c r="F243" s="173"/>
      <c r="G243" s="174"/>
      <c r="H243" s="726"/>
      <c r="I243" s="184"/>
      <c r="J243" s="269"/>
      <c r="K243" s="465"/>
      <c r="L243" s="465"/>
      <c r="M243" s="465"/>
      <c r="N243" s="465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15" t="s">
        <v>117</v>
      </c>
      <c r="E244" s="342"/>
      <c r="F244" s="342"/>
      <c r="G244" s="179"/>
      <c r="H244" s="728" t="s">
        <v>35</v>
      </c>
      <c r="I244" s="269">
        <f ca="1">IFERROR(__xludf.DUMMYFUNCTION("IMPORTRANGE(""https://docs.google.com/spreadsheets/d/1QqKyyYR6Q21VydFLVH3TRQUabQu_ym0Zz7PgGX0-kHA/edit?usp=sharing"",""แผน!BE25"")"),0)</f>
        <v>0</v>
      </c>
      <c r="J244" s="214">
        <v>0</v>
      </c>
      <c r="K244" s="465">
        <f ca="1">IF(I244&gt;0,J244*100/I244,0)</f>
        <v>0</v>
      </c>
      <c r="L244" s="465"/>
      <c r="M244" s="465"/>
      <c r="N244" s="465"/>
      <c r="O244" s="465"/>
      <c r="P244" s="465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341" t="s">
        <v>43</v>
      </c>
      <c r="E245" s="342"/>
      <c r="F245" s="342"/>
      <c r="G245" s="179"/>
      <c r="H245" s="728"/>
      <c r="I245" s="269"/>
      <c r="J245" s="269"/>
      <c r="K245" s="465"/>
      <c r="L245" s="465"/>
      <c r="M245" s="465"/>
      <c r="N245" s="465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343" t="s">
        <v>118</v>
      </c>
      <c r="F246" s="342"/>
      <c r="G246" s="179"/>
      <c r="H246" s="728" t="s">
        <v>35</v>
      </c>
      <c r="I246" s="269"/>
      <c r="J246" s="214">
        <v>0</v>
      </c>
      <c r="K246" s="465">
        <f t="shared" ref="K246:K248" si="111">IF(I246&gt;0,J246*100/I246,0)</f>
        <v>0</v>
      </c>
      <c r="L246" s="465"/>
      <c r="M246" s="465"/>
      <c r="N246" s="465"/>
      <c r="O246" s="465"/>
      <c r="P246" s="465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343" t="s">
        <v>119</v>
      </c>
      <c r="F247" s="342"/>
      <c r="G247" s="179"/>
      <c r="H247" s="728" t="s">
        <v>69</v>
      </c>
      <c r="I247" s="269"/>
      <c r="J247" s="214">
        <v>0</v>
      </c>
      <c r="K247" s="465">
        <f t="shared" si="111"/>
        <v>0</v>
      </c>
      <c r="L247" s="465"/>
      <c r="M247" s="465"/>
      <c r="N247" s="465"/>
      <c r="O247" s="465"/>
      <c r="P247" s="465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5"/>
      <c r="B248" s="263"/>
      <c r="C248" s="339" t="s">
        <v>331</v>
      </c>
      <c r="D248" s="256"/>
      <c r="E248" s="256"/>
      <c r="F248" s="256"/>
      <c r="G248" s="258"/>
      <c r="H248" s="259" t="s">
        <v>35</v>
      </c>
      <c r="I248" s="271">
        <f t="shared" ref="I248:J248" ca="1" si="112">I255</f>
        <v>0</v>
      </c>
      <c r="J248" s="271">
        <f t="shared" si="112"/>
        <v>0</v>
      </c>
      <c r="K248" s="272">
        <f t="shared" ca="1" si="111"/>
        <v>0</v>
      </c>
      <c r="L248" s="261"/>
      <c r="M248" s="261"/>
      <c r="N248" s="261"/>
      <c r="O248" s="261"/>
      <c r="P248" s="261"/>
    </row>
    <row r="249" spans="1:26" ht="19.5" hidden="1">
      <c r="A249" s="147"/>
      <c r="B249" s="148"/>
      <c r="C249" s="149" t="s">
        <v>16</v>
      </c>
      <c r="D249" s="822" t="s">
        <v>17</v>
      </c>
      <c r="E249" s="148"/>
      <c r="F249" s="148"/>
      <c r="G249" s="151"/>
      <c r="H249" s="274" t="s">
        <v>12</v>
      </c>
      <c r="I249" s="387"/>
      <c r="J249" s="387"/>
      <c r="K249" s="279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3"/>
      <c r="B250" s="314"/>
      <c r="C250" s="315"/>
      <c r="D250" s="324" t="s">
        <v>97</v>
      </c>
      <c r="E250" s="315"/>
      <c r="F250" s="315"/>
      <c r="G250" s="317"/>
      <c r="H250" s="318" t="s">
        <v>12</v>
      </c>
      <c r="I250" s="319"/>
      <c r="J250" s="319"/>
      <c r="K250" s="320"/>
      <c r="L250" s="321">
        <f ca="1">IFERROR(__xludf.DUMMYFUNCTION("IMPORTRANGE(""https://docs.google.com/spreadsheets/d/1QqKyyYR6Q21VydFLVH3TRQUabQu_ym0Zz7PgGX0-kHA/edit?usp=sharing"",""แผน!AZ25"")"),0)</f>
        <v>0</v>
      </c>
      <c r="M250" s="321"/>
      <c r="N250" s="340">
        <v>0</v>
      </c>
      <c r="O250" s="321"/>
      <c r="P250" s="321"/>
      <c r="Q250" s="312"/>
      <c r="R250" s="312"/>
      <c r="S250" s="312"/>
      <c r="T250" s="312"/>
      <c r="U250" s="312"/>
      <c r="V250" s="312"/>
      <c r="W250" s="312"/>
      <c r="X250" s="312"/>
      <c r="Y250" s="312"/>
      <c r="Z250" s="312"/>
    </row>
    <row r="251" spans="1:26" ht="19.5" hidden="1">
      <c r="A251" s="322"/>
      <c r="B251" s="314"/>
      <c r="C251" s="323"/>
      <c r="D251" s="324" t="s">
        <v>98</v>
      </c>
      <c r="E251" s="315"/>
      <c r="F251" s="315"/>
      <c r="G251" s="317"/>
      <c r="H251" s="318" t="s">
        <v>12</v>
      </c>
      <c r="I251" s="325"/>
      <c r="J251" s="325"/>
      <c r="K251" s="321"/>
      <c r="L251" s="321">
        <f ca="1">IFERROR(__xludf.DUMMYFUNCTION("IMPORTRANGE(""https://docs.google.com/spreadsheets/d/1QqKyyYR6Q21VydFLVH3TRQUabQu_ym0Zz7PgGX0-kHA/edit?usp=sharing"",""แผน!BA25"")"),0)</f>
        <v>0</v>
      </c>
      <c r="M251" s="321"/>
      <c r="N251" s="340">
        <v>0</v>
      </c>
      <c r="O251" s="321"/>
      <c r="P251" s="321"/>
      <c r="Q251" s="326"/>
      <c r="R251" s="326"/>
      <c r="S251" s="326"/>
      <c r="T251" s="326"/>
      <c r="U251" s="326"/>
      <c r="V251" s="326"/>
      <c r="W251" s="326"/>
      <c r="X251" s="326"/>
      <c r="Y251" s="326"/>
      <c r="Z251" s="326"/>
    </row>
    <row r="252" spans="1:26" ht="19.5" hidden="1">
      <c r="A252" s="322"/>
      <c r="B252" s="314"/>
      <c r="C252" s="323"/>
      <c r="D252" s="324" t="s">
        <v>116</v>
      </c>
      <c r="E252" s="315"/>
      <c r="F252" s="315"/>
      <c r="G252" s="317"/>
      <c r="H252" s="318" t="s">
        <v>12</v>
      </c>
      <c r="I252" s="325"/>
      <c r="J252" s="325"/>
      <c r="K252" s="321"/>
      <c r="L252" s="321">
        <f ca="1">IFERROR(__xludf.DUMMYFUNCTION("IMPORTRANGE(""https://docs.google.com/spreadsheets/d/1QqKyyYR6Q21VydFLVH3TRQUabQu_ym0Zz7PgGX0-kHA/edit?usp=sharing"",""แผน!BB25"")"),0)</f>
        <v>0</v>
      </c>
      <c r="M252" s="321"/>
      <c r="N252" s="340">
        <v>0</v>
      </c>
      <c r="O252" s="321"/>
      <c r="P252" s="321"/>
      <c r="Q252" s="326"/>
      <c r="R252" s="326"/>
      <c r="S252" s="326"/>
      <c r="T252" s="326"/>
      <c r="U252" s="326"/>
      <c r="V252" s="326"/>
      <c r="W252" s="326"/>
      <c r="X252" s="326"/>
      <c r="Y252" s="326"/>
      <c r="Z252" s="326"/>
    </row>
    <row r="253" spans="1:26" ht="19.5" hidden="1">
      <c r="A253" s="322"/>
      <c r="B253" s="314"/>
      <c r="C253" s="323"/>
      <c r="D253" s="324" t="s">
        <v>100</v>
      </c>
      <c r="E253" s="315"/>
      <c r="F253" s="315"/>
      <c r="G253" s="317"/>
      <c r="H253" s="318" t="s">
        <v>12</v>
      </c>
      <c r="I253" s="325"/>
      <c r="J253" s="325"/>
      <c r="K253" s="321"/>
      <c r="L253" s="321">
        <f ca="1">IFERROR(__xludf.DUMMYFUNCTION("IMPORTRANGE(""https://docs.google.com/spreadsheets/d/1QqKyyYR6Q21VydFLVH3TRQUabQu_ym0Zz7PgGX0-kHA/edit?usp=sharing"",""แผน!BC25"")"),0)</f>
        <v>0</v>
      </c>
      <c r="M253" s="321"/>
      <c r="N253" s="340">
        <v>0</v>
      </c>
      <c r="O253" s="321"/>
      <c r="P253" s="321"/>
      <c r="Q253" s="326"/>
      <c r="R253" s="326"/>
      <c r="S253" s="326"/>
      <c r="T253" s="326"/>
      <c r="U253" s="326"/>
      <c r="V253" s="326"/>
      <c r="W253" s="326"/>
      <c r="X253" s="326"/>
      <c r="Y253" s="326"/>
      <c r="Z253" s="326"/>
    </row>
    <row r="254" spans="1:26" ht="19.5" hidden="1">
      <c r="A254" s="170"/>
      <c r="B254" s="171"/>
      <c r="C254" s="291" t="s">
        <v>16</v>
      </c>
      <c r="D254" s="818" t="s">
        <v>38</v>
      </c>
      <c r="E254" s="173"/>
      <c r="F254" s="173"/>
      <c r="G254" s="174"/>
      <c r="H254" s="726"/>
      <c r="I254" s="184"/>
      <c r="J254" s="269"/>
      <c r="K254" s="465"/>
      <c r="L254" s="465"/>
      <c r="M254" s="465"/>
      <c r="N254" s="465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15" t="s">
        <v>117</v>
      </c>
      <c r="E255" s="342"/>
      <c r="F255" s="342"/>
      <c r="G255" s="179"/>
      <c r="H255" s="728" t="s">
        <v>35</v>
      </c>
      <c r="I255" s="269">
        <f ca="1">IFERROR(__xludf.DUMMYFUNCTION("IMPORTRANGE(""https://docs.google.com/spreadsheets/d/1QqKyyYR6Q21VydFLVH3TRQUabQu_ym0Zz7PgGX0-kHA/edit?usp=sharing"",""แผน!BF25"")"),0)</f>
        <v>0</v>
      </c>
      <c r="J255" s="214">
        <v>0</v>
      </c>
      <c r="K255" s="465">
        <f ca="1">IF(I255&gt;0,J255*100/I255,0)</f>
        <v>0</v>
      </c>
      <c r="L255" s="465"/>
      <c r="M255" s="465"/>
      <c r="N255" s="465"/>
      <c r="O255" s="465"/>
      <c r="P255" s="465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341" t="s">
        <v>43</v>
      </c>
      <c r="E256" s="342"/>
      <c r="F256" s="342"/>
      <c r="G256" s="179"/>
      <c r="H256" s="728"/>
      <c r="I256" s="269"/>
      <c r="J256" s="269"/>
      <c r="K256" s="465"/>
      <c r="L256" s="465"/>
      <c r="M256" s="465"/>
      <c r="N256" s="465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343" t="s">
        <v>118</v>
      </c>
      <c r="F257" s="342"/>
      <c r="G257" s="179"/>
      <c r="H257" s="728" t="s">
        <v>35</v>
      </c>
      <c r="I257" s="269"/>
      <c r="J257" s="214">
        <v>0</v>
      </c>
      <c r="K257" s="465">
        <f t="shared" ref="K257:K258" si="113">IF(I257&gt;0,J257*100/I257,0)</f>
        <v>0</v>
      </c>
      <c r="L257" s="465"/>
      <c r="M257" s="465"/>
      <c r="N257" s="465"/>
      <c r="O257" s="465"/>
      <c r="P257" s="465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343" t="s">
        <v>119</v>
      </c>
      <c r="F258" s="342"/>
      <c r="G258" s="179"/>
      <c r="H258" s="728" t="s">
        <v>69</v>
      </c>
      <c r="I258" s="269"/>
      <c r="J258" s="214">
        <v>0</v>
      </c>
      <c r="K258" s="465">
        <f t="shared" si="113"/>
        <v>0</v>
      </c>
      <c r="L258" s="465"/>
      <c r="M258" s="465"/>
      <c r="N258" s="465"/>
      <c r="O258" s="465"/>
      <c r="P258" s="465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1" t="s">
        <v>122</v>
      </c>
      <c r="B259" s="242"/>
      <c r="C259" s="242"/>
      <c r="D259" s="243"/>
      <c r="E259" s="243"/>
      <c r="F259" s="243"/>
      <c r="G259" s="244"/>
      <c r="H259" s="245"/>
      <c r="I259" s="246"/>
      <c r="J259" s="246"/>
      <c r="K259" s="247"/>
      <c r="L259" s="247"/>
      <c r="M259" s="247"/>
      <c r="N259" s="247"/>
      <c r="O259" s="247"/>
      <c r="P259" s="247"/>
    </row>
    <row r="260" spans="1:26" ht="19.5">
      <c r="A260" s="248"/>
      <c r="B260" s="249" t="s">
        <v>123</v>
      </c>
      <c r="C260" s="250"/>
      <c r="D260" s="173"/>
      <c r="E260" s="173"/>
      <c r="F260" s="173"/>
      <c r="G260" s="174"/>
      <c r="H260" s="251" t="s">
        <v>35</v>
      </c>
      <c r="I260" s="252">
        <f t="shared" ref="I260:J260" ca="1" si="114">I271</f>
        <v>20</v>
      </c>
      <c r="J260" s="252">
        <f t="shared" si="114"/>
        <v>0</v>
      </c>
      <c r="K260" s="253">
        <f ca="1">IF(I260&gt;0,J260*100/I260,0)</f>
        <v>0</v>
      </c>
      <c r="L260" s="254"/>
      <c r="M260" s="254"/>
      <c r="N260" s="254"/>
      <c r="O260" s="254"/>
      <c r="P260" s="254"/>
    </row>
    <row r="261" spans="1:26" ht="19.5">
      <c r="A261" s="147"/>
      <c r="B261" s="148"/>
      <c r="C261" s="149" t="s">
        <v>16</v>
      </c>
      <c r="D261" s="817" t="s">
        <v>17</v>
      </c>
      <c r="E261" s="148"/>
      <c r="F261" s="148"/>
      <c r="G261" s="151"/>
      <c r="H261" s="152" t="s">
        <v>12</v>
      </c>
      <c r="I261" s="388"/>
      <c r="J261" s="388"/>
      <c r="K261" s="154"/>
      <c r="L261" s="155">
        <f t="shared" ref="L261:N261" ca="1" si="115">L262+L263</f>
        <v>25000</v>
      </c>
      <c r="M261" s="155">
        <f t="shared" ca="1" si="115"/>
        <v>22000</v>
      </c>
      <c r="N261" s="155">
        <f t="shared" ca="1" si="115"/>
        <v>0</v>
      </c>
      <c r="O261" s="155">
        <f t="shared" ref="O261:O269" ca="1" si="116">IF(L261&gt;0,N261*100/L261,0)</f>
        <v>0</v>
      </c>
      <c r="P261" s="155">
        <f t="shared" ref="P261:P269" ca="1" si="117">IF(M261&gt;0,N261*100/M261,0)</f>
        <v>0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2" t="s">
        <v>18</v>
      </c>
      <c r="F262" s="40"/>
      <c r="G262" s="157"/>
      <c r="H262" s="158" t="s">
        <v>12</v>
      </c>
      <c r="I262" s="583"/>
      <c r="J262" s="583"/>
      <c r="K262" s="93"/>
      <c r="L262" s="93">
        <f t="shared" ref="L262:N263" si="118">L265+L268</f>
        <v>0</v>
      </c>
      <c r="M262" s="93">
        <f t="shared" si="118"/>
        <v>0</v>
      </c>
      <c r="N262" s="93">
        <f t="shared" si="118"/>
        <v>0</v>
      </c>
      <c r="O262" s="93">
        <f t="shared" si="116"/>
        <v>0</v>
      </c>
      <c r="P262" s="93">
        <f t="shared" si="117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2" t="s">
        <v>19</v>
      </c>
      <c r="F263" s="40"/>
      <c r="G263" s="157"/>
      <c r="H263" s="158" t="s">
        <v>12</v>
      </c>
      <c r="I263" s="583"/>
      <c r="J263" s="583"/>
      <c r="K263" s="93"/>
      <c r="L263" s="93">
        <f t="shared" ca="1" si="118"/>
        <v>25000</v>
      </c>
      <c r="M263" s="93">
        <f t="shared" ca="1" si="118"/>
        <v>22000</v>
      </c>
      <c r="N263" s="93">
        <f t="shared" ca="1" si="118"/>
        <v>0</v>
      </c>
      <c r="O263" s="93">
        <f t="shared" ca="1" si="116"/>
        <v>0</v>
      </c>
      <c r="P263" s="93">
        <f t="shared" ca="1" si="117"/>
        <v>0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1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65">
        <f t="shared" ref="L264:N264" ca="1" si="119">L265+L266</f>
        <v>25000</v>
      </c>
      <c r="M264" s="465">
        <f t="shared" ca="1" si="119"/>
        <v>22000</v>
      </c>
      <c r="N264" s="465">
        <f t="shared" ca="1" si="119"/>
        <v>0</v>
      </c>
      <c r="O264" s="465">
        <f t="shared" ca="1" si="116"/>
        <v>0</v>
      </c>
      <c r="P264" s="465">
        <f t="shared" ca="1" si="117"/>
        <v>0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2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6"/>
        <v>0</v>
      </c>
      <c r="P265" s="93">
        <f t="shared" si="117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2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IFERROR(__xludf.DUMMYFUNCTION("IMPORTRANGE(""https://docs.google.com/spreadsheets/d/1MeEWN-I1oV_STSDYn1IFDPWt_1FKiwhDph83XaGc0o0/edit?usp=sharing"",""งบพรบ!CY25"")"),25000)</f>
        <v>25000</v>
      </c>
      <c r="M266" s="93">
        <f ca="1">IFERROR(__xludf.DUMMYFUNCTION("IMPORTRANGE(""https://docs.google.com/spreadsheets/d/1MeEWN-I1oV_STSDYn1IFDPWt_1FKiwhDph83XaGc0o0/edit?usp=sharing"",""งบพรบ!DD25"")"),22000)</f>
        <v>22000</v>
      </c>
      <c r="N266" s="93">
        <f ca="1">IFERROR(__xludf.DUMMYFUNCTION("IMPORTRANGE(""https://docs.google.com/spreadsheets/d/1MeEWN-I1oV_STSDYn1IFDPWt_1FKiwhDph83XaGc0o0/edit?usp=sharing"",""งบพรบ!DF25"")"),0)</f>
        <v>0</v>
      </c>
      <c r="O266" s="93">
        <f t="shared" ca="1" si="116"/>
        <v>0</v>
      </c>
      <c r="P266" s="93">
        <f t="shared" ca="1" si="117"/>
        <v>0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1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65">
        <f t="shared" ref="L267:N267" ca="1" si="120">L268+L269</f>
        <v>0</v>
      </c>
      <c r="M267" s="465">
        <f t="shared" ca="1" si="120"/>
        <v>0</v>
      </c>
      <c r="N267" s="465">
        <f t="shared" ca="1" si="120"/>
        <v>0</v>
      </c>
      <c r="O267" s="465">
        <f t="shared" ca="1" si="116"/>
        <v>0</v>
      </c>
      <c r="P267" s="465">
        <f t="shared" ca="1" si="117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2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6"/>
        <v>0</v>
      </c>
      <c r="P268" s="93">
        <f t="shared" si="117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2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IFERROR(__xludf.DUMMYFUNCTION("IMPORTRANGE(""https://docs.google.com/spreadsheets/d/1MeEWN-I1oV_STSDYn1IFDPWt_1FKiwhDph83XaGc0o0/edit?usp=sharing"",""งบพรบ!DB25"")"),0)</f>
        <v>0</v>
      </c>
      <c r="M269" s="93">
        <f ca="1">IFERROR(__xludf.DUMMYFUNCTION("IMPORTRANGE(""https://docs.google.com/spreadsheets/d/1MeEWN-I1oV_STSDYn1IFDPWt_1FKiwhDph83XaGc0o0/edit?usp=sharing"",""งบพรบ!DE25"")"),0)</f>
        <v>0</v>
      </c>
      <c r="N269" s="93">
        <f ca="1">IFERROR(__xludf.DUMMYFUNCTION("IMPORTRANGE(""https://docs.google.com/spreadsheets/d/1MeEWN-I1oV_STSDYn1IFDPWt_1FKiwhDph83XaGc0o0/edit?usp=sharing"",""งบพรบ!DG25"")"),0)</f>
        <v>0</v>
      </c>
      <c r="O269" s="93">
        <f t="shared" ca="1" si="116"/>
        <v>0</v>
      </c>
      <c r="P269" s="93">
        <f t="shared" ca="1" si="117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1" t="s">
        <v>16</v>
      </c>
      <c r="D270" s="818" t="s">
        <v>38</v>
      </c>
      <c r="E270" s="173"/>
      <c r="F270" s="173"/>
      <c r="G270" s="174"/>
      <c r="H270" s="726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44" t="s">
        <v>124</v>
      </c>
      <c r="E271" s="342"/>
      <c r="F271" s="268"/>
      <c r="G271" s="179"/>
      <c r="H271" s="345" t="s">
        <v>35</v>
      </c>
      <c r="I271" s="269">
        <f ca="1">IFERROR(__xludf.DUMMYFUNCTION("IMPORTRANGE(""https://docs.google.com/spreadsheets/d/1QqKyyYR6Q21VydFLVH3TRQUabQu_ym0Zz7PgGX0-kHA/edit?usp=sharing"",""แผน!EA25"")"),20)</f>
        <v>20</v>
      </c>
      <c r="J271" s="214">
        <v>0</v>
      </c>
      <c r="K271" s="163">
        <f ca="1">IF(I271&gt;0,J271*100/I271,0)</f>
        <v>0</v>
      </c>
      <c r="L271" s="163"/>
      <c r="M271" s="163"/>
      <c r="N271" s="163"/>
      <c r="O271" s="163"/>
      <c r="P271" s="163"/>
    </row>
    <row r="272" spans="1:26" ht="18.75" hidden="1">
      <c r="A272" s="346"/>
      <c r="B272" s="347"/>
      <c r="C272" s="347"/>
      <c r="D272" s="348" t="s">
        <v>125</v>
      </c>
      <c r="E272" s="349"/>
      <c r="F272" s="349"/>
      <c r="G272" s="350"/>
      <c r="H272" s="50" t="s">
        <v>35</v>
      </c>
      <c r="I272" s="468">
        <v>0</v>
      </c>
      <c r="J272" s="468">
        <v>0</v>
      </c>
      <c r="K272" s="353">
        <v>0</v>
      </c>
      <c r="L272" s="353"/>
      <c r="M272" s="353"/>
      <c r="N272" s="353"/>
      <c r="O272" s="353"/>
      <c r="P272" s="353"/>
    </row>
    <row r="273" spans="1:26" ht="19.5" hidden="1">
      <c r="A273" s="354" t="s">
        <v>126</v>
      </c>
      <c r="B273" s="355"/>
      <c r="C273" s="355"/>
      <c r="D273" s="355"/>
      <c r="E273" s="356"/>
      <c r="F273" s="356"/>
      <c r="G273" s="357"/>
      <c r="H273" s="358"/>
      <c r="I273" s="359"/>
      <c r="J273" s="359"/>
      <c r="K273" s="360"/>
      <c r="L273" s="360"/>
      <c r="M273" s="360"/>
      <c r="N273" s="360"/>
      <c r="O273" s="360"/>
      <c r="P273" s="360"/>
    </row>
    <row r="274" spans="1:26" ht="19.5" hidden="1">
      <c r="A274" s="361" t="s">
        <v>127</v>
      </c>
      <c r="B274" s="362"/>
      <c r="C274" s="363"/>
      <c r="D274" s="362"/>
      <c r="E274" s="362"/>
      <c r="F274" s="362"/>
      <c r="G274" s="362"/>
      <c r="H274" s="364"/>
      <c r="I274" s="365"/>
      <c r="J274" s="366"/>
      <c r="K274" s="367"/>
      <c r="L274" s="367"/>
      <c r="M274" s="367"/>
      <c r="N274" s="367"/>
      <c r="O274" s="367"/>
      <c r="P274" s="367"/>
    </row>
    <row r="275" spans="1:26" ht="19.5" hidden="1">
      <c r="A275" s="368"/>
      <c r="B275" s="377" t="s">
        <v>128</v>
      </c>
      <c r="C275" s="370"/>
      <c r="D275" s="371"/>
      <c r="E275" s="370"/>
      <c r="F275" s="370"/>
      <c r="G275" s="372"/>
      <c r="H275" s="373" t="s">
        <v>35</v>
      </c>
      <c r="I275" s="374">
        <f t="shared" ref="I275:J275" ca="1" si="121">I288</f>
        <v>0</v>
      </c>
      <c r="J275" s="374">
        <f t="shared" ca="1" si="121"/>
        <v>0</v>
      </c>
      <c r="K275" s="375">
        <f t="shared" ref="K275:K276" ca="1" si="122">IF(I275&gt;0,J275*100/I275,0)</f>
        <v>0</v>
      </c>
      <c r="L275" s="376"/>
      <c r="M275" s="376"/>
      <c r="N275" s="376"/>
      <c r="O275" s="376"/>
      <c r="P275" s="376"/>
    </row>
    <row r="276" spans="1:26" ht="19.5" hidden="1">
      <c r="A276" s="368"/>
      <c r="B276" s="377"/>
      <c r="C276" s="370"/>
      <c r="D276" s="371"/>
      <c r="E276" s="370"/>
      <c r="F276" s="370"/>
      <c r="G276" s="372"/>
      <c r="H276" s="373" t="s">
        <v>46</v>
      </c>
      <c r="I276" s="859">
        <f t="shared" ref="I276:J276" ca="1" si="123">I287</f>
        <v>0</v>
      </c>
      <c r="J276" s="859">
        <f t="shared" si="123"/>
        <v>0</v>
      </c>
      <c r="K276" s="376">
        <f t="shared" ca="1" si="122"/>
        <v>0</v>
      </c>
      <c r="L276" s="376"/>
      <c r="M276" s="376"/>
      <c r="N276" s="376"/>
      <c r="O276" s="376"/>
      <c r="P276" s="376"/>
    </row>
    <row r="277" spans="1:26" ht="19.5" hidden="1">
      <c r="A277" s="147"/>
      <c r="B277" s="148"/>
      <c r="C277" s="149" t="s">
        <v>16</v>
      </c>
      <c r="D277" s="817" t="s">
        <v>17</v>
      </c>
      <c r="E277" s="148"/>
      <c r="F277" s="148"/>
      <c r="G277" s="151"/>
      <c r="H277" s="152" t="s">
        <v>12</v>
      </c>
      <c r="I277" s="388"/>
      <c r="J277" s="388"/>
      <c r="K277" s="154"/>
      <c r="L277" s="155">
        <f t="shared" ref="L277:N277" ca="1" si="124">L278+L279</f>
        <v>0</v>
      </c>
      <c r="M277" s="155">
        <f t="shared" ca="1" si="124"/>
        <v>0</v>
      </c>
      <c r="N277" s="155">
        <f t="shared" ca="1" si="124"/>
        <v>0</v>
      </c>
      <c r="O277" s="155">
        <f t="shared" ref="O277:O285" ca="1" si="125">IF(L277&gt;0,N277*100/L277,0)</f>
        <v>0</v>
      </c>
      <c r="P277" s="155">
        <f t="shared" ref="P277:P285" ca="1" si="126">IF(M277&gt;0,N277*100/M277,0)</f>
        <v>0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2" t="s">
        <v>18</v>
      </c>
      <c r="F278" s="40"/>
      <c r="G278" s="157"/>
      <c r="H278" s="158" t="s">
        <v>12</v>
      </c>
      <c r="I278" s="583"/>
      <c r="J278" s="583"/>
      <c r="K278" s="93"/>
      <c r="L278" s="93">
        <f t="shared" ref="L278:N279" si="127">L281+L284</f>
        <v>0</v>
      </c>
      <c r="M278" s="93">
        <f t="shared" si="127"/>
        <v>0</v>
      </c>
      <c r="N278" s="93">
        <f t="shared" si="127"/>
        <v>0</v>
      </c>
      <c r="O278" s="93">
        <f t="shared" si="125"/>
        <v>0</v>
      </c>
      <c r="P278" s="93">
        <f t="shared" si="126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2" t="s">
        <v>19</v>
      </c>
      <c r="F279" s="40"/>
      <c r="G279" s="157"/>
      <c r="H279" s="158" t="s">
        <v>12</v>
      </c>
      <c r="I279" s="583"/>
      <c r="J279" s="583"/>
      <c r="K279" s="93"/>
      <c r="L279" s="93">
        <f t="shared" ca="1" si="127"/>
        <v>0</v>
      </c>
      <c r="M279" s="93">
        <f t="shared" ca="1" si="127"/>
        <v>0</v>
      </c>
      <c r="N279" s="93">
        <f t="shared" ca="1" si="127"/>
        <v>0</v>
      </c>
      <c r="O279" s="93">
        <f t="shared" ca="1" si="125"/>
        <v>0</v>
      </c>
      <c r="P279" s="93">
        <f t="shared" ca="1" si="126"/>
        <v>0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 hidden="1">
      <c r="A280" s="159"/>
      <c r="B280" s="33"/>
      <c r="C280" s="281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65">
        <f t="shared" ref="L280:N280" ca="1" si="128">L281+L282</f>
        <v>0</v>
      </c>
      <c r="M280" s="465">
        <f t="shared" ca="1" si="128"/>
        <v>0</v>
      </c>
      <c r="N280" s="465">
        <f t="shared" ca="1" si="128"/>
        <v>0</v>
      </c>
      <c r="O280" s="465">
        <f t="shared" ca="1" si="125"/>
        <v>0</v>
      </c>
      <c r="P280" s="465">
        <f t="shared" ca="1" si="126"/>
        <v>0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2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5"/>
        <v>0</v>
      </c>
      <c r="P281" s="93">
        <f t="shared" si="126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2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IFERROR(__xludf.DUMMYFUNCTION("IMPORTRANGE(""https://docs.google.com/spreadsheets/d/1MeEWN-I1oV_STSDYn1IFDPWt_1FKiwhDph83XaGc0o0/edit?usp=sharing"",""งบพรบ!DI25"")"),0)</f>
        <v>0</v>
      </c>
      <c r="M282" s="93">
        <f ca="1">IFERROR(__xludf.DUMMYFUNCTION("IMPORTRANGE(""https://docs.google.com/spreadsheets/d/1MeEWN-I1oV_STSDYn1IFDPWt_1FKiwhDph83XaGc0o0/edit?usp=sharing"",""งบพรบ!DN25"")"),0)</f>
        <v>0</v>
      </c>
      <c r="N282" s="93">
        <f ca="1">IFERROR(__xludf.DUMMYFUNCTION("IMPORTRANGE(""https://docs.google.com/spreadsheets/d/1MeEWN-I1oV_STSDYn1IFDPWt_1FKiwhDph83XaGc0o0/edit?usp=sharing"",""งบพรบ!DP25"")"),0)</f>
        <v>0</v>
      </c>
      <c r="O282" s="93">
        <f t="shared" ca="1" si="125"/>
        <v>0</v>
      </c>
      <c r="P282" s="93">
        <f t="shared" ca="1" si="126"/>
        <v>0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 hidden="1">
      <c r="A283" s="159"/>
      <c r="B283" s="33"/>
      <c r="C283" s="281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65">
        <f t="shared" ref="L283:N283" ca="1" si="129">L284+L285</f>
        <v>0</v>
      </c>
      <c r="M283" s="465">
        <f t="shared" ca="1" si="129"/>
        <v>0</v>
      </c>
      <c r="N283" s="465">
        <f t="shared" ca="1" si="129"/>
        <v>0</v>
      </c>
      <c r="O283" s="465">
        <f t="shared" ca="1" si="125"/>
        <v>0</v>
      </c>
      <c r="P283" s="465">
        <f t="shared" ca="1" si="126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2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5"/>
        <v>0</v>
      </c>
      <c r="P284" s="93">
        <f t="shared" si="126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2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IFERROR(__xludf.DUMMYFUNCTION("IMPORTRANGE(""https://docs.google.com/spreadsheets/d/1MeEWN-I1oV_STSDYn1IFDPWt_1FKiwhDph83XaGc0o0/edit?usp=sharing"",""งบพรบ!DL25"")"),0)</f>
        <v>0</v>
      </c>
      <c r="M285" s="93">
        <f ca="1">IFERROR(__xludf.DUMMYFUNCTION("IMPORTRANGE(""https://docs.google.com/spreadsheets/d/1MeEWN-I1oV_STSDYn1IFDPWt_1FKiwhDph83XaGc0o0/edit?usp=sharing"",""งบพรบ!DO25"")"),0)</f>
        <v>0</v>
      </c>
      <c r="N285" s="93">
        <f ca="1">IFERROR(__xludf.DUMMYFUNCTION("IMPORTRANGE(""https://docs.google.com/spreadsheets/d/1MeEWN-I1oV_STSDYn1IFDPWt_1FKiwhDph83XaGc0o0/edit?usp=sharing"",""งบพรบ!DQ25"")"),0)</f>
        <v>0</v>
      </c>
      <c r="O285" s="93">
        <f t="shared" ca="1" si="125"/>
        <v>0</v>
      </c>
      <c r="P285" s="93">
        <f t="shared" ca="1" si="126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 hidden="1">
      <c r="A286" s="170"/>
      <c r="B286" s="171"/>
      <c r="C286" s="164" t="s">
        <v>16</v>
      </c>
      <c r="D286" s="818" t="s">
        <v>38</v>
      </c>
      <c r="E286" s="173"/>
      <c r="F286" s="173"/>
      <c r="G286" s="174"/>
      <c r="H286" s="726"/>
      <c r="I286" s="184"/>
      <c r="J286" s="184"/>
      <c r="K286" s="163"/>
      <c r="L286" s="163"/>
      <c r="M286" s="163"/>
      <c r="N286" s="163"/>
      <c r="O286" s="163"/>
      <c r="P286" s="163"/>
    </row>
    <row r="287" spans="1:26" ht="18.75" hidden="1">
      <c r="A287" s="170"/>
      <c r="B287" s="171"/>
      <c r="C287" s="171"/>
      <c r="D287" s="592" t="s">
        <v>129</v>
      </c>
      <c r="E287" s="171"/>
      <c r="F287" s="342"/>
      <c r="G287" s="179"/>
      <c r="H287" s="185" t="s">
        <v>46</v>
      </c>
      <c r="I287" s="269">
        <f ca="1">IFERROR(__xludf.DUMMYFUNCTION("IMPORTRANGE(""https://docs.google.com/spreadsheets/d/1QqKyyYR6Q21VydFLVH3TRQUabQu_ym0Zz7PgGX0-kHA/edit?usp=sharing"",""แผน!EC25"")"),0)</f>
        <v>0</v>
      </c>
      <c r="J287" s="214">
        <v>0</v>
      </c>
      <c r="K287" s="163">
        <f t="shared" ref="K287:K288" ca="1" si="130">IF(I287&gt;0,J287*100/I287,0)</f>
        <v>0</v>
      </c>
      <c r="L287" s="163"/>
      <c r="M287" s="163"/>
      <c r="N287" s="163"/>
      <c r="O287" s="163"/>
      <c r="P287" s="163"/>
    </row>
    <row r="288" spans="1:26" ht="19.5" hidden="1">
      <c r="A288" s="170"/>
      <c r="B288" s="171"/>
      <c r="C288" s="171"/>
      <c r="D288" s="592" t="s">
        <v>130</v>
      </c>
      <c r="E288" s="171"/>
      <c r="F288" s="342"/>
      <c r="G288" s="179"/>
      <c r="H288" s="180" t="s">
        <v>35</v>
      </c>
      <c r="I288" s="647">
        <f ca="1">IFERROR(__xludf.DUMMYFUNCTION("IMPORTRANGE(""https://docs.google.com/spreadsheets/d/1QqKyyYR6Q21VydFLVH3TRQUabQu_ym0Zz7PgGX0-kHA/edit?usp=sharing"",""แผน!EB25"")"),0)</f>
        <v>0</v>
      </c>
      <c r="J288" s="647">
        <f ca="1">IF(AND(J291&gt;=I288,J294&gt;=I288),J294,0)</f>
        <v>0</v>
      </c>
      <c r="K288" s="379">
        <f t="shared" ca="1" si="130"/>
        <v>0</v>
      </c>
      <c r="L288" s="163"/>
      <c r="M288" s="163"/>
      <c r="N288" s="163"/>
      <c r="O288" s="163"/>
      <c r="P288" s="163"/>
    </row>
    <row r="289" spans="1:26" ht="19.5" hidden="1">
      <c r="A289" s="170"/>
      <c r="B289" s="171"/>
      <c r="C289" s="171"/>
      <c r="D289" s="380"/>
      <c r="E289" s="381" t="s">
        <v>131</v>
      </c>
      <c r="F289" s="342"/>
      <c r="G289" s="179"/>
      <c r="H289" s="728"/>
      <c r="I289" s="184"/>
      <c r="J289" s="269"/>
      <c r="K289" s="163"/>
      <c r="L289" s="163"/>
      <c r="M289" s="163"/>
      <c r="N289" s="163"/>
      <c r="O289" s="163"/>
      <c r="P289" s="163"/>
    </row>
    <row r="290" spans="1:26" ht="19.5" hidden="1">
      <c r="A290" s="170"/>
      <c r="B290" s="171"/>
      <c r="C290" s="171"/>
      <c r="D290" s="380"/>
      <c r="E290" s="592" t="s">
        <v>132</v>
      </c>
      <c r="F290" s="342"/>
      <c r="G290" s="179"/>
      <c r="H290" s="728" t="s">
        <v>35</v>
      </c>
      <c r="I290" s="184">
        <f ca="1">IFERROR(__xludf.DUMMYFUNCTION("IMPORTRANGE(""https://docs.google.com/spreadsheets/d/1QqKyyYR6Q21VydFLVH3TRQUabQu_ym0Zz7PgGX0-kHA/edit?usp=sharing"",""แผน!EB25"")"),0)</f>
        <v>0</v>
      </c>
      <c r="J290" s="214">
        <v>0</v>
      </c>
      <c r="K290" s="163">
        <f t="shared" ref="K290:K291" ca="1" si="131">IF(I290&gt;0,J290*100/I290,0)</f>
        <v>0</v>
      </c>
      <c r="L290" s="163"/>
      <c r="M290" s="163"/>
      <c r="N290" s="163"/>
      <c r="O290" s="163"/>
      <c r="P290" s="163"/>
    </row>
    <row r="291" spans="1:26" ht="19.5" hidden="1">
      <c r="A291" s="170"/>
      <c r="B291" s="171"/>
      <c r="C291" s="171"/>
      <c r="D291" s="342"/>
      <c r="E291" s="592" t="s">
        <v>348</v>
      </c>
      <c r="F291" s="342"/>
      <c r="G291" s="179"/>
      <c r="H291" s="728" t="s">
        <v>35</v>
      </c>
      <c r="I291" s="184">
        <f ca="1">IFERROR(__xludf.DUMMYFUNCTION("IMPORTRANGE(""https://docs.google.com/spreadsheets/d/1QqKyyYR6Q21VydFLVH3TRQUabQu_ym0Zz7PgGX0-kHA/edit?usp=sharing"",""แผน!EB25"")"),0)</f>
        <v>0</v>
      </c>
      <c r="J291" s="214">
        <v>0</v>
      </c>
      <c r="K291" s="163">
        <f t="shared" ca="1" si="131"/>
        <v>0</v>
      </c>
      <c r="L291" s="163"/>
      <c r="M291" s="163"/>
      <c r="N291" s="163"/>
      <c r="O291" s="163"/>
      <c r="P291" s="163"/>
    </row>
    <row r="292" spans="1:26" ht="19.5" hidden="1">
      <c r="A292" s="382"/>
      <c r="B292" s="383"/>
      <c r="C292" s="383"/>
      <c r="D292" s="384"/>
      <c r="E292" s="385" t="s">
        <v>134</v>
      </c>
      <c r="F292" s="286"/>
      <c r="G292" s="287"/>
      <c r="H292" s="386"/>
      <c r="I292" s="387"/>
      <c r="J292" s="388"/>
      <c r="K292" s="279"/>
      <c r="L292" s="279"/>
      <c r="M292" s="279"/>
      <c r="N292" s="279"/>
      <c r="O292" s="279"/>
      <c r="P292" s="279"/>
    </row>
    <row r="293" spans="1:26" ht="19.5" hidden="1">
      <c r="A293" s="170"/>
      <c r="B293" s="171"/>
      <c r="C293" s="171"/>
      <c r="D293" s="380"/>
      <c r="E293" s="592" t="s">
        <v>132</v>
      </c>
      <c r="F293" s="342"/>
      <c r="G293" s="179"/>
      <c r="H293" s="728" t="s">
        <v>35</v>
      </c>
      <c r="I293" s="184">
        <f ca="1">IFERROR(__xludf.DUMMYFUNCTION("IMPORTRANGE(""https://docs.google.com/spreadsheets/d/1QqKyyYR6Q21VydFLVH3TRQUabQu_ym0Zz7PgGX0-kHA/edit?usp=sharing"",""แผน!EB25"")"),0)</f>
        <v>0</v>
      </c>
      <c r="J293" s="214">
        <v>0</v>
      </c>
      <c r="K293" s="163">
        <f t="shared" ref="K293:K294" ca="1" si="132">IF(I293&gt;0,J293*100/I293,0)</f>
        <v>0</v>
      </c>
      <c r="L293" s="163"/>
      <c r="M293" s="163"/>
      <c r="N293" s="163"/>
      <c r="O293" s="163"/>
      <c r="P293" s="163"/>
    </row>
    <row r="294" spans="1:26" ht="19.5" hidden="1">
      <c r="A294" s="346"/>
      <c r="B294" s="347"/>
      <c r="C294" s="347"/>
      <c r="D294" s="349"/>
      <c r="E294" s="698" t="s">
        <v>348</v>
      </c>
      <c r="F294" s="349"/>
      <c r="G294" s="350"/>
      <c r="H294" s="390" t="s">
        <v>35</v>
      </c>
      <c r="I294" s="391">
        <f ca="1">IFERROR(__xludf.DUMMYFUNCTION("IMPORTRANGE(""https://docs.google.com/spreadsheets/d/1QqKyyYR6Q21VydFLVH3TRQUabQu_ym0Zz7PgGX0-kHA/edit?usp=sharing"",""แผน!EB25"")"),0)</f>
        <v>0</v>
      </c>
      <c r="J294" s="392">
        <v>0</v>
      </c>
      <c r="K294" s="353">
        <f t="shared" ca="1" si="132"/>
        <v>0</v>
      </c>
      <c r="L294" s="353"/>
      <c r="M294" s="353"/>
      <c r="N294" s="353"/>
      <c r="O294" s="353"/>
      <c r="P294" s="353"/>
    </row>
    <row r="295" spans="1:26" ht="19.5">
      <c r="A295" s="393" t="s">
        <v>137</v>
      </c>
      <c r="B295" s="394"/>
      <c r="C295" s="394"/>
      <c r="D295" s="394"/>
      <c r="E295" s="395"/>
      <c r="F295" s="395"/>
      <c r="G295" s="396"/>
      <c r="H295" s="397"/>
      <c r="I295" s="398"/>
      <c r="J295" s="398"/>
      <c r="K295" s="399"/>
      <c r="L295" s="399"/>
      <c r="M295" s="399"/>
      <c r="N295" s="399"/>
      <c r="O295" s="399"/>
      <c r="P295" s="399"/>
    </row>
    <row r="296" spans="1:26" ht="19.5" hidden="1">
      <c r="A296" s="400" t="s">
        <v>138</v>
      </c>
      <c r="B296" s="401"/>
      <c r="C296" s="401"/>
      <c r="D296" s="402"/>
      <c r="E296" s="402"/>
      <c r="F296" s="402"/>
      <c r="G296" s="403"/>
      <c r="H296" s="404"/>
      <c r="I296" s="405"/>
      <c r="J296" s="405"/>
      <c r="K296" s="406"/>
      <c r="L296" s="406"/>
      <c r="M296" s="406"/>
      <c r="N296" s="406"/>
      <c r="O296" s="406"/>
      <c r="P296" s="406"/>
    </row>
    <row r="297" spans="1:26" ht="19.5" hidden="1">
      <c r="A297" s="407"/>
      <c r="B297" s="408" t="s">
        <v>139</v>
      </c>
      <c r="C297" s="409"/>
      <c r="D297" s="409"/>
      <c r="E297" s="409"/>
      <c r="F297" s="409"/>
      <c r="G297" s="410"/>
      <c r="H297" s="411" t="s">
        <v>35</v>
      </c>
      <c r="I297" s="412">
        <f t="shared" ref="I297:J297" ca="1" si="133">I309</f>
        <v>0</v>
      </c>
      <c r="J297" s="412">
        <f t="shared" si="133"/>
        <v>0</v>
      </c>
      <c r="K297" s="413">
        <f ca="1">IF(I297&gt;0,J297*100/I297,0)</f>
        <v>0</v>
      </c>
      <c r="L297" s="414"/>
      <c r="M297" s="414"/>
      <c r="N297" s="414"/>
      <c r="O297" s="414"/>
      <c r="P297" s="414"/>
    </row>
    <row r="298" spans="1:26" ht="19.5" hidden="1">
      <c r="A298" s="147"/>
      <c r="B298" s="148"/>
      <c r="C298" s="149" t="s">
        <v>16</v>
      </c>
      <c r="D298" s="817" t="s">
        <v>17</v>
      </c>
      <c r="E298" s="148"/>
      <c r="F298" s="148"/>
      <c r="G298" s="151"/>
      <c r="H298" s="152" t="s">
        <v>12</v>
      </c>
      <c r="I298" s="388"/>
      <c r="J298" s="388"/>
      <c r="K298" s="154"/>
      <c r="L298" s="155">
        <f t="shared" ref="L298:N298" ca="1" si="134">L299+L300</f>
        <v>0</v>
      </c>
      <c r="M298" s="155">
        <f t="shared" ca="1" si="134"/>
        <v>0</v>
      </c>
      <c r="N298" s="155">
        <f t="shared" ca="1" si="134"/>
        <v>0</v>
      </c>
      <c r="O298" s="155">
        <f t="shared" ref="O298:O306" ca="1" si="135">IF(L298&gt;0,N298*100/L298,0)</f>
        <v>0</v>
      </c>
      <c r="P298" s="155">
        <f t="shared" ref="P298:P306" ca="1" si="136">IF(M298&gt;0,N298*100/M298,0)</f>
        <v>0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2" t="s">
        <v>18</v>
      </c>
      <c r="F299" s="40"/>
      <c r="G299" s="157"/>
      <c r="H299" s="158" t="s">
        <v>12</v>
      </c>
      <c r="I299" s="583"/>
      <c r="J299" s="583"/>
      <c r="K299" s="93"/>
      <c r="L299" s="93">
        <f t="shared" ref="L299:N300" si="137">L302+L305</f>
        <v>0</v>
      </c>
      <c r="M299" s="93">
        <f t="shared" si="137"/>
        <v>0</v>
      </c>
      <c r="N299" s="93">
        <f t="shared" si="137"/>
        <v>0</v>
      </c>
      <c r="O299" s="93">
        <f t="shared" si="135"/>
        <v>0</v>
      </c>
      <c r="P299" s="93">
        <f t="shared" si="136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2" t="s">
        <v>19</v>
      </c>
      <c r="F300" s="40"/>
      <c r="G300" s="157"/>
      <c r="H300" s="158" t="s">
        <v>12</v>
      </c>
      <c r="I300" s="583"/>
      <c r="J300" s="583"/>
      <c r="K300" s="93"/>
      <c r="L300" s="93">
        <f t="shared" ca="1" si="137"/>
        <v>0</v>
      </c>
      <c r="M300" s="93">
        <f t="shared" ca="1" si="137"/>
        <v>0</v>
      </c>
      <c r="N300" s="93">
        <f t="shared" ca="1" si="137"/>
        <v>0</v>
      </c>
      <c r="O300" s="93">
        <f t="shared" ca="1" si="135"/>
        <v>0</v>
      </c>
      <c r="P300" s="93">
        <f t="shared" ca="1" si="136"/>
        <v>0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 hidden="1">
      <c r="A301" s="159"/>
      <c r="B301" s="33"/>
      <c r="C301" s="281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65">
        <f t="shared" ref="L301:N301" ca="1" si="138">L302+L303</f>
        <v>0</v>
      </c>
      <c r="M301" s="465">
        <f t="shared" ca="1" si="138"/>
        <v>0</v>
      </c>
      <c r="N301" s="465">
        <f t="shared" ca="1" si="138"/>
        <v>0</v>
      </c>
      <c r="O301" s="465">
        <f t="shared" ca="1" si="135"/>
        <v>0</v>
      </c>
      <c r="P301" s="465">
        <f t="shared" ca="1" si="136"/>
        <v>0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2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5"/>
        <v>0</v>
      </c>
      <c r="P302" s="93">
        <f t="shared" si="136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2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IFERROR(__xludf.DUMMYFUNCTION("IMPORTRANGE(""https://docs.google.com/spreadsheets/d/1MeEWN-I1oV_STSDYn1IFDPWt_1FKiwhDph83XaGc0o0/edit?usp=sharing"",""งบพรบ!DS25"")"),0)</f>
        <v>0</v>
      </c>
      <c r="M303" s="93">
        <f ca="1">IFERROR(__xludf.DUMMYFUNCTION("IMPORTRANGE(""https://docs.google.com/spreadsheets/d/1MeEWN-I1oV_STSDYn1IFDPWt_1FKiwhDph83XaGc0o0/edit?usp=sharing"",""งบพรบ!DX25"")"),0)</f>
        <v>0</v>
      </c>
      <c r="N303" s="93">
        <f ca="1">IFERROR(__xludf.DUMMYFUNCTION("IMPORTRANGE(""https://docs.google.com/spreadsheets/d/1MeEWN-I1oV_STSDYn1IFDPWt_1FKiwhDph83XaGc0o0/edit?usp=sharing"",""งบพรบ!DZ25"")"),0)</f>
        <v>0</v>
      </c>
      <c r="O303" s="93">
        <f t="shared" ca="1" si="135"/>
        <v>0</v>
      </c>
      <c r="P303" s="93">
        <f t="shared" ca="1" si="136"/>
        <v>0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 hidden="1">
      <c r="A304" s="159"/>
      <c r="B304" s="33"/>
      <c r="C304" s="281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65">
        <f t="shared" ref="L304:N304" ca="1" si="139">L305+L306</f>
        <v>0</v>
      </c>
      <c r="M304" s="465">
        <f t="shared" ca="1" si="139"/>
        <v>0</v>
      </c>
      <c r="N304" s="465">
        <f t="shared" ca="1" si="139"/>
        <v>0</v>
      </c>
      <c r="O304" s="465">
        <f t="shared" ca="1" si="135"/>
        <v>0</v>
      </c>
      <c r="P304" s="465">
        <f t="shared" ca="1" si="136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2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5"/>
        <v>0</v>
      </c>
      <c r="P305" s="93">
        <f t="shared" si="136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2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IFERROR(__xludf.DUMMYFUNCTION("IMPORTRANGE(""https://docs.google.com/spreadsheets/d/1MeEWN-I1oV_STSDYn1IFDPWt_1FKiwhDph83XaGc0o0/edit?usp=sharing"",""งบพรบ!DV25"")"),0)</f>
        <v>0</v>
      </c>
      <c r="M306" s="93">
        <f ca="1">IFERROR(__xludf.DUMMYFUNCTION("IMPORTRANGE(""https://docs.google.com/spreadsheets/d/1MeEWN-I1oV_STSDYn1IFDPWt_1FKiwhDph83XaGc0o0/edit?usp=sharing"",""งบพรบ!DY25"")"),0)</f>
        <v>0</v>
      </c>
      <c r="N306" s="93">
        <f ca="1">IFERROR(__xludf.DUMMYFUNCTION("IMPORTRANGE(""https://docs.google.com/spreadsheets/d/1MeEWN-I1oV_STSDYn1IFDPWt_1FKiwhDph83XaGc0o0/edit?usp=sharing"",""งบพรบ!EA25"")"),0)</f>
        <v>0</v>
      </c>
      <c r="O306" s="93">
        <f t="shared" ca="1" si="135"/>
        <v>0</v>
      </c>
      <c r="P306" s="93">
        <f t="shared" ca="1" si="136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 hidden="1">
      <c r="A307" s="170"/>
      <c r="B307" s="171"/>
      <c r="C307" s="164" t="s">
        <v>16</v>
      </c>
      <c r="D307" s="818" t="s">
        <v>38</v>
      </c>
      <c r="E307" s="173"/>
      <c r="F307" s="173"/>
      <c r="G307" s="174"/>
      <c r="H307" s="726"/>
      <c r="I307" s="269"/>
      <c r="J307" s="269"/>
      <c r="K307" s="465"/>
      <c r="L307" s="465"/>
      <c r="M307" s="465"/>
      <c r="N307" s="465"/>
      <c r="O307" s="465"/>
      <c r="P307" s="465"/>
    </row>
    <row r="308" spans="1:26" ht="18.75" hidden="1">
      <c r="A308" s="170"/>
      <c r="B308" s="171"/>
      <c r="C308" s="171"/>
      <c r="D308" s="415" t="s">
        <v>140</v>
      </c>
      <c r="E308" s="415"/>
      <c r="F308" s="415"/>
      <c r="G308" s="179"/>
      <c r="H308" s="728"/>
      <c r="I308" s="269"/>
      <c r="J308" s="214">
        <v>0</v>
      </c>
      <c r="K308" s="465"/>
      <c r="L308" s="465"/>
      <c r="M308" s="465"/>
      <c r="N308" s="465"/>
      <c r="O308" s="465"/>
      <c r="P308" s="465"/>
    </row>
    <row r="309" spans="1:26" ht="18.75" hidden="1">
      <c r="A309" s="170"/>
      <c r="B309" s="171"/>
      <c r="C309" s="171"/>
      <c r="D309" s="415" t="s">
        <v>141</v>
      </c>
      <c r="E309" s="415"/>
      <c r="F309" s="415"/>
      <c r="G309" s="179"/>
      <c r="H309" s="728" t="s">
        <v>35</v>
      </c>
      <c r="I309" s="269">
        <f ca="1">IFERROR(__xludf.DUMMYFUNCTION("IMPORTRANGE(""https://docs.google.com/spreadsheets/d/1QqKyyYR6Q21VydFLVH3TRQUabQu_ym0Zz7PgGX0-kHA/edit?usp=sharing"",""แผน!ED25"")"),0)</f>
        <v>0</v>
      </c>
      <c r="J309" s="214">
        <v>0</v>
      </c>
      <c r="K309" s="465">
        <f t="shared" ref="K309:K312" ca="1" si="140">IF(I309&gt;0,J309*100/I309,0)</f>
        <v>0</v>
      </c>
      <c r="L309" s="465"/>
      <c r="M309" s="465"/>
      <c r="N309" s="465"/>
      <c r="O309" s="465"/>
      <c r="P309" s="465"/>
    </row>
    <row r="310" spans="1:26" ht="18.75" hidden="1">
      <c r="A310" s="170"/>
      <c r="B310" s="171"/>
      <c r="C310" s="171"/>
      <c r="D310" s="415" t="s">
        <v>142</v>
      </c>
      <c r="E310" s="415"/>
      <c r="F310" s="415"/>
      <c r="G310" s="179"/>
      <c r="H310" s="728" t="s">
        <v>35</v>
      </c>
      <c r="I310" s="269">
        <f ca="1">IFERROR(__xludf.DUMMYFUNCTION("IMPORTRANGE(""https://docs.google.com/spreadsheets/d/1QqKyyYR6Q21VydFLVH3TRQUabQu_ym0Zz7PgGX0-kHA/edit?usp=sharing"",""แผน!ED25"")"),0)</f>
        <v>0</v>
      </c>
      <c r="J310" s="214">
        <v>0</v>
      </c>
      <c r="K310" s="465">
        <f t="shared" ca="1" si="140"/>
        <v>0</v>
      </c>
      <c r="L310" s="465"/>
      <c r="M310" s="465"/>
      <c r="N310" s="465"/>
      <c r="O310" s="465"/>
      <c r="P310" s="465"/>
    </row>
    <row r="311" spans="1:26" ht="18.75" hidden="1">
      <c r="A311" s="170"/>
      <c r="B311" s="171"/>
      <c r="C311" s="171"/>
      <c r="D311" s="415" t="s">
        <v>59</v>
      </c>
      <c r="E311" s="415"/>
      <c r="F311" s="415"/>
      <c r="G311" s="179"/>
      <c r="H311" s="728" t="s">
        <v>35</v>
      </c>
      <c r="I311" s="269">
        <f ca="1">IFERROR(__xludf.DUMMYFUNCTION("IMPORTRANGE(""https://docs.google.com/spreadsheets/d/1QqKyyYR6Q21VydFLVH3TRQUabQu_ym0Zz7PgGX0-kHA/edit?usp=sharing"",""แผน!ED25"")"),0)</f>
        <v>0</v>
      </c>
      <c r="J311" s="214">
        <v>0</v>
      </c>
      <c r="K311" s="465">
        <f t="shared" ca="1" si="140"/>
        <v>0</v>
      </c>
      <c r="L311" s="465"/>
      <c r="M311" s="465"/>
      <c r="N311" s="465"/>
      <c r="O311" s="465"/>
      <c r="P311" s="465"/>
    </row>
    <row r="312" spans="1:26" ht="18.75" hidden="1">
      <c r="A312" s="170"/>
      <c r="B312" s="171"/>
      <c r="C312" s="171"/>
      <c r="D312" s="415" t="s">
        <v>143</v>
      </c>
      <c r="E312" s="415"/>
      <c r="F312" s="415"/>
      <c r="G312" s="179"/>
      <c r="H312" s="728" t="s">
        <v>35</v>
      </c>
      <c r="I312" s="269">
        <f ca="1">IFERROR(__xludf.DUMMYFUNCTION("IMPORTRANGE(""https://docs.google.com/spreadsheets/d/1QqKyyYR6Q21VydFLVH3TRQUabQu_ym0Zz7PgGX0-kHA/edit?usp=sharing"",""แผน!EE25"")"),0)</f>
        <v>0</v>
      </c>
      <c r="J312" s="214">
        <v>0</v>
      </c>
      <c r="K312" s="465">
        <f t="shared" ca="1" si="140"/>
        <v>0</v>
      </c>
      <c r="L312" s="465"/>
      <c r="M312" s="465"/>
      <c r="N312" s="465"/>
      <c r="O312" s="465"/>
      <c r="P312" s="465"/>
    </row>
    <row r="313" spans="1:26" ht="19.5" hidden="1">
      <c r="A313" s="400" t="s">
        <v>144</v>
      </c>
      <c r="B313" s="401"/>
      <c r="C313" s="401"/>
      <c r="D313" s="402"/>
      <c r="E313" s="401"/>
      <c r="F313" s="401"/>
      <c r="G313" s="401"/>
      <c r="H313" s="417"/>
      <c r="I313" s="405"/>
      <c r="J313" s="405"/>
      <c r="K313" s="406"/>
      <c r="L313" s="406"/>
      <c r="M313" s="406"/>
      <c r="N313" s="406"/>
      <c r="O313" s="406"/>
      <c r="P313" s="406"/>
    </row>
    <row r="314" spans="1:26" ht="19.5" hidden="1">
      <c r="A314" s="418"/>
      <c r="B314" s="408" t="s">
        <v>145</v>
      </c>
      <c r="C314" s="419"/>
      <c r="D314" s="420"/>
      <c r="E314" s="409"/>
      <c r="F314" s="409"/>
      <c r="G314" s="410"/>
      <c r="H314" s="411" t="s">
        <v>146</v>
      </c>
      <c r="I314" s="412">
        <f t="shared" ref="I314:J314" ca="1" si="141">I325</f>
        <v>0</v>
      </c>
      <c r="J314" s="412">
        <f t="shared" si="141"/>
        <v>0</v>
      </c>
      <c r="K314" s="413">
        <f ca="1">IF(I314&gt;0,J314*100/I314,0)</f>
        <v>0</v>
      </c>
      <c r="L314" s="414"/>
      <c r="M314" s="414"/>
      <c r="N314" s="414"/>
      <c r="O314" s="414"/>
      <c r="P314" s="414"/>
    </row>
    <row r="315" spans="1:26" ht="19.5" hidden="1">
      <c r="A315" s="147"/>
      <c r="B315" s="148"/>
      <c r="C315" s="149" t="s">
        <v>16</v>
      </c>
      <c r="D315" s="817" t="s">
        <v>17</v>
      </c>
      <c r="E315" s="148"/>
      <c r="F315" s="148"/>
      <c r="G315" s="151"/>
      <c r="H315" s="152" t="s">
        <v>12</v>
      </c>
      <c r="I315" s="388"/>
      <c r="J315" s="388"/>
      <c r="K315" s="154"/>
      <c r="L315" s="155">
        <f t="shared" ref="L315:N315" ca="1" si="142">L316+L317</f>
        <v>0</v>
      </c>
      <c r="M315" s="155">
        <f t="shared" ca="1" si="142"/>
        <v>0</v>
      </c>
      <c r="N315" s="155">
        <f t="shared" ca="1" si="142"/>
        <v>0</v>
      </c>
      <c r="O315" s="155">
        <f t="shared" ref="O315:O323" ca="1" si="143">IF(L315&gt;0,N315*100/L315,0)</f>
        <v>0</v>
      </c>
      <c r="P315" s="155">
        <f t="shared" ref="P315:P323" ca="1" si="144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2" t="s">
        <v>18</v>
      </c>
      <c r="F316" s="40"/>
      <c r="G316" s="157"/>
      <c r="H316" s="158" t="s">
        <v>12</v>
      </c>
      <c r="I316" s="583"/>
      <c r="J316" s="583"/>
      <c r="K316" s="93"/>
      <c r="L316" s="93">
        <f t="shared" ref="L316:N317" si="145">L319+L322</f>
        <v>0</v>
      </c>
      <c r="M316" s="93">
        <f t="shared" si="145"/>
        <v>0</v>
      </c>
      <c r="N316" s="93">
        <f t="shared" si="145"/>
        <v>0</v>
      </c>
      <c r="O316" s="93">
        <f t="shared" si="143"/>
        <v>0</v>
      </c>
      <c r="P316" s="93">
        <f t="shared" si="144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2" t="s">
        <v>19</v>
      </c>
      <c r="F317" s="40"/>
      <c r="G317" s="157"/>
      <c r="H317" s="158" t="s">
        <v>12</v>
      </c>
      <c r="I317" s="583"/>
      <c r="J317" s="583"/>
      <c r="K317" s="93"/>
      <c r="L317" s="93">
        <f t="shared" ca="1" si="145"/>
        <v>0</v>
      </c>
      <c r="M317" s="93">
        <f t="shared" ca="1" si="145"/>
        <v>0</v>
      </c>
      <c r="N317" s="93">
        <f t="shared" ca="1" si="145"/>
        <v>0</v>
      </c>
      <c r="O317" s="93">
        <f t="shared" ca="1" si="143"/>
        <v>0</v>
      </c>
      <c r="P317" s="93">
        <f t="shared" ca="1" si="144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1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65">
        <f t="shared" ref="L318:N318" ca="1" si="146">L319+L320</f>
        <v>0</v>
      </c>
      <c r="M318" s="465">
        <f t="shared" ca="1" si="146"/>
        <v>0</v>
      </c>
      <c r="N318" s="465">
        <f t="shared" ca="1" si="146"/>
        <v>0</v>
      </c>
      <c r="O318" s="465">
        <f t="shared" ca="1" si="143"/>
        <v>0</v>
      </c>
      <c r="P318" s="465">
        <f t="shared" ca="1" si="144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2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3"/>
        <v>0</v>
      </c>
      <c r="P319" s="93">
        <f t="shared" si="144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2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IFERROR(__xludf.DUMMYFUNCTION("IMPORTRANGE(""https://docs.google.com/spreadsheets/d/1MeEWN-I1oV_STSDYn1IFDPWt_1FKiwhDph83XaGc0o0/edit?usp=sharing"",""งบพรบ!EC25"")"),0)</f>
        <v>0</v>
      </c>
      <c r="M320" s="93">
        <f ca="1">IFERROR(__xludf.DUMMYFUNCTION("IMPORTRANGE(""https://docs.google.com/spreadsheets/d/1MeEWN-I1oV_STSDYn1IFDPWt_1FKiwhDph83XaGc0o0/edit?usp=sharing"",""งบพรบ!EH25"")"),0)</f>
        <v>0</v>
      </c>
      <c r="N320" s="93">
        <f ca="1">IFERROR(__xludf.DUMMYFUNCTION("IMPORTRANGE(""https://docs.google.com/spreadsheets/d/1MeEWN-I1oV_STSDYn1IFDPWt_1FKiwhDph83XaGc0o0/edit?usp=sharing"",""งบพรบ!EJ25"")"),0)</f>
        <v>0</v>
      </c>
      <c r="O320" s="93">
        <f t="shared" ca="1" si="143"/>
        <v>0</v>
      </c>
      <c r="P320" s="93">
        <f t="shared" ca="1" si="144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1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65">
        <f t="shared" ref="L321:N321" ca="1" si="147">L322+L323</f>
        <v>0</v>
      </c>
      <c r="M321" s="465">
        <f t="shared" ca="1" si="147"/>
        <v>0</v>
      </c>
      <c r="N321" s="465">
        <f t="shared" ca="1" si="147"/>
        <v>0</v>
      </c>
      <c r="O321" s="465">
        <f t="shared" ca="1" si="143"/>
        <v>0</v>
      </c>
      <c r="P321" s="465">
        <f t="shared" ca="1" si="144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2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3"/>
        <v>0</v>
      </c>
      <c r="P322" s="93">
        <f t="shared" si="144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2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IFERROR(__xludf.DUMMYFUNCTION("IMPORTRANGE(""https://docs.google.com/spreadsheets/d/1MeEWN-I1oV_STSDYn1IFDPWt_1FKiwhDph83XaGc0o0/edit?usp=sharing"",""งบพรบ!EF25"")"),0)</f>
        <v>0</v>
      </c>
      <c r="M323" s="93">
        <f ca="1">IFERROR(__xludf.DUMMYFUNCTION("IMPORTRANGE(""https://docs.google.com/spreadsheets/d/1MeEWN-I1oV_STSDYn1IFDPWt_1FKiwhDph83XaGc0o0/edit?usp=sharing"",""งบพรบ!EI25"")"),0)</f>
        <v>0</v>
      </c>
      <c r="N323" s="93">
        <f ca="1">IFERROR(__xludf.DUMMYFUNCTION("IMPORTRANGE(""https://docs.google.com/spreadsheets/d/1MeEWN-I1oV_STSDYn1IFDPWt_1FKiwhDph83XaGc0o0/edit?usp=sharing"",""งบพรบ!EK25"")"),0)</f>
        <v>0</v>
      </c>
      <c r="O323" s="93">
        <f t="shared" ca="1" si="143"/>
        <v>0</v>
      </c>
      <c r="P323" s="93">
        <f t="shared" ca="1" si="144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18" t="s">
        <v>38</v>
      </c>
      <c r="E324" s="173"/>
      <c r="F324" s="173"/>
      <c r="G324" s="174"/>
      <c r="H324" s="726"/>
      <c r="I324" s="184"/>
      <c r="J324" s="269"/>
      <c r="K324" s="465"/>
      <c r="L324" s="465"/>
      <c r="M324" s="465"/>
      <c r="N324" s="465"/>
      <c r="O324" s="163"/>
      <c r="P324" s="163"/>
    </row>
    <row r="325" spans="1:26" ht="18.75" hidden="1">
      <c r="A325" s="170"/>
      <c r="B325" s="171"/>
      <c r="C325" s="171"/>
      <c r="D325" s="343" t="s">
        <v>147</v>
      </c>
      <c r="E325" s="342"/>
      <c r="F325" s="415"/>
      <c r="G325" s="179"/>
      <c r="H325" s="589" t="s">
        <v>146</v>
      </c>
      <c r="I325" s="269">
        <f ca="1">IFERROR(__xludf.DUMMYFUNCTION("IMPORTRANGE(""https://docs.google.com/spreadsheets/d/1QqKyyYR6Q21VydFLVH3TRQUabQu_ym0Zz7PgGX0-kHA/edit?usp=sharing"",""แผน!EF25"")"),0)</f>
        <v>0</v>
      </c>
      <c r="J325" s="214">
        <v>0</v>
      </c>
      <c r="K325" s="465">
        <f ca="1">IF(I325&gt;0,J325*100/I325,0)</f>
        <v>0</v>
      </c>
      <c r="L325" s="465"/>
      <c r="M325" s="465"/>
      <c r="N325" s="465"/>
      <c r="O325" s="163"/>
      <c r="P325" s="163"/>
    </row>
    <row r="326" spans="1:26" ht="19.5">
      <c r="A326" s="400" t="s">
        <v>148</v>
      </c>
      <c r="B326" s="401"/>
      <c r="C326" s="401"/>
      <c r="D326" s="402"/>
      <c r="E326" s="401"/>
      <c r="F326" s="401"/>
      <c r="G326" s="401"/>
      <c r="H326" s="417"/>
      <c r="I326" s="405"/>
      <c r="J326" s="405"/>
      <c r="K326" s="406"/>
      <c r="L326" s="406"/>
      <c r="M326" s="406"/>
      <c r="N326" s="406"/>
      <c r="O326" s="406"/>
      <c r="P326" s="406"/>
    </row>
    <row r="327" spans="1:26" ht="19.5">
      <c r="A327" s="407"/>
      <c r="B327" s="408" t="s">
        <v>149</v>
      </c>
      <c r="C327" s="420"/>
      <c r="D327" s="409"/>
      <c r="E327" s="409"/>
      <c r="F327" s="409"/>
      <c r="G327" s="410"/>
      <c r="H327" s="411" t="s">
        <v>35</v>
      </c>
      <c r="I327" s="412">
        <f ca="1">IFERROR(__xludf.DUMMYFUNCTION("IMPORTRANGE(""https://docs.google.com/spreadsheets/d/1QqKyyYR6Q21VydFLVH3TRQUabQu_ym0Zz7PgGX0-kHA/edit?usp=sharing"",""แผน!EG25"")"),400)</f>
        <v>400</v>
      </c>
      <c r="J327" s="412">
        <f ca="1">J338+J341+J342+J343</f>
        <v>57</v>
      </c>
      <c r="K327" s="413">
        <f ca="1">IF(I327&gt;0,J327*100/I327,0)</f>
        <v>14.25</v>
      </c>
      <c r="L327" s="414"/>
      <c r="M327" s="414"/>
      <c r="N327" s="414"/>
      <c r="O327" s="414"/>
      <c r="P327" s="414"/>
    </row>
    <row r="328" spans="1:26" ht="19.5">
      <c r="A328" s="147"/>
      <c r="B328" s="148"/>
      <c r="C328" s="149" t="s">
        <v>16</v>
      </c>
      <c r="D328" s="817" t="s">
        <v>17</v>
      </c>
      <c r="E328" s="148"/>
      <c r="F328" s="148"/>
      <c r="G328" s="151"/>
      <c r="H328" s="152" t="s">
        <v>12</v>
      </c>
      <c r="I328" s="388"/>
      <c r="J328" s="388"/>
      <c r="K328" s="154"/>
      <c r="L328" s="155">
        <f t="shared" ref="L328:N328" ca="1" si="148">L329+L330</f>
        <v>165000</v>
      </c>
      <c r="M328" s="155">
        <f t="shared" ca="1" si="148"/>
        <v>82500</v>
      </c>
      <c r="N328" s="155">
        <f t="shared" ca="1" si="148"/>
        <v>25758</v>
      </c>
      <c r="O328" s="155">
        <f t="shared" ref="O328:O336" ca="1" si="149">IF(L328&gt;0,N328*100/L328,0)</f>
        <v>15.610909090909091</v>
      </c>
      <c r="P328" s="155">
        <f t="shared" ref="P328:P336" ca="1" si="150">IF(M328&gt;0,N328*100/M328,0)</f>
        <v>31.221818181818183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2" t="s">
        <v>18</v>
      </c>
      <c r="F329" s="40"/>
      <c r="G329" s="157"/>
      <c r="H329" s="158" t="s">
        <v>12</v>
      </c>
      <c r="I329" s="583"/>
      <c r="J329" s="583"/>
      <c r="K329" s="93"/>
      <c r="L329" s="93">
        <f t="shared" ref="L329:N330" si="151">L332+L335</f>
        <v>0</v>
      </c>
      <c r="M329" s="93">
        <f t="shared" si="151"/>
        <v>0</v>
      </c>
      <c r="N329" s="93">
        <f t="shared" si="151"/>
        <v>0</v>
      </c>
      <c r="O329" s="93">
        <f t="shared" si="149"/>
        <v>0</v>
      </c>
      <c r="P329" s="93">
        <f t="shared" si="150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2" t="s">
        <v>19</v>
      </c>
      <c r="F330" s="40"/>
      <c r="G330" s="157"/>
      <c r="H330" s="158" t="s">
        <v>12</v>
      </c>
      <c r="I330" s="583"/>
      <c r="J330" s="583"/>
      <c r="K330" s="93"/>
      <c r="L330" s="93">
        <f t="shared" ca="1" si="151"/>
        <v>165000</v>
      </c>
      <c r="M330" s="93">
        <f t="shared" ca="1" si="151"/>
        <v>82500</v>
      </c>
      <c r="N330" s="93">
        <f t="shared" ca="1" si="151"/>
        <v>25758</v>
      </c>
      <c r="O330" s="93">
        <f t="shared" ca="1" si="149"/>
        <v>15.610909090909091</v>
      </c>
      <c r="P330" s="93">
        <f t="shared" ca="1" si="150"/>
        <v>31.221818181818183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1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65">
        <f t="shared" ref="L331:N331" ca="1" si="152">L332+L333</f>
        <v>165000</v>
      </c>
      <c r="M331" s="465">
        <f t="shared" ca="1" si="152"/>
        <v>82500</v>
      </c>
      <c r="N331" s="465">
        <f t="shared" ca="1" si="152"/>
        <v>25758</v>
      </c>
      <c r="O331" s="465">
        <f t="shared" ca="1" si="149"/>
        <v>15.610909090909091</v>
      </c>
      <c r="P331" s="465">
        <f t="shared" ca="1" si="150"/>
        <v>31.221818181818183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2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49"/>
        <v>0</v>
      </c>
      <c r="P332" s="93">
        <f t="shared" si="150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2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IFERROR(__xludf.DUMMYFUNCTION("IMPORTRANGE(""https://docs.google.com/spreadsheets/d/1MeEWN-I1oV_STSDYn1IFDPWt_1FKiwhDph83XaGc0o0/edit?usp=sharing"",""งบพรบ!EM25"")"),165000)</f>
        <v>165000</v>
      </c>
      <c r="M333" s="93">
        <f ca="1">IFERROR(__xludf.DUMMYFUNCTION("IMPORTRANGE(""https://docs.google.com/spreadsheets/d/1MeEWN-I1oV_STSDYn1IFDPWt_1FKiwhDph83XaGc0o0/edit?usp=sharing"",""งบพรบ!ER25"")"),82500)</f>
        <v>82500</v>
      </c>
      <c r="N333" s="93">
        <f ca="1">IFERROR(__xludf.DUMMYFUNCTION("IMPORTRANGE(""https://docs.google.com/spreadsheets/d/1MeEWN-I1oV_STSDYn1IFDPWt_1FKiwhDph83XaGc0o0/edit?usp=sharing"",""งบพรบ!ET25"")"),25758)</f>
        <v>25758</v>
      </c>
      <c r="O333" s="93">
        <f t="shared" ca="1" si="149"/>
        <v>15.610909090909091</v>
      </c>
      <c r="P333" s="93">
        <f t="shared" ca="1" si="150"/>
        <v>31.221818181818183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1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65">
        <f t="shared" ref="L334:N334" ca="1" si="153">L335+L336</f>
        <v>0</v>
      </c>
      <c r="M334" s="465">
        <f t="shared" ca="1" si="153"/>
        <v>0</v>
      </c>
      <c r="N334" s="465">
        <f t="shared" ca="1" si="153"/>
        <v>0</v>
      </c>
      <c r="O334" s="465">
        <f t="shared" ca="1" si="149"/>
        <v>0</v>
      </c>
      <c r="P334" s="465">
        <f t="shared" ca="1" si="150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2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49"/>
        <v>0</v>
      </c>
      <c r="P335" s="93">
        <f t="shared" si="150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2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IFERROR(__xludf.DUMMYFUNCTION("IMPORTRANGE(""https://docs.google.com/spreadsheets/d/1MeEWN-I1oV_STSDYn1IFDPWt_1FKiwhDph83XaGc0o0/edit?usp=sharing"",""งบพรบ!EP25"")"),0)</f>
        <v>0</v>
      </c>
      <c r="M336" s="93">
        <f ca="1">IFERROR(__xludf.DUMMYFUNCTION("IMPORTRANGE(""https://docs.google.com/spreadsheets/d/1MeEWN-I1oV_STSDYn1IFDPWt_1FKiwhDph83XaGc0o0/edit?usp=sharing"",""งบพรบ!ES25"")"),0)</f>
        <v>0</v>
      </c>
      <c r="N336" s="93">
        <f ca="1">IFERROR(__xludf.DUMMYFUNCTION("IMPORTRANGE(""https://docs.google.com/spreadsheets/d/1MeEWN-I1oV_STSDYn1IFDPWt_1FKiwhDph83XaGc0o0/edit?usp=sharing"",""งบพรบ!EU25"")"),0)</f>
        <v>0</v>
      </c>
      <c r="O336" s="93">
        <f t="shared" ca="1" si="149"/>
        <v>0</v>
      </c>
      <c r="P336" s="93">
        <f t="shared" ca="1" si="150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18" t="s">
        <v>38</v>
      </c>
      <c r="E337" s="173"/>
      <c r="F337" s="173"/>
      <c r="G337" s="174"/>
      <c r="H337" s="726"/>
      <c r="I337" s="184"/>
      <c r="J337" s="269"/>
      <c r="K337" s="465"/>
      <c r="L337" s="465"/>
      <c r="M337" s="465"/>
      <c r="N337" s="465"/>
      <c r="O337" s="163"/>
      <c r="P337" s="163"/>
    </row>
    <row r="338" spans="1:26" ht="18.75">
      <c r="A338" s="283"/>
      <c r="B338" s="33"/>
      <c r="C338" s="280"/>
      <c r="D338" s="415" t="s">
        <v>150</v>
      </c>
      <c r="E338" s="171"/>
      <c r="F338" s="33"/>
      <c r="G338" s="35"/>
      <c r="H338" s="276" t="s">
        <v>35</v>
      </c>
      <c r="I338" s="269">
        <f ca="1">IFERROR(__xludf.DUMMYFUNCTION("IMPORTRANGE(""https://docs.google.com/spreadsheets/d/1QqKyyYR6Q21VydFLVH3TRQUabQu_ym0Zz7PgGX0-kHA/edit?usp=sharing"",""แผน!EG25"")"),400)</f>
        <v>400</v>
      </c>
      <c r="J338" s="269">
        <f ca="1">IFERROR(__xludf.DUMMYFUNCTION("IMPORTRANGE(""https://docs.google.com/spreadsheets/d/1kVcqe37tkHyjCSG3S0O1AXqVkqjo8mSIZil3BcpIysc/edit?usp=sharing"",""ศูนย์!D25"")"),16)</f>
        <v>16</v>
      </c>
      <c r="K338" s="465">
        <f ca="1">IF(I338&gt;0,J338*100/I338,0)</f>
        <v>4</v>
      </c>
      <c r="L338" s="465"/>
      <c r="M338" s="465"/>
      <c r="N338" s="465"/>
      <c r="O338" s="465"/>
      <c r="P338" s="465"/>
    </row>
    <row r="339" spans="1:26" ht="18.75">
      <c r="A339" s="283"/>
      <c r="B339" s="33"/>
      <c r="C339" s="280"/>
      <c r="D339" s="415" t="s">
        <v>151</v>
      </c>
      <c r="E339" s="171"/>
      <c r="F339" s="33"/>
      <c r="G339" s="35"/>
      <c r="H339" s="276"/>
      <c r="I339" s="269"/>
      <c r="J339" s="269"/>
      <c r="K339" s="465"/>
      <c r="L339" s="465"/>
      <c r="M339" s="465"/>
      <c r="N339" s="465"/>
      <c r="O339" s="465"/>
      <c r="P339" s="465"/>
    </row>
    <row r="340" spans="1:26" ht="18.75">
      <c r="A340" s="283"/>
      <c r="B340" s="33"/>
      <c r="C340" s="280"/>
      <c r="D340" s="342"/>
      <c r="E340" s="415" t="s">
        <v>152</v>
      </c>
      <c r="F340" s="33"/>
      <c r="G340" s="35"/>
      <c r="H340" s="276" t="s">
        <v>153</v>
      </c>
      <c r="I340" s="269">
        <f ca="1">IFERROR(__xludf.DUMMYFUNCTION("IMPORTRANGE(""https://docs.google.com/spreadsheets/d/1QqKyyYR6Q21VydFLVH3TRQUabQu_ym0Zz7PgGX0-kHA/edit?usp=sharing"",""แผน!EH25"")"),6)</f>
        <v>6</v>
      </c>
      <c r="J340" s="269">
        <f ca="1">IFERROR(__xludf.DUMMYFUNCTION("IMPORTRANGE(""https://docs.google.com/spreadsheets/d/1kVcqe37tkHyjCSG3S0O1AXqVkqjo8mSIZil3BcpIysc/edit?usp=sharing"",""ศูนย์!E25"")"),1)</f>
        <v>1</v>
      </c>
      <c r="K340" s="465">
        <f ca="1">IF(I340&gt;0,J340*100/I340,0)</f>
        <v>16.666666666666668</v>
      </c>
      <c r="L340" s="465"/>
      <c r="M340" s="465"/>
      <c r="N340" s="465"/>
      <c r="O340" s="465"/>
      <c r="P340" s="465"/>
    </row>
    <row r="341" spans="1:26" ht="18.75">
      <c r="A341" s="283"/>
      <c r="B341" s="33"/>
      <c r="C341" s="280"/>
      <c r="D341" s="342"/>
      <c r="E341" s="415" t="s">
        <v>154</v>
      </c>
      <c r="F341" s="33"/>
      <c r="G341" s="35"/>
      <c r="H341" s="276" t="s">
        <v>35</v>
      </c>
      <c r="I341" s="269"/>
      <c r="J341" s="269">
        <f ca="1">IFERROR(__xludf.DUMMYFUNCTION("IMPORTRANGE(""https://docs.google.com/spreadsheets/d/1kVcqe37tkHyjCSG3S0O1AXqVkqjo8mSIZil3BcpIysc/edit?usp=sharing"",""ศูนย์!F25"")"),25)</f>
        <v>25</v>
      </c>
      <c r="K341" s="465"/>
      <c r="L341" s="465"/>
      <c r="M341" s="465"/>
      <c r="N341" s="465"/>
      <c r="O341" s="465"/>
      <c r="P341" s="465"/>
    </row>
    <row r="342" spans="1:26" ht="18.75">
      <c r="A342" s="283"/>
      <c r="B342" s="33"/>
      <c r="C342" s="280"/>
      <c r="D342" s="415" t="s">
        <v>155</v>
      </c>
      <c r="E342" s="342"/>
      <c r="F342" s="342"/>
      <c r="G342" s="35"/>
      <c r="H342" s="276" t="s">
        <v>35</v>
      </c>
      <c r="I342" s="269"/>
      <c r="J342" s="269">
        <f ca="1">IFERROR(__xludf.DUMMYFUNCTION("IMPORTRANGE(""https://docs.google.com/spreadsheets/d/1kVcqe37tkHyjCSG3S0O1AXqVkqjo8mSIZil3BcpIysc/edit?usp=sharing"",""ศูนย์!G25"")"),0)</f>
        <v>0</v>
      </c>
      <c r="K342" s="465"/>
      <c r="L342" s="465"/>
      <c r="M342" s="465"/>
      <c r="N342" s="465"/>
      <c r="O342" s="465"/>
      <c r="P342" s="465"/>
    </row>
    <row r="343" spans="1:26" ht="18.75">
      <c r="A343" s="283"/>
      <c r="B343" s="33"/>
      <c r="C343" s="280"/>
      <c r="D343" s="415" t="s">
        <v>156</v>
      </c>
      <c r="E343" s="342"/>
      <c r="F343" s="342"/>
      <c r="G343" s="35"/>
      <c r="H343" s="276" t="s">
        <v>35</v>
      </c>
      <c r="I343" s="269"/>
      <c r="J343" s="269">
        <f ca="1">IFERROR(__xludf.DUMMYFUNCTION("IMPORTRANGE(""https://docs.google.com/spreadsheets/d/1kVcqe37tkHyjCSG3S0O1AXqVkqjo8mSIZil3BcpIysc/edit?usp=sharing"",""ศูนย์!H25"")"),16)</f>
        <v>16</v>
      </c>
      <c r="K343" s="465"/>
      <c r="L343" s="465"/>
      <c r="M343" s="465"/>
      <c r="N343" s="465"/>
      <c r="O343" s="465"/>
      <c r="P343" s="465"/>
    </row>
    <row r="344" spans="1:26" ht="19.5">
      <c r="A344" s="407"/>
      <c r="B344" s="408" t="s">
        <v>157</v>
      </c>
      <c r="C344" s="420"/>
      <c r="D344" s="409"/>
      <c r="E344" s="409"/>
      <c r="F344" s="409"/>
      <c r="G344" s="410"/>
      <c r="H344" s="411"/>
      <c r="I344" s="421"/>
      <c r="J344" s="421"/>
      <c r="K344" s="414"/>
      <c r="L344" s="414"/>
      <c r="M344" s="414"/>
      <c r="N344" s="414"/>
      <c r="O344" s="414"/>
      <c r="P344" s="414"/>
    </row>
    <row r="345" spans="1:26" ht="19.5">
      <c r="A345" s="147"/>
      <c r="B345" s="148"/>
      <c r="C345" s="149" t="s">
        <v>16</v>
      </c>
      <c r="D345" s="817" t="s">
        <v>17</v>
      </c>
      <c r="E345" s="148"/>
      <c r="F345" s="148"/>
      <c r="G345" s="151"/>
      <c r="H345" s="152" t="s">
        <v>12</v>
      </c>
      <c r="I345" s="388"/>
      <c r="J345" s="388"/>
      <c r="K345" s="154"/>
      <c r="L345" s="155">
        <f t="shared" ref="L345:N345" ca="1" si="154">L346+L347</f>
        <v>835790</v>
      </c>
      <c r="M345" s="155">
        <f t="shared" ca="1" si="154"/>
        <v>447900</v>
      </c>
      <c r="N345" s="155">
        <f t="shared" ca="1" si="154"/>
        <v>187847</v>
      </c>
      <c r="O345" s="155">
        <f t="shared" ref="O345:O353" ca="1" si="155">IF(L345&gt;0,N345*100/L345,0)</f>
        <v>22.475382572177221</v>
      </c>
      <c r="P345" s="155">
        <f t="shared" ref="P345:P353" ca="1" si="156">IF(M345&gt;0,N345*100/M345,0)</f>
        <v>41.939495423085511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2" t="s">
        <v>18</v>
      </c>
      <c r="F346" s="40"/>
      <c r="G346" s="157"/>
      <c r="H346" s="158" t="s">
        <v>12</v>
      </c>
      <c r="I346" s="583"/>
      <c r="J346" s="583"/>
      <c r="K346" s="93"/>
      <c r="L346" s="93">
        <f t="shared" ref="L346:N347" si="157">L349+L352</f>
        <v>0</v>
      </c>
      <c r="M346" s="93">
        <f t="shared" si="157"/>
        <v>0</v>
      </c>
      <c r="N346" s="93">
        <f t="shared" si="157"/>
        <v>0</v>
      </c>
      <c r="O346" s="93">
        <f t="shared" si="155"/>
        <v>0</v>
      </c>
      <c r="P346" s="93">
        <f t="shared" si="156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2" t="s">
        <v>19</v>
      </c>
      <c r="F347" s="40"/>
      <c r="G347" s="157"/>
      <c r="H347" s="158" t="s">
        <v>12</v>
      </c>
      <c r="I347" s="583"/>
      <c r="J347" s="583"/>
      <c r="K347" s="93"/>
      <c r="L347" s="93">
        <f t="shared" ca="1" si="157"/>
        <v>835790</v>
      </c>
      <c r="M347" s="93">
        <f t="shared" ca="1" si="157"/>
        <v>447900</v>
      </c>
      <c r="N347" s="93">
        <f t="shared" ca="1" si="157"/>
        <v>187847</v>
      </c>
      <c r="O347" s="93">
        <f t="shared" ca="1" si="155"/>
        <v>22.475382572177221</v>
      </c>
      <c r="P347" s="93">
        <f t="shared" ca="1" si="156"/>
        <v>41.939495423085511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1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65">
        <f t="shared" ref="L348:N348" ca="1" si="158">L349+L350</f>
        <v>775790</v>
      </c>
      <c r="M348" s="465">
        <f t="shared" ca="1" si="158"/>
        <v>387900</v>
      </c>
      <c r="N348" s="465">
        <f t="shared" ca="1" si="158"/>
        <v>127847</v>
      </c>
      <c r="O348" s="465">
        <f t="shared" ca="1" si="155"/>
        <v>16.479588548447389</v>
      </c>
      <c r="P348" s="465">
        <f t="shared" ca="1" si="156"/>
        <v>32.958752255736016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2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5"/>
        <v>0</v>
      </c>
      <c r="P349" s="93">
        <f t="shared" si="156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2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IFERROR(__xludf.DUMMYFUNCTION("IMPORTRANGE(""https://docs.google.com/spreadsheets/d/1MeEWN-I1oV_STSDYn1IFDPWt_1FKiwhDph83XaGc0o0/edit?usp=sharing"",""งบพรบ!EW25"")"),775790)</f>
        <v>775790</v>
      </c>
      <c r="M350" s="93">
        <f ca="1">IFERROR(__xludf.DUMMYFUNCTION("IMPORTRANGE(""https://docs.google.com/spreadsheets/d/1MeEWN-I1oV_STSDYn1IFDPWt_1FKiwhDph83XaGc0o0/edit?usp=sharing"",""งบพรบ!FB25"")"),387900)</f>
        <v>387900</v>
      </c>
      <c r="N350" s="93">
        <f ca="1">IFERROR(__xludf.DUMMYFUNCTION("IMPORTRANGE(""https://docs.google.com/spreadsheets/d/1MeEWN-I1oV_STSDYn1IFDPWt_1FKiwhDph83XaGc0o0/edit?usp=sharing"",""งบพรบ!FD25"")"),127847)</f>
        <v>127847</v>
      </c>
      <c r="O350" s="93">
        <f t="shared" ca="1" si="155"/>
        <v>16.479588548447389</v>
      </c>
      <c r="P350" s="93">
        <f t="shared" ca="1" si="156"/>
        <v>32.958752255736016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1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65">
        <f t="shared" ref="L351:N351" ca="1" si="159">L352+L353</f>
        <v>60000</v>
      </c>
      <c r="M351" s="465">
        <f t="shared" ca="1" si="159"/>
        <v>60000</v>
      </c>
      <c r="N351" s="465">
        <f t="shared" ca="1" si="159"/>
        <v>60000</v>
      </c>
      <c r="O351" s="465">
        <f t="shared" ca="1" si="155"/>
        <v>100</v>
      </c>
      <c r="P351" s="465">
        <f t="shared" ca="1" si="156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2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5"/>
        <v>0</v>
      </c>
      <c r="P352" s="93">
        <f t="shared" si="156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2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IFERROR(__xludf.DUMMYFUNCTION("IMPORTRANGE(""https://docs.google.com/spreadsheets/d/1MeEWN-I1oV_STSDYn1IFDPWt_1FKiwhDph83XaGc0o0/edit?usp=sharing"",""งบพรบ!EZ25"")"),60000)</f>
        <v>60000</v>
      </c>
      <c r="M353" s="93">
        <f ca="1">IFERROR(__xludf.DUMMYFUNCTION("IMPORTRANGE(""https://docs.google.com/spreadsheets/d/1MeEWN-I1oV_STSDYn1IFDPWt_1FKiwhDph83XaGc0o0/edit?usp=sharing"",""งบพรบ!FC25"")"),60000)</f>
        <v>60000</v>
      </c>
      <c r="N353" s="93">
        <f ca="1">IFERROR(__xludf.DUMMYFUNCTION("IMPORTRANGE(""https://docs.google.com/spreadsheets/d/1MeEWN-I1oV_STSDYn1IFDPWt_1FKiwhDph83XaGc0o0/edit?usp=sharing"",""งบพรบ!FE25"")"),60000)</f>
        <v>60000</v>
      </c>
      <c r="O353" s="93">
        <f t="shared" ca="1" si="155"/>
        <v>100</v>
      </c>
      <c r="P353" s="93">
        <f t="shared" ca="1" si="156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5"/>
      <c r="B354" s="263"/>
      <c r="C354" s="256"/>
      <c r="D354" s="845" t="s">
        <v>158</v>
      </c>
      <c r="E354" s="256"/>
      <c r="F354" s="256"/>
      <c r="G354" s="258"/>
      <c r="H354" s="423"/>
      <c r="I354" s="260"/>
      <c r="J354" s="260"/>
      <c r="K354" s="261"/>
      <c r="L354" s="261"/>
      <c r="M354" s="261"/>
      <c r="N354" s="261"/>
      <c r="O354" s="261"/>
      <c r="P354" s="261"/>
    </row>
    <row r="355" spans="1:26" ht="19.5">
      <c r="A355" s="424"/>
      <c r="B355" s="425"/>
      <c r="C355" s="426"/>
      <c r="D355" s="846" t="s">
        <v>159</v>
      </c>
      <c r="E355" s="428"/>
      <c r="F355" s="428"/>
      <c r="G355" s="429"/>
      <c r="H355" s="430" t="s">
        <v>35</v>
      </c>
      <c r="I355" s="432">
        <f ca="1">IFERROR(__xludf.DUMMYFUNCTION("IMPORTRANGE(""https://docs.google.com/spreadsheets/d/1QqKyyYR6Q21VydFLVH3TRQUabQu_ym0Zz7PgGX0-kHA/edit?usp=sharing"",""แผน!EP25"")"),59)</f>
        <v>59</v>
      </c>
      <c r="J355" s="432">
        <f ca="1">J362</f>
        <v>0</v>
      </c>
      <c r="K355" s="433">
        <f ca="1">IF(I355&gt;0,J355*100/I355,0)</f>
        <v>0</v>
      </c>
      <c r="L355" s="434"/>
      <c r="M355" s="434"/>
      <c r="N355" s="434"/>
      <c r="O355" s="434"/>
      <c r="P355" s="434"/>
    </row>
    <row r="356" spans="1:26" ht="19.5">
      <c r="A356" s="424"/>
      <c r="B356" s="425"/>
      <c r="C356" s="426"/>
      <c r="D356" s="435" t="s">
        <v>160</v>
      </c>
      <c r="E356" s="428"/>
      <c r="F356" s="428"/>
      <c r="G356" s="429"/>
      <c r="H356" s="436"/>
      <c r="I356" s="437"/>
      <c r="J356" s="437"/>
      <c r="K356" s="434"/>
      <c r="L356" s="434"/>
      <c r="M356" s="434"/>
      <c r="N356" s="434"/>
      <c r="O356" s="434"/>
      <c r="P356" s="434"/>
    </row>
    <row r="357" spans="1:26" ht="19.5">
      <c r="A357" s="170"/>
      <c r="B357" s="171"/>
      <c r="C357" s="164" t="s">
        <v>16</v>
      </c>
      <c r="D357" s="818" t="s">
        <v>38</v>
      </c>
      <c r="E357" s="173"/>
      <c r="F357" s="173"/>
      <c r="G357" s="174"/>
      <c r="H357" s="726"/>
      <c r="I357" s="269"/>
      <c r="J357" s="269"/>
      <c r="K357" s="465"/>
      <c r="L357" s="163"/>
      <c r="M357" s="163"/>
      <c r="N357" s="163"/>
      <c r="O357" s="163"/>
      <c r="P357" s="163"/>
    </row>
    <row r="358" spans="1:26" ht="18.75">
      <c r="A358" s="170"/>
      <c r="B358" s="342"/>
      <c r="C358" s="171"/>
      <c r="D358" s="342"/>
      <c r="E358" s="343" t="s">
        <v>161</v>
      </c>
      <c r="F358" s="342"/>
      <c r="G358" s="179"/>
      <c r="H358" s="185" t="s">
        <v>35</v>
      </c>
      <c r="I358" s="269">
        <v>0</v>
      </c>
      <c r="J358" s="269">
        <f ca="1">IFERROR(__xludf.DUMMYFUNCTION("IMPORTRANGE(""https://docs.google.com/spreadsheets/d/1XWAQStnk-4SwqDmLtmXYiTMKHgktTP8We1SCoS47DrQ/edit?usp=sharing"",""จัดที่ดิน!W25"")"),0)</f>
        <v>0</v>
      </c>
      <c r="K358" s="465">
        <f t="shared" ref="K358:K365" si="160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342"/>
      <c r="C359" s="171"/>
      <c r="D359" s="342"/>
      <c r="E359" s="342"/>
      <c r="F359" s="342"/>
      <c r="G359" s="179"/>
      <c r="H359" s="185" t="s">
        <v>46</v>
      </c>
      <c r="I359" s="269">
        <f ca="1">IFERROR(__xludf.DUMMYFUNCTION("IMPORTRANGE(""https://docs.google.com/spreadsheets/d/1QqKyyYR6Q21VydFLVH3TRQUabQu_ym0Zz7PgGX0-kHA/edit?usp=sharing"",""แผน!EO25"")"),390)</f>
        <v>390</v>
      </c>
      <c r="J359" s="269">
        <f ca="1">IFERROR(__xludf.DUMMYFUNCTION("IMPORTRANGE(""https://docs.google.com/spreadsheets/d/1XWAQStnk-4SwqDmLtmXYiTMKHgktTP8We1SCoS47DrQ/edit?usp=sharing"",""จัดที่ดิน!X25"")"),0)</f>
        <v>0</v>
      </c>
      <c r="K359" s="465">
        <f t="shared" ca="1" si="160"/>
        <v>0</v>
      </c>
      <c r="L359" s="163"/>
      <c r="M359" s="163"/>
      <c r="N359" s="163"/>
      <c r="O359" s="163"/>
      <c r="P359" s="163"/>
    </row>
    <row r="360" spans="1:26" ht="18.75">
      <c r="A360" s="170"/>
      <c r="B360" s="342"/>
      <c r="C360" s="171"/>
      <c r="D360" s="342"/>
      <c r="E360" s="343" t="s">
        <v>162</v>
      </c>
      <c r="F360" s="342"/>
      <c r="G360" s="179"/>
      <c r="H360" s="728" t="s">
        <v>35</v>
      </c>
      <c r="I360" s="269">
        <f ca="1">IFERROR(__xludf.DUMMYFUNCTION("IMPORTRANGE(""https://docs.google.com/spreadsheets/d/1QqKyyYR6Q21VydFLVH3TRQUabQu_ym0Zz7PgGX0-kHA/edit?usp=sharing"",""แผน!EP25"")"),59)</f>
        <v>59</v>
      </c>
      <c r="J360" s="269">
        <f ca="1">IFERROR(__xludf.DUMMYFUNCTION("IMPORTRANGE(""https://docs.google.com/spreadsheets/d/1XWAQStnk-4SwqDmLtmXYiTMKHgktTP8We1SCoS47DrQ/edit?usp=sharing"",""จัดที่ดิน!Y25"")"),0)</f>
        <v>0</v>
      </c>
      <c r="K360" s="465">
        <f t="shared" ca="1" si="160"/>
        <v>0</v>
      </c>
      <c r="L360" s="163"/>
      <c r="M360" s="163"/>
      <c r="N360" s="163"/>
      <c r="O360" s="163"/>
      <c r="P360" s="163"/>
    </row>
    <row r="361" spans="1:26" ht="18.75">
      <c r="A361" s="170"/>
      <c r="B361" s="342"/>
      <c r="C361" s="171"/>
      <c r="D361" s="342"/>
      <c r="E361" s="342"/>
      <c r="F361" s="342"/>
      <c r="G361" s="179"/>
      <c r="H361" s="728" t="s">
        <v>46</v>
      </c>
      <c r="I361" s="269">
        <v>0</v>
      </c>
      <c r="J361" s="269">
        <f ca="1">IFERROR(__xludf.DUMMYFUNCTION("IMPORTRANGE(""https://docs.google.com/spreadsheets/d/1XWAQStnk-4SwqDmLtmXYiTMKHgktTP8We1SCoS47DrQ/edit?usp=sharing"",""จัดที่ดิน!Z25"")"),0)</f>
        <v>0</v>
      </c>
      <c r="K361" s="465">
        <f t="shared" si="160"/>
        <v>0</v>
      </c>
      <c r="L361" s="163"/>
      <c r="M361" s="163"/>
      <c r="N361" s="163"/>
      <c r="O361" s="163"/>
      <c r="P361" s="163"/>
    </row>
    <row r="362" spans="1:26" ht="18.75">
      <c r="A362" s="170"/>
      <c r="B362" s="342"/>
      <c r="C362" s="171"/>
      <c r="D362" s="342"/>
      <c r="E362" s="343" t="s">
        <v>163</v>
      </c>
      <c r="F362" s="342"/>
      <c r="G362" s="179"/>
      <c r="H362" s="728" t="s">
        <v>35</v>
      </c>
      <c r="I362" s="269">
        <f ca="1">IFERROR(__xludf.DUMMYFUNCTION("IMPORTRANGE(""https://docs.google.com/spreadsheets/d/1QqKyyYR6Q21VydFLVH3TRQUabQu_ym0Zz7PgGX0-kHA/edit?usp=sharing"",""แผน!EP25"")"),59)</f>
        <v>59</v>
      </c>
      <c r="J362" s="269">
        <f ca="1">IFERROR(__xludf.DUMMYFUNCTION("IMPORTRANGE(""https://docs.google.com/spreadsheets/d/1XWAQStnk-4SwqDmLtmXYiTMKHgktTP8We1SCoS47DrQ/edit?usp=sharing"",""จัดที่ดิน!AA25"")"),0)</f>
        <v>0</v>
      </c>
      <c r="K362" s="465">
        <f t="shared" ca="1" si="160"/>
        <v>0</v>
      </c>
      <c r="L362" s="163"/>
      <c r="M362" s="163"/>
      <c r="N362" s="163"/>
      <c r="O362" s="163"/>
      <c r="P362" s="163"/>
    </row>
    <row r="363" spans="1:26" ht="18.75">
      <c r="A363" s="438" t="s">
        <v>164</v>
      </c>
      <c r="B363" s="342"/>
      <c r="C363" s="171"/>
      <c r="D363" s="342"/>
      <c r="E363" s="415"/>
      <c r="F363" s="342"/>
      <c r="G363" s="179"/>
      <c r="H363" s="728" t="s">
        <v>46</v>
      </c>
      <c r="I363" s="269">
        <v>0</v>
      </c>
      <c r="J363" s="269">
        <f ca="1">IFERROR(__xludf.DUMMYFUNCTION("IMPORTRANGE(""https://docs.google.com/spreadsheets/d/1XWAQStnk-4SwqDmLtmXYiTMKHgktTP8We1SCoS47DrQ/edit?usp=sharing"",""จัดที่ดิน!AB25"")"),0)</f>
        <v>0</v>
      </c>
      <c r="K363" s="465">
        <f t="shared" si="160"/>
        <v>0</v>
      </c>
      <c r="L363" s="163"/>
      <c r="M363" s="163"/>
      <c r="N363" s="163"/>
      <c r="O363" s="163"/>
      <c r="P363" s="163"/>
    </row>
    <row r="364" spans="1:26" ht="19.5">
      <c r="A364" s="439"/>
      <c r="B364" s="440"/>
      <c r="C364" s="441"/>
      <c r="D364" s="442" t="s">
        <v>165</v>
      </c>
      <c r="E364" s="443"/>
      <c r="F364" s="443"/>
      <c r="G364" s="444"/>
      <c r="H364" s="445" t="s">
        <v>35</v>
      </c>
      <c r="I364" s="446">
        <f t="shared" ref="I364:J364" ca="1" si="161">I365+I374</f>
        <v>119</v>
      </c>
      <c r="J364" s="446">
        <f t="shared" ca="1" si="161"/>
        <v>0</v>
      </c>
      <c r="K364" s="447">
        <f t="shared" ca="1" si="160"/>
        <v>0</v>
      </c>
      <c r="L364" s="448"/>
      <c r="M364" s="448"/>
      <c r="N364" s="448"/>
      <c r="O364" s="448"/>
      <c r="P364" s="448"/>
      <c r="Q364" s="449"/>
      <c r="R364" s="449"/>
      <c r="S364" s="449"/>
      <c r="T364" s="449"/>
      <c r="U364" s="449"/>
      <c r="V364" s="449"/>
      <c r="W364" s="449"/>
      <c r="X364" s="449"/>
      <c r="Y364" s="449"/>
      <c r="Z364" s="449"/>
    </row>
    <row r="365" spans="1:26" ht="19.5">
      <c r="A365" s="450"/>
      <c r="B365" s="451"/>
      <c r="C365" s="453"/>
      <c r="D365" s="453" t="s">
        <v>166</v>
      </c>
      <c r="E365" s="454"/>
      <c r="F365" s="454"/>
      <c r="G365" s="455"/>
      <c r="H365" s="456" t="s">
        <v>35</v>
      </c>
      <c r="I365" s="458">
        <f ca="1">IFERROR(__xludf.DUMMYFUNCTION("IMPORTRANGE(""https://docs.google.com/spreadsheets/d/1QqKyyYR6Q21VydFLVH3TRQUabQu_ym0Zz7PgGX0-kHA/edit?usp=sharing"",""แผน!EJ25"")"),18)</f>
        <v>18</v>
      </c>
      <c r="J365" s="458">
        <f ca="1">J372</f>
        <v>0</v>
      </c>
      <c r="K365" s="459">
        <f t="shared" ca="1" si="160"/>
        <v>0</v>
      </c>
      <c r="L365" s="460"/>
      <c r="M365" s="460"/>
      <c r="N365" s="460"/>
      <c r="O365" s="460"/>
      <c r="P365" s="460"/>
      <c r="Q365" s="449"/>
      <c r="R365" s="449"/>
      <c r="S365" s="449"/>
      <c r="T365" s="449"/>
      <c r="U365" s="449"/>
      <c r="V365" s="449"/>
      <c r="W365" s="449"/>
      <c r="X365" s="449"/>
      <c r="Y365" s="449"/>
      <c r="Z365" s="449"/>
    </row>
    <row r="366" spans="1:26" ht="19.5">
      <c r="A366" s="450"/>
      <c r="B366" s="451"/>
      <c r="C366" s="453"/>
      <c r="D366" s="461" t="s">
        <v>167</v>
      </c>
      <c r="E366" s="454"/>
      <c r="F366" s="454"/>
      <c r="G366" s="455"/>
      <c r="H366" s="462"/>
      <c r="I366" s="463"/>
      <c r="J366" s="463"/>
      <c r="K366" s="460"/>
      <c r="L366" s="460"/>
      <c r="M366" s="460"/>
      <c r="N366" s="460"/>
      <c r="O366" s="460"/>
      <c r="P366" s="460"/>
      <c r="Q366" s="449"/>
      <c r="R366" s="449"/>
      <c r="S366" s="449"/>
      <c r="T366" s="449"/>
      <c r="U366" s="449"/>
      <c r="V366" s="449"/>
      <c r="W366" s="449"/>
      <c r="X366" s="449"/>
      <c r="Y366" s="449"/>
      <c r="Z366" s="449"/>
    </row>
    <row r="367" spans="1:26" ht="19.5">
      <c r="A367" s="170"/>
      <c r="B367" s="171"/>
      <c r="C367" s="164" t="s">
        <v>16</v>
      </c>
      <c r="D367" s="818" t="s">
        <v>38</v>
      </c>
      <c r="E367" s="173"/>
      <c r="F367" s="173"/>
      <c r="G367" s="174"/>
      <c r="H367" s="726"/>
      <c r="I367" s="269"/>
      <c r="J367" s="269"/>
      <c r="K367" s="465"/>
      <c r="L367" s="163"/>
      <c r="M367" s="163"/>
      <c r="N367" s="163"/>
      <c r="O367" s="163"/>
      <c r="P367" s="163"/>
    </row>
    <row r="368" spans="1:26" ht="18.75">
      <c r="A368" s="170"/>
      <c r="B368" s="342"/>
      <c r="C368" s="171"/>
      <c r="D368" s="342"/>
      <c r="E368" s="343" t="s">
        <v>161</v>
      </c>
      <c r="F368" s="342"/>
      <c r="G368" s="179"/>
      <c r="H368" s="185" t="s">
        <v>35</v>
      </c>
      <c r="I368" s="269">
        <v>0</v>
      </c>
      <c r="J368" s="269">
        <f ca="1">IFERROR(__xludf.DUMMYFUNCTION("IMPORTRANGE(""https://docs.google.com/spreadsheets/d/1XWAQStnk-4SwqDmLtmXYiTMKHgktTP8We1SCoS47DrQ/edit?usp=sharing"",""จัดที่ดิน!E25"")"),0)</f>
        <v>0</v>
      </c>
      <c r="K368" s="465">
        <f t="shared" ref="K368:K374" si="162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342"/>
      <c r="C369" s="171"/>
      <c r="D369" s="342"/>
      <c r="E369" s="342"/>
      <c r="F369" s="342"/>
      <c r="G369" s="179"/>
      <c r="H369" s="185" t="s">
        <v>46</v>
      </c>
      <c r="I369" s="269">
        <f ca="1">IFERROR(__xludf.DUMMYFUNCTION("IMPORTRANGE(""https://docs.google.com/spreadsheets/d/1QqKyyYR6Q21VydFLVH3TRQUabQu_ym0Zz7PgGX0-kHA/edit?usp=sharing"",""แผน!EI25"")"),90)</f>
        <v>90</v>
      </c>
      <c r="J369" s="269">
        <f ca="1">IFERROR(__xludf.DUMMYFUNCTION("IMPORTRANGE(""https://docs.google.com/spreadsheets/d/1XWAQStnk-4SwqDmLtmXYiTMKHgktTP8We1SCoS47DrQ/edit?usp=sharing"",""จัดที่ดิน!F25"")"),0)</f>
        <v>0</v>
      </c>
      <c r="K369" s="465">
        <f t="shared" ca="1" si="162"/>
        <v>0</v>
      </c>
      <c r="L369" s="163"/>
      <c r="M369" s="163"/>
      <c r="N369" s="163"/>
      <c r="O369" s="163"/>
      <c r="P369" s="163"/>
    </row>
    <row r="370" spans="1:26" ht="18.75">
      <c r="A370" s="170"/>
      <c r="B370" s="342"/>
      <c r="C370" s="171"/>
      <c r="D370" s="342"/>
      <c r="E370" s="343" t="s">
        <v>162</v>
      </c>
      <c r="F370" s="342"/>
      <c r="G370" s="179"/>
      <c r="H370" s="728" t="s">
        <v>35</v>
      </c>
      <c r="I370" s="269">
        <f ca="1">IFERROR(__xludf.DUMMYFUNCTION("IMPORTRANGE(""https://docs.google.com/spreadsheets/d/1QqKyyYR6Q21VydFLVH3TRQUabQu_ym0Zz7PgGX0-kHA/edit?usp=sharing"",""แผน!EJ25"")"),18)</f>
        <v>18</v>
      </c>
      <c r="J370" s="269">
        <f ca="1">IFERROR(__xludf.DUMMYFUNCTION("IMPORTRANGE(""https://docs.google.com/spreadsheets/d/1XWAQStnk-4SwqDmLtmXYiTMKHgktTP8We1SCoS47DrQ/edit?usp=sharing"",""จัดที่ดิน!G25"")"),0)</f>
        <v>0</v>
      </c>
      <c r="K370" s="465">
        <f t="shared" ca="1" si="162"/>
        <v>0</v>
      </c>
      <c r="L370" s="163"/>
      <c r="M370" s="163"/>
      <c r="N370" s="163"/>
      <c r="O370" s="163"/>
      <c r="P370" s="163"/>
    </row>
    <row r="371" spans="1:26" ht="18.75">
      <c r="A371" s="170"/>
      <c r="B371" s="342"/>
      <c r="C371" s="171"/>
      <c r="D371" s="342"/>
      <c r="E371" s="342"/>
      <c r="F371" s="342"/>
      <c r="G371" s="179"/>
      <c r="H371" s="728" t="s">
        <v>46</v>
      </c>
      <c r="I371" s="269">
        <v>0</v>
      </c>
      <c r="J371" s="269">
        <f ca="1">IFERROR(__xludf.DUMMYFUNCTION("IMPORTRANGE(""https://docs.google.com/spreadsheets/d/1XWAQStnk-4SwqDmLtmXYiTMKHgktTP8We1SCoS47DrQ/edit?usp=sharing"",""จัดที่ดิน!H25"")"),0)</f>
        <v>0</v>
      </c>
      <c r="K371" s="465">
        <f t="shared" si="162"/>
        <v>0</v>
      </c>
      <c r="L371" s="163"/>
      <c r="M371" s="163"/>
      <c r="N371" s="163"/>
      <c r="O371" s="163"/>
      <c r="P371" s="163"/>
    </row>
    <row r="372" spans="1:26" ht="18.75">
      <c r="A372" s="170"/>
      <c r="B372" s="342"/>
      <c r="C372" s="171"/>
      <c r="D372" s="342"/>
      <c r="E372" s="343" t="s">
        <v>163</v>
      </c>
      <c r="F372" s="342"/>
      <c r="G372" s="179"/>
      <c r="H372" s="728" t="s">
        <v>35</v>
      </c>
      <c r="I372" s="269">
        <f ca="1">IFERROR(__xludf.DUMMYFUNCTION("IMPORTRANGE(""https://docs.google.com/spreadsheets/d/1QqKyyYR6Q21VydFLVH3TRQUabQu_ym0Zz7PgGX0-kHA/edit?usp=sharing"",""แผน!EJ25"")"),18)</f>
        <v>18</v>
      </c>
      <c r="J372" s="269">
        <f ca="1">IFERROR(__xludf.DUMMYFUNCTION("IMPORTRANGE(""https://docs.google.com/spreadsheets/d/1XWAQStnk-4SwqDmLtmXYiTMKHgktTP8We1SCoS47DrQ/edit?usp=sharing"",""จัดที่ดิน!I25"")"),0)</f>
        <v>0</v>
      </c>
      <c r="K372" s="465">
        <f t="shared" ca="1" si="162"/>
        <v>0</v>
      </c>
      <c r="L372" s="163"/>
      <c r="M372" s="163"/>
      <c r="N372" s="163"/>
      <c r="O372" s="163"/>
      <c r="P372" s="163"/>
    </row>
    <row r="373" spans="1:26" ht="18.75">
      <c r="A373" s="438" t="s">
        <v>164</v>
      </c>
      <c r="B373" s="342"/>
      <c r="C373" s="171"/>
      <c r="D373" s="342"/>
      <c r="E373" s="415"/>
      <c r="F373" s="342"/>
      <c r="G373" s="179"/>
      <c r="H373" s="728" t="s">
        <v>46</v>
      </c>
      <c r="I373" s="269">
        <v>0</v>
      </c>
      <c r="J373" s="269">
        <f ca="1">IFERROR(__xludf.DUMMYFUNCTION("IMPORTRANGE(""https://docs.google.com/spreadsheets/d/1XWAQStnk-4SwqDmLtmXYiTMKHgktTP8We1SCoS47DrQ/edit?usp=sharing"",""จัดที่ดิน!J25"")"),0)</f>
        <v>0</v>
      </c>
      <c r="K373" s="465">
        <f t="shared" si="162"/>
        <v>0</v>
      </c>
      <c r="L373" s="163"/>
      <c r="M373" s="163"/>
      <c r="N373" s="163"/>
      <c r="O373" s="163"/>
      <c r="P373" s="163"/>
    </row>
    <row r="374" spans="1:26" ht="19.5">
      <c r="A374" s="450"/>
      <c r="B374" s="451"/>
      <c r="C374" s="453"/>
      <c r="D374" s="453" t="s">
        <v>168</v>
      </c>
      <c r="E374" s="454"/>
      <c r="F374" s="454"/>
      <c r="G374" s="455"/>
      <c r="H374" s="456" t="s">
        <v>35</v>
      </c>
      <c r="I374" s="464">
        <f ca="1">IFERROR(__xludf.DUMMYFUNCTION("IMPORTRANGE(""https://docs.google.com/spreadsheets/d/1QqKyyYR6Q21VydFLVH3TRQUabQu_ym0Zz7PgGX0-kHA/edit?usp=sharing"",""แผน!EU25"")"),101)</f>
        <v>101</v>
      </c>
      <c r="J374" s="458">
        <f ca="1">J381</f>
        <v>0</v>
      </c>
      <c r="K374" s="459">
        <f t="shared" ca="1" si="162"/>
        <v>0</v>
      </c>
      <c r="L374" s="460"/>
      <c r="M374" s="460"/>
      <c r="N374" s="460"/>
      <c r="O374" s="460"/>
      <c r="P374" s="460"/>
      <c r="Q374" s="449"/>
      <c r="R374" s="449"/>
      <c r="S374" s="449"/>
      <c r="T374" s="449"/>
      <c r="U374" s="449"/>
      <c r="V374" s="449"/>
      <c r="W374" s="449"/>
      <c r="X374" s="449"/>
      <c r="Y374" s="449"/>
      <c r="Z374" s="449"/>
    </row>
    <row r="375" spans="1:26" ht="19.5">
      <c r="A375" s="450"/>
      <c r="B375" s="451"/>
      <c r="C375" s="453"/>
      <c r="D375" s="461" t="s">
        <v>169</v>
      </c>
      <c r="E375" s="454"/>
      <c r="F375" s="454"/>
      <c r="G375" s="455"/>
      <c r="H375" s="462"/>
      <c r="I375" s="463"/>
      <c r="J375" s="463"/>
      <c r="K375" s="460"/>
      <c r="L375" s="460"/>
      <c r="M375" s="460"/>
      <c r="N375" s="460"/>
      <c r="O375" s="460"/>
      <c r="P375" s="460"/>
      <c r="Q375" s="449"/>
      <c r="R375" s="449"/>
      <c r="S375" s="449"/>
      <c r="T375" s="449"/>
      <c r="U375" s="449"/>
      <c r="V375" s="449"/>
      <c r="W375" s="449"/>
      <c r="X375" s="449"/>
      <c r="Y375" s="449"/>
      <c r="Z375" s="449"/>
    </row>
    <row r="376" spans="1:26" ht="19.5">
      <c r="A376" s="170"/>
      <c r="B376" s="171"/>
      <c r="C376" s="164" t="s">
        <v>16</v>
      </c>
      <c r="D376" s="818" t="s">
        <v>38</v>
      </c>
      <c r="E376" s="173"/>
      <c r="F376" s="173"/>
      <c r="G376" s="174"/>
      <c r="H376" s="726"/>
      <c r="I376" s="269"/>
      <c r="J376" s="269"/>
      <c r="K376" s="465"/>
      <c r="L376" s="163"/>
      <c r="M376" s="163"/>
      <c r="N376" s="163"/>
      <c r="O376" s="163"/>
      <c r="P376" s="163"/>
    </row>
    <row r="377" spans="1:26" ht="18.75">
      <c r="A377" s="170"/>
      <c r="B377" s="342"/>
      <c r="C377" s="171"/>
      <c r="D377" s="342"/>
      <c r="E377" s="343" t="s">
        <v>161</v>
      </c>
      <c r="F377" s="342"/>
      <c r="G377" s="179"/>
      <c r="H377" s="185" t="s">
        <v>35</v>
      </c>
      <c r="I377" s="269">
        <v>0</v>
      </c>
      <c r="J377" s="269">
        <f ca="1">IFERROR(__xludf.DUMMYFUNCTION("IMPORTRANGE(""https://docs.google.com/spreadsheets/d/1XWAQStnk-4SwqDmLtmXYiTMKHgktTP8We1SCoS47DrQ/edit?usp=sharing"",""จัดที่ดิน!AH25"")"),0)</f>
        <v>0</v>
      </c>
      <c r="K377" s="465">
        <f t="shared" ref="K377:K382" si="163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342"/>
      <c r="C378" s="171"/>
      <c r="D378" s="342"/>
      <c r="E378" s="342"/>
      <c r="F378" s="342"/>
      <c r="G378" s="179"/>
      <c r="H378" s="185" t="s">
        <v>46</v>
      </c>
      <c r="I378" s="269">
        <f ca="1">IFERROR(__xludf.DUMMYFUNCTION("IMPORTRANGE(""https://docs.google.com/spreadsheets/d/1QqKyyYR6Q21VydFLVH3TRQUabQu_ym0Zz7PgGX0-kHA/edit?usp=sharing"",""แผน!ET25"")"),300)</f>
        <v>300</v>
      </c>
      <c r="J378" s="269">
        <f ca="1">IFERROR(__xludf.DUMMYFUNCTION("IMPORTRANGE(""https://docs.google.com/spreadsheets/d/1XWAQStnk-4SwqDmLtmXYiTMKHgktTP8We1SCoS47DrQ/edit?usp=sharing"",""จัดที่ดิน!AI25"")"),0)</f>
        <v>0</v>
      </c>
      <c r="K378" s="465">
        <f t="shared" ca="1" si="163"/>
        <v>0</v>
      </c>
      <c r="L378" s="163"/>
      <c r="M378" s="163"/>
      <c r="N378" s="163"/>
      <c r="O378" s="163"/>
      <c r="P378" s="163"/>
    </row>
    <row r="379" spans="1:26" ht="18.75">
      <c r="A379" s="170"/>
      <c r="B379" s="342"/>
      <c r="C379" s="171"/>
      <c r="D379" s="342"/>
      <c r="E379" s="343" t="s">
        <v>162</v>
      </c>
      <c r="F379" s="342"/>
      <c r="G379" s="179"/>
      <c r="H379" s="728" t="s">
        <v>35</v>
      </c>
      <c r="I379" s="269">
        <f ca="1">IFERROR(__xludf.DUMMYFUNCTION("IMPORTRANGE(""https://docs.google.com/spreadsheets/d/1QqKyyYR6Q21VydFLVH3TRQUabQu_ym0Zz7PgGX0-kHA/edit?usp=sharing"",""แผน!EU25"")"),101)</f>
        <v>101</v>
      </c>
      <c r="J379" s="269">
        <f ca="1">IFERROR(__xludf.DUMMYFUNCTION("IMPORTRANGE(""https://docs.google.com/spreadsheets/d/1XWAQStnk-4SwqDmLtmXYiTMKHgktTP8We1SCoS47DrQ/edit?usp=sharing"",""จัดที่ดิน!AJ25"")"),0)</f>
        <v>0</v>
      </c>
      <c r="K379" s="465">
        <f t="shared" ca="1" si="163"/>
        <v>0</v>
      </c>
      <c r="L379" s="163"/>
      <c r="M379" s="163"/>
      <c r="N379" s="163"/>
      <c r="O379" s="163"/>
      <c r="P379" s="163"/>
    </row>
    <row r="380" spans="1:26" ht="18.75">
      <c r="A380" s="170"/>
      <c r="B380" s="342"/>
      <c r="C380" s="171"/>
      <c r="D380" s="342"/>
      <c r="E380" s="342"/>
      <c r="F380" s="342"/>
      <c r="G380" s="179"/>
      <c r="H380" s="728" t="s">
        <v>46</v>
      </c>
      <c r="I380" s="269">
        <v>0</v>
      </c>
      <c r="J380" s="269">
        <f ca="1">IFERROR(__xludf.DUMMYFUNCTION("IMPORTRANGE(""https://docs.google.com/spreadsheets/d/1XWAQStnk-4SwqDmLtmXYiTMKHgktTP8We1SCoS47DrQ/edit?usp=sharing"",""จัดที่ดิน!AK25"")"),0)</f>
        <v>0</v>
      </c>
      <c r="K380" s="465">
        <f t="shared" si="163"/>
        <v>0</v>
      </c>
      <c r="L380" s="163"/>
      <c r="M380" s="163"/>
      <c r="N380" s="163"/>
      <c r="O380" s="163"/>
      <c r="P380" s="163"/>
    </row>
    <row r="381" spans="1:26" ht="18.75">
      <c r="A381" s="170"/>
      <c r="B381" s="342"/>
      <c r="C381" s="171"/>
      <c r="D381" s="342"/>
      <c r="E381" s="343" t="s">
        <v>163</v>
      </c>
      <c r="F381" s="342"/>
      <c r="G381" s="179"/>
      <c r="H381" s="728" t="s">
        <v>35</v>
      </c>
      <c r="I381" s="269">
        <f ca="1">IFERROR(__xludf.DUMMYFUNCTION("IMPORTRANGE(""https://docs.google.com/spreadsheets/d/1QqKyyYR6Q21VydFLVH3TRQUabQu_ym0Zz7PgGX0-kHA/edit?usp=sharing"",""แผน!EU25"")"),101)</f>
        <v>101</v>
      </c>
      <c r="J381" s="269">
        <f ca="1">IFERROR(__xludf.DUMMYFUNCTION("IMPORTRANGE(""https://docs.google.com/spreadsheets/d/1XWAQStnk-4SwqDmLtmXYiTMKHgktTP8We1SCoS47DrQ/edit?usp=sharing"",""จัดที่ดิน!AL25"")"),0)</f>
        <v>0</v>
      </c>
      <c r="K381" s="465">
        <f t="shared" ca="1" si="163"/>
        <v>0</v>
      </c>
      <c r="L381" s="163"/>
      <c r="M381" s="163"/>
      <c r="N381" s="163"/>
      <c r="O381" s="163"/>
      <c r="P381" s="163"/>
    </row>
    <row r="382" spans="1:26" ht="18.75">
      <c r="A382" s="438" t="s">
        <v>164</v>
      </c>
      <c r="B382" s="342"/>
      <c r="C382" s="171"/>
      <c r="D382" s="342"/>
      <c r="E382" s="415"/>
      <c r="F382" s="342"/>
      <c r="G382" s="179"/>
      <c r="H382" s="728" t="s">
        <v>46</v>
      </c>
      <c r="I382" s="269">
        <v>0</v>
      </c>
      <c r="J382" s="269">
        <f ca="1">IFERROR(__xludf.DUMMYFUNCTION("IMPORTRANGE(""https://docs.google.com/spreadsheets/d/1XWAQStnk-4SwqDmLtmXYiTMKHgktTP8We1SCoS47DrQ/edit?usp=sharing"",""จัดที่ดิน!AM25"")"),0)</f>
        <v>0</v>
      </c>
      <c r="K382" s="465">
        <f t="shared" si="163"/>
        <v>0</v>
      </c>
      <c r="L382" s="163"/>
      <c r="M382" s="163"/>
      <c r="N382" s="163"/>
      <c r="O382" s="163"/>
      <c r="P382" s="163"/>
    </row>
    <row r="383" spans="1:26" ht="19.5">
      <c r="A383" s="255"/>
      <c r="B383" s="263"/>
      <c r="C383" s="256"/>
      <c r="D383" s="845" t="s">
        <v>170</v>
      </c>
      <c r="E383" s="256"/>
      <c r="F383" s="256"/>
      <c r="G383" s="258"/>
      <c r="H383" s="423"/>
      <c r="I383" s="260"/>
      <c r="J383" s="260"/>
      <c r="K383" s="261"/>
      <c r="L383" s="261"/>
      <c r="M383" s="261"/>
      <c r="N383" s="261"/>
      <c r="O383" s="261"/>
      <c r="P383" s="261"/>
    </row>
    <row r="384" spans="1:26" ht="19.5">
      <c r="A384" s="170"/>
      <c r="B384" s="171"/>
      <c r="C384" s="33" t="s">
        <v>16</v>
      </c>
      <c r="D384" s="818" t="s">
        <v>38</v>
      </c>
      <c r="E384" s="173"/>
      <c r="F384" s="173"/>
      <c r="G384" s="174"/>
      <c r="H384" s="726"/>
      <c r="I384" s="269"/>
      <c r="J384" s="269"/>
      <c r="K384" s="465"/>
      <c r="L384" s="163"/>
      <c r="M384" s="163"/>
      <c r="N384" s="163"/>
      <c r="O384" s="163"/>
      <c r="P384" s="163"/>
    </row>
    <row r="385" spans="1:26" ht="18.75">
      <c r="A385" s="346"/>
      <c r="B385" s="349"/>
      <c r="C385" s="347"/>
      <c r="D385" s="349"/>
      <c r="E385" s="466" t="s">
        <v>163</v>
      </c>
      <c r="F385" s="349"/>
      <c r="G385" s="350"/>
      <c r="H385" s="467" t="s">
        <v>35</v>
      </c>
      <c r="I385" s="468">
        <f ca="1">IFERROR(__xludf.DUMMYFUNCTION("IMPORTRANGE(""https://docs.google.com/spreadsheets/d/1QqKyyYR6Q21VydFLVH3TRQUabQu_ym0Zz7PgGX0-kHA/edit?usp=sharing"",""แผน!EW25"")"),20)</f>
        <v>20</v>
      </c>
      <c r="J385" s="468">
        <f ca="1">IFERROR(__xludf.DUMMYFUNCTION("IMPORTRANGE(""https://docs.google.com/spreadsheets/d/1XWAQStnk-4SwqDmLtmXYiTMKHgktTP8We1SCoS47DrQ/edit?usp=sharing"",""จัดที่ดิน!AP25"")"),0)</f>
        <v>0</v>
      </c>
      <c r="K385" s="469">
        <f ca="1">IF(I385&gt;0,J385*100/I385,0)</f>
        <v>0</v>
      </c>
      <c r="L385" s="353"/>
      <c r="M385" s="353"/>
      <c r="N385" s="353"/>
      <c r="O385" s="353"/>
      <c r="P385" s="353"/>
    </row>
    <row r="386" spans="1:26" ht="19.5" hidden="1">
      <c r="A386" s="470" t="s">
        <v>171</v>
      </c>
      <c r="B386" s="471"/>
      <c r="C386" s="471"/>
      <c r="D386" s="471"/>
      <c r="E386" s="472"/>
      <c r="F386" s="472"/>
      <c r="G386" s="473"/>
      <c r="H386" s="474"/>
      <c r="I386" s="475"/>
      <c r="J386" s="475"/>
      <c r="K386" s="476"/>
      <c r="L386" s="476"/>
      <c r="M386" s="476"/>
      <c r="N386" s="476"/>
      <c r="O386" s="476"/>
      <c r="P386" s="476"/>
    </row>
    <row r="387" spans="1:26" ht="19.5" hidden="1">
      <c r="A387" s="477" t="s">
        <v>172</v>
      </c>
      <c r="B387" s="478"/>
      <c r="C387" s="478"/>
      <c r="D387" s="479"/>
      <c r="E387" s="478"/>
      <c r="F387" s="478"/>
      <c r="G387" s="478"/>
      <c r="H387" s="480"/>
      <c r="I387" s="481"/>
      <c r="J387" s="481"/>
      <c r="K387" s="482"/>
      <c r="L387" s="482"/>
      <c r="M387" s="482"/>
      <c r="N387" s="482"/>
      <c r="O387" s="482"/>
      <c r="P387" s="482"/>
    </row>
    <row r="388" spans="1:26" ht="19.5" hidden="1">
      <c r="A388" s="483"/>
      <c r="B388" s="484" t="s">
        <v>173</v>
      </c>
      <c r="C388" s="485"/>
      <c r="D388" s="486"/>
      <c r="E388" s="486"/>
      <c r="F388" s="486"/>
      <c r="G388" s="487"/>
      <c r="H388" s="488" t="s">
        <v>69</v>
      </c>
      <c r="I388" s="489">
        <f t="shared" ref="I388:J388" si="164">I400</f>
        <v>0</v>
      </c>
      <c r="J388" s="489">
        <f t="shared" si="164"/>
        <v>0</v>
      </c>
      <c r="K388" s="490">
        <f>IF(I388&gt;0,J388*100/I388,0)</f>
        <v>0</v>
      </c>
      <c r="L388" s="491"/>
      <c r="M388" s="491"/>
      <c r="N388" s="491"/>
      <c r="O388" s="491"/>
      <c r="P388" s="491"/>
    </row>
    <row r="389" spans="1:26" ht="19.5" hidden="1">
      <c r="A389" s="147"/>
      <c r="B389" s="148"/>
      <c r="C389" s="149" t="s">
        <v>16</v>
      </c>
      <c r="D389" s="817" t="s">
        <v>17</v>
      </c>
      <c r="E389" s="148"/>
      <c r="F389" s="148"/>
      <c r="G389" s="151"/>
      <c r="H389" s="152" t="s">
        <v>12</v>
      </c>
      <c r="I389" s="388"/>
      <c r="J389" s="388"/>
      <c r="K389" s="154"/>
      <c r="L389" s="155">
        <f t="shared" ref="L389:N389" ca="1" si="165">L390+L391</f>
        <v>0</v>
      </c>
      <c r="M389" s="155">
        <f t="shared" ca="1" si="165"/>
        <v>0</v>
      </c>
      <c r="N389" s="155">
        <f t="shared" ca="1" si="165"/>
        <v>0</v>
      </c>
      <c r="O389" s="155">
        <f t="shared" ref="O389:O397" ca="1" si="166">IF(L389&gt;0,N389*100/L389,0)</f>
        <v>0</v>
      </c>
      <c r="P389" s="155">
        <f t="shared" ref="P389:P397" ca="1" si="167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2" t="s">
        <v>18</v>
      </c>
      <c r="F390" s="40"/>
      <c r="G390" s="157"/>
      <c r="H390" s="158" t="s">
        <v>12</v>
      </c>
      <c r="I390" s="583"/>
      <c r="J390" s="583"/>
      <c r="K390" s="93"/>
      <c r="L390" s="93">
        <f t="shared" ref="L390:N391" si="168">L393+L396</f>
        <v>0</v>
      </c>
      <c r="M390" s="93">
        <f t="shared" si="168"/>
        <v>0</v>
      </c>
      <c r="N390" s="93">
        <f t="shared" si="168"/>
        <v>0</v>
      </c>
      <c r="O390" s="93">
        <f t="shared" si="166"/>
        <v>0</v>
      </c>
      <c r="P390" s="93">
        <f t="shared" si="167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2" t="s">
        <v>19</v>
      </c>
      <c r="F391" s="40"/>
      <c r="G391" s="157"/>
      <c r="H391" s="158" t="s">
        <v>12</v>
      </c>
      <c r="I391" s="583"/>
      <c r="J391" s="583"/>
      <c r="K391" s="93"/>
      <c r="L391" s="93">
        <f t="shared" ca="1" si="168"/>
        <v>0</v>
      </c>
      <c r="M391" s="93">
        <f t="shared" ca="1" si="168"/>
        <v>0</v>
      </c>
      <c r="N391" s="93">
        <f t="shared" ca="1" si="168"/>
        <v>0</v>
      </c>
      <c r="O391" s="93">
        <f t="shared" ca="1" si="166"/>
        <v>0</v>
      </c>
      <c r="P391" s="93">
        <f t="shared" ca="1" si="167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1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65">
        <f t="shared" ref="L392:N392" ca="1" si="169">L393+L394</f>
        <v>0</v>
      </c>
      <c r="M392" s="465">
        <f t="shared" ca="1" si="169"/>
        <v>0</v>
      </c>
      <c r="N392" s="465">
        <f t="shared" ca="1" si="169"/>
        <v>0</v>
      </c>
      <c r="O392" s="465">
        <f t="shared" ca="1" si="166"/>
        <v>0</v>
      </c>
      <c r="P392" s="465">
        <f t="shared" ca="1" si="167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2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6"/>
        <v>0</v>
      </c>
      <c r="P393" s="93">
        <f t="shared" si="167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2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IFERROR(__xludf.DUMMYFUNCTION("IMPORTRANGE(""https://docs.google.com/spreadsheets/d/1MeEWN-I1oV_STSDYn1IFDPWt_1FKiwhDph83XaGc0o0/edit?usp=sharing"",""งบพรบ!FG25"")"),0)</f>
        <v>0</v>
      </c>
      <c r="M394" s="93">
        <f ca="1">IFERROR(__xludf.DUMMYFUNCTION("IMPORTRANGE(""https://docs.google.com/spreadsheets/d/1MeEWN-I1oV_STSDYn1IFDPWt_1FKiwhDph83XaGc0o0/edit?usp=sharing"",""งบพรบ!FL25"")"),0)</f>
        <v>0</v>
      </c>
      <c r="N394" s="93">
        <f ca="1">IFERROR(__xludf.DUMMYFUNCTION("IMPORTRANGE(""https://docs.google.com/spreadsheets/d/1MeEWN-I1oV_STSDYn1IFDPWt_1FKiwhDph83XaGc0o0/edit?usp=sharing"",""งบพรบ!FN25"")"),0)</f>
        <v>0</v>
      </c>
      <c r="O394" s="93">
        <f t="shared" ca="1" si="166"/>
        <v>0</v>
      </c>
      <c r="P394" s="93">
        <f t="shared" ca="1" si="167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1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65">
        <f t="shared" ref="L395:N395" ca="1" si="170">L396+L397</f>
        <v>0</v>
      </c>
      <c r="M395" s="465">
        <f t="shared" ca="1" si="170"/>
        <v>0</v>
      </c>
      <c r="N395" s="465">
        <f t="shared" ca="1" si="170"/>
        <v>0</v>
      </c>
      <c r="O395" s="465">
        <f t="shared" ca="1" si="166"/>
        <v>0</v>
      </c>
      <c r="P395" s="465">
        <f t="shared" ca="1" si="167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2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6"/>
        <v>0</v>
      </c>
      <c r="P396" s="93">
        <f t="shared" si="167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2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IFERROR(__xludf.DUMMYFUNCTION("IMPORTRANGE(""https://docs.google.com/spreadsheets/d/1MeEWN-I1oV_STSDYn1IFDPWt_1FKiwhDph83XaGc0o0/edit?usp=sharing"",""งบพรบ!FJ25"")"),0)</f>
        <v>0</v>
      </c>
      <c r="M397" s="93">
        <f ca="1">IFERROR(__xludf.DUMMYFUNCTION("IMPORTRANGE(""https://docs.google.com/spreadsheets/d/1MeEWN-I1oV_STSDYn1IFDPWt_1FKiwhDph83XaGc0o0/edit?usp=sharing"",""งบพรบ!FM25"")"),0)</f>
        <v>0</v>
      </c>
      <c r="N397" s="93">
        <f ca="1">IFERROR(__xludf.DUMMYFUNCTION("IMPORTRANGE(""https://docs.google.com/spreadsheets/d/1MeEWN-I1oV_STSDYn1IFDPWt_1FKiwhDph83XaGc0o0/edit?usp=sharing"",""งบพรบ!FO25"")"),0)</f>
        <v>0</v>
      </c>
      <c r="O397" s="93">
        <f t="shared" ca="1" si="166"/>
        <v>0</v>
      </c>
      <c r="P397" s="93">
        <f t="shared" ca="1" si="167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18" t="s">
        <v>38</v>
      </c>
      <c r="E398" s="173"/>
      <c r="F398" s="173"/>
      <c r="G398" s="174"/>
      <c r="H398" s="726"/>
      <c r="I398" s="184"/>
      <c r="J398" s="269"/>
      <c r="K398" s="465"/>
      <c r="L398" s="465"/>
      <c r="M398" s="465"/>
      <c r="N398" s="465"/>
      <c r="O398" s="163"/>
      <c r="P398" s="163"/>
    </row>
    <row r="399" spans="1:26" ht="18.75" hidden="1">
      <c r="A399" s="492"/>
      <c r="B399" s="148"/>
      <c r="C399" s="493"/>
      <c r="D399" s="494" t="s">
        <v>174</v>
      </c>
      <c r="E399" s="383"/>
      <c r="F399" s="148"/>
      <c r="G399" s="151"/>
      <c r="H399" s="495" t="s">
        <v>9</v>
      </c>
      <c r="I399" s="269">
        <v>0</v>
      </c>
      <c r="J399" s="214">
        <v>0</v>
      </c>
      <c r="K399" s="465">
        <f t="shared" ref="K399:K401" si="171">IF(I399&gt;0,J399*100/I399,0)</f>
        <v>0</v>
      </c>
      <c r="L399" s="496"/>
      <c r="M399" s="496"/>
      <c r="N399" s="496"/>
      <c r="O399" s="496"/>
      <c r="P399" s="496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3"/>
      <c r="B400" s="33"/>
      <c r="C400" s="280"/>
      <c r="D400" s="415" t="s">
        <v>175</v>
      </c>
      <c r="E400" s="171"/>
      <c r="F400" s="33"/>
      <c r="G400" s="35"/>
      <c r="H400" s="276" t="s">
        <v>69</v>
      </c>
      <c r="I400" s="269">
        <v>0</v>
      </c>
      <c r="J400" s="214">
        <v>0</v>
      </c>
      <c r="K400" s="465">
        <f t="shared" si="171"/>
        <v>0</v>
      </c>
      <c r="L400" s="465"/>
      <c r="M400" s="465"/>
      <c r="N400" s="465"/>
      <c r="O400" s="465"/>
      <c r="P400" s="465"/>
    </row>
    <row r="401" spans="1:26" ht="19.5" hidden="1">
      <c r="A401" s="483"/>
      <c r="B401" s="484" t="s">
        <v>176</v>
      </c>
      <c r="C401" s="485"/>
      <c r="D401" s="486"/>
      <c r="E401" s="486"/>
      <c r="F401" s="486"/>
      <c r="G401" s="487"/>
      <c r="H401" s="488" t="s">
        <v>69</v>
      </c>
      <c r="I401" s="489">
        <f t="shared" ref="I401:J401" si="172">I412</f>
        <v>0</v>
      </c>
      <c r="J401" s="489">
        <f t="shared" si="172"/>
        <v>0</v>
      </c>
      <c r="K401" s="490">
        <f t="shared" si="171"/>
        <v>0</v>
      </c>
      <c r="L401" s="491"/>
      <c r="M401" s="491"/>
      <c r="N401" s="491"/>
      <c r="O401" s="491"/>
      <c r="P401" s="491"/>
    </row>
    <row r="402" spans="1:26" ht="19.5" hidden="1">
      <c r="A402" s="147"/>
      <c r="B402" s="148"/>
      <c r="C402" s="149" t="s">
        <v>16</v>
      </c>
      <c r="D402" s="817" t="s">
        <v>17</v>
      </c>
      <c r="E402" s="148"/>
      <c r="F402" s="148"/>
      <c r="G402" s="151"/>
      <c r="H402" s="152" t="s">
        <v>12</v>
      </c>
      <c r="I402" s="388"/>
      <c r="J402" s="388"/>
      <c r="K402" s="154"/>
      <c r="L402" s="155">
        <f t="shared" ref="L402:N402" ca="1" si="173">L403+L404</f>
        <v>0</v>
      </c>
      <c r="M402" s="155">
        <f t="shared" ca="1" si="173"/>
        <v>0</v>
      </c>
      <c r="N402" s="155">
        <f t="shared" ca="1" si="173"/>
        <v>0</v>
      </c>
      <c r="O402" s="155">
        <f t="shared" ref="O402:O410" ca="1" si="174">IF(L402&gt;0,N402*100/L402,0)</f>
        <v>0</v>
      </c>
      <c r="P402" s="155">
        <f t="shared" ref="P402:P410" ca="1" si="175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2" t="s">
        <v>18</v>
      </c>
      <c r="F403" s="40"/>
      <c r="G403" s="157"/>
      <c r="H403" s="158" t="s">
        <v>12</v>
      </c>
      <c r="I403" s="583"/>
      <c r="J403" s="583"/>
      <c r="K403" s="93"/>
      <c r="L403" s="93">
        <f t="shared" ref="L403:N404" si="176">L406+L409</f>
        <v>0</v>
      </c>
      <c r="M403" s="93">
        <f t="shared" si="176"/>
        <v>0</v>
      </c>
      <c r="N403" s="93">
        <f t="shared" si="176"/>
        <v>0</v>
      </c>
      <c r="O403" s="93">
        <f t="shared" si="174"/>
        <v>0</v>
      </c>
      <c r="P403" s="93">
        <f t="shared" si="175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2" t="s">
        <v>19</v>
      </c>
      <c r="F404" s="40"/>
      <c r="G404" s="157"/>
      <c r="H404" s="158" t="s">
        <v>12</v>
      </c>
      <c r="I404" s="583"/>
      <c r="J404" s="583"/>
      <c r="K404" s="93"/>
      <c r="L404" s="93">
        <f t="shared" ca="1" si="176"/>
        <v>0</v>
      </c>
      <c r="M404" s="93">
        <f t="shared" ca="1" si="176"/>
        <v>0</v>
      </c>
      <c r="N404" s="93">
        <f t="shared" ca="1" si="176"/>
        <v>0</v>
      </c>
      <c r="O404" s="93">
        <f t="shared" ca="1" si="174"/>
        <v>0</v>
      </c>
      <c r="P404" s="93">
        <f t="shared" ca="1" si="175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1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65">
        <f t="shared" ref="L405:N405" ca="1" si="177">L406+L407</f>
        <v>0</v>
      </c>
      <c r="M405" s="465">
        <f t="shared" ca="1" si="177"/>
        <v>0</v>
      </c>
      <c r="N405" s="465">
        <f t="shared" ca="1" si="177"/>
        <v>0</v>
      </c>
      <c r="O405" s="465">
        <f t="shared" ca="1" si="174"/>
        <v>0</v>
      </c>
      <c r="P405" s="465">
        <f t="shared" ca="1" si="175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2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4"/>
        <v>0</v>
      </c>
      <c r="P406" s="93">
        <f t="shared" si="175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2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IFERROR(__xludf.DUMMYFUNCTION("IMPORTRANGE(""https://docs.google.com/spreadsheets/d/1MeEWN-I1oV_STSDYn1IFDPWt_1FKiwhDph83XaGc0o0/edit?usp=sharing"",""งบพรบ!FQ25"")"),0)</f>
        <v>0</v>
      </c>
      <c r="M407" s="93">
        <f ca="1">IFERROR(__xludf.DUMMYFUNCTION("IMPORTRANGE(""https://docs.google.com/spreadsheets/d/1MeEWN-I1oV_STSDYn1IFDPWt_1FKiwhDph83XaGc0o0/edit?usp=sharing"",""งบพรบ!FV25"")"),0)</f>
        <v>0</v>
      </c>
      <c r="N407" s="93">
        <f ca="1">IFERROR(__xludf.DUMMYFUNCTION("IMPORTRANGE(""https://docs.google.com/spreadsheets/d/1MeEWN-I1oV_STSDYn1IFDPWt_1FKiwhDph83XaGc0o0/edit?usp=sharing"",""งบพรบ!FX25"")"),0)</f>
        <v>0</v>
      </c>
      <c r="O407" s="93">
        <f t="shared" ca="1" si="174"/>
        <v>0</v>
      </c>
      <c r="P407" s="93">
        <f t="shared" ca="1" si="175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1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65">
        <f t="shared" ref="L408:N408" ca="1" si="178">L409+L410</f>
        <v>0</v>
      </c>
      <c r="M408" s="465">
        <f t="shared" ca="1" si="178"/>
        <v>0</v>
      </c>
      <c r="N408" s="465">
        <f t="shared" ca="1" si="178"/>
        <v>0</v>
      </c>
      <c r="O408" s="465">
        <f t="shared" ca="1" si="174"/>
        <v>0</v>
      </c>
      <c r="P408" s="465">
        <f t="shared" ca="1" si="175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2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4"/>
        <v>0</v>
      </c>
      <c r="P409" s="93">
        <f t="shared" si="175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2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IFERROR(__xludf.DUMMYFUNCTION("IMPORTRANGE(""https://docs.google.com/spreadsheets/d/1MeEWN-I1oV_STSDYn1IFDPWt_1FKiwhDph83XaGc0o0/edit?usp=sharing"",""งบพรบ!FT25"")"),0)</f>
        <v>0</v>
      </c>
      <c r="M410" s="93">
        <f ca="1">IFERROR(__xludf.DUMMYFUNCTION("IMPORTRANGE(""https://docs.google.com/spreadsheets/d/1MeEWN-I1oV_STSDYn1IFDPWt_1FKiwhDph83XaGc0o0/edit?usp=sharing"",""งบพรบ!FW25"")"),0)</f>
        <v>0</v>
      </c>
      <c r="N410" s="93">
        <f ca="1">IFERROR(__xludf.DUMMYFUNCTION("IMPORTRANGE(""https://docs.google.com/spreadsheets/d/1MeEWN-I1oV_STSDYn1IFDPWt_1FKiwhDph83XaGc0o0/edit?usp=sharing"",""งบพรบ!FY25"")"),0)</f>
        <v>0</v>
      </c>
      <c r="O410" s="93">
        <f t="shared" ca="1" si="174"/>
        <v>0</v>
      </c>
      <c r="P410" s="93">
        <f t="shared" ca="1" si="175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47" t="s">
        <v>38</v>
      </c>
      <c r="E411" s="498"/>
      <c r="F411" s="498"/>
      <c r="G411" s="499"/>
      <c r="H411" s="726"/>
      <c r="I411" s="269"/>
      <c r="J411" s="269"/>
      <c r="K411" s="465"/>
      <c r="L411" s="163"/>
      <c r="M411" s="163"/>
      <c r="N411" s="163"/>
      <c r="O411" s="163"/>
      <c r="P411" s="163"/>
    </row>
    <row r="412" spans="1:26" ht="18.75" hidden="1">
      <c r="A412" s="170"/>
      <c r="B412" s="342"/>
      <c r="C412" s="342"/>
      <c r="D412" s="415" t="s">
        <v>177</v>
      </c>
      <c r="E412" s="342"/>
      <c r="F412" s="342"/>
      <c r="G412" s="179"/>
      <c r="H412" s="500" t="s">
        <v>69</v>
      </c>
      <c r="I412" s="269">
        <v>0</v>
      </c>
      <c r="J412" s="214">
        <v>0</v>
      </c>
      <c r="K412" s="465">
        <f t="shared" ref="K412:K413" si="179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01"/>
      <c r="B413" s="502"/>
      <c r="C413" s="502"/>
      <c r="D413" s="503" t="s">
        <v>178</v>
      </c>
      <c r="E413" s="502"/>
      <c r="F413" s="502"/>
      <c r="G413" s="504"/>
      <c r="H413" s="505" t="s">
        <v>179</v>
      </c>
      <c r="I413" s="506">
        <v>0</v>
      </c>
      <c r="J413" s="507">
        <v>0</v>
      </c>
      <c r="K413" s="508">
        <f t="shared" si="179"/>
        <v>0</v>
      </c>
      <c r="L413" s="509"/>
      <c r="M413" s="509"/>
      <c r="N413" s="509"/>
      <c r="O413" s="509"/>
      <c r="P413" s="509"/>
    </row>
    <row r="414" spans="1:26" ht="19.5">
      <c r="A414" s="510" t="s">
        <v>180</v>
      </c>
      <c r="B414" s="511"/>
      <c r="C414" s="511"/>
      <c r="D414" s="511"/>
      <c r="E414" s="511"/>
      <c r="F414" s="511"/>
      <c r="G414" s="512"/>
      <c r="H414" s="513"/>
      <c r="I414" s="514"/>
      <c r="J414" s="514"/>
      <c r="K414" s="515"/>
      <c r="L414" s="516">
        <f t="shared" ref="L414:N414" ca="1" si="180">L419+L444+L467+L502+L523+L544+L629+L655+L685+L737+L754+L770+L786+L805</f>
        <v>755155</v>
      </c>
      <c r="M414" s="516">
        <f t="shared" si="180"/>
        <v>0</v>
      </c>
      <c r="N414" s="516">
        <f t="shared" si="180"/>
        <v>0</v>
      </c>
      <c r="O414" s="516">
        <f ca="1">IF(L414&gt;0,N414*100/L414,0)</f>
        <v>0</v>
      </c>
      <c r="P414" s="516">
        <f>IF(M414&gt;0,N414*100/M414,0)</f>
        <v>0</v>
      </c>
    </row>
    <row r="415" spans="1:26" ht="19.5">
      <c r="A415" s="517" t="s">
        <v>181</v>
      </c>
      <c r="B415" s="518"/>
      <c r="C415" s="518"/>
      <c r="D415" s="518"/>
      <c r="E415" s="518"/>
      <c r="F415" s="518"/>
      <c r="G415" s="518"/>
      <c r="H415" s="519"/>
      <c r="I415" s="520"/>
      <c r="J415" s="520"/>
      <c r="K415" s="521"/>
      <c r="L415" s="522"/>
      <c r="M415" s="522"/>
      <c r="N415" s="522"/>
      <c r="O415" s="522"/>
      <c r="P415" s="522"/>
    </row>
    <row r="416" spans="1:26" ht="19.5">
      <c r="A416" s="517" t="s">
        <v>182</v>
      </c>
      <c r="B416" s="518"/>
      <c r="C416" s="518"/>
      <c r="D416" s="518"/>
      <c r="E416" s="518"/>
      <c r="F416" s="518"/>
      <c r="G416" s="523"/>
      <c r="H416" s="524"/>
      <c r="I416" s="525"/>
      <c r="J416" s="525"/>
      <c r="K416" s="522"/>
      <c r="L416" s="522"/>
      <c r="M416" s="522"/>
      <c r="N416" s="522"/>
      <c r="O416" s="522"/>
      <c r="P416" s="522"/>
    </row>
    <row r="417" spans="1:26" ht="21.75" customHeight="1">
      <c r="A417" s="526">
        <v>1</v>
      </c>
      <c r="B417" s="528" t="s">
        <v>183</v>
      </c>
      <c r="C417" s="528"/>
      <c r="D417" s="529"/>
      <c r="E417" s="529"/>
      <c r="F417" s="529"/>
      <c r="G417" s="530"/>
      <c r="H417" s="531" t="s">
        <v>35</v>
      </c>
      <c r="I417" s="532">
        <f t="shared" ref="I417:J418" ca="1" si="181">I433</f>
        <v>25</v>
      </c>
      <c r="J417" s="532">
        <f t="shared" ca="1" si="181"/>
        <v>0</v>
      </c>
      <c r="K417" s="533">
        <f t="shared" ref="K417:K418" ca="1" si="182">IF(I417&gt;0,J417*100/I417,0)</f>
        <v>0</v>
      </c>
      <c r="L417" s="534"/>
      <c r="M417" s="534"/>
      <c r="N417" s="534"/>
      <c r="O417" s="534"/>
      <c r="P417" s="534"/>
    </row>
    <row r="418" spans="1:26" ht="19.5">
      <c r="A418" s="535"/>
      <c r="B418" s="526"/>
      <c r="C418" s="528"/>
      <c r="D418" s="529"/>
      <c r="E418" s="529"/>
      <c r="F418" s="529"/>
      <c r="G418" s="530"/>
      <c r="H418" s="531" t="s">
        <v>49</v>
      </c>
      <c r="I418" s="532">
        <f t="shared" ca="1" si="181"/>
        <v>1</v>
      </c>
      <c r="J418" s="532">
        <f t="shared" si="181"/>
        <v>0</v>
      </c>
      <c r="K418" s="533">
        <f t="shared" ca="1" si="182"/>
        <v>0</v>
      </c>
      <c r="L418" s="534"/>
      <c r="M418" s="534"/>
      <c r="N418" s="534"/>
      <c r="O418" s="534"/>
      <c r="P418" s="534"/>
    </row>
    <row r="419" spans="1:26" ht="19.5">
      <c r="A419" s="147"/>
      <c r="B419" s="148"/>
      <c r="C419" s="148" t="s">
        <v>16</v>
      </c>
      <c r="D419" s="848" t="s">
        <v>17</v>
      </c>
      <c r="E419" s="810"/>
      <c r="F419" s="810"/>
      <c r="G419" s="151"/>
      <c r="H419" s="274" t="s">
        <v>12</v>
      </c>
      <c r="I419" s="388"/>
      <c r="J419" s="388"/>
      <c r="K419" s="154"/>
      <c r="L419" s="155">
        <f t="shared" ref="L419:N419" ca="1" si="183">L420+L421</f>
        <v>86860</v>
      </c>
      <c r="M419" s="155">
        <f t="shared" si="183"/>
        <v>0</v>
      </c>
      <c r="N419" s="155">
        <f t="shared" si="183"/>
        <v>0</v>
      </c>
      <c r="O419" s="155">
        <f t="shared" ref="O419:O424" ca="1" si="184">IF(L419&gt;0,N419*100/L419,0)</f>
        <v>0</v>
      </c>
      <c r="P419" s="155">
        <f t="shared" ref="P419:P424" si="185">IF(M419&gt;0,N419*100/M419,0)</f>
        <v>0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536"/>
      <c r="E420" s="222" t="s">
        <v>184</v>
      </c>
      <c r="F420" s="40"/>
      <c r="G420" s="157"/>
      <c r="H420" s="165" t="s">
        <v>12</v>
      </c>
      <c r="I420" s="583"/>
      <c r="J420" s="583"/>
      <c r="K420" s="93"/>
      <c r="L420" s="93">
        <f t="shared" ref="L420:N421" si="186">L423+L430</f>
        <v>0</v>
      </c>
      <c r="M420" s="93">
        <f t="shared" si="186"/>
        <v>0</v>
      </c>
      <c r="N420" s="93">
        <f t="shared" si="186"/>
        <v>0</v>
      </c>
      <c r="O420" s="93">
        <f t="shared" si="184"/>
        <v>0</v>
      </c>
      <c r="P420" s="93">
        <f t="shared" si="185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536"/>
      <c r="E421" s="222" t="s">
        <v>185</v>
      </c>
      <c r="F421" s="40"/>
      <c r="G421" s="157"/>
      <c r="H421" s="165" t="s">
        <v>12</v>
      </c>
      <c r="I421" s="583"/>
      <c r="J421" s="583"/>
      <c r="K421" s="93"/>
      <c r="L421" s="93">
        <f t="shared" ca="1" si="186"/>
        <v>86860</v>
      </c>
      <c r="M421" s="93">
        <f t="shared" si="186"/>
        <v>0</v>
      </c>
      <c r="N421" s="93">
        <f t="shared" si="186"/>
        <v>0</v>
      </c>
      <c r="O421" s="93">
        <f t="shared" ca="1" si="184"/>
        <v>0</v>
      </c>
      <c r="P421" s="93">
        <f t="shared" si="185"/>
        <v>0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0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65">
        <f t="shared" ref="L422:N422" ca="1" si="187">L423+L424</f>
        <v>86860</v>
      </c>
      <c r="M422" s="465">
        <f t="shared" si="187"/>
        <v>0</v>
      </c>
      <c r="N422" s="465">
        <f t="shared" si="187"/>
        <v>0</v>
      </c>
      <c r="O422" s="465">
        <f t="shared" ca="1" si="184"/>
        <v>0</v>
      </c>
      <c r="P422" s="465">
        <f t="shared" si="185"/>
        <v>0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536"/>
      <c r="E423" s="222" t="s">
        <v>184</v>
      </c>
      <c r="F423" s="40"/>
      <c r="G423" s="157"/>
      <c r="H423" s="165" t="s">
        <v>12</v>
      </c>
      <c r="I423" s="583"/>
      <c r="J423" s="583"/>
      <c r="K423" s="93"/>
      <c r="L423" s="93">
        <v>0</v>
      </c>
      <c r="M423" s="93">
        <v>0</v>
      </c>
      <c r="N423" s="93">
        <v>0</v>
      </c>
      <c r="O423" s="93">
        <f t="shared" si="184"/>
        <v>0</v>
      </c>
      <c r="P423" s="93">
        <f t="shared" si="185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536"/>
      <c r="E424" s="222" t="s">
        <v>185</v>
      </c>
      <c r="F424" s="40"/>
      <c r="G424" s="157"/>
      <c r="H424" s="165" t="s">
        <v>12</v>
      </c>
      <c r="I424" s="583"/>
      <c r="J424" s="583"/>
      <c r="K424" s="93"/>
      <c r="L424" s="93">
        <f ca="1">IFERROR(__xludf.DUMMYFUNCTION("IMPORTRANGE(""https://docs.google.com/spreadsheets/d/1QqKyyYR6Q21VydFLVH3TRQUabQu_ym0Zz7PgGX0-kHA/edit?usp=sharing"",""แผน!EY25"")"),86860)</f>
        <v>86860</v>
      </c>
      <c r="M424" s="93">
        <v>0</v>
      </c>
      <c r="N424" s="93">
        <f>N425+N426+N427+N428</f>
        <v>0</v>
      </c>
      <c r="O424" s="93">
        <f t="shared" ca="1" si="184"/>
        <v>0</v>
      </c>
      <c r="P424" s="93">
        <f t="shared" si="185"/>
        <v>0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37"/>
      <c r="B425" s="538"/>
      <c r="C425" s="727"/>
      <c r="D425" s="727"/>
      <c r="E425" s="727"/>
      <c r="F425" s="727" t="s">
        <v>186</v>
      </c>
      <c r="G425" s="189"/>
      <c r="H425" s="161" t="s">
        <v>12</v>
      </c>
      <c r="I425" s="269"/>
      <c r="J425" s="269"/>
      <c r="K425" s="465"/>
      <c r="L425" s="465"/>
      <c r="M425" s="465"/>
      <c r="N425" s="789">
        <v>0</v>
      </c>
      <c r="O425" s="465"/>
      <c r="P425" s="465"/>
      <c r="Q425" s="541"/>
      <c r="R425" s="541"/>
      <c r="S425" s="541"/>
      <c r="T425" s="541"/>
      <c r="U425" s="541"/>
      <c r="V425" s="541"/>
      <c r="W425" s="541"/>
      <c r="X425" s="541"/>
      <c r="Y425" s="541"/>
      <c r="Z425" s="541"/>
    </row>
    <row r="426" spans="1:26" ht="18.75">
      <c r="A426" s="537"/>
      <c r="B426" s="538"/>
      <c r="C426" s="727"/>
      <c r="D426" s="727"/>
      <c r="E426" s="727"/>
      <c r="F426" s="727" t="s">
        <v>187</v>
      </c>
      <c r="G426" s="189"/>
      <c r="H426" s="161" t="s">
        <v>12</v>
      </c>
      <c r="I426" s="269"/>
      <c r="J426" s="269"/>
      <c r="K426" s="465"/>
      <c r="L426" s="465"/>
      <c r="M426" s="465"/>
      <c r="N426" s="789">
        <v>0</v>
      </c>
      <c r="O426" s="465"/>
      <c r="P426" s="465"/>
      <c r="Q426" s="541"/>
      <c r="R426" s="541"/>
      <c r="S426" s="541"/>
      <c r="T426" s="541"/>
      <c r="U426" s="541"/>
      <c r="V426" s="541"/>
      <c r="W426" s="541"/>
      <c r="X426" s="541"/>
      <c r="Y426" s="541"/>
      <c r="Z426" s="541"/>
    </row>
    <row r="427" spans="1:26" ht="18.75">
      <c r="A427" s="537"/>
      <c r="B427" s="538"/>
      <c r="C427" s="727"/>
      <c r="D427" s="727"/>
      <c r="E427" s="727"/>
      <c r="F427" s="727" t="s">
        <v>188</v>
      </c>
      <c r="G427" s="189"/>
      <c r="H427" s="161" t="s">
        <v>12</v>
      </c>
      <c r="I427" s="269"/>
      <c r="J427" s="269"/>
      <c r="K427" s="465"/>
      <c r="L427" s="465"/>
      <c r="M427" s="465"/>
      <c r="N427" s="789">
        <v>0</v>
      </c>
      <c r="O427" s="465"/>
      <c r="P427" s="465"/>
      <c r="Q427" s="541"/>
      <c r="R427" s="541"/>
      <c r="S427" s="541"/>
      <c r="T427" s="541"/>
      <c r="U427" s="541"/>
      <c r="V427" s="541"/>
      <c r="W427" s="541"/>
      <c r="X427" s="541"/>
      <c r="Y427" s="541"/>
      <c r="Z427" s="541"/>
    </row>
    <row r="428" spans="1:26" ht="18.75">
      <c r="A428" s="283"/>
      <c r="B428" s="280"/>
      <c r="C428" s="33"/>
      <c r="D428" s="33"/>
      <c r="E428" s="33"/>
      <c r="F428" s="281" t="s">
        <v>189</v>
      </c>
      <c r="G428" s="213"/>
      <c r="H428" s="161" t="s">
        <v>12</v>
      </c>
      <c r="I428" s="269"/>
      <c r="J428" s="269"/>
      <c r="K428" s="465"/>
      <c r="L428" s="465"/>
      <c r="M428" s="465"/>
      <c r="N428" s="789">
        <v>0</v>
      </c>
      <c r="O428" s="465"/>
      <c r="P428" s="465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0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65">
        <f t="shared" ref="L429:N429" ca="1" si="188">L430+L431</f>
        <v>0</v>
      </c>
      <c r="M429" s="465">
        <f t="shared" si="188"/>
        <v>0</v>
      </c>
      <c r="N429" s="465">
        <f t="shared" si="188"/>
        <v>0</v>
      </c>
      <c r="O429" s="465">
        <f t="shared" ref="O429:O431" ca="1" si="189">IF(L429&gt;0,N429*100/L429,0)</f>
        <v>0</v>
      </c>
      <c r="P429" s="465">
        <f t="shared" ref="P429:P431" si="190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542"/>
      <c r="C430" s="40"/>
      <c r="D430" s="40"/>
      <c r="E430" s="222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89"/>
        <v>0</v>
      </c>
      <c r="P430" s="93">
        <f t="shared" si="190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542"/>
      <c r="C431" s="40"/>
      <c r="D431" s="40"/>
      <c r="E431" s="222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IFERROR(__xludf.DUMMYFUNCTION("IMPORTRANGE(""https://docs.google.com/spreadsheets/d/1QqKyyYR6Q21VydFLVH3TRQUabQu_ym0Zz7PgGX0-kHA/edit?usp=sharing"",""แผน!FB25"")"),0)</f>
        <v>0</v>
      </c>
      <c r="M431" s="93">
        <v>0</v>
      </c>
      <c r="N431" s="93">
        <v>0</v>
      </c>
      <c r="O431" s="93">
        <f t="shared" ca="1" si="189"/>
        <v>0</v>
      </c>
      <c r="P431" s="93">
        <f t="shared" si="190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382"/>
      <c r="B432" s="383"/>
      <c r="C432" s="148" t="s">
        <v>16</v>
      </c>
      <c r="D432" s="849" t="s">
        <v>38</v>
      </c>
      <c r="E432" s="544"/>
      <c r="F432" s="544"/>
      <c r="G432" s="545"/>
      <c r="H432" s="546"/>
      <c r="I432" s="388"/>
      <c r="J432" s="388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190</v>
      </c>
      <c r="E433" s="342"/>
      <c r="F433" s="342"/>
      <c r="G433" s="179"/>
      <c r="H433" s="196" t="s">
        <v>35</v>
      </c>
      <c r="I433" s="647">
        <f ca="1">I435</f>
        <v>25</v>
      </c>
      <c r="J433" s="647">
        <f ca="1">IF(AND(J435=I435,J437=I437,J439=I439),I437+I439,IF(AND(J435=I437,J437=I437),I437,IF(AND(J435=I439,J439=I439),I439,0)))</f>
        <v>0</v>
      </c>
      <c r="K433" s="195">
        <f t="shared" ref="K433:K435" ca="1" si="191">IF(I433&gt;0,J433*100/I433,0)</f>
        <v>0</v>
      </c>
      <c r="L433" s="465"/>
      <c r="M433" s="465"/>
      <c r="N433" s="465"/>
      <c r="O433" s="465"/>
      <c r="P433" s="465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191</v>
      </c>
      <c r="E434" s="342"/>
      <c r="F434" s="342"/>
      <c r="G434" s="179"/>
      <c r="H434" s="196" t="s">
        <v>49</v>
      </c>
      <c r="I434" s="647">
        <f t="shared" ref="I434:J434" ca="1" si="192">I438+I440</f>
        <v>1</v>
      </c>
      <c r="J434" s="647">
        <f t="shared" si="192"/>
        <v>0</v>
      </c>
      <c r="K434" s="195">
        <f t="shared" ca="1" si="191"/>
        <v>0</v>
      </c>
      <c r="L434" s="465"/>
      <c r="M434" s="465"/>
      <c r="N434" s="465"/>
      <c r="O434" s="465"/>
      <c r="P434" s="465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15" t="s">
        <v>192</v>
      </c>
      <c r="E435" s="342"/>
      <c r="F435" s="342"/>
      <c r="G435" s="179"/>
      <c r="H435" s="589" t="s">
        <v>35</v>
      </c>
      <c r="I435" s="547">
        <f ca="1">IFERROR(__xludf.DUMMYFUNCTION("IMPORTRANGE(""https://docs.google.com/spreadsheets/d/1QqKyyYR6Q21VydFLVH3TRQUabQu_ym0Zz7PgGX0-kHA/edit?usp=sharing"",""แผน!FC25"")"),25)</f>
        <v>25</v>
      </c>
      <c r="J435" s="548">
        <v>0</v>
      </c>
      <c r="K435" s="465">
        <f t="shared" ca="1" si="191"/>
        <v>0</v>
      </c>
      <c r="L435" s="465"/>
      <c r="M435" s="465"/>
      <c r="N435" s="465"/>
      <c r="O435" s="465"/>
      <c r="P435" s="465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15" t="s">
        <v>193</v>
      </c>
      <c r="E436" s="342"/>
      <c r="F436" s="342"/>
      <c r="G436" s="179"/>
      <c r="H436" s="589"/>
      <c r="I436" s="269"/>
      <c r="J436" s="269"/>
      <c r="K436" s="465"/>
      <c r="L436" s="465"/>
      <c r="M436" s="465"/>
      <c r="N436" s="465"/>
      <c r="O436" s="465"/>
      <c r="P436" s="465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15" t="s">
        <v>194</v>
      </c>
      <c r="E437" s="342"/>
      <c r="F437" s="342"/>
      <c r="G437" s="179"/>
      <c r="H437" s="589" t="s">
        <v>35</v>
      </c>
      <c r="I437" s="547">
        <f ca="1">IFERROR(__xludf.DUMMYFUNCTION("IMPORTRANGE(""https://docs.google.com/spreadsheets/d/1QqKyyYR6Q21VydFLVH3TRQUabQu_ym0Zz7PgGX0-kHA/edit?usp=sharing"",""แผน!FD25"")"),0)</f>
        <v>0</v>
      </c>
      <c r="J437" s="548">
        <v>0</v>
      </c>
      <c r="K437" s="465">
        <f t="shared" ref="K437:K443" ca="1" si="193">IF(I437&gt;0,J437*100/I437,0)</f>
        <v>0</v>
      </c>
      <c r="L437" s="465"/>
      <c r="M437" s="465"/>
      <c r="N437" s="465"/>
      <c r="O437" s="465"/>
      <c r="P437" s="465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15" t="s">
        <v>195</v>
      </c>
      <c r="E438" s="342"/>
      <c r="F438" s="342"/>
      <c r="G438" s="179"/>
      <c r="H438" s="589" t="s">
        <v>49</v>
      </c>
      <c r="I438" s="269">
        <f ca="1">IFERROR(__xludf.DUMMYFUNCTION("IMPORTRANGE(""https://docs.google.com/spreadsheets/d/1QqKyyYR6Q21VydFLVH3TRQUabQu_ym0Zz7PgGX0-kHA/edit?usp=sharing"",""แผน!FE25"")"),0)</f>
        <v>0</v>
      </c>
      <c r="J438" s="214">
        <v>0</v>
      </c>
      <c r="K438" s="465">
        <f t="shared" ca="1" si="193"/>
        <v>0</v>
      </c>
      <c r="L438" s="465"/>
      <c r="M438" s="465"/>
      <c r="N438" s="465"/>
      <c r="O438" s="465"/>
      <c r="P438" s="465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15" t="s">
        <v>196</v>
      </c>
      <c r="E439" s="342"/>
      <c r="F439" s="342"/>
      <c r="G439" s="179"/>
      <c r="H439" s="589" t="s">
        <v>35</v>
      </c>
      <c r="I439" s="547">
        <f ca="1">IFERROR(__xludf.DUMMYFUNCTION("IMPORTRANGE(""https://docs.google.com/spreadsheets/d/1QqKyyYR6Q21VydFLVH3TRQUabQu_ym0Zz7PgGX0-kHA/edit?usp=sharing"",""แผน!FF25"")"),25)</f>
        <v>25</v>
      </c>
      <c r="J439" s="548">
        <v>0</v>
      </c>
      <c r="K439" s="465">
        <f t="shared" ca="1" si="193"/>
        <v>0</v>
      </c>
      <c r="L439" s="465"/>
      <c r="M439" s="465"/>
      <c r="N439" s="465"/>
      <c r="O439" s="465"/>
      <c r="P439" s="465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15" t="s">
        <v>197</v>
      </c>
      <c r="E440" s="342"/>
      <c r="F440" s="342"/>
      <c r="G440" s="179"/>
      <c r="H440" s="589" t="s">
        <v>49</v>
      </c>
      <c r="I440" s="269">
        <f ca="1">IFERROR(__xludf.DUMMYFUNCTION("IMPORTRANGE(""https://docs.google.com/spreadsheets/d/1QqKyyYR6Q21VydFLVH3TRQUabQu_ym0Zz7PgGX0-kHA/edit?usp=sharing"",""แผน!FG25"")"),1)</f>
        <v>1</v>
      </c>
      <c r="J440" s="214">
        <v>0</v>
      </c>
      <c r="K440" s="465">
        <f t="shared" ca="1" si="193"/>
        <v>0</v>
      </c>
      <c r="L440" s="465"/>
      <c r="M440" s="465"/>
      <c r="N440" s="465"/>
      <c r="O440" s="465"/>
      <c r="P440" s="465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 hidden="1">
      <c r="A441" s="170"/>
      <c r="B441" s="171"/>
      <c r="C441" s="171"/>
      <c r="D441" s="415" t="s">
        <v>198</v>
      </c>
      <c r="E441" s="342"/>
      <c r="F441" s="342"/>
      <c r="G441" s="179"/>
      <c r="H441" s="589" t="s">
        <v>35</v>
      </c>
      <c r="I441" s="269">
        <f ca="1">IFERROR(__xludf.DUMMYFUNCTION("IMPORTRANGE(""https://docs.google.com/spreadsheets/d/1QqKyyYR6Q21VydFLVH3TRQUabQu_ym0Zz7PgGX0-kHA/edit?usp=sharing"",""แผน!FH25"")"),0)</f>
        <v>0</v>
      </c>
      <c r="J441" s="269">
        <v>0</v>
      </c>
      <c r="K441" s="465">
        <f t="shared" ca="1" si="193"/>
        <v>0</v>
      </c>
      <c r="L441" s="465"/>
      <c r="M441" s="465"/>
      <c r="N441" s="465"/>
      <c r="O441" s="465"/>
      <c r="P441" s="465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49">
        <v>2</v>
      </c>
      <c r="B442" s="550" t="s">
        <v>199</v>
      </c>
      <c r="C442" s="551"/>
      <c r="D442" s="551"/>
      <c r="E442" s="551"/>
      <c r="F442" s="551"/>
      <c r="G442" s="552"/>
      <c r="H442" s="553" t="s">
        <v>35</v>
      </c>
      <c r="I442" s="554">
        <f t="shared" ref="I442:J442" ca="1" si="194">I460</f>
        <v>50</v>
      </c>
      <c r="J442" s="554">
        <f t="shared" si="194"/>
        <v>0</v>
      </c>
      <c r="K442" s="555">
        <f t="shared" ca="1" si="193"/>
        <v>0</v>
      </c>
      <c r="L442" s="556"/>
      <c r="M442" s="556"/>
      <c r="N442" s="556"/>
      <c r="O442" s="556"/>
      <c r="P442" s="556"/>
      <c r="Q442" s="541"/>
      <c r="R442" s="541"/>
      <c r="S442" s="541"/>
      <c r="T442" s="541"/>
      <c r="U442" s="541"/>
      <c r="V442" s="541"/>
      <c r="W442" s="541"/>
      <c r="X442" s="541"/>
      <c r="Y442" s="541"/>
      <c r="Z442" s="541"/>
    </row>
    <row r="443" spans="1:26" ht="19.5">
      <c r="A443" s="557"/>
      <c r="B443" s="558"/>
      <c r="C443" s="559"/>
      <c r="D443" s="559"/>
      <c r="E443" s="559"/>
      <c r="F443" s="559"/>
      <c r="G443" s="560"/>
      <c r="H443" s="531" t="s">
        <v>46</v>
      </c>
      <c r="I443" s="532">
        <f t="shared" ref="I443:J443" ca="1" si="195">I462</f>
        <v>110</v>
      </c>
      <c r="J443" s="532">
        <f t="shared" si="195"/>
        <v>0</v>
      </c>
      <c r="K443" s="533">
        <f t="shared" ca="1" si="193"/>
        <v>0</v>
      </c>
      <c r="L443" s="534"/>
      <c r="M443" s="534"/>
      <c r="N443" s="534"/>
      <c r="O443" s="534"/>
      <c r="P443" s="534"/>
      <c r="Q443" s="541"/>
      <c r="R443" s="541"/>
      <c r="S443" s="541"/>
      <c r="T443" s="541"/>
      <c r="U443" s="541"/>
      <c r="V443" s="541"/>
      <c r="W443" s="541"/>
      <c r="X443" s="541"/>
      <c r="Y443" s="541"/>
      <c r="Z443" s="541"/>
    </row>
    <row r="444" spans="1:26" ht="19.5">
      <c r="A444" s="561"/>
      <c r="B444" s="727"/>
      <c r="C444" s="727" t="s">
        <v>16</v>
      </c>
      <c r="D444" s="811" t="s">
        <v>17</v>
      </c>
      <c r="E444" s="805"/>
      <c r="F444" s="805"/>
      <c r="G444" s="189"/>
      <c r="H444" s="562" t="s">
        <v>12</v>
      </c>
      <c r="I444" s="269"/>
      <c r="J444" s="269"/>
      <c r="K444" s="465"/>
      <c r="L444" s="195">
        <f t="shared" ref="L444:N444" ca="1" si="196">L445+L446</f>
        <v>354800</v>
      </c>
      <c r="M444" s="195">
        <f t="shared" si="196"/>
        <v>0</v>
      </c>
      <c r="N444" s="195">
        <f t="shared" si="196"/>
        <v>0</v>
      </c>
      <c r="O444" s="195">
        <f t="shared" ref="O444:O449" ca="1" si="197">IF(L444&gt;0,N444*100/L444,0)</f>
        <v>0</v>
      </c>
      <c r="P444" s="195">
        <f t="shared" ref="P444:P449" si="198">IF(M444&gt;0,N444*100/M444,0)</f>
        <v>0</v>
      </c>
      <c r="Q444" s="541"/>
      <c r="R444" s="541"/>
      <c r="S444" s="541"/>
      <c r="T444" s="541"/>
      <c r="U444" s="541"/>
      <c r="V444" s="541"/>
      <c r="W444" s="541"/>
      <c r="X444" s="541"/>
      <c r="Y444" s="541"/>
      <c r="Z444" s="541"/>
    </row>
    <row r="445" spans="1:26" ht="18.75" hidden="1">
      <c r="A445" s="563"/>
      <c r="B445" s="723"/>
      <c r="C445" s="723"/>
      <c r="D445" s="684"/>
      <c r="E445" s="723" t="s">
        <v>184</v>
      </c>
      <c r="F445" s="723"/>
      <c r="G445" s="567"/>
      <c r="H445" s="165" t="s">
        <v>12</v>
      </c>
      <c r="I445" s="583"/>
      <c r="J445" s="583"/>
      <c r="K445" s="93"/>
      <c r="L445" s="93">
        <f t="shared" ref="L445:N446" si="199">L448+L455</f>
        <v>0</v>
      </c>
      <c r="M445" s="93">
        <f t="shared" si="199"/>
        <v>0</v>
      </c>
      <c r="N445" s="93">
        <f t="shared" si="199"/>
        <v>0</v>
      </c>
      <c r="O445" s="93">
        <f t="shared" si="197"/>
        <v>0</v>
      </c>
      <c r="P445" s="93">
        <f t="shared" si="198"/>
        <v>0</v>
      </c>
      <c r="Q445" s="568"/>
      <c r="R445" s="568"/>
      <c r="S445" s="568"/>
      <c r="T445" s="568"/>
      <c r="U445" s="568"/>
      <c r="V445" s="568"/>
      <c r="W445" s="568"/>
      <c r="X445" s="568"/>
      <c r="Y445" s="568"/>
      <c r="Z445" s="568"/>
    </row>
    <row r="446" spans="1:26" ht="18.75" hidden="1">
      <c r="A446" s="563"/>
      <c r="B446" s="571"/>
      <c r="C446" s="723"/>
      <c r="D446" s="684"/>
      <c r="E446" s="723" t="s">
        <v>185</v>
      </c>
      <c r="F446" s="723"/>
      <c r="G446" s="567"/>
      <c r="H446" s="165" t="s">
        <v>12</v>
      </c>
      <c r="I446" s="583"/>
      <c r="J446" s="583"/>
      <c r="K446" s="93"/>
      <c r="L446" s="93">
        <f t="shared" ca="1" si="199"/>
        <v>354800</v>
      </c>
      <c r="M446" s="93">
        <f t="shared" si="199"/>
        <v>0</v>
      </c>
      <c r="N446" s="93">
        <f t="shared" si="199"/>
        <v>0</v>
      </c>
      <c r="O446" s="93">
        <f t="shared" ca="1" si="197"/>
        <v>0</v>
      </c>
      <c r="P446" s="93">
        <f t="shared" si="198"/>
        <v>0</v>
      </c>
      <c r="Q446" s="568"/>
      <c r="R446" s="568"/>
      <c r="S446" s="568"/>
      <c r="T446" s="568"/>
      <c r="U446" s="568"/>
      <c r="V446" s="568"/>
      <c r="W446" s="568"/>
      <c r="X446" s="568"/>
      <c r="Y446" s="568"/>
      <c r="Z446" s="568"/>
    </row>
    <row r="447" spans="1:26" ht="18.75">
      <c r="A447" s="561"/>
      <c r="B447" s="538"/>
      <c r="C447" s="727"/>
      <c r="D447" s="570" t="s">
        <v>20</v>
      </c>
      <c r="E447" s="727"/>
      <c r="F447" s="727"/>
      <c r="G447" s="189"/>
      <c r="H447" s="161" t="s">
        <v>12</v>
      </c>
      <c r="I447" s="184"/>
      <c r="J447" s="184"/>
      <c r="K447" s="163"/>
      <c r="L447" s="465">
        <f t="shared" ref="L447:N447" ca="1" si="200">L448+L449</f>
        <v>354800</v>
      </c>
      <c r="M447" s="465">
        <f t="shared" si="200"/>
        <v>0</v>
      </c>
      <c r="N447" s="465">
        <f t="shared" si="200"/>
        <v>0</v>
      </c>
      <c r="O447" s="465">
        <f t="shared" ca="1" si="197"/>
        <v>0</v>
      </c>
      <c r="P447" s="465">
        <f t="shared" si="198"/>
        <v>0</v>
      </c>
      <c r="Q447" s="541"/>
      <c r="R447" s="541"/>
      <c r="S447" s="541"/>
      <c r="T447" s="541"/>
      <c r="U447" s="541"/>
      <c r="V447" s="541"/>
      <c r="W447" s="541"/>
      <c r="X447" s="541"/>
      <c r="Y447" s="541"/>
      <c r="Z447" s="541"/>
    </row>
    <row r="448" spans="1:26" ht="18.75" hidden="1">
      <c r="A448" s="563"/>
      <c r="B448" s="571"/>
      <c r="C448" s="723"/>
      <c r="D448" s="684"/>
      <c r="E448" s="723" t="s">
        <v>184</v>
      </c>
      <c r="F448" s="723"/>
      <c r="G448" s="567"/>
      <c r="H448" s="165" t="s">
        <v>12</v>
      </c>
      <c r="I448" s="583"/>
      <c r="J448" s="583"/>
      <c r="K448" s="93"/>
      <c r="L448" s="93">
        <v>0</v>
      </c>
      <c r="M448" s="93">
        <v>0</v>
      </c>
      <c r="N448" s="93">
        <v>0</v>
      </c>
      <c r="O448" s="93">
        <f t="shared" si="197"/>
        <v>0</v>
      </c>
      <c r="P448" s="93">
        <f t="shared" si="198"/>
        <v>0</v>
      </c>
      <c r="Q448" s="568"/>
      <c r="R448" s="568"/>
      <c r="S448" s="568"/>
      <c r="T448" s="568"/>
      <c r="U448" s="568"/>
      <c r="V448" s="568"/>
      <c r="W448" s="568"/>
      <c r="X448" s="568"/>
      <c r="Y448" s="568"/>
      <c r="Z448" s="568"/>
    </row>
    <row r="449" spans="1:26" ht="18.75" hidden="1">
      <c r="A449" s="563"/>
      <c r="B449" s="571"/>
      <c r="C449" s="723"/>
      <c r="D449" s="684"/>
      <c r="E449" s="723" t="s">
        <v>185</v>
      </c>
      <c r="F449" s="723"/>
      <c r="G449" s="567"/>
      <c r="H449" s="165" t="s">
        <v>12</v>
      </c>
      <c r="I449" s="583"/>
      <c r="J449" s="583"/>
      <c r="K449" s="93"/>
      <c r="L449" s="93">
        <f ca="1">IFERROR(__xludf.DUMMYFUNCTION("IMPORTRANGE(""https://docs.google.com/spreadsheets/d/1QqKyyYR6Q21VydFLVH3TRQUabQu_ym0Zz7PgGX0-kHA/edit?usp=sharing"",""แผน!FJ25"")"),354800)</f>
        <v>354800</v>
      </c>
      <c r="M449" s="93">
        <v>0</v>
      </c>
      <c r="N449" s="93">
        <f>N450+N451+N452+N453</f>
        <v>0</v>
      </c>
      <c r="O449" s="93">
        <f t="shared" ca="1" si="197"/>
        <v>0</v>
      </c>
      <c r="P449" s="93">
        <f t="shared" si="198"/>
        <v>0</v>
      </c>
      <c r="Q449" s="568"/>
      <c r="R449" s="568"/>
      <c r="S449" s="568"/>
      <c r="T449" s="568"/>
      <c r="U449" s="568"/>
      <c r="V449" s="568"/>
      <c r="W449" s="568"/>
      <c r="X449" s="568"/>
      <c r="Y449" s="568"/>
      <c r="Z449" s="568"/>
    </row>
    <row r="450" spans="1:26" ht="18.75">
      <c r="A450" s="537"/>
      <c r="B450" s="538"/>
      <c r="C450" s="727"/>
      <c r="D450" s="727"/>
      <c r="E450" s="727"/>
      <c r="F450" s="727" t="s">
        <v>186</v>
      </c>
      <c r="G450" s="189"/>
      <c r="H450" s="161" t="s">
        <v>12</v>
      </c>
      <c r="I450" s="269"/>
      <c r="J450" s="269"/>
      <c r="K450" s="465"/>
      <c r="L450" s="465"/>
      <c r="M450" s="465"/>
      <c r="N450" s="789">
        <v>0</v>
      </c>
      <c r="O450" s="465"/>
      <c r="P450" s="465"/>
      <c r="Q450" s="541"/>
      <c r="R450" s="541"/>
      <c r="S450" s="541"/>
      <c r="T450" s="541"/>
      <c r="U450" s="541"/>
      <c r="V450" s="541"/>
      <c r="W450" s="541"/>
      <c r="X450" s="541"/>
      <c r="Y450" s="541"/>
      <c r="Z450" s="541"/>
    </row>
    <row r="451" spans="1:26" ht="18.75">
      <c r="A451" s="537"/>
      <c r="B451" s="538"/>
      <c r="C451" s="727"/>
      <c r="D451" s="727"/>
      <c r="E451" s="727"/>
      <c r="F451" s="727" t="s">
        <v>187</v>
      </c>
      <c r="G451" s="189"/>
      <c r="H451" s="161" t="s">
        <v>12</v>
      </c>
      <c r="I451" s="269"/>
      <c r="J451" s="269"/>
      <c r="K451" s="465"/>
      <c r="L451" s="465"/>
      <c r="M451" s="465"/>
      <c r="N451" s="789">
        <v>0</v>
      </c>
      <c r="O451" s="465"/>
      <c r="P451" s="465"/>
      <c r="Q451" s="541"/>
      <c r="R451" s="541"/>
      <c r="S451" s="541"/>
      <c r="T451" s="541"/>
      <c r="U451" s="541"/>
      <c r="V451" s="541"/>
      <c r="W451" s="541"/>
      <c r="X451" s="541"/>
      <c r="Y451" s="541"/>
      <c r="Z451" s="541"/>
    </row>
    <row r="452" spans="1:26" ht="18.75">
      <c r="A452" s="537"/>
      <c r="B452" s="538"/>
      <c r="C452" s="538"/>
      <c r="D452" s="538"/>
      <c r="E452" s="538"/>
      <c r="F452" s="727" t="s">
        <v>188</v>
      </c>
      <c r="G452" s="189"/>
      <c r="H452" s="161" t="s">
        <v>12</v>
      </c>
      <c r="I452" s="269"/>
      <c r="J452" s="269"/>
      <c r="K452" s="465"/>
      <c r="L452" s="465"/>
      <c r="M452" s="465"/>
      <c r="N452" s="789">
        <v>0</v>
      </c>
      <c r="O452" s="465"/>
      <c r="P452" s="465"/>
      <c r="Q452" s="541"/>
      <c r="R452" s="541"/>
      <c r="S452" s="541"/>
      <c r="T452" s="541"/>
      <c r="U452" s="541"/>
      <c r="V452" s="541"/>
      <c r="W452" s="541"/>
      <c r="X452" s="541"/>
      <c r="Y452" s="541"/>
      <c r="Z452" s="541"/>
    </row>
    <row r="453" spans="1:26" ht="18.75">
      <c r="A453" s="537"/>
      <c r="B453" s="538"/>
      <c r="C453" s="538"/>
      <c r="D453" s="538"/>
      <c r="E453" s="538"/>
      <c r="F453" s="727" t="s">
        <v>189</v>
      </c>
      <c r="G453" s="189"/>
      <c r="H453" s="161" t="s">
        <v>12</v>
      </c>
      <c r="I453" s="269"/>
      <c r="J453" s="269"/>
      <c r="K453" s="465"/>
      <c r="L453" s="465"/>
      <c r="M453" s="465"/>
      <c r="N453" s="789">
        <v>0</v>
      </c>
      <c r="O453" s="465"/>
      <c r="P453" s="465"/>
      <c r="Q453" s="541"/>
      <c r="R453" s="541"/>
      <c r="S453" s="541"/>
      <c r="T453" s="541"/>
      <c r="U453" s="541"/>
      <c r="V453" s="541"/>
      <c r="W453" s="541"/>
      <c r="X453" s="541"/>
      <c r="Y453" s="541"/>
      <c r="Z453" s="541"/>
    </row>
    <row r="454" spans="1:26" ht="18.75">
      <c r="A454" s="561"/>
      <c r="B454" s="538"/>
      <c r="C454" s="538"/>
      <c r="D454" s="570" t="s">
        <v>21</v>
      </c>
      <c r="E454" s="538"/>
      <c r="F454" s="727"/>
      <c r="G454" s="189"/>
      <c r="H454" s="168" t="s">
        <v>12</v>
      </c>
      <c r="I454" s="184"/>
      <c r="J454" s="184"/>
      <c r="K454" s="163"/>
      <c r="L454" s="465">
        <f t="shared" ref="L454:N454" ca="1" si="201">L455+L456</f>
        <v>0</v>
      </c>
      <c r="M454" s="465">
        <f t="shared" si="201"/>
        <v>0</v>
      </c>
      <c r="N454" s="465">
        <f t="shared" si="201"/>
        <v>0</v>
      </c>
      <c r="O454" s="465">
        <f t="shared" ref="O454:O456" ca="1" si="202">IF(L454&gt;0,N454*100/L454,0)</f>
        <v>0</v>
      </c>
      <c r="P454" s="465">
        <f t="shared" ref="P454:P456" si="203">IF(M454&gt;0,N454*100/M454,0)</f>
        <v>0</v>
      </c>
      <c r="Q454" s="541"/>
      <c r="R454" s="541"/>
      <c r="S454" s="541"/>
      <c r="T454" s="541"/>
      <c r="U454" s="541"/>
      <c r="V454" s="541"/>
      <c r="W454" s="541"/>
      <c r="X454" s="541"/>
      <c r="Y454" s="541"/>
      <c r="Z454" s="541"/>
    </row>
    <row r="455" spans="1:26" ht="18.75" hidden="1">
      <c r="A455" s="563"/>
      <c r="B455" s="571"/>
      <c r="C455" s="571"/>
      <c r="D455" s="571"/>
      <c r="E455" s="571" t="s">
        <v>18</v>
      </c>
      <c r="F455" s="723"/>
      <c r="G455" s="567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2"/>
        <v>0</v>
      </c>
      <c r="P455" s="93">
        <f t="shared" si="203"/>
        <v>0</v>
      </c>
      <c r="Q455" s="568"/>
      <c r="R455" s="568"/>
      <c r="S455" s="568"/>
      <c r="T455" s="568"/>
      <c r="U455" s="568"/>
      <c r="V455" s="568"/>
      <c r="W455" s="568"/>
      <c r="X455" s="568"/>
      <c r="Y455" s="568"/>
      <c r="Z455" s="568"/>
    </row>
    <row r="456" spans="1:26" ht="18.75" hidden="1">
      <c r="A456" s="563"/>
      <c r="B456" s="571"/>
      <c r="C456" s="571"/>
      <c r="D456" s="571"/>
      <c r="E456" s="571" t="s">
        <v>19</v>
      </c>
      <c r="F456" s="723"/>
      <c r="G456" s="567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IFERROR(__xludf.DUMMYFUNCTION("IMPORTRANGE(""https://docs.google.com/spreadsheets/d/1QqKyyYR6Q21VydFLVH3TRQUabQu_ym0Zz7PgGX0-kHA/edit?usp=sharing"",""แผน!FM25"")"),0)</f>
        <v>0</v>
      </c>
      <c r="M456" s="93">
        <v>0</v>
      </c>
      <c r="N456" s="93">
        <v>0</v>
      </c>
      <c r="O456" s="93">
        <f t="shared" ca="1" si="202"/>
        <v>0</v>
      </c>
      <c r="P456" s="93">
        <f t="shared" si="203"/>
        <v>0</v>
      </c>
      <c r="Q456" s="568"/>
      <c r="R456" s="568"/>
      <c r="S456" s="568"/>
      <c r="T456" s="568"/>
      <c r="U456" s="568"/>
      <c r="V456" s="568"/>
      <c r="W456" s="568"/>
      <c r="X456" s="568"/>
      <c r="Y456" s="568"/>
      <c r="Z456" s="568"/>
    </row>
    <row r="457" spans="1:26" ht="19.5">
      <c r="A457" s="572"/>
      <c r="B457" s="584"/>
      <c r="C457" s="538" t="s">
        <v>16</v>
      </c>
      <c r="D457" s="850" t="s">
        <v>38</v>
      </c>
      <c r="E457" s="575"/>
      <c r="F457" s="725"/>
      <c r="G457" s="577"/>
      <c r="H457" s="726"/>
      <c r="I457" s="269"/>
      <c r="J457" s="269"/>
      <c r="K457" s="465"/>
      <c r="L457" s="465"/>
      <c r="M457" s="465"/>
      <c r="N457" s="465"/>
      <c r="O457" s="465"/>
      <c r="P457" s="465"/>
      <c r="Q457" s="541"/>
      <c r="R457" s="541"/>
      <c r="S457" s="541"/>
      <c r="T457" s="541"/>
      <c r="U457" s="541"/>
      <c r="V457" s="541"/>
      <c r="W457" s="541"/>
      <c r="X457" s="541"/>
      <c r="Y457" s="541"/>
      <c r="Z457" s="541"/>
    </row>
    <row r="458" spans="1:26" ht="18.75" hidden="1">
      <c r="A458" s="578"/>
      <c r="B458" s="580"/>
      <c r="C458" s="580"/>
      <c r="D458" s="580" t="s">
        <v>200</v>
      </c>
      <c r="E458" s="580"/>
      <c r="F458" s="684"/>
      <c r="G458" s="581"/>
      <c r="H458" s="582" t="s">
        <v>35</v>
      </c>
      <c r="I458" s="583">
        <v>0</v>
      </c>
      <c r="J458" s="583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568"/>
      <c r="R458" s="568"/>
      <c r="S458" s="568"/>
      <c r="T458" s="568"/>
      <c r="U458" s="568"/>
      <c r="V458" s="568"/>
      <c r="W458" s="568"/>
      <c r="X458" s="568"/>
      <c r="Y458" s="568"/>
      <c r="Z458" s="568"/>
    </row>
    <row r="459" spans="1:26" ht="18.75" hidden="1">
      <c r="A459" s="578"/>
      <c r="B459" s="580"/>
      <c r="C459" s="580"/>
      <c r="D459" s="580" t="s">
        <v>201</v>
      </c>
      <c r="E459" s="580"/>
      <c r="F459" s="684"/>
      <c r="G459" s="581"/>
      <c r="H459" s="582"/>
      <c r="I459" s="583"/>
      <c r="J459" s="583"/>
      <c r="K459" s="93"/>
      <c r="L459" s="93"/>
      <c r="M459" s="93"/>
      <c r="N459" s="93"/>
      <c r="O459" s="93"/>
      <c r="P459" s="93"/>
      <c r="Q459" s="568"/>
      <c r="R459" s="568"/>
      <c r="S459" s="568"/>
      <c r="T459" s="568"/>
      <c r="U459" s="568"/>
      <c r="V459" s="568"/>
      <c r="W459" s="568"/>
      <c r="X459" s="568"/>
      <c r="Y459" s="568"/>
      <c r="Z459" s="568"/>
    </row>
    <row r="460" spans="1:26" ht="18.75">
      <c r="A460" s="572"/>
      <c r="B460" s="584"/>
      <c r="C460" s="584"/>
      <c r="D460" s="584" t="s">
        <v>202</v>
      </c>
      <c r="E460" s="584"/>
      <c r="F460" s="592"/>
      <c r="G460" s="726"/>
      <c r="H460" s="728" t="s">
        <v>35</v>
      </c>
      <c r="I460" s="269">
        <f ca="1">IFERROR(__xludf.DUMMYFUNCTION("IMPORTRANGE(""https://docs.google.com/spreadsheets/d/1QqKyyYR6Q21VydFLVH3TRQUabQu_ym0Zz7PgGX0-kHA/edit?usp=sharing"",""แผน!FN25"")"),50)</f>
        <v>50</v>
      </c>
      <c r="J460" s="214">
        <v>0</v>
      </c>
      <c r="K460" s="465">
        <f ca="1">IF(I460&gt;0,J460*100/I460,0)</f>
        <v>0</v>
      </c>
      <c r="L460" s="465"/>
      <c r="M460" s="465"/>
      <c r="N460" s="465"/>
      <c r="O460" s="465"/>
      <c r="P460" s="465"/>
      <c r="Q460" s="541"/>
      <c r="R460" s="541"/>
      <c r="S460" s="541"/>
      <c r="T460" s="541"/>
      <c r="U460" s="541"/>
      <c r="V460" s="541"/>
      <c r="W460" s="541"/>
      <c r="X460" s="541"/>
      <c r="Y460" s="541"/>
      <c r="Z460" s="541"/>
    </row>
    <row r="461" spans="1:26" ht="18.75">
      <c r="A461" s="572"/>
      <c r="B461" s="584"/>
      <c r="C461" s="584"/>
      <c r="D461" s="584" t="s">
        <v>203</v>
      </c>
      <c r="E461" s="592"/>
      <c r="F461" s="592"/>
      <c r="G461" s="726"/>
      <c r="H461" s="728"/>
      <c r="I461" s="269"/>
      <c r="J461" s="269"/>
      <c r="K461" s="465"/>
      <c r="L461" s="465"/>
      <c r="M461" s="465"/>
      <c r="N461" s="465"/>
      <c r="O461" s="465"/>
      <c r="P461" s="465"/>
      <c r="Q461" s="541"/>
      <c r="R461" s="541"/>
      <c r="S461" s="541"/>
      <c r="T461" s="541"/>
      <c r="U461" s="541"/>
      <c r="V461" s="541"/>
      <c r="W461" s="541"/>
      <c r="X461" s="541"/>
      <c r="Y461" s="541"/>
      <c r="Z461" s="541"/>
    </row>
    <row r="462" spans="1:26" ht="18.75">
      <c r="A462" s="572"/>
      <c r="B462" s="584"/>
      <c r="C462" s="584"/>
      <c r="D462" s="584" t="s">
        <v>204</v>
      </c>
      <c r="E462" s="592"/>
      <c r="F462" s="592"/>
      <c r="G462" s="726"/>
      <c r="H462" s="728" t="s">
        <v>46</v>
      </c>
      <c r="I462" s="269">
        <f ca="1">IFERROR(__xludf.DUMMYFUNCTION("IMPORTRANGE(""https://docs.google.com/spreadsheets/d/1QqKyyYR6Q21VydFLVH3TRQUabQu_ym0Zz7PgGX0-kHA/edit?usp=sharing"",""แผน!FO25"")"),110)</f>
        <v>110</v>
      </c>
      <c r="J462" s="214">
        <v>0</v>
      </c>
      <c r="K462" s="465">
        <f ca="1">IF(I462&gt;0,J462*100/I462,0)</f>
        <v>0</v>
      </c>
      <c r="L462" s="465"/>
      <c r="M462" s="465"/>
      <c r="N462" s="465"/>
      <c r="O462" s="465"/>
      <c r="P462" s="465"/>
      <c r="Q462" s="541"/>
      <c r="R462" s="541"/>
      <c r="S462" s="541"/>
      <c r="T462" s="541"/>
      <c r="U462" s="541"/>
      <c r="V462" s="541"/>
      <c r="W462" s="541"/>
      <c r="X462" s="541"/>
      <c r="Y462" s="541"/>
      <c r="Z462" s="541"/>
    </row>
    <row r="463" spans="1:26" ht="18.75">
      <c r="A463" s="572"/>
      <c r="B463" s="584"/>
      <c r="C463" s="584"/>
      <c r="D463" s="584" t="s">
        <v>59</v>
      </c>
      <c r="E463" s="592"/>
      <c r="F463" s="727"/>
      <c r="G463" s="189"/>
      <c r="H463" s="728" t="s">
        <v>46</v>
      </c>
      <c r="I463" s="269">
        <f ca="1">IFERROR(__xludf.DUMMYFUNCTION("IMPORTRANGE(""https://docs.google.com/spreadsheets/d/1QqKyyYR6Q21VydFLVH3TRQUabQu_ym0Zz7PgGX0-kHA/edit?usp=sharing"",""แผน!FO25"")"),110)</f>
        <v>110</v>
      </c>
      <c r="J463" s="214">
        <v>0</v>
      </c>
      <c r="K463" s="465"/>
      <c r="L463" s="465"/>
      <c r="M463" s="465"/>
      <c r="N463" s="465"/>
      <c r="O463" s="465"/>
      <c r="P463" s="465"/>
      <c r="Q463" s="541"/>
      <c r="R463" s="541"/>
      <c r="S463" s="541"/>
      <c r="T463" s="541"/>
      <c r="U463" s="541"/>
      <c r="V463" s="541"/>
      <c r="W463" s="541"/>
      <c r="X463" s="541"/>
      <c r="Y463" s="541"/>
      <c r="Z463" s="541"/>
    </row>
    <row r="464" spans="1:26" ht="19.5">
      <c r="A464" s="572"/>
      <c r="B464" s="584"/>
      <c r="C464" s="584"/>
      <c r="D464" s="584"/>
      <c r="E464" s="592"/>
      <c r="F464" s="592"/>
      <c r="G464" s="586"/>
      <c r="H464" s="728" t="s">
        <v>35</v>
      </c>
      <c r="I464" s="269">
        <f ca="1">IFERROR(__xludf.DUMMYFUNCTION("IMPORTRANGE(""https://docs.google.com/spreadsheets/d/1QqKyyYR6Q21VydFLVH3TRQUabQu_ym0Zz7PgGX0-kHA/edit?usp=sharing"",""แผน!FN25"")"),50)</f>
        <v>50</v>
      </c>
      <c r="J464" s="214">
        <v>0</v>
      </c>
      <c r="K464" s="465"/>
      <c r="L464" s="465"/>
      <c r="M464" s="465"/>
      <c r="N464" s="465"/>
      <c r="O464" s="465"/>
      <c r="P464" s="465"/>
      <c r="Q464" s="541"/>
      <c r="R464" s="541"/>
      <c r="S464" s="541"/>
      <c r="T464" s="541"/>
      <c r="U464" s="541"/>
      <c r="V464" s="541"/>
      <c r="W464" s="541"/>
      <c r="X464" s="541"/>
      <c r="Y464" s="541"/>
      <c r="Z464" s="541"/>
    </row>
    <row r="465" spans="1:26" ht="19.5">
      <c r="A465" s="549">
        <v>3</v>
      </c>
      <c r="B465" s="550" t="s">
        <v>205</v>
      </c>
      <c r="C465" s="551"/>
      <c r="D465" s="551"/>
      <c r="E465" s="551"/>
      <c r="F465" s="551"/>
      <c r="G465" s="552"/>
      <c r="H465" s="553" t="s">
        <v>35</v>
      </c>
      <c r="I465" s="554">
        <f ca="1">IFERROR(__xludf.DUMMYFUNCTION("IMPORTRANGE(""https://docs.google.com/spreadsheets/d/1QqKyyYR6Q21VydFLVH3TRQUabQu_ym0Zz7PgGX0-kHA/edit?usp=sharing"",""แผน!FX25"")"),11)</f>
        <v>11</v>
      </c>
      <c r="J465" s="554">
        <f>J485+J489+J492</f>
        <v>0</v>
      </c>
      <c r="K465" s="555">
        <f t="shared" ref="K465:K466" ca="1" si="204">IF(I465&gt;0,J465*100/I465,0)</f>
        <v>0</v>
      </c>
      <c r="L465" s="556"/>
      <c r="M465" s="556"/>
      <c r="N465" s="556"/>
      <c r="O465" s="556"/>
      <c r="P465" s="556"/>
      <c r="Q465" s="541"/>
      <c r="R465" s="541"/>
      <c r="S465" s="541"/>
      <c r="T465" s="541"/>
      <c r="U465" s="541"/>
      <c r="V465" s="541"/>
      <c r="W465" s="541"/>
      <c r="X465" s="541"/>
      <c r="Y465" s="541"/>
      <c r="Z465" s="541"/>
    </row>
    <row r="466" spans="1:26" ht="19.5">
      <c r="A466" s="557"/>
      <c r="B466" s="558"/>
      <c r="C466" s="559"/>
      <c r="D466" s="559"/>
      <c r="E466" s="559"/>
      <c r="F466" s="559"/>
      <c r="G466" s="560"/>
      <c r="H466" s="531" t="s">
        <v>46</v>
      </c>
      <c r="I466" s="532">
        <f ca="1">IFERROR(__xludf.DUMMYFUNCTION("IMPORTRANGE(""https://docs.google.com/spreadsheets/d/1QqKyyYR6Q21VydFLVH3TRQUabQu_ym0Zz7PgGX0-kHA/edit?usp=sharing"",""แผน!FW25"")"),100)</f>
        <v>100</v>
      </c>
      <c r="J466" s="532">
        <f>J483+J487</f>
        <v>0</v>
      </c>
      <c r="K466" s="533">
        <f t="shared" ca="1" si="204"/>
        <v>0</v>
      </c>
      <c r="L466" s="534"/>
      <c r="M466" s="534"/>
      <c r="N466" s="534"/>
      <c r="O466" s="534"/>
      <c r="P466" s="534"/>
      <c r="Q466" s="541"/>
      <c r="R466" s="541"/>
      <c r="S466" s="541"/>
      <c r="T466" s="541"/>
      <c r="U466" s="541"/>
      <c r="V466" s="541"/>
      <c r="W466" s="541"/>
      <c r="X466" s="541"/>
      <c r="Y466" s="541"/>
      <c r="Z466" s="541"/>
    </row>
    <row r="467" spans="1:26" ht="19.5">
      <c r="A467" s="561"/>
      <c r="B467" s="727"/>
      <c r="C467" s="727" t="s">
        <v>16</v>
      </c>
      <c r="D467" s="811" t="s">
        <v>17</v>
      </c>
      <c r="E467" s="805"/>
      <c r="F467" s="805"/>
      <c r="G467" s="189"/>
      <c r="H467" s="562" t="s">
        <v>12</v>
      </c>
      <c r="I467" s="269"/>
      <c r="J467" s="269"/>
      <c r="K467" s="465"/>
      <c r="L467" s="195">
        <f t="shared" ref="L467:N467" ca="1" si="205">L468+L469</f>
        <v>99095</v>
      </c>
      <c r="M467" s="195">
        <f t="shared" si="205"/>
        <v>0</v>
      </c>
      <c r="N467" s="195">
        <f t="shared" si="205"/>
        <v>0</v>
      </c>
      <c r="O467" s="195">
        <f t="shared" ref="O467:O472" ca="1" si="206">IF(L467&gt;0,N467*100/L467,0)</f>
        <v>0</v>
      </c>
      <c r="P467" s="195">
        <f t="shared" ref="P467:P472" si="207">IF(M467&gt;0,N467*100/M467,0)</f>
        <v>0</v>
      </c>
      <c r="Q467" s="541"/>
      <c r="R467" s="541"/>
      <c r="S467" s="541"/>
      <c r="T467" s="541"/>
      <c r="U467" s="541"/>
      <c r="V467" s="541"/>
      <c r="W467" s="541"/>
      <c r="X467" s="541"/>
      <c r="Y467" s="541"/>
      <c r="Z467" s="541"/>
    </row>
    <row r="468" spans="1:26" ht="18.75" hidden="1">
      <c r="A468" s="563"/>
      <c r="B468" s="723"/>
      <c r="C468" s="723"/>
      <c r="D468" s="684"/>
      <c r="E468" s="723" t="s">
        <v>184</v>
      </c>
      <c r="F468" s="723"/>
      <c r="G468" s="567"/>
      <c r="H468" s="165" t="s">
        <v>12</v>
      </c>
      <c r="I468" s="583"/>
      <c r="J468" s="583"/>
      <c r="K468" s="93"/>
      <c r="L468" s="93">
        <f t="shared" ref="L468:N469" si="208">L471+L478</f>
        <v>0</v>
      </c>
      <c r="M468" s="93">
        <f t="shared" si="208"/>
        <v>0</v>
      </c>
      <c r="N468" s="93">
        <f t="shared" si="208"/>
        <v>0</v>
      </c>
      <c r="O468" s="93">
        <f t="shared" si="206"/>
        <v>0</v>
      </c>
      <c r="P468" s="93">
        <f t="shared" si="207"/>
        <v>0</v>
      </c>
      <c r="Q468" s="568"/>
      <c r="R468" s="568"/>
      <c r="S468" s="568"/>
      <c r="T468" s="568"/>
      <c r="U468" s="568"/>
      <c r="V468" s="568"/>
      <c r="W468" s="568"/>
      <c r="X468" s="568"/>
      <c r="Y468" s="568"/>
      <c r="Z468" s="568"/>
    </row>
    <row r="469" spans="1:26" ht="18.75" hidden="1">
      <c r="A469" s="563"/>
      <c r="B469" s="571"/>
      <c r="C469" s="723"/>
      <c r="D469" s="684"/>
      <c r="E469" s="723" t="s">
        <v>185</v>
      </c>
      <c r="F469" s="723"/>
      <c r="G469" s="567"/>
      <c r="H469" s="165" t="s">
        <v>12</v>
      </c>
      <c r="I469" s="583"/>
      <c r="J469" s="583"/>
      <c r="K469" s="93"/>
      <c r="L469" s="93">
        <f t="shared" ca="1" si="208"/>
        <v>99095</v>
      </c>
      <c r="M469" s="93">
        <f t="shared" si="208"/>
        <v>0</v>
      </c>
      <c r="N469" s="93">
        <f t="shared" si="208"/>
        <v>0</v>
      </c>
      <c r="O469" s="93">
        <f t="shared" ca="1" si="206"/>
        <v>0</v>
      </c>
      <c r="P469" s="93">
        <f t="shared" si="207"/>
        <v>0</v>
      </c>
      <c r="Q469" s="568"/>
      <c r="R469" s="568"/>
      <c r="S469" s="568"/>
      <c r="T469" s="568"/>
      <c r="U469" s="568"/>
      <c r="V469" s="568"/>
      <c r="W469" s="568"/>
      <c r="X469" s="568"/>
      <c r="Y469" s="568"/>
      <c r="Z469" s="568"/>
    </row>
    <row r="470" spans="1:26" ht="18.75">
      <c r="A470" s="561"/>
      <c r="B470" s="538"/>
      <c r="C470" s="727"/>
      <c r="D470" s="570" t="s">
        <v>20</v>
      </c>
      <c r="E470" s="727"/>
      <c r="F470" s="727"/>
      <c r="G470" s="189"/>
      <c r="H470" s="161" t="s">
        <v>12</v>
      </c>
      <c r="I470" s="184"/>
      <c r="J470" s="184"/>
      <c r="K470" s="163"/>
      <c r="L470" s="465">
        <f t="shared" ref="L470:N470" ca="1" si="209">L471+L472</f>
        <v>99095</v>
      </c>
      <c r="M470" s="465">
        <f t="shared" si="209"/>
        <v>0</v>
      </c>
      <c r="N470" s="465">
        <f t="shared" si="209"/>
        <v>0</v>
      </c>
      <c r="O470" s="465">
        <f t="shared" ca="1" si="206"/>
        <v>0</v>
      </c>
      <c r="P470" s="465">
        <f t="shared" si="207"/>
        <v>0</v>
      </c>
      <c r="Q470" s="541"/>
      <c r="R470" s="541"/>
      <c r="S470" s="541"/>
      <c r="T470" s="541"/>
      <c r="U470" s="541"/>
      <c r="V470" s="541"/>
      <c r="W470" s="541"/>
      <c r="X470" s="541"/>
      <c r="Y470" s="541"/>
      <c r="Z470" s="541"/>
    </row>
    <row r="471" spans="1:26" ht="18.75" hidden="1">
      <c r="A471" s="563"/>
      <c r="B471" s="571"/>
      <c r="C471" s="723"/>
      <c r="D471" s="684"/>
      <c r="E471" s="723" t="s">
        <v>184</v>
      </c>
      <c r="F471" s="723"/>
      <c r="G471" s="567"/>
      <c r="H471" s="165" t="s">
        <v>12</v>
      </c>
      <c r="I471" s="583"/>
      <c r="J471" s="583"/>
      <c r="K471" s="93"/>
      <c r="L471" s="93">
        <v>0</v>
      </c>
      <c r="M471" s="93">
        <v>0</v>
      </c>
      <c r="N471" s="93">
        <v>0</v>
      </c>
      <c r="O471" s="93">
        <f t="shared" si="206"/>
        <v>0</v>
      </c>
      <c r="P471" s="93">
        <f t="shared" si="207"/>
        <v>0</v>
      </c>
      <c r="Q471" s="568"/>
      <c r="R471" s="568"/>
      <c r="S471" s="568"/>
      <c r="T471" s="568"/>
      <c r="U471" s="568"/>
      <c r="V471" s="568"/>
      <c r="W471" s="568"/>
      <c r="X471" s="568"/>
      <c r="Y471" s="568"/>
      <c r="Z471" s="568"/>
    </row>
    <row r="472" spans="1:26" ht="18.75" hidden="1">
      <c r="A472" s="563"/>
      <c r="B472" s="571"/>
      <c r="C472" s="723"/>
      <c r="D472" s="684"/>
      <c r="E472" s="723" t="s">
        <v>185</v>
      </c>
      <c r="F472" s="723"/>
      <c r="G472" s="567"/>
      <c r="H472" s="165" t="s">
        <v>12</v>
      </c>
      <c r="I472" s="583"/>
      <c r="J472" s="583"/>
      <c r="K472" s="93"/>
      <c r="L472" s="93">
        <f ca="1">IFERROR(__xludf.DUMMYFUNCTION("IMPORTRANGE(""https://docs.google.com/spreadsheets/d/1QqKyyYR6Q21VydFLVH3TRQUabQu_ym0Zz7PgGX0-kHA/edit?usp=sharing"",""แผน!FS25"")"),99095)</f>
        <v>99095</v>
      </c>
      <c r="M472" s="93">
        <v>0</v>
      </c>
      <c r="N472" s="93">
        <f>N473+N474+N475+N476</f>
        <v>0</v>
      </c>
      <c r="O472" s="93">
        <f t="shared" ca="1" si="206"/>
        <v>0</v>
      </c>
      <c r="P472" s="93">
        <f t="shared" si="207"/>
        <v>0</v>
      </c>
      <c r="Q472" s="568"/>
      <c r="R472" s="568"/>
      <c r="S472" s="568"/>
      <c r="T472" s="568"/>
      <c r="U472" s="568"/>
      <c r="V472" s="568"/>
      <c r="W472" s="568"/>
      <c r="X472" s="568"/>
      <c r="Y472" s="568"/>
      <c r="Z472" s="568"/>
    </row>
    <row r="473" spans="1:26" ht="18.75">
      <c r="A473" s="537"/>
      <c r="B473" s="538"/>
      <c r="C473" s="727"/>
      <c r="D473" s="727"/>
      <c r="E473" s="727"/>
      <c r="F473" s="727" t="s">
        <v>186</v>
      </c>
      <c r="G473" s="189"/>
      <c r="H473" s="161" t="s">
        <v>12</v>
      </c>
      <c r="I473" s="269"/>
      <c r="J473" s="269"/>
      <c r="K473" s="465"/>
      <c r="L473" s="465"/>
      <c r="M473" s="465"/>
      <c r="N473" s="789">
        <v>0</v>
      </c>
      <c r="O473" s="465"/>
      <c r="P473" s="465"/>
      <c r="Q473" s="541"/>
      <c r="R473" s="541"/>
      <c r="S473" s="541"/>
      <c r="T473" s="541"/>
      <c r="U473" s="541"/>
      <c r="V473" s="541"/>
      <c r="W473" s="541"/>
      <c r="X473" s="541"/>
      <c r="Y473" s="541"/>
      <c r="Z473" s="541"/>
    </row>
    <row r="474" spans="1:26" ht="18.75">
      <c r="A474" s="537"/>
      <c r="B474" s="538"/>
      <c r="C474" s="727"/>
      <c r="D474" s="727"/>
      <c r="E474" s="727"/>
      <c r="F474" s="727" t="s">
        <v>187</v>
      </c>
      <c r="G474" s="189"/>
      <c r="H474" s="161" t="s">
        <v>12</v>
      </c>
      <c r="I474" s="269"/>
      <c r="J474" s="269"/>
      <c r="K474" s="465"/>
      <c r="L474" s="465"/>
      <c r="M474" s="465"/>
      <c r="N474" s="789">
        <v>0</v>
      </c>
      <c r="O474" s="465"/>
      <c r="P474" s="465"/>
      <c r="Q474" s="541"/>
      <c r="R474" s="541"/>
      <c r="S474" s="541"/>
      <c r="T474" s="541"/>
      <c r="U474" s="541"/>
      <c r="V474" s="541"/>
      <c r="W474" s="541"/>
      <c r="X474" s="541"/>
      <c r="Y474" s="541"/>
      <c r="Z474" s="541"/>
    </row>
    <row r="475" spans="1:26" ht="18.75">
      <c r="A475" s="537"/>
      <c r="B475" s="538"/>
      <c r="C475" s="538"/>
      <c r="D475" s="538"/>
      <c r="E475" s="538"/>
      <c r="F475" s="727" t="s">
        <v>188</v>
      </c>
      <c r="G475" s="189"/>
      <c r="H475" s="161" t="s">
        <v>12</v>
      </c>
      <c r="I475" s="269"/>
      <c r="J475" s="269"/>
      <c r="K475" s="465"/>
      <c r="L475" s="465"/>
      <c r="M475" s="465"/>
      <c r="N475" s="789">
        <v>0</v>
      </c>
      <c r="O475" s="465"/>
      <c r="P475" s="465"/>
      <c r="Q475" s="541"/>
      <c r="R475" s="541"/>
      <c r="S475" s="541"/>
      <c r="T475" s="541"/>
      <c r="U475" s="541"/>
      <c r="V475" s="541"/>
      <c r="W475" s="541"/>
      <c r="X475" s="541"/>
      <c r="Y475" s="541"/>
      <c r="Z475" s="541"/>
    </row>
    <row r="476" spans="1:26" ht="18.75">
      <c r="A476" s="537"/>
      <c r="B476" s="538"/>
      <c r="C476" s="538"/>
      <c r="D476" s="538"/>
      <c r="E476" s="538"/>
      <c r="F476" s="727" t="s">
        <v>189</v>
      </c>
      <c r="G476" s="189"/>
      <c r="H476" s="161" t="s">
        <v>12</v>
      </c>
      <c r="I476" s="269"/>
      <c r="J476" s="269"/>
      <c r="K476" s="465"/>
      <c r="L476" s="465"/>
      <c r="M476" s="465"/>
      <c r="N476" s="789">
        <v>0</v>
      </c>
      <c r="O476" s="465"/>
      <c r="P476" s="465"/>
      <c r="Q476" s="541"/>
      <c r="R476" s="541"/>
      <c r="S476" s="541"/>
      <c r="T476" s="541"/>
      <c r="U476" s="541"/>
      <c r="V476" s="541"/>
      <c r="W476" s="541"/>
      <c r="X476" s="541"/>
      <c r="Y476" s="541"/>
      <c r="Z476" s="541"/>
    </row>
    <row r="477" spans="1:26" ht="18.75">
      <c r="A477" s="561"/>
      <c r="B477" s="538"/>
      <c r="C477" s="538"/>
      <c r="D477" s="570" t="s">
        <v>21</v>
      </c>
      <c r="E477" s="538"/>
      <c r="F477" s="538"/>
      <c r="G477" s="189"/>
      <c r="H477" s="168" t="s">
        <v>12</v>
      </c>
      <c r="I477" s="184"/>
      <c r="J477" s="184"/>
      <c r="K477" s="163"/>
      <c r="L477" s="465">
        <f t="shared" ref="L477:N477" ca="1" si="210">L478+L479</f>
        <v>0</v>
      </c>
      <c r="M477" s="465">
        <f t="shared" si="210"/>
        <v>0</v>
      </c>
      <c r="N477" s="465">
        <f t="shared" si="210"/>
        <v>0</v>
      </c>
      <c r="O477" s="465">
        <f t="shared" ref="O477:O479" ca="1" si="211">IF(L477&gt;0,N477*100/L477,0)</f>
        <v>0</v>
      </c>
      <c r="P477" s="465">
        <f t="shared" ref="P477:P479" si="212">IF(M477&gt;0,N477*100/M477,0)</f>
        <v>0</v>
      </c>
      <c r="Q477" s="541"/>
      <c r="R477" s="541"/>
      <c r="S477" s="541"/>
      <c r="T477" s="541"/>
      <c r="U477" s="541"/>
      <c r="V477" s="541"/>
      <c r="W477" s="541"/>
      <c r="X477" s="541"/>
      <c r="Y477" s="541"/>
      <c r="Z477" s="541"/>
    </row>
    <row r="478" spans="1:26" ht="18.75" hidden="1">
      <c r="A478" s="563"/>
      <c r="B478" s="571"/>
      <c r="C478" s="571"/>
      <c r="D478" s="571"/>
      <c r="E478" s="571" t="s">
        <v>18</v>
      </c>
      <c r="F478" s="571"/>
      <c r="G478" s="567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1"/>
        <v>0</v>
      </c>
      <c r="P478" s="93">
        <f t="shared" si="212"/>
        <v>0</v>
      </c>
      <c r="Q478" s="568"/>
      <c r="R478" s="568"/>
      <c r="S478" s="568"/>
      <c r="T478" s="568"/>
      <c r="U478" s="568"/>
      <c r="V478" s="568"/>
      <c r="W478" s="568"/>
      <c r="X478" s="568"/>
      <c r="Y478" s="568"/>
      <c r="Z478" s="568"/>
    </row>
    <row r="479" spans="1:26" ht="18.75" hidden="1">
      <c r="A479" s="563"/>
      <c r="B479" s="571"/>
      <c r="C479" s="571"/>
      <c r="D479" s="571"/>
      <c r="E479" s="571" t="s">
        <v>19</v>
      </c>
      <c r="F479" s="571"/>
      <c r="G479" s="567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IFERROR(__xludf.DUMMYFUNCTION("IMPORTRANGE(""https://docs.google.com/spreadsheets/d/1QqKyyYR6Q21VydFLVH3TRQUabQu_ym0Zz7PgGX0-kHA/edit?usp=sharing"",""แผน!FV25"")"),0)</f>
        <v>0</v>
      </c>
      <c r="M479" s="93">
        <v>0</v>
      </c>
      <c r="N479" s="93">
        <v>0</v>
      </c>
      <c r="O479" s="93">
        <f t="shared" ca="1" si="211"/>
        <v>0</v>
      </c>
      <c r="P479" s="93">
        <f t="shared" si="212"/>
        <v>0</v>
      </c>
      <c r="Q479" s="568"/>
      <c r="R479" s="568"/>
      <c r="S479" s="568"/>
      <c r="T479" s="568"/>
      <c r="U479" s="568"/>
      <c r="V479" s="568"/>
      <c r="W479" s="568"/>
      <c r="X479" s="568"/>
      <c r="Y479" s="568"/>
      <c r="Z479" s="568"/>
    </row>
    <row r="480" spans="1:26" ht="19.5">
      <c r="A480" s="572"/>
      <c r="B480" s="584"/>
      <c r="C480" s="538" t="s">
        <v>16</v>
      </c>
      <c r="D480" s="851" t="s">
        <v>38</v>
      </c>
      <c r="E480" s="575"/>
      <c r="F480" s="725"/>
      <c r="G480" s="577"/>
      <c r="H480" s="726"/>
      <c r="I480" s="269"/>
      <c r="J480" s="269"/>
      <c r="K480" s="465"/>
      <c r="L480" s="465"/>
      <c r="M480" s="465"/>
      <c r="N480" s="465"/>
      <c r="O480" s="465"/>
      <c r="P480" s="465"/>
      <c r="Q480" s="541"/>
      <c r="R480" s="541"/>
      <c r="S480" s="541"/>
      <c r="T480" s="541"/>
      <c r="U480" s="541"/>
      <c r="V480" s="541"/>
      <c r="W480" s="541"/>
      <c r="X480" s="541"/>
      <c r="Y480" s="541"/>
      <c r="Z480" s="541"/>
    </row>
    <row r="481" spans="1:26" ht="19.5">
      <c r="A481" s="572"/>
      <c r="B481" s="584"/>
      <c r="C481" s="584"/>
      <c r="D481" s="591" t="s">
        <v>206</v>
      </c>
      <c r="E481" s="584"/>
      <c r="F481" s="584"/>
      <c r="G481" s="726"/>
      <c r="H481" s="189"/>
      <c r="I481" s="269"/>
      <c r="J481" s="269"/>
      <c r="K481" s="465"/>
      <c r="L481" s="465"/>
      <c r="M481" s="465"/>
      <c r="N481" s="465"/>
      <c r="O481" s="465"/>
      <c r="P481" s="465"/>
      <c r="Q481" s="541"/>
      <c r="R481" s="541"/>
      <c r="S481" s="541"/>
      <c r="T481" s="541"/>
      <c r="U481" s="541"/>
      <c r="V481" s="541"/>
      <c r="W481" s="541"/>
      <c r="X481" s="541"/>
      <c r="Y481" s="541"/>
      <c r="Z481" s="541"/>
    </row>
    <row r="482" spans="1:26" ht="18.75">
      <c r="A482" s="572"/>
      <c r="B482" s="584"/>
      <c r="C482" s="584"/>
      <c r="D482" s="584"/>
      <c r="E482" s="584" t="s">
        <v>207</v>
      </c>
      <c r="F482" s="584"/>
      <c r="G482" s="726"/>
      <c r="H482" s="189"/>
      <c r="I482" s="269"/>
      <c r="J482" s="269"/>
      <c r="K482" s="465"/>
      <c r="L482" s="465"/>
      <c r="M482" s="465"/>
      <c r="N482" s="465"/>
      <c r="O482" s="465"/>
      <c r="P482" s="465"/>
      <c r="Q482" s="541"/>
      <c r="R482" s="541"/>
      <c r="S482" s="541"/>
      <c r="T482" s="541"/>
      <c r="U482" s="541"/>
      <c r="V482" s="541"/>
      <c r="W482" s="541"/>
      <c r="X482" s="541"/>
      <c r="Y482" s="541"/>
      <c r="Z482" s="541"/>
    </row>
    <row r="483" spans="1:26" ht="18.75">
      <c r="A483" s="572"/>
      <c r="B483" s="584"/>
      <c r="C483" s="584"/>
      <c r="D483" s="584"/>
      <c r="E483" s="584"/>
      <c r="F483" s="584" t="s">
        <v>208</v>
      </c>
      <c r="G483" s="726"/>
      <c r="H483" s="589" t="s">
        <v>46</v>
      </c>
      <c r="I483" s="269">
        <f ca="1">IFERROR(__xludf.DUMMYFUNCTION("IMPORTRANGE(""https://docs.google.com/spreadsheets/d/1QqKyyYR6Q21VydFLVH3TRQUabQu_ym0Zz7PgGX0-kHA/edit?usp=sharing"",""แผน!FY25"")"),90)</f>
        <v>90</v>
      </c>
      <c r="J483" s="214">
        <v>0</v>
      </c>
      <c r="K483" s="465">
        <f ca="1">IF(I483&gt;0,J483*100/I483,0)</f>
        <v>0</v>
      </c>
      <c r="L483" s="465"/>
      <c r="M483" s="465"/>
      <c r="N483" s="465"/>
      <c r="O483" s="465"/>
      <c r="P483" s="465"/>
      <c r="Q483" s="541"/>
      <c r="R483" s="541"/>
      <c r="S483" s="541"/>
      <c r="T483" s="541"/>
      <c r="U483" s="541"/>
      <c r="V483" s="541"/>
      <c r="W483" s="541"/>
      <c r="X483" s="541"/>
      <c r="Y483" s="541"/>
      <c r="Z483" s="541"/>
    </row>
    <row r="484" spans="1:26" ht="18.75">
      <c r="A484" s="572"/>
      <c r="B484" s="584"/>
      <c r="C484" s="584"/>
      <c r="D484" s="584"/>
      <c r="E484" s="584"/>
      <c r="F484" s="584" t="s">
        <v>209</v>
      </c>
      <c r="G484" s="726"/>
      <c r="H484" s="589" t="s">
        <v>35</v>
      </c>
      <c r="I484" s="269"/>
      <c r="J484" s="214">
        <v>0</v>
      </c>
      <c r="K484" s="465"/>
      <c r="L484" s="465"/>
      <c r="M484" s="465"/>
      <c r="N484" s="465"/>
      <c r="O484" s="465"/>
      <c r="P484" s="465"/>
      <c r="Q484" s="541"/>
      <c r="R484" s="541"/>
      <c r="S484" s="541"/>
      <c r="T484" s="541"/>
      <c r="U484" s="541"/>
      <c r="V484" s="541"/>
      <c r="W484" s="541"/>
      <c r="X484" s="541"/>
      <c r="Y484" s="541"/>
      <c r="Z484" s="541"/>
    </row>
    <row r="485" spans="1:26" ht="18.75">
      <c r="A485" s="572"/>
      <c r="B485" s="584"/>
      <c r="C485" s="584"/>
      <c r="D485" s="584"/>
      <c r="E485" s="584"/>
      <c r="F485" s="584" t="s">
        <v>210</v>
      </c>
      <c r="G485" s="726"/>
      <c r="H485" s="589" t="s">
        <v>35</v>
      </c>
      <c r="I485" s="269">
        <f ca="1">IFERROR(__xludf.DUMMYFUNCTION("IMPORTRANGE(""https://docs.google.com/spreadsheets/d/1QqKyyYR6Q21VydFLVH3TRQUabQu_ym0Zz7PgGX0-kHA/edit?usp=sharing"",""แผน!FZ25"")"),9)</f>
        <v>9</v>
      </c>
      <c r="J485" s="214">
        <v>0</v>
      </c>
      <c r="K485" s="465">
        <f ca="1">IF(I485&gt;0,J485*100/I485,0)</f>
        <v>0</v>
      </c>
      <c r="L485" s="465"/>
      <c r="M485" s="465"/>
      <c r="N485" s="465"/>
      <c r="O485" s="465"/>
      <c r="P485" s="465"/>
      <c r="Q485" s="541"/>
      <c r="R485" s="541"/>
      <c r="S485" s="541"/>
      <c r="T485" s="541"/>
      <c r="U485" s="541"/>
      <c r="V485" s="541"/>
      <c r="W485" s="541"/>
      <c r="X485" s="541"/>
      <c r="Y485" s="541"/>
      <c r="Z485" s="541"/>
    </row>
    <row r="486" spans="1:26" ht="18.75">
      <c r="A486" s="572"/>
      <c r="B486" s="584"/>
      <c r="C486" s="584"/>
      <c r="D486" s="584"/>
      <c r="E486" s="584" t="s">
        <v>62</v>
      </c>
      <c r="F486" s="584"/>
      <c r="G486" s="726"/>
      <c r="H486" s="589"/>
      <c r="I486" s="269"/>
      <c r="J486" s="269"/>
      <c r="K486" s="465"/>
      <c r="L486" s="465"/>
      <c r="M486" s="465"/>
      <c r="N486" s="465"/>
      <c r="O486" s="465"/>
      <c r="P486" s="465"/>
      <c r="Q486" s="541"/>
      <c r="R486" s="541"/>
      <c r="S486" s="541"/>
      <c r="T486" s="541"/>
      <c r="U486" s="541"/>
      <c r="V486" s="541"/>
      <c r="W486" s="541"/>
      <c r="X486" s="541"/>
      <c r="Y486" s="541"/>
      <c r="Z486" s="541"/>
    </row>
    <row r="487" spans="1:26" ht="18.75">
      <c r="A487" s="572"/>
      <c r="B487" s="584"/>
      <c r="C487" s="584"/>
      <c r="D487" s="584"/>
      <c r="E487" s="584"/>
      <c r="F487" s="584" t="s">
        <v>208</v>
      </c>
      <c r="G487" s="726"/>
      <c r="H487" s="589" t="s">
        <v>46</v>
      </c>
      <c r="I487" s="269">
        <f ca="1">IFERROR(__xludf.DUMMYFUNCTION("IMPORTRANGE(""https://docs.google.com/spreadsheets/d/1QqKyyYR6Q21VydFLVH3TRQUabQu_ym0Zz7PgGX0-kHA/edit?usp=sharing"",""แผน!GA25"")"),10)</f>
        <v>10</v>
      </c>
      <c r="J487" s="214">
        <v>0</v>
      </c>
      <c r="K487" s="465">
        <f ca="1">IF(I487&gt;0,J487*100/I487,0)</f>
        <v>0</v>
      </c>
      <c r="L487" s="465"/>
      <c r="M487" s="465"/>
      <c r="N487" s="465"/>
      <c r="O487" s="465"/>
      <c r="P487" s="465"/>
      <c r="Q487" s="541"/>
      <c r="R487" s="541"/>
      <c r="S487" s="541"/>
      <c r="T487" s="541"/>
      <c r="U487" s="541"/>
      <c r="V487" s="541"/>
      <c r="W487" s="541"/>
      <c r="X487" s="541"/>
      <c r="Y487" s="541"/>
      <c r="Z487" s="541"/>
    </row>
    <row r="488" spans="1:26" ht="18.75">
      <c r="A488" s="572"/>
      <c r="B488" s="584"/>
      <c r="C488" s="584"/>
      <c r="D488" s="584"/>
      <c r="E488" s="584"/>
      <c r="F488" s="584" t="s">
        <v>211</v>
      </c>
      <c r="G488" s="726"/>
      <c r="H488" s="589" t="s">
        <v>35</v>
      </c>
      <c r="I488" s="269"/>
      <c r="J488" s="214">
        <v>0</v>
      </c>
      <c r="K488" s="465"/>
      <c r="L488" s="465"/>
      <c r="M488" s="465"/>
      <c r="N488" s="465"/>
      <c r="O488" s="465"/>
      <c r="P488" s="465"/>
      <c r="Q488" s="541"/>
      <c r="R488" s="541"/>
      <c r="S488" s="541"/>
      <c r="T488" s="541"/>
      <c r="U488" s="541"/>
      <c r="V488" s="541"/>
      <c r="W488" s="541"/>
      <c r="X488" s="541"/>
      <c r="Y488" s="541"/>
      <c r="Z488" s="541"/>
    </row>
    <row r="489" spans="1:26" ht="18.75">
      <c r="A489" s="572"/>
      <c r="B489" s="584"/>
      <c r="C489" s="584"/>
      <c r="D489" s="584"/>
      <c r="E489" s="584"/>
      <c r="F489" s="584" t="s">
        <v>212</v>
      </c>
      <c r="G489" s="726"/>
      <c r="H489" s="589" t="s">
        <v>35</v>
      </c>
      <c r="I489" s="269">
        <f ca="1">IFERROR(__xludf.DUMMYFUNCTION("IMPORTRANGE(""https://docs.google.com/spreadsheets/d/1QqKyyYR6Q21VydFLVH3TRQUabQu_ym0Zz7PgGX0-kHA/edit?usp=sharing"",""แผน!GB25"")"),1)</f>
        <v>1</v>
      </c>
      <c r="J489" s="214">
        <v>0</v>
      </c>
      <c r="K489" s="465">
        <f ca="1">IF(I489&gt;0,J489*100/I489,0)</f>
        <v>0</v>
      </c>
      <c r="L489" s="465"/>
      <c r="M489" s="465"/>
      <c r="N489" s="465"/>
      <c r="O489" s="465"/>
      <c r="P489" s="465"/>
      <c r="Q489" s="541"/>
      <c r="R489" s="541"/>
      <c r="S489" s="541"/>
      <c r="T489" s="541"/>
      <c r="U489" s="541"/>
      <c r="V489" s="541"/>
      <c r="W489" s="541"/>
      <c r="X489" s="541"/>
      <c r="Y489" s="541"/>
      <c r="Z489" s="541"/>
    </row>
    <row r="490" spans="1:26" ht="18.75">
      <c r="A490" s="572"/>
      <c r="B490" s="584"/>
      <c r="C490" s="584"/>
      <c r="D490" s="584"/>
      <c r="E490" s="584" t="s">
        <v>63</v>
      </c>
      <c r="F490" s="592"/>
      <c r="G490" s="726"/>
      <c r="H490" s="589"/>
      <c r="I490" s="269"/>
      <c r="J490" s="269"/>
      <c r="K490" s="465"/>
      <c r="L490" s="465"/>
      <c r="M490" s="465"/>
      <c r="N490" s="465"/>
      <c r="O490" s="465"/>
      <c r="P490" s="465"/>
      <c r="Q490" s="541"/>
      <c r="R490" s="541"/>
      <c r="S490" s="541"/>
      <c r="T490" s="541"/>
      <c r="U490" s="541"/>
      <c r="V490" s="541"/>
      <c r="W490" s="541"/>
      <c r="X490" s="541"/>
      <c r="Y490" s="541"/>
      <c r="Z490" s="541"/>
    </row>
    <row r="491" spans="1:26" ht="18.75">
      <c r="A491" s="572"/>
      <c r="B491" s="584"/>
      <c r="C491" s="584"/>
      <c r="D491" s="584"/>
      <c r="E491" s="584"/>
      <c r="F491" s="584" t="s">
        <v>213</v>
      </c>
      <c r="G491" s="726"/>
      <c r="H491" s="589" t="s">
        <v>35</v>
      </c>
      <c r="I491" s="269"/>
      <c r="J491" s="214">
        <v>0</v>
      </c>
      <c r="K491" s="465"/>
      <c r="L491" s="465"/>
      <c r="M491" s="465"/>
      <c r="N491" s="465"/>
      <c r="O491" s="465"/>
      <c r="P491" s="465"/>
      <c r="Q491" s="541"/>
      <c r="R491" s="541"/>
      <c r="S491" s="541"/>
      <c r="T491" s="541"/>
      <c r="U491" s="541"/>
      <c r="V491" s="541"/>
      <c r="W491" s="541"/>
      <c r="X491" s="541"/>
      <c r="Y491" s="541"/>
      <c r="Z491" s="541"/>
    </row>
    <row r="492" spans="1:26" ht="18.75">
      <c r="A492" s="572"/>
      <c r="B492" s="584"/>
      <c r="C492" s="584"/>
      <c r="D492" s="584"/>
      <c r="E492" s="584"/>
      <c r="F492" s="584" t="s">
        <v>214</v>
      </c>
      <c r="G492" s="726"/>
      <c r="H492" s="589" t="s">
        <v>35</v>
      </c>
      <c r="I492" s="269">
        <f ca="1">IFERROR(__xludf.DUMMYFUNCTION("IMPORTRANGE(""https://docs.google.com/spreadsheets/d/1QqKyyYR6Q21VydFLVH3TRQUabQu_ym0Zz7PgGX0-kHA/edit?usp=sharing"",""แผน!GC25"")"),1)</f>
        <v>1</v>
      </c>
      <c r="J492" s="214">
        <v>0</v>
      </c>
      <c r="K492" s="465">
        <f ca="1">IF(I492&gt;0,J492*100/I492,0)</f>
        <v>0</v>
      </c>
      <c r="L492" s="465"/>
      <c r="M492" s="465"/>
      <c r="N492" s="465"/>
      <c r="O492" s="465"/>
      <c r="P492" s="465"/>
      <c r="Q492" s="541"/>
      <c r="R492" s="541"/>
      <c r="S492" s="541"/>
      <c r="T492" s="541"/>
      <c r="U492" s="541"/>
      <c r="V492" s="541"/>
      <c r="W492" s="541"/>
      <c r="X492" s="541"/>
      <c r="Y492" s="541"/>
      <c r="Z492" s="541"/>
    </row>
    <row r="493" spans="1:26" ht="19.5">
      <c r="A493" s="572"/>
      <c r="B493" s="584"/>
      <c r="C493" s="584"/>
      <c r="D493" s="591" t="s">
        <v>59</v>
      </c>
      <c r="E493" s="584"/>
      <c r="F493" s="592"/>
      <c r="G493" s="726"/>
      <c r="H493" s="189"/>
      <c r="I493" s="269"/>
      <c r="J493" s="269"/>
      <c r="K493" s="465"/>
      <c r="L493" s="465"/>
      <c r="M493" s="465"/>
      <c r="N493" s="465"/>
      <c r="O493" s="465"/>
      <c r="P493" s="465"/>
      <c r="Q493" s="541"/>
      <c r="R493" s="541"/>
      <c r="S493" s="541"/>
      <c r="T493" s="541"/>
      <c r="U493" s="541"/>
      <c r="V493" s="541"/>
      <c r="W493" s="541"/>
      <c r="X493" s="541"/>
      <c r="Y493" s="541"/>
      <c r="Z493" s="541"/>
    </row>
    <row r="494" spans="1:26" ht="18.75">
      <c r="A494" s="572"/>
      <c r="B494" s="584"/>
      <c r="C494" s="584"/>
      <c r="D494" s="584"/>
      <c r="E494" s="584" t="s">
        <v>207</v>
      </c>
      <c r="F494" s="592"/>
      <c r="G494" s="726"/>
      <c r="H494" s="189"/>
      <c r="I494" s="269"/>
      <c r="J494" s="269"/>
      <c r="K494" s="465"/>
      <c r="L494" s="465"/>
      <c r="M494" s="465"/>
      <c r="N494" s="465"/>
      <c r="O494" s="465"/>
      <c r="P494" s="465"/>
      <c r="Q494" s="541"/>
      <c r="R494" s="541"/>
      <c r="S494" s="541"/>
      <c r="T494" s="541"/>
      <c r="U494" s="541"/>
      <c r="V494" s="541"/>
      <c r="W494" s="541"/>
      <c r="X494" s="541"/>
      <c r="Y494" s="541"/>
      <c r="Z494" s="541"/>
    </row>
    <row r="495" spans="1:26" ht="18.75">
      <c r="A495" s="572"/>
      <c r="B495" s="584"/>
      <c r="C495" s="584"/>
      <c r="D495" s="584"/>
      <c r="E495" s="584"/>
      <c r="F495" s="592" t="s">
        <v>215</v>
      </c>
      <c r="G495" s="726"/>
      <c r="H495" s="589" t="s">
        <v>46</v>
      </c>
      <c r="I495" s="269">
        <f ca="1">IFERROR(__xludf.DUMMYFUNCTION("IMPORTRANGE(""https://docs.google.com/spreadsheets/d/1QqKyyYR6Q21VydFLVH3TRQUabQu_ym0Zz7PgGX0-kHA/edit?usp=sharing"",""แผน!FY25"")"),90)</f>
        <v>90</v>
      </c>
      <c r="J495" s="214">
        <v>0</v>
      </c>
      <c r="K495" s="465">
        <f ca="1">IF(I495&gt;0,J495*100/I495,0)</f>
        <v>0</v>
      </c>
      <c r="L495" s="465"/>
      <c r="M495" s="465"/>
      <c r="N495" s="465"/>
      <c r="O495" s="465"/>
      <c r="P495" s="465"/>
      <c r="Q495" s="541"/>
      <c r="R495" s="541"/>
      <c r="S495" s="541"/>
      <c r="T495" s="541"/>
      <c r="U495" s="541"/>
      <c r="V495" s="541"/>
      <c r="W495" s="541"/>
      <c r="X495" s="541"/>
      <c r="Y495" s="541"/>
      <c r="Z495" s="541"/>
    </row>
    <row r="496" spans="1:26" ht="18.75">
      <c r="A496" s="572"/>
      <c r="B496" s="584"/>
      <c r="C496" s="584"/>
      <c r="D496" s="584"/>
      <c r="E496" s="584"/>
      <c r="F496" s="592" t="s">
        <v>216</v>
      </c>
      <c r="G496" s="726"/>
      <c r="H496" s="589" t="s">
        <v>46</v>
      </c>
      <c r="I496" s="269"/>
      <c r="J496" s="214">
        <v>0</v>
      </c>
      <c r="K496" s="465"/>
      <c r="L496" s="465"/>
      <c r="M496" s="465"/>
      <c r="N496" s="465"/>
      <c r="O496" s="465"/>
      <c r="P496" s="465"/>
      <c r="Q496" s="541"/>
      <c r="R496" s="541"/>
      <c r="S496" s="541"/>
      <c r="T496" s="541"/>
      <c r="U496" s="541"/>
      <c r="V496" s="541"/>
      <c r="W496" s="541"/>
      <c r="X496" s="541"/>
      <c r="Y496" s="541"/>
      <c r="Z496" s="541"/>
    </row>
    <row r="497" spans="1:26" ht="18.75">
      <c r="A497" s="572"/>
      <c r="B497" s="584"/>
      <c r="C497" s="584"/>
      <c r="D497" s="584"/>
      <c r="E497" s="584" t="s">
        <v>62</v>
      </c>
      <c r="F497" s="592"/>
      <c r="G497" s="726"/>
      <c r="H497" s="189"/>
      <c r="I497" s="269"/>
      <c r="J497" s="269"/>
      <c r="K497" s="465"/>
      <c r="L497" s="465"/>
      <c r="M497" s="465"/>
      <c r="N497" s="465"/>
      <c r="O497" s="465"/>
      <c r="P497" s="465"/>
      <c r="Q497" s="541"/>
      <c r="R497" s="541"/>
      <c r="S497" s="541"/>
      <c r="T497" s="541"/>
      <c r="U497" s="541"/>
      <c r="V497" s="541"/>
      <c r="W497" s="541"/>
      <c r="X497" s="541"/>
      <c r="Y497" s="541"/>
      <c r="Z497" s="541"/>
    </row>
    <row r="498" spans="1:26" ht="18.75">
      <c r="A498" s="572"/>
      <c r="B498" s="584"/>
      <c r="C498" s="584"/>
      <c r="D498" s="584"/>
      <c r="E498" s="592"/>
      <c r="F498" s="592" t="s">
        <v>217</v>
      </c>
      <c r="G498" s="726"/>
      <c r="H498" s="589" t="s">
        <v>46</v>
      </c>
      <c r="I498" s="269">
        <f ca="1">IFERROR(__xludf.DUMMYFUNCTION("IMPORTRANGE(""https://docs.google.com/spreadsheets/d/1QqKyyYR6Q21VydFLVH3TRQUabQu_ym0Zz7PgGX0-kHA/edit?usp=sharing"",""แผน!GA25"")"),10)</f>
        <v>10</v>
      </c>
      <c r="J498" s="214">
        <v>0</v>
      </c>
      <c r="K498" s="465">
        <f ca="1">IF(I498&gt;0,J498*100/I498,0)</f>
        <v>0</v>
      </c>
      <c r="L498" s="465"/>
      <c r="M498" s="465"/>
      <c r="N498" s="465"/>
      <c r="O498" s="465"/>
      <c r="P498" s="465"/>
      <c r="Q498" s="541"/>
      <c r="R498" s="541"/>
      <c r="S498" s="541"/>
      <c r="T498" s="541"/>
      <c r="U498" s="541"/>
      <c r="V498" s="541"/>
      <c r="W498" s="541"/>
      <c r="X498" s="541"/>
      <c r="Y498" s="541"/>
      <c r="Z498" s="541"/>
    </row>
    <row r="499" spans="1:26" ht="18.75">
      <c r="A499" s="572"/>
      <c r="B499" s="584"/>
      <c r="C499" s="584"/>
      <c r="D499" s="584"/>
      <c r="E499" s="592"/>
      <c r="F499" s="592" t="s">
        <v>218</v>
      </c>
      <c r="G499" s="726"/>
      <c r="H499" s="589" t="s">
        <v>46</v>
      </c>
      <c r="I499" s="269"/>
      <c r="J499" s="214">
        <v>0</v>
      </c>
      <c r="K499" s="465"/>
      <c r="L499" s="465"/>
      <c r="M499" s="465"/>
      <c r="N499" s="465"/>
      <c r="O499" s="465"/>
      <c r="P499" s="465"/>
      <c r="Q499" s="541"/>
      <c r="R499" s="541"/>
      <c r="S499" s="541"/>
      <c r="T499" s="541"/>
      <c r="U499" s="541"/>
      <c r="V499" s="541"/>
      <c r="W499" s="541"/>
      <c r="X499" s="541"/>
      <c r="Y499" s="541"/>
      <c r="Z499" s="541"/>
    </row>
    <row r="500" spans="1:26" ht="19.5" hidden="1">
      <c r="A500" s="593">
        <v>4</v>
      </c>
      <c r="B500" s="594" t="s">
        <v>219</v>
      </c>
      <c r="C500" s="595"/>
      <c r="D500" s="596"/>
      <c r="E500" s="596"/>
      <c r="F500" s="596"/>
      <c r="G500" s="597"/>
      <c r="H500" s="598" t="s">
        <v>109</v>
      </c>
      <c r="I500" s="599"/>
      <c r="J500" s="599">
        <f t="shared" ref="J500:J501" si="213">J516</f>
        <v>0</v>
      </c>
      <c r="K500" s="600">
        <f t="shared" ref="K500:K501" si="214">IF(I500&gt;0,J500*100/I500,0)</f>
        <v>0</v>
      </c>
      <c r="L500" s="601"/>
      <c r="M500" s="601"/>
      <c r="N500" s="601"/>
      <c r="O500" s="601"/>
      <c r="P500" s="601"/>
      <c r="Q500" s="568"/>
      <c r="R500" s="568"/>
      <c r="S500" s="568"/>
      <c r="T500" s="568"/>
      <c r="U500" s="568"/>
      <c r="V500" s="568"/>
      <c r="W500" s="568"/>
      <c r="X500" s="568"/>
      <c r="Y500" s="568"/>
      <c r="Z500" s="568"/>
    </row>
    <row r="501" spans="1:26" ht="19.5" hidden="1">
      <c r="A501" s="602"/>
      <c r="B501" s="604" t="s">
        <v>220</v>
      </c>
      <c r="C501" s="604"/>
      <c r="D501" s="605"/>
      <c r="E501" s="605"/>
      <c r="F501" s="605"/>
      <c r="G501" s="606"/>
      <c r="H501" s="607" t="s">
        <v>35</v>
      </c>
      <c r="I501" s="608"/>
      <c r="J501" s="608">
        <f t="shared" si="213"/>
        <v>0</v>
      </c>
      <c r="K501" s="609">
        <f t="shared" si="214"/>
        <v>0</v>
      </c>
      <c r="L501" s="610"/>
      <c r="M501" s="610"/>
      <c r="N501" s="610"/>
      <c r="O501" s="610"/>
      <c r="P501" s="610"/>
      <c r="Q501" s="568"/>
      <c r="R501" s="568"/>
      <c r="S501" s="568"/>
      <c r="T501" s="568"/>
      <c r="U501" s="568"/>
      <c r="V501" s="568"/>
      <c r="W501" s="568"/>
      <c r="X501" s="568"/>
      <c r="Y501" s="568"/>
      <c r="Z501" s="568"/>
    </row>
    <row r="502" spans="1:26" ht="19.5" hidden="1">
      <c r="A502" s="563"/>
      <c r="B502" s="723"/>
      <c r="C502" s="723" t="s">
        <v>16</v>
      </c>
      <c r="D502" s="812" t="s">
        <v>17</v>
      </c>
      <c r="E502" s="805"/>
      <c r="F502" s="805"/>
      <c r="G502" s="567"/>
      <c r="H502" s="612" t="s">
        <v>12</v>
      </c>
      <c r="I502" s="583"/>
      <c r="J502" s="583"/>
      <c r="K502" s="93"/>
      <c r="L502" s="613">
        <f t="shared" ref="L502:N502" si="215">L503+L504</f>
        <v>0</v>
      </c>
      <c r="M502" s="613">
        <f t="shared" si="215"/>
        <v>0</v>
      </c>
      <c r="N502" s="613">
        <f t="shared" si="215"/>
        <v>0</v>
      </c>
      <c r="O502" s="613">
        <f t="shared" ref="O502:O507" si="216">IF(L502&gt;0,N502*100/L502,0)</f>
        <v>0</v>
      </c>
      <c r="P502" s="613">
        <f t="shared" ref="P502:P507" si="217">IF(M502&gt;0,N502*100/M502,0)</f>
        <v>0</v>
      </c>
      <c r="Q502" s="568"/>
      <c r="R502" s="568"/>
      <c r="S502" s="568"/>
      <c r="T502" s="568"/>
      <c r="U502" s="568"/>
      <c r="V502" s="568"/>
      <c r="W502" s="568"/>
      <c r="X502" s="568"/>
      <c r="Y502" s="568"/>
      <c r="Z502" s="568"/>
    </row>
    <row r="503" spans="1:26" ht="18.75" hidden="1">
      <c r="A503" s="563"/>
      <c r="B503" s="723"/>
      <c r="C503" s="723"/>
      <c r="D503" s="684"/>
      <c r="E503" s="723" t="s">
        <v>184</v>
      </c>
      <c r="F503" s="723"/>
      <c r="G503" s="567"/>
      <c r="H503" s="165" t="s">
        <v>12</v>
      </c>
      <c r="I503" s="583"/>
      <c r="J503" s="583"/>
      <c r="K503" s="93"/>
      <c r="L503" s="93">
        <f t="shared" ref="L503:N504" si="218">L506+L513</f>
        <v>0</v>
      </c>
      <c r="M503" s="93">
        <f t="shared" si="218"/>
        <v>0</v>
      </c>
      <c r="N503" s="93">
        <f t="shared" si="218"/>
        <v>0</v>
      </c>
      <c r="O503" s="93">
        <f t="shared" si="216"/>
        <v>0</v>
      </c>
      <c r="P503" s="93">
        <f t="shared" si="217"/>
        <v>0</v>
      </c>
      <c r="Q503" s="568"/>
      <c r="R503" s="568"/>
      <c r="S503" s="568"/>
      <c r="T503" s="568"/>
      <c r="U503" s="568"/>
      <c r="V503" s="568"/>
      <c r="W503" s="568"/>
      <c r="X503" s="568"/>
      <c r="Y503" s="568"/>
      <c r="Z503" s="568"/>
    </row>
    <row r="504" spans="1:26" ht="18.75" hidden="1">
      <c r="A504" s="563"/>
      <c r="B504" s="571"/>
      <c r="C504" s="723"/>
      <c r="D504" s="684"/>
      <c r="E504" s="723" t="s">
        <v>185</v>
      </c>
      <c r="F504" s="723"/>
      <c r="G504" s="567"/>
      <c r="H504" s="165" t="s">
        <v>12</v>
      </c>
      <c r="I504" s="583"/>
      <c r="J504" s="583"/>
      <c r="K504" s="93"/>
      <c r="L504" s="93">
        <f t="shared" si="218"/>
        <v>0</v>
      </c>
      <c r="M504" s="93">
        <f t="shared" si="218"/>
        <v>0</v>
      </c>
      <c r="N504" s="93">
        <f t="shared" si="218"/>
        <v>0</v>
      </c>
      <c r="O504" s="93">
        <f t="shared" si="216"/>
        <v>0</v>
      </c>
      <c r="P504" s="93">
        <f t="shared" si="217"/>
        <v>0</v>
      </c>
      <c r="Q504" s="568"/>
      <c r="R504" s="568"/>
      <c r="S504" s="568"/>
      <c r="T504" s="568"/>
      <c r="U504" s="568"/>
      <c r="V504" s="568"/>
      <c r="W504" s="568"/>
      <c r="X504" s="568"/>
      <c r="Y504" s="568"/>
      <c r="Z504" s="568"/>
    </row>
    <row r="505" spans="1:26" ht="18.75" hidden="1">
      <c r="A505" s="563"/>
      <c r="B505" s="571"/>
      <c r="C505" s="723"/>
      <c r="D505" s="614" t="s">
        <v>20</v>
      </c>
      <c r="E505" s="723"/>
      <c r="F505" s="723"/>
      <c r="G505" s="567"/>
      <c r="H505" s="165" t="s">
        <v>12</v>
      </c>
      <c r="I505" s="166"/>
      <c r="J505" s="166"/>
      <c r="K505" s="167"/>
      <c r="L505" s="93">
        <f t="shared" ref="L505:N505" si="219">L506+L507</f>
        <v>0</v>
      </c>
      <c r="M505" s="93">
        <f t="shared" si="219"/>
        <v>0</v>
      </c>
      <c r="N505" s="93">
        <f t="shared" si="219"/>
        <v>0</v>
      </c>
      <c r="O505" s="93">
        <f t="shared" si="216"/>
        <v>0</v>
      </c>
      <c r="P505" s="93">
        <f t="shared" si="217"/>
        <v>0</v>
      </c>
      <c r="Q505" s="568"/>
      <c r="R505" s="568"/>
      <c r="S505" s="568"/>
      <c r="T505" s="568"/>
      <c r="U505" s="568"/>
      <c r="V505" s="568"/>
      <c r="W505" s="568"/>
      <c r="X505" s="568"/>
      <c r="Y505" s="568"/>
      <c r="Z505" s="568"/>
    </row>
    <row r="506" spans="1:26" ht="18.75" hidden="1">
      <c r="A506" s="563"/>
      <c r="B506" s="571"/>
      <c r="C506" s="723"/>
      <c r="D506" s="684"/>
      <c r="E506" s="723" t="s">
        <v>184</v>
      </c>
      <c r="F506" s="723"/>
      <c r="G506" s="567"/>
      <c r="H506" s="165" t="s">
        <v>12</v>
      </c>
      <c r="I506" s="583"/>
      <c r="J506" s="583"/>
      <c r="K506" s="93"/>
      <c r="L506" s="93">
        <v>0</v>
      </c>
      <c r="M506" s="93">
        <v>0</v>
      </c>
      <c r="N506" s="93">
        <v>0</v>
      </c>
      <c r="O506" s="93">
        <f t="shared" si="216"/>
        <v>0</v>
      </c>
      <c r="P506" s="93">
        <f t="shared" si="217"/>
        <v>0</v>
      </c>
      <c r="Q506" s="568"/>
      <c r="R506" s="568"/>
      <c r="S506" s="568"/>
      <c r="T506" s="568"/>
      <c r="U506" s="568"/>
      <c r="V506" s="568"/>
      <c r="W506" s="568"/>
      <c r="X506" s="568"/>
      <c r="Y506" s="568"/>
      <c r="Z506" s="568"/>
    </row>
    <row r="507" spans="1:26" ht="18.75" hidden="1">
      <c r="A507" s="563"/>
      <c r="B507" s="571"/>
      <c r="C507" s="723"/>
      <c r="D507" s="684"/>
      <c r="E507" s="723" t="s">
        <v>185</v>
      </c>
      <c r="F507" s="723"/>
      <c r="G507" s="567"/>
      <c r="H507" s="165" t="s">
        <v>12</v>
      </c>
      <c r="I507" s="583"/>
      <c r="J507" s="583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6"/>
        <v>0</v>
      </c>
      <c r="P507" s="93">
        <f t="shared" si="217"/>
        <v>0</v>
      </c>
      <c r="Q507" s="568"/>
      <c r="R507" s="568"/>
      <c r="S507" s="568"/>
      <c r="T507" s="568"/>
      <c r="U507" s="568"/>
      <c r="V507" s="568"/>
      <c r="W507" s="568"/>
      <c r="X507" s="568"/>
      <c r="Y507" s="568"/>
      <c r="Z507" s="568"/>
    </row>
    <row r="508" spans="1:26" ht="18.75" hidden="1">
      <c r="A508" s="615"/>
      <c r="B508" s="571"/>
      <c r="C508" s="723"/>
      <c r="D508" s="723"/>
      <c r="E508" s="723"/>
      <c r="F508" s="723" t="s">
        <v>186</v>
      </c>
      <c r="G508" s="567"/>
      <c r="H508" s="165" t="s">
        <v>12</v>
      </c>
      <c r="I508" s="583"/>
      <c r="J508" s="583"/>
      <c r="K508" s="93"/>
      <c r="L508" s="93"/>
      <c r="M508" s="93"/>
      <c r="N508" s="93">
        <v>0</v>
      </c>
      <c r="O508" s="93"/>
      <c r="P508" s="93"/>
      <c r="Q508" s="568"/>
      <c r="R508" s="568"/>
      <c r="S508" s="568"/>
      <c r="T508" s="568"/>
      <c r="U508" s="568"/>
      <c r="V508" s="568"/>
      <c r="W508" s="568"/>
      <c r="X508" s="568"/>
      <c r="Y508" s="568"/>
      <c r="Z508" s="568"/>
    </row>
    <row r="509" spans="1:26" ht="18.75" hidden="1">
      <c r="A509" s="615"/>
      <c r="B509" s="571"/>
      <c r="C509" s="723"/>
      <c r="D509" s="723"/>
      <c r="E509" s="723"/>
      <c r="F509" s="723" t="s">
        <v>187</v>
      </c>
      <c r="G509" s="567"/>
      <c r="H509" s="165" t="s">
        <v>12</v>
      </c>
      <c r="I509" s="583"/>
      <c r="J509" s="583"/>
      <c r="K509" s="93"/>
      <c r="L509" s="93"/>
      <c r="M509" s="93"/>
      <c r="N509" s="93">
        <v>0</v>
      </c>
      <c r="O509" s="93"/>
      <c r="P509" s="93"/>
      <c r="Q509" s="568"/>
      <c r="R509" s="568"/>
      <c r="S509" s="568"/>
      <c r="T509" s="568"/>
      <c r="U509" s="568"/>
      <c r="V509" s="568"/>
      <c r="W509" s="568"/>
      <c r="X509" s="568"/>
      <c r="Y509" s="568"/>
      <c r="Z509" s="568"/>
    </row>
    <row r="510" spans="1:26" ht="18.75" hidden="1">
      <c r="A510" s="615"/>
      <c r="B510" s="571"/>
      <c r="C510" s="571"/>
      <c r="D510" s="571"/>
      <c r="E510" s="723"/>
      <c r="F510" s="723" t="s">
        <v>188</v>
      </c>
      <c r="G510" s="567"/>
      <c r="H510" s="165" t="s">
        <v>12</v>
      </c>
      <c r="I510" s="583"/>
      <c r="J510" s="583"/>
      <c r="K510" s="93"/>
      <c r="L510" s="93"/>
      <c r="M510" s="93"/>
      <c r="N510" s="93">
        <v>0</v>
      </c>
      <c r="O510" s="93"/>
      <c r="P510" s="93"/>
      <c r="Q510" s="568"/>
      <c r="R510" s="568"/>
      <c r="S510" s="568"/>
      <c r="T510" s="568"/>
      <c r="U510" s="568"/>
      <c r="V510" s="568"/>
      <c r="W510" s="568"/>
      <c r="X510" s="568"/>
      <c r="Y510" s="568"/>
      <c r="Z510" s="568"/>
    </row>
    <row r="511" spans="1:26" ht="18.75" hidden="1">
      <c r="A511" s="615"/>
      <c r="B511" s="571"/>
      <c r="C511" s="571"/>
      <c r="D511" s="571"/>
      <c r="E511" s="723"/>
      <c r="F511" s="723" t="s">
        <v>189</v>
      </c>
      <c r="G511" s="567"/>
      <c r="H511" s="165" t="s">
        <v>12</v>
      </c>
      <c r="I511" s="583"/>
      <c r="J511" s="583"/>
      <c r="K511" s="93"/>
      <c r="L511" s="93"/>
      <c r="M511" s="93"/>
      <c r="N511" s="93">
        <v>0</v>
      </c>
      <c r="O511" s="93"/>
      <c r="P511" s="93"/>
      <c r="Q511" s="568"/>
      <c r="R511" s="568"/>
      <c r="S511" s="568"/>
      <c r="T511" s="568"/>
      <c r="U511" s="568"/>
      <c r="V511" s="568"/>
      <c r="W511" s="568"/>
      <c r="X511" s="568"/>
      <c r="Y511" s="568"/>
      <c r="Z511" s="568"/>
    </row>
    <row r="512" spans="1:26" ht="18.75" hidden="1">
      <c r="A512" s="563"/>
      <c r="B512" s="571"/>
      <c r="C512" s="571"/>
      <c r="D512" s="614" t="s">
        <v>21</v>
      </c>
      <c r="E512" s="571"/>
      <c r="F512" s="723"/>
      <c r="G512" s="567"/>
      <c r="H512" s="169" t="s">
        <v>12</v>
      </c>
      <c r="I512" s="166"/>
      <c r="J512" s="166"/>
      <c r="K512" s="167"/>
      <c r="L512" s="93">
        <f t="shared" ref="L512:N512" si="220">L513+L514</f>
        <v>0</v>
      </c>
      <c r="M512" s="93">
        <f t="shared" si="220"/>
        <v>0</v>
      </c>
      <c r="N512" s="93">
        <f t="shared" si="220"/>
        <v>0</v>
      </c>
      <c r="O512" s="93">
        <f t="shared" ref="O512:O514" si="221">IF(L512&gt;0,N512*100/L512,0)</f>
        <v>0</v>
      </c>
      <c r="P512" s="93">
        <f t="shared" ref="P512:P514" si="222">IF(M512&gt;0,N512*100/M512,0)</f>
        <v>0</v>
      </c>
      <c r="Q512" s="568"/>
      <c r="R512" s="568"/>
      <c r="S512" s="568"/>
      <c r="T512" s="568"/>
      <c r="U512" s="568"/>
      <c r="V512" s="568"/>
      <c r="W512" s="568"/>
      <c r="X512" s="568"/>
      <c r="Y512" s="568"/>
      <c r="Z512" s="568"/>
    </row>
    <row r="513" spans="1:26" ht="18.75" hidden="1">
      <c r="A513" s="563"/>
      <c r="B513" s="571"/>
      <c r="C513" s="571"/>
      <c r="D513" s="571"/>
      <c r="E513" s="571" t="s">
        <v>18</v>
      </c>
      <c r="F513" s="723"/>
      <c r="G513" s="567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1"/>
        <v>0</v>
      </c>
      <c r="P513" s="93">
        <f t="shared" si="222"/>
        <v>0</v>
      </c>
      <c r="Q513" s="568"/>
      <c r="R513" s="568"/>
      <c r="S513" s="568"/>
      <c r="T513" s="568"/>
      <c r="U513" s="568"/>
      <c r="V513" s="568"/>
      <c r="W513" s="568"/>
      <c r="X513" s="568"/>
      <c r="Y513" s="568"/>
      <c r="Z513" s="568"/>
    </row>
    <row r="514" spans="1:26" ht="18.75" hidden="1">
      <c r="A514" s="563"/>
      <c r="B514" s="571"/>
      <c r="C514" s="571"/>
      <c r="D514" s="723"/>
      <c r="E514" s="571" t="s">
        <v>19</v>
      </c>
      <c r="F514" s="723"/>
      <c r="G514" s="567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1"/>
        <v>0</v>
      </c>
      <c r="P514" s="93">
        <f t="shared" si="222"/>
        <v>0</v>
      </c>
      <c r="Q514" s="568"/>
      <c r="R514" s="568"/>
      <c r="S514" s="568"/>
      <c r="T514" s="568"/>
      <c r="U514" s="568"/>
      <c r="V514" s="568"/>
      <c r="W514" s="568"/>
      <c r="X514" s="568"/>
      <c r="Y514" s="568"/>
      <c r="Z514" s="568"/>
    </row>
    <row r="515" spans="1:26" ht="19.5" hidden="1">
      <c r="A515" s="578"/>
      <c r="B515" s="580"/>
      <c r="C515" s="571" t="s">
        <v>16</v>
      </c>
      <c r="D515" s="852" t="s">
        <v>38</v>
      </c>
      <c r="E515" s="617"/>
      <c r="F515" s="617"/>
      <c r="G515" s="618"/>
      <c r="H515" s="581"/>
      <c r="I515" s="166"/>
      <c r="J515" s="166"/>
      <c r="K515" s="167"/>
      <c r="L515" s="167"/>
      <c r="M515" s="167"/>
      <c r="N515" s="167"/>
      <c r="O515" s="167"/>
      <c r="P515" s="167"/>
      <c r="Q515" s="568"/>
      <c r="R515" s="568"/>
      <c r="S515" s="568"/>
      <c r="T515" s="568"/>
      <c r="U515" s="568"/>
      <c r="V515" s="568"/>
      <c r="W515" s="568"/>
      <c r="X515" s="568"/>
      <c r="Y515" s="568"/>
      <c r="Z515" s="568"/>
    </row>
    <row r="516" spans="1:26" ht="18.75" hidden="1">
      <c r="A516" s="578"/>
      <c r="B516" s="580"/>
      <c r="C516" s="580"/>
      <c r="D516" s="580" t="s">
        <v>221</v>
      </c>
      <c r="E516" s="684"/>
      <c r="F516" s="684"/>
      <c r="G516" s="581"/>
      <c r="H516" s="619" t="s">
        <v>109</v>
      </c>
      <c r="I516" s="583"/>
      <c r="J516" s="583">
        <v>0</v>
      </c>
      <c r="K516" s="167">
        <f t="shared" ref="K516:K517" si="223">IF(I516&gt;0,J516*100/I516,0)</f>
        <v>0</v>
      </c>
      <c r="L516" s="167"/>
      <c r="M516" s="167"/>
      <c r="N516" s="167"/>
      <c r="O516" s="167"/>
      <c r="P516" s="167"/>
      <c r="Q516" s="568"/>
      <c r="R516" s="568"/>
      <c r="S516" s="568"/>
      <c r="T516" s="568"/>
      <c r="U516" s="568"/>
      <c r="V516" s="568"/>
      <c r="W516" s="568"/>
      <c r="X516" s="568"/>
      <c r="Y516" s="568"/>
      <c r="Z516" s="568"/>
    </row>
    <row r="517" spans="1:26" ht="19.5" hidden="1">
      <c r="A517" s="578"/>
      <c r="B517" s="580"/>
      <c r="C517" s="580"/>
      <c r="D517" s="580" t="s">
        <v>222</v>
      </c>
      <c r="E517" s="684"/>
      <c r="F517" s="684"/>
      <c r="G517" s="581"/>
      <c r="H517" s="620" t="s">
        <v>35</v>
      </c>
      <c r="I517" s="621"/>
      <c r="J517" s="621">
        <f>J518+J519</f>
        <v>0</v>
      </c>
      <c r="K517" s="622">
        <f t="shared" si="223"/>
        <v>0</v>
      </c>
      <c r="L517" s="167"/>
      <c r="M517" s="167"/>
      <c r="N517" s="167"/>
      <c r="O517" s="167"/>
      <c r="P517" s="167"/>
      <c r="Q517" s="568"/>
      <c r="R517" s="568"/>
      <c r="S517" s="568"/>
      <c r="T517" s="568"/>
      <c r="U517" s="568"/>
      <c r="V517" s="568"/>
      <c r="W517" s="568"/>
      <c r="X517" s="568"/>
      <c r="Y517" s="568"/>
      <c r="Z517" s="568"/>
    </row>
    <row r="518" spans="1:26" ht="18.75" hidden="1">
      <c r="A518" s="578"/>
      <c r="B518" s="580"/>
      <c r="C518" s="580"/>
      <c r="D518" s="580"/>
      <c r="E518" s="580" t="s">
        <v>223</v>
      </c>
      <c r="F518" s="684"/>
      <c r="G518" s="581"/>
      <c r="H518" s="582" t="s">
        <v>35</v>
      </c>
      <c r="I518" s="583"/>
      <c r="J518" s="583"/>
      <c r="K518" s="167"/>
      <c r="L518" s="167"/>
      <c r="M518" s="167"/>
      <c r="N518" s="167"/>
      <c r="O518" s="167"/>
      <c r="P518" s="167"/>
      <c r="Q518" s="568"/>
      <c r="R518" s="568"/>
      <c r="S518" s="568"/>
      <c r="T518" s="568"/>
      <c r="U518" s="568"/>
      <c r="V518" s="568"/>
      <c r="W518" s="568"/>
      <c r="X518" s="568"/>
      <c r="Y518" s="568"/>
      <c r="Z518" s="568"/>
    </row>
    <row r="519" spans="1:26" ht="18.75" hidden="1">
      <c r="A519" s="578"/>
      <c r="B519" s="580"/>
      <c r="C519" s="580"/>
      <c r="D519" s="580"/>
      <c r="E519" s="580" t="s">
        <v>224</v>
      </c>
      <c r="F519" s="684"/>
      <c r="G519" s="581"/>
      <c r="H519" s="619" t="s">
        <v>35</v>
      </c>
      <c r="I519" s="583"/>
      <c r="J519" s="583"/>
      <c r="K519" s="167"/>
      <c r="L519" s="167"/>
      <c r="M519" s="167"/>
      <c r="N519" s="167"/>
      <c r="O519" s="167"/>
      <c r="P519" s="167"/>
      <c r="Q519" s="568"/>
      <c r="R519" s="568"/>
      <c r="S519" s="568"/>
      <c r="T519" s="568"/>
      <c r="U519" s="568"/>
      <c r="V519" s="568"/>
      <c r="W519" s="568"/>
      <c r="X519" s="568"/>
      <c r="Y519" s="568"/>
      <c r="Z519" s="568"/>
    </row>
    <row r="520" spans="1:26" ht="19.5">
      <c r="A520" s="623" t="s">
        <v>137</v>
      </c>
      <c r="B520" s="624"/>
      <c r="C520" s="624"/>
      <c r="D520" s="625"/>
      <c r="E520" s="625"/>
      <c r="F520" s="625"/>
      <c r="G520" s="626"/>
      <c r="H520" s="627"/>
      <c r="I520" s="628"/>
      <c r="J520" s="628"/>
      <c r="K520" s="629"/>
      <c r="L520" s="629"/>
      <c r="M520" s="629"/>
      <c r="N520" s="629"/>
      <c r="O520" s="629"/>
      <c r="P520" s="629"/>
    </row>
    <row r="521" spans="1:26" ht="19.5" hidden="1">
      <c r="A521" s="630">
        <v>5</v>
      </c>
      <c r="B521" s="631" t="s">
        <v>225</v>
      </c>
      <c r="C521" s="632"/>
      <c r="D521" s="633"/>
      <c r="E521" s="633"/>
      <c r="F521" s="633"/>
      <c r="G521" s="633"/>
      <c r="H521" s="634"/>
      <c r="I521" s="635"/>
      <c r="J521" s="635"/>
      <c r="K521" s="636"/>
      <c r="L521" s="636"/>
      <c r="M521" s="636"/>
      <c r="N521" s="636"/>
      <c r="O521" s="636"/>
      <c r="P521" s="636"/>
      <c r="Q521" s="541"/>
      <c r="R521" s="541"/>
      <c r="S521" s="541"/>
      <c r="T521" s="541"/>
      <c r="U521" s="541"/>
      <c r="V521" s="541"/>
      <c r="W521" s="541"/>
      <c r="X521" s="541"/>
      <c r="Y521" s="541"/>
      <c r="Z521" s="541"/>
    </row>
    <row r="522" spans="1:26" ht="19.5" hidden="1">
      <c r="A522" s="637"/>
      <c r="B522" s="638" t="s">
        <v>226</v>
      </c>
      <c r="C522" s="639"/>
      <c r="D522" s="639"/>
      <c r="E522" s="639"/>
      <c r="F522" s="639"/>
      <c r="G522" s="640"/>
      <c r="H522" s="641" t="s">
        <v>35</v>
      </c>
      <c r="I522" s="672">
        <f t="shared" ref="I522:J522" ca="1" si="224">I537</f>
        <v>0</v>
      </c>
      <c r="J522" s="672">
        <f t="shared" ca="1" si="224"/>
        <v>0</v>
      </c>
      <c r="K522" s="643">
        <f ca="1">IF(I522&gt;0,J522*100/I522,0)</f>
        <v>0</v>
      </c>
      <c r="L522" s="644"/>
      <c r="M522" s="644"/>
      <c r="N522" s="644"/>
      <c r="O522" s="644"/>
      <c r="P522" s="644"/>
      <c r="Q522" s="541"/>
      <c r="R522" s="541"/>
      <c r="S522" s="541"/>
      <c r="T522" s="541"/>
      <c r="U522" s="541"/>
      <c r="V522" s="541"/>
      <c r="W522" s="541"/>
      <c r="X522" s="541"/>
      <c r="Y522" s="541"/>
      <c r="Z522" s="541"/>
    </row>
    <row r="523" spans="1:26" ht="19.5" hidden="1">
      <c r="A523" s="561"/>
      <c r="B523" s="727"/>
      <c r="C523" s="727" t="s">
        <v>16</v>
      </c>
      <c r="D523" s="811" t="s">
        <v>17</v>
      </c>
      <c r="E523" s="805"/>
      <c r="F523" s="805"/>
      <c r="G523" s="189"/>
      <c r="H523" s="562" t="s">
        <v>12</v>
      </c>
      <c r="I523" s="269"/>
      <c r="J523" s="269"/>
      <c r="K523" s="465"/>
      <c r="L523" s="195">
        <f t="shared" ref="L523:N523" ca="1" si="225">L524+L525</f>
        <v>0</v>
      </c>
      <c r="M523" s="195">
        <f t="shared" si="225"/>
        <v>0</v>
      </c>
      <c r="N523" s="195">
        <f t="shared" si="225"/>
        <v>0</v>
      </c>
      <c r="O523" s="195">
        <f t="shared" ref="O523:O528" ca="1" si="226">IF(L523&gt;0,N523*100/L523,0)</f>
        <v>0</v>
      </c>
      <c r="P523" s="195">
        <f t="shared" ref="P523:P528" si="227">IF(M523&gt;0,N523*100/M523,0)</f>
        <v>0</v>
      </c>
      <c r="Q523" s="541"/>
      <c r="R523" s="541"/>
      <c r="S523" s="541"/>
      <c r="T523" s="541"/>
      <c r="U523" s="541"/>
      <c r="V523" s="541"/>
      <c r="W523" s="541"/>
      <c r="X523" s="541"/>
      <c r="Y523" s="541"/>
      <c r="Z523" s="541"/>
    </row>
    <row r="524" spans="1:26" ht="18.75" hidden="1">
      <c r="A524" s="563"/>
      <c r="B524" s="723"/>
      <c r="C524" s="723"/>
      <c r="D524" s="684"/>
      <c r="E524" s="723" t="s">
        <v>184</v>
      </c>
      <c r="F524" s="723"/>
      <c r="G524" s="567"/>
      <c r="H524" s="165" t="s">
        <v>12</v>
      </c>
      <c r="I524" s="583"/>
      <c r="J524" s="583"/>
      <c r="K524" s="93"/>
      <c r="L524" s="93">
        <f t="shared" ref="L524:N525" si="228">L527+L534</f>
        <v>0</v>
      </c>
      <c r="M524" s="93">
        <f t="shared" si="228"/>
        <v>0</v>
      </c>
      <c r="N524" s="93">
        <f t="shared" si="228"/>
        <v>0</v>
      </c>
      <c r="O524" s="93">
        <f t="shared" si="226"/>
        <v>0</v>
      </c>
      <c r="P524" s="93">
        <f t="shared" si="227"/>
        <v>0</v>
      </c>
      <c r="Q524" s="568"/>
      <c r="R524" s="568"/>
      <c r="S524" s="568"/>
      <c r="T524" s="568"/>
      <c r="U524" s="568"/>
      <c r="V524" s="568"/>
      <c r="W524" s="568"/>
      <c r="X524" s="568"/>
      <c r="Y524" s="568"/>
      <c r="Z524" s="568"/>
    </row>
    <row r="525" spans="1:26" ht="18.75" hidden="1">
      <c r="A525" s="563"/>
      <c r="B525" s="571"/>
      <c r="C525" s="723"/>
      <c r="D525" s="684"/>
      <c r="E525" s="723" t="s">
        <v>185</v>
      </c>
      <c r="F525" s="723"/>
      <c r="G525" s="567"/>
      <c r="H525" s="165" t="s">
        <v>12</v>
      </c>
      <c r="I525" s="583"/>
      <c r="J525" s="583"/>
      <c r="K525" s="93"/>
      <c r="L525" s="93">
        <f t="shared" ca="1" si="228"/>
        <v>0</v>
      </c>
      <c r="M525" s="93">
        <f t="shared" si="228"/>
        <v>0</v>
      </c>
      <c r="N525" s="93">
        <f t="shared" si="228"/>
        <v>0</v>
      </c>
      <c r="O525" s="93">
        <f t="shared" ca="1" si="226"/>
        <v>0</v>
      </c>
      <c r="P525" s="93">
        <f t="shared" si="227"/>
        <v>0</v>
      </c>
      <c r="Q525" s="568"/>
      <c r="R525" s="568"/>
      <c r="S525" s="568"/>
      <c r="T525" s="568"/>
      <c r="U525" s="568"/>
      <c r="V525" s="568"/>
      <c r="W525" s="568"/>
      <c r="X525" s="568"/>
      <c r="Y525" s="568"/>
      <c r="Z525" s="568"/>
    </row>
    <row r="526" spans="1:26" ht="18.75" hidden="1">
      <c r="A526" s="561"/>
      <c r="B526" s="538"/>
      <c r="C526" s="727"/>
      <c r="D526" s="570" t="s">
        <v>20</v>
      </c>
      <c r="E526" s="727"/>
      <c r="F526" s="727"/>
      <c r="G526" s="189"/>
      <c r="H526" s="161" t="s">
        <v>12</v>
      </c>
      <c r="I526" s="184"/>
      <c r="J526" s="184"/>
      <c r="K526" s="163"/>
      <c r="L526" s="465">
        <f t="shared" ref="L526:N526" ca="1" si="229">L527+L528</f>
        <v>0</v>
      </c>
      <c r="M526" s="465">
        <f t="shared" si="229"/>
        <v>0</v>
      </c>
      <c r="N526" s="465">
        <f t="shared" si="229"/>
        <v>0</v>
      </c>
      <c r="O526" s="465">
        <f t="shared" ca="1" si="226"/>
        <v>0</v>
      </c>
      <c r="P526" s="465">
        <f t="shared" si="227"/>
        <v>0</v>
      </c>
      <c r="Q526" s="541"/>
      <c r="R526" s="541"/>
      <c r="S526" s="541"/>
      <c r="T526" s="541"/>
      <c r="U526" s="541"/>
      <c r="V526" s="541"/>
      <c r="W526" s="541"/>
      <c r="X526" s="541"/>
      <c r="Y526" s="541"/>
      <c r="Z526" s="541"/>
    </row>
    <row r="527" spans="1:26" ht="18.75" hidden="1">
      <c r="A527" s="563"/>
      <c r="B527" s="571"/>
      <c r="C527" s="723"/>
      <c r="D527" s="684"/>
      <c r="E527" s="723" t="s">
        <v>184</v>
      </c>
      <c r="F527" s="723"/>
      <c r="G527" s="567"/>
      <c r="H527" s="165" t="s">
        <v>12</v>
      </c>
      <c r="I527" s="583"/>
      <c r="J527" s="583"/>
      <c r="K527" s="93"/>
      <c r="L527" s="93">
        <v>0</v>
      </c>
      <c r="M527" s="93">
        <v>0</v>
      </c>
      <c r="N527" s="93">
        <v>0</v>
      </c>
      <c r="O527" s="93">
        <f t="shared" si="226"/>
        <v>0</v>
      </c>
      <c r="P527" s="93">
        <f t="shared" si="227"/>
        <v>0</v>
      </c>
      <c r="Q527" s="568"/>
      <c r="R527" s="568"/>
      <c r="S527" s="568"/>
      <c r="T527" s="568"/>
      <c r="U527" s="568"/>
      <c r="V527" s="568"/>
      <c r="W527" s="568"/>
      <c r="X527" s="568"/>
      <c r="Y527" s="568"/>
      <c r="Z527" s="568"/>
    </row>
    <row r="528" spans="1:26" ht="18.75" hidden="1">
      <c r="A528" s="563"/>
      <c r="B528" s="571"/>
      <c r="C528" s="723"/>
      <c r="D528" s="684"/>
      <c r="E528" s="723" t="s">
        <v>185</v>
      </c>
      <c r="F528" s="723"/>
      <c r="G528" s="567"/>
      <c r="H528" s="165" t="s">
        <v>12</v>
      </c>
      <c r="I528" s="583"/>
      <c r="J528" s="583"/>
      <c r="K528" s="93"/>
      <c r="L528" s="93">
        <f ca="1">IFERROR(__xludf.DUMMYFUNCTION("IMPORTRANGE(""https://docs.google.com/spreadsheets/d/1QqKyyYR6Q21VydFLVH3TRQUabQu_ym0Zz7PgGX0-kHA/edit?usp=sharing"",""แผน!GQ25"")"),0)</f>
        <v>0</v>
      </c>
      <c r="M528" s="93">
        <v>0</v>
      </c>
      <c r="N528" s="93">
        <f>N529+N530+N531+N532</f>
        <v>0</v>
      </c>
      <c r="O528" s="93">
        <f t="shared" ca="1" si="226"/>
        <v>0</v>
      </c>
      <c r="P528" s="93">
        <f t="shared" si="227"/>
        <v>0</v>
      </c>
      <c r="Q528" s="568"/>
      <c r="R528" s="568"/>
      <c r="S528" s="568"/>
      <c r="T528" s="568"/>
      <c r="U528" s="568"/>
      <c r="V528" s="568"/>
      <c r="W528" s="568"/>
      <c r="X528" s="568"/>
      <c r="Y528" s="568"/>
      <c r="Z528" s="568"/>
    </row>
    <row r="529" spans="1:26" ht="18.75" hidden="1">
      <c r="A529" s="537"/>
      <c r="B529" s="538"/>
      <c r="C529" s="727"/>
      <c r="D529" s="727"/>
      <c r="E529" s="727"/>
      <c r="F529" s="727" t="s">
        <v>186</v>
      </c>
      <c r="G529" s="189"/>
      <c r="H529" s="161" t="s">
        <v>12</v>
      </c>
      <c r="I529" s="269"/>
      <c r="J529" s="269"/>
      <c r="K529" s="465"/>
      <c r="L529" s="465"/>
      <c r="M529" s="465"/>
      <c r="N529" s="789">
        <v>0</v>
      </c>
      <c r="O529" s="465"/>
      <c r="P529" s="465"/>
      <c r="Q529" s="541"/>
      <c r="R529" s="541"/>
      <c r="S529" s="541"/>
      <c r="T529" s="541"/>
      <c r="U529" s="541"/>
      <c r="V529" s="541"/>
      <c r="W529" s="541"/>
      <c r="X529" s="541"/>
      <c r="Y529" s="541"/>
      <c r="Z529" s="541"/>
    </row>
    <row r="530" spans="1:26" ht="18.75" hidden="1">
      <c r="A530" s="537"/>
      <c r="B530" s="538"/>
      <c r="C530" s="727"/>
      <c r="D530" s="727"/>
      <c r="E530" s="727"/>
      <c r="F530" s="727" t="s">
        <v>187</v>
      </c>
      <c r="G530" s="189"/>
      <c r="H530" s="161" t="s">
        <v>12</v>
      </c>
      <c r="I530" s="269"/>
      <c r="J530" s="269"/>
      <c r="K530" s="465"/>
      <c r="L530" s="465"/>
      <c r="M530" s="465"/>
      <c r="N530" s="789">
        <v>0</v>
      </c>
      <c r="O530" s="465"/>
      <c r="P530" s="465"/>
      <c r="Q530" s="541"/>
      <c r="R530" s="541"/>
      <c r="S530" s="541"/>
      <c r="T530" s="541"/>
      <c r="U530" s="541"/>
      <c r="V530" s="541"/>
      <c r="W530" s="541"/>
      <c r="X530" s="541"/>
      <c r="Y530" s="541"/>
      <c r="Z530" s="541"/>
    </row>
    <row r="531" spans="1:26" ht="18.75" hidden="1">
      <c r="A531" s="537"/>
      <c r="B531" s="538"/>
      <c r="C531" s="727"/>
      <c r="D531" s="727"/>
      <c r="E531" s="727"/>
      <c r="F531" s="727" t="s">
        <v>188</v>
      </c>
      <c r="G531" s="189"/>
      <c r="H531" s="161" t="s">
        <v>12</v>
      </c>
      <c r="I531" s="269"/>
      <c r="J531" s="269"/>
      <c r="K531" s="465"/>
      <c r="L531" s="465"/>
      <c r="M531" s="465"/>
      <c r="N531" s="789">
        <v>0</v>
      </c>
      <c r="O531" s="465"/>
      <c r="P531" s="465"/>
      <c r="Q531" s="541"/>
      <c r="R531" s="541"/>
      <c r="S531" s="541"/>
      <c r="T531" s="541"/>
      <c r="U531" s="541"/>
      <c r="V531" s="541"/>
      <c r="W531" s="541"/>
      <c r="X531" s="541"/>
      <c r="Y531" s="541"/>
      <c r="Z531" s="541"/>
    </row>
    <row r="532" spans="1:26" ht="18.75" hidden="1">
      <c r="A532" s="537"/>
      <c r="B532" s="538"/>
      <c r="C532" s="727"/>
      <c r="D532" s="727"/>
      <c r="E532" s="727"/>
      <c r="F532" s="727" t="s">
        <v>189</v>
      </c>
      <c r="G532" s="189"/>
      <c r="H532" s="161" t="s">
        <v>12</v>
      </c>
      <c r="I532" s="269"/>
      <c r="J532" s="269"/>
      <c r="K532" s="465"/>
      <c r="L532" s="465"/>
      <c r="M532" s="465"/>
      <c r="N532" s="789">
        <v>0</v>
      </c>
      <c r="O532" s="465"/>
      <c r="P532" s="465"/>
      <c r="Q532" s="541"/>
      <c r="R532" s="541"/>
      <c r="S532" s="541"/>
      <c r="T532" s="541"/>
      <c r="U532" s="541"/>
      <c r="V532" s="541"/>
      <c r="W532" s="541"/>
      <c r="X532" s="541"/>
      <c r="Y532" s="541"/>
      <c r="Z532" s="541"/>
    </row>
    <row r="533" spans="1:26" ht="18.75" hidden="1">
      <c r="A533" s="561"/>
      <c r="B533" s="538"/>
      <c r="C533" s="727"/>
      <c r="D533" s="570" t="s">
        <v>21</v>
      </c>
      <c r="E533" s="727"/>
      <c r="F533" s="727"/>
      <c r="G533" s="189"/>
      <c r="H533" s="168" t="s">
        <v>12</v>
      </c>
      <c r="I533" s="184"/>
      <c r="J533" s="184"/>
      <c r="K533" s="163"/>
      <c r="L533" s="465">
        <f t="shared" ref="L533:N533" ca="1" si="230">L534+L535</f>
        <v>0</v>
      </c>
      <c r="M533" s="465">
        <f t="shared" si="230"/>
        <v>0</v>
      </c>
      <c r="N533" s="465">
        <f t="shared" si="230"/>
        <v>0</v>
      </c>
      <c r="O533" s="465">
        <f t="shared" ref="O533:O535" ca="1" si="231">IF(L533&gt;0,N533*100/L533,0)</f>
        <v>0</v>
      </c>
      <c r="P533" s="465">
        <f t="shared" ref="P533:P535" si="232">IF(M533&gt;0,N533*100/M533,0)</f>
        <v>0</v>
      </c>
      <c r="Q533" s="541"/>
      <c r="R533" s="541"/>
      <c r="S533" s="541"/>
      <c r="T533" s="541"/>
      <c r="U533" s="541"/>
      <c r="V533" s="541"/>
      <c r="W533" s="541"/>
      <c r="X533" s="541"/>
      <c r="Y533" s="541"/>
      <c r="Z533" s="541"/>
    </row>
    <row r="534" spans="1:26" ht="18.75" hidden="1">
      <c r="A534" s="563"/>
      <c r="B534" s="571"/>
      <c r="C534" s="723"/>
      <c r="D534" s="723"/>
      <c r="E534" s="723" t="s">
        <v>18</v>
      </c>
      <c r="F534" s="723"/>
      <c r="G534" s="567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1"/>
        <v>0</v>
      </c>
      <c r="P534" s="93">
        <f t="shared" si="232"/>
        <v>0</v>
      </c>
      <c r="Q534" s="568"/>
      <c r="R534" s="568"/>
      <c r="S534" s="568"/>
      <c r="T534" s="568"/>
      <c r="U534" s="568"/>
      <c r="V534" s="568"/>
      <c r="W534" s="568"/>
      <c r="X534" s="568"/>
      <c r="Y534" s="568"/>
      <c r="Z534" s="568"/>
    </row>
    <row r="535" spans="1:26" ht="18.75" hidden="1">
      <c r="A535" s="563"/>
      <c r="B535" s="571"/>
      <c r="C535" s="723"/>
      <c r="D535" s="723"/>
      <c r="E535" s="723" t="s">
        <v>19</v>
      </c>
      <c r="F535" s="723"/>
      <c r="G535" s="567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IFERROR(__xludf.DUMMYFUNCTION("IMPORTRANGE(""https://docs.google.com/spreadsheets/d/1QqKyyYR6Q21VydFLVH3TRQUabQu_ym0Zz7PgGX0-kHA/edit?usp=sharing"",""แผน!GT25"")"),0)</f>
        <v>0</v>
      </c>
      <c r="M535" s="93">
        <v>0</v>
      </c>
      <c r="N535" s="93">
        <v>0</v>
      </c>
      <c r="O535" s="93">
        <f t="shared" ca="1" si="231"/>
        <v>0</v>
      </c>
      <c r="P535" s="93">
        <f t="shared" si="232"/>
        <v>0</v>
      </c>
      <c r="Q535" s="568"/>
      <c r="R535" s="568"/>
      <c r="S535" s="568"/>
      <c r="T535" s="568"/>
      <c r="U535" s="568"/>
      <c r="V535" s="568"/>
      <c r="W535" s="568"/>
      <c r="X535" s="568"/>
      <c r="Y535" s="568"/>
      <c r="Z535" s="568"/>
    </row>
    <row r="536" spans="1:26" ht="19.5" hidden="1">
      <c r="A536" s="572"/>
      <c r="B536" s="584"/>
      <c r="C536" s="727" t="s">
        <v>16</v>
      </c>
      <c r="D536" s="853" t="s">
        <v>38</v>
      </c>
      <c r="E536" s="725"/>
      <c r="F536" s="725"/>
      <c r="G536" s="577"/>
      <c r="H536" s="726"/>
      <c r="I536" s="184"/>
      <c r="J536" s="184"/>
      <c r="K536" s="163"/>
      <c r="L536" s="163"/>
      <c r="M536" s="163"/>
      <c r="N536" s="163"/>
      <c r="O536" s="163"/>
      <c r="P536" s="163"/>
      <c r="Q536" s="541"/>
      <c r="R536" s="541"/>
      <c r="S536" s="541"/>
      <c r="T536" s="541"/>
      <c r="U536" s="541"/>
      <c r="V536" s="541"/>
      <c r="W536" s="541"/>
      <c r="X536" s="541"/>
      <c r="Y536" s="541"/>
      <c r="Z536" s="541"/>
    </row>
    <row r="537" spans="1:26" ht="19.5" hidden="1">
      <c r="A537" s="537"/>
      <c r="B537" s="538"/>
      <c r="C537" s="727"/>
      <c r="D537" s="727" t="s">
        <v>227</v>
      </c>
      <c r="E537" s="727"/>
      <c r="F537" s="727"/>
      <c r="G537" s="189"/>
      <c r="H537" s="589" t="s">
        <v>35</v>
      </c>
      <c r="I537" s="647">
        <f ca="1">IFERROR(__xludf.DUMMYFUNCTION("IMPORTRANGE(""https://docs.google.com/spreadsheets/d/1QqKyyYR6Q21VydFLVH3TRQUabQu_ym0Zz7PgGX0-kHA/edit?usp=sharing"",""แผน!GU25"")"),0)</f>
        <v>0</v>
      </c>
      <c r="J537" s="647">
        <f ca="1">IF(AND(J538=I538,J539=I539,J540=I540,J541=I541),I537,0)</f>
        <v>0</v>
      </c>
      <c r="K537" s="465">
        <f t="shared" ref="K537:K543" ca="1" si="233">IF(I537&gt;0,J537*100/I537,0)</f>
        <v>0</v>
      </c>
      <c r="L537" s="465"/>
      <c r="M537" s="465"/>
      <c r="N537" s="465"/>
      <c r="O537" s="465"/>
      <c r="P537" s="465"/>
      <c r="Q537" s="648"/>
      <c r="R537" s="648"/>
      <c r="S537" s="648"/>
      <c r="T537" s="648"/>
      <c r="U537" s="648"/>
      <c r="V537" s="648"/>
      <c r="W537" s="648"/>
      <c r="X537" s="648"/>
      <c r="Y537" s="648"/>
      <c r="Z537" s="648"/>
    </row>
    <row r="538" spans="1:26" ht="18.75" hidden="1">
      <c r="A538" s="537"/>
      <c r="B538" s="538"/>
      <c r="C538" s="727"/>
      <c r="D538" s="727"/>
      <c r="E538" s="727" t="s">
        <v>228</v>
      </c>
      <c r="F538" s="727"/>
      <c r="G538" s="189"/>
      <c r="H538" s="589" t="s">
        <v>35</v>
      </c>
      <c r="I538" s="269">
        <f ca="1">IFERROR(__xludf.DUMMYFUNCTION("IMPORTRANGE(""https://docs.google.com/spreadsheets/d/1QqKyyYR6Q21VydFLVH3TRQUabQu_ym0Zz7PgGX0-kHA/edit?usp=sharing"",""แผน!GV25"")"),0)</f>
        <v>0</v>
      </c>
      <c r="J538" s="214">
        <v>0</v>
      </c>
      <c r="K538" s="465">
        <f t="shared" ca="1" si="233"/>
        <v>0</v>
      </c>
      <c r="L538" s="465"/>
      <c r="M538" s="465"/>
      <c r="N538" s="465"/>
      <c r="O538" s="465"/>
      <c r="P538" s="465"/>
      <c r="Q538" s="648"/>
      <c r="R538" s="648"/>
      <c r="S538" s="648"/>
      <c r="T538" s="648"/>
      <c r="U538" s="648"/>
      <c r="V538" s="648"/>
      <c r="W538" s="648"/>
      <c r="X538" s="648"/>
      <c r="Y538" s="648"/>
      <c r="Z538" s="648"/>
    </row>
    <row r="539" spans="1:26" ht="18.75" hidden="1">
      <c r="A539" s="537"/>
      <c r="B539" s="538"/>
      <c r="C539" s="727"/>
      <c r="D539" s="727"/>
      <c r="E539" s="727" t="s">
        <v>229</v>
      </c>
      <c r="F539" s="727"/>
      <c r="G539" s="189"/>
      <c r="H539" s="589" t="s">
        <v>35</v>
      </c>
      <c r="I539" s="269">
        <f ca="1">IFERROR(__xludf.DUMMYFUNCTION("IMPORTRANGE(""https://docs.google.com/spreadsheets/d/1QqKyyYR6Q21VydFLVH3TRQUabQu_ym0Zz7PgGX0-kHA/edit?usp=sharing"",""แผน!GW25"")"),0)</f>
        <v>0</v>
      </c>
      <c r="J539" s="214">
        <v>0</v>
      </c>
      <c r="K539" s="465">
        <f t="shared" ca="1" si="233"/>
        <v>0</v>
      </c>
      <c r="L539" s="465"/>
      <c r="M539" s="465"/>
      <c r="N539" s="465"/>
      <c r="O539" s="465"/>
      <c r="P539" s="465"/>
      <c r="Q539" s="648"/>
      <c r="R539" s="648"/>
      <c r="S539" s="648"/>
      <c r="T539" s="648"/>
      <c r="U539" s="648"/>
      <c r="V539" s="648"/>
      <c r="W539" s="648"/>
      <c r="X539" s="648"/>
      <c r="Y539" s="648"/>
      <c r="Z539" s="648"/>
    </row>
    <row r="540" spans="1:26" ht="18.75" hidden="1">
      <c r="A540" s="537"/>
      <c r="B540" s="538"/>
      <c r="C540" s="727"/>
      <c r="D540" s="727"/>
      <c r="E540" s="727" t="s">
        <v>230</v>
      </c>
      <c r="F540" s="727"/>
      <c r="G540" s="189"/>
      <c r="H540" s="589" t="s">
        <v>35</v>
      </c>
      <c r="I540" s="269">
        <f ca="1">IFERROR(__xludf.DUMMYFUNCTION("IMPORTRANGE(""https://docs.google.com/spreadsheets/d/1QqKyyYR6Q21VydFLVH3TRQUabQu_ym0Zz7PgGX0-kHA/edit?usp=sharing"",""แผน!GX25"")"),0)</f>
        <v>0</v>
      </c>
      <c r="J540" s="214">
        <v>0</v>
      </c>
      <c r="K540" s="465">
        <f t="shared" ca="1" si="233"/>
        <v>0</v>
      </c>
      <c r="L540" s="465"/>
      <c r="M540" s="465"/>
      <c r="N540" s="465"/>
      <c r="O540" s="465"/>
      <c r="P540" s="465"/>
      <c r="Q540" s="648"/>
      <c r="R540" s="648"/>
      <c r="S540" s="648"/>
      <c r="T540" s="648"/>
      <c r="U540" s="648"/>
      <c r="V540" s="648"/>
      <c r="W540" s="648"/>
      <c r="X540" s="648"/>
      <c r="Y540" s="648"/>
      <c r="Z540" s="648"/>
    </row>
    <row r="541" spans="1:26" ht="18.75" hidden="1">
      <c r="A541" s="537"/>
      <c r="B541" s="538"/>
      <c r="C541" s="727"/>
      <c r="D541" s="727"/>
      <c r="E541" s="733" t="s">
        <v>231</v>
      </c>
      <c r="F541" s="727"/>
      <c r="G541" s="189"/>
      <c r="H541" s="589" t="s">
        <v>35</v>
      </c>
      <c r="I541" s="269">
        <f ca="1">IFERROR(__xludf.DUMMYFUNCTION("IMPORTRANGE(""https://docs.google.com/spreadsheets/d/1QqKyyYR6Q21VydFLVH3TRQUabQu_ym0Zz7PgGX0-kHA/edit?usp=sharing"",""แผน!GY25"")"),0)</f>
        <v>0</v>
      </c>
      <c r="J541" s="214">
        <v>0</v>
      </c>
      <c r="K541" s="465">
        <f t="shared" ca="1" si="233"/>
        <v>0</v>
      </c>
      <c r="L541" s="465"/>
      <c r="M541" s="465"/>
      <c r="N541" s="465"/>
      <c r="O541" s="465"/>
      <c r="P541" s="465"/>
      <c r="Q541" s="648"/>
      <c r="R541" s="648"/>
      <c r="S541" s="648"/>
      <c r="T541" s="648"/>
      <c r="U541" s="648"/>
      <c r="V541" s="648"/>
      <c r="W541" s="648"/>
      <c r="X541" s="648"/>
      <c r="Y541" s="648"/>
      <c r="Z541" s="648"/>
    </row>
    <row r="542" spans="1:26" ht="18.75" hidden="1">
      <c r="A542" s="537"/>
      <c r="B542" s="538"/>
      <c r="C542" s="727"/>
      <c r="D542" s="727" t="s">
        <v>59</v>
      </c>
      <c r="E542" s="727"/>
      <c r="F542" s="727"/>
      <c r="G542" s="189"/>
      <c r="H542" s="589" t="s">
        <v>35</v>
      </c>
      <c r="I542" s="269">
        <f ca="1">IFERROR(__xludf.DUMMYFUNCTION("IMPORTRANGE(""https://docs.google.com/spreadsheets/d/1QqKyyYR6Q21VydFLVH3TRQUabQu_ym0Zz7PgGX0-kHA/edit?usp=sharing"",""แผน!GZ25"")"),0)</f>
        <v>0</v>
      </c>
      <c r="J542" s="214">
        <v>0</v>
      </c>
      <c r="K542" s="465">
        <f t="shared" ca="1" si="233"/>
        <v>0</v>
      </c>
      <c r="L542" s="465"/>
      <c r="M542" s="465"/>
      <c r="N542" s="465"/>
      <c r="O542" s="465"/>
      <c r="P542" s="465"/>
      <c r="Q542" s="648"/>
      <c r="R542" s="648"/>
      <c r="S542" s="648"/>
      <c r="T542" s="648"/>
      <c r="U542" s="648"/>
      <c r="V542" s="648"/>
      <c r="W542" s="648"/>
      <c r="X542" s="648"/>
      <c r="Y542" s="648"/>
      <c r="Z542" s="648"/>
    </row>
    <row r="543" spans="1:26" ht="19.5">
      <c r="A543" s="630">
        <v>6</v>
      </c>
      <c r="B543" s="651" t="s">
        <v>232</v>
      </c>
      <c r="C543" s="633"/>
      <c r="D543" s="633"/>
      <c r="E543" s="633"/>
      <c r="F543" s="633"/>
      <c r="G543" s="634"/>
      <c r="H543" s="652" t="s">
        <v>46</v>
      </c>
      <c r="I543" s="653">
        <f t="shared" ref="I543:J543" ca="1" si="234">I559</f>
        <v>0</v>
      </c>
      <c r="J543" s="653">
        <f t="shared" si="234"/>
        <v>0</v>
      </c>
      <c r="K543" s="654">
        <f t="shared" ca="1" si="233"/>
        <v>0</v>
      </c>
      <c r="L543" s="636"/>
      <c r="M543" s="636"/>
      <c r="N543" s="636"/>
      <c r="O543" s="636"/>
      <c r="P543" s="636"/>
      <c r="Q543" s="541"/>
      <c r="R543" s="541"/>
      <c r="S543" s="541"/>
      <c r="T543" s="541"/>
      <c r="U543" s="541"/>
      <c r="V543" s="541"/>
      <c r="W543" s="541"/>
      <c r="X543" s="541"/>
      <c r="Y543" s="541"/>
      <c r="Z543" s="541"/>
    </row>
    <row r="544" spans="1:26" ht="19.5">
      <c r="A544" s="655"/>
      <c r="B544" s="656"/>
      <c r="C544" s="656" t="s">
        <v>16</v>
      </c>
      <c r="D544" s="854" t="s">
        <v>17</v>
      </c>
      <c r="E544" s="810"/>
      <c r="F544" s="810"/>
      <c r="G544" s="657"/>
      <c r="H544" s="274" t="s">
        <v>12</v>
      </c>
      <c r="I544" s="388"/>
      <c r="J544" s="388"/>
      <c r="K544" s="154"/>
      <c r="L544" s="155">
        <f t="shared" ref="L544:N544" ca="1" si="235">L545+L546</f>
        <v>214400</v>
      </c>
      <c r="M544" s="155">
        <f t="shared" si="235"/>
        <v>0</v>
      </c>
      <c r="N544" s="155">
        <f t="shared" si="235"/>
        <v>0</v>
      </c>
      <c r="O544" s="155">
        <f t="shared" ref="O544:O549" ca="1" si="236">IF(L544&gt;0,N544*100/L544,0)</f>
        <v>0</v>
      </c>
      <c r="P544" s="155">
        <f t="shared" ref="P544:P549" si="237">IF(M544&gt;0,N544*100/M544,0)</f>
        <v>0</v>
      </c>
      <c r="Q544" s="541"/>
      <c r="R544" s="541"/>
      <c r="S544" s="541"/>
      <c r="T544" s="541"/>
      <c r="U544" s="541"/>
      <c r="V544" s="541"/>
      <c r="W544" s="541"/>
      <c r="X544" s="541"/>
      <c r="Y544" s="541"/>
      <c r="Z544" s="541"/>
    </row>
    <row r="545" spans="1:26" ht="18.75" hidden="1">
      <c r="A545" s="563"/>
      <c r="B545" s="723"/>
      <c r="C545" s="723"/>
      <c r="D545" s="723"/>
      <c r="E545" s="723" t="s">
        <v>184</v>
      </c>
      <c r="F545" s="723"/>
      <c r="G545" s="567"/>
      <c r="H545" s="165" t="s">
        <v>12</v>
      </c>
      <c r="I545" s="583"/>
      <c r="J545" s="583"/>
      <c r="K545" s="93"/>
      <c r="L545" s="93">
        <f t="shared" ref="L545:L546" si="238">L548+L556</f>
        <v>0</v>
      </c>
      <c r="M545" s="93">
        <f t="shared" ref="M545:N546" si="239">M548+M555</f>
        <v>0</v>
      </c>
      <c r="N545" s="93">
        <f t="shared" si="239"/>
        <v>0</v>
      </c>
      <c r="O545" s="93">
        <f t="shared" si="236"/>
        <v>0</v>
      </c>
      <c r="P545" s="93">
        <f t="shared" si="237"/>
        <v>0</v>
      </c>
      <c r="Q545" s="568"/>
      <c r="R545" s="568"/>
      <c r="S545" s="568"/>
      <c r="T545" s="568"/>
      <c r="U545" s="568"/>
      <c r="V545" s="568"/>
      <c r="W545" s="568"/>
      <c r="X545" s="568"/>
      <c r="Y545" s="568"/>
      <c r="Z545" s="568"/>
    </row>
    <row r="546" spans="1:26" ht="18.75" hidden="1">
      <c r="A546" s="563"/>
      <c r="B546" s="571"/>
      <c r="C546" s="723"/>
      <c r="D546" s="723"/>
      <c r="E546" s="723" t="s">
        <v>185</v>
      </c>
      <c r="F546" s="723"/>
      <c r="G546" s="567"/>
      <c r="H546" s="165" t="s">
        <v>12</v>
      </c>
      <c r="I546" s="583"/>
      <c r="J546" s="583"/>
      <c r="K546" s="93"/>
      <c r="L546" s="93">
        <f t="shared" ca="1" si="238"/>
        <v>214400</v>
      </c>
      <c r="M546" s="93">
        <f t="shared" si="239"/>
        <v>0</v>
      </c>
      <c r="N546" s="93">
        <f t="shared" si="239"/>
        <v>0</v>
      </c>
      <c r="O546" s="93">
        <f t="shared" ca="1" si="236"/>
        <v>0</v>
      </c>
      <c r="P546" s="93">
        <f t="shared" si="237"/>
        <v>0</v>
      </c>
      <c r="Q546" s="568"/>
      <c r="R546" s="568"/>
      <c r="S546" s="568"/>
      <c r="T546" s="568"/>
      <c r="U546" s="568"/>
      <c r="V546" s="568"/>
      <c r="W546" s="568"/>
      <c r="X546" s="568"/>
      <c r="Y546" s="568"/>
      <c r="Z546" s="568"/>
    </row>
    <row r="547" spans="1:26" ht="18.75">
      <c r="A547" s="561"/>
      <c r="B547" s="538"/>
      <c r="C547" s="727"/>
      <c r="D547" s="570" t="s">
        <v>20</v>
      </c>
      <c r="E547" s="727"/>
      <c r="F547" s="727"/>
      <c r="G547" s="189"/>
      <c r="H547" s="161" t="s">
        <v>12</v>
      </c>
      <c r="I547" s="184"/>
      <c r="J547" s="184"/>
      <c r="K547" s="163"/>
      <c r="L547" s="465">
        <f t="shared" ref="L547:N547" ca="1" si="240">L548+L549</f>
        <v>214400</v>
      </c>
      <c r="M547" s="465">
        <f t="shared" si="240"/>
        <v>0</v>
      </c>
      <c r="N547" s="465">
        <f t="shared" si="240"/>
        <v>0</v>
      </c>
      <c r="O547" s="465">
        <f t="shared" ca="1" si="236"/>
        <v>0</v>
      </c>
      <c r="P547" s="465">
        <f t="shared" si="237"/>
        <v>0</v>
      </c>
      <c r="Q547" s="541"/>
      <c r="R547" s="541"/>
      <c r="S547" s="541"/>
      <c r="T547" s="541"/>
      <c r="U547" s="541"/>
      <c r="V547" s="541"/>
      <c r="W547" s="541"/>
      <c r="X547" s="541"/>
      <c r="Y547" s="541"/>
      <c r="Z547" s="541"/>
    </row>
    <row r="548" spans="1:26" ht="18.75" hidden="1">
      <c r="A548" s="563"/>
      <c r="B548" s="571"/>
      <c r="C548" s="723"/>
      <c r="D548" s="684"/>
      <c r="E548" s="723" t="s">
        <v>184</v>
      </c>
      <c r="F548" s="723"/>
      <c r="G548" s="567"/>
      <c r="H548" s="165" t="s">
        <v>12</v>
      </c>
      <c r="I548" s="583"/>
      <c r="J548" s="583"/>
      <c r="K548" s="93"/>
      <c r="L548" s="93">
        <v>0</v>
      </c>
      <c r="M548" s="93">
        <v>0</v>
      </c>
      <c r="N548" s="93">
        <v>0</v>
      </c>
      <c r="O548" s="93">
        <f t="shared" si="236"/>
        <v>0</v>
      </c>
      <c r="P548" s="93">
        <f t="shared" si="237"/>
        <v>0</v>
      </c>
      <c r="Q548" s="568"/>
      <c r="R548" s="568"/>
      <c r="S548" s="568"/>
      <c r="T548" s="568"/>
      <c r="U548" s="568"/>
      <c r="V548" s="568"/>
      <c r="W548" s="568"/>
      <c r="X548" s="568"/>
      <c r="Y548" s="568"/>
      <c r="Z548" s="568"/>
    </row>
    <row r="549" spans="1:26" ht="18.75" hidden="1">
      <c r="A549" s="563"/>
      <c r="B549" s="571"/>
      <c r="C549" s="723"/>
      <c r="D549" s="684"/>
      <c r="E549" s="723" t="s">
        <v>185</v>
      </c>
      <c r="F549" s="723"/>
      <c r="G549" s="567"/>
      <c r="H549" s="165" t="s">
        <v>12</v>
      </c>
      <c r="I549" s="583"/>
      <c r="J549" s="583"/>
      <c r="K549" s="93"/>
      <c r="L549" s="93">
        <f ca="1">IFERROR(__xludf.DUMMYFUNCTION("IMPORTRANGE(""https://docs.google.com/spreadsheets/d/1QqKyyYR6Q21VydFLVH3TRQUabQu_ym0Zz7PgGX0-kHA/edit?usp=sharing"",""แผน!HB25"")"),214400)</f>
        <v>214400</v>
      </c>
      <c r="M549" s="93">
        <v>0</v>
      </c>
      <c r="N549" s="93">
        <f>N550+N551+N552+N553+N554</f>
        <v>0</v>
      </c>
      <c r="O549" s="93">
        <f t="shared" ca="1" si="236"/>
        <v>0</v>
      </c>
      <c r="P549" s="93">
        <f t="shared" si="237"/>
        <v>0</v>
      </c>
      <c r="Q549" s="568"/>
      <c r="R549" s="568"/>
      <c r="S549" s="568"/>
      <c r="T549" s="568"/>
      <c r="U549" s="568"/>
      <c r="V549" s="568"/>
      <c r="W549" s="568"/>
      <c r="X549" s="568"/>
      <c r="Y549" s="568"/>
      <c r="Z549" s="568"/>
    </row>
    <row r="550" spans="1:26" ht="18.75">
      <c r="A550" s="537"/>
      <c r="B550" s="538"/>
      <c r="C550" s="727"/>
      <c r="D550" s="727"/>
      <c r="E550" s="727"/>
      <c r="F550" s="727" t="s">
        <v>186</v>
      </c>
      <c r="G550" s="189"/>
      <c r="H550" s="161" t="s">
        <v>12</v>
      </c>
      <c r="I550" s="269"/>
      <c r="J550" s="269"/>
      <c r="K550" s="465"/>
      <c r="L550" s="465"/>
      <c r="M550" s="465"/>
      <c r="N550" s="789">
        <v>0</v>
      </c>
      <c r="O550" s="465"/>
      <c r="P550" s="465"/>
      <c r="Q550" s="541"/>
      <c r="R550" s="541"/>
      <c r="S550" s="541"/>
      <c r="T550" s="541"/>
      <c r="U550" s="541"/>
      <c r="V550" s="541"/>
      <c r="W550" s="541"/>
      <c r="X550" s="541"/>
      <c r="Y550" s="541"/>
      <c r="Z550" s="541"/>
    </row>
    <row r="551" spans="1:26" ht="18.75">
      <c r="A551" s="537"/>
      <c r="B551" s="538"/>
      <c r="C551" s="538"/>
      <c r="D551" s="538"/>
      <c r="E551" s="727"/>
      <c r="F551" s="727" t="s">
        <v>187</v>
      </c>
      <c r="G551" s="189"/>
      <c r="H551" s="161" t="s">
        <v>12</v>
      </c>
      <c r="I551" s="269"/>
      <c r="J551" s="269"/>
      <c r="K551" s="465"/>
      <c r="L551" s="465"/>
      <c r="M551" s="465"/>
      <c r="N551" s="789">
        <v>0</v>
      </c>
      <c r="O551" s="465"/>
      <c r="P551" s="465"/>
      <c r="Q551" s="541"/>
      <c r="R551" s="541"/>
      <c r="S551" s="541"/>
      <c r="T551" s="541"/>
      <c r="U551" s="541"/>
      <c r="V551" s="541"/>
      <c r="W551" s="541"/>
      <c r="X551" s="541"/>
      <c r="Y551" s="541"/>
      <c r="Z551" s="541"/>
    </row>
    <row r="552" spans="1:26" ht="18.75">
      <c r="A552" s="537"/>
      <c r="B552" s="538"/>
      <c r="C552" s="727"/>
      <c r="D552" s="727"/>
      <c r="E552" s="727"/>
      <c r="F552" s="727" t="s">
        <v>188</v>
      </c>
      <c r="G552" s="189"/>
      <c r="H552" s="161" t="s">
        <v>12</v>
      </c>
      <c r="I552" s="269"/>
      <c r="J552" s="269"/>
      <c r="K552" s="465"/>
      <c r="L552" s="465"/>
      <c r="M552" s="465"/>
      <c r="N552" s="789">
        <v>0</v>
      </c>
      <c r="O552" s="465"/>
      <c r="P552" s="465"/>
      <c r="Q552" s="541"/>
      <c r="R552" s="541"/>
      <c r="S552" s="541"/>
      <c r="T552" s="541"/>
      <c r="U552" s="541"/>
      <c r="V552" s="541"/>
      <c r="W552" s="541"/>
      <c r="X552" s="541"/>
      <c r="Y552" s="541"/>
      <c r="Z552" s="541"/>
    </row>
    <row r="553" spans="1:26" ht="18.75">
      <c r="A553" s="537"/>
      <c r="B553" s="538"/>
      <c r="C553" s="538"/>
      <c r="D553" s="538"/>
      <c r="E553" s="727"/>
      <c r="F553" s="727" t="s">
        <v>189</v>
      </c>
      <c r="G553" s="189"/>
      <c r="H553" s="161" t="s">
        <v>12</v>
      </c>
      <c r="I553" s="269"/>
      <c r="J553" s="269"/>
      <c r="K553" s="465"/>
      <c r="L553" s="465"/>
      <c r="M553" s="465"/>
      <c r="N553" s="789">
        <v>0</v>
      </c>
      <c r="O553" s="465"/>
      <c r="P553" s="465"/>
      <c r="Q553" s="541"/>
      <c r="R553" s="541"/>
      <c r="S553" s="541"/>
      <c r="T553" s="541"/>
      <c r="U553" s="541"/>
      <c r="V553" s="541"/>
      <c r="W553" s="541"/>
      <c r="X553" s="541"/>
      <c r="Y553" s="541"/>
      <c r="Z553" s="541"/>
    </row>
    <row r="554" spans="1:26" ht="18.75">
      <c r="A554" s="537"/>
      <c r="B554" s="538"/>
      <c r="C554" s="538"/>
      <c r="D554" s="538"/>
      <c r="E554" s="727"/>
      <c r="F554" s="727" t="s">
        <v>233</v>
      </c>
      <c r="G554" s="189"/>
      <c r="H554" s="161" t="s">
        <v>12</v>
      </c>
      <c r="I554" s="269"/>
      <c r="J554" s="269"/>
      <c r="K554" s="465"/>
      <c r="L554" s="465"/>
      <c r="M554" s="465"/>
      <c r="N554" s="789">
        <v>0</v>
      </c>
      <c r="O554" s="465"/>
      <c r="P554" s="465"/>
      <c r="Q554" s="541"/>
      <c r="R554" s="541"/>
      <c r="S554" s="541"/>
      <c r="T554" s="541"/>
      <c r="U554" s="541"/>
      <c r="V554" s="541"/>
      <c r="W554" s="541"/>
      <c r="X554" s="541"/>
      <c r="Y554" s="541"/>
      <c r="Z554" s="541"/>
    </row>
    <row r="555" spans="1:26" ht="18.75">
      <c r="A555" s="561"/>
      <c r="B555" s="538"/>
      <c r="C555" s="538"/>
      <c r="D555" s="570" t="s">
        <v>21</v>
      </c>
      <c r="E555" s="727"/>
      <c r="F555" s="727"/>
      <c r="G555" s="189"/>
      <c r="H555" s="168" t="s">
        <v>12</v>
      </c>
      <c r="I555" s="184"/>
      <c r="J555" s="184"/>
      <c r="K555" s="163"/>
      <c r="L555" s="465">
        <f t="shared" ref="L555:N555" ca="1" si="241">L556+L557</f>
        <v>0</v>
      </c>
      <c r="M555" s="465">
        <f t="shared" si="241"/>
        <v>0</v>
      </c>
      <c r="N555" s="465">
        <f t="shared" si="241"/>
        <v>0</v>
      </c>
      <c r="O555" s="465">
        <f t="shared" ref="O555:O557" ca="1" si="242">IF(L555&gt;0,N555*100/L555,0)</f>
        <v>0</v>
      </c>
      <c r="P555" s="465">
        <f t="shared" ref="P555:P557" si="243">IF(M555&gt;0,N555*100/M555,0)</f>
        <v>0</v>
      </c>
      <c r="Q555" s="541"/>
      <c r="R555" s="541"/>
      <c r="S555" s="541"/>
      <c r="T555" s="541"/>
      <c r="U555" s="541"/>
      <c r="V555" s="541"/>
      <c r="W555" s="541"/>
      <c r="X555" s="541"/>
      <c r="Y555" s="541"/>
      <c r="Z555" s="541"/>
    </row>
    <row r="556" spans="1:26" ht="18.75" hidden="1">
      <c r="A556" s="563"/>
      <c r="B556" s="571"/>
      <c r="C556" s="571"/>
      <c r="D556" s="723"/>
      <c r="E556" s="723" t="s">
        <v>18</v>
      </c>
      <c r="F556" s="723"/>
      <c r="G556" s="567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2"/>
        <v>0</v>
      </c>
      <c r="P556" s="93">
        <f t="shared" si="243"/>
        <v>0</v>
      </c>
      <c r="Q556" s="568"/>
      <c r="R556" s="568"/>
      <c r="S556" s="568"/>
      <c r="T556" s="568"/>
      <c r="U556" s="568"/>
      <c r="V556" s="568"/>
      <c r="W556" s="568"/>
      <c r="X556" s="568"/>
      <c r="Y556" s="568"/>
      <c r="Z556" s="568"/>
    </row>
    <row r="557" spans="1:26" ht="18.75" hidden="1">
      <c r="A557" s="563"/>
      <c r="B557" s="571"/>
      <c r="C557" s="571"/>
      <c r="D557" s="723"/>
      <c r="E557" s="723" t="s">
        <v>19</v>
      </c>
      <c r="F557" s="723"/>
      <c r="G557" s="567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IFERROR(__xludf.DUMMYFUNCTION("IMPORTRANGE(""https://docs.google.com/spreadsheets/d/1QqKyyYR6Q21VydFLVH3TRQUabQu_ym0Zz7PgGX0-kHA/edit?usp=sharing"",""แผน!HF25"")"),0)</f>
        <v>0</v>
      </c>
      <c r="M557" s="93">
        <v>0</v>
      </c>
      <c r="N557" s="93">
        <v>0</v>
      </c>
      <c r="O557" s="93">
        <f t="shared" ca="1" si="242"/>
        <v>0</v>
      </c>
      <c r="P557" s="93">
        <f t="shared" si="243"/>
        <v>0</v>
      </c>
      <c r="Q557" s="568"/>
      <c r="R557" s="568"/>
      <c r="S557" s="568"/>
      <c r="T557" s="568"/>
      <c r="U557" s="568"/>
      <c r="V557" s="568"/>
      <c r="W557" s="568"/>
      <c r="X557" s="568"/>
      <c r="Y557" s="568"/>
      <c r="Z557" s="568"/>
    </row>
    <row r="558" spans="1:26" ht="19.5">
      <c r="A558" s="572"/>
      <c r="B558" s="584"/>
      <c r="C558" s="538" t="s">
        <v>16</v>
      </c>
      <c r="D558" s="853" t="s">
        <v>38</v>
      </c>
      <c r="E558" s="725"/>
      <c r="F558" s="725"/>
      <c r="G558" s="577"/>
      <c r="H558" s="726"/>
      <c r="I558" s="184"/>
      <c r="J558" s="184"/>
      <c r="K558" s="163"/>
      <c r="L558" s="163"/>
      <c r="M558" s="163"/>
      <c r="N558" s="163"/>
      <c r="O558" s="163"/>
      <c r="P558" s="163"/>
      <c r="Q558" s="541"/>
      <c r="R558" s="541"/>
      <c r="S558" s="541"/>
      <c r="T558" s="541"/>
      <c r="U558" s="541"/>
      <c r="V558" s="541"/>
      <c r="W558" s="541"/>
      <c r="X558" s="541"/>
      <c r="Y558" s="541"/>
      <c r="Z558" s="541"/>
    </row>
    <row r="559" spans="1:26" ht="19.5" hidden="1">
      <c r="A559" s="658"/>
      <c r="B559" s="659" t="s">
        <v>234</v>
      </c>
      <c r="C559" s="660"/>
      <c r="D559" s="660"/>
      <c r="E559" s="639"/>
      <c r="F559" s="639"/>
      <c r="G559" s="640"/>
      <c r="H559" s="661" t="s">
        <v>46</v>
      </c>
      <c r="I559" s="672">
        <f t="shared" ref="I559:J559" ca="1" si="244">I576</f>
        <v>0</v>
      </c>
      <c r="J559" s="672">
        <f t="shared" si="244"/>
        <v>0</v>
      </c>
      <c r="K559" s="643">
        <f t="shared" ref="K559:K561" ca="1" si="245">IF(I559&gt;0,J559*100/I559,0)</f>
        <v>0</v>
      </c>
      <c r="L559" s="644"/>
      <c r="M559" s="644"/>
      <c r="N559" s="644"/>
      <c r="O559" s="644"/>
      <c r="P559" s="644"/>
      <c r="Q559" s="541"/>
      <c r="R559" s="541"/>
      <c r="S559" s="541"/>
      <c r="T559" s="541"/>
      <c r="U559" s="541"/>
      <c r="V559" s="541"/>
      <c r="W559" s="541"/>
      <c r="X559" s="541"/>
      <c r="Y559" s="541"/>
      <c r="Z559" s="541"/>
    </row>
    <row r="560" spans="1:26" ht="19.5" hidden="1">
      <c r="A560" s="572"/>
      <c r="B560" s="584"/>
      <c r="C560" s="591" t="s">
        <v>235</v>
      </c>
      <c r="D560" s="584"/>
      <c r="E560" s="592"/>
      <c r="F560" s="592"/>
      <c r="G560" s="726"/>
      <c r="H560" s="731" t="s">
        <v>46</v>
      </c>
      <c r="I560" s="193">
        <f ca="1">IFERROR(__xludf.DUMMYFUNCTION("IMPORTRANGE(""https://docs.google.com/spreadsheets/d/1QqKyyYR6Q21VydFLVH3TRQUabQu_ym0Zz7PgGX0-kHA/edit?usp=sharing"",""แผน!HH25"")"),0)</f>
        <v>0</v>
      </c>
      <c r="J560" s="193">
        <f t="shared" ref="J560:J561" si="246">J562+J564+J566</f>
        <v>0</v>
      </c>
      <c r="K560" s="379">
        <f t="shared" ca="1" si="245"/>
        <v>0</v>
      </c>
      <c r="L560" s="163"/>
      <c r="M560" s="163"/>
      <c r="N560" s="163"/>
      <c r="O560" s="163"/>
      <c r="P560" s="163"/>
      <c r="Q560" s="541"/>
      <c r="R560" s="541"/>
      <c r="S560" s="541"/>
      <c r="T560" s="541"/>
      <c r="U560" s="541"/>
      <c r="V560" s="541"/>
      <c r="W560" s="541"/>
      <c r="X560" s="541"/>
      <c r="Y560" s="541"/>
      <c r="Z560" s="541"/>
    </row>
    <row r="561" spans="1:26" ht="19.5" hidden="1">
      <c r="A561" s="572"/>
      <c r="B561" s="584"/>
      <c r="C561" s="584"/>
      <c r="D561" s="592"/>
      <c r="E561" s="592"/>
      <c r="F561" s="592"/>
      <c r="G561" s="726"/>
      <c r="H561" s="731" t="s">
        <v>34</v>
      </c>
      <c r="I561" s="193">
        <f ca="1">IFERROR(__xludf.DUMMYFUNCTION("IMPORTRANGE(""https://docs.google.com/spreadsheets/d/1QqKyyYR6Q21VydFLVH3TRQUabQu_ym0Zz7PgGX0-kHA/edit?usp=sharing"",""แผน!HG25"")"),0)</f>
        <v>0</v>
      </c>
      <c r="J561" s="193">
        <f t="shared" si="246"/>
        <v>0</v>
      </c>
      <c r="K561" s="379">
        <f t="shared" ca="1" si="245"/>
        <v>0</v>
      </c>
      <c r="L561" s="163"/>
      <c r="M561" s="163"/>
      <c r="N561" s="163"/>
      <c r="O561" s="163"/>
      <c r="P561" s="163"/>
      <c r="Q561" s="541"/>
      <c r="R561" s="541"/>
      <c r="S561" s="541"/>
      <c r="T561" s="541"/>
      <c r="U561" s="541"/>
      <c r="V561" s="541"/>
      <c r="W561" s="541"/>
      <c r="X561" s="541"/>
      <c r="Y561" s="541"/>
      <c r="Z561" s="541"/>
    </row>
    <row r="562" spans="1:26" ht="18.75" hidden="1">
      <c r="A562" s="572"/>
      <c r="B562" s="584"/>
      <c r="C562" s="584"/>
      <c r="D562" s="592" t="s">
        <v>236</v>
      </c>
      <c r="E562" s="592"/>
      <c r="F562" s="592"/>
      <c r="G562" s="726"/>
      <c r="H562" s="728" t="s">
        <v>46</v>
      </c>
      <c r="I562" s="184"/>
      <c r="J562" s="214">
        <v>0</v>
      </c>
      <c r="K562" s="163"/>
      <c r="L562" s="163"/>
      <c r="M562" s="163"/>
      <c r="N562" s="163"/>
      <c r="O562" s="163"/>
      <c r="P562" s="163"/>
      <c r="Q562" s="541"/>
      <c r="R562" s="541"/>
      <c r="S562" s="541"/>
      <c r="T562" s="541"/>
      <c r="U562" s="541"/>
      <c r="V562" s="541"/>
      <c r="W562" s="541"/>
      <c r="X562" s="541"/>
      <c r="Y562" s="541"/>
      <c r="Z562" s="541"/>
    </row>
    <row r="563" spans="1:26" ht="18.75" hidden="1">
      <c r="A563" s="572"/>
      <c r="B563" s="584"/>
      <c r="C563" s="584"/>
      <c r="D563" s="584"/>
      <c r="E563" s="592"/>
      <c r="F563" s="592"/>
      <c r="G563" s="726"/>
      <c r="H563" s="728" t="s">
        <v>34</v>
      </c>
      <c r="I563" s="184"/>
      <c r="J563" s="214">
        <v>0</v>
      </c>
      <c r="K563" s="163"/>
      <c r="L563" s="163"/>
      <c r="M563" s="163"/>
      <c r="N563" s="163"/>
      <c r="O563" s="163"/>
      <c r="P563" s="163"/>
      <c r="Q563" s="541"/>
      <c r="R563" s="541"/>
      <c r="S563" s="541"/>
      <c r="T563" s="541"/>
      <c r="U563" s="541"/>
      <c r="V563" s="541"/>
      <c r="W563" s="541"/>
      <c r="X563" s="541"/>
      <c r="Y563" s="541"/>
      <c r="Z563" s="541"/>
    </row>
    <row r="564" spans="1:26" ht="18.75" hidden="1">
      <c r="A564" s="572"/>
      <c r="B564" s="584"/>
      <c r="C564" s="584"/>
      <c r="D564" s="592" t="s">
        <v>237</v>
      </c>
      <c r="E564" s="592"/>
      <c r="F564" s="592"/>
      <c r="G564" s="726"/>
      <c r="H564" s="728" t="s">
        <v>46</v>
      </c>
      <c r="I564" s="184"/>
      <c r="J564" s="214">
        <v>0</v>
      </c>
      <c r="K564" s="163"/>
      <c r="L564" s="163"/>
      <c r="M564" s="163"/>
      <c r="N564" s="163"/>
      <c r="O564" s="163"/>
      <c r="P564" s="163"/>
      <c r="Q564" s="541"/>
      <c r="R564" s="541"/>
      <c r="S564" s="541"/>
      <c r="T564" s="541"/>
      <c r="U564" s="541"/>
      <c r="V564" s="541"/>
      <c r="W564" s="541"/>
      <c r="X564" s="541"/>
      <c r="Y564" s="541"/>
      <c r="Z564" s="541"/>
    </row>
    <row r="565" spans="1:26" ht="18.75" hidden="1">
      <c r="A565" s="572"/>
      <c r="B565" s="584"/>
      <c r="C565" s="584"/>
      <c r="D565" s="592"/>
      <c r="E565" s="592"/>
      <c r="F565" s="592"/>
      <c r="G565" s="726"/>
      <c r="H565" s="728" t="s">
        <v>34</v>
      </c>
      <c r="I565" s="184"/>
      <c r="J565" s="214">
        <v>0</v>
      </c>
      <c r="K565" s="163"/>
      <c r="L565" s="163"/>
      <c r="M565" s="163"/>
      <c r="N565" s="163"/>
      <c r="O565" s="163"/>
      <c r="P565" s="163"/>
      <c r="Q565" s="541"/>
      <c r="R565" s="541"/>
      <c r="S565" s="541"/>
      <c r="T565" s="541"/>
      <c r="U565" s="541"/>
      <c r="V565" s="541"/>
      <c r="W565" s="541"/>
      <c r="X565" s="541"/>
      <c r="Y565" s="541"/>
      <c r="Z565" s="541"/>
    </row>
    <row r="566" spans="1:26" ht="18.75" hidden="1">
      <c r="A566" s="572"/>
      <c r="B566" s="584"/>
      <c r="C566" s="584"/>
      <c r="D566" s="592" t="s">
        <v>238</v>
      </c>
      <c r="E566" s="592"/>
      <c r="F566" s="592"/>
      <c r="G566" s="726"/>
      <c r="H566" s="728" t="s">
        <v>46</v>
      </c>
      <c r="I566" s="184"/>
      <c r="J566" s="214">
        <v>0</v>
      </c>
      <c r="K566" s="163"/>
      <c r="L566" s="163"/>
      <c r="M566" s="163"/>
      <c r="N566" s="163"/>
      <c r="O566" s="163"/>
      <c r="P566" s="163"/>
      <c r="Q566" s="541"/>
      <c r="R566" s="541"/>
      <c r="S566" s="541"/>
      <c r="T566" s="541"/>
      <c r="U566" s="541"/>
      <c r="V566" s="541"/>
      <c r="W566" s="541"/>
      <c r="X566" s="541"/>
      <c r="Y566" s="541"/>
      <c r="Z566" s="541"/>
    </row>
    <row r="567" spans="1:26" ht="18.75" hidden="1">
      <c r="A567" s="572"/>
      <c r="B567" s="584"/>
      <c r="C567" s="584"/>
      <c r="D567" s="592"/>
      <c r="E567" s="592"/>
      <c r="F567" s="592"/>
      <c r="G567" s="726"/>
      <c r="H567" s="728" t="s">
        <v>34</v>
      </c>
      <c r="I567" s="184"/>
      <c r="J567" s="214">
        <v>0</v>
      </c>
      <c r="K567" s="163"/>
      <c r="L567" s="163"/>
      <c r="M567" s="163"/>
      <c r="N567" s="163"/>
      <c r="O567" s="163"/>
      <c r="P567" s="163"/>
      <c r="Q567" s="541"/>
      <c r="R567" s="541"/>
      <c r="S567" s="541"/>
      <c r="T567" s="541"/>
      <c r="U567" s="541"/>
      <c r="V567" s="541"/>
      <c r="W567" s="541"/>
      <c r="X567" s="541"/>
      <c r="Y567" s="541"/>
      <c r="Z567" s="541"/>
    </row>
    <row r="568" spans="1:26" ht="19.5" hidden="1">
      <c r="A568" s="572"/>
      <c r="B568" s="584"/>
      <c r="C568" s="591" t="s">
        <v>239</v>
      </c>
      <c r="D568" s="592"/>
      <c r="E568" s="592"/>
      <c r="F568" s="592"/>
      <c r="G568" s="726"/>
      <c r="H568" s="731" t="s">
        <v>46</v>
      </c>
      <c r="I568" s="193">
        <f ca="1">IFERROR(__xludf.DUMMYFUNCTION("IMPORTRANGE(""https://docs.google.com/spreadsheets/d/1QqKyyYR6Q21VydFLVH3TRQUabQu_ym0Zz7PgGX0-kHA/edit?usp=sharing"",""แผน!HH25"")"),0)</f>
        <v>0</v>
      </c>
      <c r="J568" s="647">
        <f t="shared" ref="J568:J569" si="247">J570+J572+J574</f>
        <v>0</v>
      </c>
      <c r="K568" s="379">
        <f t="shared" ref="K568:K569" ca="1" si="248">IF(I568&gt;0,J568*100/I568,0)</f>
        <v>0</v>
      </c>
      <c r="L568" s="163"/>
      <c r="M568" s="163"/>
      <c r="N568" s="163"/>
      <c r="O568" s="163"/>
      <c r="P568" s="163"/>
      <c r="Q568" s="541"/>
      <c r="R568" s="541"/>
      <c r="S568" s="541"/>
      <c r="T568" s="541"/>
      <c r="U568" s="541"/>
      <c r="V568" s="541"/>
      <c r="W568" s="541"/>
      <c r="X568" s="541"/>
      <c r="Y568" s="541"/>
      <c r="Z568" s="541"/>
    </row>
    <row r="569" spans="1:26" ht="19.5" hidden="1">
      <c r="A569" s="572"/>
      <c r="B569" s="584"/>
      <c r="C569" s="584"/>
      <c r="D569" s="584"/>
      <c r="E569" s="592"/>
      <c r="F569" s="592"/>
      <c r="G569" s="726"/>
      <c r="H569" s="731" t="s">
        <v>34</v>
      </c>
      <c r="I569" s="193">
        <f ca="1">IFERROR(__xludf.DUMMYFUNCTION("IMPORTRANGE(""https://docs.google.com/spreadsheets/d/1QqKyyYR6Q21VydFLVH3TRQUabQu_ym0Zz7PgGX0-kHA/edit?usp=sharing"",""แผน!HG25"")"),0)</f>
        <v>0</v>
      </c>
      <c r="J569" s="647">
        <f t="shared" si="247"/>
        <v>0</v>
      </c>
      <c r="K569" s="379">
        <f t="shared" ca="1" si="248"/>
        <v>0</v>
      </c>
      <c r="L569" s="163"/>
      <c r="M569" s="163"/>
      <c r="N569" s="163"/>
      <c r="O569" s="163"/>
      <c r="P569" s="163"/>
      <c r="Q569" s="541"/>
      <c r="R569" s="541"/>
      <c r="S569" s="541"/>
      <c r="T569" s="541"/>
      <c r="U569" s="541"/>
      <c r="V569" s="541"/>
      <c r="W569" s="541"/>
      <c r="X569" s="541"/>
      <c r="Y569" s="541"/>
      <c r="Z569" s="541"/>
    </row>
    <row r="570" spans="1:26" ht="18.75" hidden="1">
      <c r="A570" s="572"/>
      <c r="B570" s="584"/>
      <c r="C570" s="584"/>
      <c r="D570" s="592" t="s">
        <v>240</v>
      </c>
      <c r="E570" s="584"/>
      <c r="F570" s="592"/>
      <c r="G570" s="726"/>
      <c r="H570" s="728" t="s">
        <v>46</v>
      </c>
      <c r="I570" s="184"/>
      <c r="J570" s="214">
        <v>0</v>
      </c>
      <c r="K570" s="163"/>
      <c r="L570" s="163"/>
      <c r="M570" s="163"/>
      <c r="N570" s="163"/>
      <c r="O570" s="163"/>
      <c r="P570" s="163"/>
      <c r="Q570" s="541"/>
      <c r="R570" s="541"/>
      <c r="S570" s="541"/>
      <c r="T570" s="541"/>
      <c r="U570" s="541"/>
      <c r="V570" s="541"/>
      <c r="W570" s="541"/>
      <c r="X570" s="541"/>
      <c r="Y570" s="541"/>
      <c r="Z570" s="541"/>
    </row>
    <row r="571" spans="1:26" ht="18.75" hidden="1">
      <c r="A571" s="572"/>
      <c r="B571" s="584"/>
      <c r="C571" s="584"/>
      <c r="D571" s="584"/>
      <c r="E571" s="592"/>
      <c r="F571" s="592"/>
      <c r="G571" s="726"/>
      <c r="H571" s="728" t="s">
        <v>34</v>
      </c>
      <c r="I571" s="184"/>
      <c r="J571" s="214">
        <v>0</v>
      </c>
      <c r="K571" s="163"/>
      <c r="L571" s="163"/>
      <c r="M571" s="163"/>
      <c r="N571" s="163"/>
      <c r="O571" s="163"/>
      <c r="P571" s="163"/>
      <c r="Q571" s="541"/>
      <c r="R571" s="541"/>
      <c r="S571" s="541"/>
      <c r="T571" s="541"/>
      <c r="U571" s="541"/>
      <c r="V571" s="541"/>
      <c r="W571" s="541"/>
      <c r="X571" s="541"/>
      <c r="Y571" s="541"/>
      <c r="Z571" s="541"/>
    </row>
    <row r="572" spans="1:26" ht="18.75" hidden="1">
      <c r="A572" s="572"/>
      <c r="B572" s="584"/>
      <c r="C572" s="584"/>
      <c r="D572" s="592" t="s">
        <v>241</v>
      </c>
      <c r="E572" s="592"/>
      <c r="F572" s="592"/>
      <c r="G572" s="726"/>
      <c r="H572" s="728" t="s">
        <v>46</v>
      </c>
      <c r="I572" s="184"/>
      <c r="J572" s="214">
        <v>0</v>
      </c>
      <c r="K572" s="163"/>
      <c r="L572" s="163"/>
      <c r="M572" s="163"/>
      <c r="N572" s="163"/>
      <c r="O572" s="163"/>
      <c r="P572" s="163"/>
      <c r="Q572" s="541"/>
      <c r="R572" s="541"/>
      <c r="S572" s="541"/>
      <c r="T572" s="541"/>
      <c r="U572" s="541"/>
      <c r="V572" s="541"/>
      <c r="W572" s="541"/>
      <c r="X572" s="541"/>
      <c r="Y572" s="541"/>
      <c r="Z572" s="541"/>
    </row>
    <row r="573" spans="1:26" ht="18.75" hidden="1">
      <c r="A573" s="572"/>
      <c r="B573" s="584"/>
      <c r="C573" s="584"/>
      <c r="D573" s="592"/>
      <c r="E573" s="592"/>
      <c r="F573" s="592"/>
      <c r="G573" s="726"/>
      <c r="H573" s="728" t="s">
        <v>34</v>
      </c>
      <c r="I573" s="184"/>
      <c r="J573" s="214">
        <v>0</v>
      </c>
      <c r="K573" s="163"/>
      <c r="L573" s="163"/>
      <c r="M573" s="163"/>
      <c r="N573" s="163"/>
      <c r="O573" s="163"/>
      <c r="P573" s="163"/>
      <c r="Q573" s="541"/>
      <c r="R573" s="541"/>
      <c r="S573" s="541"/>
      <c r="T573" s="541"/>
      <c r="U573" s="541"/>
      <c r="V573" s="541"/>
      <c r="W573" s="541"/>
      <c r="X573" s="541"/>
      <c r="Y573" s="541"/>
      <c r="Z573" s="541"/>
    </row>
    <row r="574" spans="1:26" ht="18.75" hidden="1">
      <c r="A574" s="572"/>
      <c r="B574" s="584"/>
      <c r="C574" s="584"/>
      <c r="D574" s="592" t="s">
        <v>242</v>
      </c>
      <c r="E574" s="592"/>
      <c r="F574" s="592"/>
      <c r="G574" s="726"/>
      <c r="H574" s="728" t="s">
        <v>46</v>
      </c>
      <c r="I574" s="184"/>
      <c r="J574" s="214">
        <v>0</v>
      </c>
      <c r="K574" s="163"/>
      <c r="L574" s="163"/>
      <c r="M574" s="163"/>
      <c r="N574" s="163"/>
      <c r="O574" s="163"/>
      <c r="P574" s="163"/>
      <c r="Q574" s="541"/>
      <c r="R574" s="541"/>
      <c r="S574" s="541"/>
      <c r="T574" s="541"/>
      <c r="U574" s="541"/>
      <c r="V574" s="541"/>
      <c r="W574" s="541"/>
      <c r="X574" s="541"/>
      <c r="Y574" s="541"/>
      <c r="Z574" s="541"/>
    </row>
    <row r="575" spans="1:26" ht="18.75" hidden="1">
      <c r="A575" s="572"/>
      <c r="B575" s="584"/>
      <c r="C575" s="584"/>
      <c r="D575" s="584"/>
      <c r="E575" s="592"/>
      <c r="F575" s="592"/>
      <c r="G575" s="726"/>
      <c r="H575" s="728" t="s">
        <v>34</v>
      </c>
      <c r="I575" s="184"/>
      <c r="J575" s="214">
        <v>0</v>
      </c>
      <c r="K575" s="163"/>
      <c r="L575" s="163"/>
      <c r="M575" s="163"/>
      <c r="N575" s="163"/>
      <c r="O575" s="163"/>
      <c r="P575" s="163"/>
      <c r="Q575" s="541"/>
      <c r="R575" s="541"/>
      <c r="S575" s="541"/>
      <c r="T575" s="541"/>
      <c r="U575" s="541"/>
      <c r="V575" s="541"/>
      <c r="W575" s="541"/>
      <c r="X575" s="541"/>
      <c r="Y575" s="541"/>
      <c r="Z575" s="541"/>
    </row>
    <row r="576" spans="1:26" ht="19.5" hidden="1">
      <c r="A576" s="572"/>
      <c r="B576" s="584"/>
      <c r="C576" s="591" t="s">
        <v>243</v>
      </c>
      <c r="D576" s="584"/>
      <c r="E576" s="584"/>
      <c r="F576" s="592"/>
      <c r="G576" s="726"/>
      <c r="H576" s="731" t="s">
        <v>46</v>
      </c>
      <c r="I576" s="193">
        <f ca="1">IFERROR(__xludf.DUMMYFUNCTION("IMPORTRANGE(""https://docs.google.com/spreadsheets/d/1QqKyyYR6Q21VydFLVH3TRQUabQu_ym0Zz7PgGX0-kHA/edit?usp=sharing"",""แผน!HH25"")"),0)</f>
        <v>0</v>
      </c>
      <c r="J576" s="647">
        <f t="shared" ref="J576:J577" si="249">J578+J580+J582+J588+J590</f>
        <v>0</v>
      </c>
      <c r="K576" s="379">
        <f t="shared" ref="K576:K577" ca="1" si="250">IF(I576&gt;0,J576*100/I576,0)</f>
        <v>0</v>
      </c>
      <c r="L576" s="163"/>
      <c r="M576" s="163"/>
      <c r="N576" s="163"/>
      <c r="O576" s="163"/>
      <c r="P576" s="163"/>
      <c r="Q576" s="541"/>
      <c r="R576" s="541"/>
      <c r="S576" s="541"/>
      <c r="T576" s="541"/>
      <c r="U576" s="541"/>
      <c r="V576" s="541"/>
      <c r="W576" s="541"/>
      <c r="X576" s="541"/>
      <c r="Y576" s="541"/>
      <c r="Z576" s="541"/>
    </row>
    <row r="577" spans="1:26" ht="19.5" hidden="1">
      <c r="A577" s="572"/>
      <c r="B577" s="584"/>
      <c r="C577" s="584"/>
      <c r="D577" s="584"/>
      <c r="E577" s="592"/>
      <c r="F577" s="592"/>
      <c r="G577" s="726"/>
      <c r="H577" s="731" t="s">
        <v>34</v>
      </c>
      <c r="I577" s="193">
        <f ca="1">IFERROR(__xludf.DUMMYFUNCTION("IMPORTRANGE(""https://docs.google.com/spreadsheets/d/1QqKyyYR6Q21VydFLVH3TRQUabQu_ym0Zz7PgGX0-kHA/edit?usp=sharing"",""แผน!HG25"")"),0)</f>
        <v>0</v>
      </c>
      <c r="J577" s="647">
        <f t="shared" si="249"/>
        <v>0</v>
      </c>
      <c r="K577" s="379">
        <f t="shared" ca="1" si="250"/>
        <v>0</v>
      </c>
      <c r="L577" s="163"/>
      <c r="M577" s="163"/>
      <c r="N577" s="163"/>
      <c r="O577" s="163"/>
      <c r="P577" s="163"/>
      <c r="Q577" s="541"/>
      <c r="R577" s="541"/>
      <c r="S577" s="541"/>
      <c r="T577" s="541"/>
      <c r="U577" s="541"/>
      <c r="V577" s="541"/>
      <c r="W577" s="541"/>
      <c r="X577" s="541"/>
      <c r="Y577" s="541"/>
      <c r="Z577" s="541"/>
    </row>
    <row r="578" spans="1:26" ht="18.75" hidden="1">
      <c r="A578" s="572"/>
      <c r="B578" s="584"/>
      <c r="C578" s="584"/>
      <c r="D578" s="592" t="s">
        <v>244</v>
      </c>
      <c r="E578" s="592"/>
      <c r="F578" s="592"/>
      <c r="G578" s="726"/>
      <c r="H578" s="728" t="s">
        <v>46</v>
      </c>
      <c r="I578" s="184"/>
      <c r="J578" s="214">
        <v>0</v>
      </c>
      <c r="K578" s="163"/>
      <c r="L578" s="163"/>
      <c r="M578" s="163"/>
      <c r="N578" s="163"/>
      <c r="O578" s="163"/>
      <c r="P578" s="163"/>
      <c r="Q578" s="541"/>
      <c r="R578" s="541"/>
      <c r="S578" s="541"/>
      <c r="T578" s="541"/>
      <c r="U578" s="541"/>
      <c r="V578" s="541"/>
      <c r="W578" s="541"/>
      <c r="X578" s="541"/>
      <c r="Y578" s="541"/>
      <c r="Z578" s="541"/>
    </row>
    <row r="579" spans="1:26" ht="18.75" hidden="1">
      <c r="A579" s="572"/>
      <c r="B579" s="584"/>
      <c r="C579" s="584"/>
      <c r="D579" s="584"/>
      <c r="E579" s="592"/>
      <c r="F579" s="592"/>
      <c r="G579" s="726"/>
      <c r="H579" s="728" t="s">
        <v>34</v>
      </c>
      <c r="I579" s="184"/>
      <c r="J579" s="214">
        <v>0</v>
      </c>
      <c r="K579" s="163"/>
      <c r="L579" s="163"/>
      <c r="M579" s="163"/>
      <c r="N579" s="163"/>
      <c r="O579" s="163"/>
      <c r="P579" s="163"/>
      <c r="Q579" s="541"/>
      <c r="R579" s="541"/>
      <c r="S579" s="541"/>
      <c r="T579" s="541"/>
      <c r="U579" s="541"/>
      <c r="V579" s="541"/>
      <c r="W579" s="541"/>
      <c r="X579" s="541"/>
      <c r="Y579" s="541"/>
      <c r="Z579" s="541"/>
    </row>
    <row r="580" spans="1:26" ht="18.75" hidden="1">
      <c r="A580" s="572"/>
      <c r="B580" s="584"/>
      <c r="C580" s="584"/>
      <c r="D580" s="592" t="s">
        <v>245</v>
      </c>
      <c r="E580" s="592"/>
      <c r="F580" s="592"/>
      <c r="G580" s="726"/>
      <c r="H580" s="728" t="s">
        <v>46</v>
      </c>
      <c r="I580" s="184"/>
      <c r="J580" s="214">
        <v>0</v>
      </c>
      <c r="K580" s="163"/>
      <c r="L580" s="163"/>
      <c r="M580" s="163"/>
      <c r="N580" s="163"/>
      <c r="O580" s="163"/>
      <c r="P580" s="163"/>
      <c r="Q580" s="541"/>
      <c r="R580" s="541"/>
      <c r="S580" s="541"/>
      <c r="T580" s="541"/>
      <c r="U580" s="541"/>
      <c r="V580" s="541"/>
      <c r="W580" s="541"/>
      <c r="X580" s="541"/>
      <c r="Y580" s="541"/>
      <c r="Z580" s="541"/>
    </row>
    <row r="581" spans="1:26" ht="18.75" hidden="1">
      <c r="A581" s="572"/>
      <c r="B581" s="584"/>
      <c r="C581" s="584"/>
      <c r="D581" s="584"/>
      <c r="E581" s="592"/>
      <c r="F581" s="592"/>
      <c r="G581" s="726"/>
      <c r="H581" s="728" t="s">
        <v>34</v>
      </c>
      <c r="I581" s="184"/>
      <c r="J581" s="214">
        <v>0</v>
      </c>
      <c r="K581" s="163"/>
      <c r="L581" s="163"/>
      <c r="M581" s="163"/>
      <c r="N581" s="163"/>
      <c r="O581" s="163"/>
      <c r="P581" s="163"/>
      <c r="Q581" s="541"/>
      <c r="R581" s="541"/>
      <c r="S581" s="541"/>
      <c r="T581" s="541"/>
      <c r="U581" s="541"/>
      <c r="V581" s="541"/>
      <c r="W581" s="541"/>
      <c r="X581" s="541"/>
      <c r="Y581" s="541"/>
      <c r="Z581" s="541"/>
    </row>
    <row r="582" spans="1:26" ht="19.5" hidden="1">
      <c r="A582" s="572"/>
      <c r="B582" s="584"/>
      <c r="C582" s="584"/>
      <c r="D582" s="592" t="s">
        <v>246</v>
      </c>
      <c r="E582" s="592"/>
      <c r="F582" s="592"/>
      <c r="G582" s="726"/>
      <c r="H582" s="728" t="s">
        <v>46</v>
      </c>
      <c r="I582" s="184"/>
      <c r="J582" s="647">
        <f t="shared" ref="J582:J583" si="251">J584+J586</f>
        <v>0</v>
      </c>
      <c r="K582" s="379"/>
      <c r="L582" s="163"/>
      <c r="M582" s="163"/>
      <c r="N582" s="163"/>
      <c r="O582" s="163"/>
      <c r="P582" s="163"/>
      <c r="Q582" s="541"/>
      <c r="R582" s="541"/>
      <c r="S582" s="541"/>
      <c r="T582" s="541"/>
      <c r="U582" s="541"/>
      <c r="V582" s="541"/>
      <c r="W582" s="541"/>
      <c r="X582" s="541"/>
      <c r="Y582" s="541"/>
      <c r="Z582" s="541"/>
    </row>
    <row r="583" spans="1:26" ht="19.5" hidden="1">
      <c r="A583" s="572"/>
      <c r="B583" s="584"/>
      <c r="C583" s="584"/>
      <c r="D583" s="584"/>
      <c r="E583" s="592"/>
      <c r="F583" s="592"/>
      <c r="G583" s="726"/>
      <c r="H583" s="728" t="s">
        <v>34</v>
      </c>
      <c r="I583" s="184"/>
      <c r="J583" s="647">
        <f t="shared" si="251"/>
        <v>0</v>
      </c>
      <c r="K583" s="379"/>
      <c r="L583" s="163"/>
      <c r="M583" s="163"/>
      <c r="N583" s="163"/>
      <c r="O583" s="163"/>
      <c r="P583" s="163"/>
      <c r="Q583" s="541"/>
      <c r="R583" s="541"/>
      <c r="S583" s="541"/>
      <c r="T583" s="541"/>
      <c r="U583" s="541"/>
      <c r="V583" s="541"/>
      <c r="W583" s="541"/>
      <c r="X583" s="541"/>
      <c r="Y583" s="541"/>
      <c r="Z583" s="541"/>
    </row>
    <row r="584" spans="1:26" ht="18.75" hidden="1">
      <c r="A584" s="572"/>
      <c r="B584" s="584"/>
      <c r="C584" s="584"/>
      <c r="D584" s="584"/>
      <c r="E584" s="592" t="s">
        <v>247</v>
      </c>
      <c r="F584" s="592"/>
      <c r="G584" s="726"/>
      <c r="H584" s="728" t="s">
        <v>46</v>
      </c>
      <c r="I584" s="184"/>
      <c r="J584" s="214">
        <v>0</v>
      </c>
      <c r="K584" s="163"/>
      <c r="L584" s="163"/>
      <c r="M584" s="163"/>
      <c r="N584" s="163"/>
      <c r="O584" s="163"/>
      <c r="P584" s="163"/>
      <c r="Q584" s="541"/>
      <c r="R584" s="541"/>
      <c r="S584" s="541"/>
      <c r="T584" s="541"/>
      <c r="U584" s="541"/>
      <c r="V584" s="541"/>
      <c r="W584" s="541"/>
      <c r="X584" s="541"/>
      <c r="Y584" s="541"/>
      <c r="Z584" s="541"/>
    </row>
    <row r="585" spans="1:26" ht="18.75" hidden="1">
      <c r="A585" s="572"/>
      <c r="B585" s="584"/>
      <c r="C585" s="584"/>
      <c r="D585" s="584"/>
      <c r="E585" s="592"/>
      <c r="F585" s="592"/>
      <c r="G585" s="726"/>
      <c r="H585" s="728" t="s">
        <v>34</v>
      </c>
      <c r="I585" s="184"/>
      <c r="J585" s="214">
        <v>0</v>
      </c>
      <c r="K585" s="163"/>
      <c r="L585" s="163"/>
      <c r="M585" s="163"/>
      <c r="N585" s="163"/>
      <c r="O585" s="163"/>
      <c r="P585" s="163"/>
      <c r="Q585" s="541"/>
      <c r="R585" s="541"/>
      <c r="S585" s="541"/>
      <c r="T585" s="541"/>
      <c r="U585" s="541"/>
      <c r="V585" s="541"/>
      <c r="W585" s="541"/>
      <c r="X585" s="541"/>
      <c r="Y585" s="541"/>
      <c r="Z585" s="541"/>
    </row>
    <row r="586" spans="1:26" ht="18.75" hidden="1">
      <c r="A586" s="572"/>
      <c r="B586" s="584"/>
      <c r="C586" s="584"/>
      <c r="D586" s="584"/>
      <c r="E586" s="592" t="s">
        <v>248</v>
      </c>
      <c r="F586" s="592"/>
      <c r="G586" s="726"/>
      <c r="H586" s="728" t="s">
        <v>46</v>
      </c>
      <c r="I586" s="184"/>
      <c r="J586" s="214">
        <v>0</v>
      </c>
      <c r="K586" s="163"/>
      <c r="L586" s="163"/>
      <c r="M586" s="163"/>
      <c r="N586" s="163"/>
      <c r="O586" s="163"/>
      <c r="P586" s="163"/>
      <c r="Q586" s="541"/>
      <c r="R586" s="541"/>
      <c r="S586" s="541"/>
      <c r="T586" s="541"/>
      <c r="U586" s="541"/>
      <c r="V586" s="541"/>
      <c r="W586" s="541"/>
      <c r="X586" s="541"/>
      <c r="Y586" s="541"/>
      <c r="Z586" s="541"/>
    </row>
    <row r="587" spans="1:26" ht="18.75" hidden="1">
      <c r="A587" s="572"/>
      <c r="B587" s="584"/>
      <c r="C587" s="584"/>
      <c r="D587" s="584"/>
      <c r="E587" s="584"/>
      <c r="F587" s="592"/>
      <c r="G587" s="726"/>
      <c r="H587" s="728" t="s">
        <v>34</v>
      </c>
      <c r="I587" s="184"/>
      <c r="J587" s="214">
        <v>0</v>
      </c>
      <c r="K587" s="163"/>
      <c r="L587" s="163"/>
      <c r="M587" s="163"/>
      <c r="N587" s="163"/>
      <c r="O587" s="163"/>
      <c r="P587" s="163"/>
      <c r="Q587" s="541"/>
      <c r="R587" s="541"/>
      <c r="S587" s="541"/>
      <c r="T587" s="541"/>
      <c r="U587" s="541"/>
      <c r="V587" s="541"/>
      <c r="W587" s="541"/>
      <c r="X587" s="541"/>
      <c r="Y587" s="541"/>
      <c r="Z587" s="541"/>
    </row>
    <row r="588" spans="1:26" ht="18.75" hidden="1">
      <c r="A588" s="572"/>
      <c r="B588" s="584"/>
      <c r="C588" s="584"/>
      <c r="D588" s="592" t="s">
        <v>249</v>
      </c>
      <c r="E588" s="592"/>
      <c r="F588" s="592"/>
      <c r="G588" s="726"/>
      <c r="H588" s="728" t="s">
        <v>46</v>
      </c>
      <c r="I588" s="184"/>
      <c r="J588" s="214">
        <v>0</v>
      </c>
      <c r="K588" s="163"/>
      <c r="L588" s="163"/>
      <c r="M588" s="163"/>
      <c r="N588" s="163"/>
      <c r="O588" s="163"/>
      <c r="P588" s="163"/>
      <c r="Q588" s="541"/>
      <c r="R588" s="541"/>
      <c r="S588" s="541"/>
      <c r="T588" s="541"/>
      <c r="U588" s="541"/>
      <c r="V588" s="541"/>
      <c r="W588" s="541"/>
      <c r="X588" s="541"/>
      <c r="Y588" s="541"/>
      <c r="Z588" s="541"/>
    </row>
    <row r="589" spans="1:26" ht="18.75" hidden="1">
      <c r="A589" s="572"/>
      <c r="B589" s="584"/>
      <c r="C589" s="584"/>
      <c r="D589" s="584"/>
      <c r="E589" s="584"/>
      <c r="F589" s="592"/>
      <c r="G589" s="726"/>
      <c r="H589" s="728" t="s">
        <v>34</v>
      </c>
      <c r="I589" s="184"/>
      <c r="J589" s="214">
        <v>0</v>
      </c>
      <c r="K589" s="163"/>
      <c r="L589" s="163"/>
      <c r="M589" s="163"/>
      <c r="N589" s="163"/>
      <c r="O589" s="163"/>
      <c r="P589" s="163"/>
      <c r="Q589" s="541"/>
      <c r="R589" s="541"/>
      <c r="S589" s="541"/>
      <c r="T589" s="541"/>
      <c r="U589" s="541"/>
      <c r="V589" s="541"/>
      <c r="W589" s="541"/>
      <c r="X589" s="541"/>
      <c r="Y589" s="541"/>
      <c r="Z589" s="541"/>
    </row>
    <row r="590" spans="1:26" ht="18.75" hidden="1">
      <c r="A590" s="572"/>
      <c r="B590" s="584"/>
      <c r="C590" s="584"/>
      <c r="D590" s="592" t="s">
        <v>250</v>
      </c>
      <c r="E590" s="592"/>
      <c r="F590" s="592"/>
      <c r="G590" s="726"/>
      <c r="H590" s="728" t="s">
        <v>46</v>
      </c>
      <c r="I590" s="184"/>
      <c r="J590" s="214">
        <v>0</v>
      </c>
      <c r="K590" s="163"/>
      <c r="L590" s="163"/>
      <c r="M590" s="163"/>
      <c r="N590" s="163"/>
      <c r="O590" s="163"/>
      <c r="P590" s="163"/>
      <c r="Q590" s="541"/>
      <c r="R590" s="541"/>
      <c r="S590" s="541"/>
      <c r="T590" s="541"/>
      <c r="U590" s="541"/>
      <c r="V590" s="541"/>
      <c r="W590" s="541"/>
      <c r="X590" s="541"/>
      <c r="Y590" s="541"/>
      <c r="Z590" s="541"/>
    </row>
    <row r="591" spans="1:26" ht="18.75" hidden="1">
      <c r="A591" s="662"/>
      <c r="B591" s="663"/>
      <c r="C591" s="663"/>
      <c r="D591" s="663"/>
      <c r="E591" s="541"/>
      <c r="F591" s="541"/>
      <c r="G591" s="664"/>
      <c r="H591" s="665" t="s">
        <v>34</v>
      </c>
      <c r="I591" s="666"/>
      <c r="J591" s="667">
        <v>0</v>
      </c>
      <c r="K591" s="668"/>
      <c r="L591" s="668"/>
      <c r="M591" s="668"/>
      <c r="N591" s="668"/>
      <c r="O591" s="668"/>
      <c r="P591" s="668"/>
      <c r="Q591" s="541"/>
      <c r="R591" s="541"/>
      <c r="S591" s="541"/>
      <c r="T591" s="541"/>
      <c r="U591" s="541"/>
      <c r="V591" s="541"/>
      <c r="W591" s="541"/>
      <c r="X591" s="541"/>
      <c r="Y591" s="541"/>
      <c r="Z591" s="541"/>
    </row>
    <row r="592" spans="1:26" ht="19.5">
      <c r="A592" s="658"/>
      <c r="B592" s="659" t="s">
        <v>251</v>
      </c>
      <c r="C592" s="660"/>
      <c r="D592" s="660"/>
      <c r="E592" s="639"/>
      <c r="F592" s="639"/>
      <c r="G592" s="640"/>
      <c r="H592" s="661" t="s">
        <v>46</v>
      </c>
      <c r="I592" s="672">
        <f t="shared" ref="I592:J592" ca="1" si="252">I593</f>
        <v>13</v>
      </c>
      <c r="J592" s="672">
        <f t="shared" si="252"/>
        <v>0</v>
      </c>
      <c r="K592" s="643">
        <f t="shared" ref="K592:K594" ca="1" si="253">IF(I592&gt;0,J592*100/I592,0)</f>
        <v>0</v>
      </c>
      <c r="L592" s="644"/>
      <c r="M592" s="644"/>
      <c r="N592" s="644"/>
      <c r="O592" s="644"/>
      <c r="P592" s="644"/>
      <c r="Q592" s="541"/>
      <c r="R592" s="541"/>
      <c r="S592" s="541"/>
      <c r="T592" s="541"/>
      <c r="U592" s="541"/>
      <c r="V592" s="541"/>
      <c r="W592" s="541"/>
      <c r="X592" s="541"/>
      <c r="Y592" s="541"/>
      <c r="Z592" s="541"/>
    </row>
    <row r="593" spans="1:26" ht="19.5">
      <c r="A593" s="572"/>
      <c r="B593" s="584"/>
      <c r="C593" s="591" t="s">
        <v>252</v>
      </c>
      <c r="D593" s="584"/>
      <c r="E593" s="584"/>
      <c r="F593" s="592"/>
      <c r="G593" s="726"/>
      <c r="H593" s="731" t="s">
        <v>46</v>
      </c>
      <c r="I593" s="193">
        <f ca="1">IFERROR(__xludf.DUMMYFUNCTION("IMPORTRANGE(""https://docs.google.com/spreadsheets/d/1QqKyyYR6Q21VydFLVH3TRQUabQu_ym0Zz7PgGX0-kHA/edit?usp=sharing"",""แผน!HJ25"")"),13)</f>
        <v>13</v>
      </c>
      <c r="J593" s="193">
        <f t="shared" ref="J593:J594" si="254">J595+J603+J609</f>
        <v>0</v>
      </c>
      <c r="K593" s="379">
        <f t="shared" ca="1" si="253"/>
        <v>0</v>
      </c>
      <c r="L593" s="163"/>
      <c r="M593" s="163"/>
      <c r="N593" s="163"/>
      <c r="O593" s="163"/>
      <c r="P593" s="163"/>
      <c r="Q593" s="541"/>
      <c r="R593" s="541"/>
      <c r="S593" s="541"/>
      <c r="T593" s="541"/>
      <c r="U593" s="541"/>
      <c r="V593" s="541"/>
      <c r="W593" s="541"/>
      <c r="X593" s="541"/>
      <c r="Y593" s="541"/>
      <c r="Z593" s="541"/>
    </row>
    <row r="594" spans="1:26" ht="19.5">
      <c r="A594" s="572"/>
      <c r="B594" s="584"/>
      <c r="C594" s="584"/>
      <c r="D594" s="584"/>
      <c r="E594" s="592"/>
      <c r="F594" s="592"/>
      <c r="G594" s="726"/>
      <c r="H594" s="731" t="s">
        <v>34</v>
      </c>
      <c r="I594" s="193">
        <f ca="1">IFERROR(__xludf.DUMMYFUNCTION("IMPORTRANGE(""https://docs.google.com/spreadsheets/d/1QqKyyYR6Q21VydFLVH3TRQUabQu_ym0Zz7PgGX0-kHA/edit?usp=sharing"",""แผน!HI25"")"),8)</f>
        <v>8</v>
      </c>
      <c r="J594" s="193">
        <f t="shared" si="254"/>
        <v>0</v>
      </c>
      <c r="K594" s="379">
        <f t="shared" ca="1" si="253"/>
        <v>0</v>
      </c>
      <c r="L594" s="163"/>
      <c r="M594" s="163"/>
      <c r="N594" s="163"/>
      <c r="O594" s="163"/>
      <c r="P594" s="163"/>
      <c r="Q594" s="541"/>
      <c r="R594" s="541"/>
      <c r="S594" s="541"/>
      <c r="T594" s="541"/>
      <c r="U594" s="541"/>
      <c r="V594" s="541"/>
      <c r="W594" s="541"/>
      <c r="X594" s="541"/>
      <c r="Y594" s="541"/>
      <c r="Z594" s="541"/>
    </row>
    <row r="595" spans="1:26" ht="18.75">
      <c r="A595" s="572"/>
      <c r="B595" s="584"/>
      <c r="C595" s="584" t="s">
        <v>253</v>
      </c>
      <c r="D595" s="584"/>
      <c r="E595" s="584"/>
      <c r="F595" s="592"/>
      <c r="G595" s="726"/>
      <c r="H595" s="728" t="s">
        <v>46</v>
      </c>
      <c r="I595" s="184"/>
      <c r="J595" s="184">
        <f t="shared" ref="J595:J596" si="255">J597+J599</f>
        <v>0</v>
      </c>
      <c r="K595" s="163"/>
      <c r="L595" s="163"/>
      <c r="M595" s="163"/>
      <c r="N595" s="163"/>
      <c r="O595" s="163"/>
      <c r="P595" s="163"/>
      <c r="Q595" s="541"/>
      <c r="R595" s="541"/>
      <c r="S595" s="541"/>
      <c r="T595" s="541"/>
      <c r="U595" s="541"/>
      <c r="V595" s="541"/>
      <c r="W595" s="541"/>
      <c r="X595" s="541"/>
      <c r="Y595" s="541"/>
      <c r="Z595" s="541"/>
    </row>
    <row r="596" spans="1:26" ht="18.75">
      <c r="A596" s="572"/>
      <c r="B596" s="584"/>
      <c r="C596" s="584"/>
      <c r="D596" s="584"/>
      <c r="E596" s="592"/>
      <c r="F596" s="592"/>
      <c r="G596" s="726"/>
      <c r="H596" s="728" t="s">
        <v>34</v>
      </c>
      <c r="I596" s="184"/>
      <c r="J596" s="184">
        <f t="shared" si="255"/>
        <v>0</v>
      </c>
      <c r="K596" s="163"/>
      <c r="L596" s="163"/>
      <c r="M596" s="163"/>
      <c r="N596" s="163"/>
      <c r="O596" s="163"/>
      <c r="P596" s="163"/>
      <c r="Q596" s="541"/>
      <c r="R596" s="541"/>
      <c r="S596" s="541"/>
      <c r="T596" s="541"/>
      <c r="U596" s="541"/>
      <c r="V596" s="541"/>
      <c r="W596" s="541"/>
      <c r="X596" s="541"/>
      <c r="Y596" s="541"/>
      <c r="Z596" s="541"/>
    </row>
    <row r="597" spans="1:26" ht="18.75">
      <c r="A597" s="572"/>
      <c r="B597" s="584"/>
      <c r="C597" s="584"/>
      <c r="D597" s="710" t="s">
        <v>254</v>
      </c>
      <c r="E597" s="592"/>
      <c r="F597" s="592"/>
      <c r="G597" s="726"/>
      <c r="H597" s="728" t="s">
        <v>46</v>
      </c>
      <c r="I597" s="184"/>
      <c r="J597" s="214">
        <v>0</v>
      </c>
      <c r="K597" s="163"/>
      <c r="L597" s="163"/>
      <c r="M597" s="163"/>
      <c r="N597" s="163"/>
      <c r="O597" s="163"/>
      <c r="P597" s="163"/>
      <c r="Q597" s="541"/>
      <c r="R597" s="541"/>
      <c r="S597" s="541"/>
      <c r="T597" s="541"/>
      <c r="U597" s="541"/>
      <c r="V597" s="541"/>
      <c r="W597" s="541"/>
      <c r="X597" s="541"/>
      <c r="Y597" s="541"/>
      <c r="Z597" s="541"/>
    </row>
    <row r="598" spans="1:26" ht="18.75">
      <c r="A598" s="572"/>
      <c r="B598" s="584"/>
      <c r="C598" s="584"/>
      <c r="D598" s="584"/>
      <c r="E598" s="592"/>
      <c r="F598" s="592"/>
      <c r="G598" s="726"/>
      <c r="H598" s="728" t="s">
        <v>34</v>
      </c>
      <c r="I598" s="269"/>
      <c r="J598" s="214">
        <v>0</v>
      </c>
      <c r="K598" s="163"/>
      <c r="L598" s="163"/>
      <c r="M598" s="163"/>
      <c r="N598" s="163"/>
      <c r="O598" s="163"/>
      <c r="P598" s="163"/>
      <c r="Q598" s="541"/>
      <c r="R598" s="541"/>
      <c r="S598" s="541"/>
      <c r="T598" s="541"/>
      <c r="U598" s="541"/>
      <c r="V598" s="541"/>
      <c r="W598" s="541"/>
      <c r="X598" s="541"/>
      <c r="Y598" s="541"/>
      <c r="Z598" s="541"/>
    </row>
    <row r="599" spans="1:26" ht="18.75">
      <c r="A599" s="572"/>
      <c r="B599" s="584"/>
      <c r="C599" s="584"/>
      <c r="D599" s="710" t="s">
        <v>255</v>
      </c>
      <c r="E599" s="592"/>
      <c r="F599" s="592"/>
      <c r="G599" s="726"/>
      <c r="H599" s="728" t="s">
        <v>46</v>
      </c>
      <c r="I599" s="269"/>
      <c r="J599" s="214">
        <v>0</v>
      </c>
      <c r="K599" s="163"/>
      <c r="L599" s="163"/>
      <c r="M599" s="163"/>
      <c r="N599" s="163"/>
      <c r="O599" s="163"/>
      <c r="P599" s="163"/>
      <c r="Q599" s="541"/>
      <c r="R599" s="541"/>
      <c r="S599" s="541"/>
      <c r="T599" s="541"/>
      <c r="U599" s="541"/>
      <c r="V599" s="541"/>
      <c r="W599" s="541"/>
      <c r="X599" s="541"/>
      <c r="Y599" s="541"/>
      <c r="Z599" s="541"/>
    </row>
    <row r="600" spans="1:26" ht="18.75">
      <c r="A600" s="572"/>
      <c r="B600" s="584"/>
      <c r="C600" s="584"/>
      <c r="D600" s="584"/>
      <c r="E600" s="592"/>
      <c r="F600" s="592"/>
      <c r="G600" s="726"/>
      <c r="H600" s="728" t="s">
        <v>34</v>
      </c>
      <c r="I600" s="269"/>
      <c r="J600" s="214">
        <v>0</v>
      </c>
      <c r="K600" s="163"/>
      <c r="L600" s="163"/>
      <c r="M600" s="163"/>
      <c r="N600" s="163"/>
      <c r="O600" s="163"/>
      <c r="P600" s="163"/>
      <c r="Q600" s="541"/>
      <c r="R600" s="541"/>
      <c r="S600" s="541"/>
      <c r="T600" s="541"/>
      <c r="U600" s="541"/>
      <c r="V600" s="541"/>
      <c r="W600" s="541"/>
      <c r="X600" s="541"/>
      <c r="Y600" s="541"/>
      <c r="Z600" s="541"/>
    </row>
    <row r="601" spans="1:26" ht="18.75">
      <c r="A601" s="572"/>
      <c r="B601" s="584"/>
      <c r="C601" s="584"/>
      <c r="D601" s="710" t="s">
        <v>256</v>
      </c>
      <c r="E601" s="592"/>
      <c r="F601" s="592"/>
      <c r="G601" s="726"/>
      <c r="H601" s="728" t="s">
        <v>46</v>
      </c>
      <c r="I601" s="269"/>
      <c r="J601" s="214">
        <v>0</v>
      </c>
      <c r="K601" s="163"/>
      <c r="L601" s="163"/>
      <c r="M601" s="163"/>
      <c r="N601" s="163"/>
      <c r="O601" s="163"/>
      <c r="P601" s="163"/>
      <c r="Q601" s="541"/>
      <c r="R601" s="541"/>
      <c r="S601" s="541"/>
      <c r="T601" s="541"/>
      <c r="U601" s="541"/>
      <c r="V601" s="541"/>
      <c r="W601" s="541"/>
      <c r="X601" s="541"/>
      <c r="Y601" s="541"/>
      <c r="Z601" s="541"/>
    </row>
    <row r="602" spans="1:26" ht="18.75">
      <c r="A602" s="572"/>
      <c r="B602" s="584"/>
      <c r="C602" s="584"/>
      <c r="D602" s="584"/>
      <c r="E602" s="592"/>
      <c r="F602" s="592"/>
      <c r="G602" s="726"/>
      <c r="H602" s="728" t="s">
        <v>34</v>
      </c>
      <c r="I602" s="269"/>
      <c r="J602" s="214">
        <v>0</v>
      </c>
      <c r="K602" s="163"/>
      <c r="L602" s="163"/>
      <c r="M602" s="163"/>
      <c r="N602" s="163"/>
      <c r="O602" s="163"/>
      <c r="P602" s="163"/>
      <c r="Q602" s="541"/>
      <c r="R602" s="541"/>
      <c r="S602" s="541"/>
      <c r="T602" s="541"/>
      <c r="U602" s="541"/>
      <c r="V602" s="541"/>
      <c r="W602" s="541"/>
      <c r="X602" s="541"/>
      <c r="Y602" s="541"/>
      <c r="Z602" s="541"/>
    </row>
    <row r="603" spans="1:26" ht="18.75">
      <c r="A603" s="572"/>
      <c r="B603" s="584"/>
      <c r="C603" s="669" t="s">
        <v>257</v>
      </c>
      <c r="D603" s="584"/>
      <c r="E603" s="584"/>
      <c r="F603" s="592"/>
      <c r="G603" s="726"/>
      <c r="H603" s="728" t="s">
        <v>46</v>
      </c>
      <c r="I603" s="269"/>
      <c r="J603" s="269">
        <f t="shared" ref="J603:J604" si="256">J605+J607</f>
        <v>0</v>
      </c>
      <c r="K603" s="163"/>
      <c r="L603" s="163"/>
      <c r="M603" s="163"/>
      <c r="N603" s="163"/>
      <c r="O603" s="163"/>
      <c r="P603" s="163"/>
      <c r="Q603" s="541"/>
      <c r="R603" s="541"/>
      <c r="S603" s="541"/>
      <c r="T603" s="541"/>
      <c r="U603" s="541"/>
      <c r="V603" s="541"/>
      <c r="W603" s="541"/>
      <c r="X603" s="541"/>
      <c r="Y603" s="541"/>
      <c r="Z603" s="541"/>
    </row>
    <row r="604" spans="1:26" ht="18.75">
      <c r="A604" s="572"/>
      <c r="B604" s="584"/>
      <c r="C604" s="584"/>
      <c r="D604" s="584"/>
      <c r="E604" s="592"/>
      <c r="F604" s="592"/>
      <c r="G604" s="726"/>
      <c r="H604" s="728" t="s">
        <v>34</v>
      </c>
      <c r="I604" s="269"/>
      <c r="J604" s="269">
        <f t="shared" si="256"/>
        <v>0</v>
      </c>
      <c r="K604" s="163"/>
      <c r="L604" s="163"/>
      <c r="M604" s="163"/>
      <c r="N604" s="163"/>
      <c r="O604" s="163"/>
      <c r="P604" s="163"/>
      <c r="Q604" s="541"/>
      <c r="R604" s="541"/>
      <c r="S604" s="541"/>
      <c r="T604" s="541"/>
      <c r="U604" s="541"/>
      <c r="V604" s="541"/>
      <c r="W604" s="541"/>
      <c r="X604" s="541"/>
      <c r="Y604" s="541"/>
      <c r="Z604" s="541"/>
    </row>
    <row r="605" spans="1:26" ht="18.75">
      <c r="A605" s="572"/>
      <c r="B605" s="584"/>
      <c r="C605" s="584"/>
      <c r="D605" s="669" t="s">
        <v>258</v>
      </c>
      <c r="E605" s="592"/>
      <c r="F605" s="592"/>
      <c r="G605" s="726"/>
      <c r="H605" s="728" t="s">
        <v>46</v>
      </c>
      <c r="I605" s="269"/>
      <c r="J605" s="214">
        <v>0</v>
      </c>
      <c r="K605" s="163"/>
      <c r="L605" s="163"/>
      <c r="M605" s="163"/>
      <c r="N605" s="163"/>
      <c r="O605" s="163"/>
      <c r="P605" s="163"/>
      <c r="Q605" s="541"/>
      <c r="R605" s="541"/>
      <c r="S605" s="541"/>
      <c r="T605" s="541"/>
      <c r="U605" s="541"/>
      <c r="V605" s="541"/>
      <c r="W605" s="541"/>
      <c r="X605" s="541"/>
      <c r="Y605" s="541"/>
      <c r="Z605" s="541"/>
    </row>
    <row r="606" spans="1:26" ht="18.75">
      <c r="A606" s="572"/>
      <c r="B606" s="584"/>
      <c r="C606" s="584"/>
      <c r="D606" s="584"/>
      <c r="E606" s="584"/>
      <c r="F606" s="592"/>
      <c r="G606" s="726"/>
      <c r="H606" s="728" t="s">
        <v>34</v>
      </c>
      <c r="I606" s="269"/>
      <c r="J606" s="214">
        <v>0</v>
      </c>
      <c r="K606" s="163"/>
      <c r="L606" s="163"/>
      <c r="M606" s="163"/>
      <c r="N606" s="163"/>
      <c r="O606" s="163"/>
      <c r="P606" s="163"/>
      <c r="Q606" s="541"/>
      <c r="R606" s="541"/>
      <c r="S606" s="541"/>
      <c r="T606" s="541"/>
      <c r="U606" s="541"/>
      <c r="V606" s="541"/>
      <c r="W606" s="541"/>
      <c r="X606" s="541"/>
      <c r="Y606" s="541"/>
      <c r="Z606" s="541"/>
    </row>
    <row r="607" spans="1:26" ht="18.75">
      <c r="A607" s="572"/>
      <c r="B607" s="584"/>
      <c r="C607" s="584"/>
      <c r="D607" s="669" t="s">
        <v>259</v>
      </c>
      <c r="E607" s="584"/>
      <c r="F607" s="592"/>
      <c r="G607" s="726"/>
      <c r="H607" s="728" t="s">
        <v>46</v>
      </c>
      <c r="I607" s="269"/>
      <c r="J607" s="214">
        <v>0</v>
      </c>
      <c r="K607" s="163"/>
      <c r="L607" s="163"/>
      <c r="M607" s="163"/>
      <c r="N607" s="163"/>
      <c r="O607" s="163"/>
      <c r="P607" s="163"/>
      <c r="Q607" s="541"/>
      <c r="R607" s="541"/>
      <c r="S607" s="541"/>
      <c r="T607" s="541"/>
      <c r="U607" s="541"/>
      <c r="V607" s="541"/>
      <c r="W607" s="541"/>
      <c r="X607" s="541"/>
      <c r="Y607" s="541"/>
      <c r="Z607" s="541"/>
    </row>
    <row r="608" spans="1:26" ht="18.75">
      <c r="A608" s="572"/>
      <c r="B608" s="584"/>
      <c r="C608" s="584"/>
      <c r="D608" s="584"/>
      <c r="E608" s="592"/>
      <c r="F608" s="592"/>
      <c r="G608" s="726"/>
      <c r="H608" s="728" t="s">
        <v>34</v>
      </c>
      <c r="I608" s="269"/>
      <c r="J608" s="214">
        <v>0</v>
      </c>
      <c r="K608" s="163"/>
      <c r="L608" s="163"/>
      <c r="M608" s="163"/>
      <c r="N608" s="163"/>
      <c r="O608" s="163"/>
      <c r="P608" s="163"/>
      <c r="Q608" s="541"/>
      <c r="R608" s="541"/>
      <c r="S608" s="541"/>
      <c r="T608" s="541"/>
      <c r="U608" s="541"/>
      <c r="V608" s="541"/>
      <c r="W608" s="541"/>
      <c r="X608" s="541"/>
      <c r="Y608" s="541"/>
      <c r="Z608" s="541"/>
    </row>
    <row r="609" spans="1:26" ht="18.75">
      <c r="A609" s="572"/>
      <c r="B609" s="584"/>
      <c r="C609" s="584" t="s">
        <v>260</v>
      </c>
      <c r="D609" s="584"/>
      <c r="E609" s="584"/>
      <c r="F609" s="592"/>
      <c r="G609" s="726"/>
      <c r="H609" s="728" t="s">
        <v>46</v>
      </c>
      <c r="I609" s="269"/>
      <c r="J609" s="214">
        <v>0</v>
      </c>
      <c r="K609" s="163"/>
      <c r="L609" s="163"/>
      <c r="M609" s="163"/>
      <c r="N609" s="163"/>
      <c r="O609" s="163"/>
      <c r="P609" s="163"/>
      <c r="Q609" s="541"/>
      <c r="R609" s="541"/>
      <c r="S609" s="541"/>
      <c r="T609" s="541"/>
      <c r="U609" s="541"/>
      <c r="V609" s="541"/>
      <c r="W609" s="541"/>
      <c r="X609" s="541"/>
      <c r="Y609" s="541"/>
      <c r="Z609" s="541"/>
    </row>
    <row r="610" spans="1:26" ht="18.75">
      <c r="A610" s="572"/>
      <c r="B610" s="584"/>
      <c r="C610" s="584"/>
      <c r="D610" s="584"/>
      <c r="E610" s="592"/>
      <c r="F610" s="592"/>
      <c r="G610" s="726"/>
      <c r="H610" s="728" t="s">
        <v>34</v>
      </c>
      <c r="I610" s="269"/>
      <c r="J610" s="214">
        <v>0</v>
      </c>
      <c r="K610" s="163"/>
      <c r="L610" s="163"/>
      <c r="M610" s="163"/>
      <c r="N610" s="163"/>
      <c r="O610" s="163"/>
      <c r="P610" s="163"/>
      <c r="Q610" s="541"/>
      <c r="R610" s="541"/>
      <c r="S610" s="541"/>
      <c r="T610" s="541"/>
      <c r="U610" s="541"/>
      <c r="V610" s="541"/>
      <c r="W610" s="541"/>
      <c r="X610" s="541"/>
      <c r="Y610" s="541"/>
      <c r="Z610" s="541"/>
    </row>
    <row r="611" spans="1:26" ht="19.5">
      <c r="A611" s="658"/>
      <c r="B611" s="670" t="s">
        <v>261</v>
      </c>
      <c r="C611" s="660"/>
      <c r="D611" s="660"/>
      <c r="E611" s="639"/>
      <c r="F611" s="639"/>
      <c r="G611" s="640"/>
      <c r="H611" s="671" t="s">
        <v>46</v>
      </c>
      <c r="I611" s="672">
        <v>0</v>
      </c>
      <c r="J611" s="672">
        <f>J614+J616</f>
        <v>0</v>
      </c>
      <c r="K611" s="643">
        <f t="shared" ref="K611:K613" si="257">IF(I611&gt;0,J611*100/I611,0)</f>
        <v>0</v>
      </c>
      <c r="L611" s="644"/>
      <c r="M611" s="644"/>
      <c r="N611" s="644"/>
      <c r="O611" s="644"/>
      <c r="P611" s="644"/>
      <c r="Q611" s="541"/>
      <c r="R611" s="541"/>
      <c r="S611" s="541"/>
      <c r="T611" s="541"/>
      <c r="U611" s="541"/>
      <c r="V611" s="541"/>
      <c r="W611" s="541"/>
      <c r="X611" s="541"/>
      <c r="Y611" s="541"/>
      <c r="Z611" s="541"/>
    </row>
    <row r="612" spans="1:26" ht="19.5" hidden="1">
      <c r="A612" s="673"/>
      <c r="B612" s="683"/>
      <c r="C612" s="675" t="s">
        <v>262</v>
      </c>
      <c r="D612" s="683"/>
      <c r="E612" s="683"/>
      <c r="F612" s="676"/>
      <c r="G612" s="677"/>
      <c r="H612" s="678" t="s">
        <v>46</v>
      </c>
      <c r="I612" s="680">
        <v>0</v>
      </c>
      <c r="J612" s="680">
        <f t="shared" ref="J612:J613" si="258">J614+J616</f>
        <v>0</v>
      </c>
      <c r="K612" s="681">
        <f t="shared" si="257"/>
        <v>0</v>
      </c>
      <c r="L612" s="682"/>
      <c r="M612" s="682"/>
      <c r="N612" s="682"/>
      <c r="O612" s="682"/>
      <c r="P612" s="682"/>
      <c r="Q612" s="568"/>
      <c r="R612" s="568"/>
      <c r="S612" s="568"/>
      <c r="T612" s="568"/>
      <c r="U612" s="568"/>
      <c r="V612" s="568"/>
      <c r="W612" s="568"/>
      <c r="X612" s="568"/>
      <c r="Y612" s="568"/>
      <c r="Z612" s="568"/>
    </row>
    <row r="613" spans="1:26" ht="19.5" hidden="1">
      <c r="A613" s="673"/>
      <c r="B613" s="683"/>
      <c r="C613" s="683" t="s">
        <v>263</v>
      </c>
      <c r="D613" s="683"/>
      <c r="E613" s="683"/>
      <c r="F613" s="676"/>
      <c r="G613" s="677"/>
      <c r="H613" s="678" t="s">
        <v>34</v>
      </c>
      <c r="I613" s="680">
        <v>0</v>
      </c>
      <c r="J613" s="680">
        <f t="shared" si="258"/>
        <v>0</v>
      </c>
      <c r="K613" s="681">
        <f t="shared" si="257"/>
        <v>0</v>
      </c>
      <c r="L613" s="682"/>
      <c r="M613" s="682"/>
      <c r="N613" s="682"/>
      <c r="O613" s="682"/>
      <c r="P613" s="682"/>
      <c r="Q613" s="568"/>
      <c r="R613" s="568"/>
      <c r="S613" s="568"/>
      <c r="T613" s="568"/>
      <c r="U613" s="568"/>
      <c r="V613" s="568"/>
      <c r="W613" s="568"/>
      <c r="X613" s="568"/>
      <c r="Y613" s="568"/>
      <c r="Z613" s="568"/>
    </row>
    <row r="614" spans="1:26" ht="18.75" hidden="1">
      <c r="A614" s="578"/>
      <c r="B614" s="580"/>
      <c r="C614" s="580"/>
      <c r="D614" s="684" t="s">
        <v>264</v>
      </c>
      <c r="E614" s="580"/>
      <c r="F614" s="684"/>
      <c r="G614" s="581"/>
      <c r="H614" s="582" t="s">
        <v>46</v>
      </c>
      <c r="I614" s="583"/>
      <c r="J614" s="583">
        <v>0</v>
      </c>
      <c r="K614" s="167"/>
      <c r="L614" s="167"/>
      <c r="M614" s="167"/>
      <c r="N614" s="167"/>
      <c r="O614" s="167"/>
      <c r="P614" s="167"/>
      <c r="Q614" s="568"/>
      <c r="R614" s="568"/>
      <c r="S614" s="568"/>
      <c r="T614" s="568"/>
      <c r="U614" s="568"/>
      <c r="V614" s="568"/>
      <c r="W614" s="568"/>
      <c r="X614" s="568"/>
      <c r="Y614" s="568"/>
      <c r="Z614" s="568"/>
    </row>
    <row r="615" spans="1:26" ht="18.75" hidden="1">
      <c r="A615" s="578"/>
      <c r="B615" s="580"/>
      <c r="C615" s="580"/>
      <c r="D615" s="580"/>
      <c r="E615" s="580"/>
      <c r="F615" s="684"/>
      <c r="G615" s="581"/>
      <c r="H615" s="582" t="s">
        <v>34</v>
      </c>
      <c r="I615" s="583"/>
      <c r="J615" s="583">
        <v>0</v>
      </c>
      <c r="K615" s="167"/>
      <c r="L615" s="167"/>
      <c r="M615" s="167"/>
      <c r="N615" s="167"/>
      <c r="O615" s="167"/>
      <c r="P615" s="167"/>
      <c r="Q615" s="568"/>
      <c r="R615" s="568"/>
      <c r="S615" s="568"/>
      <c r="T615" s="568"/>
      <c r="U615" s="568"/>
      <c r="V615" s="568"/>
      <c r="W615" s="568"/>
      <c r="X615" s="568"/>
      <c r="Y615" s="568"/>
      <c r="Z615" s="568"/>
    </row>
    <row r="616" spans="1:26" ht="18.75" hidden="1">
      <c r="A616" s="578"/>
      <c r="B616" s="580"/>
      <c r="C616" s="580"/>
      <c r="D616" s="685" t="s">
        <v>264</v>
      </c>
      <c r="E616" s="684"/>
      <c r="F616" s="684"/>
      <c r="G616" s="581"/>
      <c r="H616" s="582" t="s">
        <v>46</v>
      </c>
      <c r="I616" s="583"/>
      <c r="J616" s="583">
        <v>0</v>
      </c>
      <c r="K616" s="167"/>
      <c r="L616" s="167"/>
      <c r="M616" s="167"/>
      <c r="N616" s="167"/>
      <c r="O616" s="167"/>
      <c r="P616" s="167"/>
      <c r="Q616" s="568"/>
      <c r="R616" s="568"/>
      <c r="S616" s="568"/>
      <c r="T616" s="568"/>
      <c r="U616" s="568"/>
      <c r="V616" s="568"/>
      <c r="W616" s="568"/>
      <c r="X616" s="568"/>
      <c r="Y616" s="568"/>
      <c r="Z616" s="568"/>
    </row>
    <row r="617" spans="1:26" ht="18.75" hidden="1">
      <c r="A617" s="578"/>
      <c r="B617" s="580"/>
      <c r="C617" s="580"/>
      <c r="D617" s="580"/>
      <c r="E617" s="684"/>
      <c r="F617" s="684"/>
      <c r="G617" s="581"/>
      <c r="H617" s="582" t="s">
        <v>34</v>
      </c>
      <c r="I617" s="583"/>
      <c r="J617" s="583">
        <v>0</v>
      </c>
      <c r="K617" s="167"/>
      <c r="L617" s="167"/>
      <c r="M617" s="167"/>
      <c r="N617" s="167"/>
      <c r="O617" s="167"/>
      <c r="P617" s="167"/>
      <c r="Q617" s="568"/>
      <c r="R617" s="568"/>
      <c r="S617" s="568"/>
      <c r="T617" s="568"/>
      <c r="U617" s="568"/>
      <c r="V617" s="568"/>
      <c r="W617" s="568"/>
      <c r="X617" s="568"/>
      <c r="Y617" s="568"/>
      <c r="Z617" s="568"/>
    </row>
    <row r="618" spans="1:26" ht="18.75" hidden="1">
      <c r="A618" s="578"/>
      <c r="B618" s="580"/>
      <c r="C618" s="580"/>
      <c r="D618" s="685" t="s">
        <v>265</v>
      </c>
      <c r="E618" s="684"/>
      <c r="F618" s="684"/>
      <c r="G618" s="581"/>
      <c r="H618" s="582" t="s">
        <v>46</v>
      </c>
      <c r="I618" s="583"/>
      <c r="J618" s="583">
        <v>0</v>
      </c>
      <c r="K618" s="167"/>
      <c r="L618" s="167"/>
      <c r="M618" s="167"/>
      <c r="N618" s="167"/>
      <c r="O618" s="167"/>
      <c r="P618" s="167"/>
      <c r="Q618" s="568"/>
      <c r="R618" s="568"/>
      <c r="S618" s="568"/>
      <c r="T618" s="568"/>
      <c r="U618" s="568"/>
      <c r="V618" s="568"/>
      <c r="W618" s="568"/>
      <c r="X618" s="568"/>
      <c r="Y618" s="568"/>
      <c r="Z618" s="568"/>
    </row>
    <row r="619" spans="1:26" ht="18.75" hidden="1">
      <c r="A619" s="578"/>
      <c r="B619" s="580"/>
      <c r="C619" s="580"/>
      <c r="D619" s="580"/>
      <c r="E619" s="684"/>
      <c r="F619" s="684"/>
      <c r="G619" s="581"/>
      <c r="H619" s="582" t="s">
        <v>34</v>
      </c>
      <c r="I619" s="583"/>
      <c r="J619" s="583">
        <v>0</v>
      </c>
      <c r="K619" s="167"/>
      <c r="L619" s="167"/>
      <c r="M619" s="167"/>
      <c r="N619" s="167"/>
      <c r="O619" s="167"/>
      <c r="P619" s="167"/>
      <c r="Q619" s="568"/>
      <c r="R619" s="568"/>
      <c r="S619" s="568"/>
      <c r="T619" s="568"/>
      <c r="U619" s="568"/>
      <c r="V619" s="568"/>
      <c r="W619" s="568"/>
      <c r="X619" s="568"/>
      <c r="Y619" s="568"/>
      <c r="Z619" s="568"/>
    </row>
    <row r="620" spans="1:26" ht="19.5">
      <c r="A620" s="686"/>
      <c r="B620" s="695"/>
      <c r="C620" s="688" t="s">
        <v>266</v>
      </c>
      <c r="D620" s="695"/>
      <c r="E620" s="695"/>
      <c r="F620" s="689"/>
      <c r="G620" s="690"/>
      <c r="H620" s="691" t="s">
        <v>46</v>
      </c>
      <c r="I620" s="692">
        <f ca="1">IFERROR(__xludf.DUMMYFUNCTION("IMPORTRANGE(""https://docs.google.com/spreadsheets/d/1QqKyyYR6Q21VydFLVH3TRQUabQu_ym0Zz7PgGX0-kHA/edit?usp=sharing"",""แผน!HL25"")"),0)</f>
        <v>0</v>
      </c>
      <c r="J620" s="692">
        <f t="shared" ref="J620:J621" si="259">J622+J624+J626</f>
        <v>0</v>
      </c>
      <c r="K620" s="693">
        <f t="shared" ref="K620:K621" ca="1" si="260">IF(I620&gt;0,J620*100/I620,0)</f>
        <v>0</v>
      </c>
      <c r="L620" s="694"/>
      <c r="M620" s="694"/>
      <c r="N620" s="694"/>
      <c r="O620" s="694"/>
      <c r="P620" s="694"/>
      <c r="Q620" s="541"/>
      <c r="R620" s="541"/>
      <c r="S620" s="541"/>
      <c r="T620" s="541"/>
      <c r="U620" s="541"/>
      <c r="V620" s="541"/>
      <c r="W620" s="541"/>
      <c r="X620" s="541"/>
      <c r="Y620" s="541"/>
      <c r="Z620" s="541"/>
    </row>
    <row r="621" spans="1:26" ht="19.5">
      <c r="A621" s="686"/>
      <c r="B621" s="695"/>
      <c r="C621" s="695" t="s">
        <v>267</v>
      </c>
      <c r="D621" s="695"/>
      <c r="E621" s="695"/>
      <c r="F621" s="689"/>
      <c r="G621" s="690"/>
      <c r="H621" s="691" t="s">
        <v>34</v>
      </c>
      <c r="I621" s="692">
        <f ca="1">IFERROR(__xludf.DUMMYFUNCTION("IMPORTRANGE(""https://docs.google.com/spreadsheets/d/1QqKyyYR6Q21VydFLVH3TRQUabQu_ym0Zz7PgGX0-kHA/edit?usp=sharing"",""แผน!HK25"")"),0)</f>
        <v>0</v>
      </c>
      <c r="J621" s="692">
        <f t="shared" si="259"/>
        <v>0</v>
      </c>
      <c r="K621" s="693">
        <f t="shared" ca="1" si="260"/>
        <v>0</v>
      </c>
      <c r="L621" s="694"/>
      <c r="M621" s="694"/>
      <c r="N621" s="694"/>
      <c r="O621" s="694"/>
      <c r="P621" s="694"/>
      <c r="Q621" s="541"/>
      <c r="R621" s="541"/>
      <c r="S621" s="541"/>
      <c r="T621" s="541"/>
      <c r="U621" s="541"/>
      <c r="V621" s="541"/>
      <c r="W621" s="541"/>
      <c r="X621" s="541"/>
      <c r="Y621" s="541"/>
      <c r="Z621" s="541"/>
    </row>
    <row r="622" spans="1:26" ht="18.75">
      <c r="A622" s="572"/>
      <c r="B622" s="584"/>
      <c r="C622" s="584"/>
      <c r="D622" s="710" t="s">
        <v>268</v>
      </c>
      <c r="E622" s="592"/>
      <c r="F622" s="592"/>
      <c r="G622" s="726"/>
      <c r="H622" s="728" t="s">
        <v>46</v>
      </c>
      <c r="I622" s="269"/>
      <c r="J622" s="214">
        <v>0</v>
      </c>
      <c r="K622" s="163"/>
      <c r="L622" s="163"/>
      <c r="M622" s="163"/>
      <c r="N622" s="163"/>
      <c r="O622" s="163"/>
      <c r="P622" s="163"/>
      <c r="Q622" s="541"/>
      <c r="R622" s="541"/>
      <c r="S622" s="541"/>
      <c r="T622" s="541"/>
      <c r="U622" s="541"/>
      <c r="V622" s="541"/>
      <c r="W622" s="541"/>
      <c r="X622" s="541"/>
      <c r="Y622" s="541"/>
      <c r="Z622" s="541"/>
    </row>
    <row r="623" spans="1:26" ht="18.75">
      <c r="A623" s="572"/>
      <c r="B623" s="584"/>
      <c r="C623" s="584"/>
      <c r="D623" s="584"/>
      <c r="E623" s="592"/>
      <c r="F623" s="592"/>
      <c r="G623" s="726"/>
      <c r="H623" s="728" t="s">
        <v>34</v>
      </c>
      <c r="I623" s="269"/>
      <c r="J623" s="214">
        <v>0</v>
      </c>
      <c r="K623" s="163"/>
      <c r="L623" s="163"/>
      <c r="M623" s="163"/>
      <c r="N623" s="163"/>
      <c r="O623" s="163"/>
      <c r="P623" s="163"/>
      <c r="Q623" s="541"/>
      <c r="R623" s="541"/>
      <c r="S623" s="541"/>
      <c r="T623" s="541"/>
      <c r="U623" s="541"/>
      <c r="V623" s="541"/>
      <c r="W623" s="541"/>
      <c r="X623" s="541"/>
      <c r="Y623" s="541"/>
      <c r="Z623" s="541"/>
    </row>
    <row r="624" spans="1:26" ht="18.75">
      <c r="A624" s="572"/>
      <c r="B624" s="584"/>
      <c r="C624" s="584"/>
      <c r="D624" s="710" t="s">
        <v>264</v>
      </c>
      <c r="E624" s="592"/>
      <c r="F624" s="592"/>
      <c r="G624" s="726"/>
      <c r="H624" s="728" t="s">
        <v>46</v>
      </c>
      <c r="I624" s="269"/>
      <c r="J624" s="214">
        <v>0</v>
      </c>
      <c r="K624" s="163"/>
      <c r="L624" s="163"/>
      <c r="M624" s="163"/>
      <c r="N624" s="163"/>
      <c r="O624" s="163"/>
      <c r="P624" s="163"/>
      <c r="Q624" s="541"/>
      <c r="R624" s="541"/>
      <c r="S624" s="541"/>
      <c r="T624" s="541"/>
      <c r="U624" s="541"/>
      <c r="V624" s="541"/>
      <c r="W624" s="541"/>
      <c r="X624" s="541"/>
      <c r="Y624" s="541"/>
      <c r="Z624" s="541"/>
    </row>
    <row r="625" spans="1:26" ht="18.75">
      <c r="A625" s="572"/>
      <c r="B625" s="584"/>
      <c r="C625" s="584"/>
      <c r="D625" s="584"/>
      <c r="E625" s="592"/>
      <c r="F625" s="592"/>
      <c r="G625" s="726"/>
      <c r="H625" s="728" t="s">
        <v>34</v>
      </c>
      <c r="I625" s="269"/>
      <c r="J625" s="214">
        <v>0</v>
      </c>
      <c r="K625" s="163"/>
      <c r="L625" s="163"/>
      <c r="M625" s="163"/>
      <c r="N625" s="163"/>
      <c r="O625" s="163"/>
      <c r="P625" s="163"/>
      <c r="Q625" s="541"/>
      <c r="R625" s="541"/>
      <c r="S625" s="541"/>
      <c r="T625" s="541"/>
      <c r="U625" s="541"/>
      <c r="V625" s="541"/>
      <c r="W625" s="541"/>
      <c r="X625" s="541"/>
      <c r="Y625" s="541"/>
      <c r="Z625" s="541"/>
    </row>
    <row r="626" spans="1:26" ht="18.75">
      <c r="A626" s="572"/>
      <c r="B626" s="584"/>
      <c r="C626" s="584"/>
      <c r="D626" s="710" t="s">
        <v>269</v>
      </c>
      <c r="E626" s="592"/>
      <c r="F626" s="592"/>
      <c r="G626" s="726"/>
      <c r="H626" s="728" t="s">
        <v>46</v>
      </c>
      <c r="I626" s="269"/>
      <c r="J626" s="214">
        <v>0</v>
      </c>
      <c r="K626" s="163"/>
      <c r="L626" s="163"/>
      <c r="M626" s="163"/>
      <c r="N626" s="163"/>
      <c r="O626" s="163"/>
      <c r="P626" s="163"/>
      <c r="Q626" s="541"/>
      <c r="R626" s="541"/>
      <c r="S626" s="541"/>
      <c r="T626" s="541"/>
      <c r="U626" s="541"/>
      <c r="V626" s="541"/>
      <c r="W626" s="541"/>
      <c r="X626" s="541"/>
      <c r="Y626" s="541"/>
      <c r="Z626" s="541"/>
    </row>
    <row r="627" spans="1:26" ht="18.75">
      <c r="A627" s="696"/>
      <c r="B627" s="697"/>
      <c r="C627" s="697"/>
      <c r="D627" s="697"/>
      <c r="E627" s="698"/>
      <c r="F627" s="698"/>
      <c r="G627" s="699"/>
      <c r="H627" s="390" t="s">
        <v>34</v>
      </c>
      <c r="I627" s="468"/>
      <c r="J627" s="392">
        <v>0</v>
      </c>
      <c r="K627" s="353"/>
      <c r="L627" s="353"/>
      <c r="M627" s="353"/>
      <c r="N627" s="353"/>
      <c r="O627" s="353"/>
      <c r="P627" s="353"/>
      <c r="Q627" s="541"/>
      <c r="R627" s="541"/>
      <c r="S627" s="541"/>
      <c r="T627" s="541"/>
      <c r="U627" s="541"/>
      <c r="V627" s="541"/>
      <c r="W627" s="541"/>
      <c r="X627" s="541"/>
      <c r="Y627" s="541"/>
      <c r="Z627" s="541"/>
    </row>
    <row r="628" spans="1:26" ht="19.5" hidden="1">
      <c r="A628" s="700">
        <v>7</v>
      </c>
      <c r="B628" s="701" t="s">
        <v>270</v>
      </c>
      <c r="C628" s="702"/>
      <c r="D628" s="702"/>
      <c r="E628" s="702"/>
      <c r="F628" s="702"/>
      <c r="G628" s="703"/>
      <c r="H628" s="704" t="s">
        <v>35</v>
      </c>
      <c r="I628" s="705">
        <f t="shared" ref="I628:J628" ca="1" si="261">I651</f>
        <v>0</v>
      </c>
      <c r="J628" s="705">
        <f t="shared" ca="1" si="261"/>
        <v>0</v>
      </c>
      <c r="K628" s="706">
        <f ca="1">IF(I628&gt;0,J628*100/I628,0)</f>
        <v>0</v>
      </c>
      <c r="L628" s="707"/>
      <c r="M628" s="707"/>
      <c r="N628" s="707"/>
      <c r="O628" s="707"/>
      <c r="P628" s="707"/>
      <c r="Q628" s="541"/>
      <c r="R628" s="541"/>
      <c r="S628" s="541"/>
      <c r="T628" s="541"/>
      <c r="U628" s="541"/>
      <c r="V628" s="541"/>
      <c r="W628" s="541"/>
      <c r="X628" s="541"/>
      <c r="Y628" s="541"/>
      <c r="Z628" s="541"/>
    </row>
    <row r="629" spans="1:26" ht="19.5" hidden="1">
      <c r="A629" s="561"/>
      <c r="B629" s="727"/>
      <c r="C629" s="727" t="s">
        <v>16</v>
      </c>
      <c r="D629" s="811" t="s">
        <v>17</v>
      </c>
      <c r="E629" s="805"/>
      <c r="F629" s="805"/>
      <c r="G629" s="189"/>
      <c r="H629" s="562" t="s">
        <v>12</v>
      </c>
      <c r="I629" s="269"/>
      <c r="J629" s="269"/>
      <c r="K629" s="465"/>
      <c r="L629" s="195">
        <f t="shared" ref="L629:N629" ca="1" si="262">L630+L631</f>
        <v>0</v>
      </c>
      <c r="M629" s="195">
        <f t="shared" si="262"/>
        <v>0</v>
      </c>
      <c r="N629" s="195">
        <f t="shared" si="262"/>
        <v>0</v>
      </c>
      <c r="O629" s="195">
        <f t="shared" ref="O629:O634" ca="1" si="263">IF(L629&gt;0,N629*100/L629,0)</f>
        <v>0</v>
      </c>
      <c r="P629" s="195">
        <f t="shared" ref="P629:P634" si="264">IF(M629&gt;0,N629*100/M629,0)</f>
        <v>0</v>
      </c>
      <c r="Q629" s="541"/>
      <c r="R629" s="541"/>
      <c r="S629" s="541"/>
      <c r="T629" s="541"/>
      <c r="U629" s="541"/>
      <c r="V629" s="541"/>
      <c r="W629" s="541"/>
      <c r="X629" s="541"/>
      <c r="Y629" s="541"/>
      <c r="Z629" s="541"/>
    </row>
    <row r="630" spans="1:26" ht="18.75" hidden="1">
      <c r="A630" s="563"/>
      <c r="B630" s="723"/>
      <c r="C630" s="723"/>
      <c r="D630" s="684"/>
      <c r="E630" s="723" t="s">
        <v>184</v>
      </c>
      <c r="F630" s="723"/>
      <c r="G630" s="567"/>
      <c r="H630" s="165" t="s">
        <v>12</v>
      </c>
      <c r="I630" s="583"/>
      <c r="J630" s="583"/>
      <c r="K630" s="93"/>
      <c r="L630" s="93">
        <f t="shared" ref="L630:N631" si="265">L633+L640</f>
        <v>0</v>
      </c>
      <c r="M630" s="93">
        <f t="shared" si="265"/>
        <v>0</v>
      </c>
      <c r="N630" s="93">
        <f t="shared" si="265"/>
        <v>0</v>
      </c>
      <c r="O630" s="93">
        <f t="shared" si="263"/>
        <v>0</v>
      </c>
      <c r="P630" s="93">
        <f t="shared" si="264"/>
        <v>0</v>
      </c>
      <c r="Q630" s="568"/>
      <c r="R630" s="568"/>
      <c r="S630" s="568"/>
      <c r="T630" s="568"/>
      <c r="U630" s="568"/>
      <c r="V630" s="568"/>
      <c r="W630" s="568"/>
      <c r="X630" s="568"/>
      <c r="Y630" s="568"/>
      <c r="Z630" s="568"/>
    </row>
    <row r="631" spans="1:26" ht="18.75" hidden="1">
      <c r="A631" s="563"/>
      <c r="B631" s="571"/>
      <c r="C631" s="723"/>
      <c r="D631" s="684"/>
      <c r="E631" s="723" t="s">
        <v>185</v>
      </c>
      <c r="F631" s="723"/>
      <c r="G631" s="567"/>
      <c r="H631" s="165" t="s">
        <v>12</v>
      </c>
      <c r="I631" s="583"/>
      <c r="J631" s="583"/>
      <c r="K631" s="93"/>
      <c r="L631" s="93">
        <f t="shared" ca="1" si="265"/>
        <v>0</v>
      </c>
      <c r="M631" s="93">
        <f t="shared" si="265"/>
        <v>0</v>
      </c>
      <c r="N631" s="93">
        <f t="shared" si="265"/>
        <v>0</v>
      </c>
      <c r="O631" s="93">
        <f t="shared" ca="1" si="263"/>
        <v>0</v>
      </c>
      <c r="P631" s="93">
        <f t="shared" si="264"/>
        <v>0</v>
      </c>
      <c r="Q631" s="568"/>
      <c r="R631" s="568"/>
      <c r="S631" s="568"/>
      <c r="T631" s="568"/>
      <c r="U631" s="568"/>
      <c r="V631" s="568"/>
      <c r="W631" s="568"/>
      <c r="X631" s="568"/>
      <c r="Y631" s="568"/>
      <c r="Z631" s="568"/>
    </row>
    <row r="632" spans="1:26" ht="18.75" hidden="1">
      <c r="A632" s="561"/>
      <c r="B632" s="538"/>
      <c r="C632" s="727"/>
      <c r="D632" s="570" t="s">
        <v>20</v>
      </c>
      <c r="E632" s="727"/>
      <c r="F632" s="727"/>
      <c r="G632" s="189"/>
      <c r="H632" s="161" t="s">
        <v>12</v>
      </c>
      <c r="I632" s="184"/>
      <c r="J632" s="184"/>
      <c r="K632" s="163"/>
      <c r="L632" s="465">
        <f t="shared" ref="L632:N632" ca="1" si="266">L633+L634</f>
        <v>0</v>
      </c>
      <c r="M632" s="465">
        <f t="shared" si="266"/>
        <v>0</v>
      </c>
      <c r="N632" s="465">
        <f t="shared" si="266"/>
        <v>0</v>
      </c>
      <c r="O632" s="465">
        <f t="shared" ca="1" si="263"/>
        <v>0</v>
      </c>
      <c r="P632" s="465">
        <f t="shared" si="264"/>
        <v>0</v>
      </c>
      <c r="Q632" s="541"/>
      <c r="R632" s="541"/>
      <c r="S632" s="541"/>
      <c r="T632" s="541"/>
      <c r="U632" s="541"/>
      <c r="V632" s="541"/>
      <c r="W632" s="541"/>
      <c r="X632" s="541"/>
      <c r="Y632" s="541"/>
      <c r="Z632" s="541"/>
    </row>
    <row r="633" spans="1:26" ht="18.75" hidden="1">
      <c r="A633" s="563"/>
      <c r="B633" s="571"/>
      <c r="C633" s="723"/>
      <c r="D633" s="684"/>
      <c r="E633" s="723" t="s">
        <v>184</v>
      </c>
      <c r="F633" s="723"/>
      <c r="G633" s="567"/>
      <c r="H633" s="165" t="s">
        <v>12</v>
      </c>
      <c r="I633" s="583"/>
      <c r="J633" s="583"/>
      <c r="K633" s="93"/>
      <c r="L633" s="93">
        <v>0</v>
      </c>
      <c r="M633" s="93">
        <v>0</v>
      </c>
      <c r="N633" s="93">
        <v>0</v>
      </c>
      <c r="O633" s="93">
        <f t="shared" si="263"/>
        <v>0</v>
      </c>
      <c r="P633" s="93">
        <f t="shared" si="264"/>
        <v>0</v>
      </c>
      <c r="Q633" s="568"/>
      <c r="R633" s="568"/>
      <c r="S633" s="568"/>
      <c r="T633" s="568"/>
      <c r="U633" s="568"/>
      <c r="V633" s="568"/>
      <c r="W633" s="568"/>
      <c r="X633" s="568"/>
      <c r="Y633" s="568"/>
      <c r="Z633" s="568"/>
    </row>
    <row r="634" spans="1:26" ht="18.75" hidden="1">
      <c r="A634" s="563"/>
      <c r="B634" s="571"/>
      <c r="C634" s="723"/>
      <c r="D634" s="684"/>
      <c r="E634" s="723" t="s">
        <v>185</v>
      </c>
      <c r="F634" s="723"/>
      <c r="G634" s="567"/>
      <c r="H634" s="165" t="s">
        <v>12</v>
      </c>
      <c r="I634" s="583"/>
      <c r="J634" s="583"/>
      <c r="K634" s="93"/>
      <c r="L634" s="93">
        <f ca="1">IFERROR(__xludf.DUMMYFUNCTION("IMPORTRANGE(""https://docs.google.com/spreadsheets/d/1QqKyyYR6Q21VydFLVH3TRQUabQu_ym0Zz7PgGX0-kHA/edit?usp=sharing"",""แผน!HN25"")"),0)</f>
        <v>0</v>
      </c>
      <c r="M634" s="93">
        <v>0</v>
      </c>
      <c r="N634" s="93">
        <f>N635+N636+N637+N638</f>
        <v>0</v>
      </c>
      <c r="O634" s="93">
        <f t="shared" ca="1" si="263"/>
        <v>0</v>
      </c>
      <c r="P634" s="93">
        <f t="shared" si="264"/>
        <v>0</v>
      </c>
      <c r="Q634" s="568"/>
      <c r="R634" s="568"/>
      <c r="S634" s="568"/>
      <c r="T634" s="568"/>
      <c r="U634" s="568"/>
      <c r="V634" s="568"/>
      <c r="W634" s="568"/>
      <c r="X634" s="568"/>
      <c r="Y634" s="568"/>
      <c r="Z634" s="568"/>
    </row>
    <row r="635" spans="1:26" ht="18.75" hidden="1">
      <c r="A635" s="537"/>
      <c r="B635" s="538"/>
      <c r="C635" s="727"/>
      <c r="D635" s="727"/>
      <c r="E635" s="727"/>
      <c r="F635" s="727" t="s">
        <v>186</v>
      </c>
      <c r="G635" s="189"/>
      <c r="H635" s="161" t="s">
        <v>12</v>
      </c>
      <c r="I635" s="269"/>
      <c r="J635" s="269"/>
      <c r="K635" s="465"/>
      <c r="L635" s="465"/>
      <c r="M635" s="465"/>
      <c r="N635" s="789">
        <v>0</v>
      </c>
      <c r="O635" s="465"/>
      <c r="P635" s="465"/>
      <c r="Q635" s="541"/>
      <c r="R635" s="541"/>
      <c r="S635" s="541"/>
      <c r="T635" s="541"/>
      <c r="U635" s="541"/>
      <c r="V635" s="541"/>
      <c r="W635" s="541"/>
      <c r="X635" s="541"/>
      <c r="Y635" s="541"/>
      <c r="Z635" s="541"/>
    </row>
    <row r="636" spans="1:26" ht="18.75" hidden="1">
      <c r="A636" s="537"/>
      <c r="B636" s="538"/>
      <c r="C636" s="727"/>
      <c r="D636" s="727"/>
      <c r="E636" s="727"/>
      <c r="F636" s="727" t="s">
        <v>187</v>
      </c>
      <c r="G636" s="189"/>
      <c r="H636" s="161" t="s">
        <v>12</v>
      </c>
      <c r="I636" s="269"/>
      <c r="J636" s="269"/>
      <c r="K636" s="465"/>
      <c r="L636" s="465"/>
      <c r="M636" s="465"/>
      <c r="N636" s="789">
        <v>0</v>
      </c>
      <c r="O636" s="465"/>
      <c r="P636" s="465"/>
      <c r="Q636" s="541"/>
      <c r="R636" s="541"/>
      <c r="S636" s="541"/>
      <c r="T636" s="541"/>
      <c r="U636" s="541"/>
      <c r="V636" s="541"/>
      <c r="W636" s="541"/>
      <c r="X636" s="541"/>
      <c r="Y636" s="541"/>
      <c r="Z636" s="541"/>
    </row>
    <row r="637" spans="1:26" ht="18.75" hidden="1">
      <c r="A637" s="537"/>
      <c r="B637" s="538"/>
      <c r="C637" s="727"/>
      <c r="D637" s="727"/>
      <c r="E637" s="727"/>
      <c r="F637" s="727" t="s">
        <v>188</v>
      </c>
      <c r="G637" s="189"/>
      <c r="H637" s="161" t="s">
        <v>12</v>
      </c>
      <c r="I637" s="269"/>
      <c r="J637" s="269"/>
      <c r="K637" s="465"/>
      <c r="L637" s="465"/>
      <c r="M637" s="465"/>
      <c r="N637" s="789">
        <v>0</v>
      </c>
      <c r="O637" s="465"/>
      <c r="P637" s="465"/>
      <c r="Q637" s="541"/>
      <c r="R637" s="541"/>
      <c r="S637" s="541"/>
      <c r="T637" s="541"/>
      <c r="U637" s="541"/>
      <c r="V637" s="541"/>
      <c r="W637" s="541"/>
      <c r="X637" s="541"/>
      <c r="Y637" s="541"/>
      <c r="Z637" s="541"/>
    </row>
    <row r="638" spans="1:26" ht="18.75" hidden="1">
      <c r="A638" s="537"/>
      <c r="B638" s="538"/>
      <c r="C638" s="727"/>
      <c r="D638" s="727"/>
      <c r="E638" s="727"/>
      <c r="F638" s="727" t="s">
        <v>189</v>
      </c>
      <c r="G638" s="189"/>
      <c r="H638" s="161" t="s">
        <v>12</v>
      </c>
      <c r="I638" s="269"/>
      <c r="J638" s="269"/>
      <c r="K638" s="465"/>
      <c r="L638" s="465"/>
      <c r="M638" s="465"/>
      <c r="N638" s="789">
        <v>0</v>
      </c>
      <c r="O638" s="465"/>
      <c r="P638" s="465"/>
      <c r="Q638" s="541"/>
      <c r="R638" s="541"/>
      <c r="S638" s="541"/>
      <c r="T638" s="541"/>
      <c r="U638" s="541"/>
      <c r="V638" s="541"/>
      <c r="W638" s="541"/>
      <c r="X638" s="541"/>
      <c r="Y638" s="541"/>
      <c r="Z638" s="541"/>
    </row>
    <row r="639" spans="1:26" ht="18.75" hidden="1">
      <c r="A639" s="561"/>
      <c r="B639" s="538"/>
      <c r="C639" s="727"/>
      <c r="D639" s="570" t="s">
        <v>21</v>
      </c>
      <c r="E639" s="727"/>
      <c r="F639" s="727"/>
      <c r="G639" s="189"/>
      <c r="H639" s="168" t="s">
        <v>12</v>
      </c>
      <c r="I639" s="184"/>
      <c r="J639" s="184"/>
      <c r="K639" s="163"/>
      <c r="L639" s="465">
        <f t="shared" ref="L639:N639" ca="1" si="267">L640+L641</f>
        <v>0</v>
      </c>
      <c r="M639" s="465">
        <f t="shared" si="267"/>
        <v>0</v>
      </c>
      <c r="N639" s="465">
        <f t="shared" si="267"/>
        <v>0</v>
      </c>
      <c r="O639" s="465">
        <f t="shared" ref="O639:O641" ca="1" si="268">IF(L639&gt;0,N639*100/L639,0)</f>
        <v>0</v>
      </c>
      <c r="P639" s="465">
        <f t="shared" ref="P639:P641" si="269">IF(M639&gt;0,N639*100/M639,0)</f>
        <v>0</v>
      </c>
      <c r="Q639" s="541"/>
      <c r="R639" s="541"/>
      <c r="S639" s="541"/>
      <c r="T639" s="541"/>
      <c r="U639" s="541"/>
      <c r="V639" s="541"/>
      <c r="W639" s="541"/>
      <c r="X639" s="541"/>
      <c r="Y639" s="541"/>
      <c r="Z639" s="541"/>
    </row>
    <row r="640" spans="1:26" ht="18.75" hidden="1">
      <c r="A640" s="563"/>
      <c r="B640" s="571"/>
      <c r="C640" s="723"/>
      <c r="D640" s="723"/>
      <c r="E640" s="723" t="s">
        <v>18</v>
      </c>
      <c r="F640" s="723"/>
      <c r="G640" s="567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8"/>
        <v>0</v>
      </c>
      <c r="P640" s="93">
        <f t="shared" si="269"/>
        <v>0</v>
      </c>
      <c r="Q640" s="568"/>
      <c r="R640" s="568"/>
      <c r="S640" s="568"/>
      <c r="T640" s="568"/>
      <c r="U640" s="568"/>
      <c r="V640" s="568"/>
      <c r="W640" s="568"/>
      <c r="X640" s="568"/>
      <c r="Y640" s="568"/>
      <c r="Z640" s="568"/>
    </row>
    <row r="641" spans="1:26" ht="18.75" hidden="1">
      <c r="A641" s="563"/>
      <c r="B641" s="571"/>
      <c r="C641" s="723"/>
      <c r="D641" s="723"/>
      <c r="E641" s="723" t="s">
        <v>19</v>
      </c>
      <c r="F641" s="723"/>
      <c r="G641" s="567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IFERROR(__xludf.DUMMYFUNCTION("IMPORTRANGE(""https://docs.google.com/spreadsheets/d/1QqKyyYR6Q21VydFLVH3TRQUabQu_ym0Zz7PgGX0-kHA/edit?usp=sharing"",""แผน!HQ25"")"),0)</f>
        <v>0</v>
      </c>
      <c r="M641" s="93">
        <v>0</v>
      </c>
      <c r="N641" s="93">
        <v>0</v>
      </c>
      <c r="O641" s="93">
        <f t="shared" ca="1" si="268"/>
        <v>0</v>
      </c>
      <c r="P641" s="93">
        <f t="shared" si="269"/>
        <v>0</v>
      </c>
      <c r="Q641" s="568"/>
      <c r="R641" s="568"/>
      <c r="S641" s="568"/>
      <c r="T641" s="568"/>
      <c r="U641" s="568"/>
      <c r="V641" s="568"/>
      <c r="W641" s="568"/>
      <c r="X641" s="568"/>
      <c r="Y641" s="568"/>
      <c r="Z641" s="568"/>
    </row>
    <row r="642" spans="1:26" ht="19.5" hidden="1">
      <c r="A642" s="572"/>
      <c r="B642" s="584"/>
      <c r="C642" s="727" t="s">
        <v>16</v>
      </c>
      <c r="D642" s="853" t="s">
        <v>38</v>
      </c>
      <c r="E642" s="725"/>
      <c r="F642" s="725"/>
      <c r="G642" s="577"/>
      <c r="H642" s="726"/>
      <c r="I642" s="184"/>
      <c r="J642" s="184"/>
      <c r="K642" s="163"/>
      <c r="L642" s="163"/>
      <c r="M642" s="163"/>
      <c r="N642" s="163"/>
      <c r="O642" s="163"/>
      <c r="P642" s="163"/>
      <c r="Q642" s="541"/>
      <c r="R642" s="541"/>
      <c r="S642" s="541"/>
      <c r="T642" s="541"/>
      <c r="U642" s="541"/>
      <c r="V642" s="541"/>
      <c r="W642" s="541"/>
      <c r="X642" s="541"/>
      <c r="Y642" s="541"/>
      <c r="Z642" s="541"/>
    </row>
    <row r="643" spans="1:26" ht="18.75" hidden="1">
      <c r="A643" s="708"/>
      <c r="B643" s="538"/>
      <c r="C643" s="727"/>
      <c r="D643" s="592"/>
      <c r="E643" s="710" t="s">
        <v>271</v>
      </c>
      <c r="F643" s="592"/>
      <c r="G643" s="726"/>
      <c r="H643" s="728" t="s">
        <v>272</v>
      </c>
      <c r="I643" s="269">
        <f ca="1">IFERROR(__xludf.DUMMYFUNCTION("IMPORTRANGE(""https://docs.google.com/spreadsheets/d/1QqKyyYR6Q21VydFLVH3TRQUabQu_ym0Zz7PgGX0-kHA/edit?usp=sharing"",""แผน!HR25"")"),0)</f>
        <v>0</v>
      </c>
      <c r="J643" s="214">
        <v>0</v>
      </c>
      <c r="K643" s="163">
        <f t="shared" ref="K643:K652" ca="1" si="270">IF(I643&gt;0,J643*100/I643,0)</f>
        <v>0</v>
      </c>
      <c r="L643" s="163"/>
      <c r="M643" s="163"/>
      <c r="N643" s="465"/>
      <c r="O643" s="163"/>
      <c r="P643" s="163"/>
      <c r="Q643" s="541"/>
      <c r="R643" s="541"/>
      <c r="S643" s="541"/>
      <c r="T643" s="541"/>
      <c r="U643" s="541"/>
      <c r="V643" s="541"/>
      <c r="W643" s="541"/>
      <c r="X643" s="541"/>
      <c r="Y643" s="541"/>
      <c r="Z643" s="541"/>
    </row>
    <row r="644" spans="1:26" ht="18.75" hidden="1">
      <c r="A644" s="708"/>
      <c r="B644" s="538"/>
      <c r="C644" s="727"/>
      <c r="D644" s="592"/>
      <c r="E644" s="710" t="s">
        <v>273</v>
      </c>
      <c r="F644" s="592"/>
      <c r="G644" s="726"/>
      <c r="H644" s="728" t="s">
        <v>274</v>
      </c>
      <c r="I644" s="269">
        <f ca="1">IFERROR(__xludf.DUMMYFUNCTION("IMPORTRANGE(""https://docs.google.com/spreadsheets/d/1QqKyyYR6Q21VydFLVH3TRQUabQu_ym0Zz7PgGX0-kHA/edit?usp=sharing"",""แผน!HR25"")"),0)</f>
        <v>0</v>
      </c>
      <c r="J644" s="214">
        <v>0</v>
      </c>
      <c r="K644" s="163">
        <f t="shared" ca="1" si="270"/>
        <v>0</v>
      </c>
      <c r="L644" s="163"/>
      <c r="M644" s="163"/>
      <c r="N644" s="465"/>
      <c r="O644" s="163"/>
      <c r="P644" s="163"/>
      <c r="Q644" s="541"/>
      <c r="R644" s="541"/>
      <c r="S644" s="541"/>
      <c r="T644" s="541"/>
      <c r="U644" s="541"/>
      <c r="V644" s="541"/>
      <c r="W644" s="541"/>
      <c r="X644" s="541"/>
      <c r="Y644" s="541"/>
      <c r="Z644" s="541"/>
    </row>
    <row r="645" spans="1:26" ht="18.75" hidden="1">
      <c r="A645" s="708"/>
      <c r="B645" s="538"/>
      <c r="C645" s="727"/>
      <c r="D645" s="592"/>
      <c r="E645" s="710" t="s">
        <v>275</v>
      </c>
      <c r="F645" s="592"/>
      <c r="G645" s="726"/>
      <c r="H645" s="728" t="s">
        <v>34</v>
      </c>
      <c r="I645" s="269">
        <v>0</v>
      </c>
      <c r="J645" s="269">
        <f ca="1">IFERROR(__xludf.DUMMYFUNCTION("IMPORTRANGE(""https://docs.google.com/spreadsheets/d/1XWAQStnk-4SwqDmLtmXYiTMKHgktTP8We1SCoS47DrQ/edit?usp=sharing"",""จัดที่ดิน!AS25"")"),0)</f>
        <v>0</v>
      </c>
      <c r="K645" s="163">
        <f t="shared" si="270"/>
        <v>0</v>
      </c>
      <c r="L645" s="163"/>
      <c r="M645" s="163"/>
      <c r="N645" s="465"/>
      <c r="O645" s="163"/>
      <c r="P645" s="163"/>
      <c r="Q645" s="541"/>
      <c r="R645" s="541"/>
      <c r="S645" s="541"/>
      <c r="T645" s="541"/>
      <c r="U645" s="541"/>
      <c r="V645" s="541"/>
      <c r="W645" s="541"/>
      <c r="X645" s="541"/>
      <c r="Y645" s="541"/>
      <c r="Z645" s="541"/>
    </row>
    <row r="646" spans="1:26" ht="18.75" hidden="1">
      <c r="A646" s="708"/>
      <c r="B646" s="538"/>
      <c r="C646" s="727"/>
      <c r="D646" s="592"/>
      <c r="E646" s="592"/>
      <c r="F646" s="592"/>
      <c r="G646" s="726"/>
      <c r="H646" s="728" t="s">
        <v>46</v>
      </c>
      <c r="I646" s="269">
        <v>0</v>
      </c>
      <c r="J646" s="269">
        <f ca="1">IFERROR(__xludf.DUMMYFUNCTION("IMPORTRANGE(""https://docs.google.com/spreadsheets/d/1XWAQStnk-4SwqDmLtmXYiTMKHgktTP8We1SCoS47DrQ/edit?usp=sharing"",""จัดที่ดิน!AT25"")"),0)</f>
        <v>0</v>
      </c>
      <c r="K646" s="465">
        <f t="shared" si="270"/>
        <v>0</v>
      </c>
      <c r="L646" s="163"/>
      <c r="M646" s="163"/>
      <c r="N646" s="465"/>
      <c r="O646" s="163"/>
      <c r="P646" s="163"/>
      <c r="Q646" s="541"/>
      <c r="R646" s="541"/>
      <c r="S646" s="541"/>
      <c r="T646" s="541"/>
      <c r="U646" s="541"/>
      <c r="V646" s="541"/>
      <c r="W646" s="541"/>
      <c r="X646" s="541"/>
      <c r="Y646" s="541"/>
      <c r="Z646" s="541"/>
    </row>
    <row r="647" spans="1:26" ht="18.75" hidden="1">
      <c r="A647" s="708"/>
      <c r="B647" s="538"/>
      <c r="C647" s="727"/>
      <c r="D647" s="592"/>
      <c r="E647" s="710" t="s">
        <v>162</v>
      </c>
      <c r="F647" s="592"/>
      <c r="G647" s="726"/>
      <c r="H647" s="728" t="s">
        <v>35</v>
      </c>
      <c r="I647" s="269">
        <f ca="1">IFERROR(__xludf.DUMMYFUNCTION("IMPORTRANGE(""https://docs.google.com/spreadsheets/d/1QqKyyYR6Q21VydFLVH3TRQUabQu_ym0Zz7PgGX0-kHA/edit?usp=sharing"",""แผน!HS25"")"),0)</f>
        <v>0</v>
      </c>
      <c r="J647" s="269">
        <f ca="1">IFERROR(__xludf.DUMMYFUNCTION("IMPORTRANGE(""https://docs.google.com/spreadsheets/d/1XWAQStnk-4SwqDmLtmXYiTMKHgktTP8We1SCoS47DrQ/edit?usp=sharing"",""จัดที่ดิน!AU25"")"),0)</f>
        <v>0</v>
      </c>
      <c r="K647" s="163">
        <f t="shared" ca="1" si="270"/>
        <v>0</v>
      </c>
      <c r="L647" s="163"/>
      <c r="M647" s="163"/>
      <c r="N647" s="163"/>
      <c r="O647" s="163"/>
      <c r="P647" s="163"/>
      <c r="Q647" s="541"/>
      <c r="R647" s="541"/>
      <c r="S647" s="541"/>
      <c r="T647" s="541"/>
      <c r="U647" s="541"/>
      <c r="V647" s="541"/>
      <c r="W647" s="541"/>
      <c r="X647" s="541"/>
      <c r="Y647" s="541"/>
      <c r="Z647" s="541"/>
    </row>
    <row r="648" spans="1:26" ht="18.75" hidden="1">
      <c r="A648" s="708"/>
      <c r="B648" s="538"/>
      <c r="C648" s="727"/>
      <c r="D648" s="592"/>
      <c r="E648" s="592"/>
      <c r="F648" s="592"/>
      <c r="G648" s="726"/>
      <c r="H648" s="728" t="s">
        <v>46</v>
      </c>
      <c r="I648" s="269">
        <v>0</v>
      </c>
      <c r="J648" s="269">
        <f ca="1">IFERROR(__xludf.DUMMYFUNCTION("IMPORTRANGE(""https://docs.google.com/spreadsheets/d/1XWAQStnk-4SwqDmLtmXYiTMKHgktTP8We1SCoS47DrQ/edit?usp=sharing"",""จัดที่ดิน!AV25"")"),0)</f>
        <v>0</v>
      </c>
      <c r="K648" s="465">
        <f t="shared" si="270"/>
        <v>0</v>
      </c>
      <c r="L648" s="163"/>
      <c r="M648" s="163"/>
      <c r="N648" s="163"/>
      <c r="O648" s="163"/>
      <c r="P648" s="163"/>
      <c r="Q648" s="541"/>
      <c r="R648" s="541"/>
      <c r="S648" s="541"/>
      <c r="T648" s="541"/>
      <c r="U648" s="541"/>
      <c r="V648" s="541"/>
      <c r="W648" s="541"/>
      <c r="X648" s="541"/>
      <c r="Y648" s="541"/>
      <c r="Z648" s="541"/>
    </row>
    <row r="649" spans="1:26" ht="18.75" hidden="1">
      <c r="A649" s="708"/>
      <c r="B649" s="538"/>
      <c r="C649" s="727"/>
      <c r="D649" s="592"/>
      <c r="E649" s="710" t="s">
        <v>276</v>
      </c>
      <c r="F649" s="592"/>
      <c r="G649" s="726"/>
      <c r="H649" s="728" t="s">
        <v>35</v>
      </c>
      <c r="I649" s="269">
        <f ca="1">IFERROR(__xludf.DUMMYFUNCTION("IMPORTRANGE(""https://docs.google.com/spreadsheets/d/1QqKyyYR6Q21VydFLVH3TRQUabQu_ym0Zz7PgGX0-kHA/edit?usp=sharing"",""แผน!HS25"")"),0)</f>
        <v>0</v>
      </c>
      <c r="J649" s="269">
        <f ca="1">IFERROR(__xludf.DUMMYFUNCTION("IMPORTRANGE(""https://docs.google.com/spreadsheets/d/1XWAQStnk-4SwqDmLtmXYiTMKHgktTP8We1SCoS47DrQ/edit?usp=sharing"",""จัดที่ดิน!AW25"")"),0)</f>
        <v>0</v>
      </c>
      <c r="K649" s="163">
        <f t="shared" ca="1" si="270"/>
        <v>0</v>
      </c>
      <c r="L649" s="163"/>
      <c r="M649" s="163"/>
      <c r="N649" s="163"/>
      <c r="O649" s="163"/>
      <c r="P649" s="163"/>
      <c r="Q649" s="541"/>
      <c r="R649" s="541"/>
      <c r="S649" s="541"/>
      <c r="T649" s="541"/>
      <c r="U649" s="541"/>
      <c r="V649" s="541"/>
      <c r="W649" s="541"/>
      <c r="X649" s="541"/>
      <c r="Y649" s="541"/>
      <c r="Z649" s="541"/>
    </row>
    <row r="650" spans="1:26" ht="18.75" hidden="1">
      <c r="A650" s="708"/>
      <c r="B650" s="538"/>
      <c r="C650" s="727"/>
      <c r="D650" s="592"/>
      <c r="E650" s="592"/>
      <c r="F650" s="592"/>
      <c r="G650" s="726"/>
      <c r="H650" s="728" t="s">
        <v>46</v>
      </c>
      <c r="I650" s="269">
        <v>0</v>
      </c>
      <c r="J650" s="269">
        <f ca="1">IFERROR(__xludf.DUMMYFUNCTION("IMPORTRANGE(""https://docs.google.com/spreadsheets/d/1XWAQStnk-4SwqDmLtmXYiTMKHgktTP8We1SCoS47DrQ/edit?usp=sharing"",""จัดที่ดิน!AX25"")"),0)</f>
        <v>0</v>
      </c>
      <c r="K650" s="465">
        <f t="shared" si="270"/>
        <v>0</v>
      </c>
      <c r="L650" s="163"/>
      <c r="M650" s="163"/>
      <c r="N650" s="163"/>
      <c r="O650" s="163"/>
      <c r="P650" s="163"/>
      <c r="Q650" s="541"/>
      <c r="R650" s="541"/>
      <c r="S650" s="541"/>
      <c r="T650" s="541"/>
      <c r="U650" s="541"/>
      <c r="V650" s="541"/>
      <c r="W650" s="541"/>
      <c r="X650" s="541"/>
      <c r="Y650" s="541"/>
      <c r="Z650" s="541"/>
    </row>
    <row r="651" spans="1:26" ht="18.75" hidden="1">
      <c r="A651" s="708"/>
      <c r="B651" s="538"/>
      <c r="C651" s="727"/>
      <c r="D651" s="592"/>
      <c r="E651" s="710" t="s">
        <v>277</v>
      </c>
      <c r="F651" s="592"/>
      <c r="G651" s="726"/>
      <c r="H651" s="728" t="s">
        <v>35</v>
      </c>
      <c r="I651" s="269">
        <f ca="1">IFERROR(__xludf.DUMMYFUNCTION("IMPORTRANGE(""https://docs.google.com/spreadsheets/d/1QqKyyYR6Q21VydFLVH3TRQUabQu_ym0Zz7PgGX0-kHA/edit?usp=sharing"",""แผน!HS25"")"),0)</f>
        <v>0</v>
      </c>
      <c r="J651" s="269">
        <f ca="1">IFERROR(__xludf.DUMMYFUNCTION("IMPORTRANGE(""https://docs.google.com/spreadsheets/d/1XWAQStnk-4SwqDmLtmXYiTMKHgktTP8We1SCoS47DrQ/edit?usp=sharing"",""จัดที่ดิน!AY25"")"),0)</f>
        <v>0</v>
      </c>
      <c r="K651" s="163">
        <f t="shared" ca="1" si="270"/>
        <v>0</v>
      </c>
      <c r="L651" s="163"/>
      <c r="M651" s="163"/>
      <c r="N651" s="163"/>
      <c r="O651" s="163"/>
      <c r="P651" s="163"/>
      <c r="Q651" s="541"/>
      <c r="R651" s="541"/>
      <c r="S651" s="541"/>
      <c r="T651" s="541"/>
      <c r="U651" s="541"/>
      <c r="V651" s="541"/>
      <c r="W651" s="541"/>
      <c r="X651" s="541"/>
      <c r="Y651" s="541"/>
      <c r="Z651" s="541"/>
    </row>
    <row r="652" spans="1:26" ht="18.75" hidden="1">
      <c r="A652" s="711"/>
      <c r="B652" s="712"/>
      <c r="C652" s="713"/>
      <c r="D652" s="698"/>
      <c r="E652" s="698"/>
      <c r="F652" s="698"/>
      <c r="G652" s="699"/>
      <c r="H652" s="467" t="s">
        <v>46</v>
      </c>
      <c r="I652" s="468">
        <v>0</v>
      </c>
      <c r="J652" s="468">
        <f ca="1">IFERROR(__xludf.DUMMYFUNCTION("IMPORTRANGE(""https://docs.google.com/spreadsheets/d/1XWAQStnk-4SwqDmLtmXYiTMKHgktTP8We1SCoS47DrQ/edit?usp=sharing"",""จัดที่ดิน!AZ25"")"),0)</f>
        <v>0</v>
      </c>
      <c r="K652" s="469">
        <f t="shared" si="270"/>
        <v>0</v>
      </c>
      <c r="L652" s="353"/>
      <c r="M652" s="353"/>
      <c r="N652" s="353"/>
      <c r="O652" s="353"/>
      <c r="P652" s="353"/>
      <c r="Q652" s="541"/>
      <c r="R652" s="541"/>
      <c r="S652" s="541"/>
      <c r="T652" s="541"/>
      <c r="U652" s="541"/>
      <c r="V652" s="541"/>
      <c r="W652" s="541"/>
      <c r="X652" s="541"/>
      <c r="Y652" s="541"/>
      <c r="Z652" s="541"/>
    </row>
    <row r="653" spans="1:26" ht="19.5" hidden="1">
      <c r="A653" s="714">
        <v>8</v>
      </c>
      <c r="B653" s="701" t="s">
        <v>278</v>
      </c>
      <c r="C653" s="702"/>
      <c r="D653" s="702"/>
      <c r="E653" s="702"/>
      <c r="F653" s="702"/>
      <c r="G653" s="703"/>
      <c r="H653" s="703"/>
      <c r="I653" s="715"/>
      <c r="J653" s="715"/>
      <c r="K653" s="707"/>
      <c r="L653" s="707"/>
      <c r="M653" s="707"/>
      <c r="N653" s="707"/>
      <c r="O653" s="707"/>
      <c r="P653" s="707"/>
      <c r="Q653" s="541"/>
      <c r="R653" s="541"/>
      <c r="S653" s="541"/>
      <c r="T653" s="541"/>
      <c r="U653" s="541"/>
      <c r="V653" s="541"/>
      <c r="W653" s="541"/>
      <c r="X653" s="541"/>
      <c r="Y653" s="541"/>
      <c r="Z653" s="541"/>
    </row>
    <row r="654" spans="1:26" ht="19.5" hidden="1">
      <c r="A654" s="639"/>
      <c r="B654" s="638" t="s">
        <v>279</v>
      </c>
      <c r="C654" s="639"/>
      <c r="D654" s="639"/>
      <c r="E654" s="639"/>
      <c r="F654" s="639"/>
      <c r="G654" s="640"/>
      <c r="H654" s="671" t="s">
        <v>46</v>
      </c>
      <c r="I654" s="672">
        <f t="shared" ref="I654:J654" ca="1" si="271">I669</f>
        <v>0</v>
      </c>
      <c r="J654" s="672">
        <f t="shared" si="271"/>
        <v>0</v>
      </c>
      <c r="K654" s="643">
        <f ca="1">IF(I654&gt;0,J654*100/I654,0)</f>
        <v>0</v>
      </c>
      <c r="L654" s="644"/>
      <c r="M654" s="644"/>
      <c r="N654" s="644"/>
      <c r="O654" s="644"/>
      <c r="P654" s="644"/>
      <c r="Q654" s="541"/>
      <c r="R654" s="541"/>
      <c r="S654" s="541"/>
      <c r="T654" s="541"/>
      <c r="U654" s="541"/>
      <c r="V654" s="541"/>
      <c r="W654" s="541"/>
      <c r="X654" s="541"/>
      <c r="Y654" s="541"/>
      <c r="Z654" s="541"/>
    </row>
    <row r="655" spans="1:26" ht="19.5" hidden="1">
      <c r="A655" s="561"/>
      <c r="B655" s="727"/>
      <c r="C655" s="727" t="s">
        <v>16</v>
      </c>
      <c r="D655" s="811" t="s">
        <v>17</v>
      </c>
      <c r="E655" s="805"/>
      <c r="F655" s="805"/>
      <c r="G655" s="189"/>
      <c r="H655" s="562" t="s">
        <v>12</v>
      </c>
      <c r="I655" s="269"/>
      <c r="J655" s="269"/>
      <c r="K655" s="465"/>
      <c r="L655" s="195">
        <f t="shared" ref="L655:N655" ca="1" si="272">L656+L657</f>
        <v>0</v>
      </c>
      <c r="M655" s="195">
        <f t="shared" si="272"/>
        <v>0</v>
      </c>
      <c r="N655" s="195">
        <f t="shared" si="272"/>
        <v>0</v>
      </c>
      <c r="O655" s="195">
        <f t="shared" ref="O655:O660" ca="1" si="273">IF(L655&gt;0,N655*100/L655,0)</f>
        <v>0</v>
      </c>
      <c r="P655" s="195">
        <f t="shared" ref="P655:P660" si="274">IF(M655&gt;0,N655*100/M655,0)</f>
        <v>0</v>
      </c>
      <c r="Q655" s="541"/>
      <c r="R655" s="541"/>
      <c r="S655" s="541"/>
      <c r="T655" s="541"/>
      <c r="U655" s="541"/>
      <c r="V655" s="541"/>
      <c r="W655" s="541"/>
      <c r="X655" s="541"/>
      <c r="Y655" s="541"/>
      <c r="Z655" s="541"/>
    </row>
    <row r="656" spans="1:26" ht="18.75" hidden="1">
      <c r="A656" s="563"/>
      <c r="B656" s="723"/>
      <c r="C656" s="723"/>
      <c r="D656" s="684"/>
      <c r="E656" s="723" t="s">
        <v>184</v>
      </c>
      <c r="F656" s="723"/>
      <c r="G656" s="567"/>
      <c r="H656" s="165" t="s">
        <v>12</v>
      </c>
      <c r="I656" s="583"/>
      <c r="J656" s="583"/>
      <c r="K656" s="93"/>
      <c r="L656" s="93">
        <f t="shared" ref="L656:N657" si="275">L659+L666</f>
        <v>0</v>
      </c>
      <c r="M656" s="93">
        <f t="shared" si="275"/>
        <v>0</v>
      </c>
      <c r="N656" s="93">
        <f t="shared" si="275"/>
        <v>0</v>
      </c>
      <c r="O656" s="93">
        <f t="shared" si="273"/>
        <v>0</v>
      </c>
      <c r="P656" s="93">
        <f t="shared" si="274"/>
        <v>0</v>
      </c>
      <c r="Q656" s="568"/>
      <c r="R656" s="568"/>
      <c r="S656" s="568"/>
      <c r="T656" s="568"/>
      <c r="U656" s="568"/>
      <c r="V656" s="568"/>
      <c r="W656" s="568"/>
      <c r="X656" s="568"/>
      <c r="Y656" s="568"/>
      <c r="Z656" s="568"/>
    </row>
    <row r="657" spans="1:26" ht="18.75" hidden="1">
      <c r="A657" s="563"/>
      <c r="B657" s="571"/>
      <c r="C657" s="723"/>
      <c r="D657" s="684"/>
      <c r="E657" s="723" t="s">
        <v>185</v>
      </c>
      <c r="F657" s="723"/>
      <c r="G657" s="567"/>
      <c r="H657" s="165" t="s">
        <v>12</v>
      </c>
      <c r="I657" s="583"/>
      <c r="J657" s="583"/>
      <c r="K657" s="93"/>
      <c r="L657" s="93">
        <f t="shared" ca="1" si="275"/>
        <v>0</v>
      </c>
      <c r="M657" s="93">
        <f t="shared" si="275"/>
        <v>0</v>
      </c>
      <c r="N657" s="93">
        <f t="shared" si="275"/>
        <v>0</v>
      </c>
      <c r="O657" s="93">
        <f t="shared" ca="1" si="273"/>
        <v>0</v>
      </c>
      <c r="P657" s="93">
        <f t="shared" si="274"/>
        <v>0</v>
      </c>
      <c r="Q657" s="568"/>
      <c r="R657" s="568"/>
      <c r="S657" s="568"/>
      <c r="T657" s="568"/>
      <c r="U657" s="568"/>
      <c r="V657" s="568"/>
      <c r="W657" s="568"/>
      <c r="X657" s="568"/>
      <c r="Y657" s="568"/>
      <c r="Z657" s="568"/>
    </row>
    <row r="658" spans="1:26" ht="18.75" hidden="1">
      <c r="A658" s="561"/>
      <c r="B658" s="538"/>
      <c r="C658" s="727"/>
      <c r="D658" s="570" t="s">
        <v>20</v>
      </c>
      <c r="E658" s="727"/>
      <c r="F658" s="727"/>
      <c r="G658" s="189"/>
      <c r="H658" s="161" t="s">
        <v>12</v>
      </c>
      <c r="I658" s="184"/>
      <c r="J658" s="184"/>
      <c r="K658" s="163"/>
      <c r="L658" s="465">
        <f t="shared" ref="L658:N658" ca="1" si="276">L659+L660</f>
        <v>0</v>
      </c>
      <c r="M658" s="465">
        <f t="shared" si="276"/>
        <v>0</v>
      </c>
      <c r="N658" s="465">
        <f t="shared" si="276"/>
        <v>0</v>
      </c>
      <c r="O658" s="465">
        <f t="shared" ca="1" si="273"/>
        <v>0</v>
      </c>
      <c r="P658" s="465">
        <f t="shared" si="274"/>
        <v>0</v>
      </c>
      <c r="Q658" s="541"/>
      <c r="R658" s="541"/>
      <c r="S658" s="541"/>
      <c r="T658" s="541"/>
      <c r="U658" s="541"/>
      <c r="V658" s="541"/>
      <c r="W658" s="541"/>
      <c r="X658" s="541"/>
      <c r="Y658" s="541"/>
      <c r="Z658" s="541"/>
    </row>
    <row r="659" spans="1:26" ht="18.75" hidden="1">
      <c r="A659" s="563"/>
      <c r="B659" s="571"/>
      <c r="C659" s="723"/>
      <c r="D659" s="684"/>
      <c r="E659" s="723" t="s">
        <v>184</v>
      </c>
      <c r="F659" s="723"/>
      <c r="G659" s="567"/>
      <c r="H659" s="165" t="s">
        <v>12</v>
      </c>
      <c r="I659" s="583"/>
      <c r="J659" s="583"/>
      <c r="K659" s="93"/>
      <c r="L659" s="93">
        <v>0</v>
      </c>
      <c r="M659" s="93">
        <v>0</v>
      </c>
      <c r="N659" s="93">
        <v>0</v>
      </c>
      <c r="O659" s="93">
        <f t="shared" si="273"/>
        <v>0</v>
      </c>
      <c r="P659" s="93">
        <f t="shared" si="274"/>
        <v>0</v>
      </c>
      <c r="Q659" s="568"/>
      <c r="R659" s="568"/>
      <c r="S659" s="568"/>
      <c r="T659" s="568"/>
      <c r="U659" s="568"/>
      <c r="V659" s="568"/>
      <c r="W659" s="568"/>
      <c r="X659" s="568"/>
      <c r="Y659" s="568"/>
      <c r="Z659" s="568"/>
    </row>
    <row r="660" spans="1:26" ht="18.75" hidden="1">
      <c r="A660" s="563"/>
      <c r="B660" s="571"/>
      <c r="C660" s="723"/>
      <c r="D660" s="684"/>
      <c r="E660" s="723" t="s">
        <v>185</v>
      </c>
      <c r="F660" s="723"/>
      <c r="G660" s="567"/>
      <c r="H660" s="165" t="s">
        <v>12</v>
      </c>
      <c r="I660" s="583"/>
      <c r="J660" s="583"/>
      <c r="K660" s="93"/>
      <c r="L660" s="93">
        <f ca="1">IFERROR(__xludf.DUMMYFUNCTION("IMPORTRANGE(""https://docs.google.com/spreadsheets/d/1QqKyyYR6Q21VydFLVH3TRQUabQu_ym0Zz7PgGX0-kHA/edit?usp=sharing"",""แผน!HV25"")"),0)</f>
        <v>0</v>
      </c>
      <c r="M660" s="93">
        <v>0</v>
      </c>
      <c r="N660" s="93">
        <f>N661+N662+N663+N664</f>
        <v>0</v>
      </c>
      <c r="O660" s="93">
        <f t="shared" ca="1" si="273"/>
        <v>0</v>
      </c>
      <c r="P660" s="93">
        <f t="shared" si="274"/>
        <v>0</v>
      </c>
      <c r="Q660" s="568"/>
      <c r="R660" s="568"/>
      <c r="S660" s="568"/>
      <c r="T660" s="568"/>
      <c r="U660" s="568"/>
      <c r="V660" s="568"/>
      <c r="W660" s="568"/>
      <c r="X660" s="568"/>
      <c r="Y660" s="568"/>
      <c r="Z660" s="568"/>
    </row>
    <row r="661" spans="1:26" ht="18.75" hidden="1">
      <c r="A661" s="537"/>
      <c r="B661" s="538"/>
      <c r="C661" s="727"/>
      <c r="D661" s="727"/>
      <c r="E661" s="727"/>
      <c r="F661" s="727" t="s">
        <v>186</v>
      </c>
      <c r="G661" s="189"/>
      <c r="H661" s="161" t="s">
        <v>12</v>
      </c>
      <c r="I661" s="269"/>
      <c r="J661" s="269"/>
      <c r="K661" s="465"/>
      <c r="L661" s="465"/>
      <c r="M661" s="465"/>
      <c r="N661" s="789">
        <v>0</v>
      </c>
      <c r="O661" s="465"/>
      <c r="P661" s="465"/>
      <c r="Q661" s="541"/>
      <c r="R661" s="541"/>
      <c r="S661" s="541"/>
      <c r="T661" s="541"/>
      <c r="U661" s="541"/>
      <c r="V661" s="541"/>
      <c r="W661" s="541"/>
      <c r="X661" s="541"/>
      <c r="Y661" s="541"/>
      <c r="Z661" s="541"/>
    </row>
    <row r="662" spans="1:26" ht="18.75" hidden="1">
      <c r="A662" s="537"/>
      <c r="B662" s="538"/>
      <c r="C662" s="727"/>
      <c r="D662" s="727"/>
      <c r="E662" s="727"/>
      <c r="F662" s="727" t="s">
        <v>187</v>
      </c>
      <c r="G662" s="189"/>
      <c r="H662" s="161" t="s">
        <v>12</v>
      </c>
      <c r="I662" s="269"/>
      <c r="J662" s="269"/>
      <c r="K662" s="465"/>
      <c r="L662" s="465"/>
      <c r="M662" s="465"/>
      <c r="N662" s="789">
        <v>0</v>
      </c>
      <c r="O662" s="465"/>
      <c r="P662" s="465"/>
      <c r="Q662" s="541"/>
      <c r="R662" s="541"/>
      <c r="S662" s="541"/>
      <c r="T662" s="541"/>
      <c r="U662" s="541"/>
      <c r="V662" s="541"/>
      <c r="W662" s="541"/>
      <c r="X662" s="541"/>
      <c r="Y662" s="541"/>
      <c r="Z662" s="541"/>
    </row>
    <row r="663" spans="1:26" ht="18.75" hidden="1">
      <c r="A663" s="537"/>
      <c r="B663" s="538"/>
      <c r="C663" s="538"/>
      <c r="D663" s="727"/>
      <c r="E663" s="727"/>
      <c r="F663" s="727" t="s">
        <v>188</v>
      </c>
      <c r="G663" s="189"/>
      <c r="H663" s="161" t="s">
        <v>12</v>
      </c>
      <c r="I663" s="269"/>
      <c r="J663" s="269"/>
      <c r="K663" s="465"/>
      <c r="L663" s="465"/>
      <c r="M663" s="465"/>
      <c r="N663" s="789">
        <v>0</v>
      </c>
      <c r="O663" s="465"/>
      <c r="P663" s="465"/>
      <c r="Q663" s="541"/>
      <c r="R663" s="541"/>
      <c r="S663" s="541"/>
      <c r="T663" s="541"/>
      <c r="U663" s="541"/>
      <c r="V663" s="541"/>
      <c r="W663" s="541"/>
      <c r="X663" s="541"/>
      <c r="Y663" s="541"/>
      <c r="Z663" s="541"/>
    </row>
    <row r="664" spans="1:26" ht="18.75" hidden="1">
      <c r="A664" s="537"/>
      <c r="B664" s="538"/>
      <c r="C664" s="538"/>
      <c r="D664" s="538"/>
      <c r="E664" s="727"/>
      <c r="F664" s="727" t="s">
        <v>189</v>
      </c>
      <c r="G664" s="189"/>
      <c r="H664" s="161" t="s">
        <v>12</v>
      </c>
      <c r="I664" s="269"/>
      <c r="J664" s="269"/>
      <c r="K664" s="465"/>
      <c r="L664" s="465"/>
      <c r="M664" s="465"/>
      <c r="N664" s="789">
        <v>0</v>
      </c>
      <c r="O664" s="465"/>
      <c r="P664" s="465"/>
      <c r="Q664" s="541"/>
      <c r="R664" s="541"/>
      <c r="S664" s="541"/>
      <c r="T664" s="541"/>
      <c r="U664" s="541"/>
      <c r="V664" s="541"/>
      <c r="W664" s="541"/>
      <c r="X664" s="541"/>
      <c r="Y664" s="541"/>
      <c r="Z664" s="541"/>
    </row>
    <row r="665" spans="1:26" ht="18.75" hidden="1">
      <c r="A665" s="561"/>
      <c r="B665" s="538"/>
      <c r="C665" s="538"/>
      <c r="D665" s="570" t="s">
        <v>21</v>
      </c>
      <c r="E665" s="727"/>
      <c r="F665" s="727"/>
      <c r="G665" s="189"/>
      <c r="H665" s="168" t="s">
        <v>12</v>
      </c>
      <c r="I665" s="184"/>
      <c r="J665" s="184"/>
      <c r="K665" s="163"/>
      <c r="L665" s="465">
        <f t="shared" ref="L665:N665" si="277">L666+L667</f>
        <v>0</v>
      </c>
      <c r="M665" s="465">
        <f t="shared" si="277"/>
        <v>0</v>
      </c>
      <c r="N665" s="465">
        <f t="shared" si="277"/>
        <v>0</v>
      </c>
      <c r="O665" s="465">
        <f t="shared" ref="O665:O667" si="278">IF(L665&gt;0,N665*100/L665,0)</f>
        <v>0</v>
      </c>
      <c r="P665" s="465">
        <f t="shared" ref="P665:P667" si="279">IF(M665&gt;0,N665*100/M665,0)</f>
        <v>0</v>
      </c>
      <c r="Q665" s="541"/>
      <c r="R665" s="541"/>
      <c r="S665" s="541"/>
      <c r="T665" s="541"/>
      <c r="U665" s="541"/>
      <c r="V665" s="541"/>
      <c r="W665" s="541"/>
      <c r="X665" s="541"/>
      <c r="Y665" s="541"/>
      <c r="Z665" s="541"/>
    </row>
    <row r="666" spans="1:26" ht="18.75" hidden="1">
      <c r="A666" s="563"/>
      <c r="B666" s="571"/>
      <c r="C666" s="571"/>
      <c r="D666" s="571"/>
      <c r="E666" s="723" t="s">
        <v>18</v>
      </c>
      <c r="F666" s="723"/>
      <c r="G666" s="567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8"/>
        <v>0</v>
      </c>
      <c r="P666" s="93">
        <f t="shared" si="279"/>
        <v>0</v>
      </c>
      <c r="Q666" s="568"/>
      <c r="R666" s="568"/>
      <c r="S666" s="568"/>
      <c r="T666" s="568"/>
      <c r="U666" s="568"/>
      <c r="V666" s="568"/>
      <c r="W666" s="568"/>
      <c r="X666" s="568"/>
      <c r="Y666" s="568"/>
      <c r="Z666" s="568"/>
    </row>
    <row r="667" spans="1:26" ht="18.75" hidden="1">
      <c r="A667" s="563"/>
      <c r="B667" s="571"/>
      <c r="C667" s="571"/>
      <c r="D667" s="571"/>
      <c r="E667" s="723" t="s">
        <v>19</v>
      </c>
      <c r="F667" s="723"/>
      <c r="G667" s="567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8"/>
        <v>0</v>
      </c>
      <c r="P667" s="93">
        <f t="shared" si="279"/>
        <v>0</v>
      </c>
      <c r="Q667" s="568"/>
      <c r="R667" s="568"/>
      <c r="S667" s="568"/>
      <c r="T667" s="568"/>
      <c r="U667" s="568"/>
      <c r="V667" s="568"/>
      <c r="W667" s="568"/>
      <c r="X667" s="568"/>
      <c r="Y667" s="568"/>
      <c r="Z667" s="568"/>
    </row>
    <row r="668" spans="1:26" ht="19.5" hidden="1">
      <c r="A668" s="572"/>
      <c r="B668" s="584"/>
      <c r="C668" s="538" t="s">
        <v>16</v>
      </c>
      <c r="D668" s="850" t="s">
        <v>38</v>
      </c>
      <c r="E668" s="725"/>
      <c r="F668" s="725"/>
      <c r="G668" s="577"/>
      <c r="H668" s="726"/>
      <c r="I668" s="184"/>
      <c r="J668" s="184"/>
      <c r="K668" s="163"/>
      <c r="L668" s="163"/>
      <c r="M668" s="163"/>
      <c r="N668" s="163"/>
      <c r="O668" s="163"/>
      <c r="P668" s="163"/>
      <c r="Q668" s="541"/>
      <c r="R668" s="541"/>
      <c r="S668" s="541"/>
      <c r="T668" s="541"/>
      <c r="U668" s="541"/>
      <c r="V668" s="541"/>
      <c r="W668" s="541"/>
      <c r="X668" s="541"/>
      <c r="Y668" s="541"/>
      <c r="Z668" s="541"/>
    </row>
    <row r="669" spans="1:26" ht="19.5" hidden="1">
      <c r="A669" s="572"/>
      <c r="B669" s="584"/>
      <c r="C669" s="584"/>
      <c r="D669" s="584" t="s">
        <v>280</v>
      </c>
      <c r="E669" s="592"/>
      <c r="F669" s="592"/>
      <c r="G669" s="726"/>
      <c r="H669" s="731" t="s">
        <v>46</v>
      </c>
      <c r="I669" s="647">
        <f ca="1">IFERROR(__xludf.DUMMYFUNCTION("IMPORTRANGE(""https://docs.google.com/spreadsheets/d/1QqKyyYR6Q21VydFLVH3TRQUabQu_ym0Zz7PgGX0-kHA/edit?usp=sharing"",""แผน!IA25"")"),0)</f>
        <v>0</v>
      </c>
      <c r="J669" s="647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41"/>
      <c r="R669" s="541"/>
      <c r="S669" s="541"/>
      <c r="T669" s="541"/>
      <c r="U669" s="541"/>
      <c r="V669" s="541"/>
      <c r="W669" s="541"/>
      <c r="X669" s="541"/>
      <c r="Y669" s="541"/>
      <c r="Z669" s="541"/>
    </row>
    <row r="670" spans="1:26" ht="18.75" hidden="1">
      <c r="A670" s="572"/>
      <c r="B670" s="584"/>
      <c r="C670" s="584"/>
      <c r="D670" s="584"/>
      <c r="E670" s="592" t="s">
        <v>281</v>
      </c>
      <c r="F670" s="592"/>
      <c r="G670" s="726"/>
      <c r="H670" s="728" t="s">
        <v>69</v>
      </c>
      <c r="I670" s="269">
        <f ca="1">IFERROR(__xludf.DUMMYFUNCTION("IMPORTRANGE(""https://docs.google.com/spreadsheets/d/1QqKyyYR6Q21VydFLVH3TRQUabQu_ym0Zz7PgGX0-kHA/edit?usp=sharing"",""แผน!HZ25"")"),0)</f>
        <v>0</v>
      </c>
      <c r="J670" s="214">
        <v>0</v>
      </c>
      <c r="K670" s="465">
        <f ca="1">IF(I670&gt;0,(J670*100)/I670,0)</f>
        <v>0</v>
      </c>
      <c r="L670" s="163"/>
      <c r="M670" s="163"/>
      <c r="N670" s="163"/>
      <c r="O670" s="163"/>
      <c r="P670" s="163"/>
      <c r="Q670" s="541"/>
      <c r="R670" s="541"/>
      <c r="S670" s="541"/>
      <c r="T670" s="541"/>
      <c r="U670" s="541"/>
      <c r="V670" s="541"/>
      <c r="W670" s="541"/>
      <c r="X670" s="541"/>
      <c r="Y670" s="541"/>
      <c r="Z670" s="541"/>
    </row>
    <row r="671" spans="1:26" ht="18.75" hidden="1">
      <c r="A671" s="572"/>
      <c r="B671" s="584"/>
      <c r="C671" s="584"/>
      <c r="D671" s="584"/>
      <c r="E671" s="592" t="s">
        <v>282</v>
      </c>
      <c r="F671" s="592"/>
      <c r="G671" s="726"/>
      <c r="H671" s="728" t="s">
        <v>69</v>
      </c>
      <c r="I671" s="269">
        <f ca="1">IFERROR(__xludf.DUMMYFUNCTION("IMPORTRANGE(""https://docs.google.com/spreadsheets/d/1QqKyyYR6Q21VydFLVH3TRQUabQu_ym0Zz7PgGX0-kHA/edit?usp=sharing"",""แผน!HZ25"")"),0)</f>
        <v>0</v>
      </c>
      <c r="J671" s="214">
        <v>0</v>
      </c>
      <c r="K671" s="465">
        <f ca="1">IF(I$671&gt;0,J671*100/I$671,0)</f>
        <v>0</v>
      </c>
      <c r="L671" s="163"/>
      <c r="M671" s="163"/>
      <c r="N671" s="163"/>
      <c r="O671" s="163"/>
      <c r="P671" s="163"/>
      <c r="Q671" s="541"/>
      <c r="R671" s="541"/>
      <c r="S671" s="541"/>
      <c r="T671" s="541"/>
      <c r="U671" s="541"/>
      <c r="V671" s="541"/>
      <c r="W671" s="541"/>
      <c r="X671" s="541"/>
      <c r="Y671" s="541"/>
      <c r="Z671" s="541"/>
    </row>
    <row r="672" spans="1:26" ht="18.75" hidden="1">
      <c r="A672" s="572"/>
      <c r="B672" s="584"/>
      <c r="C672" s="584"/>
      <c r="D672" s="584"/>
      <c r="E672" s="592" t="s">
        <v>283</v>
      </c>
      <c r="F672" s="592"/>
      <c r="G672" s="726"/>
      <c r="H672" s="728" t="s">
        <v>46</v>
      </c>
      <c r="I672" s="269"/>
      <c r="J672" s="214">
        <v>0</v>
      </c>
      <c r="K672" s="465">
        <f t="shared" ref="K672:K675" ca="1" si="280">IF(I$669&gt;0,J672*100/I$669,0)</f>
        <v>0</v>
      </c>
      <c r="L672" s="163"/>
      <c r="M672" s="163"/>
      <c r="N672" s="163"/>
      <c r="O672" s="163"/>
      <c r="P672" s="163"/>
      <c r="Q672" s="541"/>
      <c r="R672" s="541"/>
      <c r="S672" s="541"/>
      <c r="T672" s="541"/>
      <c r="U672" s="541"/>
      <c r="V672" s="541"/>
      <c r="W672" s="541"/>
      <c r="X672" s="541"/>
      <c r="Y672" s="541"/>
      <c r="Z672" s="541"/>
    </row>
    <row r="673" spans="1:26" ht="18.75" hidden="1">
      <c r="A673" s="572"/>
      <c r="B673" s="584"/>
      <c r="C673" s="584"/>
      <c r="D673" s="584"/>
      <c r="E673" s="592" t="s">
        <v>284</v>
      </c>
      <c r="F673" s="592"/>
      <c r="G673" s="726"/>
      <c r="H673" s="728" t="s">
        <v>46</v>
      </c>
      <c r="I673" s="269"/>
      <c r="J673" s="214">
        <v>0</v>
      </c>
      <c r="K673" s="465">
        <f t="shared" ca="1" si="280"/>
        <v>0</v>
      </c>
      <c r="L673" s="163"/>
      <c r="M673" s="163"/>
      <c r="N673" s="163"/>
      <c r="O673" s="163"/>
      <c r="P673" s="163"/>
      <c r="Q673" s="541"/>
      <c r="R673" s="541"/>
      <c r="S673" s="541"/>
      <c r="T673" s="541"/>
      <c r="U673" s="541"/>
      <c r="V673" s="541"/>
      <c r="W673" s="541"/>
      <c r="X673" s="541"/>
      <c r="Y673" s="541"/>
      <c r="Z673" s="541"/>
    </row>
    <row r="674" spans="1:26" ht="18.75" hidden="1">
      <c r="A674" s="572"/>
      <c r="B674" s="584"/>
      <c r="C674" s="584"/>
      <c r="D674" s="584"/>
      <c r="E674" s="592" t="s">
        <v>285</v>
      </c>
      <c r="F674" s="592"/>
      <c r="G674" s="726"/>
      <c r="H674" s="728" t="s">
        <v>46</v>
      </c>
      <c r="I674" s="269"/>
      <c r="J674" s="214">
        <v>0</v>
      </c>
      <c r="K674" s="465">
        <f t="shared" ca="1" si="280"/>
        <v>0</v>
      </c>
      <c r="L674" s="163"/>
      <c r="M674" s="163"/>
      <c r="N674" s="163"/>
      <c r="O674" s="163"/>
      <c r="P674" s="163"/>
      <c r="Q674" s="541"/>
      <c r="R674" s="541"/>
      <c r="S674" s="541"/>
      <c r="T674" s="541"/>
      <c r="U674" s="541"/>
      <c r="V674" s="541"/>
      <c r="W674" s="541"/>
      <c r="X674" s="541"/>
      <c r="Y674" s="541"/>
      <c r="Z674" s="541"/>
    </row>
    <row r="675" spans="1:26" ht="19.5" hidden="1">
      <c r="A675" s="572"/>
      <c r="B675" s="584"/>
      <c r="C675" s="584"/>
      <c r="D675" s="584"/>
      <c r="E675" s="592" t="s">
        <v>286</v>
      </c>
      <c r="F675" s="592"/>
      <c r="G675" s="726"/>
      <c r="H675" s="728" t="s">
        <v>46</v>
      </c>
      <c r="I675" s="269"/>
      <c r="J675" s="647">
        <f>J676+J677</f>
        <v>0</v>
      </c>
      <c r="K675" s="195">
        <f t="shared" ca="1" si="280"/>
        <v>0</v>
      </c>
      <c r="L675" s="163"/>
      <c r="M675" s="163"/>
      <c r="N675" s="163"/>
      <c r="O675" s="163"/>
      <c r="P675" s="163"/>
      <c r="Q675" s="541"/>
      <c r="R675" s="541"/>
      <c r="S675" s="541"/>
      <c r="T675" s="541"/>
      <c r="U675" s="541"/>
      <c r="V675" s="541"/>
      <c r="W675" s="541"/>
      <c r="X675" s="541"/>
      <c r="Y675" s="541"/>
      <c r="Z675" s="541"/>
    </row>
    <row r="676" spans="1:26" ht="18.75" hidden="1">
      <c r="A676" s="572"/>
      <c r="B676" s="584"/>
      <c r="C676" s="584"/>
      <c r="D676" s="584"/>
      <c r="E676" s="592"/>
      <c r="F676" s="592" t="s">
        <v>287</v>
      </c>
      <c r="G676" s="726"/>
      <c r="H676" s="728" t="s">
        <v>46</v>
      </c>
      <c r="I676" s="269"/>
      <c r="J676" s="214">
        <v>0</v>
      </c>
      <c r="K676" s="465"/>
      <c r="L676" s="163"/>
      <c r="M676" s="163"/>
      <c r="N676" s="163"/>
      <c r="O676" s="163"/>
      <c r="P676" s="163"/>
      <c r="Q676" s="541"/>
      <c r="R676" s="541"/>
      <c r="S676" s="541"/>
      <c r="T676" s="541"/>
      <c r="U676" s="541"/>
      <c r="V676" s="541"/>
      <c r="W676" s="541"/>
      <c r="X676" s="541"/>
      <c r="Y676" s="541"/>
      <c r="Z676" s="541"/>
    </row>
    <row r="677" spans="1:26" ht="18.75" hidden="1">
      <c r="A677" s="572"/>
      <c r="B677" s="584"/>
      <c r="C677" s="584"/>
      <c r="D677" s="584"/>
      <c r="E677" s="592"/>
      <c r="F677" s="592" t="s">
        <v>288</v>
      </c>
      <c r="G677" s="726"/>
      <c r="H677" s="728" t="s">
        <v>46</v>
      </c>
      <c r="I677" s="269"/>
      <c r="J677" s="214">
        <v>0</v>
      </c>
      <c r="K677" s="465"/>
      <c r="L677" s="163"/>
      <c r="M677" s="163"/>
      <c r="N677" s="163"/>
      <c r="O677" s="163"/>
      <c r="P677" s="163"/>
      <c r="Q677" s="541"/>
      <c r="R677" s="541"/>
      <c r="S677" s="541"/>
      <c r="T677" s="541"/>
      <c r="U677" s="541"/>
      <c r="V677" s="541"/>
      <c r="W677" s="541"/>
      <c r="X677" s="541"/>
      <c r="Y677" s="541"/>
      <c r="Z677" s="541"/>
    </row>
    <row r="678" spans="1:26" ht="19.5" hidden="1">
      <c r="A678" s="572"/>
      <c r="B678" s="584"/>
      <c r="C678" s="584"/>
      <c r="D678" s="584" t="s">
        <v>289</v>
      </c>
      <c r="E678" s="592"/>
      <c r="F678" s="592"/>
      <c r="G678" s="726"/>
      <c r="H678" s="728" t="s">
        <v>46</v>
      </c>
      <c r="I678" s="647">
        <f ca="1">IFERROR(__xludf.DUMMYFUNCTION("IMPORTRANGE(""https://docs.google.com/spreadsheets/d/1QqKyyYR6Q21VydFLVH3TRQUabQu_ym0Zz7PgGX0-kHA/edit?usp=sharing"",""แผน!IB25"")"),0)</f>
        <v>0</v>
      </c>
      <c r="J678" s="647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41"/>
      <c r="R678" s="541"/>
      <c r="S678" s="541"/>
      <c r="T678" s="541"/>
      <c r="U678" s="541"/>
      <c r="V678" s="541"/>
      <c r="W678" s="541"/>
      <c r="X678" s="541"/>
      <c r="Y678" s="541"/>
      <c r="Z678" s="541"/>
    </row>
    <row r="679" spans="1:26" ht="18.75" hidden="1">
      <c r="A679" s="572"/>
      <c r="B679" s="584"/>
      <c r="C679" s="584"/>
      <c r="D679" s="584"/>
      <c r="E679" s="592" t="s">
        <v>290</v>
      </c>
      <c r="F679" s="592"/>
      <c r="G679" s="726"/>
      <c r="H679" s="728" t="s">
        <v>46</v>
      </c>
      <c r="I679" s="269"/>
      <c r="J679" s="269">
        <f>J680+J681</f>
        <v>0</v>
      </c>
      <c r="K679" s="465"/>
      <c r="L679" s="163"/>
      <c r="M679" s="163"/>
      <c r="N679" s="163"/>
      <c r="O679" s="163"/>
      <c r="P679" s="163"/>
      <c r="Q679" s="541"/>
      <c r="R679" s="541"/>
      <c r="S679" s="541"/>
      <c r="T679" s="541"/>
      <c r="U679" s="541"/>
      <c r="V679" s="541"/>
      <c r="W679" s="541"/>
      <c r="X679" s="541"/>
      <c r="Y679" s="541"/>
      <c r="Z679" s="541"/>
    </row>
    <row r="680" spans="1:26" ht="18.75" hidden="1">
      <c r="A680" s="572"/>
      <c r="B680" s="584"/>
      <c r="C680" s="584"/>
      <c r="D680" s="584"/>
      <c r="E680" s="592"/>
      <c r="F680" s="592" t="s">
        <v>287</v>
      </c>
      <c r="G680" s="726"/>
      <c r="H680" s="728" t="s">
        <v>46</v>
      </c>
      <c r="I680" s="269"/>
      <c r="J680" s="214">
        <v>0</v>
      </c>
      <c r="K680" s="465"/>
      <c r="L680" s="163"/>
      <c r="M680" s="163"/>
      <c r="N680" s="163"/>
      <c r="O680" s="163"/>
      <c r="P680" s="163"/>
      <c r="Q680" s="541"/>
      <c r="R680" s="541"/>
      <c r="S680" s="541"/>
      <c r="T680" s="541"/>
      <c r="U680" s="541"/>
      <c r="V680" s="541"/>
      <c r="W680" s="541"/>
      <c r="X680" s="541"/>
      <c r="Y680" s="541"/>
      <c r="Z680" s="541"/>
    </row>
    <row r="681" spans="1:26" ht="18.75" hidden="1">
      <c r="A681" s="572"/>
      <c r="B681" s="584"/>
      <c r="C681" s="584"/>
      <c r="D681" s="584"/>
      <c r="E681" s="592"/>
      <c r="F681" s="592" t="s">
        <v>288</v>
      </c>
      <c r="G681" s="726"/>
      <c r="H681" s="728" t="s">
        <v>46</v>
      </c>
      <c r="I681" s="269"/>
      <c r="J681" s="214">
        <v>0</v>
      </c>
      <c r="K681" s="465"/>
      <c r="L681" s="163"/>
      <c r="M681" s="163"/>
      <c r="N681" s="163"/>
      <c r="O681" s="163"/>
      <c r="P681" s="163"/>
      <c r="Q681" s="541"/>
      <c r="R681" s="541"/>
      <c r="S681" s="541"/>
      <c r="T681" s="541"/>
      <c r="U681" s="541"/>
      <c r="V681" s="541"/>
      <c r="W681" s="541"/>
      <c r="X681" s="541"/>
      <c r="Y681" s="541"/>
      <c r="Z681" s="541"/>
    </row>
    <row r="682" spans="1:26" ht="18.75" hidden="1">
      <c r="A682" s="572"/>
      <c r="B682" s="584"/>
      <c r="C682" s="584"/>
      <c r="D682" s="584"/>
      <c r="E682" s="592" t="s">
        <v>291</v>
      </c>
      <c r="F682" s="592"/>
      <c r="G682" s="726"/>
      <c r="H682" s="728" t="s">
        <v>46</v>
      </c>
      <c r="I682" s="269"/>
      <c r="J682" s="214">
        <v>0</v>
      </c>
      <c r="K682" s="465"/>
      <c r="L682" s="163"/>
      <c r="M682" s="163"/>
      <c r="N682" s="163"/>
      <c r="O682" s="163"/>
      <c r="P682" s="163"/>
      <c r="Q682" s="541"/>
      <c r="R682" s="541"/>
      <c r="S682" s="541"/>
      <c r="T682" s="541"/>
      <c r="U682" s="541"/>
      <c r="V682" s="541"/>
      <c r="W682" s="541"/>
      <c r="X682" s="541"/>
      <c r="Y682" s="541"/>
      <c r="Z682" s="541"/>
    </row>
    <row r="683" spans="1:26" ht="18.75" hidden="1">
      <c r="A683" s="572"/>
      <c r="B683" s="584"/>
      <c r="C683" s="584"/>
      <c r="D683" s="584"/>
      <c r="E683" s="592"/>
      <c r="F683" s="592" t="s">
        <v>292</v>
      </c>
      <c r="G683" s="726"/>
      <c r="H683" s="728" t="s">
        <v>46</v>
      </c>
      <c r="I683" s="269"/>
      <c r="J683" s="214">
        <v>0</v>
      </c>
      <c r="K683" s="465"/>
      <c r="L683" s="163"/>
      <c r="M683" s="163"/>
      <c r="N683" s="163"/>
      <c r="O683" s="163"/>
      <c r="P683" s="163"/>
      <c r="Q683" s="541"/>
      <c r="R683" s="541"/>
      <c r="S683" s="541"/>
      <c r="T683" s="541"/>
      <c r="U683" s="541"/>
      <c r="V683" s="541"/>
      <c r="W683" s="541"/>
      <c r="X683" s="541"/>
      <c r="Y683" s="541"/>
      <c r="Z683" s="541"/>
    </row>
    <row r="684" spans="1:26" ht="19.5" hidden="1">
      <c r="A684" s="717"/>
      <c r="B684" s="718" t="s">
        <v>293</v>
      </c>
      <c r="C684" s="717"/>
      <c r="D684" s="717"/>
      <c r="E684" s="717"/>
      <c r="F684" s="717"/>
      <c r="G684" s="719"/>
      <c r="H684" s="719"/>
      <c r="I684" s="720"/>
      <c r="J684" s="720"/>
      <c r="K684" s="721"/>
      <c r="L684" s="721"/>
      <c r="M684" s="721"/>
      <c r="N684" s="721"/>
      <c r="O684" s="721"/>
      <c r="P684" s="721"/>
      <c r="Q684" s="541"/>
      <c r="R684" s="541"/>
      <c r="S684" s="541"/>
      <c r="T684" s="541"/>
      <c r="U684" s="541"/>
      <c r="V684" s="541"/>
      <c r="W684" s="541"/>
      <c r="X684" s="541"/>
      <c r="Y684" s="541"/>
      <c r="Z684" s="541"/>
    </row>
    <row r="685" spans="1:26" ht="19.5" hidden="1">
      <c r="A685" s="561"/>
      <c r="B685" s="727"/>
      <c r="C685" s="727" t="s">
        <v>16</v>
      </c>
      <c r="D685" s="811" t="s">
        <v>17</v>
      </c>
      <c r="E685" s="805"/>
      <c r="F685" s="805"/>
      <c r="G685" s="189"/>
      <c r="H685" s="562" t="s">
        <v>12</v>
      </c>
      <c r="I685" s="269"/>
      <c r="J685" s="269"/>
      <c r="K685" s="465"/>
      <c r="L685" s="195">
        <f t="shared" ref="L685:N685" ca="1" si="281">L686+L687</f>
        <v>0</v>
      </c>
      <c r="M685" s="195">
        <f t="shared" si="281"/>
        <v>0</v>
      </c>
      <c r="N685" s="195">
        <f t="shared" si="281"/>
        <v>0</v>
      </c>
      <c r="O685" s="195">
        <f t="shared" ref="O685:O688" ca="1" si="282">IF(L685&gt;0,N685*100/L685,0)</f>
        <v>0</v>
      </c>
      <c r="P685" s="195">
        <f t="shared" ref="P685:P688" si="283">IF(M685&gt;0,N685*100/M685,0)</f>
        <v>0</v>
      </c>
      <c r="Q685" s="541"/>
      <c r="R685" s="541"/>
      <c r="S685" s="541"/>
      <c r="T685" s="541"/>
      <c r="U685" s="541"/>
      <c r="V685" s="541"/>
      <c r="W685" s="541"/>
      <c r="X685" s="541"/>
      <c r="Y685" s="541"/>
      <c r="Z685" s="541"/>
    </row>
    <row r="686" spans="1:26" ht="18.75" hidden="1">
      <c r="A686" s="563"/>
      <c r="B686" s="723"/>
      <c r="C686" s="723"/>
      <c r="D686" s="684"/>
      <c r="E686" s="723" t="s">
        <v>184</v>
      </c>
      <c r="F686" s="723"/>
      <c r="G686" s="567"/>
      <c r="H686" s="165" t="s">
        <v>12</v>
      </c>
      <c r="I686" s="583"/>
      <c r="J686" s="583"/>
      <c r="K686" s="93"/>
      <c r="L686" s="93">
        <f t="shared" ref="L686:N687" si="284">L689+L696</f>
        <v>0</v>
      </c>
      <c r="M686" s="93">
        <f t="shared" si="284"/>
        <v>0</v>
      </c>
      <c r="N686" s="93">
        <f t="shared" si="284"/>
        <v>0</v>
      </c>
      <c r="O686" s="93">
        <f t="shared" si="282"/>
        <v>0</v>
      </c>
      <c r="P686" s="93">
        <f t="shared" si="283"/>
        <v>0</v>
      </c>
      <c r="Q686" s="568"/>
      <c r="R686" s="568"/>
      <c r="S686" s="568"/>
      <c r="T686" s="568"/>
      <c r="U686" s="568"/>
      <c r="V686" s="568"/>
      <c r="W686" s="568"/>
      <c r="X686" s="568"/>
      <c r="Y686" s="568"/>
      <c r="Z686" s="568"/>
    </row>
    <row r="687" spans="1:26" ht="18.75" hidden="1">
      <c r="A687" s="563"/>
      <c r="B687" s="571"/>
      <c r="C687" s="723"/>
      <c r="D687" s="684"/>
      <c r="E687" s="723" t="s">
        <v>185</v>
      </c>
      <c r="F687" s="723"/>
      <c r="G687" s="567"/>
      <c r="H687" s="165" t="s">
        <v>12</v>
      </c>
      <c r="I687" s="583"/>
      <c r="J687" s="583"/>
      <c r="K687" s="93"/>
      <c r="L687" s="93">
        <f t="shared" ca="1" si="284"/>
        <v>0</v>
      </c>
      <c r="M687" s="93">
        <f t="shared" si="284"/>
        <v>0</v>
      </c>
      <c r="N687" s="93">
        <f t="shared" si="284"/>
        <v>0</v>
      </c>
      <c r="O687" s="93">
        <f t="shared" ca="1" si="282"/>
        <v>0</v>
      </c>
      <c r="P687" s="93">
        <f t="shared" si="283"/>
        <v>0</v>
      </c>
      <c r="Q687" s="568"/>
      <c r="R687" s="568"/>
      <c r="S687" s="568"/>
      <c r="T687" s="568"/>
      <c r="U687" s="568"/>
      <c r="V687" s="568"/>
      <c r="W687" s="568"/>
      <c r="X687" s="568"/>
      <c r="Y687" s="568"/>
      <c r="Z687" s="568"/>
    </row>
    <row r="688" spans="1:26" ht="18.75" hidden="1">
      <c r="A688" s="561"/>
      <c r="B688" s="538"/>
      <c r="C688" s="727"/>
      <c r="D688" s="570" t="s">
        <v>20</v>
      </c>
      <c r="E688" s="727"/>
      <c r="F688" s="727"/>
      <c r="G688" s="189"/>
      <c r="H688" s="161" t="s">
        <v>12</v>
      </c>
      <c r="I688" s="184"/>
      <c r="J688" s="184"/>
      <c r="K688" s="163"/>
      <c r="L688" s="465">
        <f t="shared" ref="L688:N688" ca="1" si="285">L689+L690</f>
        <v>0</v>
      </c>
      <c r="M688" s="465">
        <f t="shared" si="285"/>
        <v>0</v>
      </c>
      <c r="N688" s="465">
        <f t="shared" si="285"/>
        <v>0</v>
      </c>
      <c r="O688" s="465">
        <f t="shared" ca="1" si="282"/>
        <v>0</v>
      </c>
      <c r="P688" s="465">
        <f t="shared" si="283"/>
        <v>0</v>
      </c>
      <c r="Q688" s="541"/>
      <c r="R688" s="541"/>
      <c r="S688" s="541"/>
      <c r="T688" s="541"/>
      <c r="U688" s="541"/>
      <c r="V688" s="541"/>
      <c r="W688" s="541"/>
      <c r="X688" s="541"/>
      <c r="Y688" s="541"/>
      <c r="Z688" s="541"/>
    </row>
    <row r="689" spans="1:26" ht="18.75" hidden="1">
      <c r="A689" s="563"/>
      <c r="B689" s="571"/>
      <c r="C689" s="723"/>
      <c r="D689" s="684"/>
      <c r="E689" s="723" t="s">
        <v>184</v>
      </c>
      <c r="F689" s="723"/>
      <c r="G689" s="567"/>
      <c r="H689" s="165" t="s">
        <v>12</v>
      </c>
      <c r="I689" s="583"/>
      <c r="J689" s="583"/>
      <c r="K689" s="93"/>
      <c r="L689" s="93">
        <v>0</v>
      </c>
      <c r="M689" s="93">
        <v>0</v>
      </c>
      <c r="N689" s="93">
        <v>0</v>
      </c>
      <c r="O689" s="93"/>
      <c r="P689" s="93"/>
      <c r="Q689" s="568"/>
      <c r="R689" s="568"/>
      <c r="S689" s="568"/>
      <c r="T689" s="568"/>
      <c r="U689" s="568"/>
      <c r="V689" s="568"/>
      <c r="W689" s="568"/>
      <c r="X689" s="568"/>
      <c r="Y689" s="568"/>
      <c r="Z689" s="568"/>
    </row>
    <row r="690" spans="1:26" ht="18.75" hidden="1">
      <c r="A690" s="563"/>
      <c r="B690" s="571"/>
      <c r="C690" s="723"/>
      <c r="D690" s="684"/>
      <c r="E690" s="723" t="s">
        <v>185</v>
      </c>
      <c r="F690" s="723"/>
      <c r="G690" s="567"/>
      <c r="H690" s="165" t="s">
        <v>12</v>
      </c>
      <c r="I690" s="583"/>
      <c r="J690" s="583"/>
      <c r="K690" s="93"/>
      <c r="L690" s="93">
        <f ca="1">IFERROR(__xludf.DUMMYFUNCTION("IMPORTRANGE(""https://docs.google.com/spreadsheets/d/1QqKyyYR6Q21VydFLVH3TRQUabQu_ym0Zz7PgGX0-kHA/edit?usp=sharing"",""แผน!HW25"")"),0)</f>
        <v>0</v>
      </c>
      <c r="M690" s="93">
        <v>0</v>
      </c>
      <c r="N690" s="93">
        <f>N691+N692+N693+N694</f>
        <v>0</v>
      </c>
      <c r="O690" s="93">
        <f ca="1">IF(L690&gt;0,N690*100/L690,0)</f>
        <v>0</v>
      </c>
      <c r="P690" s="93">
        <f>IF(M690&gt;0,N690*100/M690,0)</f>
        <v>0</v>
      </c>
      <c r="Q690" s="568"/>
      <c r="R690" s="568"/>
      <c r="S690" s="568"/>
      <c r="T690" s="568"/>
      <c r="U690" s="568"/>
      <c r="V690" s="568"/>
      <c r="W690" s="568"/>
      <c r="X690" s="568"/>
      <c r="Y690" s="568"/>
      <c r="Z690" s="568"/>
    </row>
    <row r="691" spans="1:26" ht="18.75" hidden="1">
      <c r="A691" s="537"/>
      <c r="B691" s="538"/>
      <c r="C691" s="727"/>
      <c r="D691" s="727"/>
      <c r="E691" s="727"/>
      <c r="F691" s="727" t="s">
        <v>186</v>
      </c>
      <c r="G691" s="189"/>
      <c r="H691" s="161" t="s">
        <v>12</v>
      </c>
      <c r="I691" s="269"/>
      <c r="J691" s="269"/>
      <c r="K691" s="465"/>
      <c r="L691" s="465"/>
      <c r="M691" s="465"/>
      <c r="N691" s="789">
        <v>0</v>
      </c>
      <c r="O691" s="465"/>
      <c r="P691" s="465"/>
      <c r="Q691" s="541"/>
      <c r="R691" s="541"/>
      <c r="S691" s="541"/>
      <c r="T691" s="541"/>
      <c r="U691" s="541"/>
      <c r="V691" s="541"/>
      <c r="W691" s="541"/>
      <c r="X691" s="541"/>
      <c r="Y691" s="541"/>
      <c r="Z691" s="541"/>
    </row>
    <row r="692" spans="1:26" ht="18.75" hidden="1">
      <c r="A692" s="537"/>
      <c r="B692" s="538"/>
      <c r="C692" s="727"/>
      <c r="D692" s="727"/>
      <c r="E692" s="727"/>
      <c r="F692" s="727" t="s">
        <v>187</v>
      </c>
      <c r="G692" s="189"/>
      <c r="H692" s="161" t="s">
        <v>12</v>
      </c>
      <c r="I692" s="269"/>
      <c r="J692" s="269"/>
      <c r="K692" s="465"/>
      <c r="L692" s="465"/>
      <c r="M692" s="465"/>
      <c r="N692" s="789">
        <v>0</v>
      </c>
      <c r="O692" s="465"/>
      <c r="P692" s="465"/>
      <c r="Q692" s="541"/>
      <c r="R692" s="541"/>
      <c r="S692" s="541"/>
      <c r="T692" s="541"/>
      <c r="U692" s="541"/>
      <c r="V692" s="541"/>
      <c r="W692" s="541"/>
      <c r="X692" s="541"/>
      <c r="Y692" s="541"/>
      <c r="Z692" s="541"/>
    </row>
    <row r="693" spans="1:26" ht="18.75" hidden="1">
      <c r="A693" s="537"/>
      <c r="B693" s="538"/>
      <c r="C693" s="727"/>
      <c r="D693" s="727"/>
      <c r="E693" s="727"/>
      <c r="F693" s="727" t="s">
        <v>188</v>
      </c>
      <c r="G693" s="189"/>
      <c r="H693" s="161" t="s">
        <v>12</v>
      </c>
      <c r="I693" s="269"/>
      <c r="J693" s="269"/>
      <c r="K693" s="465"/>
      <c r="L693" s="465"/>
      <c r="M693" s="465"/>
      <c r="N693" s="789">
        <v>0</v>
      </c>
      <c r="O693" s="465"/>
      <c r="P693" s="465"/>
      <c r="Q693" s="541"/>
      <c r="R693" s="541"/>
      <c r="S693" s="541"/>
      <c r="T693" s="541"/>
      <c r="U693" s="541"/>
      <c r="V693" s="541"/>
      <c r="W693" s="541"/>
      <c r="X693" s="541"/>
      <c r="Y693" s="541"/>
      <c r="Z693" s="541"/>
    </row>
    <row r="694" spans="1:26" ht="18.75" hidden="1">
      <c r="A694" s="537"/>
      <c r="B694" s="538"/>
      <c r="C694" s="727"/>
      <c r="D694" s="727"/>
      <c r="E694" s="727"/>
      <c r="F694" s="727" t="s">
        <v>189</v>
      </c>
      <c r="G694" s="189"/>
      <c r="H694" s="161" t="s">
        <v>12</v>
      </c>
      <c r="I694" s="269"/>
      <c r="J694" s="269"/>
      <c r="K694" s="465"/>
      <c r="L694" s="465"/>
      <c r="M694" s="465"/>
      <c r="N694" s="789">
        <v>0</v>
      </c>
      <c r="O694" s="465"/>
      <c r="P694" s="465"/>
      <c r="Q694" s="541"/>
      <c r="R694" s="541"/>
      <c r="S694" s="541"/>
      <c r="T694" s="541"/>
      <c r="U694" s="541"/>
      <c r="V694" s="541"/>
      <c r="W694" s="541"/>
      <c r="X694" s="541"/>
      <c r="Y694" s="541"/>
      <c r="Z694" s="541"/>
    </row>
    <row r="695" spans="1:26" ht="18.75" hidden="1">
      <c r="A695" s="561"/>
      <c r="B695" s="538"/>
      <c r="C695" s="727"/>
      <c r="D695" s="570" t="s">
        <v>21</v>
      </c>
      <c r="E695" s="727"/>
      <c r="F695" s="727"/>
      <c r="G695" s="189"/>
      <c r="H695" s="168" t="s">
        <v>12</v>
      </c>
      <c r="I695" s="184"/>
      <c r="J695" s="184"/>
      <c r="K695" s="163"/>
      <c r="L695" s="465">
        <f t="shared" ref="L695:N695" si="286">L696+L697</f>
        <v>0</v>
      </c>
      <c r="M695" s="465">
        <f t="shared" si="286"/>
        <v>0</v>
      </c>
      <c r="N695" s="465">
        <f t="shared" si="286"/>
        <v>0</v>
      </c>
      <c r="O695" s="465">
        <f t="shared" ref="O695:O697" si="287">IF(L695&gt;0,N695*100/L695,0)</f>
        <v>0</v>
      </c>
      <c r="P695" s="465">
        <f t="shared" ref="P695:P697" si="288">IF(M695&gt;0,N695*100/M695,0)</f>
        <v>0</v>
      </c>
      <c r="Q695" s="541"/>
      <c r="R695" s="541"/>
      <c r="S695" s="541"/>
      <c r="T695" s="541"/>
      <c r="U695" s="541"/>
      <c r="V695" s="541"/>
      <c r="W695" s="541"/>
      <c r="X695" s="541"/>
      <c r="Y695" s="541"/>
      <c r="Z695" s="541"/>
    </row>
    <row r="696" spans="1:26" ht="18.75" hidden="1">
      <c r="A696" s="563"/>
      <c r="B696" s="571"/>
      <c r="C696" s="723"/>
      <c r="D696" s="723"/>
      <c r="E696" s="723" t="s">
        <v>18</v>
      </c>
      <c r="F696" s="723"/>
      <c r="G696" s="567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7"/>
        <v>0</v>
      </c>
      <c r="P696" s="93">
        <f t="shared" si="288"/>
        <v>0</v>
      </c>
      <c r="Q696" s="568"/>
      <c r="R696" s="568"/>
      <c r="S696" s="568"/>
      <c r="T696" s="568"/>
      <c r="U696" s="568"/>
      <c r="V696" s="568"/>
      <c r="W696" s="568"/>
      <c r="X696" s="568"/>
      <c r="Y696" s="568"/>
      <c r="Z696" s="568"/>
    </row>
    <row r="697" spans="1:26" ht="18.75" hidden="1">
      <c r="A697" s="563"/>
      <c r="B697" s="571"/>
      <c r="C697" s="723"/>
      <c r="D697" s="723"/>
      <c r="E697" s="723" t="s">
        <v>19</v>
      </c>
      <c r="F697" s="723"/>
      <c r="G697" s="567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7"/>
        <v>0</v>
      </c>
      <c r="P697" s="93">
        <f t="shared" si="288"/>
        <v>0</v>
      </c>
      <c r="Q697" s="568"/>
      <c r="R697" s="568"/>
      <c r="S697" s="568"/>
      <c r="T697" s="568"/>
      <c r="U697" s="568"/>
      <c r="V697" s="568"/>
      <c r="W697" s="568"/>
      <c r="X697" s="568"/>
      <c r="Y697" s="568"/>
      <c r="Z697" s="568"/>
    </row>
    <row r="698" spans="1:26" ht="19.5" hidden="1">
      <c r="A698" s="572"/>
      <c r="B698" s="584"/>
      <c r="C698" s="727" t="s">
        <v>16</v>
      </c>
      <c r="D698" s="855" t="s">
        <v>38</v>
      </c>
      <c r="E698" s="725"/>
      <c r="F698" s="725"/>
      <c r="G698" s="577"/>
      <c r="H698" s="726"/>
      <c r="I698" s="184"/>
      <c r="J698" s="184"/>
      <c r="K698" s="163"/>
      <c r="L698" s="163"/>
      <c r="M698" s="163"/>
      <c r="N698" s="163"/>
      <c r="O698" s="163"/>
      <c r="P698" s="163"/>
      <c r="Q698" s="541"/>
      <c r="R698" s="541"/>
      <c r="S698" s="541"/>
      <c r="T698" s="541"/>
      <c r="U698" s="541"/>
      <c r="V698" s="541"/>
      <c r="W698" s="541"/>
      <c r="X698" s="541"/>
      <c r="Y698" s="541"/>
      <c r="Z698" s="541"/>
    </row>
    <row r="699" spans="1:26" ht="18.75" hidden="1">
      <c r="A699" s="708"/>
      <c r="B699" s="727"/>
      <c r="C699" s="727"/>
      <c r="D699" s="727" t="s">
        <v>294</v>
      </c>
      <c r="E699" s="727"/>
      <c r="F699" s="727"/>
      <c r="G699" s="189"/>
      <c r="H699" s="728" t="s">
        <v>46</v>
      </c>
      <c r="I699" s="729">
        <f ca="1">IFERROR(__xludf.DUMMYFUNCTION("IMPORTRANGE(""https://docs.google.com/spreadsheets/d/1QqKyyYR6Q21VydFLVH3TRQUabQu_ym0Zz7PgGX0-kHA/edit?usp=sharing"",""แผน!IC25"")"),0)</f>
        <v>0</v>
      </c>
      <c r="J699" s="269">
        <f ca="1">IFERROR(__xludf.DUMMYFUNCTION("IMPORTRANGE(""https://docs.google.com/spreadsheets/d/1XWAQStnk-4SwqDmLtmXYiTMKHgktTP8We1SCoS47DrQ/edit?usp=sharing"",""จัดที่ดิน!BB25"")"),0)</f>
        <v>0</v>
      </c>
      <c r="K699" s="465">
        <f t="shared" ref="K699:K701" ca="1" si="289">IF(I699&gt;0,J699*100/I699,0)</f>
        <v>0</v>
      </c>
      <c r="L699" s="465"/>
      <c r="M699" s="189"/>
      <c r="N699" s="730"/>
      <c r="O699" s="465"/>
      <c r="P699" s="465"/>
      <c r="Q699" s="541"/>
      <c r="R699" s="541"/>
      <c r="S699" s="541"/>
      <c r="T699" s="541"/>
      <c r="U699" s="541"/>
      <c r="V699" s="541"/>
      <c r="W699" s="541"/>
      <c r="X699" s="541"/>
      <c r="Y699" s="541"/>
      <c r="Z699" s="541"/>
    </row>
    <row r="700" spans="1:26" ht="18.75" hidden="1">
      <c r="A700" s="708"/>
      <c r="B700" s="727"/>
      <c r="C700" s="727"/>
      <c r="D700" s="727" t="s">
        <v>295</v>
      </c>
      <c r="E700" s="727"/>
      <c r="F700" s="727"/>
      <c r="G700" s="189"/>
      <c r="H700" s="728" t="s">
        <v>35</v>
      </c>
      <c r="I700" s="729">
        <f ca="1">IFERROR(__xludf.DUMMYFUNCTION("IMPORTRANGE(""https://docs.google.com/spreadsheets/d/1QqKyyYR6Q21VydFLVH3TRQUabQu_ym0Zz7PgGX0-kHA/edit?usp=sharing"",""แผน!ID25"")"),0)</f>
        <v>0</v>
      </c>
      <c r="J700" s="269">
        <f ca="1">IFERROR(__xludf.DUMMYFUNCTION("IMPORTRANGE(""https://docs.google.com/spreadsheets/d/1XWAQStnk-4SwqDmLtmXYiTMKHgktTP8We1SCoS47DrQ/edit?usp=sharing"",""จัดที่ดิน!BD25"")"),0)</f>
        <v>0</v>
      </c>
      <c r="K700" s="465">
        <f t="shared" ca="1" si="289"/>
        <v>0</v>
      </c>
      <c r="L700" s="465"/>
      <c r="M700" s="189"/>
      <c r="N700" s="730"/>
      <c r="O700" s="465"/>
      <c r="P700" s="465"/>
      <c r="Q700" s="541"/>
      <c r="R700" s="541"/>
      <c r="S700" s="541"/>
      <c r="T700" s="541"/>
      <c r="U700" s="541"/>
      <c r="V700" s="541"/>
      <c r="W700" s="541"/>
      <c r="X700" s="541"/>
      <c r="Y700" s="541"/>
      <c r="Z700" s="541"/>
    </row>
    <row r="701" spans="1:26" ht="19.5" hidden="1">
      <c r="A701" s="708"/>
      <c r="B701" s="727"/>
      <c r="C701" s="727"/>
      <c r="D701" s="727" t="s">
        <v>296</v>
      </c>
      <c r="E701" s="727"/>
      <c r="F701" s="727"/>
      <c r="G701" s="189"/>
      <c r="H701" s="731" t="s">
        <v>46</v>
      </c>
      <c r="I701" s="732">
        <f ca="1">IFERROR(__xludf.DUMMYFUNCTION("IMPORTRANGE(""https://docs.google.com/spreadsheets/d/1QqKyyYR6Q21VydFLVH3TRQUabQu_ym0Zz7PgGX0-kHA/edit?usp=sharing"",""แผน!IE25"")"),0)</f>
        <v>0</v>
      </c>
      <c r="J701" s="647">
        <f>J704+J707</f>
        <v>0</v>
      </c>
      <c r="K701" s="195">
        <f t="shared" ca="1" si="289"/>
        <v>0</v>
      </c>
      <c r="L701" s="465"/>
      <c r="M701" s="189"/>
      <c r="N701" s="730"/>
      <c r="O701" s="465"/>
      <c r="P701" s="465"/>
      <c r="Q701" s="541"/>
      <c r="R701" s="541"/>
      <c r="S701" s="541"/>
      <c r="T701" s="541"/>
      <c r="U701" s="541"/>
      <c r="V701" s="541"/>
      <c r="W701" s="541"/>
      <c r="X701" s="541"/>
      <c r="Y701" s="541"/>
      <c r="Z701" s="541"/>
    </row>
    <row r="702" spans="1:26" ht="18.75" hidden="1">
      <c r="A702" s="708"/>
      <c r="B702" s="727"/>
      <c r="C702" s="727"/>
      <c r="D702" s="727"/>
      <c r="E702" s="727" t="s">
        <v>297</v>
      </c>
      <c r="F702" s="727"/>
      <c r="G702" s="189"/>
      <c r="H702" s="728" t="s">
        <v>35</v>
      </c>
      <c r="I702" s="729"/>
      <c r="J702" s="214">
        <v>0</v>
      </c>
      <c r="K702" s="465"/>
      <c r="L702" s="465"/>
      <c r="M702" s="189"/>
      <c r="N702" s="730"/>
      <c r="O702" s="465"/>
      <c r="P702" s="465"/>
      <c r="Q702" s="541"/>
      <c r="R702" s="541"/>
      <c r="S702" s="541"/>
      <c r="T702" s="541"/>
      <c r="U702" s="541"/>
      <c r="V702" s="541"/>
      <c r="W702" s="541"/>
      <c r="X702" s="541"/>
      <c r="Y702" s="541"/>
      <c r="Z702" s="541"/>
    </row>
    <row r="703" spans="1:26" ht="18.75" hidden="1">
      <c r="A703" s="708"/>
      <c r="B703" s="727"/>
      <c r="C703" s="727"/>
      <c r="D703" s="727"/>
      <c r="E703" s="727"/>
      <c r="F703" s="727"/>
      <c r="G703" s="189"/>
      <c r="H703" s="728" t="s">
        <v>34</v>
      </c>
      <c r="I703" s="729"/>
      <c r="J703" s="214">
        <v>0</v>
      </c>
      <c r="K703" s="465"/>
      <c r="L703" s="465"/>
      <c r="M703" s="189"/>
      <c r="N703" s="730"/>
      <c r="O703" s="465"/>
      <c r="P703" s="465"/>
      <c r="Q703" s="541"/>
      <c r="R703" s="541"/>
      <c r="S703" s="541"/>
      <c r="T703" s="541"/>
      <c r="U703" s="541"/>
      <c r="V703" s="541"/>
      <c r="W703" s="541"/>
      <c r="X703" s="541"/>
      <c r="Y703" s="541"/>
      <c r="Z703" s="541"/>
    </row>
    <row r="704" spans="1:26" ht="18.75" hidden="1">
      <c r="A704" s="708"/>
      <c r="B704" s="727"/>
      <c r="C704" s="727"/>
      <c r="D704" s="727"/>
      <c r="E704" s="727"/>
      <c r="F704" s="727"/>
      <c r="G704" s="189"/>
      <c r="H704" s="728" t="s">
        <v>46</v>
      </c>
      <c r="I704" s="729">
        <f ca="1">IFERROR(__xludf.DUMMYFUNCTION("IMPORTRANGE(""https://docs.google.com/spreadsheets/d/1QqKyyYR6Q21VydFLVH3TRQUabQu_ym0Zz7PgGX0-kHA/edit?usp=sharing"",""แผน!IF25"")"),0)</f>
        <v>0</v>
      </c>
      <c r="J704" s="214">
        <v>0</v>
      </c>
      <c r="K704" s="465"/>
      <c r="L704" s="465"/>
      <c r="M704" s="189"/>
      <c r="N704" s="730"/>
      <c r="O704" s="465"/>
      <c r="P704" s="465"/>
      <c r="Q704" s="541"/>
      <c r="R704" s="541"/>
      <c r="S704" s="541"/>
      <c r="T704" s="541"/>
      <c r="U704" s="541"/>
      <c r="V704" s="541"/>
      <c r="W704" s="541"/>
      <c r="X704" s="541"/>
      <c r="Y704" s="541"/>
      <c r="Z704" s="541"/>
    </row>
    <row r="705" spans="1:26" ht="18.75" hidden="1">
      <c r="A705" s="708"/>
      <c r="B705" s="727"/>
      <c r="C705" s="727"/>
      <c r="D705" s="727"/>
      <c r="E705" s="727" t="s">
        <v>298</v>
      </c>
      <c r="F705" s="727"/>
      <c r="G705" s="189"/>
      <c r="H705" s="728" t="s">
        <v>35</v>
      </c>
      <c r="I705" s="729"/>
      <c r="J705" s="214">
        <v>0</v>
      </c>
      <c r="K705" s="465"/>
      <c r="L705" s="465"/>
      <c r="M705" s="189"/>
      <c r="N705" s="730"/>
      <c r="O705" s="465"/>
      <c r="P705" s="465"/>
      <c r="Q705" s="541"/>
      <c r="R705" s="541"/>
      <c r="S705" s="541"/>
      <c r="T705" s="541"/>
      <c r="U705" s="541"/>
      <c r="V705" s="541"/>
      <c r="W705" s="541"/>
      <c r="X705" s="541"/>
      <c r="Y705" s="541"/>
      <c r="Z705" s="541"/>
    </row>
    <row r="706" spans="1:26" ht="18.75" hidden="1">
      <c r="A706" s="708"/>
      <c r="B706" s="727"/>
      <c r="C706" s="727"/>
      <c r="D706" s="727"/>
      <c r="E706" s="727"/>
      <c r="F706" s="727"/>
      <c r="G706" s="189"/>
      <c r="H706" s="728" t="s">
        <v>34</v>
      </c>
      <c r="I706" s="729"/>
      <c r="J706" s="214">
        <v>0</v>
      </c>
      <c r="K706" s="465"/>
      <c r="L706" s="465"/>
      <c r="M706" s="189"/>
      <c r="N706" s="730"/>
      <c r="O706" s="465"/>
      <c r="P706" s="465"/>
      <c r="Q706" s="541"/>
      <c r="R706" s="541"/>
      <c r="S706" s="541"/>
      <c r="T706" s="541"/>
      <c r="U706" s="541"/>
      <c r="V706" s="541"/>
      <c r="W706" s="541"/>
      <c r="X706" s="541"/>
      <c r="Y706" s="541"/>
      <c r="Z706" s="541"/>
    </row>
    <row r="707" spans="1:26" ht="18.75" hidden="1">
      <c r="A707" s="708"/>
      <c r="B707" s="727"/>
      <c r="C707" s="727"/>
      <c r="D707" s="727"/>
      <c r="E707" s="727"/>
      <c r="F707" s="727"/>
      <c r="G707" s="189"/>
      <c r="H707" s="728" t="s">
        <v>46</v>
      </c>
      <c r="I707" s="729">
        <f ca="1">IFERROR(__xludf.DUMMYFUNCTION("IMPORTRANGE(""https://docs.google.com/spreadsheets/d/1QqKyyYR6Q21VydFLVH3TRQUabQu_ym0Zz7PgGX0-kHA/edit?usp=sharing"",""แผน!IG25"")"),0)</f>
        <v>0</v>
      </c>
      <c r="J707" s="214">
        <v>0</v>
      </c>
      <c r="K707" s="465"/>
      <c r="L707" s="465"/>
      <c r="M707" s="189"/>
      <c r="N707" s="730"/>
      <c r="O707" s="465"/>
      <c r="P707" s="465"/>
      <c r="Q707" s="541"/>
      <c r="R707" s="541"/>
      <c r="S707" s="541"/>
      <c r="T707" s="541"/>
      <c r="U707" s="541"/>
      <c r="V707" s="541"/>
      <c r="W707" s="541"/>
      <c r="X707" s="541"/>
      <c r="Y707" s="541"/>
      <c r="Z707" s="541"/>
    </row>
    <row r="708" spans="1:26" ht="19.5" hidden="1">
      <c r="A708" s="708"/>
      <c r="B708" s="727"/>
      <c r="C708" s="727"/>
      <c r="D708" s="733" t="s">
        <v>299</v>
      </c>
      <c r="E708" s="727"/>
      <c r="F708" s="727"/>
      <c r="G708" s="189"/>
      <c r="H708" s="731" t="s">
        <v>46</v>
      </c>
      <c r="I708" s="732">
        <f ca="1">IFERROR(__xludf.DUMMYFUNCTION("IMPORTRANGE(""https://docs.google.com/spreadsheets/d/1QqKyyYR6Q21VydFLVH3TRQUabQu_ym0Zz7PgGX0-kHA/edit?usp=sharing"",""แผน!IH25"")"),0)</f>
        <v>0</v>
      </c>
      <c r="J708" s="647">
        <f>J714+J717</f>
        <v>0</v>
      </c>
      <c r="K708" s="195">
        <f ca="1">IF(I708&gt;0,J708*100/I708,0)</f>
        <v>0</v>
      </c>
      <c r="L708" s="465"/>
      <c r="M708" s="189"/>
      <c r="N708" s="730"/>
      <c r="O708" s="465"/>
      <c r="P708" s="465"/>
      <c r="Q708" s="541"/>
      <c r="R708" s="541"/>
      <c r="S708" s="541"/>
      <c r="T708" s="541"/>
      <c r="U708" s="541"/>
      <c r="V708" s="541"/>
      <c r="W708" s="541"/>
      <c r="X708" s="541"/>
      <c r="Y708" s="541"/>
      <c r="Z708" s="541"/>
    </row>
    <row r="709" spans="1:26" ht="18.75" hidden="1">
      <c r="A709" s="708"/>
      <c r="B709" s="727"/>
      <c r="C709" s="727"/>
      <c r="D709" s="727"/>
      <c r="E709" s="727" t="s">
        <v>300</v>
      </c>
      <c r="F709" s="727"/>
      <c r="G709" s="189"/>
      <c r="H709" s="728" t="s">
        <v>34</v>
      </c>
      <c r="I709" s="729"/>
      <c r="J709" s="214">
        <v>0</v>
      </c>
      <c r="K709" s="465"/>
      <c r="L709" s="730"/>
      <c r="M709" s="189"/>
      <c r="N709" s="730"/>
      <c r="O709" s="465"/>
      <c r="P709" s="465"/>
      <c r="Q709" s="541"/>
      <c r="R709" s="541"/>
      <c r="S709" s="541"/>
      <c r="T709" s="541"/>
      <c r="U709" s="541"/>
      <c r="V709" s="541"/>
      <c r="W709" s="541"/>
      <c r="X709" s="541"/>
      <c r="Y709" s="541"/>
      <c r="Z709" s="541"/>
    </row>
    <row r="710" spans="1:26" ht="18.75" hidden="1">
      <c r="A710" s="708"/>
      <c r="B710" s="727"/>
      <c r="C710" s="727"/>
      <c r="D710" s="727"/>
      <c r="E710" s="727"/>
      <c r="F710" s="727"/>
      <c r="G710" s="189"/>
      <c r="H710" s="728" t="s">
        <v>46</v>
      </c>
      <c r="I710" s="729"/>
      <c r="J710" s="214">
        <v>0</v>
      </c>
      <c r="K710" s="465"/>
      <c r="L710" s="730"/>
      <c r="M710" s="189"/>
      <c r="N710" s="730"/>
      <c r="O710" s="465"/>
      <c r="P710" s="465"/>
      <c r="Q710" s="541"/>
      <c r="R710" s="541"/>
      <c r="S710" s="541"/>
      <c r="T710" s="541"/>
      <c r="U710" s="541"/>
      <c r="V710" s="541"/>
      <c r="W710" s="541"/>
      <c r="X710" s="541"/>
      <c r="Y710" s="541"/>
      <c r="Z710" s="541"/>
    </row>
    <row r="711" spans="1:26" ht="18.75" hidden="1">
      <c r="A711" s="708"/>
      <c r="B711" s="727"/>
      <c r="C711" s="727"/>
      <c r="D711" s="727"/>
      <c r="E711" s="727" t="s">
        <v>301</v>
      </c>
      <c r="F711" s="727"/>
      <c r="G711" s="189"/>
      <c r="H711" s="726"/>
      <c r="I711" s="729"/>
      <c r="J711" s="269"/>
      <c r="K711" s="465"/>
      <c r="L711" s="730"/>
      <c r="M711" s="189"/>
      <c r="N711" s="730"/>
      <c r="O711" s="465"/>
      <c r="P711" s="465"/>
      <c r="Q711" s="541"/>
      <c r="R711" s="541"/>
      <c r="S711" s="541"/>
      <c r="T711" s="541"/>
      <c r="U711" s="541"/>
      <c r="V711" s="541"/>
      <c r="W711" s="541"/>
      <c r="X711" s="541"/>
      <c r="Y711" s="541"/>
      <c r="Z711" s="541"/>
    </row>
    <row r="712" spans="1:26" ht="18.75" hidden="1">
      <c r="A712" s="708"/>
      <c r="B712" s="727"/>
      <c r="C712" s="727"/>
      <c r="D712" s="727"/>
      <c r="E712" s="727"/>
      <c r="F712" s="727" t="s">
        <v>302</v>
      </c>
      <c r="G712" s="189"/>
      <c r="H712" s="728" t="s">
        <v>35</v>
      </c>
      <c r="I712" s="729"/>
      <c r="J712" s="214">
        <v>0</v>
      </c>
      <c r="K712" s="465"/>
      <c r="L712" s="730"/>
      <c r="M712" s="189"/>
      <c r="N712" s="730"/>
      <c r="O712" s="465"/>
      <c r="P712" s="465"/>
      <c r="Q712" s="541"/>
      <c r="R712" s="541"/>
      <c r="S712" s="541"/>
      <c r="T712" s="541"/>
      <c r="U712" s="541"/>
      <c r="V712" s="541"/>
      <c r="W712" s="541"/>
      <c r="X712" s="541"/>
      <c r="Y712" s="541"/>
      <c r="Z712" s="541"/>
    </row>
    <row r="713" spans="1:26" ht="18.75" hidden="1">
      <c r="A713" s="708"/>
      <c r="B713" s="727"/>
      <c r="C713" s="727"/>
      <c r="D713" s="727"/>
      <c r="E713" s="727"/>
      <c r="F713" s="727"/>
      <c r="G713" s="189"/>
      <c r="H713" s="728" t="s">
        <v>34</v>
      </c>
      <c r="I713" s="729"/>
      <c r="J713" s="214">
        <v>0</v>
      </c>
      <c r="K713" s="465"/>
      <c r="L713" s="730"/>
      <c r="M713" s="189"/>
      <c r="N713" s="730"/>
      <c r="O713" s="465"/>
      <c r="P713" s="465"/>
      <c r="Q713" s="541"/>
      <c r="R713" s="541"/>
      <c r="S713" s="541"/>
      <c r="T713" s="541"/>
      <c r="U713" s="541"/>
      <c r="V713" s="541"/>
      <c r="W713" s="541"/>
      <c r="X713" s="541"/>
      <c r="Y713" s="541"/>
      <c r="Z713" s="541"/>
    </row>
    <row r="714" spans="1:26" ht="18.75" hidden="1">
      <c r="A714" s="708"/>
      <c r="B714" s="727"/>
      <c r="C714" s="727"/>
      <c r="D714" s="727"/>
      <c r="E714" s="727"/>
      <c r="F714" s="727"/>
      <c r="G714" s="189"/>
      <c r="H714" s="728" t="s">
        <v>46</v>
      </c>
      <c r="I714" s="729"/>
      <c r="J714" s="214">
        <v>0</v>
      </c>
      <c r="K714" s="465"/>
      <c r="L714" s="730"/>
      <c r="M714" s="189"/>
      <c r="N714" s="730"/>
      <c r="O714" s="465"/>
      <c r="P714" s="465"/>
      <c r="Q714" s="541"/>
      <c r="R714" s="541"/>
      <c r="S714" s="541"/>
      <c r="T714" s="541"/>
      <c r="U714" s="541"/>
      <c r="V714" s="541"/>
      <c r="W714" s="541"/>
      <c r="X714" s="541"/>
      <c r="Y714" s="541"/>
      <c r="Z714" s="541"/>
    </row>
    <row r="715" spans="1:26" ht="18.75" hidden="1">
      <c r="A715" s="708"/>
      <c r="B715" s="727"/>
      <c r="C715" s="727"/>
      <c r="D715" s="727"/>
      <c r="E715" s="727"/>
      <c r="F715" s="727" t="s">
        <v>303</v>
      </c>
      <c r="G715" s="189"/>
      <c r="H715" s="728" t="s">
        <v>35</v>
      </c>
      <c r="I715" s="729"/>
      <c r="J715" s="214">
        <v>0</v>
      </c>
      <c r="K715" s="465"/>
      <c r="L715" s="730"/>
      <c r="M715" s="189"/>
      <c r="N715" s="730"/>
      <c r="O715" s="465"/>
      <c r="P715" s="465"/>
      <c r="Q715" s="541"/>
      <c r="R715" s="541"/>
      <c r="S715" s="541"/>
      <c r="T715" s="541"/>
      <c r="U715" s="541"/>
      <c r="V715" s="541"/>
      <c r="W715" s="541"/>
      <c r="X715" s="541"/>
      <c r="Y715" s="541"/>
      <c r="Z715" s="541"/>
    </row>
    <row r="716" spans="1:26" ht="18.75" hidden="1">
      <c r="A716" s="708"/>
      <c r="B716" s="727"/>
      <c r="C716" s="727"/>
      <c r="D716" s="727"/>
      <c r="E716" s="727"/>
      <c r="F716" s="727"/>
      <c r="G716" s="189"/>
      <c r="H716" s="728" t="s">
        <v>34</v>
      </c>
      <c r="I716" s="729"/>
      <c r="J716" s="214">
        <v>0</v>
      </c>
      <c r="K716" s="465"/>
      <c r="L716" s="730"/>
      <c r="M716" s="189"/>
      <c r="N716" s="730"/>
      <c r="O716" s="465"/>
      <c r="P716" s="465"/>
      <c r="Q716" s="541"/>
      <c r="R716" s="541"/>
      <c r="S716" s="541"/>
      <c r="T716" s="541"/>
      <c r="U716" s="541"/>
      <c r="V716" s="541"/>
      <c r="W716" s="541"/>
      <c r="X716" s="541"/>
      <c r="Y716" s="541"/>
      <c r="Z716" s="541"/>
    </row>
    <row r="717" spans="1:26" ht="18.75" hidden="1">
      <c r="A717" s="708"/>
      <c r="B717" s="727"/>
      <c r="C717" s="727"/>
      <c r="D717" s="727"/>
      <c r="E717" s="727"/>
      <c r="F717" s="727"/>
      <c r="G717" s="189"/>
      <c r="H717" s="728" t="s">
        <v>46</v>
      </c>
      <c r="I717" s="729"/>
      <c r="J717" s="214">
        <v>0</v>
      </c>
      <c r="K717" s="465"/>
      <c r="L717" s="730"/>
      <c r="M717" s="189"/>
      <c r="N717" s="730"/>
      <c r="O717" s="465"/>
      <c r="P717" s="465"/>
      <c r="Q717" s="541"/>
      <c r="R717" s="541"/>
      <c r="S717" s="541"/>
      <c r="T717" s="541"/>
      <c r="U717" s="541"/>
      <c r="V717" s="541"/>
      <c r="W717" s="541"/>
      <c r="X717" s="541"/>
      <c r="Y717" s="541"/>
      <c r="Z717" s="541"/>
    </row>
    <row r="718" spans="1:26" ht="18.75" hidden="1">
      <c r="A718" s="708"/>
      <c r="B718" s="727"/>
      <c r="C718" s="727"/>
      <c r="D718" s="727" t="s">
        <v>304</v>
      </c>
      <c r="E718" s="727"/>
      <c r="F718" s="727"/>
      <c r="G718" s="189"/>
      <c r="H718" s="728" t="s">
        <v>35</v>
      </c>
      <c r="I718" s="729"/>
      <c r="J718" s="269">
        <f ca="1">IFERROR(__xludf.DUMMYFUNCTION("IMPORTRANGE(""https://docs.google.com/spreadsheets/d/1XWAQStnk-4SwqDmLtmXYiTMKHgktTP8We1SCoS47DrQ/edit?usp=sharing"",""จัดที่ดิน!BF25"")"),0)</f>
        <v>0</v>
      </c>
      <c r="K718" s="465"/>
      <c r="L718" s="465"/>
      <c r="M718" s="189"/>
      <c r="N718" s="730"/>
      <c r="O718" s="465"/>
      <c r="P718" s="465"/>
      <c r="Q718" s="541"/>
      <c r="R718" s="541"/>
      <c r="S718" s="541"/>
      <c r="T718" s="541"/>
      <c r="U718" s="541"/>
      <c r="V718" s="541"/>
      <c r="W718" s="541"/>
      <c r="X718" s="541"/>
      <c r="Y718" s="541"/>
      <c r="Z718" s="541"/>
    </row>
    <row r="719" spans="1:26" ht="18.75" hidden="1">
      <c r="A719" s="708"/>
      <c r="B719" s="727"/>
      <c r="C719" s="727"/>
      <c r="D719" s="727"/>
      <c r="E719" s="727"/>
      <c r="F719" s="727"/>
      <c r="G719" s="189"/>
      <c r="H719" s="728" t="s">
        <v>34</v>
      </c>
      <c r="I719" s="729"/>
      <c r="J719" s="269">
        <f ca="1">IFERROR(__xludf.DUMMYFUNCTION("IMPORTRANGE(""https://docs.google.com/spreadsheets/d/1XWAQStnk-4SwqDmLtmXYiTMKHgktTP8We1SCoS47DrQ/edit?usp=sharing"",""จัดที่ดิน!BG25"")"),0)</f>
        <v>0</v>
      </c>
      <c r="K719" s="465"/>
      <c r="L719" s="730"/>
      <c r="M719" s="189"/>
      <c r="N719" s="730"/>
      <c r="O719" s="465"/>
      <c r="P719" s="465"/>
      <c r="Q719" s="541"/>
      <c r="R719" s="541"/>
      <c r="S719" s="541"/>
      <c r="T719" s="541"/>
      <c r="U719" s="541"/>
      <c r="V719" s="541"/>
      <c r="W719" s="541"/>
      <c r="X719" s="541"/>
      <c r="Y719" s="541"/>
      <c r="Z719" s="541"/>
    </row>
    <row r="720" spans="1:26" ht="18.75" hidden="1">
      <c r="A720" s="708"/>
      <c r="B720" s="727"/>
      <c r="C720" s="727"/>
      <c r="D720" s="727"/>
      <c r="E720" s="727"/>
      <c r="F720" s="727"/>
      <c r="G720" s="189"/>
      <c r="H720" s="728" t="s">
        <v>46</v>
      </c>
      <c r="I720" s="729">
        <f ca="1">IFERROR(__xludf.DUMMYFUNCTION("IMPORTRANGE(""https://docs.google.com/spreadsheets/d/1QqKyyYR6Q21VydFLVH3TRQUabQu_ym0Zz7PgGX0-kHA/edit?usp=sharing"",""แผน!II25"")"),0)</f>
        <v>0</v>
      </c>
      <c r="J720" s="269">
        <f ca="1">IFERROR(__xludf.DUMMYFUNCTION("IMPORTRANGE(""https://docs.google.com/spreadsheets/d/1XWAQStnk-4SwqDmLtmXYiTMKHgktTP8We1SCoS47DrQ/edit?usp=sharing"",""จัดที่ดิน!BH25"")"),0)</f>
        <v>0</v>
      </c>
      <c r="K720" s="465">
        <f t="shared" ref="K720:K723" ca="1" si="290">IF(I720&gt;0,J720*100/I720,0)</f>
        <v>0</v>
      </c>
      <c r="L720" s="730"/>
      <c r="M720" s="189"/>
      <c r="N720" s="730"/>
      <c r="O720" s="465"/>
      <c r="P720" s="465"/>
      <c r="Q720" s="541"/>
      <c r="R720" s="541"/>
      <c r="S720" s="541"/>
      <c r="T720" s="541"/>
      <c r="U720" s="541"/>
      <c r="V720" s="541"/>
      <c r="W720" s="541"/>
      <c r="X720" s="541"/>
      <c r="Y720" s="541"/>
      <c r="Z720" s="541"/>
    </row>
    <row r="721" spans="1:26" ht="19.5" hidden="1">
      <c r="A721" s="708"/>
      <c r="B721" s="727"/>
      <c r="C721" s="727"/>
      <c r="D721" s="727" t="s">
        <v>305</v>
      </c>
      <c r="E721" s="727"/>
      <c r="F721" s="727"/>
      <c r="G721" s="189"/>
      <c r="H721" s="731" t="s">
        <v>35</v>
      </c>
      <c r="I721" s="732">
        <f ca="1">IFERROR(__xludf.DUMMYFUNCTION("IMPORTRANGE(""https://docs.google.com/spreadsheets/d/1QqKyyYR6Q21VydFLVH3TRQUabQu_ym0Zz7PgGX0-kHA/edit?usp=sharing"",""แผน!IJ25"")"),0)</f>
        <v>0</v>
      </c>
      <c r="J721" s="647">
        <f ca="1">J723+J726</f>
        <v>0</v>
      </c>
      <c r="K721" s="195">
        <f t="shared" ca="1" si="290"/>
        <v>0</v>
      </c>
      <c r="L721" s="730"/>
      <c r="M721" s="189"/>
      <c r="N721" s="730"/>
      <c r="O721" s="465"/>
      <c r="P721" s="465"/>
      <c r="Q721" s="541"/>
      <c r="R721" s="541"/>
      <c r="S721" s="541"/>
      <c r="T721" s="541"/>
      <c r="U721" s="541"/>
      <c r="V721" s="541"/>
      <c r="W721" s="541"/>
      <c r="X721" s="541"/>
      <c r="Y721" s="541"/>
      <c r="Z721" s="541"/>
    </row>
    <row r="722" spans="1:26" ht="19.5" hidden="1">
      <c r="A722" s="708"/>
      <c r="B722" s="727"/>
      <c r="C722" s="727"/>
      <c r="D722" s="727"/>
      <c r="E722" s="727"/>
      <c r="F722" s="727"/>
      <c r="G722" s="189"/>
      <c r="H722" s="731" t="s">
        <v>46</v>
      </c>
      <c r="I722" s="732">
        <f ca="1">IFERROR(__xludf.DUMMYFUNCTION("IMPORTRANGE(""https://docs.google.com/spreadsheets/d/1QqKyyYR6Q21VydFLVH3TRQUabQu_ym0Zz7PgGX0-kHA/edit?usp=sharing"",""แผน!IK25"")"),0)</f>
        <v>0</v>
      </c>
      <c r="J722" s="647">
        <f ca="1">J725+J728</f>
        <v>0</v>
      </c>
      <c r="K722" s="195">
        <f t="shared" ca="1" si="290"/>
        <v>0</v>
      </c>
      <c r="L722" s="465"/>
      <c r="M722" s="189"/>
      <c r="N722" s="730"/>
      <c r="O722" s="465"/>
      <c r="P722" s="465"/>
      <c r="Q722" s="541"/>
      <c r="R722" s="541"/>
      <c r="S722" s="541"/>
      <c r="T722" s="541"/>
      <c r="U722" s="541"/>
      <c r="V722" s="541"/>
      <c r="W722" s="541"/>
      <c r="X722" s="541"/>
      <c r="Y722" s="541"/>
      <c r="Z722" s="541"/>
    </row>
    <row r="723" spans="1:26" ht="18.75" hidden="1">
      <c r="A723" s="708"/>
      <c r="B723" s="727"/>
      <c r="C723" s="727"/>
      <c r="D723" s="727"/>
      <c r="E723" s="727" t="s">
        <v>306</v>
      </c>
      <c r="F723" s="727"/>
      <c r="G723" s="189"/>
      <c r="H723" s="728" t="s">
        <v>35</v>
      </c>
      <c r="I723" s="729">
        <f ca="1">IFERROR(__xludf.DUMMYFUNCTION("IMPORTRANGE(""https://docs.google.com/spreadsheets/d/1QqKyyYR6Q21VydFLVH3TRQUabQu_ym0Zz7PgGX0-kHA/edit?usp=sharing"",""แผน!IL25"")"),0)</f>
        <v>0</v>
      </c>
      <c r="J723" s="269">
        <f ca="1">IFERROR(__xludf.DUMMYFUNCTION("IMPORTRANGE(""https://docs.google.com/spreadsheets/d/1XWAQStnk-4SwqDmLtmXYiTMKHgktTP8We1SCoS47DrQ/edit?usp=sharing"",""จัดที่ดิน!BM25"")"),0)</f>
        <v>0</v>
      </c>
      <c r="K723" s="465">
        <f t="shared" ca="1" si="290"/>
        <v>0</v>
      </c>
      <c r="L723" s="465"/>
      <c r="M723" s="189"/>
      <c r="N723" s="730"/>
      <c r="O723" s="465"/>
      <c r="P723" s="465"/>
      <c r="Q723" s="541"/>
      <c r="R723" s="541"/>
      <c r="S723" s="541"/>
      <c r="T723" s="541"/>
      <c r="U723" s="541"/>
      <c r="V723" s="541"/>
      <c r="W723" s="541"/>
      <c r="X723" s="541"/>
      <c r="Y723" s="541"/>
      <c r="Z723" s="541"/>
    </row>
    <row r="724" spans="1:26" ht="18.75" hidden="1">
      <c r="A724" s="708"/>
      <c r="B724" s="727"/>
      <c r="C724" s="727"/>
      <c r="D724" s="727"/>
      <c r="E724" s="727"/>
      <c r="F724" s="727"/>
      <c r="G724" s="189"/>
      <c r="H724" s="728" t="s">
        <v>34</v>
      </c>
      <c r="I724" s="729"/>
      <c r="J724" s="269">
        <f ca="1">IFERROR(__xludf.DUMMYFUNCTION("IMPORTRANGE(""https://docs.google.com/spreadsheets/d/1XWAQStnk-4SwqDmLtmXYiTMKHgktTP8We1SCoS47DrQ/edit?usp=sharing"",""จัดที่ดิน!BN25"")"),0)</f>
        <v>0</v>
      </c>
      <c r="K724" s="465"/>
      <c r="L724" s="730"/>
      <c r="M724" s="189"/>
      <c r="N724" s="730"/>
      <c r="O724" s="465"/>
      <c r="P724" s="465"/>
      <c r="Q724" s="541"/>
      <c r="R724" s="541"/>
      <c r="S724" s="541"/>
      <c r="T724" s="541"/>
      <c r="U724" s="541"/>
      <c r="V724" s="541"/>
      <c r="W724" s="541"/>
      <c r="X724" s="541"/>
      <c r="Y724" s="541"/>
      <c r="Z724" s="541"/>
    </row>
    <row r="725" spans="1:26" ht="18.75" hidden="1">
      <c r="A725" s="708"/>
      <c r="B725" s="727"/>
      <c r="C725" s="727"/>
      <c r="D725" s="727"/>
      <c r="E725" s="727"/>
      <c r="F725" s="727"/>
      <c r="G725" s="189"/>
      <c r="H725" s="728" t="s">
        <v>46</v>
      </c>
      <c r="I725" s="729">
        <f ca="1">IFERROR(__xludf.DUMMYFUNCTION("IMPORTRANGE(""https://docs.google.com/spreadsheets/d/1QqKyyYR6Q21VydFLVH3TRQUabQu_ym0Zz7PgGX0-kHA/edit?usp=sharing"",""แผน!IM25"")"),0)</f>
        <v>0</v>
      </c>
      <c r="J725" s="269">
        <f ca="1">IFERROR(__xludf.DUMMYFUNCTION("IMPORTRANGE(""https://docs.google.com/spreadsheets/d/1XWAQStnk-4SwqDmLtmXYiTMKHgktTP8We1SCoS47DrQ/edit?usp=sharing"",""จัดที่ดิน!BO25"")"),0)</f>
        <v>0</v>
      </c>
      <c r="K725" s="465">
        <f t="shared" ref="K725:K726" ca="1" si="291">IF(I725&gt;0,J725*100/I725,0)</f>
        <v>0</v>
      </c>
      <c r="L725" s="730"/>
      <c r="M725" s="189"/>
      <c r="N725" s="730"/>
      <c r="O725" s="465"/>
      <c r="P725" s="465"/>
      <c r="Q725" s="541"/>
      <c r="R725" s="541"/>
      <c r="S725" s="541"/>
      <c r="T725" s="541"/>
      <c r="U725" s="541"/>
      <c r="V725" s="541"/>
      <c r="W725" s="541"/>
      <c r="X725" s="541"/>
      <c r="Y725" s="541"/>
      <c r="Z725" s="541"/>
    </row>
    <row r="726" spans="1:26" ht="18.75" hidden="1">
      <c r="A726" s="708"/>
      <c r="B726" s="727"/>
      <c r="C726" s="727"/>
      <c r="D726" s="727"/>
      <c r="E726" s="727" t="s">
        <v>307</v>
      </c>
      <c r="F726" s="727"/>
      <c r="G726" s="189"/>
      <c r="H726" s="728" t="s">
        <v>35</v>
      </c>
      <c r="I726" s="729">
        <f ca="1">IFERROR(__xludf.DUMMYFUNCTION("IMPORTRANGE(""https://docs.google.com/spreadsheets/d/1QqKyyYR6Q21VydFLVH3TRQUabQu_ym0Zz7PgGX0-kHA/edit?usp=sharing"",""แผน!IN25"")"),0)</f>
        <v>0</v>
      </c>
      <c r="J726" s="269">
        <f ca="1">IFERROR(__xludf.DUMMYFUNCTION("IMPORTRANGE(""https://docs.google.com/spreadsheets/d/1XWAQStnk-4SwqDmLtmXYiTMKHgktTP8We1SCoS47DrQ/edit?usp=sharing"",""จัดที่ดิน!BR25"")"),0)</f>
        <v>0</v>
      </c>
      <c r="K726" s="465">
        <f t="shared" ca="1" si="291"/>
        <v>0</v>
      </c>
      <c r="L726" s="465"/>
      <c r="M726" s="189"/>
      <c r="N726" s="730"/>
      <c r="O726" s="465"/>
      <c r="P726" s="465"/>
      <c r="Q726" s="541"/>
      <c r="R726" s="541"/>
      <c r="S726" s="541"/>
      <c r="T726" s="541"/>
      <c r="U726" s="541"/>
      <c r="V726" s="541"/>
      <c r="W726" s="541"/>
      <c r="X726" s="541"/>
      <c r="Y726" s="541"/>
      <c r="Z726" s="541"/>
    </row>
    <row r="727" spans="1:26" ht="18.75" hidden="1">
      <c r="A727" s="708"/>
      <c r="B727" s="727"/>
      <c r="C727" s="727"/>
      <c r="D727" s="727"/>
      <c r="E727" s="727"/>
      <c r="F727" s="727"/>
      <c r="G727" s="189"/>
      <c r="H727" s="728" t="s">
        <v>34</v>
      </c>
      <c r="I727" s="729"/>
      <c r="J727" s="269">
        <f ca="1">IFERROR(__xludf.DUMMYFUNCTION("IMPORTRANGE(""https://docs.google.com/spreadsheets/d/1XWAQStnk-4SwqDmLtmXYiTMKHgktTP8We1SCoS47DrQ/edit?usp=sharing"",""จัดที่ดิน!BS25"")"),0)</f>
        <v>0</v>
      </c>
      <c r="K727" s="465"/>
      <c r="L727" s="730"/>
      <c r="M727" s="189"/>
      <c r="N727" s="730"/>
      <c r="O727" s="465"/>
      <c r="P727" s="465"/>
      <c r="Q727" s="541"/>
      <c r="R727" s="541"/>
      <c r="S727" s="541"/>
      <c r="T727" s="541"/>
      <c r="U727" s="541"/>
      <c r="V727" s="541"/>
      <c r="W727" s="541"/>
      <c r="X727" s="541"/>
      <c r="Y727" s="541"/>
      <c r="Z727" s="541"/>
    </row>
    <row r="728" spans="1:26" ht="18.75" hidden="1">
      <c r="A728" s="708"/>
      <c r="B728" s="727"/>
      <c r="C728" s="727"/>
      <c r="D728" s="727"/>
      <c r="E728" s="727"/>
      <c r="F728" s="727"/>
      <c r="G728" s="189"/>
      <c r="H728" s="728" t="s">
        <v>46</v>
      </c>
      <c r="I728" s="729">
        <f ca="1">IFERROR(__xludf.DUMMYFUNCTION("IMPORTRANGE(""https://docs.google.com/spreadsheets/d/1QqKyyYR6Q21VydFLVH3TRQUabQu_ym0Zz7PgGX0-kHA/edit?usp=sharing"",""แผน!IO25"")"),0)</f>
        <v>0</v>
      </c>
      <c r="J728" s="269">
        <f ca="1">IFERROR(__xludf.DUMMYFUNCTION("IMPORTRANGE(""https://docs.google.com/spreadsheets/d/1XWAQStnk-4SwqDmLtmXYiTMKHgktTP8We1SCoS47DrQ/edit?usp=sharing"",""จัดที่ดิน!BT25"")"),0)</f>
        <v>0</v>
      </c>
      <c r="K728" s="465">
        <f t="shared" ref="K728:K729" ca="1" si="292">IF(I728&gt;0,J728*100/I728,0)</f>
        <v>0</v>
      </c>
      <c r="L728" s="730"/>
      <c r="M728" s="189"/>
      <c r="N728" s="730"/>
      <c r="O728" s="465"/>
      <c r="P728" s="465"/>
      <c r="Q728" s="541"/>
      <c r="R728" s="541"/>
      <c r="S728" s="541"/>
      <c r="T728" s="541"/>
      <c r="U728" s="541"/>
      <c r="V728" s="541"/>
      <c r="W728" s="541"/>
      <c r="X728" s="541"/>
      <c r="Y728" s="541"/>
      <c r="Z728" s="541"/>
    </row>
    <row r="729" spans="1:26" ht="19.5" hidden="1">
      <c r="A729" s="708"/>
      <c r="B729" s="727"/>
      <c r="C729" s="727"/>
      <c r="D729" s="727" t="s">
        <v>308</v>
      </c>
      <c r="E729" s="727"/>
      <c r="F729" s="727"/>
      <c r="G729" s="189"/>
      <c r="H729" s="731" t="s">
        <v>46</v>
      </c>
      <c r="I729" s="732">
        <f ca="1">IFERROR(__xludf.DUMMYFUNCTION("IMPORTRANGE(""https://docs.google.com/spreadsheets/d/1QqKyyYR6Q21VydFLVH3TRQUabQu_ym0Zz7PgGX0-kHA/edit?usp=sharing"",""แผน!IP25"")"),0)</f>
        <v>0</v>
      </c>
      <c r="J729" s="647">
        <f>J732+J735</f>
        <v>0</v>
      </c>
      <c r="K729" s="195">
        <f t="shared" ca="1" si="292"/>
        <v>0</v>
      </c>
      <c r="L729" s="465"/>
      <c r="M729" s="189"/>
      <c r="N729" s="730"/>
      <c r="O729" s="465"/>
      <c r="P729" s="465"/>
      <c r="Q729" s="541"/>
      <c r="R729" s="541"/>
      <c r="S729" s="541"/>
      <c r="T729" s="541"/>
      <c r="U729" s="541"/>
      <c r="V729" s="541"/>
      <c r="W729" s="541"/>
      <c r="X729" s="541"/>
      <c r="Y729" s="541"/>
      <c r="Z729" s="541"/>
    </row>
    <row r="730" spans="1:26" ht="18.75" hidden="1">
      <c r="A730" s="708"/>
      <c r="B730" s="727"/>
      <c r="C730" s="727"/>
      <c r="D730" s="727"/>
      <c r="E730" s="727" t="s">
        <v>309</v>
      </c>
      <c r="F730" s="727"/>
      <c r="G730" s="189"/>
      <c r="H730" s="728" t="s">
        <v>35</v>
      </c>
      <c r="I730" s="729"/>
      <c r="J730" s="214">
        <v>0</v>
      </c>
      <c r="K730" s="465"/>
      <c r="L730" s="730"/>
      <c r="M730" s="465"/>
      <c r="N730" s="730"/>
      <c r="O730" s="465"/>
      <c r="P730" s="465"/>
      <c r="Q730" s="541"/>
      <c r="R730" s="541"/>
      <c r="S730" s="541"/>
      <c r="T730" s="541"/>
      <c r="U730" s="541"/>
      <c r="V730" s="541"/>
      <c r="W730" s="541"/>
      <c r="X730" s="541"/>
      <c r="Y730" s="541"/>
      <c r="Z730" s="541"/>
    </row>
    <row r="731" spans="1:26" ht="18.75" hidden="1">
      <c r="A731" s="708"/>
      <c r="B731" s="727"/>
      <c r="C731" s="727"/>
      <c r="D731" s="727"/>
      <c r="E731" s="727"/>
      <c r="F731" s="727"/>
      <c r="G731" s="189"/>
      <c r="H731" s="728" t="s">
        <v>34</v>
      </c>
      <c r="I731" s="729"/>
      <c r="J731" s="214">
        <v>0</v>
      </c>
      <c r="K731" s="465"/>
      <c r="L731" s="730"/>
      <c r="M731" s="465"/>
      <c r="N731" s="730"/>
      <c r="O731" s="465"/>
      <c r="P731" s="465"/>
      <c r="Q731" s="541"/>
      <c r="R731" s="541"/>
      <c r="S731" s="541"/>
      <c r="T731" s="541"/>
      <c r="U731" s="541"/>
      <c r="V731" s="541"/>
      <c r="W731" s="541"/>
      <c r="X731" s="541"/>
      <c r="Y731" s="541"/>
      <c r="Z731" s="541"/>
    </row>
    <row r="732" spans="1:26" ht="18.75" hidden="1">
      <c r="A732" s="708"/>
      <c r="B732" s="727"/>
      <c r="C732" s="727"/>
      <c r="D732" s="727"/>
      <c r="E732" s="727"/>
      <c r="F732" s="727"/>
      <c r="G732" s="189"/>
      <c r="H732" s="728" t="s">
        <v>46</v>
      </c>
      <c r="I732" s="729"/>
      <c r="J732" s="214">
        <v>0</v>
      </c>
      <c r="K732" s="465"/>
      <c r="L732" s="730"/>
      <c r="M732" s="465"/>
      <c r="N732" s="730"/>
      <c r="O732" s="465"/>
      <c r="P732" s="465"/>
      <c r="Q732" s="541"/>
      <c r="R732" s="541"/>
      <c r="S732" s="541"/>
      <c r="T732" s="541"/>
      <c r="U732" s="541"/>
      <c r="V732" s="541"/>
      <c r="W732" s="541"/>
      <c r="X732" s="541"/>
      <c r="Y732" s="541"/>
      <c r="Z732" s="541"/>
    </row>
    <row r="733" spans="1:26" ht="18.75" hidden="1">
      <c r="A733" s="708"/>
      <c r="B733" s="727"/>
      <c r="C733" s="727"/>
      <c r="D733" s="727"/>
      <c r="E733" s="727" t="s">
        <v>310</v>
      </c>
      <c r="F733" s="727"/>
      <c r="G733" s="189"/>
      <c r="H733" s="728" t="s">
        <v>35</v>
      </c>
      <c r="I733" s="729"/>
      <c r="J733" s="214">
        <v>0</v>
      </c>
      <c r="K733" s="465"/>
      <c r="L733" s="730"/>
      <c r="M733" s="465"/>
      <c r="N733" s="730"/>
      <c r="O733" s="465"/>
      <c r="P733" s="465"/>
      <c r="Q733" s="541"/>
      <c r="R733" s="541"/>
      <c r="S733" s="541"/>
      <c r="T733" s="541"/>
      <c r="U733" s="541"/>
      <c r="V733" s="541"/>
      <c r="W733" s="541"/>
      <c r="X733" s="541"/>
      <c r="Y733" s="541"/>
      <c r="Z733" s="541"/>
    </row>
    <row r="734" spans="1:26" ht="18.75" hidden="1">
      <c r="A734" s="708"/>
      <c r="B734" s="727"/>
      <c r="C734" s="727"/>
      <c r="D734" s="727"/>
      <c r="E734" s="727"/>
      <c r="F734" s="727"/>
      <c r="G734" s="189"/>
      <c r="H734" s="728" t="s">
        <v>34</v>
      </c>
      <c r="I734" s="729"/>
      <c r="J734" s="214">
        <v>0</v>
      </c>
      <c r="K734" s="465"/>
      <c r="L734" s="730"/>
      <c r="M734" s="465"/>
      <c r="N734" s="730"/>
      <c r="O734" s="465"/>
      <c r="P734" s="465"/>
      <c r="Q734" s="541"/>
      <c r="R734" s="541"/>
      <c r="S734" s="541"/>
      <c r="T734" s="541"/>
      <c r="U734" s="541"/>
      <c r="V734" s="541"/>
      <c r="W734" s="541"/>
      <c r="X734" s="541"/>
      <c r="Y734" s="541"/>
      <c r="Z734" s="541"/>
    </row>
    <row r="735" spans="1:26" ht="19.5" hidden="1">
      <c r="A735" s="734"/>
      <c r="B735" s="735" t="s">
        <v>311</v>
      </c>
      <c r="C735" s="698"/>
      <c r="D735" s="698"/>
      <c r="E735" s="698"/>
      <c r="F735" s="698"/>
      <c r="G735" s="699"/>
      <c r="H735" s="390" t="s">
        <v>46</v>
      </c>
      <c r="I735" s="736"/>
      <c r="J735" s="392">
        <v>0</v>
      </c>
      <c r="K735" s="469"/>
      <c r="L735" s="737"/>
      <c r="M735" s="469"/>
      <c r="N735" s="737"/>
      <c r="O735" s="469"/>
      <c r="P735" s="469"/>
      <c r="Q735" s="541"/>
      <c r="R735" s="541"/>
      <c r="S735" s="541"/>
      <c r="T735" s="541"/>
      <c r="U735" s="541"/>
      <c r="V735" s="541"/>
      <c r="W735" s="541"/>
      <c r="X735" s="541"/>
      <c r="Y735" s="541"/>
      <c r="Z735" s="541"/>
    </row>
    <row r="736" spans="1:26" ht="19.5" hidden="1">
      <c r="A736" s="738">
        <v>9</v>
      </c>
      <c r="B736" s="739" t="s">
        <v>312</v>
      </c>
      <c r="C736" s="740"/>
      <c r="D736" s="740"/>
      <c r="E736" s="740"/>
      <c r="F736" s="740"/>
      <c r="G736" s="741"/>
      <c r="H736" s="742" t="s">
        <v>46</v>
      </c>
      <c r="I736" s="743"/>
      <c r="J736" s="743">
        <f>J751</f>
        <v>0</v>
      </c>
      <c r="K736" s="744">
        <f>IF(I736&gt;0,J736*100/I736,0)</f>
        <v>0</v>
      </c>
      <c r="L736" s="745"/>
      <c r="M736" s="745"/>
      <c r="N736" s="745"/>
      <c r="O736" s="745"/>
      <c r="P736" s="745"/>
      <c r="Q736" s="568"/>
      <c r="R736" s="568"/>
      <c r="S736" s="568"/>
      <c r="T736" s="568"/>
      <c r="U736" s="568"/>
      <c r="V736" s="568"/>
      <c r="W736" s="568"/>
      <c r="X736" s="568"/>
      <c r="Y736" s="568"/>
      <c r="Z736" s="568"/>
    </row>
    <row r="737" spans="1:26" ht="19.5" hidden="1">
      <c r="A737" s="563"/>
      <c r="B737" s="723"/>
      <c r="C737" s="723" t="s">
        <v>16</v>
      </c>
      <c r="D737" s="812" t="s">
        <v>17</v>
      </c>
      <c r="E737" s="805"/>
      <c r="F737" s="805"/>
      <c r="G737" s="567"/>
      <c r="H737" s="612" t="s">
        <v>12</v>
      </c>
      <c r="I737" s="583"/>
      <c r="J737" s="583"/>
      <c r="K737" s="93"/>
      <c r="L737" s="613">
        <f t="shared" ref="L737:N737" si="293">L738+L739</f>
        <v>0</v>
      </c>
      <c r="M737" s="613">
        <f t="shared" si="293"/>
        <v>0</v>
      </c>
      <c r="N737" s="613">
        <f t="shared" si="293"/>
        <v>0</v>
      </c>
      <c r="O737" s="613">
        <f t="shared" ref="O737:O742" si="294">IF(L737&gt;0,N737*100/L737,0)</f>
        <v>0</v>
      </c>
      <c r="P737" s="613">
        <f t="shared" ref="P737:P742" si="295">IF(M737&gt;0,N737*100/M737,0)</f>
        <v>0</v>
      </c>
      <c r="Q737" s="568"/>
      <c r="R737" s="568"/>
      <c r="S737" s="568"/>
      <c r="T737" s="568"/>
      <c r="U737" s="568"/>
      <c r="V737" s="568"/>
      <c r="W737" s="568"/>
      <c r="X737" s="568"/>
      <c r="Y737" s="568"/>
      <c r="Z737" s="568"/>
    </row>
    <row r="738" spans="1:26" ht="18.75" hidden="1">
      <c r="A738" s="563"/>
      <c r="B738" s="723"/>
      <c r="C738" s="723"/>
      <c r="D738" s="684"/>
      <c r="E738" s="723" t="s">
        <v>184</v>
      </c>
      <c r="F738" s="723"/>
      <c r="G738" s="567"/>
      <c r="H738" s="165" t="s">
        <v>12</v>
      </c>
      <c r="I738" s="583"/>
      <c r="J738" s="583"/>
      <c r="K738" s="93"/>
      <c r="L738" s="93">
        <f t="shared" ref="L738:N739" si="296">L741+L748</f>
        <v>0</v>
      </c>
      <c r="M738" s="93">
        <f t="shared" si="296"/>
        <v>0</v>
      </c>
      <c r="N738" s="93">
        <f t="shared" si="296"/>
        <v>0</v>
      </c>
      <c r="O738" s="93">
        <f t="shared" si="294"/>
        <v>0</v>
      </c>
      <c r="P738" s="93">
        <f t="shared" si="295"/>
        <v>0</v>
      </c>
      <c r="Q738" s="568"/>
      <c r="R738" s="568"/>
      <c r="S738" s="568"/>
      <c r="T738" s="568"/>
      <c r="U738" s="568"/>
      <c r="V738" s="568"/>
      <c r="W738" s="568"/>
      <c r="X738" s="568"/>
      <c r="Y738" s="568"/>
      <c r="Z738" s="568"/>
    </row>
    <row r="739" spans="1:26" ht="18.75" hidden="1">
      <c r="A739" s="563"/>
      <c r="B739" s="571"/>
      <c r="C739" s="723"/>
      <c r="D739" s="684"/>
      <c r="E739" s="723" t="s">
        <v>185</v>
      </c>
      <c r="F739" s="723"/>
      <c r="G739" s="567"/>
      <c r="H739" s="165" t="s">
        <v>12</v>
      </c>
      <c r="I739" s="583"/>
      <c r="J739" s="583"/>
      <c r="K739" s="93"/>
      <c r="L739" s="93">
        <f t="shared" si="296"/>
        <v>0</v>
      </c>
      <c r="M739" s="93">
        <f t="shared" si="296"/>
        <v>0</v>
      </c>
      <c r="N739" s="93">
        <f t="shared" si="296"/>
        <v>0</v>
      </c>
      <c r="O739" s="93">
        <f t="shared" si="294"/>
        <v>0</v>
      </c>
      <c r="P739" s="93">
        <f t="shared" si="295"/>
        <v>0</v>
      </c>
      <c r="Q739" s="568"/>
      <c r="R739" s="568"/>
      <c r="S739" s="568"/>
      <c r="T739" s="568"/>
      <c r="U739" s="568"/>
      <c r="V739" s="568"/>
      <c r="W739" s="568"/>
      <c r="X739" s="568"/>
      <c r="Y739" s="568"/>
      <c r="Z739" s="568"/>
    </row>
    <row r="740" spans="1:26" ht="19.5" hidden="1">
      <c r="A740" s="563"/>
      <c r="B740" s="571"/>
      <c r="C740" s="723"/>
      <c r="D740" s="611" t="s">
        <v>20</v>
      </c>
      <c r="E740" s="723"/>
      <c r="F740" s="723"/>
      <c r="G740" s="567"/>
      <c r="H740" s="612" t="s">
        <v>12</v>
      </c>
      <c r="I740" s="166"/>
      <c r="J740" s="166"/>
      <c r="K740" s="167"/>
      <c r="L740" s="613">
        <f t="shared" ref="L740:N740" si="297">L741+L742</f>
        <v>0</v>
      </c>
      <c r="M740" s="613">
        <f t="shared" si="297"/>
        <v>0</v>
      </c>
      <c r="N740" s="613">
        <f t="shared" si="297"/>
        <v>0</v>
      </c>
      <c r="O740" s="613">
        <f t="shared" si="294"/>
        <v>0</v>
      </c>
      <c r="P740" s="613">
        <f t="shared" si="295"/>
        <v>0</v>
      </c>
      <c r="Q740" s="568"/>
      <c r="R740" s="568"/>
      <c r="S740" s="568"/>
      <c r="T740" s="568"/>
      <c r="U740" s="568"/>
      <c r="V740" s="568"/>
      <c r="W740" s="568"/>
      <c r="X740" s="568"/>
      <c r="Y740" s="568"/>
      <c r="Z740" s="568"/>
    </row>
    <row r="741" spans="1:26" ht="18.75" hidden="1">
      <c r="A741" s="563"/>
      <c r="B741" s="571"/>
      <c r="C741" s="723"/>
      <c r="D741" s="684"/>
      <c r="E741" s="723" t="s">
        <v>184</v>
      </c>
      <c r="F741" s="723"/>
      <c r="G741" s="567"/>
      <c r="H741" s="165" t="s">
        <v>12</v>
      </c>
      <c r="I741" s="583"/>
      <c r="J741" s="583"/>
      <c r="K741" s="93"/>
      <c r="L741" s="93">
        <v>0</v>
      </c>
      <c r="M741" s="93">
        <v>0</v>
      </c>
      <c r="N741" s="93">
        <v>0</v>
      </c>
      <c r="O741" s="93">
        <f t="shared" si="294"/>
        <v>0</v>
      </c>
      <c r="P741" s="93">
        <f t="shared" si="295"/>
        <v>0</v>
      </c>
      <c r="Q741" s="568"/>
      <c r="R741" s="568"/>
      <c r="S741" s="568"/>
      <c r="T741" s="568"/>
      <c r="U741" s="568"/>
      <c r="V741" s="568"/>
      <c r="W741" s="568"/>
      <c r="X741" s="568"/>
      <c r="Y741" s="568"/>
      <c r="Z741" s="568"/>
    </row>
    <row r="742" spans="1:26" ht="18.75" hidden="1">
      <c r="A742" s="563"/>
      <c r="B742" s="571"/>
      <c r="C742" s="723"/>
      <c r="D742" s="684"/>
      <c r="E742" s="723" t="s">
        <v>185</v>
      </c>
      <c r="F742" s="723"/>
      <c r="G742" s="567"/>
      <c r="H742" s="165" t="s">
        <v>12</v>
      </c>
      <c r="I742" s="583"/>
      <c r="J742" s="583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4"/>
        <v>0</v>
      </c>
      <c r="P742" s="93">
        <f t="shared" si="295"/>
        <v>0</v>
      </c>
      <c r="Q742" s="568"/>
      <c r="R742" s="568"/>
      <c r="S742" s="568"/>
      <c r="T742" s="568"/>
      <c r="U742" s="568"/>
      <c r="V742" s="568"/>
      <c r="W742" s="568"/>
      <c r="X742" s="568"/>
      <c r="Y742" s="568"/>
      <c r="Z742" s="568"/>
    </row>
    <row r="743" spans="1:26" ht="18.75" hidden="1">
      <c r="A743" s="615"/>
      <c r="B743" s="571"/>
      <c r="C743" s="723"/>
      <c r="D743" s="723"/>
      <c r="E743" s="723"/>
      <c r="F743" s="723" t="s">
        <v>186</v>
      </c>
      <c r="G743" s="567"/>
      <c r="H743" s="165" t="s">
        <v>12</v>
      </c>
      <c r="I743" s="583"/>
      <c r="J743" s="583"/>
      <c r="K743" s="93"/>
      <c r="L743" s="93"/>
      <c r="M743" s="93"/>
      <c r="N743" s="93"/>
      <c r="O743" s="93"/>
      <c r="P743" s="93"/>
      <c r="Q743" s="568"/>
      <c r="R743" s="568"/>
      <c r="S743" s="568"/>
      <c r="T743" s="568"/>
      <c r="U743" s="568"/>
      <c r="V743" s="568"/>
      <c r="W743" s="568"/>
      <c r="X743" s="568"/>
      <c r="Y743" s="568"/>
      <c r="Z743" s="568"/>
    </row>
    <row r="744" spans="1:26" ht="18.75" hidden="1">
      <c r="A744" s="615"/>
      <c r="B744" s="571"/>
      <c r="C744" s="723"/>
      <c r="D744" s="723"/>
      <c r="E744" s="723"/>
      <c r="F744" s="723" t="s">
        <v>187</v>
      </c>
      <c r="G744" s="567"/>
      <c r="H744" s="165" t="s">
        <v>12</v>
      </c>
      <c r="I744" s="583"/>
      <c r="J744" s="583"/>
      <c r="K744" s="93"/>
      <c r="L744" s="93"/>
      <c r="M744" s="93"/>
      <c r="N744" s="93"/>
      <c r="O744" s="93"/>
      <c r="P744" s="93"/>
      <c r="Q744" s="568"/>
      <c r="R744" s="568"/>
      <c r="S744" s="568"/>
      <c r="T744" s="568"/>
      <c r="U744" s="568"/>
      <c r="V744" s="568"/>
      <c r="W744" s="568"/>
      <c r="X744" s="568"/>
      <c r="Y744" s="568"/>
      <c r="Z744" s="568"/>
    </row>
    <row r="745" spans="1:26" ht="18.75" hidden="1">
      <c r="A745" s="615"/>
      <c r="B745" s="571"/>
      <c r="C745" s="723"/>
      <c r="D745" s="723"/>
      <c r="E745" s="723"/>
      <c r="F745" s="723" t="s">
        <v>188</v>
      </c>
      <c r="G745" s="567"/>
      <c r="H745" s="165" t="s">
        <v>12</v>
      </c>
      <c r="I745" s="583"/>
      <c r="J745" s="583"/>
      <c r="K745" s="93"/>
      <c r="L745" s="93"/>
      <c r="M745" s="93"/>
      <c r="N745" s="93"/>
      <c r="O745" s="93"/>
      <c r="P745" s="93"/>
      <c r="Q745" s="568"/>
      <c r="R745" s="568"/>
      <c r="S745" s="568"/>
      <c r="T745" s="568"/>
      <c r="U745" s="568"/>
      <c r="V745" s="568"/>
      <c r="W745" s="568"/>
      <c r="X745" s="568"/>
      <c r="Y745" s="568"/>
      <c r="Z745" s="568"/>
    </row>
    <row r="746" spans="1:26" ht="18.75" hidden="1">
      <c r="A746" s="615"/>
      <c r="B746" s="571"/>
      <c r="C746" s="723"/>
      <c r="D746" s="723"/>
      <c r="E746" s="723"/>
      <c r="F746" s="723" t="s">
        <v>189</v>
      </c>
      <c r="G746" s="567"/>
      <c r="H746" s="165" t="s">
        <v>12</v>
      </c>
      <c r="I746" s="583"/>
      <c r="J746" s="583"/>
      <c r="K746" s="93"/>
      <c r="L746" s="93"/>
      <c r="M746" s="93"/>
      <c r="N746" s="93"/>
      <c r="O746" s="93"/>
      <c r="P746" s="93"/>
      <c r="Q746" s="568"/>
      <c r="R746" s="568"/>
      <c r="S746" s="568"/>
      <c r="T746" s="568"/>
      <c r="U746" s="568"/>
      <c r="V746" s="568"/>
      <c r="W746" s="568"/>
      <c r="X746" s="568"/>
      <c r="Y746" s="568"/>
      <c r="Z746" s="568"/>
    </row>
    <row r="747" spans="1:26" ht="19.5" hidden="1">
      <c r="A747" s="563"/>
      <c r="B747" s="571"/>
      <c r="C747" s="723"/>
      <c r="D747" s="611" t="s">
        <v>21</v>
      </c>
      <c r="E747" s="723"/>
      <c r="F747" s="723"/>
      <c r="G747" s="567"/>
      <c r="H747" s="747" t="s">
        <v>12</v>
      </c>
      <c r="I747" s="166"/>
      <c r="J747" s="166"/>
      <c r="K747" s="167"/>
      <c r="L747" s="613">
        <f t="shared" ref="L747:N747" si="298">L748+L749</f>
        <v>0</v>
      </c>
      <c r="M747" s="613">
        <f t="shared" si="298"/>
        <v>0</v>
      </c>
      <c r="N747" s="613">
        <f t="shared" si="298"/>
        <v>0</v>
      </c>
      <c r="O747" s="613">
        <f t="shared" ref="O747:O749" si="299">IF(L747&gt;0,N747*100/L747,0)</f>
        <v>0</v>
      </c>
      <c r="P747" s="613">
        <f t="shared" ref="P747:P749" si="300">IF(M747&gt;0,N747*100/M747,0)</f>
        <v>0</v>
      </c>
      <c r="Q747" s="568"/>
      <c r="R747" s="568"/>
      <c r="S747" s="568"/>
      <c r="T747" s="568"/>
      <c r="U747" s="568"/>
      <c r="V747" s="568"/>
      <c r="W747" s="568"/>
      <c r="X747" s="568"/>
      <c r="Y747" s="568"/>
      <c r="Z747" s="568"/>
    </row>
    <row r="748" spans="1:26" ht="18.75" hidden="1">
      <c r="A748" s="563"/>
      <c r="B748" s="571"/>
      <c r="C748" s="723"/>
      <c r="D748" s="723"/>
      <c r="E748" s="723" t="s">
        <v>18</v>
      </c>
      <c r="F748" s="723"/>
      <c r="G748" s="567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299"/>
        <v>0</v>
      </c>
      <c r="P748" s="93">
        <f t="shared" si="300"/>
        <v>0</v>
      </c>
      <c r="Q748" s="568"/>
      <c r="R748" s="568"/>
      <c r="S748" s="568"/>
      <c r="T748" s="568"/>
      <c r="U748" s="568"/>
      <c r="V748" s="568"/>
      <c r="W748" s="568"/>
      <c r="X748" s="568"/>
      <c r="Y748" s="568"/>
      <c r="Z748" s="568"/>
    </row>
    <row r="749" spans="1:26" ht="18.75" hidden="1">
      <c r="A749" s="563"/>
      <c r="B749" s="571"/>
      <c r="C749" s="723"/>
      <c r="D749" s="723"/>
      <c r="E749" s="723" t="s">
        <v>19</v>
      </c>
      <c r="F749" s="723"/>
      <c r="G749" s="567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299"/>
        <v>0</v>
      </c>
      <c r="P749" s="93">
        <f t="shared" si="300"/>
        <v>0</v>
      </c>
      <c r="Q749" s="568"/>
      <c r="R749" s="568"/>
      <c r="S749" s="568"/>
      <c r="T749" s="568"/>
      <c r="U749" s="568"/>
      <c r="V749" s="568"/>
      <c r="W749" s="568"/>
      <c r="X749" s="568"/>
      <c r="Y749" s="568"/>
      <c r="Z749" s="568"/>
    </row>
    <row r="750" spans="1:26" ht="19.5" hidden="1">
      <c r="A750" s="578"/>
      <c r="B750" s="580"/>
      <c r="C750" s="723" t="s">
        <v>16</v>
      </c>
      <c r="D750" s="856" t="s">
        <v>38</v>
      </c>
      <c r="E750" s="617"/>
      <c r="F750" s="617"/>
      <c r="G750" s="618"/>
      <c r="H750" s="581"/>
      <c r="I750" s="166"/>
      <c r="J750" s="166"/>
      <c r="K750" s="167"/>
      <c r="L750" s="167"/>
      <c r="M750" s="167"/>
      <c r="N750" s="167"/>
      <c r="O750" s="167"/>
      <c r="P750" s="167"/>
      <c r="Q750" s="568"/>
      <c r="R750" s="568"/>
      <c r="S750" s="568"/>
      <c r="T750" s="568"/>
      <c r="U750" s="568"/>
      <c r="V750" s="568"/>
      <c r="W750" s="568"/>
      <c r="X750" s="568"/>
      <c r="Y750" s="568"/>
      <c r="Z750" s="568"/>
    </row>
    <row r="751" spans="1:26" ht="18.75" hidden="1">
      <c r="A751" s="615"/>
      <c r="B751" s="571"/>
      <c r="C751" s="723"/>
      <c r="D751" s="723"/>
      <c r="E751" s="723" t="s">
        <v>313</v>
      </c>
      <c r="F751" s="723"/>
      <c r="G751" s="567"/>
      <c r="H751" s="165" t="s">
        <v>46</v>
      </c>
      <c r="I751" s="583"/>
      <c r="J751" s="583"/>
      <c r="K751" s="93"/>
      <c r="L751" s="93"/>
      <c r="M751" s="93"/>
      <c r="N751" s="93"/>
      <c r="O751" s="93"/>
      <c r="P751" s="93"/>
      <c r="Q751" s="568"/>
      <c r="R751" s="568"/>
      <c r="S751" s="568"/>
      <c r="T751" s="568"/>
      <c r="U751" s="568"/>
      <c r="V751" s="568"/>
      <c r="W751" s="568"/>
      <c r="X751" s="568"/>
      <c r="Y751" s="568"/>
      <c r="Z751" s="568"/>
    </row>
    <row r="752" spans="1:26" ht="18.75" hidden="1">
      <c r="A752" s="615"/>
      <c r="B752" s="571"/>
      <c r="C752" s="723"/>
      <c r="D752" s="723"/>
      <c r="E752" s="723"/>
      <c r="F752" s="723"/>
      <c r="G752" s="567"/>
      <c r="H752" s="165" t="s">
        <v>314</v>
      </c>
      <c r="I752" s="583"/>
      <c r="J752" s="583"/>
      <c r="K752" s="93"/>
      <c r="L752" s="93"/>
      <c r="M752" s="93"/>
      <c r="N752" s="93"/>
      <c r="O752" s="93"/>
      <c r="P752" s="93"/>
      <c r="Q752" s="568"/>
      <c r="R752" s="568"/>
      <c r="S752" s="568"/>
      <c r="T752" s="568"/>
      <c r="U752" s="568"/>
      <c r="V752" s="568"/>
      <c r="W752" s="568"/>
      <c r="X752" s="568"/>
      <c r="Y752" s="568"/>
      <c r="Z752" s="568"/>
    </row>
    <row r="753" spans="1:26" ht="19.5" hidden="1">
      <c r="A753" s="749">
        <v>10</v>
      </c>
      <c r="B753" s="750" t="s">
        <v>315</v>
      </c>
      <c r="C753" s="751"/>
      <c r="D753" s="751"/>
      <c r="E753" s="751"/>
      <c r="F753" s="751"/>
      <c r="G753" s="752"/>
      <c r="H753" s="753" t="s">
        <v>46</v>
      </c>
      <c r="I753" s="754"/>
      <c r="J753" s="754">
        <f>J768</f>
        <v>0</v>
      </c>
      <c r="K753" s="755">
        <f>IF(I753&gt;0,J753*100/I753,0)</f>
        <v>0</v>
      </c>
      <c r="L753" s="756"/>
      <c r="M753" s="756"/>
      <c r="N753" s="756"/>
      <c r="O753" s="756"/>
      <c r="P753" s="756"/>
      <c r="Q753" s="568"/>
      <c r="R753" s="568"/>
      <c r="S753" s="568"/>
      <c r="T753" s="568"/>
      <c r="U753" s="568"/>
      <c r="V753" s="568"/>
      <c r="W753" s="568"/>
      <c r="X753" s="568"/>
      <c r="Y753" s="568"/>
      <c r="Z753" s="568"/>
    </row>
    <row r="754" spans="1:26" ht="19.5" hidden="1">
      <c r="A754" s="563"/>
      <c r="B754" s="723"/>
      <c r="C754" s="723" t="s">
        <v>16</v>
      </c>
      <c r="D754" s="812" t="s">
        <v>17</v>
      </c>
      <c r="E754" s="805"/>
      <c r="F754" s="805"/>
      <c r="G754" s="567"/>
      <c r="H754" s="612" t="s">
        <v>12</v>
      </c>
      <c r="I754" s="583"/>
      <c r="J754" s="583"/>
      <c r="K754" s="93"/>
      <c r="L754" s="613">
        <f t="shared" ref="L754:N754" si="301">L755+L756</f>
        <v>0</v>
      </c>
      <c r="M754" s="613">
        <f t="shared" si="301"/>
        <v>0</v>
      </c>
      <c r="N754" s="613">
        <f t="shared" si="301"/>
        <v>0</v>
      </c>
      <c r="O754" s="613">
        <f t="shared" ref="O754:O759" si="302">IF(L754&gt;0,N754*100/L754,0)</f>
        <v>0</v>
      </c>
      <c r="P754" s="613">
        <f t="shared" ref="P754:P759" si="303">IF(M754&gt;0,N754*100/M754,0)</f>
        <v>0</v>
      </c>
      <c r="Q754" s="568"/>
      <c r="R754" s="568"/>
      <c r="S754" s="568"/>
      <c r="T754" s="568"/>
      <c r="U754" s="568"/>
      <c r="V754" s="568"/>
      <c r="W754" s="568"/>
      <c r="X754" s="568"/>
      <c r="Y754" s="568"/>
      <c r="Z754" s="568"/>
    </row>
    <row r="755" spans="1:26" ht="18.75" hidden="1">
      <c r="A755" s="563"/>
      <c r="B755" s="723"/>
      <c r="C755" s="723"/>
      <c r="D755" s="684"/>
      <c r="E755" s="723" t="s">
        <v>184</v>
      </c>
      <c r="F755" s="723"/>
      <c r="G755" s="567"/>
      <c r="H755" s="165" t="s">
        <v>12</v>
      </c>
      <c r="I755" s="583"/>
      <c r="J755" s="583"/>
      <c r="K755" s="93"/>
      <c r="L755" s="93">
        <f t="shared" ref="L755:N756" si="304">L758+L765</f>
        <v>0</v>
      </c>
      <c r="M755" s="93">
        <f t="shared" si="304"/>
        <v>0</v>
      </c>
      <c r="N755" s="93">
        <f t="shared" si="304"/>
        <v>0</v>
      </c>
      <c r="O755" s="93">
        <f t="shared" si="302"/>
        <v>0</v>
      </c>
      <c r="P755" s="93">
        <f t="shared" si="303"/>
        <v>0</v>
      </c>
      <c r="Q755" s="568"/>
      <c r="R755" s="568"/>
      <c r="S755" s="568"/>
      <c r="T755" s="568"/>
      <c r="U755" s="568"/>
      <c r="V755" s="568"/>
      <c r="W755" s="568"/>
      <c r="X755" s="568"/>
      <c r="Y755" s="568"/>
      <c r="Z755" s="568"/>
    </row>
    <row r="756" spans="1:26" ht="18.75" hidden="1">
      <c r="A756" s="563"/>
      <c r="B756" s="571"/>
      <c r="C756" s="723"/>
      <c r="D756" s="684"/>
      <c r="E756" s="723" t="s">
        <v>185</v>
      </c>
      <c r="F756" s="723"/>
      <c r="G756" s="567"/>
      <c r="H756" s="165" t="s">
        <v>12</v>
      </c>
      <c r="I756" s="583"/>
      <c r="J756" s="583"/>
      <c r="K756" s="93"/>
      <c r="L756" s="93">
        <f t="shared" si="304"/>
        <v>0</v>
      </c>
      <c r="M756" s="93">
        <f t="shared" si="304"/>
        <v>0</v>
      </c>
      <c r="N756" s="93">
        <f t="shared" si="304"/>
        <v>0</v>
      </c>
      <c r="O756" s="93">
        <f t="shared" si="302"/>
        <v>0</v>
      </c>
      <c r="P756" s="93">
        <f t="shared" si="303"/>
        <v>0</v>
      </c>
      <c r="Q756" s="568"/>
      <c r="R756" s="568"/>
      <c r="S756" s="568"/>
      <c r="T756" s="568"/>
      <c r="U756" s="568"/>
      <c r="V756" s="568"/>
      <c r="W756" s="568"/>
      <c r="X756" s="568"/>
      <c r="Y756" s="568"/>
      <c r="Z756" s="568"/>
    </row>
    <row r="757" spans="1:26" ht="19.5" hidden="1">
      <c r="A757" s="563"/>
      <c r="B757" s="571"/>
      <c r="C757" s="723"/>
      <c r="D757" s="611" t="s">
        <v>20</v>
      </c>
      <c r="E757" s="723"/>
      <c r="F757" s="723"/>
      <c r="G757" s="567"/>
      <c r="H757" s="612" t="s">
        <v>12</v>
      </c>
      <c r="I757" s="166"/>
      <c r="J757" s="166"/>
      <c r="K757" s="167"/>
      <c r="L757" s="613">
        <f t="shared" ref="L757:N757" si="305">L758+L759</f>
        <v>0</v>
      </c>
      <c r="M757" s="613">
        <f t="shared" si="305"/>
        <v>0</v>
      </c>
      <c r="N757" s="613">
        <f t="shared" si="305"/>
        <v>0</v>
      </c>
      <c r="O757" s="613">
        <f t="shared" si="302"/>
        <v>0</v>
      </c>
      <c r="P757" s="613">
        <f t="shared" si="303"/>
        <v>0</v>
      </c>
      <c r="Q757" s="568"/>
      <c r="R757" s="568"/>
      <c r="S757" s="568"/>
      <c r="T757" s="568"/>
      <c r="U757" s="568"/>
      <c r="V757" s="568"/>
      <c r="W757" s="568"/>
      <c r="X757" s="568"/>
      <c r="Y757" s="568"/>
      <c r="Z757" s="568"/>
    </row>
    <row r="758" spans="1:26" ht="18.75" hidden="1">
      <c r="A758" s="563"/>
      <c r="B758" s="571"/>
      <c r="C758" s="723"/>
      <c r="D758" s="684"/>
      <c r="E758" s="723" t="s">
        <v>184</v>
      </c>
      <c r="F758" s="723"/>
      <c r="G758" s="567"/>
      <c r="H758" s="165" t="s">
        <v>12</v>
      </c>
      <c r="I758" s="583"/>
      <c r="J758" s="583"/>
      <c r="K758" s="93"/>
      <c r="L758" s="93">
        <v>0</v>
      </c>
      <c r="M758" s="93">
        <v>0</v>
      </c>
      <c r="N758" s="93">
        <v>0</v>
      </c>
      <c r="O758" s="93">
        <f t="shared" si="302"/>
        <v>0</v>
      </c>
      <c r="P758" s="93">
        <f t="shared" si="303"/>
        <v>0</v>
      </c>
      <c r="Q758" s="568"/>
      <c r="R758" s="568"/>
      <c r="S758" s="568"/>
      <c r="T758" s="568"/>
      <c r="U758" s="568"/>
      <c r="V758" s="568"/>
      <c r="W758" s="568"/>
      <c r="X758" s="568"/>
      <c r="Y758" s="568"/>
      <c r="Z758" s="568"/>
    </row>
    <row r="759" spans="1:26" ht="18.75" hidden="1">
      <c r="A759" s="563"/>
      <c r="B759" s="571"/>
      <c r="C759" s="723"/>
      <c r="D759" s="684"/>
      <c r="E759" s="723" t="s">
        <v>185</v>
      </c>
      <c r="F759" s="723"/>
      <c r="G759" s="567"/>
      <c r="H759" s="165" t="s">
        <v>12</v>
      </c>
      <c r="I759" s="583"/>
      <c r="J759" s="583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2"/>
        <v>0</v>
      </c>
      <c r="P759" s="93">
        <f t="shared" si="303"/>
        <v>0</v>
      </c>
      <c r="Q759" s="568"/>
      <c r="R759" s="568"/>
      <c r="S759" s="568"/>
      <c r="T759" s="568"/>
      <c r="U759" s="568"/>
      <c r="V759" s="568"/>
      <c r="W759" s="568"/>
      <c r="X759" s="568"/>
      <c r="Y759" s="568"/>
      <c r="Z759" s="568"/>
    </row>
    <row r="760" spans="1:26" ht="18.75" hidden="1">
      <c r="A760" s="615"/>
      <c r="B760" s="571"/>
      <c r="C760" s="723"/>
      <c r="D760" s="723"/>
      <c r="E760" s="723"/>
      <c r="F760" s="723" t="s">
        <v>186</v>
      </c>
      <c r="G760" s="567"/>
      <c r="H760" s="165" t="s">
        <v>12</v>
      </c>
      <c r="I760" s="583"/>
      <c r="J760" s="583"/>
      <c r="K760" s="93"/>
      <c r="L760" s="93"/>
      <c r="M760" s="93"/>
      <c r="N760" s="93"/>
      <c r="O760" s="93"/>
      <c r="P760" s="93"/>
      <c r="Q760" s="568"/>
      <c r="R760" s="568"/>
      <c r="S760" s="568"/>
      <c r="T760" s="568"/>
      <c r="U760" s="568"/>
      <c r="V760" s="568"/>
      <c r="W760" s="568"/>
      <c r="X760" s="568"/>
      <c r="Y760" s="568"/>
      <c r="Z760" s="568"/>
    </row>
    <row r="761" spans="1:26" ht="18.75" hidden="1">
      <c r="A761" s="615"/>
      <c r="B761" s="571"/>
      <c r="C761" s="723"/>
      <c r="D761" s="723"/>
      <c r="E761" s="723"/>
      <c r="F761" s="723" t="s">
        <v>187</v>
      </c>
      <c r="G761" s="567"/>
      <c r="H761" s="165" t="s">
        <v>12</v>
      </c>
      <c r="I761" s="583"/>
      <c r="J761" s="583"/>
      <c r="K761" s="93"/>
      <c r="L761" s="93"/>
      <c r="M761" s="93"/>
      <c r="N761" s="93"/>
      <c r="O761" s="93"/>
      <c r="P761" s="93"/>
      <c r="Q761" s="568"/>
      <c r="R761" s="568"/>
      <c r="S761" s="568"/>
      <c r="T761" s="568"/>
      <c r="U761" s="568"/>
      <c r="V761" s="568"/>
      <c r="W761" s="568"/>
      <c r="X761" s="568"/>
      <c r="Y761" s="568"/>
      <c r="Z761" s="568"/>
    </row>
    <row r="762" spans="1:26" ht="18.75" hidden="1">
      <c r="A762" s="615"/>
      <c r="B762" s="571"/>
      <c r="C762" s="723"/>
      <c r="D762" s="723"/>
      <c r="E762" s="723"/>
      <c r="F762" s="723" t="s">
        <v>188</v>
      </c>
      <c r="G762" s="567"/>
      <c r="H762" s="165" t="s">
        <v>12</v>
      </c>
      <c r="I762" s="583"/>
      <c r="J762" s="583"/>
      <c r="K762" s="93"/>
      <c r="L762" s="93"/>
      <c r="M762" s="93"/>
      <c r="N762" s="93"/>
      <c r="O762" s="93"/>
      <c r="P762" s="93"/>
      <c r="Q762" s="568"/>
      <c r="R762" s="568"/>
      <c r="S762" s="568"/>
      <c r="T762" s="568"/>
      <c r="U762" s="568"/>
      <c r="V762" s="568"/>
      <c r="W762" s="568"/>
      <c r="X762" s="568"/>
      <c r="Y762" s="568"/>
      <c r="Z762" s="568"/>
    </row>
    <row r="763" spans="1:26" ht="18.75" hidden="1">
      <c r="A763" s="615"/>
      <c r="B763" s="571"/>
      <c r="C763" s="723"/>
      <c r="D763" s="723"/>
      <c r="E763" s="723"/>
      <c r="F763" s="723" t="s">
        <v>189</v>
      </c>
      <c r="G763" s="567"/>
      <c r="H763" s="165" t="s">
        <v>12</v>
      </c>
      <c r="I763" s="583"/>
      <c r="J763" s="583"/>
      <c r="K763" s="93"/>
      <c r="L763" s="93"/>
      <c r="M763" s="93"/>
      <c r="N763" s="93"/>
      <c r="O763" s="93"/>
      <c r="P763" s="93"/>
      <c r="Q763" s="568"/>
      <c r="R763" s="568"/>
      <c r="S763" s="568"/>
      <c r="T763" s="568"/>
      <c r="U763" s="568"/>
      <c r="V763" s="568"/>
      <c r="W763" s="568"/>
      <c r="X763" s="568"/>
      <c r="Y763" s="568"/>
      <c r="Z763" s="568"/>
    </row>
    <row r="764" spans="1:26" ht="19.5" hidden="1">
      <c r="A764" s="563"/>
      <c r="B764" s="571"/>
      <c r="C764" s="723"/>
      <c r="D764" s="611" t="s">
        <v>21</v>
      </c>
      <c r="E764" s="723"/>
      <c r="F764" s="723"/>
      <c r="G764" s="567"/>
      <c r="H764" s="747" t="s">
        <v>12</v>
      </c>
      <c r="I764" s="166"/>
      <c r="J764" s="166"/>
      <c r="K764" s="167"/>
      <c r="L764" s="613">
        <f t="shared" ref="L764:N764" si="306">L765+L766</f>
        <v>0</v>
      </c>
      <c r="M764" s="613">
        <f t="shared" si="306"/>
        <v>0</v>
      </c>
      <c r="N764" s="613">
        <f t="shared" si="306"/>
        <v>0</v>
      </c>
      <c r="O764" s="613">
        <f t="shared" ref="O764:O766" si="307">IF(L764&gt;0,N764*100/L764,0)</f>
        <v>0</v>
      </c>
      <c r="P764" s="613">
        <f t="shared" ref="P764:P766" si="308">IF(M764&gt;0,N764*100/M764,0)</f>
        <v>0</v>
      </c>
      <c r="Q764" s="568"/>
      <c r="R764" s="568"/>
      <c r="S764" s="568"/>
      <c r="T764" s="568"/>
      <c r="U764" s="568"/>
      <c r="V764" s="568"/>
      <c r="W764" s="568"/>
      <c r="X764" s="568"/>
      <c r="Y764" s="568"/>
      <c r="Z764" s="568"/>
    </row>
    <row r="765" spans="1:26" ht="18.75" hidden="1">
      <c r="A765" s="563"/>
      <c r="B765" s="571"/>
      <c r="C765" s="723"/>
      <c r="D765" s="723"/>
      <c r="E765" s="723" t="s">
        <v>18</v>
      </c>
      <c r="F765" s="723"/>
      <c r="G765" s="567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7"/>
        <v>0</v>
      </c>
      <c r="P765" s="93">
        <f t="shared" si="308"/>
        <v>0</v>
      </c>
      <c r="Q765" s="568"/>
      <c r="R765" s="568"/>
      <c r="S765" s="568"/>
      <c r="T765" s="568"/>
      <c r="U765" s="568"/>
      <c r="V765" s="568"/>
      <c r="W765" s="568"/>
      <c r="X765" s="568"/>
      <c r="Y765" s="568"/>
      <c r="Z765" s="568"/>
    </row>
    <row r="766" spans="1:26" ht="18.75" hidden="1">
      <c r="A766" s="563"/>
      <c r="B766" s="571"/>
      <c r="C766" s="723"/>
      <c r="D766" s="723"/>
      <c r="E766" s="723" t="s">
        <v>19</v>
      </c>
      <c r="F766" s="723"/>
      <c r="G766" s="567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7"/>
        <v>0</v>
      </c>
      <c r="P766" s="93">
        <f t="shared" si="308"/>
        <v>0</v>
      </c>
      <c r="Q766" s="568"/>
      <c r="R766" s="568"/>
      <c r="S766" s="568"/>
      <c r="T766" s="568"/>
      <c r="U766" s="568"/>
      <c r="V766" s="568"/>
      <c r="W766" s="568"/>
      <c r="X766" s="568"/>
      <c r="Y766" s="568"/>
      <c r="Z766" s="568"/>
    </row>
    <row r="767" spans="1:26" ht="19.5" hidden="1">
      <c r="A767" s="578"/>
      <c r="B767" s="580"/>
      <c r="C767" s="723" t="s">
        <v>16</v>
      </c>
      <c r="D767" s="856" t="s">
        <v>38</v>
      </c>
      <c r="E767" s="617"/>
      <c r="F767" s="617"/>
      <c r="G767" s="618"/>
      <c r="H767" s="581"/>
      <c r="I767" s="166"/>
      <c r="J767" s="166"/>
      <c r="K767" s="167"/>
      <c r="L767" s="167"/>
      <c r="M767" s="167"/>
      <c r="N767" s="167"/>
      <c r="O767" s="167"/>
      <c r="P767" s="167"/>
      <c r="Q767" s="568"/>
      <c r="R767" s="568"/>
      <c r="S767" s="568"/>
      <c r="T767" s="568"/>
      <c r="U767" s="568"/>
      <c r="V767" s="568"/>
      <c r="W767" s="568"/>
      <c r="X767" s="568"/>
      <c r="Y767" s="568"/>
      <c r="Z767" s="568"/>
    </row>
    <row r="768" spans="1:26" ht="18.75" hidden="1">
      <c r="A768" s="615"/>
      <c r="B768" s="571"/>
      <c r="C768" s="723"/>
      <c r="D768" s="723"/>
      <c r="E768" s="723" t="s">
        <v>316</v>
      </c>
      <c r="F768" s="723"/>
      <c r="G768" s="567"/>
      <c r="H768" s="165" t="s">
        <v>46</v>
      </c>
      <c r="I768" s="583"/>
      <c r="J768" s="583"/>
      <c r="K768" s="93"/>
      <c r="L768" s="93"/>
      <c r="M768" s="93"/>
      <c r="N768" s="93"/>
      <c r="O768" s="93"/>
      <c r="P768" s="93"/>
      <c r="Q768" s="568"/>
      <c r="R768" s="568"/>
      <c r="S768" s="568"/>
      <c r="T768" s="568"/>
      <c r="U768" s="568"/>
      <c r="V768" s="568"/>
      <c r="W768" s="568"/>
      <c r="X768" s="568"/>
      <c r="Y768" s="568"/>
      <c r="Z768" s="568"/>
    </row>
    <row r="769" spans="1:26" ht="19.5" hidden="1">
      <c r="A769" s="757">
        <v>11</v>
      </c>
      <c r="B769" s="758" t="s">
        <v>317</v>
      </c>
      <c r="C769" s="759"/>
      <c r="D769" s="759"/>
      <c r="E769" s="759"/>
      <c r="F769" s="759"/>
      <c r="G769" s="760"/>
      <c r="H769" s="761" t="s">
        <v>46</v>
      </c>
      <c r="I769" s="762"/>
      <c r="J769" s="762">
        <f>J784</f>
        <v>0</v>
      </c>
      <c r="K769" s="763">
        <f>IF(I769&gt;0,J769*100/I769,0)</f>
        <v>0</v>
      </c>
      <c r="L769" s="764"/>
      <c r="M769" s="764"/>
      <c r="N769" s="764"/>
      <c r="O769" s="764"/>
      <c r="P769" s="764"/>
      <c r="Q769" s="568"/>
      <c r="R769" s="568"/>
      <c r="S769" s="568"/>
      <c r="T769" s="568"/>
      <c r="U769" s="568"/>
      <c r="V769" s="568"/>
      <c r="W769" s="568"/>
      <c r="X769" s="568"/>
      <c r="Y769" s="568"/>
      <c r="Z769" s="568"/>
    </row>
    <row r="770" spans="1:26" ht="19.5" hidden="1">
      <c r="A770" s="563"/>
      <c r="B770" s="723"/>
      <c r="C770" s="723" t="s">
        <v>16</v>
      </c>
      <c r="D770" s="812" t="s">
        <v>17</v>
      </c>
      <c r="E770" s="805"/>
      <c r="F770" s="805"/>
      <c r="G770" s="567"/>
      <c r="H770" s="612" t="s">
        <v>12</v>
      </c>
      <c r="I770" s="583"/>
      <c r="J770" s="583"/>
      <c r="K770" s="93"/>
      <c r="L770" s="613">
        <f t="shared" ref="L770:N770" si="309">L771+L772</f>
        <v>0</v>
      </c>
      <c r="M770" s="613">
        <f t="shared" si="309"/>
        <v>0</v>
      </c>
      <c r="N770" s="613">
        <f t="shared" si="309"/>
        <v>0</v>
      </c>
      <c r="O770" s="613">
        <f t="shared" ref="O770:O775" si="310">IF(L770&gt;0,N770*100/L770,0)</f>
        <v>0</v>
      </c>
      <c r="P770" s="613">
        <f t="shared" ref="P770:P775" si="311">IF(M770&gt;0,N770*100/M770,0)</f>
        <v>0</v>
      </c>
      <c r="Q770" s="568"/>
      <c r="R770" s="568"/>
      <c r="S770" s="568"/>
      <c r="T770" s="568"/>
      <c r="U770" s="568"/>
      <c r="V770" s="568"/>
      <c r="W770" s="568"/>
      <c r="X770" s="568"/>
      <c r="Y770" s="568"/>
      <c r="Z770" s="568"/>
    </row>
    <row r="771" spans="1:26" ht="18.75" hidden="1">
      <c r="A771" s="563"/>
      <c r="B771" s="723"/>
      <c r="C771" s="723"/>
      <c r="D771" s="684"/>
      <c r="E771" s="723" t="s">
        <v>184</v>
      </c>
      <c r="F771" s="723"/>
      <c r="G771" s="567"/>
      <c r="H771" s="165" t="s">
        <v>12</v>
      </c>
      <c r="I771" s="583"/>
      <c r="J771" s="583"/>
      <c r="K771" s="93"/>
      <c r="L771" s="93">
        <f t="shared" ref="L771:N772" si="312">L774+L781</f>
        <v>0</v>
      </c>
      <c r="M771" s="93">
        <f t="shared" si="312"/>
        <v>0</v>
      </c>
      <c r="N771" s="93">
        <f t="shared" si="312"/>
        <v>0</v>
      </c>
      <c r="O771" s="93">
        <f t="shared" si="310"/>
        <v>0</v>
      </c>
      <c r="P771" s="93">
        <f t="shared" si="311"/>
        <v>0</v>
      </c>
      <c r="Q771" s="568"/>
      <c r="R771" s="568"/>
      <c r="S771" s="568"/>
      <c r="T771" s="568"/>
      <c r="U771" s="568"/>
      <c r="V771" s="568"/>
      <c r="W771" s="568"/>
      <c r="X771" s="568"/>
      <c r="Y771" s="568"/>
      <c r="Z771" s="568"/>
    </row>
    <row r="772" spans="1:26" ht="18.75" hidden="1">
      <c r="A772" s="563"/>
      <c r="B772" s="571"/>
      <c r="C772" s="723"/>
      <c r="D772" s="684"/>
      <c r="E772" s="723" t="s">
        <v>185</v>
      </c>
      <c r="F772" s="723"/>
      <c r="G772" s="567"/>
      <c r="H772" s="165" t="s">
        <v>12</v>
      </c>
      <c r="I772" s="583"/>
      <c r="J772" s="583"/>
      <c r="K772" s="93"/>
      <c r="L772" s="93">
        <f t="shared" si="312"/>
        <v>0</v>
      </c>
      <c r="M772" s="93">
        <f t="shared" si="312"/>
        <v>0</v>
      </c>
      <c r="N772" s="93">
        <f t="shared" si="312"/>
        <v>0</v>
      </c>
      <c r="O772" s="93">
        <f t="shared" si="310"/>
        <v>0</v>
      </c>
      <c r="P772" s="93">
        <f t="shared" si="311"/>
        <v>0</v>
      </c>
      <c r="Q772" s="568"/>
      <c r="R772" s="568"/>
      <c r="S772" s="568"/>
      <c r="T772" s="568"/>
      <c r="U772" s="568"/>
      <c r="V772" s="568"/>
      <c r="W772" s="568"/>
      <c r="X772" s="568"/>
      <c r="Y772" s="568"/>
      <c r="Z772" s="568"/>
    </row>
    <row r="773" spans="1:26" ht="19.5" hidden="1">
      <c r="A773" s="563"/>
      <c r="B773" s="571"/>
      <c r="C773" s="723"/>
      <c r="D773" s="611" t="s">
        <v>20</v>
      </c>
      <c r="E773" s="723"/>
      <c r="F773" s="723"/>
      <c r="G773" s="567"/>
      <c r="H773" s="612" t="s">
        <v>12</v>
      </c>
      <c r="I773" s="166"/>
      <c r="J773" s="166"/>
      <c r="K773" s="167"/>
      <c r="L773" s="613">
        <f t="shared" ref="L773:N773" si="313">L774+L775</f>
        <v>0</v>
      </c>
      <c r="M773" s="613">
        <f t="shared" si="313"/>
        <v>0</v>
      </c>
      <c r="N773" s="613">
        <f t="shared" si="313"/>
        <v>0</v>
      </c>
      <c r="O773" s="613">
        <f t="shared" si="310"/>
        <v>0</v>
      </c>
      <c r="P773" s="613">
        <f t="shared" si="311"/>
        <v>0</v>
      </c>
      <c r="Q773" s="568"/>
      <c r="R773" s="568"/>
      <c r="S773" s="568"/>
      <c r="T773" s="568"/>
      <c r="U773" s="568"/>
      <c r="V773" s="568"/>
      <c r="W773" s="568"/>
      <c r="X773" s="568"/>
      <c r="Y773" s="568"/>
      <c r="Z773" s="568"/>
    </row>
    <row r="774" spans="1:26" ht="18.75" hidden="1">
      <c r="A774" s="563"/>
      <c r="B774" s="571"/>
      <c r="C774" s="723"/>
      <c r="D774" s="684"/>
      <c r="E774" s="723" t="s">
        <v>184</v>
      </c>
      <c r="F774" s="723"/>
      <c r="G774" s="567"/>
      <c r="H774" s="165" t="s">
        <v>12</v>
      </c>
      <c r="I774" s="583"/>
      <c r="J774" s="583"/>
      <c r="K774" s="93"/>
      <c r="L774" s="93">
        <v>0</v>
      </c>
      <c r="M774" s="93">
        <v>0</v>
      </c>
      <c r="N774" s="93">
        <v>0</v>
      </c>
      <c r="O774" s="93">
        <f t="shared" si="310"/>
        <v>0</v>
      </c>
      <c r="P774" s="93">
        <f t="shared" si="311"/>
        <v>0</v>
      </c>
      <c r="Q774" s="568"/>
      <c r="R774" s="568"/>
      <c r="S774" s="568"/>
      <c r="T774" s="568"/>
      <c r="U774" s="568"/>
      <c r="V774" s="568"/>
      <c r="W774" s="568"/>
      <c r="X774" s="568"/>
      <c r="Y774" s="568"/>
      <c r="Z774" s="568"/>
    </row>
    <row r="775" spans="1:26" ht="18.75" hidden="1">
      <c r="A775" s="563"/>
      <c r="B775" s="571"/>
      <c r="C775" s="723"/>
      <c r="D775" s="684"/>
      <c r="E775" s="723" t="s">
        <v>185</v>
      </c>
      <c r="F775" s="723"/>
      <c r="G775" s="567"/>
      <c r="H775" s="165" t="s">
        <v>12</v>
      </c>
      <c r="I775" s="583"/>
      <c r="J775" s="583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0"/>
        <v>0</v>
      </c>
      <c r="P775" s="93">
        <f t="shared" si="311"/>
        <v>0</v>
      </c>
      <c r="Q775" s="568"/>
      <c r="R775" s="568"/>
      <c r="S775" s="568"/>
      <c r="T775" s="568"/>
      <c r="U775" s="568"/>
      <c r="V775" s="568"/>
      <c r="W775" s="568"/>
      <c r="X775" s="568"/>
      <c r="Y775" s="568"/>
      <c r="Z775" s="568"/>
    </row>
    <row r="776" spans="1:26" ht="18.75" hidden="1">
      <c r="A776" s="615"/>
      <c r="B776" s="571"/>
      <c r="C776" s="723"/>
      <c r="D776" s="723"/>
      <c r="E776" s="723"/>
      <c r="F776" s="723" t="s">
        <v>186</v>
      </c>
      <c r="G776" s="567"/>
      <c r="H776" s="165" t="s">
        <v>12</v>
      </c>
      <c r="I776" s="583"/>
      <c r="J776" s="583"/>
      <c r="K776" s="93"/>
      <c r="L776" s="93"/>
      <c r="M776" s="93"/>
      <c r="N776" s="93"/>
      <c r="O776" s="93"/>
      <c r="P776" s="93"/>
      <c r="Q776" s="568"/>
      <c r="R776" s="568"/>
      <c r="S776" s="568"/>
      <c r="T776" s="568"/>
      <c r="U776" s="568"/>
      <c r="V776" s="568"/>
      <c r="W776" s="568"/>
      <c r="X776" s="568"/>
      <c r="Y776" s="568"/>
      <c r="Z776" s="568"/>
    </row>
    <row r="777" spans="1:26" ht="18.75" hidden="1">
      <c r="A777" s="615"/>
      <c r="B777" s="571"/>
      <c r="C777" s="723"/>
      <c r="D777" s="723"/>
      <c r="E777" s="723"/>
      <c r="F777" s="723" t="s">
        <v>187</v>
      </c>
      <c r="G777" s="567"/>
      <c r="H777" s="165" t="s">
        <v>12</v>
      </c>
      <c r="I777" s="583"/>
      <c r="J777" s="583"/>
      <c r="K777" s="93"/>
      <c r="L777" s="93"/>
      <c r="M777" s="93"/>
      <c r="N777" s="93"/>
      <c r="O777" s="93"/>
      <c r="P777" s="93"/>
      <c r="Q777" s="568"/>
      <c r="R777" s="568"/>
      <c r="S777" s="568"/>
      <c r="T777" s="568"/>
      <c r="U777" s="568"/>
      <c r="V777" s="568"/>
      <c r="W777" s="568"/>
      <c r="X777" s="568"/>
      <c r="Y777" s="568"/>
      <c r="Z777" s="568"/>
    </row>
    <row r="778" spans="1:26" ht="18.75" hidden="1">
      <c r="A778" s="615"/>
      <c r="B778" s="571"/>
      <c r="C778" s="723"/>
      <c r="D778" s="723"/>
      <c r="E778" s="723"/>
      <c r="F778" s="723" t="s">
        <v>188</v>
      </c>
      <c r="G778" s="567"/>
      <c r="H778" s="165" t="s">
        <v>12</v>
      </c>
      <c r="I778" s="583"/>
      <c r="J778" s="583"/>
      <c r="K778" s="93"/>
      <c r="L778" s="93"/>
      <c r="M778" s="93"/>
      <c r="N778" s="93"/>
      <c r="O778" s="93"/>
      <c r="P778" s="93"/>
      <c r="Q778" s="568"/>
      <c r="R778" s="568"/>
      <c r="S778" s="568"/>
      <c r="T778" s="568"/>
      <c r="U778" s="568"/>
      <c r="V778" s="568"/>
      <c r="W778" s="568"/>
      <c r="X778" s="568"/>
      <c r="Y778" s="568"/>
      <c r="Z778" s="568"/>
    </row>
    <row r="779" spans="1:26" ht="18.75" hidden="1">
      <c r="A779" s="615"/>
      <c r="B779" s="571"/>
      <c r="C779" s="723"/>
      <c r="D779" s="723"/>
      <c r="E779" s="723"/>
      <c r="F779" s="723" t="s">
        <v>189</v>
      </c>
      <c r="G779" s="567"/>
      <c r="H779" s="165" t="s">
        <v>12</v>
      </c>
      <c r="I779" s="583"/>
      <c r="J779" s="583"/>
      <c r="K779" s="93"/>
      <c r="L779" s="93"/>
      <c r="M779" s="93"/>
      <c r="N779" s="93"/>
      <c r="O779" s="93"/>
      <c r="P779" s="93"/>
      <c r="Q779" s="568"/>
      <c r="R779" s="568"/>
      <c r="S779" s="568"/>
      <c r="T779" s="568"/>
      <c r="U779" s="568"/>
      <c r="V779" s="568"/>
      <c r="W779" s="568"/>
      <c r="X779" s="568"/>
      <c r="Y779" s="568"/>
      <c r="Z779" s="568"/>
    </row>
    <row r="780" spans="1:26" ht="19.5" hidden="1">
      <c r="A780" s="563"/>
      <c r="B780" s="571"/>
      <c r="C780" s="723"/>
      <c r="D780" s="611" t="s">
        <v>21</v>
      </c>
      <c r="E780" s="723"/>
      <c r="F780" s="723"/>
      <c r="G780" s="567"/>
      <c r="H780" s="747" t="s">
        <v>12</v>
      </c>
      <c r="I780" s="166"/>
      <c r="J780" s="166"/>
      <c r="K780" s="167"/>
      <c r="L780" s="613">
        <f t="shared" ref="L780:N780" si="314">L781+L782</f>
        <v>0</v>
      </c>
      <c r="M780" s="613">
        <f t="shared" si="314"/>
        <v>0</v>
      </c>
      <c r="N780" s="613">
        <f t="shared" si="314"/>
        <v>0</v>
      </c>
      <c r="O780" s="613">
        <f t="shared" ref="O780:O782" si="315">IF(L780&gt;0,N780*100/L780,0)</f>
        <v>0</v>
      </c>
      <c r="P780" s="613">
        <f t="shared" ref="P780:P782" si="316">IF(M780&gt;0,N780*100/M780,0)</f>
        <v>0</v>
      </c>
      <c r="Q780" s="568"/>
      <c r="R780" s="568"/>
      <c r="S780" s="568"/>
      <c r="T780" s="568"/>
      <c r="U780" s="568"/>
      <c r="V780" s="568"/>
      <c r="W780" s="568"/>
      <c r="X780" s="568"/>
      <c r="Y780" s="568"/>
      <c r="Z780" s="568"/>
    </row>
    <row r="781" spans="1:26" ht="18.75" hidden="1">
      <c r="A781" s="563"/>
      <c r="B781" s="571"/>
      <c r="C781" s="723"/>
      <c r="D781" s="723"/>
      <c r="E781" s="723" t="s">
        <v>18</v>
      </c>
      <c r="F781" s="723"/>
      <c r="G781" s="567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5"/>
        <v>0</v>
      </c>
      <c r="P781" s="93">
        <f t="shared" si="316"/>
        <v>0</v>
      </c>
      <c r="Q781" s="568"/>
      <c r="R781" s="568"/>
      <c r="S781" s="568"/>
      <c r="T781" s="568"/>
      <c r="U781" s="568"/>
      <c r="V781" s="568"/>
      <c r="W781" s="568"/>
      <c r="X781" s="568"/>
      <c r="Y781" s="568"/>
      <c r="Z781" s="568"/>
    </row>
    <row r="782" spans="1:26" ht="18.75" hidden="1">
      <c r="A782" s="563"/>
      <c r="B782" s="571"/>
      <c r="C782" s="723"/>
      <c r="D782" s="723"/>
      <c r="E782" s="723" t="s">
        <v>19</v>
      </c>
      <c r="F782" s="723"/>
      <c r="G782" s="567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5"/>
        <v>0</v>
      </c>
      <c r="P782" s="93">
        <f t="shared" si="316"/>
        <v>0</v>
      </c>
      <c r="Q782" s="568"/>
      <c r="R782" s="568"/>
      <c r="S782" s="568"/>
      <c r="T782" s="568"/>
      <c r="U782" s="568"/>
      <c r="V782" s="568"/>
      <c r="W782" s="568"/>
      <c r="X782" s="568"/>
      <c r="Y782" s="568"/>
      <c r="Z782" s="568"/>
    </row>
    <row r="783" spans="1:26" ht="19.5" hidden="1">
      <c r="A783" s="578"/>
      <c r="B783" s="580"/>
      <c r="C783" s="723" t="s">
        <v>16</v>
      </c>
      <c r="D783" s="856" t="s">
        <v>38</v>
      </c>
      <c r="E783" s="617"/>
      <c r="F783" s="617"/>
      <c r="G783" s="618"/>
      <c r="H783" s="765"/>
      <c r="I783" s="166"/>
      <c r="J783" s="166"/>
      <c r="K783" s="167"/>
      <c r="L783" s="167"/>
      <c r="M783" s="167"/>
      <c r="N783" s="167"/>
      <c r="O783" s="167"/>
      <c r="P783" s="167"/>
      <c r="Q783" s="568"/>
      <c r="R783" s="568"/>
      <c r="S783" s="568"/>
      <c r="T783" s="568"/>
      <c r="U783" s="568"/>
      <c r="V783" s="568"/>
      <c r="W783" s="568"/>
      <c r="X783" s="568"/>
      <c r="Y783" s="568"/>
      <c r="Z783" s="568"/>
    </row>
    <row r="784" spans="1:26" ht="18.75" hidden="1">
      <c r="A784" s="615"/>
      <c r="B784" s="571"/>
      <c r="C784" s="723"/>
      <c r="D784" s="723"/>
      <c r="E784" s="723" t="s">
        <v>318</v>
      </c>
      <c r="F784" s="723"/>
      <c r="G784" s="567"/>
      <c r="H784" s="165" t="s">
        <v>46</v>
      </c>
      <c r="I784" s="583"/>
      <c r="J784" s="583"/>
      <c r="K784" s="93"/>
      <c r="L784" s="93"/>
      <c r="M784" s="93"/>
      <c r="N784" s="93"/>
      <c r="O784" s="93"/>
      <c r="P784" s="93"/>
      <c r="Q784" s="568"/>
      <c r="R784" s="568"/>
      <c r="S784" s="568"/>
      <c r="T784" s="568"/>
      <c r="U784" s="568"/>
      <c r="V784" s="568"/>
      <c r="W784" s="568"/>
      <c r="X784" s="568"/>
      <c r="Y784" s="568"/>
      <c r="Z784" s="568"/>
    </row>
    <row r="785" spans="1:26" ht="19.5" hidden="1">
      <c r="A785" s="766">
        <v>12</v>
      </c>
      <c r="B785" s="767" t="s">
        <v>319</v>
      </c>
      <c r="C785" s="768"/>
      <c r="D785" s="768"/>
      <c r="E785" s="768"/>
      <c r="F785" s="768"/>
      <c r="G785" s="769"/>
      <c r="H785" s="770" t="s">
        <v>46</v>
      </c>
      <c r="I785" s="860">
        <f t="shared" ref="I785:J785" ca="1" si="317">I800</f>
        <v>0</v>
      </c>
      <c r="J785" s="771">
        <f t="shared" ca="1" si="317"/>
        <v>0</v>
      </c>
      <c r="K785" s="772">
        <f ca="1">IF(I785&gt;0,J785*100/I785,0)</f>
        <v>0</v>
      </c>
      <c r="L785" s="773"/>
      <c r="M785" s="773"/>
      <c r="N785" s="773"/>
      <c r="O785" s="773"/>
      <c r="P785" s="773"/>
      <c r="Q785" s="541"/>
      <c r="R785" s="541"/>
      <c r="S785" s="541"/>
      <c r="T785" s="541"/>
      <c r="U785" s="541"/>
      <c r="V785" s="541"/>
      <c r="W785" s="541"/>
      <c r="X785" s="541"/>
      <c r="Y785" s="541"/>
      <c r="Z785" s="541"/>
    </row>
    <row r="786" spans="1:26" ht="19.5" hidden="1">
      <c r="A786" s="561"/>
      <c r="B786" s="538"/>
      <c r="C786" s="727" t="s">
        <v>16</v>
      </c>
      <c r="D786" s="811" t="s">
        <v>17</v>
      </c>
      <c r="E786" s="805"/>
      <c r="F786" s="805"/>
      <c r="G786" s="189"/>
      <c r="H786" s="562" t="s">
        <v>12</v>
      </c>
      <c r="I786" s="269"/>
      <c r="J786" s="269"/>
      <c r="K786" s="465"/>
      <c r="L786" s="195">
        <f t="shared" ref="L786:N786" ca="1" si="318">L787+L788</f>
        <v>0</v>
      </c>
      <c r="M786" s="195">
        <f t="shared" si="318"/>
        <v>0</v>
      </c>
      <c r="N786" s="195">
        <f t="shared" si="318"/>
        <v>0</v>
      </c>
      <c r="O786" s="195">
        <f t="shared" ref="O786:O791" ca="1" si="319">IF(L786&gt;0,N786*100/L786,0)</f>
        <v>0</v>
      </c>
      <c r="P786" s="195">
        <f t="shared" ref="P786:P791" si="320">IF(M786&gt;0,N786*100/M786,0)</f>
        <v>0</v>
      </c>
      <c r="Q786" s="541"/>
      <c r="R786" s="541"/>
      <c r="S786" s="541"/>
      <c r="T786" s="541"/>
      <c r="U786" s="541"/>
      <c r="V786" s="541"/>
      <c r="W786" s="541"/>
      <c r="X786" s="541"/>
      <c r="Y786" s="541"/>
      <c r="Z786" s="541"/>
    </row>
    <row r="787" spans="1:26" ht="18.75" hidden="1">
      <c r="A787" s="563"/>
      <c r="B787" s="571"/>
      <c r="C787" s="723"/>
      <c r="D787" s="684"/>
      <c r="E787" s="723" t="s">
        <v>184</v>
      </c>
      <c r="F787" s="723"/>
      <c r="G787" s="567"/>
      <c r="H787" s="165" t="s">
        <v>12</v>
      </c>
      <c r="I787" s="583"/>
      <c r="J787" s="583"/>
      <c r="K787" s="93"/>
      <c r="L787" s="93">
        <f t="shared" ref="L787:N788" si="321">L790+L797</f>
        <v>0</v>
      </c>
      <c r="M787" s="93">
        <f t="shared" si="321"/>
        <v>0</v>
      </c>
      <c r="N787" s="93">
        <f t="shared" si="321"/>
        <v>0</v>
      </c>
      <c r="O787" s="93">
        <f t="shared" si="319"/>
        <v>0</v>
      </c>
      <c r="P787" s="93">
        <f t="shared" si="320"/>
        <v>0</v>
      </c>
      <c r="Q787" s="568"/>
      <c r="R787" s="568"/>
      <c r="S787" s="568"/>
      <c r="T787" s="568"/>
      <c r="U787" s="568"/>
      <c r="V787" s="568"/>
      <c r="W787" s="568"/>
      <c r="X787" s="568"/>
      <c r="Y787" s="568"/>
      <c r="Z787" s="568"/>
    </row>
    <row r="788" spans="1:26" ht="18.75" hidden="1">
      <c r="A788" s="563"/>
      <c r="B788" s="571"/>
      <c r="C788" s="571"/>
      <c r="D788" s="580"/>
      <c r="E788" s="723" t="s">
        <v>185</v>
      </c>
      <c r="F788" s="723"/>
      <c r="G788" s="567"/>
      <c r="H788" s="165" t="s">
        <v>12</v>
      </c>
      <c r="I788" s="583"/>
      <c r="J788" s="583"/>
      <c r="K788" s="93"/>
      <c r="L788" s="93">
        <f t="shared" ca="1" si="321"/>
        <v>0</v>
      </c>
      <c r="M788" s="93">
        <f t="shared" si="321"/>
        <v>0</v>
      </c>
      <c r="N788" s="93">
        <f t="shared" si="321"/>
        <v>0</v>
      </c>
      <c r="O788" s="93">
        <f t="shared" ca="1" si="319"/>
        <v>0</v>
      </c>
      <c r="P788" s="93">
        <f t="shared" si="320"/>
        <v>0</v>
      </c>
      <c r="Q788" s="568"/>
      <c r="R788" s="568"/>
      <c r="S788" s="568"/>
      <c r="T788" s="568"/>
      <c r="U788" s="568"/>
      <c r="V788" s="568"/>
      <c r="W788" s="568"/>
      <c r="X788" s="568"/>
      <c r="Y788" s="568"/>
      <c r="Z788" s="568"/>
    </row>
    <row r="789" spans="1:26" ht="18.75" hidden="1">
      <c r="A789" s="561"/>
      <c r="B789" s="538"/>
      <c r="C789" s="538"/>
      <c r="D789" s="570" t="s">
        <v>20</v>
      </c>
      <c r="E789" s="727"/>
      <c r="F789" s="727"/>
      <c r="G789" s="189"/>
      <c r="H789" s="161" t="s">
        <v>12</v>
      </c>
      <c r="I789" s="184"/>
      <c r="J789" s="184"/>
      <c r="K789" s="163"/>
      <c r="L789" s="465">
        <f t="shared" ref="L789:N789" ca="1" si="322">L790+L791</f>
        <v>0</v>
      </c>
      <c r="M789" s="465">
        <f t="shared" si="322"/>
        <v>0</v>
      </c>
      <c r="N789" s="465">
        <f t="shared" si="322"/>
        <v>0</v>
      </c>
      <c r="O789" s="465">
        <f t="shared" ca="1" si="319"/>
        <v>0</v>
      </c>
      <c r="P789" s="465">
        <f t="shared" si="320"/>
        <v>0</v>
      </c>
      <c r="Q789" s="541"/>
      <c r="R789" s="541"/>
      <c r="S789" s="541"/>
      <c r="T789" s="541"/>
      <c r="U789" s="541"/>
      <c r="V789" s="541"/>
      <c r="W789" s="541"/>
      <c r="X789" s="541"/>
      <c r="Y789" s="541"/>
      <c r="Z789" s="541"/>
    </row>
    <row r="790" spans="1:26" ht="18.75" hidden="1">
      <c r="A790" s="563"/>
      <c r="B790" s="571"/>
      <c r="C790" s="571"/>
      <c r="D790" s="580"/>
      <c r="E790" s="723" t="s">
        <v>184</v>
      </c>
      <c r="F790" s="723"/>
      <c r="G790" s="567"/>
      <c r="H790" s="165" t="s">
        <v>12</v>
      </c>
      <c r="I790" s="583"/>
      <c r="J790" s="583"/>
      <c r="K790" s="93"/>
      <c r="L790" s="93">
        <v>0</v>
      </c>
      <c r="M790" s="93">
        <v>0</v>
      </c>
      <c r="N790" s="93">
        <v>0</v>
      </c>
      <c r="O790" s="93">
        <f t="shared" si="319"/>
        <v>0</v>
      </c>
      <c r="P790" s="93">
        <f t="shared" si="320"/>
        <v>0</v>
      </c>
      <c r="Q790" s="568"/>
      <c r="R790" s="568"/>
      <c r="S790" s="568"/>
      <c r="T790" s="568"/>
      <c r="U790" s="568"/>
      <c r="V790" s="568"/>
      <c r="W790" s="568"/>
      <c r="X790" s="568"/>
      <c r="Y790" s="568"/>
      <c r="Z790" s="568"/>
    </row>
    <row r="791" spans="1:26" ht="18.75" hidden="1">
      <c r="A791" s="563"/>
      <c r="B791" s="571"/>
      <c r="C791" s="571"/>
      <c r="D791" s="580"/>
      <c r="E791" s="723" t="s">
        <v>185</v>
      </c>
      <c r="F791" s="723"/>
      <c r="G791" s="567"/>
      <c r="H791" s="165" t="s">
        <v>12</v>
      </c>
      <c r="I791" s="583"/>
      <c r="J791" s="583"/>
      <c r="K791" s="93"/>
      <c r="L791" s="93">
        <f ca="1">IFERROR(__xludf.DUMMYFUNCTION("IMPORTRANGE(""https://docs.google.com/spreadsheets/d/1QqKyyYR6Q21VydFLVH3TRQUabQu_ym0Zz7PgGX0-kHA/edit?usp=sharing"",""แผน!JJ25"")"),0)</f>
        <v>0</v>
      </c>
      <c r="M791" s="93">
        <v>0</v>
      </c>
      <c r="N791" s="93">
        <f>N792+N793+N794+N795</f>
        <v>0</v>
      </c>
      <c r="O791" s="93">
        <f t="shared" ca="1" si="319"/>
        <v>0</v>
      </c>
      <c r="P791" s="93">
        <f t="shared" si="320"/>
        <v>0</v>
      </c>
      <c r="Q791" s="568"/>
      <c r="R791" s="568"/>
      <c r="S791" s="568"/>
      <c r="T791" s="568"/>
      <c r="U791" s="568"/>
      <c r="V791" s="568"/>
      <c r="W791" s="568"/>
      <c r="X791" s="568"/>
      <c r="Y791" s="568"/>
      <c r="Z791" s="568"/>
    </row>
    <row r="792" spans="1:26" ht="18.75" hidden="1">
      <c r="A792" s="537"/>
      <c r="B792" s="538"/>
      <c r="C792" s="727"/>
      <c r="D792" s="727"/>
      <c r="E792" s="727"/>
      <c r="F792" s="727" t="s">
        <v>186</v>
      </c>
      <c r="G792" s="189"/>
      <c r="H792" s="161" t="s">
        <v>12</v>
      </c>
      <c r="I792" s="269"/>
      <c r="J792" s="269"/>
      <c r="K792" s="465"/>
      <c r="L792" s="465"/>
      <c r="M792" s="465"/>
      <c r="N792" s="789">
        <v>0</v>
      </c>
      <c r="O792" s="465"/>
      <c r="P792" s="465"/>
      <c r="Q792" s="541"/>
      <c r="R792" s="541"/>
      <c r="S792" s="541"/>
      <c r="T792" s="541"/>
      <c r="U792" s="541"/>
      <c r="V792" s="541"/>
      <c r="W792" s="541"/>
      <c r="X792" s="541"/>
      <c r="Y792" s="541"/>
      <c r="Z792" s="541"/>
    </row>
    <row r="793" spans="1:26" ht="18.75" hidden="1">
      <c r="A793" s="537"/>
      <c r="B793" s="538"/>
      <c r="C793" s="727"/>
      <c r="D793" s="727"/>
      <c r="E793" s="727"/>
      <c r="F793" s="727" t="s">
        <v>187</v>
      </c>
      <c r="G793" s="189"/>
      <c r="H793" s="161" t="s">
        <v>12</v>
      </c>
      <c r="I793" s="269"/>
      <c r="J793" s="269"/>
      <c r="K793" s="465"/>
      <c r="L793" s="465"/>
      <c r="M793" s="465"/>
      <c r="N793" s="789">
        <v>0</v>
      </c>
      <c r="O793" s="465"/>
      <c r="P793" s="465"/>
      <c r="Q793" s="541"/>
      <c r="R793" s="541"/>
      <c r="S793" s="541"/>
      <c r="T793" s="541"/>
      <c r="U793" s="541"/>
      <c r="V793" s="541"/>
      <c r="W793" s="541"/>
      <c r="X793" s="541"/>
      <c r="Y793" s="541"/>
      <c r="Z793" s="541"/>
    </row>
    <row r="794" spans="1:26" ht="18.75" hidden="1">
      <c r="A794" s="537"/>
      <c r="B794" s="538"/>
      <c r="C794" s="727"/>
      <c r="D794" s="727"/>
      <c r="E794" s="727"/>
      <c r="F794" s="727" t="s">
        <v>188</v>
      </c>
      <c r="G794" s="189"/>
      <c r="H794" s="161" t="s">
        <v>12</v>
      </c>
      <c r="I794" s="269"/>
      <c r="J794" s="269"/>
      <c r="K794" s="465"/>
      <c r="L794" s="465"/>
      <c r="M794" s="465"/>
      <c r="N794" s="789">
        <v>0</v>
      </c>
      <c r="O794" s="465"/>
      <c r="P794" s="465"/>
      <c r="Q794" s="541"/>
      <c r="R794" s="541"/>
      <c r="S794" s="541"/>
      <c r="T794" s="541"/>
      <c r="U794" s="541"/>
      <c r="V794" s="541"/>
      <c r="W794" s="541"/>
      <c r="X794" s="541"/>
      <c r="Y794" s="541"/>
      <c r="Z794" s="541"/>
    </row>
    <row r="795" spans="1:26" ht="18.75" hidden="1">
      <c r="A795" s="537"/>
      <c r="B795" s="538"/>
      <c r="C795" s="727"/>
      <c r="D795" s="727"/>
      <c r="E795" s="727"/>
      <c r="F795" s="727" t="s">
        <v>189</v>
      </c>
      <c r="G795" s="189"/>
      <c r="H795" s="161" t="s">
        <v>12</v>
      </c>
      <c r="I795" s="269"/>
      <c r="J795" s="269"/>
      <c r="K795" s="465"/>
      <c r="L795" s="465"/>
      <c r="M795" s="465"/>
      <c r="N795" s="789">
        <v>0</v>
      </c>
      <c r="O795" s="465"/>
      <c r="P795" s="465"/>
      <c r="Q795" s="541"/>
      <c r="R795" s="541"/>
      <c r="S795" s="541"/>
      <c r="T795" s="541"/>
      <c r="U795" s="541"/>
      <c r="V795" s="541"/>
      <c r="W795" s="541"/>
      <c r="X795" s="541"/>
      <c r="Y795" s="541"/>
      <c r="Z795" s="541"/>
    </row>
    <row r="796" spans="1:26" ht="18.75" hidden="1">
      <c r="A796" s="561"/>
      <c r="B796" s="538"/>
      <c r="C796" s="727"/>
      <c r="D796" s="570" t="s">
        <v>21</v>
      </c>
      <c r="E796" s="727"/>
      <c r="F796" s="727"/>
      <c r="G796" s="189"/>
      <c r="H796" s="168" t="s">
        <v>12</v>
      </c>
      <c r="I796" s="184"/>
      <c r="J796" s="184"/>
      <c r="K796" s="163"/>
      <c r="L796" s="465">
        <f t="shared" ref="L796:N796" si="323">L797+L798</f>
        <v>0</v>
      </c>
      <c r="M796" s="465">
        <f t="shared" si="323"/>
        <v>0</v>
      </c>
      <c r="N796" s="465">
        <f t="shared" si="323"/>
        <v>0</v>
      </c>
      <c r="O796" s="465">
        <f t="shared" ref="O796:O798" si="324">IF(L796&gt;0,N796*100/L796,0)</f>
        <v>0</v>
      </c>
      <c r="P796" s="465">
        <f t="shared" ref="P796:P798" si="325">IF(M796&gt;0,N796*100/M796,0)</f>
        <v>0</v>
      </c>
      <c r="Q796" s="541"/>
      <c r="R796" s="541"/>
      <c r="S796" s="541"/>
      <c r="T796" s="541"/>
      <c r="U796" s="541"/>
      <c r="V796" s="541"/>
      <c r="W796" s="541"/>
      <c r="X796" s="541"/>
      <c r="Y796" s="541"/>
      <c r="Z796" s="541"/>
    </row>
    <row r="797" spans="1:26" ht="18.75" hidden="1">
      <c r="A797" s="563"/>
      <c r="B797" s="571"/>
      <c r="C797" s="723"/>
      <c r="D797" s="723"/>
      <c r="E797" s="723" t="s">
        <v>18</v>
      </c>
      <c r="F797" s="723"/>
      <c r="G797" s="567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4"/>
        <v>0</v>
      </c>
      <c r="P797" s="93">
        <f t="shared" si="325"/>
        <v>0</v>
      </c>
      <c r="Q797" s="568"/>
      <c r="R797" s="568"/>
      <c r="S797" s="568"/>
      <c r="T797" s="568"/>
      <c r="U797" s="568"/>
      <c r="V797" s="568"/>
      <c r="W797" s="568"/>
      <c r="X797" s="568"/>
      <c r="Y797" s="568"/>
      <c r="Z797" s="568"/>
    </row>
    <row r="798" spans="1:26" ht="18.75" hidden="1">
      <c r="A798" s="563"/>
      <c r="B798" s="571"/>
      <c r="C798" s="723"/>
      <c r="D798" s="723"/>
      <c r="E798" s="723" t="s">
        <v>19</v>
      </c>
      <c r="F798" s="723"/>
      <c r="G798" s="567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4"/>
        <v>0</v>
      </c>
      <c r="P798" s="93">
        <f t="shared" si="325"/>
        <v>0</v>
      </c>
      <c r="Q798" s="568"/>
      <c r="R798" s="568"/>
      <c r="S798" s="568"/>
      <c r="T798" s="568"/>
      <c r="U798" s="568"/>
      <c r="V798" s="568"/>
      <c r="W798" s="568"/>
      <c r="X798" s="568"/>
      <c r="Y798" s="568"/>
      <c r="Z798" s="568"/>
    </row>
    <row r="799" spans="1:26" ht="19.5" hidden="1">
      <c r="A799" s="572"/>
      <c r="B799" s="584"/>
      <c r="C799" s="727" t="s">
        <v>16</v>
      </c>
      <c r="D799" s="855" t="s">
        <v>38</v>
      </c>
      <c r="E799" s="725"/>
      <c r="F799" s="725"/>
      <c r="G799" s="577"/>
      <c r="H799" s="774"/>
      <c r="I799" s="184"/>
      <c r="J799" s="184"/>
      <c r="K799" s="163"/>
      <c r="L799" s="163"/>
      <c r="M799" s="163"/>
      <c r="N799" s="163"/>
      <c r="O799" s="163"/>
      <c r="P799" s="163"/>
      <c r="Q799" s="541"/>
      <c r="R799" s="541"/>
      <c r="S799" s="541"/>
      <c r="T799" s="541"/>
      <c r="U799" s="541"/>
      <c r="V799" s="541"/>
      <c r="W799" s="541"/>
      <c r="X799" s="541"/>
      <c r="Y799" s="541"/>
      <c r="Z799" s="541"/>
    </row>
    <row r="800" spans="1:26" ht="18.75" hidden="1">
      <c r="A800" s="572"/>
      <c r="B800" s="584"/>
      <c r="C800" s="584"/>
      <c r="D800" s="584"/>
      <c r="E800" s="592"/>
      <c r="F800" s="592" t="s">
        <v>320</v>
      </c>
      <c r="G800" s="726"/>
      <c r="H800" s="185" t="s">
        <v>46</v>
      </c>
      <c r="I800" s="184">
        <f ca="1">IFERROR(__xludf.DUMMYFUNCTION("IMPORTRANGE(""https://docs.google.com/spreadsheets/d/1QqKyyYR6Q21VydFLVH3TRQUabQu_ym0Zz7PgGX0-kHA/edit?usp=sharing"",""แผน!JN25"")"),0)</f>
        <v>0</v>
      </c>
      <c r="J800" s="184">
        <f ca="1">IFERROR(__xludf.DUMMYFUNCTION("IMPORTRANGE(""https://docs.google.com/spreadsheets/d/1MaWodYyGHDf7siQLGxnXhG4mBNTNIuy296niS2xXulU/edit?usp=sharing"",""RTK!H25"")"),0)</f>
        <v>0</v>
      </c>
      <c r="K800" s="465">
        <f ca="1">IF(I800&gt;0,J800*100/I800,0)</f>
        <v>0</v>
      </c>
      <c r="L800" s="465"/>
      <c r="M800" s="465"/>
      <c r="N800" s="465"/>
      <c r="O800" s="163"/>
      <c r="P800" s="163"/>
      <c r="Q800" s="541"/>
      <c r="R800" s="541"/>
      <c r="S800" s="541"/>
      <c r="T800" s="541"/>
      <c r="U800" s="541"/>
      <c r="V800" s="541"/>
      <c r="W800" s="541"/>
      <c r="X800" s="541"/>
      <c r="Y800" s="541"/>
      <c r="Z800" s="541"/>
    </row>
    <row r="801" spans="1:26" ht="18.75" hidden="1">
      <c r="A801" s="572"/>
      <c r="B801" s="584"/>
      <c r="C801" s="584"/>
      <c r="D801" s="584"/>
      <c r="E801" s="592"/>
      <c r="F801" s="592"/>
      <c r="G801" s="726"/>
      <c r="H801" s="161" t="s">
        <v>34</v>
      </c>
      <c r="I801" s="184"/>
      <c r="J801" s="269">
        <f ca="1">IFERROR(__xludf.DUMMYFUNCTION("IMPORTRANGE(""https://docs.google.com/spreadsheets/d/1MaWodYyGHDf7siQLGxnXhG4mBNTNIuy296niS2xXulU/edit?usp=sharing"",""RTK!I25"")"),0)</f>
        <v>0</v>
      </c>
      <c r="K801" s="465"/>
      <c r="L801" s="465"/>
      <c r="M801" s="465"/>
      <c r="N801" s="465"/>
      <c r="O801" s="163"/>
      <c r="P801" s="163"/>
      <c r="Q801" s="541"/>
      <c r="R801" s="541"/>
      <c r="S801" s="541"/>
      <c r="T801" s="541"/>
      <c r="U801" s="541"/>
      <c r="V801" s="541"/>
      <c r="W801" s="541"/>
      <c r="X801" s="541"/>
      <c r="Y801" s="541"/>
      <c r="Z801" s="541"/>
    </row>
    <row r="802" spans="1:26" ht="18.75" hidden="1">
      <c r="A802" s="578"/>
      <c r="B802" s="580"/>
      <c r="C802" s="580"/>
      <c r="D802" s="580"/>
      <c r="E802" s="684"/>
      <c r="F802" s="684" t="s">
        <v>321</v>
      </c>
      <c r="G802" s="581"/>
      <c r="H802" s="619" t="s">
        <v>46</v>
      </c>
      <c r="I802" s="166"/>
      <c r="J802" s="583"/>
      <c r="K802" s="167">
        <f>IF(I802&gt;0,J802*100/I802,0)</f>
        <v>0</v>
      </c>
      <c r="L802" s="167"/>
      <c r="M802" s="167"/>
      <c r="N802" s="167"/>
      <c r="O802" s="167"/>
      <c r="P802" s="167"/>
      <c r="Q802" s="568"/>
      <c r="R802" s="568"/>
      <c r="S802" s="568"/>
      <c r="T802" s="568"/>
      <c r="U802" s="568"/>
      <c r="V802" s="568"/>
      <c r="W802" s="568"/>
      <c r="X802" s="568"/>
      <c r="Y802" s="568"/>
      <c r="Z802" s="568"/>
    </row>
    <row r="803" spans="1:26" ht="18.75" hidden="1">
      <c r="A803" s="578"/>
      <c r="B803" s="580"/>
      <c r="C803" s="580"/>
      <c r="D803" s="580"/>
      <c r="E803" s="684"/>
      <c r="F803" s="684"/>
      <c r="G803" s="581"/>
      <c r="H803" s="619" t="s">
        <v>34</v>
      </c>
      <c r="I803" s="166"/>
      <c r="J803" s="583"/>
      <c r="K803" s="167"/>
      <c r="L803" s="167"/>
      <c r="M803" s="167"/>
      <c r="N803" s="167"/>
      <c r="O803" s="167"/>
      <c r="P803" s="167"/>
      <c r="Q803" s="568"/>
      <c r="R803" s="568"/>
      <c r="S803" s="568"/>
      <c r="T803" s="568"/>
      <c r="U803" s="568"/>
      <c r="V803" s="568"/>
      <c r="W803" s="568"/>
      <c r="X803" s="568"/>
      <c r="Y803" s="568"/>
      <c r="Z803" s="568"/>
    </row>
    <row r="804" spans="1:26" ht="19.5" hidden="1">
      <c r="A804" s="757">
        <v>13</v>
      </c>
      <c r="B804" s="758" t="s">
        <v>322</v>
      </c>
      <c r="C804" s="759"/>
      <c r="D804" s="775"/>
      <c r="E804" s="759"/>
      <c r="F804" s="759"/>
      <c r="G804" s="760"/>
      <c r="H804" s="761" t="s">
        <v>46</v>
      </c>
      <c r="I804" s="762"/>
      <c r="J804" s="762">
        <f>J819</f>
        <v>0</v>
      </c>
      <c r="K804" s="763">
        <f>IF(I804&gt;0,J804*100/I804,0)</f>
        <v>0</v>
      </c>
      <c r="L804" s="764"/>
      <c r="M804" s="764"/>
      <c r="N804" s="764"/>
      <c r="O804" s="764"/>
      <c r="P804" s="764"/>
      <c r="Q804" s="568"/>
      <c r="R804" s="568"/>
      <c r="S804" s="568"/>
      <c r="T804" s="568"/>
      <c r="U804" s="568"/>
      <c r="V804" s="568"/>
      <c r="W804" s="568"/>
      <c r="X804" s="568"/>
      <c r="Y804" s="568"/>
      <c r="Z804" s="568"/>
    </row>
    <row r="805" spans="1:26" ht="19.5" hidden="1">
      <c r="A805" s="563"/>
      <c r="B805" s="723"/>
      <c r="C805" s="723" t="s">
        <v>16</v>
      </c>
      <c r="D805" s="812" t="s">
        <v>17</v>
      </c>
      <c r="E805" s="805"/>
      <c r="F805" s="805"/>
      <c r="G805" s="567"/>
      <c r="H805" s="612" t="s">
        <v>12</v>
      </c>
      <c r="I805" s="583"/>
      <c r="J805" s="583"/>
      <c r="K805" s="93"/>
      <c r="L805" s="613">
        <f t="shared" ref="L805:N805" si="326">L806+L807</f>
        <v>0</v>
      </c>
      <c r="M805" s="613">
        <f t="shared" si="326"/>
        <v>0</v>
      </c>
      <c r="N805" s="613">
        <f t="shared" si="326"/>
        <v>0</v>
      </c>
      <c r="O805" s="613">
        <f t="shared" ref="O805:O810" si="327">IF(L805&gt;0,N805*100/L805,0)</f>
        <v>0</v>
      </c>
      <c r="P805" s="613">
        <f t="shared" ref="P805:P810" si="328">IF(M805&gt;0,N805*100/M805,0)</f>
        <v>0</v>
      </c>
      <c r="Q805" s="568"/>
      <c r="R805" s="568"/>
      <c r="S805" s="568"/>
      <c r="T805" s="568"/>
      <c r="U805" s="568"/>
      <c r="V805" s="568"/>
      <c r="W805" s="568"/>
      <c r="X805" s="568"/>
      <c r="Y805" s="568"/>
      <c r="Z805" s="568"/>
    </row>
    <row r="806" spans="1:26" ht="18.75" hidden="1">
      <c r="A806" s="563"/>
      <c r="B806" s="723"/>
      <c r="C806" s="723"/>
      <c r="D806" s="580"/>
      <c r="E806" s="723" t="s">
        <v>184</v>
      </c>
      <c r="F806" s="723"/>
      <c r="G806" s="567"/>
      <c r="H806" s="165" t="s">
        <v>12</v>
      </c>
      <c r="I806" s="583"/>
      <c r="J806" s="583"/>
      <c r="K806" s="93"/>
      <c r="L806" s="93">
        <f t="shared" ref="L806:N807" si="329">L809+L816</f>
        <v>0</v>
      </c>
      <c r="M806" s="93">
        <f t="shared" si="329"/>
        <v>0</v>
      </c>
      <c r="N806" s="93">
        <f t="shared" si="329"/>
        <v>0</v>
      </c>
      <c r="O806" s="93">
        <f t="shared" si="327"/>
        <v>0</v>
      </c>
      <c r="P806" s="93">
        <f t="shared" si="328"/>
        <v>0</v>
      </c>
      <c r="Q806" s="568"/>
      <c r="R806" s="568"/>
      <c r="S806" s="568"/>
      <c r="T806" s="568"/>
      <c r="U806" s="568"/>
      <c r="V806" s="568"/>
      <c r="W806" s="568"/>
      <c r="X806" s="568"/>
      <c r="Y806" s="568"/>
      <c r="Z806" s="568"/>
    </row>
    <row r="807" spans="1:26" ht="18.75" hidden="1">
      <c r="A807" s="563"/>
      <c r="B807" s="723"/>
      <c r="C807" s="723"/>
      <c r="D807" s="580"/>
      <c r="E807" s="723" t="s">
        <v>185</v>
      </c>
      <c r="F807" s="723"/>
      <c r="G807" s="567"/>
      <c r="H807" s="165" t="s">
        <v>12</v>
      </c>
      <c r="I807" s="583"/>
      <c r="J807" s="583"/>
      <c r="K807" s="93"/>
      <c r="L807" s="93">
        <f t="shared" si="329"/>
        <v>0</v>
      </c>
      <c r="M807" s="93">
        <f t="shared" si="329"/>
        <v>0</v>
      </c>
      <c r="N807" s="93">
        <f t="shared" si="329"/>
        <v>0</v>
      </c>
      <c r="O807" s="93">
        <f t="shared" si="327"/>
        <v>0</v>
      </c>
      <c r="P807" s="93">
        <f t="shared" si="328"/>
        <v>0</v>
      </c>
      <c r="Q807" s="568"/>
      <c r="R807" s="568"/>
      <c r="S807" s="568"/>
      <c r="T807" s="568"/>
      <c r="U807" s="568"/>
      <c r="V807" s="568"/>
      <c r="W807" s="568"/>
      <c r="X807" s="568"/>
      <c r="Y807" s="568"/>
      <c r="Z807" s="568"/>
    </row>
    <row r="808" spans="1:26" ht="19.5" hidden="1">
      <c r="A808" s="563"/>
      <c r="B808" s="571"/>
      <c r="C808" s="723"/>
      <c r="D808" s="857" t="s">
        <v>20</v>
      </c>
      <c r="E808" s="805"/>
      <c r="F808" s="805"/>
      <c r="G808" s="567"/>
      <c r="H808" s="612" t="s">
        <v>12</v>
      </c>
      <c r="I808" s="166"/>
      <c r="J808" s="166"/>
      <c r="K808" s="167"/>
      <c r="L808" s="613">
        <f t="shared" ref="L808:N808" si="330">L809+L810</f>
        <v>0</v>
      </c>
      <c r="M808" s="613">
        <f t="shared" si="330"/>
        <v>0</v>
      </c>
      <c r="N808" s="613">
        <f t="shared" si="330"/>
        <v>0</v>
      </c>
      <c r="O808" s="613">
        <f t="shared" si="327"/>
        <v>0</v>
      </c>
      <c r="P808" s="613">
        <f t="shared" si="328"/>
        <v>0</v>
      </c>
      <c r="Q808" s="568"/>
      <c r="R808" s="568"/>
      <c r="S808" s="568"/>
      <c r="T808" s="568"/>
      <c r="U808" s="568"/>
      <c r="V808" s="568"/>
      <c r="W808" s="568"/>
      <c r="X808" s="568"/>
      <c r="Y808" s="568"/>
      <c r="Z808" s="568"/>
    </row>
    <row r="809" spans="1:26" ht="18.75" hidden="1">
      <c r="A809" s="563"/>
      <c r="B809" s="723"/>
      <c r="C809" s="723"/>
      <c r="D809" s="580"/>
      <c r="E809" s="723" t="s">
        <v>184</v>
      </c>
      <c r="F809" s="723"/>
      <c r="G809" s="567"/>
      <c r="H809" s="165" t="s">
        <v>12</v>
      </c>
      <c r="I809" s="583"/>
      <c r="J809" s="583"/>
      <c r="K809" s="93"/>
      <c r="L809" s="93">
        <v>0</v>
      </c>
      <c r="M809" s="93">
        <v>0</v>
      </c>
      <c r="N809" s="93">
        <v>0</v>
      </c>
      <c r="O809" s="93">
        <f t="shared" si="327"/>
        <v>0</v>
      </c>
      <c r="P809" s="93">
        <f t="shared" si="328"/>
        <v>0</v>
      </c>
      <c r="Q809" s="568"/>
      <c r="R809" s="568"/>
      <c r="S809" s="568"/>
      <c r="T809" s="568"/>
      <c r="U809" s="568"/>
      <c r="V809" s="568"/>
      <c r="W809" s="568"/>
      <c r="X809" s="568"/>
      <c r="Y809" s="568"/>
      <c r="Z809" s="568"/>
    </row>
    <row r="810" spans="1:26" ht="18.75" hidden="1">
      <c r="A810" s="563"/>
      <c r="B810" s="723"/>
      <c r="C810" s="723"/>
      <c r="D810" s="580"/>
      <c r="E810" s="723" t="s">
        <v>185</v>
      </c>
      <c r="F810" s="723"/>
      <c r="G810" s="567"/>
      <c r="H810" s="165" t="s">
        <v>12</v>
      </c>
      <c r="I810" s="583"/>
      <c r="J810" s="583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7"/>
        <v>0</v>
      </c>
      <c r="P810" s="93">
        <f t="shared" si="328"/>
        <v>0</v>
      </c>
      <c r="Q810" s="568"/>
      <c r="R810" s="568"/>
      <c r="S810" s="568"/>
      <c r="T810" s="568"/>
      <c r="U810" s="568"/>
      <c r="V810" s="568"/>
      <c r="W810" s="568"/>
      <c r="X810" s="568"/>
      <c r="Y810" s="568"/>
      <c r="Z810" s="568"/>
    </row>
    <row r="811" spans="1:26" ht="18.75" hidden="1">
      <c r="A811" s="615"/>
      <c r="B811" s="571"/>
      <c r="C811" s="723"/>
      <c r="D811" s="571"/>
      <c r="E811" s="723"/>
      <c r="F811" s="723" t="s">
        <v>186</v>
      </c>
      <c r="G811" s="567"/>
      <c r="H811" s="165" t="s">
        <v>12</v>
      </c>
      <c r="I811" s="583"/>
      <c r="J811" s="583"/>
      <c r="K811" s="93"/>
      <c r="L811" s="93"/>
      <c r="M811" s="93"/>
      <c r="N811" s="93"/>
      <c r="O811" s="93"/>
      <c r="P811" s="93"/>
      <c r="Q811" s="568"/>
      <c r="R811" s="568"/>
      <c r="S811" s="568"/>
      <c r="T811" s="568"/>
      <c r="U811" s="568"/>
      <c r="V811" s="568"/>
      <c r="W811" s="568"/>
      <c r="X811" s="568"/>
      <c r="Y811" s="568"/>
      <c r="Z811" s="568"/>
    </row>
    <row r="812" spans="1:26" ht="18.75" hidden="1">
      <c r="A812" s="615"/>
      <c r="B812" s="571"/>
      <c r="C812" s="723"/>
      <c r="D812" s="571"/>
      <c r="E812" s="723"/>
      <c r="F812" s="723" t="s">
        <v>187</v>
      </c>
      <c r="G812" s="567"/>
      <c r="H812" s="165" t="s">
        <v>12</v>
      </c>
      <c r="I812" s="583"/>
      <c r="J812" s="583"/>
      <c r="K812" s="93"/>
      <c r="L812" s="93"/>
      <c r="M812" s="93"/>
      <c r="N812" s="93"/>
      <c r="O812" s="93"/>
      <c r="P812" s="93"/>
      <c r="Q812" s="568"/>
      <c r="R812" s="568"/>
      <c r="S812" s="568"/>
      <c r="T812" s="568"/>
      <c r="U812" s="568"/>
      <c r="V812" s="568"/>
      <c r="W812" s="568"/>
      <c r="X812" s="568"/>
      <c r="Y812" s="568"/>
      <c r="Z812" s="568"/>
    </row>
    <row r="813" spans="1:26" ht="18.75" hidden="1">
      <c r="A813" s="615"/>
      <c r="B813" s="571"/>
      <c r="C813" s="723"/>
      <c r="D813" s="571"/>
      <c r="E813" s="723"/>
      <c r="F813" s="723" t="s">
        <v>188</v>
      </c>
      <c r="G813" s="567"/>
      <c r="H813" s="165" t="s">
        <v>12</v>
      </c>
      <c r="I813" s="583"/>
      <c r="J813" s="583"/>
      <c r="K813" s="93"/>
      <c r="L813" s="93"/>
      <c r="M813" s="93"/>
      <c r="N813" s="93"/>
      <c r="O813" s="93"/>
      <c r="P813" s="93"/>
      <c r="Q813" s="568"/>
      <c r="R813" s="568"/>
      <c r="S813" s="568"/>
      <c r="T813" s="568"/>
      <c r="U813" s="568"/>
      <c r="V813" s="568"/>
      <c r="W813" s="568"/>
      <c r="X813" s="568"/>
      <c r="Y813" s="568"/>
      <c r="Z813" s="568"/>
    </row>
    <row r="814" spans="1:26" ht="18.75" hidden="1">
      <c r="A814" s="615"/>
      <c r="B814" s="571"/>
      <c r="C814" s="723"/>
      <c r="D814" s="571"/>
      <c r="E814" s="723"/>
      <c r="F814" s="723" t="s">
        <v>189</v>
      </c>
      <c r="G814" s="567"/>
      <c r="H814" s="165" t="s">
        <v>12</v>
      </c>
      <c r="I814" s="583"/>
      <c r="J814" s="583"/>
      <c r="K814" s="93"/>
      <c r="L814" s="93"/>
      <c r="M814" s="93"/>
      <c r="N814" s="93"/>
      <c r="O814" s="93"/>
      <c r="P814" s="93"/>
      <c r="Q814" s="568"/>
      <c r="R814" s="568"/>
      <c r="S814" s="568"/>
      <c r="T814" s="568"/>
      <c r="U814" s="568"/>
      <c r="V814" s="568"/>
      <c r="W814" s="568"/>
      <c r="X814" s="568"/>
      <c r="Y814" s="568"/>
      <c r="Z814" s="568"/>
    </row>
    <row r="815" spans="1:26" ht="19.5" hidden="1">
      <c r="A815" s="563"/>
      <c r="B815" s="571"/>
      <c r="C815" s="723"/>
      <c r="D815" s="857" t="s">
        <v>21</v>
      </c>
      <c r="E815" s="805"/>
      <c r="F815" s="805"/>
      <c r="G815" s="567"/>
      <c r="H815" s="747" t="s">
        <v>12</v>
      </c>
      <c r="I815" s="166"/>
      <c r="J815" s="166"/>
      <c r="K815" s="167"/>
      <c r="L815" s="613">
        <f t="shared" ref="L815:N815" si="331">L816+L817</f>
        <v>0</v>
      </c>
      <c r="M815" s="613">
        <f t="shared" si="331"/>
        <v>0</v>
      </c>
      <c r="N815" s="613">
        <f t="shared" si="331"/>
        <v>0</v>
      </c>
      <c r="O815" s="613">
        <f t="shared" ref="O815:O817" si="332">IF(L815&gt;0,N815*100/L815,0)</f>
        <v>0</v>
      </c>
      <c r="P815" s="613">
        <f t="shared" ref="P815:P817" si="333">IF(M815&gt;0,N815*100/M815,0)</f>
        <v>0</v>
      </c>
      <c r="Q815" s="568"/>
      <c r="R815" s="568"/>
      <c r="S815" s="568"/>
      <c r="T815" s="568"/>
      <c r="U815" s="568"/>
      <c r="V815" s="568"/>
      <c r="W815" s="568"/>
      <c r="X815" s="568"/>
      <c r="Y815" s="568"/>
      <c r="Z815" s="568"/>
    </row>
    <row r="816" spans="1:26" ht="18.75" hidden="1">
      <c r="A816" s="563"/>
      <c r="B816" s="571"/>
      <c r="C816" s="723"/>
      <c r="D816" s="571"/>
      <c r="E816" s="723" t="s">
        <v>18</v>
      </c>
      <c r="F816" s="723"/>
      <c r="G816" s="567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2"/>
        <v>0</v>
      </c>
      <c r="P816" s="93">
        <f t="shared" si="333"/>
        <v>0</v>
      </c>
      <c r="Q816" s="568"/>
      <c r="R816" s="568"/>
      <c r="S816" s="568"/>
      <c r="T816" s="568"/>
      <c r="U816" s="568"/>
      <c r="V816" s="568"/>
      <c r="W816" s="568"/>
      <c r="X816" s="568"/>
      <c r="Y816" s="568"/>
      <c r="Z816" s="568"/>
    </row>
    <row r="817" spans="1:26" ht="18.75" hidden="1">
      <c r="A817" s="563"/>
      <c r="B817" s="571"/>
      <c r="C817" s="723"/>
      <c r="D817" s="571"/>
      <c r="E817" s="723" t="s">
        <v>19</v>
      </c>
      <c r="F817" s="723"/>
      <c r="G817" s="567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2"/>
        <v>0</v>
      </c>
      <c r="P817" s="93">
        <f t="shared" si="333"/>
        <v>0</v>
      </c>
      <c r="Q817" s="568"/>
      <c r="R817" s="568"/>
      <c r="S817" s="568"/>
      <c r="T817" s="568"/>
      <c r="U817" s="568"/>
      <c r="V817" s="568"/>
      <c r="W817" s="568"/>
      <c r="X817" s="568"/>
      <c r="Y817" s="568"/>
      <c r="Z817" s="568"/>
    </row>
    <row r="818" spans="1:26" ht="19.5" hidden="1">
      <c r="A818" s="578"/>
      <c r="B818" s="580"/>
      <c r="C818" s="723" t="s">
        <v>16</v>
      </c>
      <c r="D818" s="858" t="s">
        <v>38</v>
      </c>
      <c r="E818" s="617"/>
      <c r="F818" s="617"/>
      <c r="G818" s="618"/>
      <c r="H818" s="581"/>
      <c r="I818" s="166"/>
      <c r="J818" s="166"/>
      <c r="K818" s="167"/>
      <c r="L818" s="167"/>
      <c r="M818" s="167"/>
      <c r="N818" s="167"/>
      <c r="O818" s="167"/>
      <c r="P818" s="167"/>
      <c r="Q818" s="568"/>
      <c r="R818" s="568"/>
      <c r="S818" s="568"/>
      <c r="T818" s="568"/>
      <c r="U818" s="568"/>
      <c r="V818" s="568"/>
      <c r="W818" s="568"/>
      <c r="X818" s="568"/>
      <c r="Y818" s="568"/>
      <c r="Z818" s="568"/>
    </row>
    <row r="819" spans="1:26" ht="19.5" hidden="1" thickBot="1">
      <c r="A819" s="777"/>
      <c r="B819" s="778"/>
      <c r="C819" s="780"/>
      <c r="D819" s="778"/>
      <c r="E819" s="780" t="s">
        <v>323</v>
      </c>
      <c r="F819" s="780"/>
      <c r="G819" s="781"/>
      <c r="H819" s="782" t="s">
        <v>46</v>
      </c>
      <c r="I819" s="783"/>
      <c r="J819" s="783"/>
      <c r="K819" s="784"/>
      <c r="L819" s="784"/>
      <c r="M819" s="784"/>
      <c r="N819" s="784"/>
      <c r="O819" s="784"/>
      <c r="P819" s="784"/>
      <c r="Q819" s="568"/>
      <c r="R819" s="568"/>
      <c r="S819" s="568"/>
      <c r="T819" s="568"/>
      <c r="U819" s="568"/>
      <c r="V819" s="568"/>
      <c r="W819" s="568"/>
      <c r="X819" s="568"/>
      <c r="Y819" s="568"/>
      <c r="Z819" s="568"/>
    </row>
    <row r="820" spans="1:26" ht="19.5">
      <c r="A820" s="785" t="s">
        <v>332</v>
      </c>
      <c r="B820" s="786"/>
      <c r="C820" s="786"/>
      <c r="D820" s="787"/>
      <c r="E820" s="786"/>
      <c r="F820" s="786"/>
      <c r="G820" s="788"/>
      <c r="H820" s="788"/>
      <c r="I820" s="214"/>
      <c r="J820" s="214"/>
      <c r="K820" s="789"/>
      <c r="L820" s="789"/>
      <c r="M820" s="789"/>
      <c r="N820" s="789"/>
      <c r="O820" s="789"/>
      <c r="P820" s="789"/>
      <c r="Q820" s="541"/>
      <c r="R820" s="541"/>
      <c r="S820" s="541"/>
      <c r="T820" s="541"/>
      <c r="U820" s="541"/>
      <c r="V820" s="541"/>
      <c r="W820" s="541"/>
      <c r="X820" s="541"/>
      <c r="Y820" s="541"/>
      <c r="Z820" s="541"/>
    </row>
    <row r="821" spans="1:26" ht="18.75">
      <c r="A821" s="708"/>
      <c r="B821" s="727" t="s">
        <v>325</v>
      </c>
      <c r="C821" s="727"/>
      <c r="D821" s="538"/>
      <c r="E821" s="727"/>
      <c r="F821" s="727"/>
      <c r="G821" s="189"/>
      <c r="H821" s="589" t="s">
        <v>12</v>
      </c>
      <c r="I821" s="269">
        <f ca="1">IFERROR(__xludf.DUMMYFUNCTION("IMPORTRANGE(""https://docs.google.com/spreadsheets/d/19vJNZY_5yjcGF2XGBMNZRCAIB0Kwfpjp8YEOfu-bneM/edit?usp=sharing"",""งานกองทุน!D25"")"),974996.7)</f>
        <v>974996.7</v>
      </c>
      <c r="J821" s="269">
        <f ca="1">IFERROR(__xludf.DUMMYFUNCTION("IMPORTRANGE(""https://docs.google.com/spreadsheets/d/19vJNZY_5yjcGF2XGBMNZRCAIB0Kwfpjp8YEOfu-bneM/edit?usp=sharing"",""งานกองทุน!F25"")"),71765.7)</f>
        <v>71765.7</v>
      </c>
      <c r="K821" s="465">
        <f t="shared" ref="K821:K828" ca="1" si="334">IF(I821&gt;0,J821*100/I821,0)</f>
        <v>7.3606095282168651</v>
      </c>
      <c r="L821" s="465"/>
      <c r="M821" s="465"/>
      <c r="N821" s="465"/>
      <c r="O821" s="465"/>
      <c r="P821" s="465"/>
      <c r="Q821" s="541"/>
      <c r="R821" s="541"/>
      <c r="S821" s="541"/>
      <c r="T821" s="541"/>
      <c r="U821" s="541"/>
      <c r="V821" s="541"/>
      <c r="W821" s="541"/>
      <c r="X821" s="541"/>
      <c r="Y821" s="541"/>
      <c r="Z821" s="541"/>
    </row>
    <row r="822" spans="1:26" ht="18.75">
      <c r="A822" s="708"/>
      <c r="B822" s="727"/>
      <c r="C822" s="727"/>
      <c r="D822" s="538"/>
      <c r="E822" s="727"/>
      <c r="F822" s="727"/>
      <c r="G822" s="189"/>
      <c r="H822" s="589" t="s">
        <v>35</v>
      </c>
      <c r="I822" s="269">
        <f ca="1">IFERROR(__xludf.DUMMYFUNCTION("IMPORTRANGE(""https://docs.google.com/spreadsheets/d/19vJNZY_5yjcGF2XGBMNZRCAIB0Kwfpjp8YEOfu-bneM/edit?usp=sharing"",""งานกองทุน!C25"")"),97)</f>
        <v>97</v>
      </c>
      <c r="J822" s="269">
        <f ca="1">IFERROR(__xludf.DUMMYFUNCTION("IMPORTRANGE(""https://docs.google.com/spreadsheets/d/19vJNZY_5yjcGF2XGBMNZRCAIB0Kwfpjp8YEOfu-bneM/edit?usp=sharing"",""งานกองทุน!E25"")"),5)</f>
        <v>5</v>
      </c>
      <c r="K822" s="465">
        <f t="shared" ca="1" si="334"/>
        <v>5.1546391752577323</v>
      </c>
      <c r="L822" s="465"/>
      <c r="M822" s="465"/>
      <c r="N822" s="465"/>
      <c r="O822" s="465"/>
      <c r="P822" s="465"/>
      <c r="Q822" s="541"/>
      <c r="R822" s="541"/>
      <c r="S822" s="541"/>
      <c r="T822" s="541"/>
      <c r="U822" s="541"/>
      <c r="V822" s="541"/>
      <c r="W822" s="541"/>
      <c r="X822" s="541"/>
      <c r="Y822" s="541"/>
      <c r="Z822" s="541"/>
    </row>
    <row r="823" spans="1:26" ht="18.75">
      <c r="A823" s="708"/>
      <c r="B823" s="727" t="s">
        <v>326</v>
      </c>
      <c r="C823" s="727"/>
      <c r="D823" s="538"/>
      <c r="E823" s="727"/>
      <c r="F823" s="727"/>
      <c r="G823" s="189"/>
      <c r="H823" s="589" t="s">
        <v>12</v>
      </c>
      <c r="I823" s="269">
        <f ca="1">IFERROR(__xludf.DUMMYFUNCTION("IMPORTRANGE(""https://docs.google.com/spreadsheets/d/19vJNZY_5yjcGF2XGBMNZRCAIB0Kwfpjp8YEOfu-bneM/edit?usp=sharing"",""งานกองทุน!I25"")"),220791)</f>
        <v>220791</v>
      </c>
      <c r="J823" s="269">
        <f ca="1">IFERROR(__xludf.DUMMYFUNCTION("IMPORTRANGE(""https://docs.google.com/spreadsheets/d/19vJNZY_5yjcGF2XGBMNZRCAIB0Kwfpjp8YEOfu-bneM/edit?usp=sharing"",""งานกองทุน!K25"")"),0)</f>
        <v>0</v>
      </c>
      <c r="K823" s="465">
        <f t="shared" ca="1" si="334"/>
        <v>0</v>
      </c>
      <c r="L823" s="465"/>
      <c r="M823" s="465"/>
      <c r="N823" s="465"/>
      <c r="O823" s="465"/>
      <c r="P823" s="465"/>
      <c r="Q823" s="541"/>
      <c r="R823" s="541"/>
      <c r="S823" s="541"/>
      <c r="T823" s="541"/>
      <c r="U823" s="541"/>
      <c r="V823" s="541"/>
      <c r="W823" s="541"/>
      <c r="X823" s="541"/>
      <c r="Y823" s="541"/>
      <c r="Z823" s="541"/>
    </row>
    <row r="824" spans="1:26" ht="18.75">
      <c r="A824" s="708"/>
      <c r="B824" s="727"/>
      <c r="C824" s="727"/>
      <c r="D824" s="538"/>
      <c r="E824" s="727"/>
      <c r="F824" s="727"/>
      <c r="G824" s="189"/>
      <c r="H824" s="589" t="s">
        <v>35</v>
      </c>
      <c r="I824" s="269">
        <f ca="1">IFERROR(__xludf.DUMMYFUNCTION("IMPORTRANGE(""https://docs.google.com/spreadsheets/d/19vJNZY_5yjcGF2XGBMNZRCAIB0Kwfpjp8YEOfu-bneM/edit?usp=sharing"",""งานกองทุน!H25"")"),14)</f>
        <v>14</v>
      </c>
      <c r="J824" s="269">
        <f ca="1">IFERROR(__xludf.DUMMYFUNCTION("IMPORTRANGE(""https://docs.google.com/spreadsheets/d/19vJNZY_5yjcGF2XGBMNZRCAIB0Kwfpjp8YEOfu-bneM/edit?usp=sharing"",""งานกองทุน!J25"")"),0)</f>
        <v>0</v>
      </c>
      <c r="K824" s="465">
        <f t="shared" ca="1" si="334"/>
        <v>0</v>
      </c>
      <c r="L824" s="465"/>
      <c r="M824" s="465"/>
      <c r="N824" s="465"/>
      <c r="O824" s="465"/>
      <c r="P824" s="465"/>
      <c r="Q824" s="541"/>
      <c r="R824" s="541"/>
      <c r="S824" s="541"/>
      <c r="T824" s="541"/>
      <c r="U824" s="541"/>
      <c r="V824" s="541"/>
      <c r="W824" s="541"/>
      <c r="X824" s="541"/>
      <c r="Y824" s="541"/>
      <c r="Z824" s="541"/>
    </row>
    <row r="825" spans="1:26" ht="18.75">
      <c r="A825" s="708"/>
      <c r="B825" s="727" t="s">
        <v>327</v>
      </c>
      <c r="C825" s="727"/>
      <c r="D825" s="538"/>
      <c r="E825" s="727"/>
      <c r="F825" s="727"/>
      <c r="G825" s="189"/>
      <c r="H825" s="589" t="s">
        <v>12</v>
      </c>
      <c r="I825" s="269">
        <f ca="1">IFERROR(__xludf.DUMMYFUNCTION("IMPORTRANGE(""https://docs.google.com/spreadsheets/d/19vJNZY_5yjcGF2XGBMNZRCAIB0Kwfpjp8YEOfu-bneM/edit?usp=sharing"",""งานกองทุน!N25"")"),0)</f>
        <v>0</v>
      </c>
      <c r="J825" s="269">
        <f ca="1">IFERROR(__xludf.DUMMYFUNCTION("IMPORTRANGE(""https://docs.google.com/spreadsheets/d/19vJNZY_5yjcGF2XGBMNZRCAIB0Kwfpjp8YEOfu-bneM/edit?usp=sharing"",""งานกองทุน!P25"")"),0)</f>
        <v>0</v>
      </c>
      <c r="K825" s="465">
        <f t="shared" ca="1" si="334"/>
        <v>0</v>
      </c>
      <c r="L825" s="465"/>
      <c r="M825" s="465"/>
      <c r="N825" s="465"/>
      <c r="O825" s="465"/>
      <c r="P825" s="465"/>
      <c r="Q825" s="541"/>
      <c r="R825" s="541"/>
      <c r="S825" s="541"/>
      <c r="T825" s="541"/>
      <c r="U825" s="541"/>
      <c r="V825" s="541"/>
      <c r="W825" s="541"/>
      <c r="X825" s="541"/>
      <c r="Y825" s="541"/>
      <c r="Z825" s="541"/>
    </row>
    <row r="826" spans="1:26" ht="18.75">
      <c r="A826" s="708"/>
      <c r="B826" s="727"/>
      <c r="C826" s="727"/>
      <c r="D826" s="538"/>
      <c r="E826" s="727"/>
      <c r="F826" s="727"/>
      <c r="G826" s="189"/>
      <c r="H826" s="589" t="s">
        <v>35</v>
      </c>
      <c r="I826" s="269">
        <f ca="1">IFERROR(__xludf.DUMMYFUNCTION("IMPORTRANGE(""https://docs.google.com/spreadsheets/d/19vJNZY_5yjcGF2XGBMNZRCAIB0Kwfpjp8YEOfu-bneM/edit?usp=sharing"",""งานกองทุน!M25"")"),0)</f>
        <v>0</v>
      </c>
      <c r="J826" s="269">
        <f ca="1">IFERROR(__xludf.DUMMYFUNCTION("IMPORTRANGE(""https://docs.google.com/spreadsheets/d/19vJNZY_5yjcGF2XGBMNZRCAIB0Kwfpjp8YEOfu-bneM/edit?usp=sharing"",""งานกองทุน!O25"")"),0)</f>
        <v>0</v>
      </c>
      <c r="K826" s="465">
        <f t="shared" ca="1" si="334"/>
        <v>0</v>
      </c>
      <c r="L826" s="465"/>
      <c r="M826" s="465"/>
      <c r="N826" s="465"/>
      <c r="O826" s="465"/>
      <c r="P826" s="465"/>
      <c r="Q826" s="541"/>
      <c r="R826" s="541"/>
      <c r="S826" s="541"/>
      <c r="T826" s="541"/>
      <c r="U826" s="541"/>
      <c r="V826" s="541"/>
      <c r="W826" s="541"/>
      <c r="X826" s="541"/>
      <c r="Y826" s="541"/>
      <c r="Z826" s="541"/>
    </row>
    <row r="827" spans="1:26" ht="18.75">
      <c r="A827" s="708"/>
      <c r="B827" s="727" t="s">
        <v>328</v>
      </c>
      <c r="C827" s="727"/>
      <c r="D827" s="538"/>
      <c r="E827" s="727"/>
      <c r="F827" s="727"/>
      <c r="G827" s="189"/>
      <c r="H827" s="589" t="s">
        <v>12</v>
      </c>
      <c r="I827" s="269">
        <f ca="1">IFERROR(__xludf.DUMMYFUNCTION("IMPORTRANGE(""https://docs.google.com/spreadsheets/d/19vJNZY_5yjcGF2XGBMNZRCAIB0Kwfpjp8YEOfu-bneM/edit?usp=sharing"",""งานกองทุน!S25"")"),1250000)</f>
        <v>1250000</v>
      </c>
      <c r="J827" s="269">
        <f ca="1">IFERROR(__xludf.DUMMYFUNCTION("IMPORTRANGE(""https://docs.google.com/spreadsheets/d/19vJNZY_5yjcGF2XGBMNZRCAIB0Kwfpjp8YEOfu-bneM/edit?usp=sharing"",""งานกองทุน!U25"")"),0)</f>
        <v>0</v>
      </c>
      <c r="K827" s="465">
        <f t="shared" ca="1" si="334"/>
        <v>0</v>
      </c>
      <c r="L827" s="465"/>
      <c r="M827" s="465"/>
      <c r="N827" s="465"/>
      <c r="O827" s="465"/>
      <c r="P827" s="465"/>
      <c r="Q827" s="541"/>
      <c r="R827" s="541"/>
      <c r="S827" s="541"/>
      <c r="T827" s="541"/>
      <c r="U827" s="541"/>
      <c r="V827" s="541"/>
      <c r="W827" s="541"/>
      <c r="X827" s="541"/>
      <c r="Y827" s="541"/>
      <c r="Z827" s="541"/>
    </row>
    <row r="828" spans="1:26" ht="18.75">
      <c r="A828" s="711"/>
      <c r="B828" s="713"/>
      <c r="C828" s="713"/>
      <c r="D828" s="712"/>
      <c r="E828" s="713"/>
      <c r="F828" s="713"/>
      <c r="G828" s="790"/>
      <c r="H828" s="791" t="s">
        <v>35</v>
      </c>
      <c r="I828" s="468">
        <f ca="1">IFERROR(__xludf.DUMMYFUNCTION("IMPORTRANGE(""https://docs.google.com/spreadsheets/d/19vJNZY_5yjcGF2XGBMNZRCAIB0Kwfpjp8YEOfu-bneM/edit?usp=sharing"",""งานกองทุน!R25"")"),50)</f>
        <v>50</v>
      </c>
      <c r="J828" s="468">
        <f ca="1">IFERROR(__xludf.DUMMYFUNCTION("IMPORTRANGE(""https://docs.google.com/spreadsheets/d/19vJNZY_5yjcGF2XGBMNZRCAIB0Kwfpjp8YEOfu-bneM/edit?usp=sharing"",""งานกองทุน!T25"")"),12)</f>
        <v>12</v>
      </c>
      <c r="K828" s="469">
        <f t="shared" ca="1" si="334"/>
        <v>24</v>
      </c>
      <c r="L828" s="469"/>
      <c r="M828" s="469"/>
      <c r="N828" s="469"/>
      <c r="O828" s="469"/>
      <c r="P828" s="469"/>
      <c r="Q828" s="541"/>
      <c r="R828" s="541"/>
      <c r="S828" s="541"/>
      <c r="T828" s="541"/>
      <c r="U828" s="541"/>
      <c r="V828" s="541"/>
      <c r="W828" s="541"/>
      <c r="X828" s="541"/>
      <c r="Y828" s="541"/>
      <c r="Z828" s="541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2" fitToHeight="0" pageOrder="overThenDown" orientation="portrait" cellComments="atEnd" r:id="rId1"/>
  <headerFooter>
    <oddFooter>&amp;Cหน้า &amp;P/&amp;N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3CDE15-B1CD-41A7-A113-09AB205A3D75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activeCell="S28" sqref="S28"/>
      <selection pane="bottomLeft" activeCell="S18" sqref="S18"/>
    </sheetView>
  </sheetViews>
  <sheetFormatPr defaultColWidth="12.5703125" defaultRowHeight="15.75" customHeight="1"/>
  <cols>
    <col min="1" max="1" width="4.28515625" customWidth="1"/>
    <col min="2" max="3" width="3.28515625" customWidth="1"/>
    <col min="4" max="6" width="5.85546875" customWidth="1"/>
    <col min="7" max="7" width="56.42578125" customWidth="1"/>
    <col min="8" max="8" width="9.42578125" customWidth="1"/>
    <col min="9" max="9" width="16.85546875" bestFit="1" customWidth="1"/>
    <col min="10" max="10" width="14.42578125" bestFit="1" customWidth="1"/>
    <col min="11" max="11" width="12.5703125" customWidth="1"/>
    <col min="12" max="13" width="21.28515625" bestFit="1" customWidth="1"/>
    <col min="14" max="14" width="18.7109375" bestFit="1" customWidth="1"/>
    <col min="15" max="15" width="20.140625" bestFit="1" customWidth="1"/>
    <col min="16" max="16" width="22" bestFit="1" customWidth="1"/>
  </cols>
  <sheetData>
    <row r="1" spans="1:26" ht="19.5">
      <c r="A1" s="792" t="s">
        <v>0</v>
      </c>
      <c r="B1" s="793"/>
      <c r="C1" s="793"/>
      <c r="D1" s="793"/>
      <c r="E1" s="793"/>
      <c r="F1" s="793"/>
      <c r="G1" s="793"/>
      <c r="H1" s="793"/>
      <c r="I1" s="793"/>
      <c r="J1" s="793"/>
      <c r="K1" s="793"/>
      <c r="L1" s="793"/>
      <c r="M1" s="793"/>
      <c r="N1" s="793"/>
      <c r="O1" s="793"/>
      <c r="P1" s="793"/>
    </row>
    <row r="2" spans="1:26" ht="19.5">
      <c r="A2" s="792" t="s">
        <v>349</v>
      </c>
      <c r="B2" s="793"/>
      <c r="C2" s="793"/>
      <c r="D2" s="793"/>
      <c r="E2" s="793"/>
      <c r="F2" s="793"/>
      <c r="G2" s="793"/>
      <c r="H2" s="793"/>
      <c r="I2" s="793"/>
      <c r="J2" s="793"/>
      <c r="K2" s="793"/>
      <c r="L2" s="793"/>
      <c r="M2" s="793"/>
      <c r="N2" s="793"/>
      <c r="O2" s="793"/>
      <c r="P2" s="793"/>
    </row>
    <row r="3" spans="1:26" ht="19.5">
      <c r="A3" s="792" t="s">
        <v>355</v>
      </c>
      <c r="B3" s="793"/>
      <c r="C3" s="793"/>
      <c r="D3" s="793"/>
      <c r="E3" s="793"/>
      <c r="F3" s="793"/>
      <c r="G3" s="793"/>
      <c r="H3" s="793"/>
      <c r="I3" s="793"/>
      <c r="J3" s="793"/>
      <c r="K3" s="793"/>
      <c r="L3" s="793"/>
      <c r="M3" s="793"/>
      <c r="N3" s="793"/>
      <c r="O3" s="793"/>
      <c r="P3" s="793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00" t="s">
        <v>2</v>
      </c>
      <c r="B5" s="793"/>
      <c r="C5" s="793"/>
      <c r="D5" s="793"/>
      <c r="E5" s="793"/>
      <c r="F5" s="793"/>
      <c r="G5" s="801"/>
      <c r="H5" s="794" t="s">
        <v>3</v>
      </c>
      <c r="I5" s="796" t="s">
        <v>4</v>
      </c>
      <c r="J5" s="797"/>
      <c r="K5" s="795"/>
      <c r="L5" s="798" t="s">
        <v>5</v>
      </c>
      <c r="M5" s="795"/>
      <c r="N5" s="799" t="s">
        <v>6</v>
      </c>
      <c r="O5" s="797"/>
      <c r="P5" s="795"/>
    </row>
    <row r="6" spans="1:26" ht="19.5">
      <c r="A6" s="802"/>
      <c r="B6" s="797"/>
      <c r="C6" s="797"/>
      <c r="D6" s="797"/>
      <c r="E6" s="797"/>
      <c r="F6" s="797"/>
      <c r="G6" s="795"/>
      <c r="H6" s="795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03" t="s">
        <v>15</v>
      </c>
      <c r="B7" s="797"/>
      <c r="C7" s="797"/>
      <c r="D7" s="797"/>
      <c r="E7" s="797"/>
      <c r="F7" s="797"/>
      <c r="G7" s="795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4929489</v>
      </c>
      <c r="M8" s="22">
        <f t="shared" ca="1" si="0"/>
        <v>1274185</v>
      </c>
      <c r="N8" s="22">
        <f t="shared" ca="1" si="0"/>
        <v>513127.11000000004</v>
      </c>
      <c r="O8" s="22">
        <f t="shared" ref="O8:O16" ca="1" si="1">IF(L8&gt;0,N8*100/L8,0)</f>
        <v>10.409336748697482</v>
      </c>
      <c r="P8" s="22">
        <f t="shared" ref="P8:P16" ca="1" si="2">IF(M8&gt;0,N8*100/M8,0)</f>
        <v>40.271005387757668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4929489</v>
      </c>
      <c r="M10" s="30">
        <f t="shared" ca="1" si="3"/>
        <v>1274185</v>
      </c>
      <c r="N10" s="30">
        <f t="shared" ca="1" si="3"/>
        <v>513127.11000000004</v>
      </c>
      <c r="O10" s="30">
        <f t="shared" ca="1" si="1"/>
        <v>10.409336748697482</v>
      </c>
      <c r="P10" s="30">
        <f t="shared" ca="1" si="2"/>
        <v>40.271005387757668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589" t="s">
        <v>12</v>
      </c>
      <c r="I11" s="269"/>
      <c r="J11" s="269"/>
      <c r="K11" s="465"/>
      <c r="L11" s="465">
        <f t="shared" ref="L11:N11" ca="1" si="4">L12+L13</f>
        <v>4914489</v>
      </c>
      <c r="M11" s="465">
        <f t="shared" ca="1" si="4"/>
        <v>1259185</v>
      </c>
      <c r="N11" s="465">
        <f t="shared" ca="1" si="4"/>
        <v>498127.11000000004</v>
      </c>
      <c r="O11" s="465">
        <f t="shared" ca="1" si="1"/>
        <v>10.135888186950872</v>
      </c>
      <c r="P11" s="465">
        <f t="shared" ca="1" si="2"/>
        <v>39.55948569908314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2" t="s">
        <v>18</v>
      </c>
      <c r="F12" s="40"/>
      <c r="G12" s="42"/>
      <c r="H12" s="43" t="s">
        <v>12</v>
      </c>
      <c r="I12" s="583"/>
      <c r="J12" s="583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2" t="s">
        <v>19</v>
      </c>
      <c r="F13" s="40"/>
      <c r="G13" s="42"/>
      <c r="H13" s="43" t="s">
        <v>12</v>
      </c>
      <c r="I13" s="583"/>
      <c r="J13" s="583"/>
      <c r="K13" s="93"/>
      <c r="L13" s="93">
        <f t="shared" ca="1" si="5"/>
        <v>4914489</v>
      </c>
      <c r="M13" s="93">
        <f t="shared" ca="1" si="5"/>
        <v>1259185</v>
      </c>
      <c r="N13" s="93">
        <f t="shared" ca="1" si="5"/>
        <v>498127.11000000004</v>
      </c>
      <c r="O13" s="93">
        <f t="shared" ca="1" si="1"/>
        <v>10.135888186950872</v>
      </c>
      <c r="P13" s="93">
        <f t="shared" ca="1" si="2"/>
        <v>39.55948569908314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589" t="s">
        <v>12</v>
      </c>
      <c r="I14" s="269"/>
      <c r="J14" s="269"/>
      <c r="K14" s="465"/>
      <c r="L14" s="465">
        <f t="shared" ref="L14:N14" ca="1" si="6">L15+L16</f>
        <v>15000</v>
      </c>
      <c r="M14" s="465">
        <f t="shared" ca="1" si="6"/>
        <v>15000</v>
      </c>
      <c r="N14" s="465">
        <f t="shared" ca="1" si="6"/>
        <v>15000</v>
      </c>
      <c r="O14" s="465">
        <f t="shared" ca="1" si="1"/>
        <v>100</v>
      </c>
      <c r="P14" s="465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2" t="s">
        <v>18</v>
      </c>
      <c r="F15" s="40"/>
      <c r="G15" s="42"/>
      <c r="H15" s="43" t="s">
        <v>12</v>
      </c>
      <c r="I15" s="583"/>
      <c r="J15" s="583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15000</v>
      </c>
      <c r="M16" s="52">
        <f t="shared" ca="1" si="7"/>
        <v>15000</v>
      </c>
      <c r="N16" s="52">
        <f t="shared" ca="1" si="7"/>
        <v>15000</v>
      </c>
      <c r="O16" s="52">
        <f t="shared" ca="1" si="1"/>
        <v>100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03" t="s">
        <v>22</v>
      </c>
      <c r="B17" s="797"/>
      <c r="C17" s="797"/>
      <c r="D17" s="797"/>
      <c r="E17" s="797"/>
      <c r="F17" s="797"/>
      <c r="G17" s="795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2567755</v>
      </c>
      <c r="M18" s="22">
        <f t="shared" ca="1" si="8"/>
        <v>1274185</v>
      </c>
      <c r="N18" s="22">
        <f t="shared" ca="1" si="8"/>
        <v>513127.11000000004</v>
      </c>
      <c r="O18" s="22">
        <f t="shared" ref="O18:O26" ca="1" si="9">IF(L18&gt;0,N18*100/L18,0)</f>
        <v>19.983491805098232</v>
      </c>
      <c r="P18" s="22">
        <f t="shared" ref="P18:P26" ca="1" si="10">IF(M18&gt;0,N18*100/M18,0)</f>
        <v>40.271005387757668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2567755</v>
      </c>
      <c r="M20" s="30">
        <f t="shared" ca="1" si="11"/>
        <v>1274185</v>
      </c>
      <c r="N20" s="30">
        <f t="shared" ca="1" si="11"/>
        <v>513127.11000000004</v>
      </c>
      <c r="O20" s="30">
        <f t="shared" ca="1" si="9"/>
        <v>19.983491805098232</v>
      </c>
      <c r="P20" s="30">
        <f t="shared" ca="1" si="10"/>
        <v>40.271005387757668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589" t="s">
        <v>12</v>
      </c>
      <c r="I21" s="269"/>
      <c r="J21" s="269"/>
      <c r="K21" s="465"/>
      <c r="L21" s="465">
        <f t="shared" ref="L21:N21" ca="1" si="12">L22+L23</f>
        <v>2552755</v>
      </c>
      <c r="M21" s="465">
        <f t="shared" ca="1" si="12"/>
        <v>1259185</v>
      </c>
      <c r="N21" s="465">
        <f t="shared" ca="1" si="12"/>
        <v>498127.11000000004</v>
      </c>
      <c r="O21" s="465">
        <f t="shared" ca="1" si="9"/>
        <v>19.513314438714254</v>
      </c>
      <c r="P21" s="465">
        <f t="shared" ca="1" si="10"/>
        <v>39.55948569908314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2" t="s">
        <v>18</v>
      </c>
      <c r="F22" s="40"/>
      <c r="G22" s="42"/>
      <c r="H22" s="43" t="s">
        <v>12</v>
      </c>
      <c r="I22" s="583"/>
      <c r="J22" s="583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2" t="s">
        <v>19</v>
      </c>
      <c r="F23" s="40"/>
      <c r="G23" s="42"/>
      <c r="H23" s="43" t="s">
        <v>12</v>
      </c>
      <c r="I23" s="583"/>
      <c r="J23" s="583"/>
      <c r="K23" s="93"/>
      <c r="L23" s="93">
        <f t="shared" ca="1" si="13"/>
        <v>2552755</v>
      </c>
      <c r="M23" s="93">
        <f t="shared" ca="1" si="13"/>
        <v>1259185</v>
      </c>
      <c r="N23" s="93">
        <f t="shared" ca="1" si="13"/>
        <v>498127.11000000004</v>
      </c>
      <c r="O23" s="93">
        <f t="shared" ca="1" si="9"/>
        <v>19.513314438714254</v>
      </c>
      <c r="P23" s="93">
        <f t="shared" ca="1" si="10"/>
        <v>39.55948569908314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589" t="s">
        <v>12</v>
      </c>
      <c r="I24" s="269"/>
      <c r="J24" s="269"/>
      <c r="K24" s="465"/>
      <c r="L24" s="465">
        <f t="shared" ref="L24:N24" ca="1" si="14">L25+L26</f>
        <v>15000</v>
      </c>
      <c r="M24" s="465">
        <f t="shared" ca="1" si="14"/>
        <v>15000</v>
      </c>
      <c r="N24" s="465">
        <f t="shared" ca="1" si="14"/>
        <v>15000</v>
      </c>
      <c r="O24" s="465">
        <f t="shared" ca="1" si="9"/>
        <v>100</v>
      </c>
      <c r="P24" s="465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2" t="s">
        <v>18</v>
      </c>
      <c r="F25" s="40"/>
      <c r="G25" s="42"/>
      <c r="H25" s="43" t="s">
        <v>12</v>
      </c>
      <c r="I25" s="583"/>
      <c r="J25" s="583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15000</v>
      </c>
      <c r="M26" s="52">
        <f t="shared" ca="1" si="15"/>
        <v>15000</v>
      </c>
      <c r="N26" s="52">
        <f t="shared" ca="1" si="15"/>
        <v>15000</v>
      </c>
      <c r="O26" s="52">
        <f t="shared" ca="1" si="9"/>
        <v>100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03" t="s">
        <v>23</v>
      </c>
      <c r="B27" s="797"/>
      <c r="C27" s="797"/>
      <c r="D27" s="797"/>
      <c r="E27" s="797"/>
      <c r="F27" s="797"/>
      <c r="G27" s="795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2361734</v>
      </c>
      <c r="M28" s="22">
        <f t="shared" si="16"/>
        <v>0</v>
      </c>
      <c r="N28" s="22">
        <f t="shared" si="16"/>
        <v>0</v>
      </c>
      <c r="O28" s="22">
        <f t="shared" ref="O28:O37" ca="1" si="17">IF(L28&gt;0,N28*100/L28,0)</f>
        <v>0</v>
      </c>
      <c r="P28" s="22">
        <f t="shared" ref="P28:P37" si="18">IF(M28&gt;0,N28*100/M28,0)</f>
        <v>0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2361734</v>
      </c>
      <c r="M30" s="30">
        <f t="shared" si="19"/>
        <v>0</v>
      </c>
      <c r="N30" s="30">
        <f t="shared" si="19"/>
        <v>0</v>
      </c>
      <c r="O30" s="30">
        <f t="shared" ca="1" si="17"/>
        <v>0</v>
      </c>
      <c r="P30" s="30">
        <f t="shared" si="18"/>
        <v>0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589" t="s">
        <v>12</v>
      </c>
      <c r="I31" s="269"/>
      <c r="J31" s="269"/>
      <c r="K31" s="465"/>
      <c r="L31" s="465">
        <f t="shared" ref="L31:N31" ca="1" si="20">L32+L33</f>
        <v>2361734</v>
      </c>
      <c r="M31" s="465">
        <f t="shared" si="20"/>
        <v>0</v>
      </c>
      <c r="N31" s="465">
        <f t="shared" si="20"/>
        <v>0</v>
      </c>
      <c r="O31" s="465">
        <f t="shared" ca="1" si="17"/>
        <v>0</v>
      </c>
      <c r="P31" s="465">
        <f t="shared" si="18"/>
        <v>0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2" t="s">
        <v>18</v>
      </c>
      <c r="F32" s="40"/>
      <c r="G32" s="42"/>
      <c r="H32" s="43" t="s">
        <v>12</v>
      </c>
      <c r="I32" s="583"/>
      <c r="J32" s="583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2" t="s">
        <v>19</v>
      </c>
      <c r="F33" s="40"/>
      <c r="G33" s="42"/>
      <c r="H33" s="43" t="s">
        <v>12</v>
      </c>
      <c r="I33" s="583"/>
      <c r="J33" s="583"/>
      <c r="K33" s="93"/>
      <c r="L33" s="93">
        <f t="shared" ca="1" si="21"/>
        <v>2361734</v>
      </c>
      <c r="M33" s="93">
        <f t="shared" si="21"/>
        <v>0</v>
      </c>
      <c r="N33" s="93">
        <f t="shared" si="21"/>
        <v>0</v>
      </c>
      <c r="O33" s="93">
        <f t="shared" ca="1" si="17"/>
        <v>0</v>
      </c>
      <c r="P33" s="93">
        <f t="shared" si="18"/>
        <v>0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589" t="s">
        <v>12</v>
      </c>
      <c r="I34" s="269"/>
      <c r="J34" s="269"/>
      <c r="K34" s="465"/>
      <c r="L34" s="465">
        <f t="shared" ref="L34:N34" ca="1" si="22">L35+L36</f>
        <v>0</v>
      </c>
      <c r="M34" s="465">
        <f t="shared" si="22"/>
        <v>0</v>
      </c>
      <c r="N34" s="465">
        <f t="shared" si="22"/>
        <v>0</v>
      </c>
      <c r="O34" s="465">
        <f t="shared" ca="1" si="17"/>
        <v>0</v>
      </c>
      <c r="P34" s="465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2" t="s">
        <v>18</v>
      </c>
      <c r="F35" s="40"/>
      <c r="G35" s="42"/>
      <c r="H35" s="43" t="s">
        <v>12</v>
      </c>
      <c r="I35" s="583"/>
      <c r="J35" s="583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53" t="s">
        <v>24</v>
      </c>
      <c r="B37" s="54"/>
      <c r="C37" s="54"/>
      <c r="D37" s="54"/>
      <c r="E37" s="54"/>
      <c r="F37" s="54"/>
      <c r="G37" s="55"/>
      <c r="H37" s="56"/>
      <c r="I37" s="392"/>
      <c r="J37" s="392"/>
      <c r="K37" s="58"/>
      <c r="L37" s="59">
        <f t="shared" ref="L37:N37" ca="1" si="24">L41+L53+L66+L88+L119+L132+L149+L165+L181+L261+L277+L298+L315+L328+L345+L389+L402</f>
        <v>2567755</v>
      </c>
      <c r="M37" s="59">
        <f t="shared" ca="1" si="24"/>
        <v>1274185</v>
      </c>
      <c r="N37" s="59">
        <f t="shared" ca="1" si="24"/>
        <v>513127.11000000004</v>
      </c>
      <c r="O37" s="59">
        <f t="shared" ca="1" si="17"/>
        <v>19.983491805098232</v>
      </c>
      <c r="P37" s="59">
        <f t="shared" ca="1" si="18"/>
        <v>40.271005387757668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04" t="s">
        <v>27</v>
      </c>
      <c r="C40" s="805"/>
      <c r="D40" s="805"/>
      <c r="E40" s="805"/>
      <c r="F40" s="805"/>
      <c r="G40" s="806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15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532100</v>
      </c>
      <c r="M41" s="85">
        <f t="shared" ca="1" si="25"/>
        <v>267400</v>
      </c>
      <c r="N41" s="85">
        <f t="shared" ca="1" si="25"/>
        <v>118200</v>
      </c>
      <c r="O41" s="85">
        <f t="shared" ref="O41:O49" ca="1" si="26">IF(L41&gt;0,N41*100/L41,0)</f>
        <v>22.213869573388461</v>
      </c>
      <c r="P41" s="85">
        <f t="shared" ref="P41:P49" ca="1" si="27">IF(M41&gt;0,N41*100/M41,0)</f>
        <v>44.203440538519075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532100</v>
      </c>
      <c r="M43" s="92">
        <f t="shared" ca="1" si="28"/>
        <v>267400</v>
      </c>
      <c r="N43" s="92">
        <f t="shared" ca="1" si="28"/>
        <v>118200</v>
      </c>
      <c r="O43" s="92">
        <f t="shared" ca="1" si="26"/>
        <v>22.213869573388461</v>
      </c>
      <c r="P43" s="92">
        <f t="shared" ca="1" si="27"/>
        <v>44.203440538519075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589" t="s">
        <v>12</v>
      </c>
      <c r="I44" s="269"/>
      <c r="J44" s="269"/>
      <c r="K44" s="465"/>
      <c r="L44" s="465">
        <f t="shared" ref="L44:N44" ca="1" si="29">L45+L46</f>
        <v>532100</v>
      </c>
      <c r="M44" s="465">
        <f t="shared" ca="1" si="29"/>
        <v>267400</v>
      </c>
      <c r="N44" s="465">
        <f t="shared" ca="1" si="29"/>
        <v>118200</v>
      </c>
      <c r="O44" s="465">
        <f t="shared" ca="1" si="26"/>
        <v>22.213869573388461</v>
      </c>
      <c r="P44" s="465">
        <f t="shared" ca="1" si="27"/>
        <v>44.203440538519075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2" t="s">
        <v>18</v>
      </c>
      <c r="F45" s="40"/>
      <c r="G45" s="42"/>
      <c r="H45" s="43" t="s">
        <v>12</v>
      </c>
      <c r="I45" s="583"/>
      <c r="J45" s="583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2" t="s">
        <v>19</v>
      </c>
      <c r="F46" s="40"/>
      <c r="G46" s="42"/>
      <c r="H46" s="43" t="s">
        <v>12</v>
      </c>
      <c r="I46" s="583"/>
      <c r="J46" s="583"/>
      <c r="K46" s="93"/>
      <c r="L46" s="93">
        <f ca="1">IFERROR(__xludf.DUMMYFUNCTION("IMPORTRANGE(""https://docs.google.com/spreadsheets/d/1MeEWN-I1oV_STSDYn1IFDPWt_1FKiwhDph83XaGc0o0/edit?usp=sharing"",""งบพรบ!M26"")"),532100)</f>
        <v>532100</v>
      </c>
      <c r="M46" s="93">
        <f ca="1">IFERROR(__xludf.DUMMYFUNCTION("IMPORTRANGE(""https://docs.google.com/spreadsheets/d/1MeEWN-I1oV_STSDYn1IFDPWt_1FKiwhDph83XaGc0o0/edit?usp=sharing"",""งบพรบ!R26"")"),267400)</f>
        <v>267400</v>
      </c>
      <c r="N46" s="93">
        <f ca="1">IFERROR(__xludf.DUMMYFUNCTION("IMPORTRANGE(""https://docs.google.com/spreadsheets/d/1MeEWN-I1oV_STSDYn1IFDPWt_1FKiwhDph83XaGc0o0/edit?usp=sharing"",""งบพรบ!T26"")"),118200)</f>
        <v>118200</v>
      </c>
      <c r="O46" s="93">
        <f t="shared" ca="1" si="26"/>
        <v>22.213869573388461</v>
      </c>
      <c r="P46" s="93">
        <f t="shared" ca="1" si="27"/>
        <v>44.203440538519075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589" t="s">
        <v>12</v>
      </c>
      <c r="I47" s="269"/>
      <c r="J47" s="269"/>
      <c r="K47" s="465"/>
      <c r="L47" s="465">
        <f t="shared" ref="L47:N47" ca="1" si="30">L48+L49</f>
        <v>0</v>
      </c>
      <c r="M47" s="465">
        <f t="shared" ca="1" si="30"/>
        <v>0</v>
      </c>
      <c r="N47" s="465">
        <f t="shared" ca="1" si="30"/>
        <v>0</v>
      </c>
      <c r="O47" s="465">
        <f t="shared" ca="1" si="26"/>
        <v>0</v>
      </c>
      <c r="P47" s="465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2" t="s">
        <v>18</v>
      </c>
      <c r="F48" s="40"/>
      <c r="G48" s="42"/>
      <c r="H48" s="43" t="s">
        <v>12</v>
      </c>
      <c r="I48" s="583"/>
      <c r="J48" s="583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IFERROR(__xludf.DUMMYFUNCTION("IMPORTRANGE(""https://docs.google.com/spreadsheets/d/1MeEWN-I1oV_STSDYn1IFDPWt_1FKiwhDph83XaGc0o0/edit?usp=sharing"",""งบพรบ!P26"")"),0)</f>
        <v>0</v>
      </c>
      <c r="M49" s="52">
        <f ca="1">IFERROR(__xludf.DUMMYFUNCTION("IMPORTRANGE(""https://docs.google.com/spreadsheets/d/1MeEWN-I1oV_STSDYn1IFDPWt_1FKiwhDph83XaGc0o0/edit?usp=sharing"",""งบพรบ!S26"")"),0)</f>
        <v>0</v>
      </c>
      <c r="N49" s="52">
        <f ca="1">IFERROR(__xludf.DUMMYFUNCTION("IMPORTRANGE(""https://docs.google.com/spreadsheets/d/1MeEWN-I1oV_STSDYn1IFDPWt_1FKiwhDph83XaGc0o0/edit?usp=sharing"",""งบพรบ!U26"")"),0)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07" t="s">
        <v>28</v>
      </c>
      <c r="B50" s="797"/>
      <c r="C50" s="797"/>
      <c r="D50" s="797"/>
      <c r="E50" s="797"/>
      <c r="F50" s="797"/>
      <c r="G50" s="795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08" t="s">
        <v>29</v>
      </c>
      <c r="C51" s="805"/>
      <c r="D51" s="805"/>
      <c r="E51" s="805"/>
      <c r="F51" s="805"/>
      <c r="G51" s="806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16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647300</v>
      </c>
      <c r="M53" s="116">
        <f t="shared" ca="1" si="31"/>
        <v>323650</v>
      </c>
      <c r="N53" s="116">
        <f t="shared" ca="1" si="31"/>
        <v>180295.03</v>
      </c>
      <c r="O53" s="116">
        <f t="shared" ref="O53:O61" ca="1" si="32">IF(L53&gt;0,N53*100/L53,0)</f>
        <v>27.853395643441988</v>
      </c>
      <c r="P53" s="116">
        <f t="shared" ref="P53:P61" ca="1" si="33">IF(M53&gt;0,N53*100/M53,0)</f>
        <v>55.706791286883977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647300</v>
      </c>
      <c r="M55" s="123">
        <f t="shared" ca="1" si="34"/>
        <v>323650</v>
      </c>
      <c r="N55" s="123">
        <f t="shared" ca="1" si="34"/>
        <v>180295.03</v>
      </c>
      <c r="O55" s="123">
        <f t="shared" ca="1" si="32"/>
        <v>27.853395643441988</v>
      </c>
      <c r="P55" s="123">
        <f t="shared" ca="1" si="33"/>
        <v>55.706791286883977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589" t="s">
        <v>12</v>
      </c>
      <c r="I56" s="269"/>
      <c r="J56" s="269"/>
      <c r="K56" s="465"/>
      <c r="L56" s="465">
        <f t="shared" ref="L56:N56" ca="1" si="35">L57+L58</f>
        <v>647300</v>
      </c>
      <c r="M56" s="465">
        <f t="shared" ca="1" si="35"/>
        <v>323650</v>
      </c>
      <c r="N56" s="465">
        <f t="shared" ca="1" si="35"/>
        <v>180295.03</v>
      </c>
      <c r="O56" s="465">
        <f t="shared" ca="1" si="32"/>
        <v>27.853395643441988</v>
      </c>
      <c r="P56" s="465">
        <f t="shared" ca="1" si="33"/>
        <v>55.706791286883977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2" t="s">
        <v>18</v>
      </c>
      <c r="F57" s="40"/>
      <c r="G57" s="42"/>
      <c r="H57" s="43" t="s">
        <v>12</v>
      </c>
      <c r="I57" s="583"/>
      <c r="J57" s="583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2" t="s">
        <v>19</v>
      </c>
      <c r="F58" s="40"/>
      <c r="G58" s="42"/>
      <c r="H58" s="43" t="s">
        <v>12</v>
      </c>
      <c r="I58" s="583"/>
      <c r="J58" s="583"/>
      <c r="K58" s="93"/>
      <c r="L58" s="93">
        <f ca="1">IFERROR(__xludf.DUMMYFUNCTION("IMPORTRANGE(""https://docs.google.com/spreadsheets/d/1MeEWN-I1oV_STSDYn1IFDPWt_1FKiwhDph83XaGc0o0/edit?usp=sharing"",""งบพรบ!W26"")"),647300)</f>
        <v>647300</v>
      </c>
      <c r="M58" s="93">
        <f ca="1">IFERROR(__xludf.DUMMYFUNCTION("IMPORTRANGE(""https://docs.google.com/spreadsheets/d/1MeEWN-I1oV_STSDYn1IFDPWt_1FKiwhDph83XaGc0o0/edit?usp=sharing"",""งบพรบ!AB26"")"),323650)</f>
        <v>323650</v>
      </c>
      <c r="N58" s="93">
        <f ca="1">IFERROR(__xludf.DUMMYFUNCTION("IMPORTRANGE(""https://docs.google.com/spreadsheets/d/1MeEWN-I1oV_STSDYn1IFDPWt_1FKiwhDph83XaGc0o0/edit?usp=sharing"",""งบพรบ!AD26"")"),180295.03)</f>
        <v>180295.03</v>
      </c>
      <c r="O58" s="93">
        <f t="shared" ca="1" si="32"/>
        <v>27.853395643441988</v>
      </c>
      <c r="P58" s="93">
        <f t="shared" ca="1" si="33"/>
        <v>55.706791286883977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589" t="s">
        <v>12</v>
      </c>
      <c r="I59" s="269"/>
      <c r="J59" s="269"/>
      <c r="K59" s="465"/>
      <c r="L59" s="465">
        <f t="shared" ref="L59:N59" ca="1" si="36">L60+L61</f>
        <v>0</v>
      </c>
      <c r="M59" s="465">
        <f t="shared" ca="1" si="36"/>
        <v>0</v>
      </c>
      <c r="N59" s="465">
        <f t="shared" ca="1" si="36"/>
        <v>0</v>
      </c>
      <c r="O59" s="465">
        <f t="shared" ca="1" si="32"/>
        <v>0</v>
      </c>
      <c r="P59" s="465">
        <f t="shared" ca="1" si="33"/>
        <v>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2" t="s">
        <v>18</v>
      </c>
      <c r="F60" s="40"/>
      <c r="G60" s="42"/>
      <c r="H60" s="43" t="s">
        <v>12</v>
      </c>
      <c r="I60" s="583"/>
      <c r="J60" s="583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IFERROR(__xludf.DUMMYFUNCTION("IMPORTRANGE(""https://docs.google.com/spreadsheets/d/1MeEWN-I1oV_STSDYn1IFDPWt_1FKiwhDph83XaGc0o0/edit?usp=sharing"",""งบพรบ!Z26"")"),0)</f>
        <v>0</v>
      </c>
      <c r="M61" s="52">
        <f ca="1">IFERROR(__xludf.DUMMYFUNCTION("IMPORTRANGE(""https://docs.google.com/spreadsheets/d/1MeEWN-I1oV_STSDYn1IFDPWt_1FKiwhDph83XaGc0o0/edit?usp=sharing"",""งบพรบ!AC26"")"),0)</f>
        <v>0</v>
      </c>
      <c r="N61" s="52">
        <f ca="1">IFERROR(__xludf.DUMMYFUNCTION("IMPORTRANGE(""https://docs.google.com/spreadsheets/d/1MeEWN-I1oV_STSDYn1IFDPWt_1FKiwhDph83XaGc0o0/edit?usp=sharing"",""งบพรบ!AE26"")"),0)</f>
        <v>0</v>
      </c>
      <c r="O61" s="52">
        <f t="shared" ca="1" si="32"/>
        <v>0</v>
      </c>
      <c r="P61" s="52">
        <f t="shared" ca="1" si="33"/>
        <v>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 hidden="1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 hidden="1">
      <c r="A64" s="138"/>
      <c r="B64" s="208" t="s">
        <v>33</v>
      </c>
      <c r="C64" s="140"/>
      <c r="D64" s="141"/>
      <c r="E64" s="140"/>
      <c r="F64" s="140"/>
      <c r="G64" s="142"/>
      <c r="H64" s="143" t="s">
        <v>34</v>
      </c>
      <c r="I64" s="144">
        <f t="shared" ref="I64:J65" ca="1" si="37">I76</f>
        <v>0</v>
      </c>
      <c r="J64" s="144">
        <f t="shared" si="37"/>
        <v>0</v>
      </c>
      <c r="K64" s="145">
        <f t="shared" ref="K64:K65" ca="1" si="38">IF(I64&gt;0,J64*100/I64,0)</f>
        <v>0</v>
      </c>
      <c r="L64" s="146"/>
      <c r="M64" s="146"/>
      <c r="N64" s="146"/>
      <c r="O64" s="146"/>
      <c r="P64" s="146"/>
    </row>
    <row r="65" spans="1:26" ht="19.5" hidden="1">
      <c r="A65" s="138"/>
      <c r="B65" s="140"/>
      <c r="C65" s="140"/>
      <c r="D65" s="141"/>
      <c r="E65" s="140"/>
      <c r="F65" s="140"/>
      <c r="G65" s="142"/>
      <c r="H65" s="143" t="s">
        <v>35</v>
      </c>
      <c r="I65" s="144">
        <f t="shared" ca="1" si="37"/>
        <v>0</v>
      </c>
      <c r="J65" s="144">
        <f t="shared" si="37"/>
        <v>0</v>
      </c>
      <c r="K65" s="145">
        <f t="shared" ca="1" si="38"/>
        <v>0</v>
      </c>
      <c r="L65" s="146"/>
      <c r="M65" s="146"/>
      <c r="N65" s="146"/>
      <c r="O65" s="146"/>
      <c r="P65" s="146"/>
    </row>
    <row r="66" spans="1:26" ht="19.5" hidden="1">
      <c r="A66" s="147"/>
      <c r="B66" s="148"/>
      <c r="C66" s="149" t="s">
        <v>16</v>
      </c>
      <c r="D66" s="817" t="s">
        <v>17</v>
      </c>
      <c r="E66" s="148"/>
      <c r="F66" s="148"/>
      <c r="G66" s="151"/>
      <c r="H66" s="152" t="s">
        <v>12</v>
      </c>
      <c r="I66" s="388"/>
      <c r="J66" s="388"/>
      <c r="K66" s="154"/>
      <c r="L66" s="155">
        <f t="shared" ref="L66:N66" ca="1" si="39">L67+L68</f>
        <v>0</v>
      </c>
      <c r="M66" s="155">
        <f t="shared" ca="1" si="39"/>
        <v>0</v>
      </c>
      <c r="N66" s="155">
        <f t="shared" ca="1" si="39"/>
        <v>0</v>
      </c>
      <c r="O66" s="155">
        <f t="shared" ref="O66:O74" ca="1" si="40">IF(L66&gt;0,N66*100/L66,0)</f>
        <v>0</v>
      </c>
      <c r="P66" s="155">
        <f t="shared" ref="P66:P74" ca="1" si="41">IF(M66&gt;0,N66*100/M66,0)</f>
        <v>0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2" t="s">
        <v>18</v>
      </c>
      <c r="F67" s="40"/>
      <c r="G67" s="157"/>
      <c r="H67" s="158" t="s">
        <v>12</v>
      </c>
      <c r="I67" s="583"/>
      <c r="J67" s="583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2" t="s">
        <v>19</v>
      </c>
      <c r="F68" s="40"/>
      <c r="G68" s="157"/>
      <c r="H68" s="158" t="s">
        <v>12</v>
      </c>
      <c r="I68" s="583"/>
      <c r="J68" s="583"/>
      <c r="K68" s="93"/>
      <c r="L68" s="93">
        <f t="shared" ca="1" si="42"/>
        <v>0</v>
      </c>
      <c r="M68" s="93">
        <f t="shared" ca="1" si="42"/>
        <v>0</v>
      </c>
      <c r="N68" s="93">
        <f t="shared" ca="1" si="42"/>
        <v>0</v>
      </c>
      <c r="O68" s="93">
        <f t="shared" ca="1" si="40"/>
        <v>0</v>
      </c>
      <c r="P68" s="93">
        <f t="shared" ca="1" si="41"/>
        <v>0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 hidden="1">
      <c r="A69" s="159"/>
      <c r="B69" s="33"/>
      <c r="C69" s="281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65">
        <f t="shared" ref="L69:N69" ca="1" si="43">L70+L71</f>
        <v>0</v>
      </c>
      <c r="M69" s="465">
        <f t="shared" ca="1" si="43"/>
        <v>0</v>
      </c>
      <c r="N69" s="465">
        <f t="shared" ca="1" si="43"/>
        <v>0</v>
      </c>
      <c r="O69" s="465">
        <f t="shared" ca="1" si="40"/>
        <v>0</v>
      </c>
      <c r="P69" s="465">
        <f t="shared" ca="1" si="41"/>
        <v>0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2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2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IFERROR(__xludf.DUMMYFUNCTION("IMPORTRANGE(""https://docs.google.com/spreadsheets/d/1MeEWN-I1oV_STSDYn1IFDPWt_1FKiwhDph83XaGc0o0/edit?usp=sharing"",""งบพรบ!AG26"")"),0)</f>
        <v>0</v>
      </c>
      <c r="M71" s="93">
        <f ca="1">IFERROR(__xludf.DUMMYFUNCTION("IMPORTRANGE(""https://docs.google.com/spreadsheets/d/1MeEWN-I1oV_STSDYn1IFDPWt_1FKiwhDph83XaGc0o0/edit?usp=sharing"",""งบพรบ!AL26"")"),0)</f>
        <v>0</v>
      </c>
      <c r="N71" s="93">
        <f ca="1">IFERROR(__xludf.DUMMYFUNCTION("IMPORTRANGE(""https://docs.google.com/spreadsheets/d/1MeEWN-I1oV_STSDYn1IFDPWt_1FKiwhDph83XaGc0o0/edit?usp=sharing"",""งบพรบ!AN26"")"),0)</f>
        <v>0</v>
      </c>
      <c r="O71" s="93">
        <f t="shared" ca="1" si="40"/>
        <v>0</v>
      </c>
      <c r="P71" s="93">
        <f t="shared" ca="1" si="41"/>
        <v>0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 hidden="1">
      <c r="A72" s="159"/>
      <c r="B72" s="33"/>
      <c r="C72" s="281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65">
        <f t="shared" ref="L72:N72" ca="1" si="44">L73+L74</f>
        <v>0</v>
      </c>
      <c r="M72" s="465">
        <f t="shared" ca="1" si="44"/>
        <v>0</v>
      </c>
      <c r="N72" s="465">
        <f t="shared" ca="1" si="44"/>
        <v>0</v>
      </c>
      <c r="O72" s="465">
        <f t="shared" ca="1" si="40"/>
        <v>0</v>
      </c>
      <c r="P72" s="465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2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2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IFERROR(__xludf.DUMMYFUNCTION("IMPORTRANGE(""https://docs.google.com/spreadsheets/d/1MeEWN-I1oV_STSDYn1IFDPWt_1FKiwhDph83XaGc0o0/edit?usp=sharing"",""งบพรบ!AJ26"")"),0)</f>
        <v>0</v>
      </c>
      <c r="M74" s="93">
        <f ca="1">IFERROR(__xludf.DUMMYFUNCTION("IMPORTRANGE(""https://docs.google.com/spreadsheets/d/1MeEWN-I1oV_STSDYn1IFDPWt_1FKiwhDph83XaGc0o0/edit?usp=sharing"",""งบพรบ!AM26"")"),0)</f>
        <v>0</v>
      </c>
      <c r="N74" s="93">
        <f ca="1">IFERROR(__xludf.DUMMYFUNCTION("IMPORTRANGE(""https://docs.google.com/spreadsheets/d/1MeEWN-I1oV_STSDYn1IFDPWt_1FKiwhDph83XaGc0o0/edit?usp=sharing"",""งบพรบ!AO26"")"),0)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 hidden="1">
      <c r="A75" s="170"/>
      <c r="B75" s="171"/>
      <c r="C75" s="164" t="s">
        <v>16</v>
      </c>
      <c r="D75" s="818" t="s">
        <v>38</v>
      </c>
      <c r="E75" s="173"/>
      <c r="F75" s="173"/>
      <c r="G75" s="174"/>
      <c r="H75" s="726"/>
      <c r="I75" s="184"/>
      <c r="J75" s="184"/>
      <c r="K75" s="163"/>
      <c r="L75" s="163"/>
      <c r="M75" s="163"/>
      <c r="N75" s="163"/>
      <c r="O75" s="163"/>
      <c r="P75" s="163"/>
    </row>
    <row r="76" spans="1:26" ht="19.5" hidden="1">
      <c r="A76" s="170"/>
      <c r="B76" s="171"/>
      <c r="C76" s="171"/>
      <c r="D76" s="343" t="s">
        <v>39</v>
      </c>
      <c r="E76" s="415"/>
      <c r="F76" s="342"/>
      <c r="G76" s="179"/>
      <c r="H76" s="180" t="s">
        <v>34</v>
      </c>
      <c r="I76" s="269">
        <f t="shared" ref="I76:J77" ca="1" si="45">I78+I80+I82</f>
        <v>0</v>
      </c>
      <c r="J76" s="269">
        <f t="shared" si="45"/>
        <v>0</v>
      </c>
      <c r="K76" s="163">
        <f t="shared" ref="K76:K84" ca="1" si="46">IF(I76&gt;0,J76*100/I76,0)</f>
        <v>0</v>
      </c>
      <c r="L76" s="163"/>
      <c r="M76" s="163"/>
      <c r="N76" s="163"/>
      <c r="O76" s="163"/>
      <c r="P76" s="163"/>
    </row>
    <row r="77" spans="1:26" ht="19.5" hidden="1">
      <c r="A77" s="170"/>
      <c r="B77" s="171"/>
      <c r="C77" s="171"/>
      <c r="D77" s="171"/>
      <c r="E77" s="342"/>
      <c r="F77" s="342"/>
      <c r="G77" s="179"/>
      <c r="H77" s="180" t="s">
        <v>35</v>
      </c>
      <c r="I77" s="269">
        <f t="shared" ca="1" si="45"/>
        <v>0</v>
      </c>
      <c r="J77" s="269">
        <f t="shared" si="45"/>
        <v>0</v>
      </c>
      <c r="K77" s="163">
        <f t="shared" ca="1" si="46"/>
        <v>0</v>
      </c>
      <c r="L77" s="163"/>
      <c r="M77" s="163"/>
      <c r="N77" s="163"/>
      <c r="O77" s="163"/>
      <c r="P77" s="163"/>
    </row>
    <row r="78" spans="1:26" ht="18.75" hidden="1">
      <c r="A78" s="170"/>
      <c r="B78" s="171"/>
      <c r="C78" s="171"/>
      <c r="D78" s="171"/>
      <c r="E78" s="415" t="s">
        <v>40</v>
      </c>
      <c r="F78" s="415"/>
      <c r="G78" s="179"/>
      <c r="H78" s="728" t="s">
        <v>34</v>
      </c>
      <c r="I78" s="184">
        <f ca="1">IFERROR(__xludf.DUMMYFUNCTION("IMPORTRANGE(""https://docs.google.com/spreadsheets/d/1QqKyyYR6Q21VydFLVH3TRQUabQu_ym0Zz7PgGX0-kHA/edit?usp=sharing"",""แผน!H26"")"),0)</f>
        <v>0</v>
      </c>
      <c r="J78" s="214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 hidden="1">
      <c r="A79" s="170"/>
      <c r="B79" s="171"/>
      <c r="C79" s="171"/>
      <c r="D79" s="171"/>
      <c r="E79" s="342"/>
      <c r="F79" s="342"/>
      <c r="G79" s="179"/>
      <c r="H79" s="728" t="s">
        <v>35</v>
      </c>
      <c r="I79" s="184">
        <f ca="1">IFERROR(__xludf.DUMMYFUNCTION("IMPORTRANGE(""https://docs.google.com/spreadsheets/d/1QqKyyYR6Q21VydFLVH3TRQUabQu_ym0Zz7PgGX0-kHA/edit?usp=sharing"",""แผน!I26"")"),0)</f>
        <v>0</v>
      </c>
      <c r="J79" s="214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 hidden="1">
      <c r="A80" s="170"/>
      <c r="B80" s="171"/>
      <c r="C80" s="171"/>
      <c r="D80" s="171"/>
      <c r="E80" s="415" t="s">
        <v>41</v>
      </c>
      <c r="F80" s="415"/>
      <c r="G80" s="179"/>
      <c r="H80" s="728" t="s">
        <v>34</v>
      </c>
      <c r="I80" s="184">
        <f ca="1">IFERROR(__xludf.DUMMYFUNCTION("IMPORTRANGE(""https://docs.google.com/spreadsheets/d/1QqKyyYR6Q21VydFLVH3TRQUabQu_ym0Zz7PgGX0-kHA/edit?usp=sharing"",""แผน!F26"")"),0)</f>
        <v>0</v>
      </c>
      <c r="J80" s="214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 hidden="1">
      <c r="A81" s="170"/>
      <c r="B81" s="171"/>
      <c r="C81" s="171"/>
      <c r="D81" s="171"/>
      <c r="E81" s="342"/>
      <c r="F81" s="342"/>
      <c r="G81" s="179"/>
      <c r="H81" s="728" t="s">
        <v>35</v>
      </c>
      <c r="I81" s="184">
        <f ca="1">IFERROR(__xludf.DUMMYFUNCTION("IMPORTRANGE(""https://docs.google.com/spreadsheets/d/1QqKyyYR6Q21VydFLVH3TRQUabQu_ym0Zz7PgGX0-kHA/edit?usp=sharing"",""แผน!G26"")"),0)</f>
        <v>0</v>
      </c>
      <c r="J81" s="214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 hidden="1">
      <c r="A82" s="170"/>
      <c r="B82" s="171"/>
      <c r="C82" s="171"/>
      <c r="D82" s="171"/>
      <c r="E82" s="415" t="s">
        <v>42</v>
      </c>
      <c r="F82" s="415"/>
      <c r="G82" s="179"/>
      <c r="H82" s="728" t="s">
        <v>34</v>
      </c>
      <c r="I82" s="184">
        <f ca="1">IFERROR(__xludf.DUMMYFUNCTION("IMPORTRANGE(""https://docs.google.com/spreadsheets/d/1QqKyyYR6Q21VydFLVH3TRQUabQu_ym0Zz7PgGX0-kHA/edit?usp=sharing"",""แผน!D26"")"),0)</f>
        <v>0</v>
      </c>
      <c r="J82" s="214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 hidden="1">
      <c r="A83" s="170"/>
      <c r="B83" s="171"/>
      <c r="C83" s="171"/>
      <c r="D83" s="171"/>
      <c r="E83" s="342"/>
      <c r="F83" s="342"/>
      <c r="G83" s="179"/>
      <c r="H83" s="728" t="s">
        <v>35</v>
      </c>
      <c r="I83" s="184">
        <f ca="1">IFERROR(__xludf.DUMMYFUNCTION("IMPORTRANGE(""https://docs.google.com/spreadsheets/d/1QqKyyYR6Q21VydFLVH3TRQUabQu_ym0Zz7PgGX0-kHA/edit?usp=sharing"",""แผน!E26"")"),0)</f>
        <v>0</v>
      </c>
      <c r="J83" s="214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 hidden="1">
      <c r="A84" s="170"/>
      <c r="B84" s="171"/>
      <c r="C84" s="171"/>
      <c r="D84" s="343" t="s">
        <v>43</v>
      </c>
      <c r="E84" s="415"/>
      <c r="F84" s="342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IFERROR(__xludf.DUMMYFUNCTION("IMPORTRANGE(""https://docs.google.com/spreadsheets/d/1QqKyyYR6Q21VydFLVH3TRQUabQu_ym0Zz7PgGX0-kHA/edit?usp=sharing"",""แผน!J26"")"),0)</f>
        <v>0</v>
      </c>
      <c r="J84" s="214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8" t="s">
        <v>45</v>
      </c>
      <c r="C86" s="140"/>
      <c r="D86" s="141"/>
      <c r="E86" s="140"/>
      <c r="F86" s="140"/>
      <c r="G86" s="142"/>
      <c r="H86" s="143" t="s">
        <v>46</v>
      </c>
      <c r="I86" s="144">
        <f t="shared" ref="I86:J87" ca="1" si="47">I98</f>
        <v>30</v>
      </c>
      <c r="J86" s="144">
        <f t="shared" si="47"/>
        <v>0</v>
      </c>
      <c r="K86" s="145">
        <f t="shared" ref="K86:K87" ca="1" si="48">IF(I86&gt;0,J86*100/I86,0)</f>
        <v>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143" t="s">
        <v>35</v>
      </c>
      <c r="I87" s="144">
        <f t="shared" ca="1" si="47"/>
        <v>10</v>
      </c>
      <c r="J87" s="144">
        <f t="shared" si="47"/>
        <v>0</v>
      </c>
      <c r="K87" s="145">
        <f t="shared" ca="1" si="48"/>
        <v>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17" t="s">
        <v>17</v>
      </c>
      <c r="E88" s="148"/>
      <c r="F88" s="148"/>
      <c r="G88" s="151"/>
      <c r="H88" s="152" t="s">
        <v>12</v>
      </c>
      <c r="I88" s="388"/>
      <c r="J88" s="388"/>
      <c r="K88" s="154"/>
      <c r="L88" s="155">
        <f t="shared" ref="L88:N88" ca="1" si="49">L89+L90</f>
        <v>86040</v>
      </c>
      <c r="M88" s="155">
        <f t="shared" ca="1" si="49"/>
        <v>21840</v>
      </c>
      <c r="N88" s="155">
        <f t="shared" ca="1" si="49"/>
        <v>0</v>
      </c>
      <c r="O88" s="155">
        <f t="shared" ref="O88:O96" ca="1" si="50">IF(L88&gt;0,N88*100/L88,0)</f>
        <v>0</v>
      </c>
      <c r="P88" s="155">
        <f t="shared" ref="P88:P96" ca="1" si="51">IF(M88&gt;0,N88*100/M88,0)</f>
        <v>0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2" t="s">
        <v>18</v>
      </c>
      <c r="F89" s="40"/>
      <c r="G89" s="157"/>
      <c r="H89" s="158" t="s">
        <v>12</v>
      </c>
      <c r="I89" s="583"/>
      <c r="J89" s="583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2" t="s">
        <v>19</v>
      </c>
      <c r="F90" s="40"/>
      <c r="G90" s="157"/>
      <c r="H90" s="158" t="s">
        <v>12</v>
      </c>
      <c r="I90" s="583"/>
      <c r="J90" s="583"/>
      <c r="K90" s="93"/>
      <c r="L90" s="93">
        <f t="shared" ca="1" si="52"/>
        <v>86040</v>
      </c>
      <c r="M90" s="93">
        <f t="shared" ca="1" si="52"/>
        <v>21840</v>
      </c>
      <c r="N90" s="93">
        <f t="shared" ca="1" si="52"/>
        <v>0</v>
      </c>
      <c r="O90" s="93">
        <f t="shared" ca="1" si="50"/>
        <v>0</v>
      </c>
      <c r="P90" s="93">
        <f t="shared" ca="1" si="51"/>
        <v>0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1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65">
        <f t="shared" ref="L91:N91" ca="1" si="53">L92+L93</f>
        <v>86040</v>
      </c>
      <c r="M91" s="465">
        <f t="shared" ca="1" si="53"/>
        <v>21840</v>
      </c>
      <c r="N91" s="465">
        <f t="shared" ca="1" si="53"/>
        <v>0</v>
      </c>
      <c r="O91" s="465">
        <f t="shared" ca="1" si="50"/>
        <v>0</v>
      </c>
      <c r="P91" s="465">
        <f t="shared" ca="1" si="51"/>
        <v>0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2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2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IFERROR(__xludf.DUMMYFUNCTION("IMPORTRANGE(""https://docs.google.com/spreadsheets/d/1MeEWN-I1oV_STSDYn1IFDPWt_1FKiwhDph83XaGc0o0/edit?usp=sharing"",""งบพรบ!AQ26"")"),86040)</f>
        <v>86040</v>
      </c>
      <c r="M93" s="93">
        <f ca="1">IFERROR(__xludf.DUMMYFUNCTION("IMPORTRANGE(""https://docs.google.com/spreadsheets/d/1MeEWN-I1oV_STSDYn1IFDPWt_1FKiwhDph83XaGc0o0/edit?usp=sharing"",""งบพรบ!AV26"")"),21840)</f>
        <v>21840</v>
      </c>
      <c r="N93" s="93">
        <f ca="1">IFERROR(__xludf.DUMMYFUNCTION("IMPORTRANGE(""https://docs.google.com/spreadsheets/d/1MeEWN-I1oV_STSDYn1IFDPWt_1FKiwhDph83XaGc0o0/edit?usp=sharing"",""งบพรบ!AX26"")"),0)</f>
        <v>0</v>
      </c>
      <c r="O93" s="93">
        <f t="shared" ca="1" si="50"/>
        <v>0</v>
      </c>
      <c r="P93" s="93">
        <f t="shared" ca="1" si="51"/>
        <v>0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1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65">
        <f t="shared" ref="L94:N94" ca="1" si="54">L95+L96</f>
        <v>0</v>
      </c>
      <c r="M94" s="465">
        <f t="shared" ca="1" si="54"/>
        <v>0</v>
      </c>
      <c r="N94" s="465">
        <f t="shared" ca="1" si="54"/>
        <v>0</v>
      </c>
      <c r="O94" s="465">
        <f t="shared" ca="1" si="50"/>
        <v>0</v>
      </c>
      <c r="P94" s="465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2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2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IFERROR(__xludf.DUMMYFUNCTION("IMPORTRANGE(""https://docs.google.com/spreadsheets/d/1MeEWN-I1oV_STSDYn1IFDPWt_1FKiwhDph83XaGc0o0/edit?usp=sharing"",""งบพรบ!AT26"")"),0)</f>
        <v>0</v>
      </c>
      <c r="M96" s="93">
        <f ca="1">IFERROR(__xludf.DUMMYFUNCTION("IMPORTRANGE(""https://docs.google.com/spreadsheets/d/1MeEWN-I1oV_STSDYn1IFDPWt_1FKiwhDph83XaGc0o0/edit?usp=sharing"",""งบพรบ!AW26"")"),0)</f>
        <v>0</v>
      </c>
      <c r="N96" s="93">
        <f ca="1">IFERROR(__xludf.DUMMYFUNCTION("IMPORTRANGE(""https://docs.google.com/spreadsheets/d/1MeEWN-I1oV_STSDYn1IFDPWt_1FKiwhDph83XaGc0o0/edit?usp=sharing"",""งบพรบ!AY26"")"),0)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18" t="s">
        <v>38</v>
      </c>
      <c r="E97" s="173"/>
      <c r="F97" s="173"/>
      <c r="G97" s="174"/>
      <c r="H97" s="726"/>
      <c r="I97" s="184"/>
      <c r="J97" s="269"/>
      <c r="K97" s="465"/>
      <c r="L97" s="465"/>
      <c r="M97" s="465"/>
      <c r="N97" s="465"/>
      <c r="O97" s="163"/>
      <c r="P97" s="163"/>
    </row>
    <row r="98" spans="1:16" ht="18.75">
      <c r="A98" s="170"/>
      <c r="B98" s="171"/>
      <c r="C98" s="171"/>
      <c r="D98" s="415" t="s">
        <v>47</v>
      </c>
      <c r="E98" s="415"/>
      <c r="F98" s="342"/>
      <c r="G98" s="179"/>
      <c r="H98" s="589" t="s">
        <v>46</v>
      </c>
      <c r="I98" s="269">
        <f ca="1">IFERROR(__xludf.DUMMYFUNCTION("IMPORTRANGE(""https://docs.google.com/spreadsheets/d/1QqKyyYR6Q21VydFLVH3TRQUabQu_ym0Zz7PgGX0-kHA/edit?usp=sharing"",""แผน!K26"")"),30)</f>
        <v>30</v>
      </c>
      <c r="J98" s="269">
        <f>J102</f>
        <v>0</v>
      </c>
      <c r="K98" s="465">
        <f t="shared" ref="K98:K100" ca="1" si="55">IF(I98&gt;0,J98*100/I98,0)</f>
        <v>0</v>
      </c>
      <c r="L98" s="465"/>
      <c r="M98" s="465"/>
      <c r="N98" s="465"/>
      <c r="O98" s="163"/>
      <c r="P98" s="163"/>
    </row>
    <row r="99" spans="1:16" ht="18.75">
      <c r="A99" s="170"/>
      <c r="B99" s="171"/>
      <c r="C99" s="171"/>
      <c r="D99" s="415" t="s">
        <v>48</v>
      </c>
      <c r="E99" s="415"/>
      <c r="F99" s="342"/>
      <c r="G99" s="179"/>
      <c r="H99" s="589" t="s">
        <v>35</v>
      </c>
      <c r="I99" s="269">
        <f ca="1">IFERROR(__xludf.DUMMYFUNCTION("IMPORTRANGE(""https://docs.google.com/spreadsheets/d/1QqKyyYR6Q21VydFLVH3TRQUabQu_ym0Zz7PgGX0-kHA/edit?usp=sharing"",""แผน!L26"")"),10)</f>
        <v>10</v>
      </c>
      <c r="J99" s="269">
        <f>J104</f>
        <v>0</v>
      </c>
      <c r="K99" s="465">
        <f t="shared" ca="1" si="55"/>
        <v>0</v>
      </c>
      <c r="L99" s="465"/>
      <c r="M99" s="465"/>
      <c r="N99" s="465"/>
      <c r="O99" s="163"/>
      <c r="P99" s="163"/>
    </row>
    <row r="100" spans="1:16" ht="18.75">
      <c r="A100" s="170"/>
      <c r="B100" s="171"/>
      <c r="C100" s="171"/>
      <c r="D100" s="171"/>
      <c r="E100" s="342"/>
      <c r="F100" s="342"/>
      <c r="G100" s="179"/>
      <c r="H100" s="589" t="s">
        <v>49</v>
      </c>
      <c r="I100" s="269">
        <f ca="1">IFERROR(__xludf.DUMMYFUNCTION("IMPORTRANGE(""https://docs.google.com/spreadsheets/d/1QqKyyYR6Q21VydFLVH3TRQUabQu_ym0Zz7PgGX0-kHA/edit?usp=sharing"",""แผน!M26"")"),2)</f>
        <v>2</v>
      </c>
      <c r="J100" s="269">
        <f>J107+J110</f>
        <v>0</v>
      </c>
      <c r="K100" s="465">
        <f t="shared" ca="1" si="55"/>
        <v>0</v>
      </c>
      <c r="L100" s="465"/>
      <c r="M100" s="465"/>
      <c r="N100" s="465"/>
      <c r="O100" s="163"/>
      <c r="P100" s="163"/>
    </row>
    <row r="101" spans="1:16" ht="19.5">
      <c r="A101" s="170"/>
      <c r="B101" s="171"/>
      <c r="C101" s="171"/>
      <c r="D101" s="342"/>
      <c r="E101" s="191" t="s">
        <v>50</v>
      </c>
      <c r="F101" s="342"/>
      <c r="G101" s="179"/>
      <c r="H101" s="589"/>
      <c r="I101" s="269"/>
      <c r="J101" s="269"/>
      <c r="K101" s="465"/>
      <c r="L101" s="465"/>
      <c r="M101" s="465"/>
      <c r="N101" s="465"/>
      <c r="O101" s="163"/>
      <c r="P101" s="163"/>
    </row>
    <row r="102" spans="1:16" ht="18.75">
      <c r="A102" s="170"/>
      <c r="B102" s="171"/>
      <c r="C102" s="171"/>
      <c r="D102" s="342"/>
      <c r="E102" s="592" t="s">
        <v>47</v>
      </c>
      <c r="F102" s="342"/>
      <c r="G102" s="179"/>
      <c r="H102" s="589" t="s">
        <v>46</v>
      </c>
      <c r="I102" s="269">
        <f ca="1">IFERROR(__xludf.DUMMYFUNCTION("IMPORTRANGE(""https://docs.google.com/spreadsheets/d/1QqKyyYR6Q21VydFLVH3TRQUabQu_ym0Zz7PgGX0-kHA/edit?usp=sharing"",""แผน!N26"")"),30)</f>
        <v>30</v>
      </c>
      <c r="J102" s="214">
        <v>0</v>
      </c>
      <c r="K102" s="465">
        <f t="shared" ref="K102:K104" ca="1" si="56">IF(I102&gt;0,J102*100/I102,0)</f>
        <v>0</v>
      </c>
      <c r="L102" s="465"/>
      <c r="M102" s="465"/>
      <c r="N102" s="465"/>
      <c r="O102" s="163"/>
      <c r="P102" s="163"/>
    </row>
    <row r="103" spans="1:16" ht="19.5">
      <c r="A103" s="170"/>
      <c r="B103" s="171"/>
      <c r="C103" s="171"/>
      <c r="D103" s="342"/>
      <c r="E103" s="415" t="s">
        <v>51</v>
      </c>
      <c r="F103" s="342"/>
      <c r="G103" s="179"/>
      <c r="H103" s="589" t="s">
        <v>35</v>
      </c>
      <c r="I103" s="269">
        <f ca="1">IFERROR(__xludf.DUMMYFUNCTION("IMPORTRANGE(""https://docs.google.com/spreadsheets/d/1QqKyyYR6Q21VydFLVH3TRQUabQu_ym0Zz7PgGX0-kHA/edit?usp=sharing"",""แผน!O26"")"),10)</f>
        <v>10</v>
      </c>
      <c r="J103" s="214">
        <v>0</v>
      </c>
      <c r="K103" s="465">
        <f t="shared" ca="1" si="56"/>
        <v>0</v>
      </c>
      <c r="L103" s="465"/>
      <c r="M103" s="465"/>
      <c r="N103" s="465"/>
      <c r="O103" s="163"/>
      <c r="P103" s="163"/>
    </row>
    <row r="104" spans="1:16" ht="18.75">
      <c r="A104" s="170"/>
      <c r="B104" s="171"/>
      <c r="C104" s="171"/>
      <c r="D104" s="342"/>
      <c r="E104" s="188" t="s">
        <v>52</v>
      </c>
      <c r="F104" s="342"/>
      <c r="G104" s="179"/>
      <c r="H104" s="589" t="s">
        <v>35</v>
      </c>
      <c r="I104" s="269">
        <f ca="1">IFERROR(__xludf.DUMMYFUNCTION("IMPORTRANGE(""https://docs.google.com/spreadsheets/d/1QqKyyYR6Q21VydFLVH3TRQUabQu_ym0Zz7PgGX0-kHA/edit?usp=sharing"",""แผน!O26"")"),10)</f>
        <v>10</v>
      </c>
      <c r="J104" s="214">
        <v>0</v>
      </c>
      <c r="K104" s="465">
        <f t="shared" ca="1" si="56"/>
        <v>0</v>
      </c>
      <c r="L104" s="465"/>
      <c r="M104" s="465"/>
      <c r="N104" s="465"/>
      <c r="O104" s="163"/>
      <c r="P104" s="163"/>
    </row>
    <row r="105" spans="1:16" ht="19.5">
      <c r="A105" s="170"/>
      <c r="B105" s="171"/>
      <c r="C105" s="171"/>
      <c r="D105" s="342"/>
      <c r="E105" s="191" t="s">
        <v>53</v>
      </c>
      <c r="F105" s="342"/>
      <c r="G105" s="179"/>
      <c r="H105" s="189"/>
      <c r="I105" s="269"/>
      <c r="J105" s="269"/>
      <c r="K105" s="465"/>
      <c r="L105" s="465"/>
      <c r="M105" s="465"/>
      <c r="N105" s="465"/>
      <c r="O105" s="163"/>
      <c r="P105" s="163"/>
    </row>
    <row r="106" spans="1:16" ht="19.5">
      <c r="A106" s="170"/>
      <c r="B106" s="171"/>
      <c r="C106" s="171"/>
      <c r="D106" s="342"/>
      <c r="E106" s="415" t="s">
        <v>54</v>
      </c>
      <c r="F106" s="342"/>
      <c r="G106" s="179"/>
      <c r="H106" s="589" t="s">
        <v>49</v>
      </c>
      <c r="I106" s="269">
        <f ca="1">IFERROR(__xludf.DUMMYFUNCTION("IMPORTRANGE(""https://docs.google.com/spreadsheets/d/1QqKyyYR6Q21VydFLVH3TRQUabQu_ym0Zz7PgGX0-kHA/edit?usp=sharing"",""แผน!P26"")"),1)</f>
        <v>1</v>
      </c>
      <c r="J106" s="214">
        <v>0</v>
      </c>
      <c r="K106" s="465">
        <f t="shared" ref="K106:K107" ca="1" si="57">IF(I106&gt;0,J106*100/I106,0)</f>
        <v>0</v>
      </c>
      <c r="L106" s="465"/>
      <c r="M106" s="465"/>
      <c r="N106" s="465"/>
      <c r="O106" s="163"/>
      <c r="P106" s="163"/>
    </row>
    <row r="107" spans="1:16" ht="18.75">
      <c r="A107" s="170"/>
      <c r="B107" s="171"/>
      <c r="C107" s="171"/>
      <c r="D107" s="342"/>
      <c r="E107" s="188" t="s">
        <v>55</v>
      </c>
      <c r="F107" s="342"/>
      <c r="G107" s="179"/>
      <c r="H107" s="589" t="s">
        <v>49</v>
      </c>
      <c r="I107" s="269">
        <f ca="1">IFERROR(__xludf.DUMMYFUNCTION("IMPORTRANGE(""https://docs.google.com/spreadsheets/d/1QqKyyYR6Q21VydFLVH3TRQUabQu_ym0Zz7PgGX0-kHA/edit?usp=sharing"",""แผน!P26"")"),1)</f>
        <v>1</v>
      </c>
      <c r="J107" s="214">
        <v>0</v>
      </c>
      <c r="K107" s="465">
        <f t="shared" ca="1" si="57"/>
        <v>0</v>
      </c>
      <c r="L107" s="465"/>
      <c r="M107" s="465"/>
      <c r="N107" s="465"/>
      <c r="O107" s="163"/>
      <c r="P107" s="163"/>
    </row>
    <row r="108" spans="1:16" ht="19.5">
      <c r="A108" s="170"/>
      <c r="B108" s="171"/>
      <c r="C108" s="171"/>
      <c r="D108" s="342"/>
      <c r="E108" s="191" t="s">
        <v>56</v>
      </c>
      <c r="F108" s="342"/>
      <c r="G108" s="179"/>
      <c r="H108" s="189"/>
      <c r="I108" s="269"/>
      <c r="J108" s="269"/>
      <c r="K108" s="465"/>
      <c r="L108" s="465"/>
      <c r="M108" s="465"/>
      <c r="N108" s="465"/>
      <c r="O108" s="163"/>
      <c r="P108" s="163"/>
    </row>
    <row r="109" spans="1:16" ht="19.5">
      <c r="A109" s="170"/>
      <c r="B109" s="171"/>
      <c r="C109" s="171"/>
      <c r="D109" s="342"/>
      <c r="E109" s="415" t="s">
        <v>57</v>
      </c>
      <c r="F109" s="342"/>
      <c r="G109" s="179"/>
      <c r="H109" s="589" t="s">
        <v>49</v>
      </c>
      <c r="I109" s="269">
        <f ca="1">IFERROR(__xludf.DUMMYFUNCTION("IMPORTRANGE(""https://docs.google.com/spreadsheets/d/1QqKyyYR6Q21VydFLVH3TRQUabQu_ym0Zz7PgGX0-kHA/edit?usp=sharing"",""แผน!Q26"")"),1)</f>
        <v>1</v>
      </c>
      <c r="J109" s="214">
        <v>0</v>
      </c>
      <c r="K109" s="465">
        <f t="shared" ref="K109:K116" ca="1" si="58">IF(I109&gt;0,J109*100/I109,0)</f>
        <v>0</v>
      </c>
      <c r="L109" s="465"/>
      <c r="M109" s="465"/>
      <c r="N109" s="465"/>
      <c r="O109" s="163"/>
      <c r="P109" s="163"/>
    </row>
    <row r="110" spans="1:16" ht="18.75">
      <c r="A110" s="170"/>
      <c r="B110" s="171"/>
      <c r="C110" s="171"/>
      <c r="D110" s="342"/>
      <c r="E110" s="190" t="s">
        <v>58</v>
      </c>
      <c r="F110" s="342"/>
      <c r="G110" s="179"/>
      <c r="H110" s="589" t="s">
        <v>49</v>
      </c>
      <c r="I110" s="269">
        <f ca="1">IFERROR(__xludf.DUMMYFUNCTION("IMPORTRANGE(""https://docs.google.com/spreadsheets/d/1QqKyyYR6Q21VydFLVH3TRQUabQu_ym0Zz7PgGX0-kHA/edit?usp=sharing"",""แผน!Q26"")"),1)</f>
        <v>1</v>
      </c>
      <c r="J110" s="214">
        <v>0</v>
      </c>
      <c r="K110" s="465">
        <f t="shared" ca="1" si="58"/>
        <v>0</v>
      </c>
      <c r="L110" s="465"/>
      <c r="M110" s="465"/>
      <c r="N110" s="465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342"/>
      <c r="G111" s="179"/>
      <c r="H111" s="731" t="s">
        <v>35</v>
      </c>
      <c r="I111" s="193">
        <f ca="1">IFERROR(__xludf.DUMMYFUNCTION("IMPORTRANGE(""https://docs.google.com/spreadsheets/d/1QqKyyYR6Q21VydFLVH3TRQUabQu_ym0Zz7PgGX0-kHA/edit?usp=sharing"",""แผน!R26"")"),10)</f>
        <v>10</v>
      </c>
      <c r="J111" s="647">
        <f>J114</f>
        <v>0</v>
      </c>
      <c r="K111" s="195">
        <f t="shared" ca="1" si="58"/>
        <v>0</v>
      </c>
      <c r="L111" s="465"/>
      <c r="M111" s="465"/>
      <c r="N111" s="465"/>
      <c r="O111" s="163"/>
      <c r="P111" s="163"/>
    </row>
    <row r="112" spans="1:16" ht="19.5">
      <c r="A112" s="170"/>
      <c r="B112" s="171"/>
      <c r="C112" s="171"/>
      <c r="D112" s="171"/>
      <c r="E112" s="342"/>
      <c r="F112" s="342"/>
      <c r="G112" s="179"/>
      <c r="H112" s="196" t="s">
        <v>49</v>
      </c>
      <c r="I112" s="193">
        <f t="shared" ref="I112:J112" ca="1" si="59">I115+I116</f>
        <v>2</v>
      </c>
      <c r="J112" s="647">
        <f t="shared" si="59"/>
        <v>0</v>
      </c>
      <c r="K112" s="195">
        <f t="shared" ca="1" si="58"/>
        <v>0</v>
      </c>
      <c r="L112" s="465"/>
      <c r="M112" s="465"/>
      <c r="N112" s="465"/>
      <c r="O112" s="163"/>
      <c r="P112" s="163"/>
    </row>
    <row r="113" spans="1:26" ht="19.5">
      <c r="A113" s="170"/>
      <c r="B113" s="171"/>
      <c r="C113" s="171"/>
      <c r="D113" s="171"/>
      <c r="E113" s="494" t="s">
        <v>60</v>
      </c>
      <c r="F113" s="342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IFERROR(__xludf.DUMMYFUNCTION("IMPORTRANGE(""https://docs.google.com/spreadsheets/d/1QqKyyYR6Q21VydFLVH3TRQUabQu_ym0Zz7PgGX0-kHA/edit?usp=sharing"",""แผน!R26"")"),10)</f>
        <v>10</v>
      </c>
      <c r="J113" s="214">
        <v>0</v>
      </c>
      <c r="K113" s="465">
        <f t="shared" ca="1" si="58"/>
        <v>0</v>
      </c>
      <c r="L113" s="465"/>
      <c r="M113" s="465"/>
      <c r="N113" s="465"/>
      <c r="O113" s="163"/>
      <c r="P113" s="163"/>
    </row>
    <row r="114" spans="1:26" ht="19.5">
      <c r="A114" s="170"/>
      <c r="B114" s="171"/>
      <c r="C114" s="171"/>
      <c r="D114" s="171"/>
      <c r="E114" s="415" t="s">
        <v>61</v>
      </c>
      <c r="F114" s="342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IFERROR(__xludf.DUMMYFUNCTION("IMPORTRANGE(""https://docs.google.com/spreadsheets/d/1QqKyyYR6Q21VydFLVH3TRQUabQu_ym0Zz7PgGX0-kHA/edit?usp=sharing"",""แผน!R26"")"),10)</f>
        <v>10</v>
      </c>
      <c r="J114" s="214">
        <v>0</v>
      </c>
      <c r="K114" s="465">
        <f t="shared" ca="1" si="58"/>
        <v>0</v>
      </c>
      <c r="L114" s="465"/>
      <c r="M114" s="465"/>
      <c r="N114" s="465"/>
      <c r="O114" s="163"/>
      <c r="P114" s="163"/>
    </row>
    <row r="115" spans="1:26" ht="18.75">
      <c r="A115" s="170"/>
      <c r="B115" s="171"/>
      <c r="C115" s="171"/>
      <c r="D115" s="171"/>
      <c r="E115" s="415" t="s">
        <v>62</v>
      </c>
      <c r="F115" s="342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IFERROR(__xludf.DUMMYFUNCTION("IMPORTRANGE(""https://docs.google.com/spreadsheets/d/1QqKyyYR6Q21VydFLVH3TRQUabQu_ym0Zz7PgGX0-kHA/edit?usp=sharing"",""แผน!S26"")"),1)</f>
        <v>1</v>
      </c>
      <c r="J115" s="214">
        <v>0</v>
      </c>
      <c r="K115" s="465">
        <f t="shared" ca="1" si="58"/>
        <v>0</v>
      </c>
      <c r="L115" s="465"/>
      <c r="M115" s="465"/>
      <c r="N115" s="465"/>
      <c r="O115" s="163"/>
      <c r="P115" s="163"/>
    </row>
    <row r="116" spans="1:26" ht="18.75">
      <c r="A116" s="170"/>
      <c r="B116" s="171"/>
      <c r="C116" s="171"/>
      <c r="D116" s="171"/>
      <c r="E116" s="415" t="s">
        <v>63</v>
      </c>
      <c r="F116" s="342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IFERROR(__xludf.DUMMYFUNCTION("IMPORTRANGE(""https://docs.google.com/spreadsheets/d/1QqKyyYR6Q21VydFLVH3TRQUabQu_ym0Zz7PgGX0-kHA/edit?usp=sharing"",""แผน!T26"")"),1)</f>
        <v>1</v>
      </c>
      <c r="J116" s="214">
        <v>0</v>
      </c>
      <c r="K116" s="465">
        <f t="shared" ca="1" si="58"/>
        <v>0</v>
      </c>
      <c r="L116" s="465"/>
      <c r="M116" s="465"/>
      <c r="N116" s="465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8" t="s">
        <v>65</v>
      </c>
      <c r="C118" s="204"/>
      <c r="D118" s="141"/>
      <c r="E118" s="140"/>
      <c r="F118" s="140"/>
      <c r="G118" s="142"/>
      <c r="H118" s="143"/>
      <c r="I118" s="205"/>
      <c r="J118" s="205"/>
      <c r="K118" s="146"/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17" t="s">
        <v>17</v>
      </c>
      <c r="E119" s="148"/>
      <c r="F119" s="148"/>
      <c r="G119" s="151"/>
      <c r="H119" s="152" t="s">
        <v>12</v>
      </c>
      <c r="I119" s="388"/>
      <c r="J119" s="388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2" t="s">
        <v>18</v>
      </c>
      <c r="F120" s="40"/>
      <c r="G120" s="157"/>
      <c r="H120" s="158" t="s">
        <v>12</v>
      </c>
      <c r="I120" s="583"/>
      <c r="J120" s="583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2" t="s">
        <v>19</v>
      </c>
      <c r="F121" s="40"/>
      <c r="G121" s="157"/>
      <c r="H121" s="158" t="s">
        <v>12</v>
      </c>
      <c r="I121" s="583"/>
      <c r="J121" s="583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1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65">
        <f t="shared" ref="L122:N122" ca="1" si="64">L123+L124</f>
        <v>0</v>
      </c>
      <c r="M122" s="465">
        <f t="shared" ca="1" si="64"/>
        <v>0</v>
      </c>
      <c r="N122" s="465">
        <f t="shared" ca="1" si="64"/>
        <v>0</v>
      </c>
      <c r="O122" s="465">
        <f t="shared" ca="1" si="61"/>
        <v>0</v>
      </c>
      <c r="P122" s="465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2"/>
      <c r="D123" s="40"/>
      <c r="E123" s="222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2"/>
      <c r="D124" s="40"/>
      <c r="E124" s="222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IFERROR(__xludf.DUMMYFUNCTION("IMPORTRANGE(""https://docs.google.com/spreadsheets/d/1MeEWN-I1oV_STSDYn1IFDPWt_1FKiwhDph83XaGc0o0/edit?usp=sharing"",""งบพรบ!BA26"")"),0)</f>
        <v>0</v>
      </c>
      <c r="M124" s="93">
        <f ca="1">IFERROR(__xludf.DUMMYFUNCTION("IMPORTRANGE(""https://docs.google.com/spreadsheets/d/1MeEWN-I1oV_STSDYn1IFDPWt_1FKiwhDph83XaGc0o0/edit?usp=sharing"",""งบพรบ!BF26"")"),0)</f>
        <v>0</v>
      </c>
      <c r="N124" s="93">
        <f ca="1">IFERROR(__xludf.DUMMYFUNCTION("IMPORTRANGE(""https://docs.google.com/spreadsheets/d/1MeEWN-I1oV_STSDYn1IFDPWt_1FKiwhDph83XaGc0o0/edit?usp=sharing"",""งบพรบ!BH26"")"),0)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1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65">
        <f t="shared" ref="L125:N125" ca="1" si="65">L126+L127</f>
        <v>0</v>
      </c>
      <c r="M125" s="465">
        <f t="shared" ca="1" si="65"/>
        <v>0</v>
      </c>
      <c r="N125" s="465">
        <f t="shared" ca="1" si="65"/>
        <v>0</v>
      </c>
      <c r="O125" s="465">
        <f t="shared" ca="1" si="61"/>
        <v>0</v>
      </c>
      <c r="P125" s="465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2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2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IFERROR(__xludf.DUMMYFUNCTION("IMPORTRANGE(""https://docs.google.com/spreadsheets/d/1MeEWN-I1oV_STSDYn1IFDPWt_1FKiwhDph83XaGc0o0/edit?usp=sharing"",""งบพรบ!BD26"")"),0)</f>
        <v>0</v>
      </c>
      <c r="M127" s="93">
        <f ca="1">IFERROR(__xludf.DUMMYFUNCTION("IMPORTRANGE(""https://docs.google.com/spreadsheets/d/1MeEWN-I1oV_STSDYn1IFDPWt_1FKiwhDph83XaGc0o0/edit?usp=sharing"",""งบพรบ!BG26"")"),0)</f>
        <v>0</v>
      </c>
      <c r="N127" s="93">
        <f ca="1">IFERROR(__xludf.DUMMYFUNCTION("IMPORTRANGE(""https://docs.google.com/spreadsheets/d/1MeEWN-I1oV_STSDYn1IFDPWt_1FKiwhDph83XaGc0o0/edit?usp=sharing"",""งบพรบ!BI26"")"),0)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66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8" t="s">
        <v>67</v>
      </c>
      <c r="C129" s="204"/>
      <c r="D129" s="141"/>
      <c r="E129" s="140"/>
      <c r="F129" s="140"/>
      <c r="G129" s="140"/>
      <c r="H129" s="207"/>
      <c r="I129" s="205"/>
      <c r="J129" s="205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8"/>
      <c r="C130" s="209" t="s">
        <v>68</v>
      </c>
      <c r="D130" s="141"/>
      <c r="E130" s="140"/>
      <c r="F130" s="140"/>
      <c r="G130" s="142"/>
      <c r="H130" s="143" t="s">
        <v>69</v>
      </c>
      <c r="I130" s="144">
        <f t="shared" ref="I130:J130" ca="1" si="66">I146</f>
        <v>0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8"/>
      <c r="C131" s="209" t="s">
        <v>70</v>
      </c>
      <c r="D131" s="141"/>
      <c r="E131" s="140"/>
      <c r="F131" s="140"/>
      <c r="G131" s="142"/>
      <c r="H131" s="143" t="s">
        <v>35</v>
      </c>
      <c r="I131" s="144">
        <f t="shared" ref="I131:J131" ca="1" si="68">I143</f>
        <v>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817" t="s">
        <v>17</v>
      </c>
      <c r="E132" s="148"/>
      <c r="F132" s="148"/>
      <c r="G132" s="151"/>
      <c r="H132" s="152" t="s">
        <v>12</v>
      </c>
      <c r="I132" s="388"/>
      <c r="J132" s="388"/>
      <c r="K132" s="154"/>
      <c r="L132" s="155">
        <f t="shared" ref="L132:N132" ca="1" si="69">L133+L134</f>
        <v>0</v>
      </c>
      <c r="M132" s="155">
        <f t="shared" ca="1" si="69"/>
        <v>0</v>
      </c>
      <c r="N132" s="155">
        <f t="shared" ca="1" si="69"/>
        <v>0</v>
      </c>
      <c r="O132" s="155">
        <f t="shared" ref="O132:O140" ca="1" si="70">IF(L132&gt;0,N132*100/L132,0)</f>
        <v>0</v>
      </c>
      <c r="P132" s="155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2" t="s">
        <v>18</v>
      </c>
      <c r="F133" s="40"/>
      <c r="G133" s="157"/>
      <c r="H133" s="158" t="s">
        <v>12</v>
      </c>
      <c r="I133" s="583"/>
      <c r="J133" s="583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2" t="s">
        <v>19</v>
      </c>
      <c r="F134" s="40"/>
      <c r="G134" s="157"/>
      <c r="H134" s="158" t="s">
        <v>12</v>
      </c>
      <c r="I134" s="583"/>
      <c r="J134" s="583"/>
      <c r="K134" s="93"/>
      <c r="L134" s="93">
        <f t="shared" ca="1" si="72"/>
        <v>0</v>
      </c>
      <c r="M134" s="93">
        <f t="shared" ca="1" si="72"/>
        <v>0</v>
      </c>
      <c r="N134" s="93">
        <f t="shared" ca="1" si="72"/>
        <v>0</v>
      </c>
      <c r="O134" s="93">
        <f t="shared" ca="1" si="70"/>
        <v>0</v>
      </c>
      <c r="P134" s="93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1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65">
        <f t="shared" ref="L135:N135" ca="1" si="73">L136+L137</f>
        <v>0</v>
      </c>
      <c r="M135" s="465">
        <f t="shared" ca="1" si="73"/>
        <v>0</v>
      </c>
      <c r="N135" s="465">
        <f t="shared" ca="1" si="73"/>
        <v>0</v>
      </c>
      <c r="O135" s="465">
        <f t="shared" ca="1" si="70"/>
        <v>0</v>
      </c>
      <c r="P135" s="465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2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2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IFERROR(__xludf.DUMMYFUNCTION("IMPORTRANGE(""https://docs.google.com/spreadsheets/d/1MeEWN-I1oV_STSDYn1IFDPWt_1FKiwhDph83XaGc0o0/edit?usp=sharing"",""งบพรบ!BK26"")"),0)</f>
        <v>0</v>
      </c>
      <c r="M137" s="93">
        <f ca="1">IFERROR(__xludf.DUMMYFUNCTION("IMPORTRANGE(""https://docs.google.com/spreadsheets/d/1MeEWN-I1oV_STSDYn1IFDPWt_1FKiwhDph83XaGc0o0/edit?usp=sharing"",""งบพรบ!BP26"")"),0)</f>
        <v>0</v>
      </c>
      <c r="N137" s="93">
        <f ca="1">IFERROR(__xludf.DUMMYFUNCTION("IMPORTRANGE(""https://docs.google.com/spreadsheets/d/1MeEWN-I1oV_STSDYn1IFDPWt_1FKiwhDph83XaGc0o0/edit?usp=sharing"",""งบพรบ!BR26"")"),0)</f>
        <v>0</v>
      </c>
      <c r="O137" s="93">
        <f t="shared" ca="1" si="70"/>
        <v>0</v>
      </c>
      <c r="P137" s="93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1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65">
        <f t="shared" ref="L138:N138" ca="1" si="74">L139+L140</f>
        <v>0</v>
      </c>
      <c r="M138" s="465">
        <f t="shared" ca="1" si="74"/>
        <v>0</v>
      </c>
      <c r="N138" s="465">
        <f t="shared" ca="1" si="74"/>
        <v>0</v>
      </c>
      <c r="O138" s="465">
        <f t="shared" ca="1" si="70"/>
        <v>0</v>
      </c>
      <c r="P138" s="465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2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2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IFERROR(__xludf.DUMMYFUNCTION("IMPORTRANGE(""https://docs.google.com/spreadsheets/d/1MeEWN-I1oV_STSDYn1IFDPWt_1FKiwhDph83XaGc0o0/edit?usp=sharing"",""งบพรบ!BN26"")"),0)</f>
        <v>0</v>
      </c>
      <c r="M140" s="93">
        <f ca="1">IFERROR(__xludf.DUMMYFUNCTION("IMPORTRANGE(""https://docs.google.com/spreadsheets/d/1MeEWN-I1oV_STSDYn1IFDPWt_1FKiwhDph83XaGc0o0/edit?usp=sharing"",""งบพรบ!BQ26"")"),0)</f>
        <v>0</v>
      </c>
      <c r="N140" s="93">
        <f ca="1">IFERROR(__xludf.DUMMYFUNCTION("IMPORTRANGE(""https://docs.google.com/spreadsheets/d/1MeEWN-I1oV_STSDYn1IFDPWt_1FKiwhDph83XaGc0o0/edit?usp=sharing"",""งบพรบ!BS26"")"),0)</f>
        <v>0</v>
      </c>
      <c r="O140" s="93">
        <f t="shared" ca="1" si="70"/>
        <v>0</v>
      </c>
      <c r="P140" s="93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818" t="s">
        <v>38</v>
      </c>
      <c r="E141" s="173"/>
      <c r="F141" s="173"/>
      <c r="G141" s="174"/>
      <c r="H141" s="168"/>
      <c r="I141" s="269"/>
      <c r="J141" s="269"/>
      <c r="K141" s="465"/>
      <c r="L141" s="465"/>
      <c r="M141" s="465"/>
      <c r="N141" s="465"/>
      <c r="O141" s="465"/>
      <c r="P141" s="465"/>
    </row>
    <row r="142" spans="1:26" ht="19.5" hidden="1">
      <c r="A142" s="159"/>
      <c r="B142" s="33"/>
      <c r="C142" s="210"/>
      <c r="D142" s="281" t="s">
        <v>71</v>
      </c>
      <c r="E142" s="34"/>
      <c r="F142" s="33"/>
      <c r="G142" s="213"/>
      <c r="H142" s="168"/>
      <c r="I142" s="269"/>
      <c r="J142" s="214">
        <v>0</v>
      </c>
      <c r="K142" s="465"/>
      <c r="L142" s="465"/>
      <c r="M142" s="465"/>
      <c r="N142" s="465"/>
      <c r="O142" s="465"/>
      <c r="P142" s="465"/>
    </row>
    <row r="143" spans="1:26" ht="19.5" hidden="1">
      <c r="A143" s="159"/>
      <c r="B143" s="33"/>
      <c r="C143" s="210"/>
      <c r="D143" s="281" t="s">
        <v>72</v>
      </c>
      <c r="E143" s="34"/>
      <c r="F143" s="33"/>
      <c r="G143" s="213"/>
      <c r="H143" s="168" t="s">
        <v>35</v>
      </c>
      <c r="I143" s="269">
        <f ca="1">I145</f>
        <v>0</v>
      </c>
      <c r="J143" s="269">
        <f ca="1">IF(AND(J144&gt;=I144,J145&gt;=I145),J145,0)</f>
        <v>0</v>
      </c>
      <c r="K143" s="465">
        <f t="shared" ref="K143:K146" ca="1" si="75">IF(I143&gt;0,J143*100/I143,0)</f>
        <v>0</v>
      </c>
      <c r="L143" s="465"/>
      <c r="M143" s="465"/>
      <c r="N143" s="465"/>
      <c r="O143" s="465"/>
      <c r="P143" s="465"/>
    </row>
    <row r="144" spans="1:26" ht="19.5" hidden="1">
      <c r="A144" s="159"/>
      <c r="B144" s="33"/>
      <c r="C144" s="210"/>
      <c r="D144" s="342"/>
      <c r="E144" s="281" t="s">
        <v>73</v>
      </c>
      <c r="F144" s="33"/>
      <c r="G144" s="213"/>
      <c r="H144" s="168" t="s">
        <v>35</v>
      </c>
      <c r="I144" s="269">
        <f ca="1">IFERROR(__xludf.DUMMYFUNCTION("IMPORTRANGE(""https://docs.google.com/spreadsheets/d/1QqKyyYR6Q21VydFLVH3TRQUabQu_ym0Zz7PgGX0-kHA/edit?usp=sharing"",""แผน!U26"")"),0)</f>
        <v>0</v>
      </c>
      <c r="J144" s="214">
        <v>0</v>
      </c>
      <c r="K144" s="465">
        <f t="shared" ca="1" si="75"/>
        <v>0</v>
      </c>
      <c r="L144" s="465"/>
      <c r="M144" s="465"/>
      <c r="N144" s="465"/>
      <c r="O144" s="465"/>
      <c r="P144" s="465"/>
    </row>
    <row r="145" spans="1:26" ht="19.5" hidden="1">
      <c r="A145" s="159"/>
      <c r="B145" s="33"/>
      <c r="C145" s="210"/>
      <c r="D145" s="342"/>
      <c r="E145" s="281" t="s">
        <v>74</v>
      </c>
      <c r="F145" s="33"/>
      <c r="G145" s="213"/>
      <c r="H145" s="168" t="s">
        <v>35</v>
      </c>
      <c r="I145" s="269">
        <f ca="1">IFERROR(__xludf.DUMMYFUNCTION("IMPORTRANGE(""https://docs.google.com/spreadsheets/d/1QqKyyYR6Q21VydFLVH3TRQUabQu_ym0Zz7PgGX0-kHA/edit?usp=sharing"",""แผน!V26"")"),0)</f>
        <v>0</v>
      </c>
      <c r="J145" s="214">
        <v>0</v>
      </c>
      <c r="K145" s="465">
        <f t="shared" ca="1" si="75"/>
        <v>0</v>
      </c>
      <c r="L145" s="465"/>
      <c r="M145" s="465"/>
      <c r="N145" s="465"/>
      <c r="O145" s="465"/>
      <c r="P145" s="465"/>
    </row>
    <row r="146" spans="1:26" ht="19.5" hidden="1">
      <c r="A146" s="159"/>
      <c r="B146" s="33"/>
      <c r="C146" s="210"/>
      <c r="D146" s="281" t="s">
        <v>75</v>
      </c>
      <c r="E146" s="34"/>
      <c r="F146" s="33"/>
      <c r="G146" s="213"/>
      <c r="H146" s="168" t="s">
        <v>69</v>
      </c>
      <c r="I146" s="269">
        <f ca="1">IFERROR(__xludf.DUMMYFUNCTION("IMPORTRANGE(""https://docs.google.com/spreadsheets/d/1QqKyyYR6Q21VydFLVH3TRQUabQu_ym0Zz7PgGX0-kHA/edit?usp=sharing"",""แผน!W26"")"),0)</f>
        <v>0</v>
      </c>
      <c r="J146" s="214">
        <v>0</v>
      </c>
      <c r="K146" s="465">
        <f t="shared" ca="1" si="75"/>
        <v>0</v>
      </c>
      <c r="L146" s="465"/>
      <c r="M146" s="465"/>
      <c r="N146" s="465"/>
      <c r="O146" s="465"/>
      <c r="P146" s="465"/>
    </row>
    <row r="147" spans="1:26" ht="19.5" hidden="1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 hidden="1">
      <c r="A148" s="216"/>
      <c r="B148" s="208" t="s">
        <v>77</v>
      </c>
      <c r="C148" s="208"/>
      <c r="D148" s="208"/>
      <c r="E148" s="819"/>
      <c r="F148" s="218"/>
      <c r="G148" s="219"/>
      <c r="H148" s="220" t="s">
        <v>35</v>
      </c>
      <c r="I148" s="144">
        <f t="shared" ref="I148:J148" ca="1" si="76">I159</f>
        <v>0</v>
      </c>
      <c r="J148" s="144">
        <f t="shared" si="76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1"/>
      <c r="R148" s="221"/>
      <c r="S148" s="221"/>
      <c r="T148" s="221"/>
      <c r="U148" s="221"/>
      <c r="V148" s="221"/>
      <c r="W148" s="221"/>
      <c r="X148" s="221"/>
      <c r="Y148" s="221"/>
      <c r="Z148" s="221"/>
    </row>
    <row r="149" spans="1:26" ht="19.5" hidden="1">
      <c r="A149" s="147"/>
      <c r="B149" s="148"/>
      <c r="C149" s="149" t="s">
        <v>16</v>
      </c>
      <c r="D149" s="817" t="s">
        <v>17</v>
      </c>
      <c r="E149" s="148"/>
      <c r="F149" s="148"/>
      <c r="G149" s="151"/>
      <c r="H149" s="152" t="s">
        <v>12</v>
      </c>
      <c r="I149" s="388"/>
      <c r="J149" s="388"/>
      <c r="K149" s="154"/>
      <c r="L149" s="155">
        <f t="shared" ref="L149:N149" ca="1" si="77">L150+L151</f>
        <v>0</v>
      </c>
      <c r="M149" s="155">
        <f t="shared" ca="1" si="77"/>
        <v>0</v>
      </c>
      <c r="N149" s="155">
        <f t="shared" ca="1" si="77"/>
        <v>0</v>
      </c>
      <c r="O149" s="155">
        <f t="shared" ref="O149:O157" ca="1" si="78">IF(L149&gt;0,N149*100/L149,0)</f>
        <v>0</v>
      </c>
      <c r="P149" s="155">
        <f t="shared" ref="P149:P157" ca="1" si="79">IF(M149&gt;0,N149*100/M149,0)</f>
        <v>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2" t="s">
        <v>18</v>
      </c>
      <c r="F150" s="40"/>
      <c r="G150" s="157"/>
      <c r="H150" s="158" t="s">
        <v>12</v>
      </c>
      <c r="I150" s="583"/>
      <c r="J150" s="583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2" t="s">
        <v>19</v>
      </c>
      <c r="F151" s="40"/>
      <c r="G151" s="157"/>
      <c r="H151" s="158" t="s">
        <v>12</v>
      </c>
      <c r="I151" s="583"/>
      <c r="J151" s="583"/>
      <c r="K151" s="93"/>
      <c r="L151" s="93">
        <f t="shared" ca="1" si="80"/>
        <v>0</v>
      </c>
      <c r="M151" s="93">
        <f t="shared" ca="1" si="80"/>
        <v>0</v>
      </c>
      <c r="N151" s="93">
        <f t="shared" ca="1" si="80"/>
        <v>0</v>
      </c>
      <c r="O151" s="93">
        <f t="shared" ca="1" si="78"/>
        <v>0</v>
      </c>
      <c r="P151" s="93">
        <f t="shared" ca="1" si="79"/>
        <v>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 hidden="1">
      <c r="A152" s="159"/>
      <c r="B152" s="33"/>
      <c r="C152" s="281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65">
        <f t="shared" ref="L152:N152" ca="1" si="81">L153+L154</f>
        <v>0</v>
      </c>
      <c r="M152" s="465">
        <f t="shared" ca="1" si="81"/>
        <v>0</v>
      </c>
      <c r="N152" s="465">
        <f t="shared" ca="1" si="81"/>
        <v>0</v>
      </c>
      <c r="O152" s="465">
        <f t="shared" ca="1" si="78"/>
        <v>0</v>
      </c>
      <c r="P152" s="465">
        <f t="shared" ca="1" si="79"/>
        <v>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2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2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IFERROR(__xludf.DUMMYFUNCTION("IMPORTRANGE(""https://docs.google.com/spreadsheets/d/1MeEWN-I1oV_STSDYn1IFDPWt_1FKiwhDph83XaGc0o0/edit?usp=sharing"",""งบพรบ!BU26"")"),0)</f>
        <v>0</v>
      </c>
      <c r="M154" s="93">
        <f ca="1">IFERROR(__xludf.DUMMYFUNCTION("IMPORTRANGE(""https://docs.google.com/spreadsheets/d/1MeEWN-I1oV_STSDYn1IFDPWt_1FKiwhDph83XaGc0o0/edit?usp=sharing"",""งบพรบ!BZ26"")"),0)</f>
        <v>0</v>
      </c>
      <c r="N154" s="93">
        <f ca="1">IFERROR(__xludf.DUMMYFUNCTION("IMPORTRANGE(""https://docs.google.com/spreadsheets/d/1MeEWN-I1oV_STSDYn1IFDPWt_1FKiwhDph83XaGc0o0/edit?usp=sharing"",""งบพรบ!CB26"")"),0)</f>
        <v>0</v>
      </c>
      <c r="O154" s="93">
        <f t="shared" ca="1" si="78"/>
        <v>0</v>
      </c>
      <c r="P154" s="93">
        <f t="shared" ca="1" si="79"/>
        <v>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 hidden="1">
      <c r="A155" s="159"/>
      <c r="B155" s="33"/>
      <c r="C155" s="281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65">
        <f t="shared" ref="L155:N155" ca="1" si="82">L156+L157</f>
        <v>0</v>
      </c>
      <c r="M155" s="465">
        <f t="shared" ca="1" si="82"/>
        <v>0</v>
      </c>
      <c r="N155" s="465">
        <f t="shared" ca="1" si="82"/>
        <v>0</v>
      </c>
      <c r="O155" s="465">
        <f t="shared" ca="1" si="78"/>
        <v>0</v>
      </c>
      <c r="P155" s="465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2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2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IFERROR(__xludf.DUMMYFUNCTION("IMPORTRANGE(""https://docs.google.com/spreadsheets/d/1MeEWN-I1oV_STSDYn1IFDPWt_1FKiwhDph83XaGc0o0/edit?usp=sharing"",""งบพรบ!BX26"")"),0)</f>
        <v>0</v>
      </c>
      <c r="M157" s="93">
        <f ca="1">IFERROR(__xludf.DUMMYFUNCTION("IMPORTRANGE(""https://docs.google.com/spreadsheets/d/1MeEWN-I1oV_STSDYn1IFDPWt_1FKiwhDph83XaGc0o0/edit?usp=sharing"",""งบพรบ!CA26"")"),0)</f>
        <v>0</v>
      </c>
      <c r="N157" s="93">
        <f ca="1">IFERROR(__xludf.DUMMYFUNCTION("IMPORTRANGE(""https://docs.google.com/spreadsheets/d/1MeEWN-I1oV_STSDYn1IFDPWt_1FKiwhDph83XaGc0o0/edit?usp=sharing"",""งบพรบ!CC26"")"),0)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 hidden="1">
      <c r="A158" s="170"/>
      <c r="B158" s="171"/>
      <c r="C158" s="164" t="s">
        <v>16</v>
      </c>
      <c r="D158" s="818" t="s">
        <v>38</v>
      </c>
      <c r="E158" s="173"/>
      <c r="F158" s="173"/>
      <c r="G158" s="174"/>
      <c r="H158" s="168"/>
      <c r="I158" s="269"/>
      <c r="J158" s="269"/>
      <c r="K158" s="465"/>
      <c r="L158" s="465"/>
      <c r="M158" s="465"/>
      <c r="N158" s="465"/>
      <c r="O158" s="465"/>
      <c r="P158" s="465"/>
    </row>
    <row r="159" spans="1:26" ht="19.5" hidden="1">
      <c r="A159" s="159"/>
      <c r="B159" s="33"/>
      <c r="C159" s="210"/>
      <c r="D159" s="281" t="s">
        <v>78</v>
      </c>
      <c r="E159" s="34"/>
      <c r="F159" s="33"/>
      <c r="G159" s="213"/>
      <c r="H159" s="168" t="s">
        <v>35</v>
      </c>
      <c r="I159" s="269">
        <f ca="1">IFERROR(__xludf.DUMMYFUNCTION("IMPORTRANGE(""https://docs.google.com/spreadsheets/d/1QqKyyYR6Q21VydFLVH3TRQUabQu_ym0Zz7PgGX0-kHA/edit?usp=sharing"",""แผน!X26"")"),0)</f>
        <v>0</v>
      </c>
      <c r="J159" s="214">
        <v>0</v>
      </c>
      <c r="K159" s="465">
        <f ca="1">IF(I159&gt;0,J159*100/I159,0)</f>
        <v>0</v>
      </c>
      <c r="L159" s="465"/>
      <c r="M159" s="465"/>
      <c r="N159" s="465"/>
      <c r="O159" s="465"/>
      <c r="P159" s="465"/>
    </row>
    <row r="160" spans="1:26" ht="19.5" hidden="1">
      <c r="A160" s="156"/>
      <c r="B160" s="40"/>
      <c r="C160" s="164"/>
      <c r="D160" s="222" t="s">
        <v>79</v>
      </c>
      <c r="E160" s="223"/>
      <c r="F160" s="40"/>
      <c r="G160" s="157"/>
      <c r="H160" s="169" t="s">
        <v>35</v>
      </c>
      <c r="I160" s="583"/>
      <c r="J160" s="583"/>
      <c r="K160" s="93"/>
      <c r="L160" s="93"/>
      <c r="M160" s="93"/>
      <c r="N160" s="93"/>
      <c r="O160" s="93"/>
      <c r="P160" s="93"/>
      <c r="Q160" s="224"/>
      <c r="R160" s="224"/>
      <c r="S160" s="224"/>
      <c r="T160" s="224"/>
      <c r="U160" s="224"/>
      <c r="V160" s="224"/>
      <c r="W160" s="224"/>
      <c r="X160" s="224"/>
      <c r="Y160" s="224"/>
      <c r="Z160" s="224"/>
    </row>
    <row r="161" spans="1:26" ht="19.5" hidden="1">
      <c r="A161" s="225"/>
      <c r="B161" s="226"/>
      <c r="C161" s="227"/>
      <c r="D161" s="228" t="s">
        <v>80</v>
      </c>
      <c r="E161" s="820"/>
      <c r="F161" s="226"/>
      <c r="G161" s="230"/>
      <c r="H161" s="231" t="s">
        <v>35</v>
      </c>
      <c r="I161" s="232"/>
      <c r="J161" s="232"/>
      <c r="K161" s="233"/>
      <c r="L161" s="233"/>
      <c r="M161" s="233"/>
      <c r="N161" s="233"/>
      <c r="O161" s="233"/>
      <c r="P161" s="233"/>
      <c r="Q161" s="224"/>
      <c r="R161" s="224"/>
      <c r="S161" s="224"/>
      <c r="T161" s="224"/>
      <c r="U161" s="224"/>
      <c r="V161" s="224"/>
      <c r="W161" s="224"/>
      <c r="X161" s="224"/>
      <c r="Y161" s="224"/>
      <c r="Z161" s="224"/>
    </row>
    <row r="162" spans="1:26" ht="19.5">
      <c r="A162" s="234" t="s">
        <v>81</v>
      </c>
      <c r="B162" s="235"/>
      <c r="C162" s="235"/>
      <c r="D162" s="235"/>
      <c r="E162" s="236"/>
      <c r="F162" s="236"/>
      <c r="G162" s="237"/>
      <c r="H162" s="238"/>
      <c r="I162" s="239"/>
      <c r="J162" s="239"/>
      <c r="K162" s="240"/>
      <c r="L162" s="240"/>
      <c r="M162" s="240"/>
      <c r="N162" s="240"/>
      <c r="O162" s="240"/>
      <c r="P162" s="240"/>
    </row>
    <row r="163" spans="1:26" ht="19.5">
      <c r="A163" s="241" t="s">
        <v>82</v>
      </c>
      <c r="B163" s="242"/>
      <c r="C163" s="242"/>
      <c r="D163" s="243"/>
      <c r="E163" s="243"/>
      <c r="F163" s="243"/>
      <c r="G163" s="244"/>
      <c r="H163" s="245"/>
      <c r="I163" s="246"/>
      <c r="J163" s="246"/>
      <c r="K163" s="247"/>
      <c r="L163" s="247"/>
      <c r="M163" s="247"/>
      <c r="N163" s="247"/>
      <c r="O163" s="247"/>
      <c r="P163" s="247"/>
    </row>
    <row r="164" spans="1:26" ht="19.5">
      <c r="A164" s="248"/>
      <c r="B164" s="249" t="s">
        <v>83</v>
      </c>
      <c r="C164" s="250"/>
      <c r="D164" s="173"/>
      <c r="E164" s="173"/>
      <c r="F164" s="173"/>
      <c r="G164" s="174"/>
      <c r="H164" s="251" t="s">
        <v>35</v>
      </c>
      <c r="I164" s="252">
        <f t="shared" ref="I164:J164" ca="1" si="83">I174+I177</f>
        <v>11</v>
      </c>
      <c r="J164" s="252">
        <f t="shared" si="83"/>
        <v>0</v>
      </c>
      <c r="K164" s="253">
        <f ca="1">IF(I164&gt;0,J164*100/I164,0)</f>
        <v>0</v>
      </c>
      <c r="L164" s="254"/>
      <c r="M164" s="254"/>
      <c r="N164" s="254"/>
      <c r="O164" s="254"/>
      <c r="P164" s="254"/>
    </row>
    <row r="165" spans="1:26" ht="19.5">
      <c r="A165" s="147"/>
      <c r="B165" s="148"/>
      <c r="C165" s="149" t="s">
        <v>16</v>
      </c>
      <c r="D165" s="817" t="s">
        <v>17</v>
      </c>
      <c r="E165" s="148"/>
      <c r="F165" s="148"/>
      <c r="G165" s="151"/>
      <c r="H165" s="152" t="s">
        <v>12</v>
      </c>
      <c r="I165" s="388"/>
      <c r="J165" s="388"/>
      <c r="K165" s="154"/>
      <c r="L165" s="155">
        <f t="shared" ref="L165:N165" ca="1" si="84">L166+L167</f>
        <v>22055</v>
      </c>
      <c r="M165" s="155">
        <f t="shared" ca="1" si="84"/>
        <v>22055</v>
      </c>
      <c r="N165" s="155">
        <f t="shared" ca="1" si="84"/>
        <v>22055</v>
      </c>
      <c r="O165" s="155">
        <f t="shared" ref="O165:O173" ca="1" si="85">IF(L165&gt;0,N165*100/L165,0)</f>
        <v>100</v>
      </c>
      <c r="P165" s="155">
        <f t="shared" ref="P165:P173" ca="1" si="86">IF(M165&gt;0,N165*100/M165,0)</f>
        <v>100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2" t="s">
        <v>18</v>
      </c>
      <c r="F166" s="40"/>
      <c r="G166" s="157"/>
      <c r="H166" s="158" t="s">
        <v>12</v>
      </c>
      <c r="I166" s="583"/>
      <c r="J166" s="583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2" t="s">
        <v>19</v>
      </c>
      <c r="F167" s="40"/>
      <c r="G167" s="157"/>
      <c r="H167" s="158" t="s">
        <v>12</v>
      </c>
      <c r="I167" s="583"/>
      <c r="J167" s="583"/>
      <c r="K167" s="93"/>
      <c r="L167" s="93">
        <f t="shared" ca="1" si="87"/>
        <v>22055</v>
      </c>
      <c r="M167" s="93">
        <f t="shared" ca="1" si="87"/>
        <v>22055</v>
      </c>
      <c r="N167" s="93">
        <f t="shared" ca="1" si="87"/>
        <v>22055</v>
      </c>
      <c r="O167" s="93">
        <f t="shared" ca="1" si="85"/>
        <v>100</v>
      </c>
      <c r="P167" s="93">
        <f t="shared" ca="1" si="86"/>
        <v>100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1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65">
        <f t="shared" ref="L168:N168" ca="1" si="88">L169+L170</f>
        <v>22055</v>
      </c>
      <c r="M168" s="465">
        <f t="shared" ca="1" si="88"/>
        <v>22055</v>
      </c>
      <c r="N168" s="465">
        <f t="shared" ca="1" si="88"/>
        <v>22055</v>
      </c>
      <c r="O168" s="465">
        <f t="shared" ca="1" si="85"/>
        <v>100</v>
      </c>
      <c r="P168" s="465">
        <f t="shared" ca="1" si="86"/>
        <v>100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2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2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IFERROR(__xludf.DUMMYFUNCTION("IMPORTRANGE(""https://docs.google.com/spreadsheets/d/1MeEWN-I1oV_STSDYn1IFDPWt_1FKiwhDph83XaGc0o0/edit?usp=sharing"",""งบพรบ!CE26"")"),22055)</f>
        <v>22055</v>
      </c>
      <c r="M170" s="93">
        <f ca="1">IFERROR(__xludf.DUMMYFUNCTION("IMPORTRANGE(""https://docs.google.com/spreadsheets/d/1MeEWN-I1oV_STSDYn1IFDPWt_1FKiwhDph83XaGc0o0/edit?usp=sharing"",""งบพรบ!CJ26"")"),22055)</f>
        <v>22055</v>
      </c>
      <c r="N170" s="93">
        <f ca="1">IFERROR(__xludf.DUMMYFUNCTION("IMPORTRANGE(""https://docs.google.com/spreadsheets/d/1MeEWN-I1oV_STSDYn1IFDPWt_1FKiwhDph83XaGc0o0/edit?usp=sharing"",""งบพรบ!CL26"")"),22055)</f>
        <v>22055</v>
      </c>
      <c r="O170" s="93">
        <f t="shared" ca="1" si="85"/>
        <v>100</v>
      </c>
      <c r="P170" s="93">
        <f t="shared" ca="1" si="86"/>
        <v>100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1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65">
        <f t="shared" ref="L171:N171" ca="1" si="89">L172+L173</f>
        <v>0</v>
      </c>
      <c r="M171" s="465">
        <f t="shared" ca="1" si="89"/>
        <v>0</v>
      </c>
      <c r="N171" s="465">
        <f t="shared" ca="1" si="89"/>
        <v>0</v>
      </c>
      <c r="O171" s="465">
        <f t="shared" ca="1" si="85"/>
        <v>0</v>
      </c>
      <c r="P171" s="465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2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2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IFERROR(__xludf.DUMMYFUNCTION("IMPORTRANGE(""https://docs.google.com/spreadsheets/d/1MeEWN-I1oV_STSDYn1IFDPWt_1FKiwhDph83XaGc0o0/edit?usp=sharing"",""งบพรบ!CH26"")"),0)</f>
        <v>0</v>
      </c>
      <c r="M173" s="93">
        <f ca="1">IFERROR(__xludf.DUMMYFUNCTION("IMPORTRANGE(""https://docs.google.com/spreadsheets/d/1MeEWN-I1oV_STSDYn1IFDPWt_1FKiwhDph83XaGc0o0/edit?usp=sharing"",""งบพรบ!CK26"")"),0)</f>
        <v>0</v>
      </c>
      <c r="N173" s="93">
        <f ca="1">IFERROR(__xludf.DUMMYFUNCTION("IMPORTRANGE(""https://docs.google.com/spreadsheets/d/1MeEWN-I1oV_STSDYn1IFDPWt_1FKiwhDph83XaGc0o0/edit?usp=sharing"",""งบพรบ!CM26"")"),0)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5"/>
      <c r="B174" s="256"/>
      <c r="C174" s="257" t="s">
        <v>84</v>
      </c>
      <c r="D174" s="256"/>
      <c r="E174" s="256"/>
      <c r="F174" s="256"/>
      <c r="G174" s="258"/>
      <c r="H174" s="259" t="s">
        <v>35</v>
      </c>
      <c r="I174" s="260">
        <f t="shared" ref="I174:J174" ca="1" si="90">I176</f>
        <v>11</v>
      </c>
      <c r="J174" s="260">
        <f t="shared" si="90"/>
        <v>0</v>
      </c>
      <c r="K174" s="261">
        <f ca="1">IF(I174&gt;0,J174*100/I174,0)</f>
        <v>0</v>
      </c>
      <c r="L174" s="261"/>
      <c r="M174" s="261"/>
      <c r="N174" s="261"/>
      <c r="O174" s="261"/>
      <c r="P174" s="261"/>
    </row>
    <row r="175" spans="1:26" ht="19.5">
      <c r="A175" s="170"/>
      <c r="B175" s="171"/>
      <c r="C175" s="164" t="s">
        <v>16</v>
      </c>
      <c r="D175" s="818" t="s">
        <v>38</v>
      </c>
      <c r="E175" s="173"/>
      <c r="F175" s="173"/>
      <c r="G175" s="174"/>
      <c r="H175" s="726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10" t="s">
        <v>85</v>
      </c>
      <c r="E176" s="342"/>
      <c r="F176" s="342"/>
      <c r="G176" s="179"/>
      <c r="H176" s="589" t="s">
        <v>35</v>
      </c>
      <c r="I176" s="269">
        <f ca="1">IFERROR(__xludf.DUMMYFUNCTION("IMPORTRANGE(""https://docs.google.com/spreadsheets/d/1QqKyyYR6Q21VydFLVH3TRQUabQu_ym0Zz7PgGX0-kHA/edit?usp=sharing"",""แผน!Y26"")"),11)</f>
        <v>11</v>
      </c>
      <c r="J176" s="214">
        <v>0</v>
      </c>
      <c r="K176" s="163">
        <f ca="1">IF(I176&gt;0,J176*100/I176,0)</f>
        <v>0</v>
      </c>
      <c r="L176" s="163"/>
      <c r="M176" s="163"/>
      <c r="N176" s="163"/>
      <c r="O176" s="163"/>
      <c r="P176" s="163"/>
    </row>
    <row r="177" spans="1:26" ht="19.5" hidden="1">
      <c r="A177" s="255"/>
      <c r="B177" s="263"/>
      <c r="C177" s="264" t="s">
        <v>86</v>
      </c>
      <c r="D177" s="263"/>
      <c r="E177" s="256"/>
      <c r="F177" s="256"/>
      <c r="G177" s="258"/>
      <c r="H177" s="265" t="s">
        <v>35</v>
      </c>
      <c r="I177" s="260"/>
      <c r="J177" s="260">
        <f>J179</f>
        <v>0</v>
      </c>
      <c r="K177" s="261"/>
      <c r="L177" s="261"/>
      <c r="M177" s="261"/>
      <c r="N177" s="261"/>
      <c r="O177" s="261"/>
      <c r="P177" s="261"/>
    </row>
    <row r="178" spans="1:26" ht="19.5" hidden="1">
      <c r="A178" s="170"/>
      <c r="B178" s="171"/>
      <c r="C178" s="164" t="s">
        <v>16</v>
      </c>
      <c r="D178" s="266" t="s">
        <v>38</v>
      </c>
      <c r="E178" s="173"/>
      <c r="F178" s="173"/>
      <c r="G178" s="174"/>
      <c r="H178" s="726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267" t="s">
        <v>87</v>
      </c>
      <c r="E179" s="342"/>
      <c r="F179" s="268"/>
      <c r="G179" s="179"/>
      <c r="H179" s="43" t="s">
        <v>35</v>
      </c>
      <c r="I179" s="269"/>
      <c r="J179" s="269"/>
      <c r="K179" s="163"/>
      <c r="L179" s="163"/>
      <c r="M179" s="163"/>
      <c r="N179" s="163"/>
      <c r="O179" s="163"/>
      <c r="P179" s="163"/>
    </row>
    <row r="180" spans="1:26" ht="19.5">
      <c r="A180" s="248"/>
      <c r="B180" s="249" t="s">
        <v>88</v>
      </c>
      <c r="C180" s="250"/>
      <c r="D180" s="173"/>
      <c r="E180" s="173"/>
      <c r="F180" s="173"/>
      <c r="G180" s="174"/>
      <c r="H180" s="251" t="s">
        <v>35</v>
      </c>
      <c r="I180" s="821"/>
      <c r="J180" s="821">
        <f>J225+J226</f>
        <v>0</v>
      </c>
      <c r="K180" s="254">
        <f>IF(I180&gt;0,J180*100/I180,0)</f>
        <v>0</v>
      </c>
      <c r="L180" s="254"/>
      <c r="M180" s="254"/>
      <c r="N180" s="254"/>
      <c r="O180" s="254"/>
      <c r="P180" s="254"/>
    </row>
    <row r="181" spans="1:26" ht="19.5">
      <c r="A181" s="147"/>
      <c r="B181" s="148"/>
      <c r="C181" s="149" t="s">
        <v>16</v>
      </c>
      <c r="D181" s="817" t="s">
        <v>17</v>
      </c>
      <c r="E181" s="148"/>
      <c r="F181" s="148"/>
      <c r="G181" s="151"/>
      <c r="H181" s="152" t="s">
        <v>12</v>
      </c>
      <c r="I181" s="388"/>
      <c r="J181" s="388"/>
      <c r="K181" s="154"/>
      <c r="L181" s="155">
        <f t="shared" ref="L181:N181" ca="1" si="91">L182+L183</f>
        <v>55500</v>
      </c>
      <c r="M181" s="155">
        <f t="shared" ca="1" si="91"/>
        <v>21000</v>
      </c>
      <c r="N181" s="155">
        <f t="shared" ca="1" si="91"/>
        <v>0</v>
      </c>
      <c r="O181" s="155">
        <f t="shared" ref="O181:O189" ca="1" si="92">IF(L181&gt;0,N181*100/L181,0)</f>
        <v>0</v>
      </c>
      <c r="P181" s="155">
        <f t="shared" ref="P181:P189" ca="1" si="93">IF(M181&gt;0,N181*100/M181,0)</f>
        <v>0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2" t="s">
        <v>18</v>
      </c>
      <c r="F182" s="40"/>
      <c r="G182" s="157"/>
      <c r="H182" s="158" t="s">
        <v>12</v>
      </c>
      <c r="I182" s="583"/>
      <c r="J182" s="583"/>
      <c r="K182" s="93"/>
      <c r="L182" s="93">
        <f t="shared" ref="L182:N183" si="94">L185+L188</f>
        <v>0</v>
      </c>
      <c r="M182" s="93">
        <f t="shared" si="94"/>
        <v>0</v>
      </c>
      <c r="N182" s="93">
        <f t="shared" si="94"/>
        <v>0</v>
      </c>
      <c r="O182" s="93">
        <f t="shared" si="92"/>
        <v>0</v>
      </c>
      <c r="P182" s="93">
        <f t="shared" si="93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2" t="s">
        <v>19</v>
      </c>
      <c r="F183" s="40"/>
      <c r="G183" s="157"/>
      <c r="H183" s="158" t="s">
        <v>12</v>
      </c>
      <c r="I183" s="583"/>
      <c r="J183" s="583"/>
      <c r="K183" s="93"/>
      <c r="L183" s="93">
        <f t="shared" ca="1" si="94"/>
        <v>55500</v>
      </c>
      <c r="M183" s="93">
        <f t="shared" ca="1" si="94"/>
        <v>21000</v>
      </c>
      <c r="N183" s="93">
        <f t="shared" ca="1" si="94"/>
        <v>0</v>
      </c>
      <c r="O183" s="93">
        <f t="shared" ca="1" si="92"/>
        <v>0</v>
      </c>
      <c r="P183" s="93">
        <f t="shared" ca="1" si="93"/>
        <v>0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1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65">
        <f t="shared" ref="L184:N184" ca="1" si="95">L185+L186</f>
        <v>55500</v>
      </c>
      <c r="M184" s="465">
        <f t="shared" ca="1" si="95"/>
        <v>21000</v>
      </c>
      <c r="N184" s="465">
        <f t="shared" ca="1" si="95"/>
        <v>0</v>
      </c>
      <c r="O184" s="465">
        <f t="shared" ca="1" si="92"/>
        <v>0</v>
      </c>
      <c r="P184" s="465">
        <f t="shared" ca="1" si="93"/>
        <v>0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2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2"/>
        <v>0</v>
      </c>
      <c r="P185" s="93">
        <f t="shared" si="93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2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IFERROR(__xludf.DUMMYFUNCTION("IMPORTRANGE(""https://docs.google.com/spreadsheets/d/1MeEWN-I1oV_STSDYn1IFDPWt_1FKiwhDph83XaGc0o0/edit?usp=sharing"",""งบพรบ!CO26"")"),55500)</f>
        <v>55500</v>
      </c>
      <c r="M186" s="93">
        <f ca="1">IFERROR(__xludf.DUMMYFUNCTION("IMPORTRANGE(""https://docs.google.com/spreadsheets/d/1MeEWN-I1oV_STSDYn1IFDPWt_1FKiwhDph83XaGc0o0/edit?usp=sharing"",""งบพรบ!CT26"")"),21000)</f>
        <v>21000</v>
      </c>
      <c r="N186" s="93">
        <f ca="1">IFERROR(__xludf.DUMMYFUNCTION("IMPORTRANGE(""https://docs.google.com/spreadsheets/d/1MeEWN-I1oV_STSDYn1IFDPWt_1FKiwhDph83XaGc0o0/edit?usp=sharing"",""งบพรบ!CV26"")"),0)</f>
        <v>0</v>
      </c>
      <c r="O186" s="93">
        <f t="shared" ca="1" si="92"/>
        <v>0</v>
      </c>
      <c r="P186" s="93">
        <f t="shared" ca="1" si="93"/>
        <v>0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1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65">
        <f t="shared" ref="L187:N187" ca="1" si="96">L188+L189</f>
        <v>0</v>
      </c>
      <c r="M187" s="465">
        <f t="shared" ca="1" si="96"/>
        <v>0</v>
      </c>
      <c r="N187" s="465">
        <f t="shared" ca="1" si="96"/>
        <v>0</v>
      </c>
      <c r="O187" s="465">
        <f t="shared" ca="1" si="92"/>
        <v>0</v>
      </c>
      <c r="P187" s="465">
        <f t="shared" ca="1" si="93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2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2"/>
        <v>0</v>
      </c>
      <c r="P188" s="93">
        <f t="shared" si="93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2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IFERROR(__xludf.DUMMYFUNCTION("IMPORTRANGE(""https://docs.google.com/spreadsheets/d/1MeEWN-I1oV_STSDYn1IFDPWt_1FKiwhDph83XaGc0o0/edit?usp=sharing"",""งบพรบ!CR26"")"),0)</f>
        <v>0</v>
      </c>
      <c r="M189" s="93">
        <f ca="1">IFERROR(__xludf.DUMMYFUNCTION("IMPORTRANGE(""https://docs.google.com/spreadsheets/d/1MeEWN-I1oV_STSDYn1IFDPWt_1FKiwhDph83XaGc0o0/edit?usp=sharing"",""งบพรบ!CU26"")"),0)</f>
        <v>0</v>
      </c>
      <c r="N189" s="93">
        <f ca="1">IFERROR(__xludf.DUMMYFUNCTION("IMPORTRANGE(""https://docs.google.com/spreadsheets/d/1MeEWN-I1oV_STSDYn1IFDPWt_1FKiwhDph83XaGc0o0/edit?usp=sharing"",""งบพรบ!CW26"")"),0)</f>
        <v>0</v>
      </c>
      <c r="O189" s="93">
        <f t="shared" ca="1" si="92"/>
        <v>0</v>
      </c>
      <c r="P189" s="93">
        <f t="shared" ca="1" si="93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5"/>
      <c r="B190" s="263"/>
      <c r="C190" s="339" t="s">
        <v>89</v>
      </c>
      <c r="D190" s="256"/>
      <c r="E190" s="256"/>
      <c r="F190" s="256"/>
      <c r="G190" s="258"/>
      <c r="H190" s="259" t="s">
        <v>90</v>
      </c>
      <c r="I190" s="271">
        <f t="shared" ref="I190:J190" ca="1" si="97">I193</f>
        <v>4</v>
      </c>
      <c r="J190" s="271">
        <f t="shared" si="97"/>
        <v>0</v>
      </c>
      <c r="K190" s="272">
        <f ca="1">IF(I190&gt;0,J190*100/I190,0)</f>
        <v>0</v>
      </c>
      <c r="L190" s="261"/>
      <c r="M190" s="261"/>
      <c r="N190" s="261"/>
      <c r="O190" s="261"/>
      <c r="P190" s="261"/>
    </row>
    <row r="191" spans="1:26" ht="19.5">
      <c r="A191" s="147"/>
      <c r="B191" s="148"/>
      <c r="C191" s="149" t="s">
        <v>16</v>
      </c>
      <c r="D191" s="822" t="s">
        <v>17</v>
      </c>
      <c r="E191" s="148"/>
      <c r="F191" s="148"/>
      <c r="G191" s="151"/>
      <c r="H191" s="274" t="s">
        <v>12</v>
      </c>
      <c r="I191" s="388"/>
      <c r="J191" s="388"/>
      <c r="K191" s="154"/>
      <c r="L191" s="155">
        <f ca="1">IFERROR(__xludf.DUMMYFUNCTION("IMPORTRANGE(""https://docs.google.com/spreadsheets/d/1QqKyyYR6Q21VydFLVH3TRQUabQu_ym0Zz7PgGX0-kHA/edit?usp=sharing"",""แผน!Z26"")"),6000)</f>
        <v>6000</v>
      </c>
      <c r="M191" s="155"/>
      <c r="N191" s="275">
        <v>0</v>
      </c>
      <c r="O191" s="155">
        <f ca="1">IF(L191&gt;0,N191*100/L191,0)</f>
        <v>0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0" t="s">
        <v>16</v>
      </c>
      <c r="D192" s="818" t="s">
        <v>38</v>
      </c>
      <c r="E192" s="173"/>
      <c r="F192" s="173"/>
      <c r="G192" s="174"/>
      <c r="H192" s="726"/>
      <c r="I192" s="269"/>
      <c r="J192" s="269"/>
      <c r="K192" s="465"/>
      <c r="L192" s="465"/>
      <c r="M192" s="465"/>
      <c r="N192" s="465"/>
      <c r="O192" s="465"/>
      <c r="P192" s="465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15" t="s">
        <v>91</v>
      </c>
      <c r="E193" s="342"/>
      <c r="F193" s="342"/>
      <c r="G193" s="179"/>
      <c r="H193" s="728" t="s">
        <v>90</v>
      </c>
      <c r="I193" s="269">
        <f ca="1">IFERROR(__xludf.DUMMYFUNCTION("IMPORTRANGE(""https://docs.google.com/spreadsheets/d/1QqKyyYR6Q21VydFLVH3TRQUabQu_ym0Zz7PgGX0-kHA/edit?usp=sharing"",""แผน!AC26"")"),4)</f>
        <v>4</v>
      </c>
      <c r="J193" s="214">
        <v>0</v>
      </c>
      <c r="K193" s="465">
        <f ca="1">IF(I193&gt;0,J193*100/I193,0)</f>
        <v>0</v>
      </c>
      <c r="L193" s="465"/>
      <c r="M193" s="465"/>
      <c r="N193" s="465"/>
      <c r="O193" s="465"/>
      <c r="P193" s="465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15" t="s">
        <v>92</v>
      </c>
      <c r="E194" s="342"/>
      <c r="F194" s="342"/>
      <c r="G194" s="179"/>
      <c r="H194" s="276" t="s">
        <v>35</v>
      </c>
      <c r="I194" s="269"/>
      <c r="J194" s="269">
        <f>J195+J196</f>
        <v>0</v>
      </c>
      <c r="K194" s="465"/>
      <c r="L194" s="465"/>
      <c r="M194" s="465"/>
      <c r="N194" s="465"/>
      <c r="O194" s="465"/>
      <c r="P194" s="465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15" t="s">
        <v>93</v>
      </c>
      <c r="F195" s="342"/>
      <c r="G195" s="179"/>
      <c r="H195" s="276" t="s">
        <v>35</v>
      </c>
      <c r="I195" s="269"/>
      <c r="J195" s="214">
        <v>0</v>
      </c>
      <c r="K195" s="465"/>
      <c r="L195" s="465"/>
      <c r="M195" s="465"/>
      <c r="N195" s="465"/>
      <c r="O195" s="465"/>
      <c r="P195" s="465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15" t="s">
        <v>94</v>
      </c>
      <c r="F196" s="342"/>
      <c r="G196" s="179"/>
      <c r="H196" s="276" t="s">
        <v>35</v>
      </c>
      <c r="I196" s="269"/>
      <c r="J196" s="214">
        <v>0</v>
      </c>
      <c r="K196" s="465"/>
      <c r="L196" s="465"/>
      <c r="M196" s="465"/>
      <c r="N196" s="465"/>
      <c r="O196" s="465"/>
      <c r="P196" s="465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5"/>
      <c r="B197" s="263"/>
      <c r="C197" s="339" t="s">
        <v>95</v>
      </c>
      <c r="D197" s="256"/>
      <c r="E197" s="256"/>
      <c r="F197" s="256"/>
      <c r="G197" s="258"/>
      <c r="H197" s="277" t="s">
        <v>96</v>
      </c>
      <c r="I197" s="271">
        <f t="shared" ref="I197:J197" ca="1" si="98">I204</f>
        <v>2</v>
      </c>
      <c r="J197" s="271">
        <f t="shared" si="98"/>
        <v>0</v>
      </c>
      <c r="K197" s="272">
        <f ca="1">IF(I197&gt;0,J197*100/I197,0)</f>
        <v>0</v>
      </c>
      <c r="L197" s="261"/>
      <c r="M197" s="261"/>
      <c r="N197" s="261"/>
      <c r="O197" s="261"/>
      <c r="P197" s="261"/>
    </row>
    <row r="198" spans="1:26" ht="19.5">
      <c r="A198" s="147"/>
      <c r="B198" s="148"/>
      <c r="C198" s="149" t="s">
        <v>16</v>
      </c>
      <c r="D198" s="822" t="s">
        <v>17</v>
      </c>
      <c r="E198" s="148"/>
      <c r="F198" s="148"/>
      <c r="G198" s="151"/>
      <c r="H198" s="274" t="s">
        <v>12</v>
      </c>
      <c r="I198" s="387"/>
      <c r="J198" s="387"/>
      <c r="K198" s="279"/>
      <c r="L198" s="155">
        <f ca="1">L199+L200+L201+L202</f>
        <v>31000</v>
      </c>
      <c r="M198" s="155"/>
      <c r="N198" s="155">
        <f>N199+N200+N201+N202</f>
        <v>0</v>
      </c>
      <c r="O198" s="155">
        <f ca="1">IF(L198&gt;0,N198*100/L198,0)</f>
        <v>0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0"/>
      <c r="C199" s="33"/>
      <c r="D199" s="281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65">
        <f ca="1">IFERROR(__xludf.DUMMYFUNCTION("IMPORTRANGE(""https://docs.google.com/spreadsheets/d/1QqKyyYR6Q21VydFLVH3TRQUabQu_ym0Zz7PgGX0-kHA/edit?usp=sharing"",""แผน!AE26"")"),2000)</f>
        <v>2000</v>
      </c>
      <c r="M199" s="465"/>
      <c r="N199" s="789">
        <v>0</v>
      </c>
      <c r="O199" s="465"/>
      <c r="P199" s="465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3"/>
      <c r="B200" s="280"/>
      <c r="C200" s="210"/>
      <c r="D200" s="281" t="s">
        <v>98</v>
      </c>
      <c r="E200" s="33"/>
      <c r="F200" s="33"/>
      <c r="G200" s="35"/>
      <c r="H200" s="589" t="s">
        <v>12</v>
      </c>
      <c r="I200" s="269"/>
      <c r="J200" s="269"/>
      <c r="K200" s="465"/>
      <c r="L200" s="465">
        <f ca="1">IFERROR(__xludf.DUMMYFUNCTION("IMPORTRANGE(""https://docs.google.com/spreadsheets/d/1QqKyyYR6Q21VydFLVH3TRQUabQu_ym0Zz7PgGX0-kHA/edit?usp=sharing"",""แผน!AF26"")"),16000)</f>
        <v>16000</v>
      </c>
      <c r="M200" s="465"/>
      <c r="N200" s="789">
        <v>0</v>
      </c>
      <c r="O200" s="465"/>
      <c r="P200" s="465"/>
      <c r="Q200" s="285"/>
      <c r="R200" s="285"/>
      <c r="S200" s="285"/>
      <c r="T200" s="285"/>
      <c r="U200" s="285"/>
      <c r="V200" s="285"/>
      <c r="W200" s="285"/>
      <c r="X200" s="285"/>
      <c r="Y200" s="285"/>
      <c r="Z200" s="285"/>
    </row>
    <row r="201" spans="1:26" ht="19.5">
      <c r="A201" s="283"/>
      <c r="B201" s="280"/>
      <c r="C201" s="210"/>
      <c r="D201" s="281" t="s">
        <v>99</v>
      </c>
      <c r="E201" s="33"/>
      <c r="F201" s="33"/>
      <c r="G201" s="35"/>
      <c r="H201" s="589" t="s">
        <v>12</v>
      </c>
      <c r="I201" s="269"/>
      <c r="J201" s="269"/>
      <c r="K201" s="465"/>
      <c r="L201" s="465">
        <f ca="1">IFERROR(__xludf.DUMMYFUNCTION("IMPORTRANGE(""https://docs.google.com/spreadsheets/d/1QqKyyYR6Q21VydFLVH3TRQUabQu_ym0Zz7PgGX0-kHA/edit?usp=sharing"",""แผน!AG26"")"),8000)</f>
        <v>8000</v>
      </c>
      <c r="M201" s="465"/>
      <c r="N201" s="789">
        <v>0</v>
      </c>
      <c r="O201" s="465"/>
      <c r="P201" s="465"/>
      <c r="Q201" s="285"/>
      <c r="R201" s="285"/>
      <c r="S201" s="285"/>
      <c r="T201" s="285"/>
      <c r="U201" s="285"/>
      <c r="V201" s="285"/>
      <c r="W201" s="285"/>
      <c r="X201" s="285"/>
      <c r="Y201" s="285"/>
      <c r="Z201" s="285"/>
    </row>
    <row r="202" spans="1:26" ht="19.5">
      <c r="A202" s="283"/>
      <c r="B202" s="280"/>
      <c r="C202" s="210"/>
      <c r="D202" s="281" t="s">
        <v>100</v>
      </c>
      <c r="E202" s="33"/>
      <c r="F202" s="33"/>
      <c r="G202" s="35"/>
      <c r="H202" s="589" t="s">
        <v>12</v>
      </c>
      <c r="I202" s="269"/>
      <c r="J202" s="269"/>
      <c r="K202" s="465"/>
      <c r="L202" s="465">
        <f ca="1">IFERROR(__xludf.DUMMYFUNCTION("IMPORTRANGE(""https://docs.google.com/spreadsheets/d/1QqKyyYR6Q21VydFLVH3TRQUabQu_ym0Zz7PgGX0-kHA/edit?usp=sharing"",""แผน!AH26"")"),5000)</f>
        <v>5000</v>
      </c>
      <c r="M202" s="465"/>
      <c r="N202" s="789">
        <v>0</v>
      </c>
      <c r="O202" s="465"/>
      <c r="P202" s="465"/>
      <c r="Q202" s="285"/>
      <c r="R202" s="285"/>
      <c r="S202" s="285"/>
      <c r="T202" s="285"/>
      <c r="U202" s="285"/>
      <c r="V202" s="285"/>
      <c r="W202" s="285"/>
      <c r="X202" s="285"/>
      <c r="Y202" s="285"/>
      <c r="Z202" s="285"/>
    </row>
    <row r="203" spans="1:26" ht="19.5">
      <c r="A203" s="170"/>
      <c r="B203" s="171"/>
      <c r="C203" s="210" t="s">
        <v>16</v>
      </c>
      <c r="D203" s="818" t="s">
        <v>38</v>
      </c>
      <c r="E203" s="173"/>
      <c r="F203" s="173"/>
      <c r="G203" s="174"/>
      <c r="H203" s="726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343" t="s">
        <v>101</v>
      </c>
      <c r="E204" s="342"/>
      <c r="F204" s="342"/>
      <c r="G204" s="179"/>
      <c r="H204" s="726" t="s">
        <v>96</v>
      </c>
      <c r="I204" s="269">
        <f ca="1">IFERROR(__xludf.DUMMYFUNCTION("IMPORTRANGE(""https://docs.google.com/spreadsheets/d/1QqKyyYR6Q21VydFLVH3TRQUabQu_ym0Zz7PgGX0-kHA/edit?usp=sharing"",""แผน!AI26"")"),2)</f>
        <v>2</v>
      </c>
      <c r="J204" s="214">
        <v>0</v>
      </c>
      <c r="K204" s="163">
        <f ca="1">IF(I204&gt;0,J204*100/I204,0)</f>
        <v>0</v>
      </c>
      <c r="L204" s="465"/>
      <c r="M204" s="465"/>
      <c r="N204" s="465"/>
      <c r="O204" s="465"/>
      <c r="P204" s="465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15" t="s">
        <v>59</v>
      </c>
      <c r="E205" s="342"/>
      <c r="F205" s="342"/>
      <c r="G205" s="179"/>
      <c r="H205" s="726"/>
      <c r="I205" s="269"/>
      <c r="J205" s="269"/>
      <c r="K205" s="163"/>
      <c r="L205" s="465"/>
      <c r="M205" s="465"/>
      <c r="N205" s="465"/>
      <c r="O205" s="465"/>
      <c r="P205" s="465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342"/>
      <c r="E206" s="494" t="s">
        <v>102</v>
      </c>
      <c r="F206" s="286"/>
      <c r="G206" s="287"/>
      <c r="H206" s="288" t="s">
        <v>96</v>
      </c>
      <c r="I206" s="269">
        <v>2</v>
      </c>
      <c r="J206" s="214">
        <v>0</v>
      </c>
      <c r="K206" s="163">
        <f t="shared" ref="K206:K208" si="99">IF(I206&gt;0,J206*100/I206,0)</f>
        <v>0</v>
      </c>
      <c r="L206" s="465"/>
      <c r="M206" s="465"/>
      <c r="N206" s="465"/>
      <c r="O206" s="465"/>
      <c r="P206" s="465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15"/>
      <c r="E207" s="415" t="s">
        <v>103</v>
      </c>
      <c r="F207" s="342"/>
      <c r="G207" s="342"/>
      <c r="H207" s="289" t="s">
        <v>104</v>
      </c>
      <c r="I207" s="269">
        <v>1</v>
      </c>
      <c r="J207" s="214">
        <v>0</v>
      </c>
      <c r="K207" s="163">
        <f t="shared" si="99"/>
        <v>0</v>
      </c>
      <c r="L207" s="465"/>
      <c r="M207" s="465"/>
      <c r="N207" s="465"/>
      <c r="O207" s="465"/>
      <c r="P207" s="465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 hidden="1">
      <c r="A208" s="255"/>
      <c r="B208" s="263"/>
      <c r="C208" s="339" t="s">
        <v>105</v>
      </c>
      <c r="D208" s="256"/>
      <c r="E208" s="256"/>
      <c r="F208" s="290"/>
      <c r="G208" s="258"/>
      <c r="H208" s="277" t="s">
        <v>96</v>
      </c>
      <c r="I208" s="271">
        <f t="shared" ref="I208:J208" ca="1" si="100">I215</f>
        <v>0</v>
      </c>
      <c r="J208" s="271">
        <f t="shared" si="100"/>
        <v>0</v>
      </c>
      <c r="K208" s="272">
        <f t="shared" ca="1" si="99"/>
        <v>0</v>
      </c>
      <c r="L208" s="261"/>
      <c r="M208" s="261"/>
      <c r="N208" s="261"/>
      <c r="O208" s="261"/>
      <c r="P208" s="261"/>
    </row>
    <row r="209" spans="1:26" ht="19.5" hidden="1">
      <c r="A209" s="147"/>
      <c r="B209" s="148"/>
      <c r="C209" s="149" t="s">
        <v>16</v>
      </c>
      <c r="D209" s="822" t="s">
        <v>17</v>
      </c>
      <c r="E209" s="148"/>
      <c r="F209" s="148"/>
      <c r="G209" s="151"/>
      <c r="H209" s="274" t="s">
        <v>12</v>
      </c>
      <c r="I209" s="387"/>
      <c r="J209" s="387"/>
      <c r="K209" s="279"/>
      <c r="L209" s="155">
        <f ca="1">L210+L211+L212</f>
        <v>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 hidden="1">
      <c r="A210" s="159"/>
      <c r="B210" s="280"/>
      <c r="C210" s="33"/>
      <c r="D210" s="281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65">
        <f ca="1">IFERROR(__xludf.DUMMYFUNCTION("IMPORTRANGE(""https://docs.google.com/spreadsheets/d/1QqKyyYR6Q21VydFLVH3TRQUabQu_ym0Zz7PgGX0-kHA/edit?usp=sharing"",""แผน!AK26"")"),0)</f>
        <v>0</v>
      </c>
      <c r="M210" s="465"/>
      <c r="N210" s="789">
        <v>0</v>
      </c>
      <c r="O210" s="465"/>
      <c r="P210" s="465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 hidden="1">
      <c r="A211" s="283"/>
      <c r="B211" s="280"/>
      <c r="C211" s="291"/>
      <c r="D211" s="281" t="s">
        <v>99</v>
      </c>
      <c r="E211" s="33"/>
      <c r="F211" s="33"/>
      <c r="G211" s="35"/>
      <c r="H211" s="161" t="s">
        <v>12</v>
      </c>
      <c r="I211" s="269"/>
      <c r="J211" s="269"/>
      <c r="K211" s="465"/>
      <c r="L211" s="465">
        <f ca="1">IFERROR(__xludf.DUMMYFUNCTION("IMPORTRANGE(""https://docs.google.com/spreadsheets/d/1QqKyyYR6Q21VydFLVH3TRQUabQu_ym0Zz7PgGX0-kHA/edit?usp=sharing"",""แผน!AL26"")"),0)</f>
        <v>0</v>
      </c>
      <c r="M211" s="465"/>
      <c r="N211" s="789">
        <v>0</v>
      </c>
      <c r="O211" s="465"/>
      <c r="P211" s="465"/>
      <c r="Q211" s="285"/>
      <c r="R211" s="285"/>
      <c r="S211" s="285"/>
      <c r="T211" s="285"/>
      <c r="U211" s="285"/>
      <c r="V211" s="285"/>
      <c r="W211" s="285"/>
      <c r="X211" s="285"/>
      <c r="Y211" s="285"/>
      <c r="Z211" s="285"/>
    </row>
    <row r="212" spans="1:26" ht="19.5" hidden="1">
      <c r="A212" s="283"/>
      <c r="B212" s="280"/>
      <c r="C212" s="291"/>
      <c r="D212" s="281" t="s">
        <v>98</v>
      </c>
      <c r="E212" s="33"/>
      <c r="F212" s="33"/>
      <c r="G212" s="35"/>
      <c r="H212" s="161" t="s">
        <v>12</v>
      </c>
      <c r="I212" s="269"/>
      <c r="J212" s="269"/>
      <c r="K212" s="465"/>
      <c r="L212" s="465">
        <f ca="1">IFERROR(__xludf.DUMMYFUNCTION("IMPORTRANGE(""https://docs.google.com/spreadsheets/d/1QqKyyYR6Q21VydFLVH3TRQUabQu_ym0Zz7PgGX0-kHA/edit?usp=sharing"",""แผน!AM26"")"),0)</f>
        <v>0</v>
      </c>
      <c r="M212" s="465"/>
      <c r="N212" s="789">
        <v>0</v>
      </c>
      <c r="O212" s="465"/>
      <c r="P212" s="465"/>
      <c r="Q212" s="285"/>
      <c r="R212" s="285"/>
      <c r="S212" s="285"/>
      <c r="T212" s="285"/>
      <c r="U212" s="285"/>
      <c r="V212" s="285"/>
      <c r="W212" s="285"/>
      <c r="X212" s="285"/>
      <c r="Y212" s="285"/>
      <c r="Z212" s="285"/>
    </row>
    <row r="213" spans="1:26" ht="19.5" hidden="1">
      <c r="A213" s="170"/>
      <c r="B213" s="171"/>
      <c r="C213" s="291" t="s">
        <v>16</v>
      </c>
      <c r="D213" s="818" t="s">
        <v>38</v>
      </c>
      <c r="E213" s="173"/>
      <c r="F213" s="173"/>
      <c r="G213" s="174"/>
      <c r="H213" s="726"/>
      <c r="I213" s="184"/>
      <c r="J213" s="269"/>
      <c r="K213" s="465"/>
      <c r="L213" s="465"/>
      <c r="M213" s="465"/>
      <c r="N213" s="465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 hidden="1">
      <c r="A214" s="170"/>
      <c r="B214" s="171"/>
      <c r="C214" s="171"/>
      <c r="D214" s="343" t="s">
        <v>106</v>
      </c>
      <c r="E214" s="342"/>
      <c r="F214" s="342"/>
      <c r="G214" s="179"/>
      <c r="H214" s="726" t="s">
        <v>96</v>
      </c>
      <c r="I214" s="269">
        <f ca="1">IFERROR(__xludf.DUMMYFUNCTION("IMPORTRANGE(""https://docs.google.com/spreadsheets/d/1QqKyyYR6Q21VydFLVH3TRQUabQu_ym0Zz7PgGX0-kHA/edit?usp=sharing"",""แผน!AN26"")"),0)</f>
        <v>0</v>
      </c>
      <c r="J214" s="214">
        <v>0</v>
      </c>
      <c r="K214" s="465">
        <f t="shared" ref="K214:K216" ca="1" si="101">IF(I214&gt;0,J214*100/I214,0)</f>
        <v>0</v>
      </c>
      <c r="L214" s="465"/>
      <c r="M214" s="465"/>
      <c r="N214" s="465"/>
      <c r="O214" s="465"/>
      <c r="P214" s="465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 hidden="1">
      <c r="A215" s="170"/>
      <c r="B215" s="171"/>
      <c r="C215" s="171"/>
      <c r="D215" s="343" t="s">
        <v>107</v>
      </c>
      <c r="E215" s="342"/>
      <c r="F215" s="342"/>
      <c r="G215" s="179"/>
      <c r="H215" s="726" t="s">
        <v>96</v>
      </c>
      <c r="I215" s="269">
        <f ca="1">IFERROR(__xludf.DUMMYFUNCTION("IMPORTRANGE(""https://docs.google.com/spreadsheets/d/1QqKyyYR6Q21VydFLVH3TRQUabQu_ym0Zz7PgGX0-kHA/edit?usp=sharing"",""แผน!AN26"")"),0)</f>
        <v>0</v>
      </c>
      <c r="J215" s="214">
        <v>0</v>
      </c>
      <c r="K215" s="465">
        <f t="shared" ca="1" si="101"/>
        <v>0</v>
      </c>
      <c r="L215" s="465"/>
      <c r="M215" s="465"/>
      <c r="N215" s="465"/>
      <c r="O215" s="465"/>
      <c r="P215" s="465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5"/>
      <c r="B216" s="263"/>
      <c r="C216" s="339" t="s">
        <v>108</v>
      </c>
      <c r="D216" s="256"/>
      <c r="E216" s="256"/>
      <c r="F216" s="290"/>
      <c r="G216" s="258"/>
      <c r="H216" s="259" t="s">
        <v>109</v>
      </c>
      <c r="I216" s="271">
        <f t="shared" ref="I216:J216" ca="1" si="102">I224</f>
        <v>50000</v>
      </c>
      <c r="J216" s="271">
        <f t="shared" si="102"/>
        <v>0</v>
      </c>
      <c r="K216" s="272">
        <f t="shared" ca="1" si="101"/>
        <v>0</v>
      </c>
      <c r="L216" s="261"/>
      <c r="M216" s="261"/>
      <c r="N216" s="261"/>
      <c r="O216" s="261"/>
      <c r="P216" s="261"/>
    </row>
    <row r="217" spans="1:26" ht="19.5">
      <c r="A217" s="147"/>
      <c r="B217" s="148"/>
      <c r="C217" s="149" t="s">
        <v>16</v>
      </c>
      <c r="D217" s="822" t="s">
        <v>17</v>
      </c>
      <c r="E217" s="148"/>
      <c r="F217" s="148"/>
      <c r="G217" s="151"/>
      <c r="H217" s="274" t="s">
        <v>12</v>
      </c>
      <c r="I217" s="387"/>
      <c r="J217" s="387"/>
      <c r="K217" s="279"/>
      <c r="L217" s="155">
        <f ca="1">L218+L219+L220</f>
        <v>18500</v>
      </c>
      <c r="M217" s="155"/>
      <c r="N217" s="155">
        <f>N218+N219+N220</f>
        <v>0</v>
      </c>
      <c r="O217" s="155">
        <f ca="1">IF(L217&gt;0,N217*100/L217,0)</f>
        <v>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0"/>
      <c r="C218" s="33"/>
      <c r="D218" s="281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65">
        <f ca="1">IFERROR(__xludf.DUMMYFUNCTION("IMPORTRANGE(""https://docs.google.com/spreadsheets/d/1QqKyyYR6Q21VydFLVH3TRQUabQu_ym0Zz7PgGX0-kHA/edit?usp=sharing"",""แผน!AP26"")"),5000)</f>
        <v>5000</v>
      </c>
      <c r="M218" s="465"/>
      <c r="N218" s="789">
        <v>0</v>
      </c>
      <c r="O218" s="465"/>
      <c r="P218" s="465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3"/>
      <c r="B219" s="280"/>
      <c r="C219" s="291"/>
      <c r="D219" s="281" t="s">
        <v>110</v>
      </c>
      <c r="E219" s="33"/>
      <c r="F219" s="33"/>
      <c r="G219" s="35"/>
      <c r="H219" s="161" t="s">
        <v>12</v>
      </c>
      <c r="I219" s="269"/>
      <c r="J219" s="269"/>
      <c r="K219" s="465"/>
      <c r="L219" s="465">
        <f ca="1">IFERROR(__xludf.DUMMYFUNCTION("IMPORTRANGE(""https://docs.google.com/spreadsheets/d/1QqKyyYR6Q21VydFLVH3TRQUabQu_ym0Zz7PgGX0-kHA/edit?usp=sharing"",""แผน!AQ26"")"),13500)</f>
        <v>13500</v>
      </c>
      <c r="M219" s="465"/>
      <c r="N219" s="789">
        <v>0</v>
      </c>
      <c r="O219" s="465"/>
      <c r="P219" s="465"/>
      <c r="Q219" s="285"/>
      <c r="R219" s="285"/>
      <c r="S219" s="285"/>
      <c r="T219" s="285"/>
      <c r="U219" s="285"/>
      <c r="V219" s="285"/>
      <c r="W219" s="285"/>
      <c r="X219" s="285"/>
      <c r="Y219" s="285"/>
      <c r="Z219" s="285"/>
    </row>
    <row r="220" spans="1:26" ht="19.5">
      <c r="A220" s="283"/>
      <c r="B220" s="280"/>
      <c r="C220" s="291"/>
      <c r="D220" s="281" t="s">
        <v>98</v>
      </c>
      <c r="E220" s="33"/>
      <c r="F220" s="33"/>
      <c r="G220" s="35"/>
      <c r="H220" s="161" t="s">
        <v>12</v>
      </c>
      <c r="I220" s="269"/>
      <c r="J220" s="269"/>
      <c r="K220" s="465"/>
      <c r="L220" s="465">
        <f ca="1">IFERROR(__xludf.DUMMYFUNCTION("IMPORTRANGE(""https://docs.google.com/spreadsheets/d/1QqKyyYR6Q21VydFLVH3TRQUabQu_ym0Zz7PgGX0-kHA/edit?usp=sharing"",""แผน!AR26"")"),0)</f>
        <v>0</v>
      </c>
      <c r="M220" s="465"/>
      <c r="N220" s="789">
        <v>0</v>
      </c>
      <c r="O220" s="465"/>
      <c r="P220" s="465"/>
      <c r="Q220" s="285"/>
      <c r="R220" s="285"/>
      <c r="S220" s="285"/>
      <c r="T220" s="285"/>
      <c r="U220" s="285"/>
      <c r="V220" s="285"/>
      <c r="W220" s="285"/>
      <c r="X220" s="285"/>
      <c r="Y220" s="285"/>
      <c r="Z220" s="285"/>
    </row>
    <row r="221" spans="1:26" ht="19.5">
      <c r="A221" s="170"/>
      <c r="B221" s="171"/>
      <c r="C221" s="291" t="s">
        <v>16</v>
      </c>
      <c r="D221" s="818" t="s">
        <v>38</v>
      </c>
      <c r="E221" s="173"/>
      <c r="F221" s="173"/>
      <c r="G221" s="174"/>
      <c r="H221" s="726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1" t="s">
        <v>111</v>
      </c>
      <c r="E222" s="342"/>
      <c r="F222" s="342"/>
      <c r="G222" s="179"/>
      <c r="H222" s="726"/>
      <c r="I222" s="269"/>
      <c r="J222" s="269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343" t="s">
        <v>112</v>
      </c>
      <c r="F223" s="342"/>
      <c r="G223" s="179"/>
      <c r="H223" s="728" t="s">
        <v>109</v>
      </c>
      <c r="I223" s="269">
        <f ca="1">IFERROR(__xludf.DUMMYFUNCTION("IMPORTRANGE(""https://docs.google.com/spreadsheets/d/1QqKyyYR6Q21VydFLVH3TRQUabQu_ym0Zz7PgGX0-kHA/edit?usp=sharing"",""แผน!AT26"")"),50000)</f>
        <v>50000</v>
      </c>
      <c r="J223" s="214">
        <v>0</v>
      </c>
      <c r="K223" s="163">
        <f t="shared" ref="K223:K226" ca="1" si="103">IF(I223&gt;0,J223*100/I223,0)</f>
        <v>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343" t="s">
        <v>113</v>
      </c>
      <c r="F224" s="342"/>
      <c r="G224" s="179"/>
      <c r="H224" s="728" t="s">
        <v>109</v>
      </c>
      <c r="I224" s="269">
        <f ca="1">IFERROR(__xludf.DUMMYFUNCTION("IMPORTRANGE(""https://docs.google.com/spreadsheets/d/1QqKyyYR6Q21VydFLVH3TRQUabQu_ym0Zz7PgGX0-kHA/edit?usp=sharing"",""แผน!AT26"")"),50000)</f>
        <v>50000</v>
      </c>
      <c r="J224" s="214">
        <v>0</v>
      </c>
      <c r="K224" s="163">
        <f t="shared" ca="1" si="103"/>
        <v>0</v>
      </c>
      <c r="L224" s="465"/>
      <c r="M224" s="465"/>
      <c r="N224" s="465"/>
      <c r="O224" s="465"/>
      <c r="P224" s="465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1" t="s">
        <v>114</v>
      </c>
      <c r="E225" s="342"/>
      <c r="F225" s="342"/>
      <c r="G225" s="179"/>
      <c r="H225" s="728" t="s">
        <v>35</v>
      </c>
      <c r="I225" s="269">
        <f ca="1">IFERROR(__xludf.DUMMYFUNCTION("IMPORTRANGE(""https://docs.google.com/spreadsheets/d/1QqKyyYR6Q21VydFLVH3TRQUabQu_ym0Zz7PgGX0-kHA/edit?usp=sharing"",""แผน!AS26"")"),0)</f>
        <v>0</v>
      </c>
      <c r="J225" s="214">
        <v>0</v>
      </c>
      <c r="K225" s="163">
        <f t="shared" ca="1" si="103"/>
        <v>0</v>
      </c>
      <c r="L225" s="465"/>
      <c r="M225" s="465"/>
      <c r="N225" s="465"/>
      <c r="O225" s="465"/>
      <c r="P225" s="465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5"/>
      <c r="B226" s="263"/>
      <c r="C226" s="823" t="s">
        <v>115</v>
      </c>
      <c r="D226" s="256"/>
      <c r="E226" s="256"/>
      <c r="F226" s="256"/>
      <c r="G226" s="258"/>
      <c r="H226" s="265" t="s">
        <v>35</v>
      </c>
      <c r="I226" s="824">
        <f t="shared" ref="I226:J226" ca="1" si="104">I237+I248</f>
        <v>0</v>
      </c>
      <c r="J226" s="824">
        <f t="shared" si="104"/>
        <v>0</v>
      </c>
      <c r="K226" s="825">
        <f t="shared" ca="1" si="103"/>
        <v>0</v>
      </c>
      <c r="L226" s="261"/>
      <c r="M226" s="261"/>
      <c r="N226" s="261"/>
      <c r="O226" s="261"/>
      <c r="P226" s="261"/>
    </row>
    <row r="227" spans="1:26" ht="19.5" hidden="1">
      <c r="A227" s="826"/>
      <c r="B227" s="827"/>
      <c r="C227" s="828" t="s">
        <v>16</v>
      </c>
      <c r="D227" s="829" t="s">
        <v>17</v>
      </c>
      <c r="E227" s="827"/>
      <c r="F227" s="827"/>
      <c r="G227" s="830"/>
      <c r="H227" s="831" t="s">
        <v>12</v>
      </c>
      <c r="I227" s="832"/>
      <c r="J227" s="832"/>
      <c r="K227" s="833"/>
      <c r="L227" s="834">
        <f t="shared" ref="L227:L231" ca="1" si="105">L238+L249</f>
        <v>0</v>
      </c>
      <c r="M227" s="834"/>
      <c r="N227" s="834">
        <f t="shared" ref="N227:N231" si="106">N238+N249</f>
        <v>0</v>
      </c>
      <c r="O227" s="835"/>
      <c r="P227" s="835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542"/>
      <c r="C228" s="40"/>
      <c r="D228" s="222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5"/>
        <v>0</v>
      </c>
      <c r="M228" s="93"/>
      <c r="N228" s="93">
        <f t="shared" si="106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836"/>
      <c r="B229" s="542"/>
      <c r="C229" s="837"/>
      <c r="D229" s="222" t="s">
        <v>98</v>
      </c>
      <c r="E229" s="40"/>
      <c r="F229" s="40"/>
      <c r="G229" s="42"/>
      <c r="H229" s="165" t="s">
        <v>12</v>
      </c>
      <c r="I229" s="583"/>
      <c r="J229" s="583"/>
      <c r="K229" s="93"/>
      <c r="L229" s="93">
        <f t="shared" ca="1" si="105"/>
        <v>0</v>
      </c>
      <c r="M229" s="93"/>
      <c r="N229" s="93">
        <f t="shared" si="106"/>
        <v>0</v>
      </c>
      <c r="O229" s="93"/>
      <c r="P229" s="93"/>
      <c r="Q229" s="838"/>
      <c r="R229" s="838"/>
      <c r="S229" s="838"/>
      <c r="T229" s="838"/>
      <c r="U229" s="838"/>
      <c r="V229" s="838"/>
      <c r="W229" s="838"/>
      <c r="X229" s="838"/>
      <c r="Y229" s="838"/>
      <c r="Z229" s="838"/>
    </row>
    <row r="230" spans="1:26" ht="19.5" hidden="1">
      <c r="A230" s="836"/>
      <c r="B230" s="542"/>
      <c r="C230" s="837"/>
      <c r="D230" s="222" t="s">
        <v>116</v>
      </c>
      <c r="E230" s="40"/>
      <c r="F230" s="40"/>
      <c r="G230" s="42"/>
      <c r="H230" s="165" t="s">
        <v>12</v>
      </c>
      <c r="I230" s="583"/>
      <c r="J230" s="583"/>
      <c r="K230" s="93"/>
      <c r="L230" s="93">
        <f t="shared" ca="1" si="105"/>
        <v>0</v>
      </c>
      <c r="M230" s="93"/>
      <c r="N230" s="93">
        <f t="shared" si="106"/>
        <v>0</v>
      </c>
      <c r="O230" s="93"/>
      <c r="P230" s="93"/>
      <c r="Q230" s="838"/>
      <c r="R230" s="838"/>
      <c r="S230" s="838"/>
      <c r="T230" s="838"/>
      <c r="U230" s="838"/>
      <c r="V230" s="838"/>
      <c r="W230" s="838"/>
      <c r="X230" s="838"/>
      <c r="Y230" s="838"/>
      <c r="Z230" s="838"/>
    </row>
    <row r="231" spans="1:26" ht="19.5" hidden="1">
      <c r="A231" s="836"/>
      <c r="B231" s="542"/>
      <c r="C231" s="837"/>
      <c r="D231" s="222" t="s">
        <v>100</v>
      </c>
      <c r="E231" s="40"/>
      <c r="F231" s="40"/>
      <c r="G231" s="42"/>
      <c r="H231" s="165" t="s">
        <v>12</v>
      </c>
      <c r="I231" s="583"/>
      <c r="J231" s="583"/>
      <c r="K231" s="93"/>
      <c r="L231" s="93">
        <f t="shared" ca="1" si="105"/>
        <v>0</v>
      </c>
      <c r="M231" s="93"/>
      <c r="N231" s="93">
        <f t="shared" si="106"/>
        <v>0</v>
      </c>
      <c r="O231" s="93"/>
      <c r="P231" s="93"/>
      <c r="Q231" s="838"/>
      <c r="R231" s="838"/>
      <c r="S231" s="838"/>
      <c r="T231" s="838"/>
      <c r="U231" s="838"/>
      <c r="V231" s="838"/>
      <c r="W231" s="838"/>
      <c r="X231" s="838"/>
      <c r="Y231" s="838"/>
      <c r="Z231" s="838"/>
    </row>
    <row r="232" spans="1:26" ht="19.5" hidden="1">
      <c r="A232" s="839"/>
      <c r="B232" s="840"/>
      <c r="C232" s="837" t="s">
        <v>16</v>
      </c>
      <c r="D232" s="266" t="s">
        <v>38</v>
      </c>
      <c r="E232" s="841"/>
      <c r="F232" s="841"/>
      <c r="G232" s="842"/>
      <c r="H232" s="581"/>
      <c r="I232" s="166"/>
      <c r="J232" s="583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839"/>
      <c r="B233" s="840"/>
      <c r="C233" s="840"/>
      <c r="D233" s="268" t="s">
        <v>117</v>
      </c>
      <c r="E233" s="536"/>
      <c r="F233" s="536"/>
      <c r="G233" s="843"/>
      <c r="H233" s="582" t="s">
        <v>35</v>
      </c>
      <c r="I233" s="583">
        <f t="shared" ref="I233:J233" ca="1" si="107">I244+I255</f>
        <v>0</v>
      </c>
      <c r="J233" s="583">
        <f t="shared" si="107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839"/>
      <c r="B234" s="840"/>
      <c r="C234" s="840"/>
      <c r="D234" s="844" t="s">
        <v>43</v>
      </c>
      <c r="E234" s="536"/>
      <c r="F234" s="536"/>
      <c r="G234" s="843"/>
      <c r="H234" s="582"/>
      <c r="I234" s="583"/>
      <c r="J234" s="583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839"/>
      <c r="B235" s="840"/>
      <c r="C235" s="840"/>
      <c r="D235" s="840"/>
      <c r="E235" s="267" t="s">
        <v>118</v>
      </c>
      <c r="F235" s="536"/>
      <c r="G235" s="843"/>
      <c r="H235" s="582" t="s">
        <v>35</v>
      </c>
      <c r="I235" s="583">
        <f t="shared" ref="I235:J236" si="108">I246+I257</f>
        <v>0</v>
      </c>
      <c r="J235" s="583">
        <f t="shared" si="108"/>
        <v>0</v>
      </c>
      <c r="K235" s="93">
        <f t="shared" ref="K235:K237" si="109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839"/>
      <c r="B236" s="840"/>
      <c r="C236" s="840"/>
      <c r="D236" s="840"/>
      <c r="E236" s="267" t="s">
        <v>119</v>
      </c>
      <c r="F236" s="536"/>
      <c r="G236" s="843"/>
      <c r="H236" s="582" t="s">
        <v>69</v>
      </c>
      <c r="I236" s="583">
        <f t="shared" si="108"/>
        <v>0</v>
      </c>
      <c r="J236" s="583">
        <f t="shared" si="108"/>
        <v>0</v>
      </c>
      <c r="K236" s="93">
        <f t="shared" si="109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5"/>
      <c r="B237" s="263"/>
      <c r="C237" s="339" t="s">
        <v>330</v>
      </c>
      <c r="D237" s="256"/>
      <c r="E237" s="256"/>
      <c r="F237" s="256"/>
      <c r="G237" s="258"/>
      <c r="H237" s="259" t="s">
        <v>35</v>
      </c>
      <c r="I237" s="271">
        <f t="shared" ref="I237:J237" ca="1" si="110">I244</f>
        <v>0</v>
      </c>
      <c r="J237" s="271">
        <f t="shared" si="110"/>
        <v>0</v>
      </c>
      <c r="K237" s="272">
        <f t="shared" ca="1" si="109"/>
        <v>0</v>
      </c>
      <c r="L237" s="261"/>
      <c r="M237" s="261"/>
      <c r="N237" s="261"/>
      <c r="O237" s="261"/>
      <c r="P237" s="261"/>
    </row>
    <row r="238" spans="1:26" ht="19.5" hidden="1">
      <c r="A238" s="147"/>
      <c r="B238" s="148"/>
      <c r="C238" s="149" t="s">
        <v>16</v>
      </c>
      <c r="D238" s="817" t="s">
        <v>17</v>
      </c>
      <c r="E238" s="148"/>
      <c r="F238" s="148"/>
      <c r="G238" s="151"/>
      <c r="H238" s="274" t="s">
        <v>12</v>
      </c>
      <c r="I238" s="387"/>
      <c r="J238" s="387"/>
      <c r="K238" s="279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3"/>
      <c r="B239" s="314"/>
      <c r="C239" s="315"/>
      <c r="D239" s="324" t="s">
        <v>97</v>
      </c>
      <c r="E239" s="315"/>
      <c r="F239" s="315"/>
      <c r="G239" s="317"/>
      <c r="H239" s="318" t="s">
        <v>12</v>
      </c>
      <c r="I239" s="319"/>
      <c r="J239" s="319"/>
      <c r="K239" s="320"/>
      <c r="L239" s="321">
        <f ca="1">IFERROR(__xludf.DUMMYFUNCTION("IMPORTRANGE(""https://docs.google.com/spreadsheets/d/1QqKyyYR6Q21VydFLVH3TRQUabQu_ym0Zz7PgGX0-kHA/edit?usp=sharing"",""แผน!AV26"")"),0)</f>
        <v>0</v>
      </c>
      <c r="M239" s="321"/>
      <c r="N239" s="340">
        <v>0</v>
      </c>
      <c r="O239" s="321"/>
      <c r="P239" s="321"/>
      <c r="Q239" s="312"/>
      <c r="R239" s="312"/>
      <c r="S239" s="312"/>
      <c r="T239" s="312"/>
      <c r="U239" s="312"/>
      <c r="V239" s="312"/>
      <c r="W239" s="312"/>
      <c r="X239" s="312"/>
      <c r="Y239" s="312"/>
      <c r="Z239" s="312"/>
    </row>
    <row r="240" spans="1:26" ht="19.5" hidden="1">
      <c r="A240" s="322"/>
      <c r="B240" s="314"/>
      <c r="C240" s="323"/>
      <c r="D240" s="324" t="s">
        <v>98</v>
      </c>
      <c r="E240" s="315"/>
      <c r="F240" s="315"/>
      <c r="G240" s="317"/>
      <c r="H240" s="318" t="s">
        <v>12</v>
      </c>
      <c r="I240" s="325"/>
      <c r="J240" s="325"/>
      <c r="K240" s="321"/>
      <c r="L240" s="321">
        <f ca="1">IFERROR(__xludf.DUMMYFUNCTION("IMPORTRANGE(""https://docs.google.com/spreadsheets/d/1QqKyyYR6Q21VydFLVH3TRQUabQu_ym0Zz7PgGX0-kHA/edit?usp=sharing"",""แผน!AW26"")"),0)</f>
        <v>0</v>
      </c>
      <c r="M240" s="321"/>
      <c r="N240" s="340">
        <v>0</v>
      </c>
      <c r="O240" s="321"/>
      <c r="P240" s="321"/>
      <c r="Q240" s="326"/>
      <c r="R240" s="326"/>
      <c r="S240" s="326"/>
      <c r="T240" s="326"/>
      <c r="U240" s="326"/>
      <c r="V240" s="326"/>
      <c r="W240" s="326"/>
      <c r="X240" s="326"/>
      <c r="Y240" s="326"/>
      <c r="Z240" s="326"/>
    </row>
    <row r="241" spans="1:26" ht="19.5" hidden="1">
      <c r="A241" s="322"/>
      <c r="B241" s="314"/>
      <c r="C241" s="323"/>
      <c r="D241" s="324" t="s">
        <v>116</v>
      </c>
      <c r="E241" s="315"/>
      <c r="F241" s="315"/>
      <c r="G241" s="317"/>
      <c r="H241" s="318" t="s">
        <v>12</v>
      </c>
      <c r="I241" s="325"/>
      <c r="J241" s="325"/>
      <c r="K241" s="321"/>
      <c r="L241" s="321">
        <f ca="1">IFERROR(__xludf.DUMMYFUNCTION("IMPORTRANGE(""https://docs.google.com/spreadsheets/d/1QqKyyYR6Q21VydFLVH3TRQUabQu_ym0Zz7PgGX0-kHA/edit?usp=sharing"",""แผน!AX26"")"),0)</f>
        <v>0</v>
      </c>
      <c r="M241" s="321"/>
      <c r="N241" s="340">
        <v>0</v>
      </c>
      <c r="O241" s="321"/>
      <c r="P241" s="321"/>
      <c r="Q241" s="326"/>
      <c r="R241" s="326"/>
      <c r="S241" s="326"/>
      <c r="T241" s="326"/>
      <c r="U241" s="326"/>
      <c r="V241" s="326"/>
      <c r="W241" s="326"/>
      <c r="X241" s="326"/>
      <c r="Y241" s="326"/>
      <c r="Z241" s="326"/>
    </row>
    <row r="242" spans="1:26" ht="19.5" hidden="1">
      <c r="A242" s="322"/>
      <c r="B242" s="314"/>
      <c r="C242" s="323"/>
      <c r="D242" s="324" t="s">
        <v>100</v>
      </c>
      <c r="E242" s="315"/>
      <c r="F242" s="315"/>
      <c r="G242" s="317"/>
      <c r="H242" s="318" t="s">
        <v>12</v>
      </c>
      <c r="I242" s="325"/>
      <c r="J242" s="325"/>
      <c r="K242" s="321"/>
      <c r="L242" s="321">
        <f ca="1">IFERROR(__xludf.DUMMYFUNCTION("IMPORTRANGE(""https://docs.google.com/spreadsheets/d/1QqKyyYR6Q21VydFLVH3TRQUabQu_ym0Zz7PgGX0-kHA/edit?usp=sharing"",""แผน!AY26"")"),0)</f>
        <v>0</v>
      </c>
      <c r="M242" s="321"/>
      <c r="N242" s="340">
        <v>0</v>
      </c>
      <c r="O242" s="321"/>
      <c r="P242" s="321"/>
      <c r="Q242" s="326"/>
      <c r="R242" s="326"/>
      <c r="S242" s="326"/>
      <c r="T242" s="326"/>
      <c r="U242" s="326"/>
      <c r="V242" s="326"/>
      <c r="W242" s="326"/>
      <c r="X242" s="326"/>
      <c r="Y242" s="326"/>
      <c r="Z242" s="326"/>
    </row>
    <row r="243" spans="1:26" ht="19.5" hidden="1">
      <c r="A243" s="170"/>
      <c r="B243" s="171"/>
      <c r="C243" s="291" t="s">
        <v>16</v>
      </c>
      <c r="D243" s="818" t="s">
        <v>38</v>
      </c>
      <c r="E243" s="173"/>
      <c r="F243" s="173"/>
      <c r="G243" s="174"/>
      <c r="H243" s="726"/>
      <c r="I243" s="184"/>
      <c r="J243" s="269"/>
      <c r="K243" s="465"/>
      <c r="L243" s="465"/>
      <c r="M243" s="465"/>
      <c r="N243" s="465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15" t="s">
        <v>117</v>
      </c>
      <c r="E244" s="342"/>
      <c r="F244" s="342"/>
      <c r="G244" s="179"/>
      <c r="H244" s="728" t="s">
        <v>35</v>
      </c>
      <c r="I244" s="269">
        <f ca="1">IFERROR(__xludf.DUMMYFUNCTION("IMPORTRANGE(""https://docs.google.com/spreadsheets/d/1QqKyyYR6Q21VydFLVH3TRQUabQu_ym0Zz7PgGX0-kHA/edit?usp=sharing"",""แผน!BE26"")"),0)</f>
        <v>0</v>
      </c>
      <c r="J244" s="214">
        <v>0</v>
      </c>
      <c r="K244" s="465">
        <f ca="1">IF(I244&gt;0,J244*100/I244,0)</f>
        <v>0</v>
      </c>
      <c r="L244" s="465"/>
      <c r="M244" s="465"/>
      <c r="N244" s="465"/>
      <c r="O244" s="465"/>
      <c r="P244" s="465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341" t="s">
        <v>43</v>
      </c>
      <c r="E245" s="342"/>
      <c r="F245" s="342"/>
      <c r="G245" s="179"/>
      <c r="H245" s="728"/>
      <c r="I245" s="269"/>
      <c r="J245" s="269"/>
      <c r="K245" s="465"/>
      <c r="L245" s="465"/>
      <c r="M245" s="465"/>
      <c r="N245" s="465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343" t="s">
        <v>118</v>
      </c>
      <c r="F246" s="342"/>
      <c r="G246" s="179"/>
      <c r="H246" s="728" t="s">
        <v>35</v>
      </c>
      <c r="I246" s="269"/>
      <c r="J246" s="214">
        <v>0</v>
      </c>
      <c r="K246" s="465">
        <f t="shared" ref="K246:K248" si="111">IF(I246&gt;0,J246*100/I246,0)</f>
        <v>0</v>
      </c>
      <c r="L246" s="465"/>
      <c r="M246" s="465"/>
      <c r="N246" s="465"/>
      <c r="O246" s="465"/>
      <c r="P246" s="465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343" t="s">
        <v>119</v>
      </c>
      <c r="F247" s="342"/>
      <c r="G247" s="179"/>
      <c r="H247" s="728" t="s">
        <v>69</v>
      </c>
      <c r="I247" s="269"/>
      <c r="J247" s="214">
        <v>0</v>
      </c>
      <c r="K247" s="465">
        <f t="shared" si="111"/>
        <v>0</v>
      </c>
      <c r="L247" s="465"/>
      <c r="M247" s="465"/>
      <c r="N247" s="465"/>
      <c r="O247" s="465"/>
      <c r="P247" s="465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5"/>
      <c r="B248" s="263"/>
      <c r="C248" s="339" t="s">
        <v>331</v>
      </c>
      <c r="D248" s="256"/>
      <c r="E248" s="256"/>
      <c r="F248" s="256"/>
      <c r="G248" s="258"/>
      <c r="H248" s="259" t="s">
        <v>35</v>
      </c>
      <c r="I248" s="271">
        <f t="shared" ref="I248:J248" ca="1" si="112">I255</f>
        <v>0</v>
      </c>
      <c r="J248" s="271">
        <f t="shared" si="112"/>
        <v>0</v>
      </c>
      <c r="K248" s="272">
        <f t="shared" ca="1" si="111"/>
        <v>0</v>
      </c>
      <c r="L248" s="261"/>
      <c r="M248" s="261"/>
      <c r="N248" s="261"/>
      <c r="O248" s="261"/>
      <c r="P248" s="261"/>
    </row>
    <row r="249" spans="1:26" ht="19.5" hidden="1">
      <c r="A249" s="147"/>
      <c r="B249" s="148"/>
      <c r="C249" s="149" t="s">
        <v>16</v>
      </c>
      <c r="D249" s="822" t="s">
        <v>17</v>
      </c>
      <c r="E249" s="148"/>
      <c r="F249" s="148"/>
      <c r="G249" s="151"/>
      <c r="H249" s="274" t="s">
        <v>12</v>
      </c>
      <c r="I249" s="387"/>
      <c r="J249" s="387"/>
      <c r="K249" s="279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3"/>
      <c r="B250" s="314"/>
      <c r="C250" s="315"/>
      <c r="D250" s="324" t="s">
        <v>97</v>
      </c>
      <c r="E250" s="315"/>
      <c r="F250" s="315"/>
      <c r="G250" s="317"/>
      <c r="H250" s="318" t="s">
        <v>12</v>
      </c>
      <c r="I250" s="319"/>
      <c r="J250" s="319"/>
      <c r="K250" s="320"/>
      <c r="L250" s="321">
        <f ca="1">IFERROR(__xludf.DUMMYFUNCTION("IMPORTRANGE(""https://docs.google.com/spreadsheets/d/1QqKyyYR6Q21VydFLVH3TRQUabQu_ym0Zz7PgGX0-kHA/edit?usp=sharing"",""แผน!AZ26"")"),0)</f>
        <v>0</v>
      </c>
      <c r="M250" s="321"/>
      <c r="N250" s="340">
        <v>0</v>
      </c>
      <c r="O250" s="321"/>
      <c r="P250" s="321"/>
      <c r="Q250" s="312"/>
      <c r="R250" s="312"/>
      <c r="S250" s="312"/>
      <c r="T250" s="312"/>
      <c r="U250" s="312"/>
      <c r="V250" s="312"/>
      <c r="W250" s="312"/>
      <c r="X250" s="312"/>
      <c r="Y250" s="312"/>
      <c r="Z250" s="312"/>
    </row>
    <row r="251" spans="1:26" ht="19.5" hidden="1">
      <c r="A251" s="322"/>
      <c r="B251" s="314"/>
      <c r="C251" s="323"/>
      <c r="D251" s="324" t="s">
        <v>98</v>
      </c>
      <c r="E251" s="315"/>
      <c r="F251" s="315"/>
      <c r="G251" s="317"/>
      <c r="H251" s="318" t="s">
        <v>12</v>
      </c>
      <c r="I251" s="325"/>
      <c r="J251" s="325"/>
      <c r="K251" s="321"/>
      <c r="L251" s="321">
        <f ca="1">IFERROR(__xludf.DUMMYFUNCTION("IMPORTRANGE(""https://docs.google.com/spreadsheets/d/1QqKyyYR6Q21VydFLVH3TRQUabQu_ym0Zz7PgGX0-kHA/edit?usp=sharing"",""แผน!BA26"")"),0)</f>
        <v>0</v>
      </c>
      <c r="M251" s="321"/>
      <c r="N251" s="340">
        <v>0</v>
      </c>
      <c r="O251" s="321"/>
      <c r="P251" s="321"/>
      <c r="Q251" s="326"/>
      <c r="R251" s="326"/>
      <c r="S251" s="326"/>
      <c r="T251" s="326"/>
      <c r="U251" s="326"/>
      <c r="V251" s="326"/>
      <c r="W251" s="326"/>
      <c r="X251" s="326"/>
      <c r="Y251" s="326"/>
      <c r="Z251" s="326"/>
    </row>
    <row r="252" spans="1:26" ht="19.5" hidden="1">
      <c r="A252" s="322"/>
      <c r="B252" s="314"/>
      <c r="C252" s="323"/>
      <c r="D252" s="324" t="s">
        <v>116</v>
      </c>
      <c r="E252" s="315"/>
      <c r="F252" s="315"/>
      <c r="G252" s="317"/>
      <c r="H252" s="318" t="s">
        <v>12</v>
      </c>
      <c r="I252" s="325"/>
      <c r="J252" s="325"/>
      <c r="K252" s="321"/>
      <c r="L252" s="321">
        <f ca="1">IFERROR(__xludf.DUMMYFUNCTION("IMPORTRANGE(""https://docs.google.com/spreadsheets/d/1QqKyyYR6Q21VydFLVH3TRQUabQu_ym0Zz7PgGX0-kHA/edit?usp=sharing"",""แผน!BB26"")"),0)</f>
        <v>0</v>
      </c>
      <c r="M252" s="321"/>
      <c r="N252" s="340">
        <v>0</v>
      </c>
      <c r="O252" s="321"/>
      <c r="P252" s="321"/>
      <c r="Q252" s="326"/>
      <c r="R252" s="326"/>
      <c r="S252" s="326"/>
      <c r="T252" s="326"/>
      <c r="U252" s="326"/>
      <c r="V252" s="326"/>
      <c r="W252" s="326"/>
      <c r="X252" s="326"/>
      <c r="Y252" s="326"/>
      <c r="Z252" s="326"/>
    </row>
    <row r="253" spans="1:26" ht="19.5" hidden="1">
      <c r="A253" s="322"/>
      <c r="B253" s="314"/>
      <c r="C253" s="323"/>
      <c r="D253" s="324" t="s">
        <v>100</v>
      </c>
      <c r="E253" s="315"/>
      <c r="F253" s="315"/>
      <c r="G253" s="317"/>
      <c r="H253" s="318" t="s">
        <v>12</v>
      </c>
      <c r="I253" s="325"/>
      <c r="J253" s="325"/>
      <c r="K253" s="321"/>
      <c r="L253" s="321">
        <f ca="1">IFERROR(__xludf.DUMMYFUNCTION("IMPORTRANGE(""https://docs.google.com/spreadsheets/d/1QqKyyYR6Q21VydFLVH3TRQUabQu_ym0Zz7PgGX0-kHA/edit?usp=sharing"",""แผน!BC26"")"),0)</f>
        <v>0</v>
      </c>
      <c r="M253" s="321"/>
      <c r="N253" s="340">
        <v>0</v>
      </c>
      <c r="O253" s="321"/>
      <c r="P253" s="321"/>
      <c r="Q253" s="326"/>
      <c r="R253" s="326"/>
      <c r="S253" s="326"/>
      <c r="T253" s="326"/>
      <c r="U253" s="326"/>
      <c r="V253" s="326"/>
      <c r="W253" s="326"/>
      <c r="X253" s="326"/>
      <c r="Y253" s="326"/>
      <c r="Z253" s="326"/>
    </row>
    <row r="254" spans="1:26" ht="19.5" hidden="1">
      <c r="A254" s="170"/>
      <c r="B254" s="171"/>
      <c r="C254" s="291" t="s">
        <v>16</v>
      </c>
      <c r="D254" s="818" t="s">
        <v>38</v>
      </c>
      <c r="E254" s="173"/>
      <c r="F254" s="173"/>
      <c r="G254" s="174"/>
      <c r="H254" s="726"/>
      <c r="I254" s="184"/>
      <c r="J254" s="269"/>
      <c r="K254" s="465"/>
      <c r="L254" s="465"/>
      <c r="M254" s="465"/>
      <c r="N254" s="465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15" t="s">
        <v>117</v>
      </c>
      <c r="E255" s="342"/>
      <c r="F255" s="342"/>
      <c r="G255" s="179"/>
      <c r="H255" s="728" t="s">
        <v>35</v>
      </c>
      <c r="I255" s="269">
        <f ca="1">IFERROR(__xludf.DUMMYFUNCTION("IMPORTRANGE(""https://docs.google.com/spreadsheets/d/1QqKyyYR6Q21VydFLVH3TRQUabQu_ym0Zz7PgGX0-kHA/edit?usp=sharing"",""แผน!BF26"")"),0)</f>
        <v>0</v>
      </c>
      <c r="J255" s="214">
        <v>0</v>
      </c>
      <c r="K255" s="465">
        <f ca="1">IF(I255&gt;0,J255*100/I255,0)</f>
        <v>0</v>
      </c>
      <c r="L255" s="465"/>
      <c r="M255" s="465"/>
      <c r="N255" s="465"/>
      <c r="O255" s="465"/>
      <c r="P255" s="465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341" t="s">
        <v>43</v>
      </c>
      <c r="E256" s="342"/>
      <c r="F256" s="342"/>
      <c r="G256" s="179"/>
      <c r="H256" s="728"/>
      <c r="I256" s="269"/>
      <c r="J256" s="269"/>
      <c r="K256" s="465"/>
      <c r="L256" s="465"/>
      <c r="M256" s="465"/>
      <c r="N256" s="465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343" t="s">
        <v>118</v>
      </c>
      <c r="F257" s="342"/>
      <c r="G257" s="179"/>
      <c r="H257" s="728" t="s">
        <v>35</v>
      </c>
      <c r="I257" s="269"/>
      <c r="J257" s="214">
        <v>0</v>
      </c>
      <c r="K257" s="465">
        <f t="shared" ref="K257:K258" si="113">IF(I257&gt;0,J257*100/I257,0)</f>
        <v>0</v>
      </c>
      <c r="L257" s="465"/>
      <c r="M257" s="465"/>
      <c r="N257" s="465"/>
      <c r="O257" s="465"/>
      <c r="P257" s="465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343" t="s">
        <v>119</v>
      </c>
      <c r="F258" s="342"/>
      <c r="G258" s="179"/>
      <c r="H258" s="728" t="s">
        <v>69</v>
      </c>
      <c r="I258" s="269"/>
      <c r="J258" s="214">
        <v>0</v>
      </c>
      <c r="K258" s="465">
        <f t="shared" si="113"/>
        <v>0</v>
      </c>
      <c r="L258" s="465"/>
      <c r="M258" s="465"/>
      <c r="N258" s="465"/>
      <c r="O258" s="465"/>
      <c r="P258" s="465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1" t="s">
        <v>122</v>
      </c>
      <c r="B259" s="242"/>
      <c r="C259" s="242"/>
      <c r="D259" s="243"/>
      <c r="E259" s="243"/>
      <c r="F259" s="243"/>
      <c r="G259" s="244"/>
      <c r="H259" s="245"/>
      <c r="I259" s="246"/>
      <c r="J259" s="246"/>
      <c r="K259" s="247"/>
      <c r="L259" s="247"/>
      <c r="M259" s="247"/>
      <c r="N259" s="247"/>
      <c r="O259" s="247"/>
      <c r="P259" s="247"/>
    </row>
    <row r="260" spans="1:26" ht="19.5">
      <c r="A260" s="248"/>
      <c r="B260" s="249" t="s">
        <v>123</v>
      </c>
      <c r="C260" s="250"/>
      <c r="D260" s="173"/>
      <c r="E260" s="173"/>
      <c r="F260" s="173"/>
      <c r="G260" s="174"/>
      <c r="H260" s="251" t="s">
        <v>35</v>
      </c>
      <c r="I260" s="252">
        <f t="shared" ref="I260:J260" ca="1" si="114">I271</f>
        <v>30</v>
      </c>
      <c r="J260" s="252">
        <f t="shared" si="114"/>
        <v>0</v>
      </c>
      <c r="K260" s="253">
        <f ca="1">IF(I260&gt;0,J260*100/I260,0)</f>
        <v>0</v>
      </c>
      <c r="L260" s="254"/>
      <c r="M260" s="254"/>
      <c r="N260" s="254"/>
      <c r="O260" s="254"/>
      <c r="P260" s="254"/>
    </row>
    <row r="261" spans="1:26" ht="19.5">
      <c r="A261" s="147"/>
      <c r="B261" s="148"/>
      <c r="C261" s="149" t="s">
        <v>16</v>
      </c>
      <c r="D261" s="817" t="s">
        <v>17</v>
      </c>
      <c r="E261" s="148"/>
      <c r="F261" s="148"/>
      <c r="G261" s="151"/>
      <c r="H261" s="152" t="s">
        <v>12</v>
      </c>
      <c r="I261" s="388"/>
      <c r="J261" s="388"/>
      <c r="K261" s="154"/>
      <c r="L261" s="155">
        <f t="shared" ref="L261:N261" ca="1" si="115">L262+L263</f>
        <v>34500</v>
      </c>
      <c r="M261" s="155">
        <f t="shared" ca="1" si="115"/>
        <v>31500</v>
      </c>
      <c r="N261" s="155">
        <f t="shared" ca="1" si="115"/>
        <v>31500</v>
      </c>
      <c r="O261" s="155">
        <f t="shared" ref="O261:O269" ca="1" si="116">IF(L261&gt;0,N261*100/L261,0)</f>
        <v>91.304347826086953</v>
      </c>
      <c r="P261" s="155">
        <f t="shared" ref="P261:P269" ca="1" si="117">IF(M261&gt;0,N261*100/M261,0)</f>
        <v>100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2" t="s">
        <v>18</v>
      </c>
      <c r="F262" s="40"/>
      <c r="G262" s="157"/>
      <c r="H262" s="158" t="s">
        <v>12</v>
      </c>
      <c r="I262" s="583"/>
      <c r="J262" s="583"/>
      <c r="K262" s="93"/>
      <c r="L262" s="93">
        <f t="shared" ref="L262:N263" si="118">L265+L268</f>
        <v>0</v>
      </c>
      <c r="M262" s="93">
        <f t="shared" si="118"/>
        <v>0</v>
      </c>
      <c r="N262" s="93">
        <f t="shared" si="118"/>
        <v>0</v>
      </c>
      <c r="O262" s="93">
        <f t="shared" si="116"/>
        <v>0</v>
      </c>
      <c r="P262" s="93">
        <f t="shared" si="117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2" t="s">
        <v>19</v>
      </c>
      <c r="F263" s="40"/>
      <c r="G263" s="157"/>
      <c r="H263" s="158" t="s">
        <v>12</v>
      </c>
      <c r="I263" s="583"/>
      <c r="J263" s="583"/>
      <c r="K263" s="93"/>
      <c r="L263" s="93">
        <f t="shared" ca="1" si="118"/>
        <v>34500</v>
      </c>
      <c r="M263" s="93">
        <f t="shared" ca="1" si="118"/>
        <v>31500</v>
      </c>
      <c r="N263" s="93">
        <f t="shared" ca="1" si="118"/>
        <v>31500</v>
      </c>
      <c r="O263" s="93">
        <f t="shared" ca="1" si="116"/>
        <v>91.304347826086953</v>
      </c>
      <c r="P263" s="93">
        <f t="shared" ca="1" si="117"/>
        <v>100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1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65">
        <f t="shared" ref="L264:N264" ca="1" si="119">L265+L266</f>
        <v>34500</v>
      </c>
      <c r="M264" s="465">
        <f t="shared" ca="1" si="119"/>
        <v>31500</v>
      </c>
      <c r="N264" s="465">
        <f t="shared" ca="1" si="119"/>
        <v>31500</v>
      </c>
      <c r="O264" s="465">
        <f t="shared" ca="1" si="116"/>
        <v>91.304347826086953</v>
      </c>
      <c r="P264" s="465">
        <f t="shared" ca="1" si="117"/>
        <v>100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2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6"/>
        <v>0</v>
      </c>
      <c r="P265" s="93">
        <f t="shared" si="117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2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IFERROR(__xludf.DUMMYFUNCTION("IMPORTRANGE(""https://docs.google.com/spreadsheets/d/1MeEWN-I1oV_STSDYn1IFDPWt_1FKiwhDph83XaGc0o0/edit?usp=sharing"",""งบพรบ!CY26"")"),34500)</f>
        <v>34500</v>
      </c>
      <c r="M266" s="93">
        <f ca="1">IFERROR(__xludf.DUMMYFUNCTION("IMPORTRANGE(""https://docs.google.com/spreadsheets/d/1MeEWN-I1oV_STSDYn1IFDPWt_1FKiwhDph83XaGc0o0/edit?usp=sharing"",""งบพรบ!DD26"")"),31500)</f>
        <v>31500</v>
      </c>
      <c r="N266" s="93">
        <f ca="1">IFERROR(__xludf.DUMMYFUNCTION("IMPORTRANGE(""https://docs.google.com/spreadsheets/d/1MeEWN-I1oV_STSDYn1IFDPWt_1FKiwhDph83XaGc0o0/edit?usp=sharing"",""งบพรบ!DF26"")"),31500)</f>
        <v>31500</v>
      </c>
      <c r="O266" s="93">
        <f t="shared" ca="1" si="116"/>
        <v>91.304347826086953</v>
      </c>
      <c r="P266" s="93">
        <f t="shared" ca="1" si="117"/>
        <v>100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1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65">
        <f t="shared" ref="L267:N267" ca="1" si="120">L268+L269</f>
        <v>0</v>
      </c>
      <c r="M267" s="465">
        <f t="shared" ca="1" si="120"/>
        <v>0</v>
      </c>
      <c r="N267" s="465">
        <f t="shared" ca="1" si="120"/>
        <v>0</v>
      </c>
      <c r="O267" s="465">
        <f t="shared" ca="1" si="116"/>
        <v>0</v>
      </c>
      <c r="P267" s="465">
        <f t="shared" ca="1" si="117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2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6"/>
        <v>0</v>
      </c>
      <c r="P268" s="93">
        <f t="shared" si="117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2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IFERROR(__xludf.DUMMYFUNCTION("IMPORTRANGE(""https://docs.google.com/spreadsheets/d/1MeEWN-I1oV_STSDYn1IFDPWt_1FKiwhDph83XaGc0o0/edit?usp=sharing"",""งบพรบ!DB26"")"),0)</f>
        <v>0</v>
      </c>
      <c r="M269" s="93">
        <f ca="1">IFERROR(__xludf.DUMMYFUNCTION("IMPORTRANGE(""https://docs.google.com/spreadsheets/d/1MeEWN-I1oV_STSDYn1IFDPWt_1FKiwhDph83XaGc0o0/edit?usp=sharing"",""งบพรบ!DE26"")"),0)</f>
        <v>0</v>
      </c>
      <c r="N269" s="93">
        <f ca="1">IFERROR(__xludf.DUMMYFUNCTION("IMPORTRANGE(""https://docs.google.com/spreadsheets/d/1MeEWN-I1oV_STSDYn1IFDPWt_1FKiwhDph83XaGc0o0/edit?usp=sharing"",""งบพรบ!DG26"")"),0)</f>
        <v>0</v>
      </c>
      <c r="O269" s="93">
        <f t="shared" ca="1" si="116"/>
        <v>0</v>
      </c>
      <c r="P269" s="93">
        <f t="shared" ca="1" si="117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1" t="s">
        <v>16</v>
      </c>
      <c r="D270" s="818" t="s">
        <v>38</v>
      </c>
      <c r="E270" s="173"/>
      <c r="F270" s="173"/>
      <c r="G270" s="174"/>
      <c r="H270" s="726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44" t="s">
        <v>124</v>
      </c>
      <c r="E271" s="342"/>
      <c r="F271" s="268"/>
      <c r="G271" s="179"/>
      <c r="H271" s="345" t="s">
        <v>35</v>
      </c>
      <c r="I271" s="269">
        <f ca="1">IFERROR(__xludf.DUMMYFUNCTION("IMPORTRANGE(""https://docs.google.com/spreadsheets/d/1QqKyyYR6Q21VydFLVH3TRQUabQu_ym0Zz7PgGX0-kHA/edit?usp=sharing"",""แผน!EA26"")"),30)</f>
        <v>30</v>
      </c>
      <c r="J271" s="214">
        <v>0</v>
      </c>
      <c r="K271" s="163">
        <f ca="1">IF(I271&gt;0,J271*100/I271,0)</f>
        <v>0</v>
      </c>
      <c r="L271" s="163"/>
      <c r="M271" s="163"/>
      <c r="N271" s="163"/>
      <c r="O271" s="163"/>
      <c r="P271" s="163"/>
    </row>
    <row r="272" spans="1:26" ht="18.75" hidden="1">
      <c r="A272" s="346"/>
      <c r="B272" s="347"/>
      <c r="C272" s="347"/>
      <c r="D272" s="348" t="s">
        <v>125</v>
      </c>
      <c r="E272" s="349"/>
      <c r="F272" s="349"/>
      <c r="G272" s="350"/>
      <c r="H272" s="50" t="s">
        <v>35</v>
      </c>
      <c r="I272" s="468">
        <v>0</v>
      </c>
      <c r="J272" s="468">
        <v>0</v>
      </c>
      <c r="K272" s="353">
        <v>0</v>
      </c>
      <c r="L272" s="353"/>
      <c r="M272" s="353"/>
      <c r="N272" s="353"/>
      <c r="O272" s="353"/>
      <c r="P272" s="353"/>
    </row>
    <row r="273" spans="1:26" ht="19.5">
      <c r="A273" s="354" t="s">
        <v>126</v>
      </c>
      <c r="B273" s="355"/>
      <c r="C273" s="355"/>
      <c r="D273" s="355"/>
      <c r="E273" s="356"/>
      <c r="F273" s="356"/>
      <c r="G273" s="357"/>
      <c r="H273" s="358"/>
      <c r="I273" s="359"/>
      <c r="J273" s="359"/>
      <c r="K273" s="360"/>
      <c r="L273" s="360"/>
      <c r="M273" s="360"/>
      <c r="N273" s="360"/>
      <c r="O273" s="360"/>
      <c r="P273" s="360"/>
    </row>
    <row r="274" spans="1:26" ht="19.5">
      <c r="A274" s="361" t="s">
        <v>127</v>
      </c>
      <c r="B274" s="362"/>
      <c r="C274" s="363"/>
      <c r="D274" s="362"/>
      <c r="E274" s="362"/>
      <c r="F274" s="362"/>
      <c r="G274" s="362"/>
      <c r="H274" s="364"/>
      <c r="I274" s="365"/>
      <c r="J274" s="366"/>
      <c r="K274" s="367"/>
      <c r="L274" s="367"/>
      <c r="M274" s="367"/>
      <c r="N274" s="367"/>
      <c r="O274" s="367"/>
      <c r="P274" s="367"/>
    </row>
    <row r="275" spans="1:26" ht="19.5">
      <c r="A275" s="368"/>
      <c r="B275" s="377" t="s">
        <v>128</v>
      </c>
      <c r="C275" s="370"/>
      <c r="D275" s="371"/>
      <c r="E275" s="370"/>
      <c r="F275" s="370"/>
      <c r="G275" s="372"/>
      <c r="H275" s="373" t="s">
        <v>35</v>
      </c>
      <c r="I275" s="374">
        <f t="shared" ref="I275:J275" ca="1" si="121">I288</f>
        <v>30</v>
      </c>
      <c r="J275" s="374">
        <f t="shared" ca="1" si="121"/>
        <v>0</v>
      </c>
      <c r="K275" s="375">
        <f t="shared" ref="K275:K276" ca="1" si="122">IF(I275&gt;0,J275*100/I275,0)</f>
        <v>0</v>
      </c>
      <c r="L275" s="376"/>
      <c r="M275" s="376"/>
      <c r="N275" s="376"/>
      <c r="O275" s="376"/>
      <c r="P275" s="376"/>
    </row>
    <row r="276" spans="1:26" ht="19.5">
      <c r="A276" s="368"/>
      <c r="B276" s="377"/>
      <c r="C276" s="370"/>
      <c r="D276" s="371"/>
      <c r="E276" s="370"/>
      <c r="F276" s="370"/>
      <c r="G276" s="372"/>
      <c r="H276" s="373" t="s">
        <v>46</v>
      </c>
      <c r="I276" s="374">
        <f t="shared" ref="I276:J276" ca="1" si="123">I287</f>
        <v>300</v>
      </c>
      <c r="J276" s="374">
        <f t="shared" si="123"/>
        <v>0</v>
      </c>
      <c r="K276" s="375">
        <f t="shared" ca="1" si="122"/>
        <v>0</v>
      </c>
      <c r="L276" s="376"/>
      <c r="M276" s="376"/>
      <c r="N276" s="376"/>
      <c r="O276" s="376"/>
      <c r="P276" s="376"/>
    </row>
    <row r="277" spans="1:26" ht="19.5">
      <c r="A277" s="147"/>
      <c r="B277" s="148"/>
      <c r="C277" s="149" t="s">
        <v>16</v>
      </c>
      <c r="D277" s="817" t="s">
        <v>17</v>
      </c>
      <c r="E277" s="148"/>
      <c r="F277" s="148"/>
      <c r="G277" s="151"/>
      <c r="H277" s="152" t="s">
        <v>12</v>
      </c>
      <c r="I277" s="388"/>
      <c r="J277" s="388"/>
      <c r="K277" s="154"/>
      <c r="L277" s="155">
        <f t="shared" ref="L277:N277" ca="1" si="124">L278+L279</f>
        <v>413310</v>
      </c>
      <c r="M277" s="155">
        <f t="shared" ca="1" si="124"/>
        <v>190760</v>
      </c>
      <c r="N277" s="155">
        <f t="shared" ca="1" si="124"/>
        <v>53657.06</v>
      </c>
      <c r="O277" s="155">
        <f t="shared" ref="O277:O285" ca="1" si="125">IF(L277&gt;0,N277*100/L277,0)</f>
        <v>12.982279644818659</v>
      </c>
      <c r="P277" s="155">
        <f t="shared" ref="P277:P285" ca="1" si="126">IF(M277&gt;0,N277*100/M277,0)</f>
        <v>28.128045711889285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2" t="s">
        <v>18</v>
      </c>
      <c r="F278" s="40"/>
      <c r="G278" s="157"/>
      <c r="H278" s="158" t="s">
        <v>12</v>
      </c>
      <c r="I278" s="583"/>
      <c r="J278" s="583"/>
      <c r="K278" s="93"/>
      <c r="L278" s="93">
        <f t="shared" ref="L278:N279" si="127">L281+L284</f>
        <v>0</v>
      </c>
      <c r="M278" s="93">
        <f t="shared" si="127"/>
        <v>0</v>
      </c>
      <c r="N278" s="93">
        <f t="shared" si="127"/>
        <v>0</v>
      </c>
      <c r="O278" s="93">
        <f t="shared" si="125"/>
        <v>0</v>
      </c>
      <c r="P278" s="93">
        <f t="shared" si="126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2" t="s">
        <v>19</v>
      </c>
      <c r="F279" s="40"/>
      <c r="G279" s="157"/>
      <c r="H279" s="158" t="s">
        <v>12</v>
      </c>
      <c r="I279" s="583"/>
      <c r="J279" s="583"/>
      <c r="K279" s="93"/>
      <c r="L279" s="93">
        <f t="shared" ca="1" si="127"/>
        <v>413310</v>
      </c>
      <c r="M279" s="93">
        <f t="shared" ca="1" si="127"/>
        <v>190760</v>
      </c>
      <c r="N279" s="93">
        <f t="shared" ca="1" si="127"/>
        <v>53657.06</v>
      </c>
      <c r="O279" s="93">
        <f t="shared" ca="1" si="125"/>
        <v>12.982279644818659</v>
      </c>
      <c r="P279" s="93">
        <f t="shared" ca="1" si="126"/>
        <v>28.128045711889285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>
      <c r="A280" s="159"/>
      <c r="B280" s="33"/>
      <c r="C280" s="281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65">
        <f t="shared" ref="L280:N280" ca="1" si="128">L281+L282</f>
        <v>413310</v>
      </c>
      <c r="M280" s="465">
        <f t="shared" ca="1" si="128"/>
        <v>190760</v>
      </c>
      <c r="N280" s="465">
        <f t="shared" ca="1" si="128"/>
        <v>53657.06</v>
      </c>
      <c r="O280" s="465">
        <f t="shared" ca="1" si="125"/>
        <v>12.982279644818659</v>
      </c>
      <c r="P280" s="465">
        <f t="shared" ca="1" si="126"/>
        <v>28.128045711889285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2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5"/>
        <v>0</v>
      </c>
      <c r="P281" s="93">
        <f t="shared" si="126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2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IFERROR(__xludf.DUMMYFUNCTION("IMPORTRANGE(""https://docs.google.com/spreadsheets/d/1MeEWN-I1oV_STSDYn1IFDPWt_1FKiwhDph83XaGc0o0/edit?usp=sharing"",""งบพรบ!DI26"")"),413310)</f>
        <v>413310</v>
      </c>
      <c r="M282" s="93">
        <f ca="1">IFERROR(__xludf.DUMMYFUNCTION("IMPORTRANGE(""https://docs.google.com/spreadsheets/d/1MeEWN-I1oV_STSDYn1IFDPWt_1FKiwhDph83XaGc0o0/edit?usp=sharing"",""งบพรบ!DN26"")"),190760)</f>
        <v>190760</v>
      </c>
      <c r="N282" s="93">
        <f ca="1">IFERROR(__xludf.DUMMYFUNCTION("IMPORTRANGE(""https://docs.google.com/spreadsheets/d/1MeEWN-I1oV_STSDYn1IFDPWt_1FKiwhDph83XaGc0o0/edit?usp=sharing"",""งบพรบ!DP26"")"),53657.06)</f>
        <v>53657.06</v>
      </c>
      <c r="O282" s="93">
        <f t="shared" ca="1" si="125"/>
        <v>12.982279644818659</v>
      </c>
      <c r="P282" s="93">
        <f t="shared" ca="1" si="126"/>
        <v>28.128045711889285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>
      <c r="A283" s="159"/>
      <c r="B283" s="33"/>
      <c r="C283" s="281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65">
        <f t="shared" ref="L283:N283" ca="1" si="129">L284+L285</f>
        <v>0</v>
      </c>
      <c r="M283" s="465">
        <f t="shared" ca="1" si="129"/>
        <v>0</v>
      </c>
      <c r="N283" s="465">
        <f t="shared" ca="1" si="129"/>
        <v>0</v>
      </c>
      <c r="O283" s="465">
        <f t="shared" ca="1" si="125"/>
        <v>0</v>
      </c>
      <c r="P283" s="465">
        <f t="shared" ca="1" si="126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2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5"/>
        <v>0</v>
      </c>
      <c r="P284" s="93">
        <f t="shared" si="126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2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IFERROR(__xludf.DUMMYFUNCTION("IMPORTRANGE(""https://docs.google.com/spreadsheets/d/1MeEWN-I1oV_STSDYn1IFDPWt_1FKiwhDph83XaGc0o0/edit?usp=sharing"",""งบพรบ!DL26"")"),0)</f>
        <v>0</v>
      </c>
      <c r="M285" s="93">
        <f ca="1">IFERROR(__xludf.DUMMYFUNCTION("IMPORTRANGE(""https://docs.google.com/spreadsheets/d/1MeEWN-I1oV_STSDYn1IFDPWt_1FKiwhDph83XaGc0o0/edit?usp=sharing"",""งบพรบ!DO26"")"),0)</f>
        <v>0</v>
      </c>
      <c r="N285" s="93">
        <f ca="1">IFERROR(__xludf.DUMMYFUNCTION("IMPORTRANGE(""https://docs.google.com/spreadsheets/d/1MeEWN-I1oV_STSDYn1IFDPWt_1FKiwhDph83XaGc0o0/edit?usp=sharing"",""งบพรบ!DQ26"")"),0)</f>
        <v>0</v>
      </c>
      <c r="O285" s="93">
        <f t="shared" ca="1" si="125"/>
        <v>0</v>
      </c>
      <c r="P285" s="93">
        <f t="shared" ca="1" si="126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>
      <c r="A286" s="170"/>
      <c r="B286" s="171"/>
      <c r="C286" s="164" t="s">
        <v>16</v>
      </c>
      <c r="D286" s="818" t="s">
        <v>38</v>
      </c>
      <c r="E286" s="173"/>
      <c r="F286" s="173"/>
      <c r="G286" s="174"/>
      <c r="H286" s="726"/>
      <c r="I286" s="184"/>
      <c r="J286" s="184"/>
      <c r="K286" s="163"/>
      <c r="L286" s="163"/>
      <c r="M286" s="163"/>
      <c r="N286" s="163"/>
      <c r="O286" s="163"/>
      <c r="P286" s="163"/>
    </row>
    <row r="287" spans="1:26" ht="18.75">
      <c r="A287" s="170"/>
      <c r="B287" s="171"/>
      <c r="C287" s="171"/>
      <c r="D287" s="592" t="s">
        <v>129</v>
      </c>
      <c r="E287" s="171"/>
      <c r="F287" s="342"/>
      <c r="G287" s="179"/>
      <c r="H287" s="185" t="s">
        <v>46</v>
      </c>
      <c r="I287" s="269">
        <f ca="1">IFERROR(__xludf.DUMMYFUNCTION("IMPORTRANGE(""https://docs.google.com/spreadsheets/d/1QqKyyYR6Q21VydFLVH3TRQUabQu_ym0Zz7PgGX0-kHA/edit?usp=sharing"",""แผน!EC26"")"),300)</f>
        <v>300</v>
      </c>
      <c r="J287" s="214">
        <v>0</v>
      </c>
      <c r="K287" s="163">
        <f t="shared" ref="K287:K288" ca="1" si="130">IF(I287&gt;0,J287*100/I287,0)</f>
        <v>0</v>
      </c>
      <c r="L287" s="163"/>
      <c r="M287" s="163"/>
      <c r="N287" s="163"/>
      <c r="O287" s="163"/>
      <c r="P287" s="163"/>
    </row>
    <row r="288" spans="1:26" ht="19.5">
      <c r="A288" s="170"/>
      <c r="B288" s="171"/>
      <c r="C288" s="171"/>
      <c r="D288" s="592" t="s">
        <v>130</v>
      </c>
      <c r="E288" s="171"/>
      <c r="F288" s="342"/>
      <c r="G288" s="179"/>
      <c r="H288" s="180" t="s">
        <v>35</v>
      </c>
      <c r="I288" s="647">
        <f ca="1">IFERROR(__xludf.DUMMYFUNCTION("IMPORTRANGE(""https://docs.google.com/spreadsheets/d/1QqKyyYR6Q21VydFLVH3TRQUabQu_ym0Zz7PgGX0-kHA/edit?usp=sharing"",""แผน!EB26"")"),30)</f>
        <v>30</v>
      </c>
      <c r="J288" s="647">
        <f ca="1">IF(AND(J291&gt;=I288,J294&gt;=I288),J294,0)</f>
        <v>0</v>
      </c>
      <c r="K288" s="379">
        <f t="shared" ca="1" si="130"/>
        <v>0</v>
      </c>
      <c r="L288" s="163"/>
      <c r="M288" s="163"/>
      <c r="N288" s="163"/>
      <c r="O288" s="163"/>
      <c r="P288" s="163"/>
    </row>
    <row r="289" spans="1:26" ht="19.5">
      <c r="A289" s="170"/>
      <c r="B289" s="171"/>
      <c r="C289" s="171"/>
      <c r="D289" s="380"/>
      <c r="E289" s="381" t="s">
        <v>131</v>
      </c>
      <c r="F289" s="342"/>
      <c r="G289" s="179"/>
      <c r="H289" s="728"/>
      <c r="I289" s="184"/>
      <c r="J289" s="269"/>
      <c r="K289" s="163"/>
      <c r="L289" s="163"/>
      <c r="M289" s="163"/>
      <c r="N289" s="163"/>
      <c r="O289" s="163"/>
      <c r="P289" s="163"/>
    </row>
    <row r="290" spans="1:26" ht="19.5">
      <c r="A290" s="170"/>
      <c r="B290" s="171"/>
      <c r="C290" s="171"/>
      <c r="D290" s="380"/>
      <c r="E290" s="592" t="s">
        <v>132</v>
      </c>
      <c r="F290" s="342"/>
      <c r="G290" s="179"/>
      <c r="H290" s="728" t="s">
        <v>35</v>
      </c>
      <c r="I290" s="184">
        <f ca="1">IFERROR(__xludf.DUMMYFUNCTION("IMPORTRANGE(""https://docs.google.com/spreadsheets/d/1QqKyyYR6Q21VydFLVH3TRQUabQu_ym0Zz7PgGX0-kHA/edit?usp=sharing"",""แผน!EB26"")"),30)</f>
        <v>30</v>
      </c>
      <c r="J290" s="214">
        <v>0</v>
      </c>
      <c r="K290" s="163">
        <f t="shared" ref="K290:K291" ca="1" si="131">IF(I290&gt;0,J290*100/I290,0)</f>
        <v>0</v>
      </c>
      <c r="L290" s="163"/>
      <c r="M290" s="163"/>
      <c r="N290" s="163"/>
      <c r="O290" s="163"/>
      <c r="P290" s="163"/>
    </row>
    <row r="291" spans="1:26" ht="19.5">
      <c r="A291" s="170"/>
      <c r="B291" s="171"/>
      <c r="C291" s="171"/>
      <c r="D291" s="342"/>
      <c r="E291" s="592" t="s">
        <v>133</v>
      </c>
      <c r="F291" s="342"/>
      <c r="G291" s="179"/>
      <c r="H291" s="728" t="s">
        <v>35</v>
      </c>
      <c r="I291" s="184">
        <f ca="1">IFERROR(__xludf.DUMMYFUNCTION("IMPORTRANGE(""https://docs.google.com/spreadsheets/d/1QqKyyYR6Q21VydFLVH3TRQUabQu_ym0Zz7PgGX0-kHA/edit?usp=sharing"",""แผน!EB26"")"),30)</f>
        <v>30</v>
      </c>
      <c r="J291" s="214">
        <v>0</v>
      </c>
      <c r="K291" s="163">
        <f t="shared" ca="1" si="131"/>
        <v>0</v>
      </c>
      <c r="L291" s="163"/>
      <c r="M291" s="163"/>
      <c r="N291" s="163"/>
      <c r="O291" s="163"/>
      <c r="P291" s="163"/>
    </row>
    <row r="292" spans="1:26" ht="19.5">
      <c r="A292" s="382"/>
      <c r="B292" s="383"/>
      <c r="C292" s="383"/>
      <c r="D292" s="384"/>
      <c r="E292" s="385" t="s">
        <v>134</v>
      </c>
      <c r="F292" s="286"/>
      <c r="G292" s="287"/>
      <c r="H292" s="386"/>
      <c r="I292" s="387"/>
      <c r="J292" s="388"/>
      <c r="K292" s="279"/>
      <c r="L292" s="279"/>
      <c r="M292" s="279"/>
      <c r="N292" s="279"/>
      <c r="O292" s="279"/>
      <c r="P292" s="279"/>
    </row>
    <row r="293" spans="1:26" ht="19.5">
      <c r="A293" s="170"/>
      <c r="B293" s="171"/>
      <c r="C293" s="171"/>
      <c r="D293" s="380"/>
      <c r="E293" s="592" t="s">
        <v>132</v>
      </c>
      <c r="F293" s="342"/>
      <c r="G293" s="179"/>
      <c r="H293" s="728" t="s">
        <v>35</v>
      </c>
      <c r="I293" s="184">
        <f ca="1">IFERROR(__xludf.DUMMYFUNCTION("IMPORTRANGE(""https://docs.google.com/spreadsheets/d/1QqKyyYR6Q21VydFLVH3TRQUabQu_ym0Zz7PgGX0-kHA/edit?usp=sharing"",""แผน!EB26"")"),30)</f>
        <v>30</v>
      </c>
      <c r="J293" s="214">
        <v>0</v>
      </c>
      <c r="K293" s="163">
        <f t="shared" ref="K293:K294" ca="1" si="132">IF(I293&gt;0,J293*100/I293,0)</f>
        <v>0</v>
      </c>
      <c r="L293" s="163"/>
      <c r="M293" s="163"/>
      <c r="N293" s="163"/>
      <c r="O293" s="163"/>
      <c r="P293" s="163"/>
    </row>
    <row r="294" spans="1:26" ht="19.5">
      <c r="A294" s="346"/>
      <c r="B294" s="347"/>
      <c r="C294" s="347"/>
      <c r="D294" s="349"/>
      <c r="E294" s="698" t="s">
        <v>136</v>
      </c>
      <c r="F294" s="349"/>
      <c r="G294" s="350"/>
      <c r="H294" s="390" t="s">
        <v>35</v>
      </c>
      <c r="I294" s="391">
        <f ca="1">IFERROR(__xludf.DUMMYFUNCTION("IMPORTRANGE(""https://docs.google.com/spreadsheets/d/1QqKyyYR6Q21VydFLVH3TRQUabQu_ym0Zz7PgGX0-kHA/edit?usp=sharing"",""แผน!EB26"")"),30)</f>
        <v>30</v>
      </c>
      <c r="J294" s="392">
        <v>0</v>
      </c>
      <c r="K294" s="353">
        <f t="shared" ca="1" si="132"/>
        <v>0</v>
      </c>
      <c r="L294" s="353"/>
      <c r="M294" s="353"/>
      <c r="N294" s="353"/>
      <c r="O294" s="353"/>
      <c r="P294" s="353"/>
    </row>
    <row r="295" spans="1:26" ht="19.5">
      <c r="A295" s="393" t="s">
        <v>137</v>
      </c>
      <c r="B295" s="394"/>
      <c r="C295" s="394"/>
      <c r="D295" s="394"/>
      <c r="E295" s="395"/>
      <c r="F295" s="395"/>
      <c r="G295" s="396"/>
      <c r="H295" s="397"/>
      <c r="I295" s="398"/>
      <c r="J295" s="398"/>
      <c r="K295" s="399"/>
      <c r="L295" s="399"/>
      <c r="M295" s="399"/>
      <c r="N295" s="399"/>
      <c r="O295" s="399"/>
      <c r="P295" s="399"/>
    </row>
    <row r="296" spans="1:26" ht="19.5" hidden="1">
      <c r="A296" s="400" t="s">
        <v>138</v>
      </c>
      <c r="B296" s="401"/>
      <c r="C296" s="401"/>
      <c r="D296" s="402"/>
      <c r="E296" s="402"/>
      <c r="F296" s="402"/>
      <c r="G296" s="403"/>
      <c r="H296" s="404"/>
      <c r="I296" s="405"/>
      <c r="J296" s="405"/>
      <c r="K296" s="406"/>
      <c r="L296" s="406"/>
      <c r="M296" s="406"/>
      <c r="N296" s="406"/>
      <c r="O296" s="406"/>
      <c r="P296" s="406"/>
    </row>
    <row r="297" spans="1:26" ht="19.5" hidden="1">
      <c r="A297" s="407"/>
      <c r="B297" s="408" t="s">
        <v>139</v>
      </c>
      <c r="C297" s="409"/>
      <c r="D297" s="409"/>
      <c r="E297" s="409"/>
      <c r="F297" s="409"/>
      <c r="G297" s="410"/>
      <c r="H297" s="411" t="s">
        <v>35</v>
      </c>
      <c r="I297" s="412">
        <f t="shared" ref="I297:J297" ca="1" si="133">I309</f>
        <v>0</v>
      </c>
      <c r="J297" s="412">
        <f t="shared" si="133"/>
        <v>0</v>
      </c>
      <c r="K297" s="413">
        <f ca="1">IF(I297&gt;0,J297*100/I297,0)</f>
        <v>0</v>
      </c>
      <c r="L297" s="414"/>
      <c r="M297" s="414"/>
      <c r="N297" s="414"/>
      <c r="O297" s="414"/>
      <c r="P297" s="414"/>
    </row>
    <row r="298" spans="1:26" ht="19.5" hidden="1">
      <c r="A298" s="147"/>
      <c r="B298" s="148"/>
      <c r="C298" s="149" t="s">
        <v>16</v>
      </c>
      <c r="D298" s="817" t="s">
        <v>17</v>
      </c>
      <c r="E298" s="148"/>
      <c r="F298" s="148"/>
      <c r="G298" s="151"/>
      <c r="H298" s="152" t="s">
        <v>12</v>
      </c>
      <c r="I298" s="388"/>
      <c r="J298" s="388"/>
      <c r="K298" s="154"/>
      <c r="L298" s="155">
        <f t="shared" ref="L298:N298" ca="1" si="134">L299+L300</f>
        <v>0</v>
      </c>
      <c r="M298" s="155">
        <f t="shared" ca="1" si="134"/>
        <v>0</v>
      </c>
      <c r="N298" s="155">
        <f t="shared" ca="1" si="134"/>
        <v>0</v>
      </c>
      <c r="O298" s="155">
        <f t="shared" ref="O298:O306" ca="1" si="135">IF(L298&gt;0,N298*100/L298,0)</f>
        <v>0</v>
      </c>
      <c r="P298" s="155">
        <f t="shared" ref="P298:P306" ca="1" si="136">IF(M298&gt;0,N298*100/M298,0)</f>
        <v>0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2" t="s">
        <v>18</v>
      </c>
      <c r="F299" s="40"/>
      <c r="G299" s="157"/>
      <c r="H299" s="158" t="s">
        <v>12</v>
      </c>
      <c r="I299" s="583"/>
      <c r="J299" s="583"/>
      <c r="K299" s="93"/>
      <c r="L299" s="93">
        <f t="shared" ref="L299:N300" si="137">L302+L305</f>
        <v>0</v>
      </c>
      <c r="M299" s="93">
        <f t="shared" si="137"/>
        <v>0</v>
      </c>
      <c r="N299" s="93">
        <f t="shared" si="137"/>
        <v>0</v>
      </c>
      <c r="O299" s="93">
        <f t="shared" si="135"/>
        <v>0</v>
      </c>
      <c r="P299" s="93">
        <f t="shared" si="136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2" t="s">
        <v>19</v>
      </c>
      <c r="F300" s="40"/>
      <c r="G300" s="157"/>
      <c r="H300" s="158" t="s">
        <v>12</v>
      </c>
      <c r="I300" s="583"/>
      <c r="J300" s="583"/>
      <c r="K300" s="93"/>
      <c r="L300" s="93">
        <f t="shared" ca="1" si="137"/>
        <v>0</v>
      </c>
      <c r="M300" s="93">
        <f t="shared" ca="1" si="137"/>
        <v>0</v>
      </c>
      <c r="N300" s="93">
        <f t="shared" ca="1" si="137"/>
        <v>0</v>
      </c>
      <c r="O300" s="93">
        <f t="shared" ca="1" si="135"/>
        <v>0</v>
      </c>
      <c r="P300" s="93">
        <f t="shared" ca="1" si="136"/>
        <v>0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 hidden="1">
      <c r="A301" s="159"/>
      <c r="B301" s="33"/>
      <c r="C301" s="281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65">
        <f t="shared" ref="L301:N301" ca="1" si="138">L302+L303</f>
        <v>0</v>
      </c>
      <c r="M301" s="465">
        <f t="shared" ca="1" si="138"/>
        <v>0</v>
      </c>
      <c r="N301" s="465">
        <f t="shared" ca="1" si="138"/>
        <v>0</v>
      </c>
      <c r="O301" s="465">
        <f t="shared" ca="1" si="135"/>
        <v>0</v>
      </c>
      <c r="P301" s="465">
        <f t="shared" ca="1" si="136"/>
        <v>0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2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5"/>
        <v>0</v>
      </c>
      <c r="P302" s="93">
        <f t="shared" si="136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2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IFERROR(__xludf.DUMMYFUNCTION("IMPORTRANGE(""https://docs.google.com/spreadsheets/d/1MeEWN-I1oV_STSDYn1IFDPWt_1FKiwhDph83XaGc0o0/edit?usp=sharing"",""งบพรบ!DS26"")"),0)</f>
        <v>0</v>
      </c>
      <c r="M303" s="93">
        <f ca="1">IFERROR(__xludf.DUMMYFUNCTION("IMPORTRANGE(""https://docs.google.com/spreadsheets/d/1MeEWN-I1oV_STSDYn1IFDPWt_1FKiwhDph83XaGc0o0/edit?usp=sharing"",""งบพรบ!DX26"")"),0)</f>
        <v>0</v>
      </c>
      <c r="N303" s="93">
        <f ca="1">IFERROR(__xludf.DUMMYFUNCTION("IMPORTRANGE(""https://docs.google.com/spreadsheets/d/1MeEWN-I1oV_STSDYn1IFDPWt_1FKiwhDph83XaGc0o0/edit?usp=sharing"",""งบพรบ!DZ26"")"),0)</f>
        <v>0</v>
      </c>
      <c r="O303" s="93">
        <f t="shared" ca="1" si="135"/>
        <v>0</v>
      </c>
      <c r="P303" s="93">
        <f t="shared" ca="1" si="136"/>
        <v>0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 hidden="1">
      <c r="A304" s="159"/>
      <c r="B304" s="33"/>
      <c r="C304" s="281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65">
        <f t="shared" ref="L304:N304" ca="1" si="139">L305+L306</f>
        <v>0</v>
      </c>
      <c r="M304" s="465">
        <f t="shared" ca="1" si="139"/>
        <v>0</v>
      </c>
      <c r="N304" s="465">
        <f t="shared" ca="1" si="139"/>
        <v>0</v>
      </c>
      <c r="O304" s="465">
        <f t="shared" ca="1" si="135"/>
        <v>0</v>
      </c>
      <c r="P304" s="465">
        <f t="shared" ca="1" si="136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2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5"/>
        <v>0</v>
      </c>
      <c r="P305" s="93">
        <f t="shared" si="136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2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IFERROR(__xludf.DUMMYFUNCTION("IMPORTRANGE(""https://docs.google.com/spreadsheets/d/1MeEWN-I1oV_STSDYn1IFDPWt_1FKiwhDph83XaGc0o0/edit?usp=sharing"",""งบพรบ!DV26"")"),0)</f>
        <v>0</v>
      </c>
      <c r="M306" s="93">
        <f ca="1">IFERROR(__xludf.DUMMYFUNCTION("IMPORTRANGE(""https://docs.google.com/spreadsheets/d/1MeEWN-I1oV_STSDYn1IFDPWt_1FKiwhDph83XaGc0o0/edit?usp=sharing"",""งบพรบ!DY26"")"),0)</f>
        <v>0</v>
      </c>
      <c r="N306" s="93">
        <f ca="1">IFERROR(__xludf.DUMMYFUNCTION("IMPORTRANGE(""https://docs.google.com/spreadsheets/d/1MeEWN-I1oV_STSDYn1IFDPWt_1FKiwhDph83XaGc0o0/edit?usp=sharing"",""งบพรบ!EA26"")"),0)</f>
        <v>0</v>
      </c>
      <c r="O306" s="93">
        <f t="shared" ca="1" si="135"/>
        <v>0</v>
      </c>
      <c r="P306" s="93">
        <f t="shared" ca="1" si="136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 hidden="1">
      <c r="A307" s="170"/>
      <c r="B307" s="171"/>
      <c r="C307" s="164" t="s">
        <v>16</v>
      </c>
      <c r="D307" s="818" t="s">
        <v>38</v>
      </c>
      <c r="E307" s="173"/>
      <c r="F307" s="173"/>
      <c r="G307" s="174"/>
      <c r="H307" s="726"/>
      <c r="I307" s="269"/>
      <c r="J307" s="269"/>
      <c r="K307" s="465"/>
      <c r="L307" s="465"/>
      <c r="M307" s="465"/>
      <c r="N307" s="465"/>
      <c r="O307" s="465"/>
      <c r="P307" s="465"/>
    </row>
    <row r="308" spans="1:26" ht="18.75" hidden="1">
      <c r="A308" s="170"/>
      <c r="B308" s="171"/>
      <c r="C308" s="171"/>
      <c r="D308" s="415" t="s">
        <v>140</v>
      </c>
      <c r="E308" s="415"/>
      <c r="F308" s="415"/>
      <c r="G308" s="179"/>
      <c r="H308" s="728"/>
      <c r="I308" s="269"/>
      <c r="J308" s="214">
        <v>0</v>
      </c>
      <c r="K308" s="465"/>
      <c r="L308" s="465"/>
      <c r="M308" s="465"/>
      <c r="N308" s="465"/>
      <c r="O308" s="465"/>
      <c r="P308" s="465"/>
    </row>
    <row r="309" spans="1:26" ht="18.75" hidden="1">
      <c r="A309" s="170"/>
      <c r="B309" s="171"/>
      <c r="C309" s="171"/>
      <c r="D309" s="415" t="s">
        <v>141</v>
      </c>
      <c r="E309" s="415"/>
      <c r="F309" s="415"/>
      <c r="G309" s="179"/>
      <c r="H309" s="728" t="s">
        <v>35</v>
      </c>
      <c r="I309" s="269">
        <f ca="1">IFERROR(__xludf.DUMMYFUNCTION("IMPORTRANGE(""https://docs.google.com/spreadsheets/d/1QqKyyYR6Q21VydFLVH3TRQUabQu_ym0Zz7PgGX0-kHA/edit?usp=sharing"",""แผน!ED26"")"),0)</f>
        <v>0</v>
      </c>
      <c r="J309" s="214">
        <v>0</v>
      </c>
      <c r="K309" s="465">
        <f t="shared" ref="K309:K312" ca="1" si="140">IF(I309&gt;0,J309*100/I309,0)</f>
        <v>0</v>
      </c>
      <c r="L309" s="465"/>
      <c r="M309" s="465"/>
      <c r="N309" s="465"/>
      <c r="O309" s="465"/>
      <c r="P309" s="465"/>
    </row>
    <row r="310" spans="1:26" ht="18.75" hidden="1">
      <c r="A310" s="170"/>
      <c r="B310" s="171"/>
      <c r="C310" s="171"/>
      <c r="D310" s="415" t="s">
        <v>142</v>
      </c>
      <c r="E310" s="415"/>
      <c r="F310" s="415"/>
      <c r="G310" s="179"/>
      <c r="H310" s="728" t="s">
        <v>35</v>
      </c>
      <c r="I310" s="269">
        <f ca="1">IFERROR(__xludf.DUMMYFUNCTION("IMPORTRANGE(""https://docs.google.com/spreadsheets/d/1QqKyyYR6Q21VydFLVH3TRQUabQu_ym0Zz7PgGX0-kHA/edit?usp=sharing"",""แผน!ED26"")"),0)</f>
        <v>0</v>
      </c>
      <c r="J310" s="214">
        <v>0</v>
      </c>
      <c r="K310" s="465">
        <f t="shared" ca="1" si="140"/>
        <v>0</v>
      </c>
      <c r="L310" s="465"/>
      <c r="M310" s="465"/>
      <c r="N310" s="465"/>
      <c r="O310" s="465"/>
      <c r="P310" s="465"/>
    </row>
    <row r="311" spans="1:26" ht="18.75" hidden="1">
      <c r="A311" s="170"/>
      <c r="B311" s="171"/>
      <c r="C311" s="171"/>
      <c r="D311" s="415" t="s">
        <v>59</v>
      </c>
      <c r="E311" s="415"/>
      <c r="F311" s="415"/>
      <c r="G311" s="179"/>
      <c r="H311" s="728" t="s">
        <v>35</v>
      </c>
      <c r="I311" s="269">
        <f ca="1">IFERROR(__xludf.DUMMYFUNCTION("IMPORTRANGE(""https://docs.google.com/spreadsheets/d/1QqKyyYR6Q21VydFLVH3TRQUabQu_ym0Zz7PgGX0-kHA/edit?usp=sharing"",""แผน!ED26"")"),0)</f>
        <v>0</v>
      </c>
      <c r="J311" s="214">
        <v>0</v>
      </c>
      <c r="K311" s="465">
        <f t="shared" ca="1" si="140"/>
        <v>0</v>
      </c>
      <c r="L311" s="465"/>
      <c r="M311" s="465"/>
      <c r="N311" s="465"/>
      <c r="O311" s="465"/>
      <c r="P311" s="465"/>
    </row>
    <row r="312" spans="1:26" ht="18.75" hidden="1">
      <c r="A312" s="170"/>
      <c r="B312" s="171"/>
      <c r="C312" s="171"/>
      <c r="D312" s="415" t="s">
        <v>143</v>
      </c>
      <c r="E312" s="415"/>
      <c r="F312" s="415"/>
      <c r="G312" s="179"/>
      <c r="H312" s="728" t="s">
        <v>35</v>
      </c>
      <c r="I312" s="269">
        <f ca="1">IFERROR(__xludf.DUMMYFUNCTION("IMPORTRANGE(""https://docs.google.com/spreadsheets/d/1QqKyyYR6Q21VydFLVH3TRQUabQu_ym0Zz7PgGX0-kHA/edit?usp=sharing"",""แผน!EE26"")"),0)</f>
        <v>0</v>
      </c>
      <c r="J312" s="214">
        <v>0</v>
      </c>
      <c r="K312" s="465">
        <f t="shared" ca="1" si="140"/>
        <v>0</v>
      </c>
      <c r="L312" s="465"/>
      <c r="M312" s="465"/>
      <c r="N312" s="465"/>
      <c r="O312" s="465"/>
      <c r="P312" s="465"/>
    </row>
    <row r="313" spans="1:26" ht="19.5" hidden="1">
      <c r="A313" s="400" t="s">
        <v>144</v>
      </c>
      <c r="B313" s="401"/>
      <c r="C313" s="401"/>
      <c r="D313" s="402"/>
      <c r="E313" s="401"/>
      <c r="F313" s="401"/>
      <c r="G313" s="401"/>
      <c r="H313" s="417"/>
      <c r="I313" s="405"/>
      <c r="J313" s="405"/>
      <c r="K313" s="406"/>
      <c r="L313" s="406"/>
      <c r="M313" s="406"/>
      <c r="N313" s="406"/>
      <c r="O313" s="406"/>
      <c r="P313" s="406"/>
    </row>
    <row r="314" spans="1:26" ht="19.5" hidden="1">
      <c r="A314" s="418"/>
      <c r="B314" s="408" t="s">
        <v>145</v>
      </c>
      <c r="C314" s="419"/>
      <c r="D314" s="420"/>
      <c r="E314" s="409"/>
      <c r="F314" s="409"/>
      <c r="G314" s="410"/>
      <c r="H314" s="411" t="s">
        <v>146</v>
      </c>
      <c r="I314" s="412">
        <f t="shared" ref="I314:J314" ca="1" si="141">I325</f>
        <v>0</v>
      </c>
      <c r="J314" s="412">
        <f t="shared" si="141"/>
        <v>0</v>
      </c>
      <c r="K314" s="413">
        <f ca="1">IF(I314&gt;0,J314*100/I314,0)</f>
        <v>0</v>
      </c>
      <c r="L314" s="414"/>
      <c r="M314" s="414"/>
      <c r="N314" s="414"/>
      <c r="O314" s="414"/>
      <c r="P314" s="414"/>
    </row>
    <row r="315" spans="1:26" ht="19.5" hidden="1">
      <c r="A315" s="147"/>
      <c r="B315" s="148"/>
      <c r="C315" s="149" t="s">
        <v>16</v>
      </c>
      <c r="D315" s="817" t="s">
        <v>17</v>
      </c>
      <c r="E315" s="148"/>
      <c r="F315" s="148"/>
      <c r="G315" s="151"/>
      <c r="H315" s="152" t="s">
        <v>12</v>
      </c>
      <c r="I315" s="388"/>
      <c r="J315" s="388"/>
      <c r="K315" s="154"/>
      <c r="L315" s="155">
        <f t="shared" ref="L315:N315" ca="1" si="142">L316+L317</f>
        <v>0</v>
      </c>
      <c r="M315" s="155">
        <f t="shared" ca="1" si="142"/>
        <v>0</v>
      </c>
      <c r="N315" s="155">
        <f t="shared" ca="1" si="142"/>
        <v>0</v>
      </c>
      <c r="O315" s="155">
        <f t="shared" ref="O315:O323" ca="1" si="143">IF(L315&gt;0,N315*100/L315,0)</f>
        <v>0</v>
      </c>
      <c r="P315" s="155">
        <f t="shared" ref="P315:P323" ca="1" si="144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2" t="s">
        <v>18</v>
      </c>
      <c r="F316" s="40"/>
      <c r="G316" s="157"/>
      <c r="H316" s="158" t="s">
        <v>12</v>
      </c>
      <c r="I316" s="583"/>
      <c r="J316" s="583"/>
      <c r="K316" s="93"/>
      <c r="L316" s="93">
        <f t="shared" ref="L316:N317" si="145">L319+L322</f>
        <v>0</v>
      </c>
      <c r="M316" s="93">
        <f t="shared" si="145"/>
        <v>0</v>
      </c>
      <c r="N316" s="93">
        <f t="shared" si="145"/>
        <v>0</v>
      </c>
      <c r="O316" s="93">
        <f t="shared" si="143"/>
        <v>0</v>
      </c>
      <c r="P316" s="93">
        <f t="shared" si="144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2" t="s">
        <v>19</v>
      </c>
      <c r="F317" s="40"/>
      <c r="G317" s="157"/>
      <c r="H317" s="158" t="s">
        <v>12</v>
      </c>
      <c r="I317" s="583"/>
      <c r="J317" s="583"/>
      <c r="K317" s="93"/>
      <c r="L317" s="93">
        <f t="shared" ca="1" si="145"/>
        <v>0</v>
      </c>
      <c r="M317" s="93">
        <f t="shared" ca="1" si="145"/>
        <v>0</v>
      </c>
      <c r="N317" s="93">
        <f t="shared" ca="1" si="145"/>
        <v>0</v>
      </c>
      <c r="O317" s="93">
        <f t="shared" ca="1" si="143"/>
        <v>0</v>
      </c>
      <c r="P317" s="93">
        <f t="shared" ca="1" si="144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1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65">
        <f t="shared" ref="L318:N318" ca="1" si="146">L319+L320</f>
        <v>0</v>
      </c>
      <c r="M318" s="465">
        <f t="shared" ca="1" si="146"/>
        <v>0</v>
      </c>
      <c r="N318" s="465">
        <f t="shared" ca="1" si="146"/>
        <v>0</v>
      </c>
      <c r="O318" s="465">
        <f t="shared" ca="1" si="143"/>
        <v>0</v>
      </c>
      <c r="P318" s="465">
        <f t="shared" ca="1" si="144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2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3"/>
        <v>0</v>
      </c>
      <c r="P319" s="93">
        <f t="shared" si="144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2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IFERROR(__xludf.DUMMYFUNCTION("IMPORTRANGE(""https://docs.google.com/spreadsheets/d/1MeEWN-I1oV_STSDYn1IFDPWt_1FKiwhDph83XaGc0o0/edit?usp=sharing"",""งบพรบ!EC26"")"),0)</f>
        <v>0</v>
      </c>
      <c r="M320" s="93">
        <f ca="1">IFERROR(__xludf.DUMMYFUNCTION("IMPORTRANGE(""https://docs.google.com/spreadsheets/d/1MeEWN-I1oV_STSDYn1IFDPWt_1FKiwhDph83XaGc0o0/edit?usp=sharing"",""งบพรบ!EH26"")"),0)</f>
        <v>0</v>
      </c>
      <c r="N320" s="93">
        <f ca="1">IFERROR(__xludf.DUMMYFUNCTION("IMPORTRANGE(""https://docs.google.com/spreadsheets/d/1MeEWN-I1oV_STSDYn1IFDPWt_1FKiwhDph83XaGc0o0/edit?usp=sharing"",""งบพรบ!EJ26"")"),0)</f>
        <v>0</v>
      </c>
      <c r="O320" s="93">
        <f t="shared" ca="1" si="143"/>
        <v>0</v>
      </c>
      <c r="P320" s="93">
        <f t="shared" ca="1" si="144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1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65">
        <f t="shared" ref="L321:N321" ca="1" si="147">L322+L323</f>
        <v>0</v>
      </c>
      <c r="M321" s="465">
        <f t="shared" ca="1" si="147"/>
        <v>0</v>
      </c>
      <c r="N321" s="465">
        <f t="shared" ca="1" si="147"/>
        <v>0</v>
      </c>
      <c r="O321" s="465">
        <f t="shared" ca="1" si="143"/>
        <v>0</v>
      </c>
      <c r="P321" s="465">
        <f t="shared" ca="1" si="144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2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3"/>
        <v>0</v>
      </c>
      <c r="P322" s="93">
        <f t="shared" si="144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2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IFERROR(__xludf.DUMMYFUNCTION("IMPORTRANGE(""https://docs.google.com/spreadsheets/d/1MeEWN-I1oV_STSDYn1IFDPWt_1FKiwhDph83XaGc0o0/edit?usp=sharing"",""งบพรบ!EF26"")"),0)</f>
        <v>0</v>
      </c>
      <c r="M323" s="93">
        <f ca="1">IFERROR(__xludf.DUMMYFUNCTION("IMPORTRANGE(""https://docs.google.com/spreadsheets/d/1MeEWN-I1oV_STSDYn1IFDPWt_1FKiwhDph83XaGc0o0/edit?usp=sharing"",""งบพรบ!EI26"")"),0)</f>
        <v>0</v>
      </c>
      <c r="N323" s="93">
        <f ca="1">IFERROR(__xludf.DUMMYFUNCTION("IMPORTRANGE(""https://docs.google.com/spreadsheets/d/1MeEWN-I1oV_STSDYn1IFDPWt_1FKiwhDph83XaGc0o0/edit?usp=sharing"",""งบพรบ!EK26"")"),0)</f>
        <v>0</v>
      </c>
      <c r="O323" s="93">
        <f t="shared" ca="1" si="143"/>
        <v>0</v>
      </c>
      <c r="P323" s="93">
        <f t="shared" ca="1" si="144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18" t="s">
        <v>38</v>
      </c>
      <c r="E324" s="173"/>
      <c r="F324" s="173"/>
      <c r="G324" s="174"/>
      <c r="H324" s="726"/>
      <c r="I324" s="184"/>
      <c r="J324" s="269"/>
      <c r="K324" s="465"/>
      <c r="L324" s="465"/>
      <c r="M324" s="465"/>
      <c r="N324" s="465"/>
      <c r="O324" s="163"/>
      <c r="P324" s="163"/>
    </row>
    <row r="325" spans="1:26" ht="18.75" hidden="1">
      <c r="A325" s="170"/>
      <c r="B325" s="171"/>
      <c r="C325" s="171"/>
      <c r="D325" s="343" t="s">
        <v>147</v>
      </c>
      <c r="E325" s="342"/>
      <c r="F325" s="415"/>
      <c r="G325" s="179"/>
      <c r="H325" s="589" t="s">
        <v>146</v>
      </c>
      <c r="I325" s="269">
        <f ca="1">IFERROR(__xludf.DUMMYFUNCTION("IMPORTRANGE(""https://docs.google.com/spreadsheets/d/1QqKyyYR6Q21VydFLVH3TRQUabQu_ym0Zz7PgGX0-kHA/edit?usp=sharing"",""แผน!EF26"")"),0)</f>
        <v>0</v>
      </c>
      <c r="J325" s="214">
        <v>0</v>
      </c>
      <c r="K325" s="465">
        <f ca="1">IF(I325&gt;0,J325*100/I325,0)</f>
        <v>0</v>
      </c>
      <c r="L325" s="465"/>
      <c r="M325" s="465"/>
      <c r="N325" s="465"/>
      <c r="O325" s="163"/>
      <c r="P325" s="163"/>
    </row>
    <row r="326" spans="1:26" ht="19.5">
      <c r="A326" s="400" t="s">
        <v>148</v>
      </c>
      <c r="B326" s="401"/>
      <c r="C326" s="401"/>
      <c r="D326" s="402"/>
      <c r="E326" s="401"/>
      <c r="F326" s="401"/>
      <c r="G326" s="401"/>
      <c r="H326" s="417"/>
      <c r="I326" s="405"/>
      <c r="J326" s="405"/>
      <c r="K326" s="406"/>
      <c r="L326" s="406"/>
      <c r="M326" s="406"/>
      <c r="N326" s="406"/>
      <c r="O326" s="406"/>
      <c r="P326" s="406"/>
    </row>
    <row r="327" spans="1:26" ht="19.5">
      <c r="A327" s="407"/>
      <c r="B327" s="408" t="s">
        <v>149</v>
      </c>
      <c r="C327" s="420"/>
      <c r="D327" s="409"/>
      <c r="E327" s="409"/>
      <c r="F327" s="409"/>
      <c r="G327" s="410"/>
      <c r="H327" s="411" t="s">
        <v>35</v>
      </c>
      <c r="I327" s="412">
        <f ca="1">IFERROR(__xludf.DUMMYFUNCTION("IMPORTRANGE(""https://docs.google.com/spreadsheets/d/1QqKyyYR6Q21VydFLVH3TRQUabQu_ym0Zz7PgGX0-kHA/edit?usp=sharing"",""แผน!EG26"")"),2000)</f>
        <v>2000</v>
      </c>
      <c r="J327" s="412">
        <f ca="1">J338+J341+J342+J343</f>
        <v>334</v>
      </c>
      <c r="K327" s="413">
        <f ca="1">IF(I327&gt;0,J327*100/I327,0)</f>
        <v>16.7</v>
      </c>
      <c r="L327" s="414"/>
      <c r="M327" s="414"/>
      <c r="N327" s="414"/>
      <c r="O327" s="414"/>
      <c r="P327" s="414"/>
    </row>
    <row r="328" spans="1:26" ht="19.5">
      <c r="A328" s="147"/>
      <c r="B328" s="148"/>
      <c r="C328" s="149" t="s">
        <v>16</v>
      </c>
      <c r="D328" s="817" t="s">
        <v>17</v>
      </c>
      <c r="E328" s="148"/>
      <c r="F328" s="148"/>
      <c r="G328" s="151"/>
      <c r="H328" s="152" t="s">
        <v>12</v>
      </c>
      <c r="I328" s="388"/>
      <c r="J328" s="388"/>
      <c r="K328" s="154"/>
      <c r="L328" s="155">
        <f t="shared" ref="L328:N328" ca="1" si="148">L329+L330</f>
        <v>172000</v>
      </c>
      <c r="M328" s="155">
        <f t="shared" ca="1" si="148"/>
        <v>86000</v>
      </c>
      <c r="N328" s="155">
        <f t="shared" ca="1" si="148"/>
        <v>15940</v>
      </c>
      <c r="O328" s="155">
        <f t="shared" ref="O328:O336" ca="1" si="149">IF(L328&gt;0,N328*100/L328,0)</f>
        <v>9.2674418604651159</v>
      </c>
      <c r="P328" s="155">
        <f t="shared" ref="P328:P336" ca="1" si="150">IF(M328&gt;0,N328*100/M328,0)</f>
        <v>18.534883720930232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2" t="s">
        <v>18</v>
      </c>
      <c r="F329" s="40"/>
      <c r="G329" s="157"/>
      <c r="H329" s="158" t="s">
        <v>12</v>
      </c>
      <c r="I329" s="583"/>
      <c r="J329" s="583"/>
      <c r="K329" s="93"/>
      <c r="L329" s="93">
        <f t="shared" ref="L329:N330" si="151">L332+L335</f>
        <v>0</v>
      </c>
      <c r="M329" s="93">
        <f t="shared" si="151"/>
        <v>0</v>
      </c>
      <c r="N329" s="93">
        <f t="shared" si="151"/>
        <v>0</v>
      </c>
      <c r="O329" s="93">
        <f t="shared" si="149"/>
        <v>0</v>
      </c>
      <c r="P329" s="93">
        <f t="shared" si="150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2" t="s">
        <v>19</v>
      </c>
      <c r="F330" s="40"/>
      <c r="G330" s="157"/>
      <c r="H330" s="158" t="s">
        <v>12</v>
      </c>
      <c r="I330" s="583"/>
      <c r="J330" s="583"/>
      <c r="K330" s="93"/>
      <c r="L330" s="93">
        <f t="shared" ca="1" si="151"/>
        <v>172000</v>
      </c>
      <c r="M330" s="93">
        <f t="shared" ca="1" si="151"/>
        <v>86000</v>
      </c>
      <c r="N330" s="93">
        <f t="shared" ca="1" si="151"/>
        <v>15940</v>
      </c>
      <c r="O330" s="93">
        <f t="shared" ca="1" si="149"/>
        <v>9.2674418604651159</v>
      </c>
      <c r="P330" s="93">
        <f t="shared" ca="1" si="150"/>
        <v>18.534883720930232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1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65">
        <f t="shared" ref="L331:N331" ca="1" si="152">L332+L333</f>
        <v>172000</v>
      </c>
      <c r="M331" s="465">
        <f t="shared" ca="1" si="152"/>
        <v>86000</v>
      </c>
      <c r="N331" s="465">
        <f t="shared" ca="1" si="152"/>
        <v>15940</v>
      </c>
      <c r="O331" s="465">
        <f t="shared" ca="1" si="149"/>
        <v>9.2674418604651159</v>
      </c>
      <c r="P331" s="465">
        <f t="shared" ca="1" si="150"/>
        <v>18.534883720930232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2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49"/>
        <v>0</v>
      </c>
      <c r="P332" s="93">
        <f t="shared" si="150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2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IFERROR(__xludf.DUMMYFUNCTION("IMPORTRANGE(""https://docs.google.com/spreadsheets/d/1MeEWN-I1oV_STSDYn1IFDPWt_1FKiwhDph83XaGc0o0/edit?usp=sharing"",""งบพรบ!EM26"")"),172000)</f>
        <v>172000</v>
      </c>
      <c r="M333" s="93">
        <f ca="1">IFERROR(__xludf.DUMMYFUNCTION("IMPORTRANGE(""https://docs.google.com/spreadsheets/d/1MeEWN-I1oV_STSDYn1IFDPWt_1FKiwhDph83XaGc0o0/edit?usp=sharing"",""งบพรบ!ER26"")"),86000)</f>
        <v>86000</v>
      </c>
      <c r="N333" s="93">
        <f ca="1">IFERROR(__xludf.DUMMYFUNCTION("IMPORTRANGE(""https://docs.google.com/spreadsheets/d/1MeEWN-I1oV_STSDYn1IFDPWt_1FKiwhDph83XaGc0o0/edit?usp=sharing"",""งบพรบ!ET26"")"),15940)</f>
        <v>15940</v>
      </c>
      <c r="O333" s="93">
        <f t="shared" ca="1" si="149"/>
        <v>9.2674418604651159</v>
      </c>
      <c r="P333" s="93">
        <f t="shared" ca="1" si="150"/>
        <v>18.534883720930232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1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65">
        <f t="shared" ref="L334:N334" ca="1" si="153">L335+L336</f>
        <v>0</v>
      </c>
      <c r="M334" s="465">
        <f t="shared" ca="1" si="153"/>
        <v>0</v>
      </c>
      <c r="N334" s="465">
        <f t="shared" ca="1" si="153"/>
        <v>0</v>
      </c>
      <c r="O334" s="465">
        <f t="shared" ca="1" si="149"/>
        <v>0</v>
      </c>
      <c r="P334" s="465">
        <f t="shared" ca="1" si="150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2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49"/>
        <v>0</v>
      </c>
      <c r="P335" s="93">
        <f t="shared" si="150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2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IFERROR(__xludf.DUMMYFUNCTION("IMPORTRANGE(""https://docs.google.com/spreadsheets/d/1MeEWN-I1oV_STSDYn1IFDPWt_1FKiwhDph83XaGc0o0/edit?usp=sharing"",""งบพรบ!EP26"")"),0)</f>
        <v>0</v>
      </c>
      <c r="M336" s="93">
        <f ca="1">IFERROR(__xludf.DUMMYFUNCTION("IMPORTRANGE(""https://docs.google.com/spreadsheets/d/1MeEWN-I1oV_STSDYn1IFDPWt_1FKiwhDph83XaGc0o0/edit?usp=sharing"",""งบพรบ!ES26"")"),0)</f>
        <v>0</v>
      </c>
      <c r="N336" s="93">
        <f ca="1">IFERROR(__xludf.DUMMYFUNCTION("IMPORTRANGE(""https://docs.google.com/spreadsheets/d/1MeEWN-I1oV_STSDYn1IFDPWt_1FKiwhDph83XaGc0o0/edit?usp=sharing"",""งบพรบ!EU26"")"),0)</f>
        <v>0</v>
      </c>
      <c r="O336" s="93">
        <f t="shared" ca="1" si="149"/>
        <v>0</v>
      </c>
      <c r="P336" s="93">
        <f t="shared" ca="1" si="150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18" t="s">
        <v>38</v>
      </c>
      <c r="E337" s="173"/>
      <c r="F337" s="173"/>
      <c r="G337" s="174"/>
      <c r="H337" s="726"/>
      <c r="I337" s="184"/>
      <c r="J337" s="269"/>
      <c r="K337" s="465"/>
      <c r="L337" s="465"/>
      <c r="M337" s="465"/>
      <c r="N337" s="465"/>
      <c r="O337" s="163"/>
      <c r="P337" s="163"/>
    </row>
    <row r="338" spans="1:26" ht="18.75">
      <c r="A338" s="283"/>
      <c r="B338" s="33"/>
      <c r="C338" s="280"/>
      <c r="D338" s="415" t="s">
        <v>150</v>
      </c>
      <c r="E338" s="171"/>
      <c r="F338" s="33"/>
      <c r="G338" s="35"/>
      <c r="H338" s="276" t="s">
        <v>35</v>
      </c>
      <c r="I338" s="269">
        <f ca="1">IFERROR(__xludf.DUMMYFUNCTION("IMPORTRANGE(""https://docs.google.com/spreadsheets/d/1QqKyyYR6Q21VydFLVH3TRQUabQu_ym0Zz7PgGX0-kHA/edit?usp=sharing"",""แผน!EG26"")"),2000)</f>
        <v>2000</v>
      </c>
      <c r="J338" s="269">
        <f ca="1">IFERROR(__xludf.DUMMYFUNCTION("IMPORTRANGE(""https://docs.google.com/spreadsheets/d/1kVcqe37tkHyjCSG3S0O1AXqVkqjo8mSIZil3BcpIysc/edit?usp=sharing"",""ศูนย์!D26"")"),334)</f>
        <v>334</v>
      </c>
      <c r="K338" s="465">
        <f ca="1">IF(I338&gt;0,J338*100/I338,0)</f>
        <v>16.7</v>
      </c>
      <c r="L338" s="465"/>
      <c r="M338" s="465"/>
      <c r="N338" s="465"/>
      <c r="O338" s="465"/>
      <c r="P338" s="465"/>
    </row>
    <row r="339" spans="1:26" ht="18.75">
      <c r="A339" s="283"/>
      <c r="B339" s="33"/>
      <c r="C339" s="280"/>
      <c r="D339" s="415" t="s">
        <v>151</v>
      </c>
      <c r="E339" s="171"/>
      <c r="F339" s="33"/>
      <c r="G339" s="35"/>
      <c r="H339" s="276"/>
      <c r="I339" s="269"/>
      <c r="J339" s="269"/>
      <c r="K339" s="465"/>
      <c r="L339" s="465"/>
      <c r="M339" s="465"/>
      <c r="N339" s="465"/>
      <c r="O339" s="465"/>
      <c r="P339" s="465"/>
    </row>
    <row r="340" spans="1:26" ht="18.75">
      <c r="A340" s="283"/>
      <c r="B340" s="33"/>
      <c r="C340" s="280"/>
      <c r="D340" s="342"/>
      <c r="E340" s="415" t="s">
        <v>152</v>
      </c>
      <c r="F340" s="33"/>
      <c r="G340" s="35"/>
      <c r="H340" s="276" t="s">
        <v>153</v>
      </c>
      <c r="I340" s="269">
        <f ca="1">IFERROR(__xludf.DUMMYFUNCTION("IMPORTRANGE(""https://docs.google.com/spreadsheets/d/1QqKyyYR6Q21VydFLVH3TRQUabQu_ym0Zz7PgGX0-kHA/edit?usp=sharing"",""แผน!EH26"")"),7)</f>
        <v>7</v>
      </c>
      <c r="J340" s="269">
        <f ca="1">IFERROR(__xludf.DUMMYFUNCTION("IMPORTRANGE(""https://docs.google.com/spreadsheets/d/1kVcqe37tkHyjCSG3S0O1AXqVkqjo8mSIZil3BcpIysc/edit?usp=sharing"",""ศูนย์!E26"")"),0)</f>
        <v>0</v>
      </c>
      <c r="K340" s="465">
        <f ca="1">IF(I340&gt;0,J340*100/I340,0)</f>
        <v>0</v>
      </c>
      <c r="L340" s="465"/>
      <c r="M340" s="465"/>
      <c r="N340" s="465"/>
      <c r="O340" s="465"/>
      <c r="P340" s="465"/>
    </row>
    <row r="341" spans="1:26" ht="18.75">
      <c r="A341" s="283"/>
      <c r="B341" s="33"/>
      <c r="C341" s="280"/>
      <c r="D341" s="342"/>
      <c r="E341" s="415" t="s">
        <v>154</v>
      </c>
      <c r="F341" s="33"/>
      <c r="G341" s="35"/>
      <c r="H341" s="276" t="s">
        <v>35</v>
      </c>
      <c r="I341" s="269"/>
      <c r="J341" s="269">
        <f ca="1">IFERROR(__xludf.DUMMYFUNCTION("IMPORTRANGE(""https://docs.google.com/spreadsheets/d/1kVcqe37tkHyjCSG3S0O1AXqVkqjo8mSIZil3BcpIysc/edit?usp=sharing"",""ศูนย์!F26"")"),0)</f>
        <v>0</v>
      </c>
      <c r="K341" s="465"/>
      <c r="L341" s="465"/>
      <c r="M341" s="465"/>
      <c r="N341" s="465"/>
      <c r="O341" s="465"/>
      <c r="P341" s="465"/>
    </row>
    <row r="342" spans="1:26" ht="18.75">
      <c r="A342" s="283"/>
      <c r="B342" s="33"/>
      <c r="C342" s="280"/>
      <c r="D342" s="415" t="s">
        <v>155</v>
      </c>
      <c r="E342" s="342"/>
      <c r="F342" s="342"/>
      <c r="G342" s="35"/>
      <c r="H342" s="276" t="s">
        <v>35</v>
      </c>
      <c r="I342" s="269"/>
      <c r="J342" s="269">
        <f ca="1">IFERROR(__xludf.DUMMYFUNCTION("IMPORTRANGE(""https://docs.google.com/spreadsheets/d/1kVcqe37tkHyjCSG3S0O1AXqVkqjo8mSIZil3BcpIysc/edit?usp=sharing"",""ศูนย์!G26"")"),0)</f>
        <v>0</v>
      </c>
      <c r="K342" s="465"/>
      <c r="L342" s="465"/>
      <c r="M342" s="465"/>
      <c r="N342" s="465"/>
      <c r="O342" s="465"/>
      <c r="P342" s="465"/>
    </row>
    <row r="343" spans="1:26" ht="18.75">
      <c r="A343" s="283"/>
      <c r="B343" s="33"/>
      <c r="C343" s="280"/>
      <c r="D343" s="415" t="s">
        <v>156</v>
      </c>
      <c r="E343" s="342"/>
      <c r="F343" s="342"/>
      <c r="G343" s="35"/>
      <c r="H343" s="276" t="s">
        <v>35</v>
      </c>
      <c r="I343" s="269"/>
      <c r="J343" s="269">
        <f ca="1">IFERROR(__xludf.DUMMYFUNCTION("IMPORTRANGE(""https://docs.google.com/spreadsheets/d/1kVcqe37tkHyjCSG3S0O1AXqVkqjo8mSIZil3BcpIysc/edit?usp=sharing"",""ศูนย์!H26"")"),0)</f>
        <v>0</v>
      </c>
      <c r="K343" s="465"/>
      <c r="L343" s="465"/>
      <c r="M343" s="465"/>
      <c r="N343" s="465"/>
      <c r="O343" s="465"/>
      <c r="P343" s="465"/>
    </row>
    <row r="344" spans="1:26" ht="19.5">
      <c r="A344" s="407"/>
      <c r="B344" s="408" t="s">
        <v>157</v>
      </c>
      <c r="C344" s="420"/>
      <c r="D344" s="409"/>
      <c r="E344" s="409"/>
      <c r="F344" s="409"/>
      <c r="G344" s="410"/>
      <c r="H344" s="411"/>
      <c r="I344" s="421"/>
      <c r="J344" s="421"/>
      <c r="K344" s="414"/>
      <c r="L344" s="414"/>
      <c r="M344" s="414"/>
      <c r="N344" s="414"/>
      <c r="O344" s="414"/>
      <c r="P344" s="414"/>
    </row>
    <row r="345" spans="1:26" ht="19.5">
      <c r="A345" s="147"/>
      <c r="B345" s="148"/>
      <c r="C345" s="149" t="s">
        <v>16</v>
      </c>
      <c r="D345" s="817" t="s">
        <v>17</v>
      </c>
      <c r="E345" s="148"/>
      <c r="F345" s="148"/>
      <c r="G345" s="151"/>
      <c r="H345" s="152" t="s">
        <v>12</v>
      </c>
      <c r="I345" s="388"/>
      <c r="J345" s="388"/>
      <c r="K345" s="154"/>
      <c r="L345" s="155">
        <f t="shared" ref="L345:N345" ca="1" si="154">L346+L347</f>
        <v>604950</v>
      </c>
      <c r="M345" s="155">
        <f t="shared" ca="1" si="154"/>
        <v>309980</v>
      </c>
      <c r="N345" s="155">
        <f t="shared" ca="1" si="154"/>
        <v>91480.02</v>
      </c>
      <c r="O345" s="155">
        <f t="shared" ref="O345:O353" ca="1" si="155">IF(L345&gt;0,N345*100/L345,0)</f>
        <v>15.121914207785768</v>
      </c>
      <c r="P345" s="155">
        <f t="shared" ref="P345:P353" ca="1" si="156">IF(M345&gt;0,N345*100/M345,0)</f>
        <v>29.511587844377058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2" t="s">
        <v>18</v>
      </c>
      <c r="F346" s="40"/>
      <c r="G346" s="157"/>
      <c r="H346" s="158" t="s">
        <v>12</v>
      </c>
      <c r="I346" s="583"/>
      <c r="J346" s="583"/>
      <c r="K346" s="93"/>
      <c r="L346" s="93">
        <f t="shared" ref="L346:N347" si="157">L349+L352</f>
        <v>0</v>
      </c>
      <c r="M346" s="93">
        <f t="shared" si="157"/>
        <v>0</v>
      </c>
      <c r="N346" s="93">
        <f t="shared" si="157"/>
        <v>0</v>
      </c>
      <c r="O346" s="93">
        <f t="shared" si="155"/>
        <v>0</v>
      </c>
      <c r="P346" s="93">
        <f t="shared" si="156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2" t="s">
        <v>19</v>
      </c>
      <c r="F347" s="40"/>
      <c r="G347" s="157"/>
      <c r="H347" s="158" t="s">
        <v>12</v>
      </c>
      <c r="I347" s="583"/>
      <c r="J347" s="583"/>
      <c r="K347" s="93"/>
      <c r="L347" s="93">
        <f t="shared" ca="1" si="157"/>
        <v>604950</v>
      </c>
      <c r="M347" s="93">
        <f t="shared" ca="1" si="157"/>
        <v>309980</v>
      </c>
      <c r="N347" s="93">
        <f t="shared" ca="1" si="157"/>
        <v>91480.02</v>
      </c>
      <c r="O347" s="93">
        <f t="shared" ca="1" si="155"/>
        <v>15.121914207785768</v>
      </c>
      <c r="P347" s="93">
        <f t="shared" ca="1" si="156"/>
        <v>29.511587844377058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1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65">
        <f t="shared" ref="L348:N348" ca="1" si="158">L349+L350</f>
        <v>589950</v>
      </c>
      <c r="M348" s="465">
        <f t="shared" ca="1" si="158"/>
        <v>294980</v>
      </c>
      <c r="N348" s="465">
        <f t="shared" ca="1" si="158"/>
        <v>76480.02</v>
      </c>
      <c r="O348" s="465">
        <f t="shared" ca="1" si="155"/>
        <v>12.963813882532419</v>
      </c>
      <c r="P348" s="465">
        <f t="shared" ca="1" si="156"/>
        <v>25.927188283951455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2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5"/>
        <v>0</v>
      </c>
      <c r="P349" s="93">
        <f t="shared" si="156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2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IFERROR(__xludf.DUMMYFUNCTION("IMPORTRANGE(""https://docs.google.com/spreadsheets/d/1MeEWN-I1oV_STSDYn1IFDPWt_1FKiwhDph83XaGc0o0/edit?usp=sharing"",""งบพรบ!EW26"")"),589950)</f>
        <v>589950</v>
      </c>
      <c r="M350" s="93">
        <f ca="1">IFERROR(__xludf.DUMMYFUNCTION("IMPORTRANGE(""https://docs.google.com/spreadsheets/d/1MeEWN-I1oV_STSDYn1IFDPWt_1FKiwhDph83XaGc0o0/edit?usp=sharing"",""งบพรบ!FB26"")"),294980)</f>
        <v>294980</v>
      </c>
      <c r="N350" s="93">
        <f ca="1">IFERROR(__xludf.DUMMYFUNCTION("IMPORTRANGE(""https://docs.google.com/spreadsheets/d/1MeEWN-I1oV_STSDYn1IFDPWt_1FKiwhDph83XaGc0o0/edit?usp=sharing"",""งบพรบ!FD26"")"),76480.02)</f>
        <v>76480.02</v>
      </c>
      <c r="O350" s="93">
        <f t="shared" ca="1" si="155"/>
        <v>12.963813882532419</v>
      </c>
      <c r="P350" s="93">
        <f t="shared" ca="1" si="156"/>
        <v>25.927188283951455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1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65">
        <f t="shared" ref="L351:N351" ca="1" si="159">L352+L353</f>
        <v>15000</v>
      </c>
      <c r="M351" s="465">
        <f t="shared" ca="1" si="159"/>
        <v>15000</v>
      </c>
      <c r="N351" s="465">
        <f t="shared" ca="1" si="159"/>
        <v>15000</v>
      </c>
      <c r="O351" s="465">
        <f t="shared" ca="1" si="155"/>
        <v>100</v>
      </c>
      <c r="P351" s="465">
        <f t="shared" ca="1" si="156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2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5"/>
        <v>0</v>
      </c>
      <c r="P352" s="93">
        <f t="shared" si="156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2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IFERROR(__xludf.DUMMYFUNCTION("IMPORTRANGE(""https://docs.google.com/spreadsheets/d/1MeEWN-I1oV_STSDYn1IFDPWt_1FKiwhDph83XaGc0o0/edit?usp=sharing"",""งบพรบ!EZ26"")"),15000)</f>
        <v>15000</v>
      </c>
      <c r="M353" s="93">
        <f ca="1">IFERROR(__xludf.DUMMYFUNCTION("IMPORTRANGE(""https://docs.google.com/spreadsheets/d/1MeEWN-I1oV_STSDYn1IFDPWt_1FKiwhDph83XaGc0o0/edit?usp=sharing"",""งบพรบ!FC26"")"),15000)</f>
        <v>15000</v>
      </c>
      <c r="N353" s="93">
        <f ca="1">IFERROR(__xludf.DUMMYFUNCTION("IMPORTRANGE(""https://docs.google.com/spreadsheets/d/1MeEWN-I1oV_STSDYn1IFDPWt_1FKiwhDph83XaGc0o0/edit?usp=sharing"",""งบพรบ!FE26"")"),15000)</f>
        <v>15000</v>
      </c>
      <c r="O353" s="93">
        <f t="shared" ca="1" si="155"/>
        <v>100</v>
      </c>
      <c r="P353" s="93">
        <f t="shared" ca="1" si="156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5"/>
      <c r="B354" s="263"/>
      <c r="C354" s="256"/>
      <c r="D354" s="845" t="s">
        <v>158</v>
      </c>
      <c r="E354" s="256"/>
      <c r="F354" s="256"/>
      <c r="G354" s="258"/>
      <c r="H354" s="423"/>
      <c r="I354" s="260"/>
      <c r="J354" s="260"/>
      <c r="K354" s="261"/>
      <c r="L354" s="261"/>
      <c r="M354" s="261"/>
      <c r="N354" s="261"/>
      <c r="O354" s="261"/>
      <c r="P354" s="261"/>
    </row>
    <row r="355" spans="1:26" ht="19.5">
      <c r="A355" s="424"/>
      <c r="B355" s="425"/>
      <c r="C355" s="426"/>
      <c r="D355" s="846" t="s">
        <v>159</v>
      </c>
      <c r="E355" s="428"/>
      <c r="F355" s="428"/>
      <c r="G355" s="429"/>
      <c r="H355" s="430" t="s">
        <v>35</v>
      </c>
      <c r="I355" s="432">
        <f ca="1">IFERROR(__xludf.DUMMYFUNCTION("IMPORTRANGE(""https://docs.google.com/spreadsheets/d/1QqKyyYR6Q21VydFLVH3TRQUabQu_ym0Zz7PgGX0-kHA/edit?usp=sharing"",""แผน!EP26"")"),70)</f>
        <v>70</v>
      </c>
      <c r="J355" s="432">
        <f ca="1">J362</f>
        <v>0</v>
      </c>
      <c r="K355" s="433">
        <f ca="1">IF(I355&gt;0,J355*100/I355,0)</f>
        <v>0</v>
      </c>
      <c r="L355" s="434"/>
      <c r="M355" s="434"/>
      <c r="N355" s="434"/>
      <c r="O355" s="434"/>
      <c r="P355" s="434"/>
    </row>
    <row r="356" spans="1:26" ht="19.5">
      <c r="A356" s="424"/>
      <c r="B356" s="425"/>
      <c r="C356" s="426"/>
      <c r="D356" s="435" t="s">
        <v>160</v>
      </c>
      <c r="E356" s="428"/>
      <c r="F356" s="428"/>
      <c r="G356" s="429"/>
      <c r="H356" s="436"/>
      <c r="I356" s="437"/>
      <c r="J356" s="437"/>
      <c r="K356" s="434"/>
      <c r="L356" s="434"/>
      <c r="M356" s="434"/>
      <c r="N356" s="434"/>
      <c r="O356" s="434"/>
      <c r="P356" s="434"/>
    </row>
    <row r="357" spans="1:26" ht="19.5">
      <c r="A357" s="170"/>
      <c r="B357" s="171"/>
      <c r="C357" s="164" t="s">
        <v>16</v>
      </c>
      <c r="D357" s="818" t="s">
        <v>38</v>
      </c>
      <c r="E357" s="173"/>
      <c r="F357" s="173"/>
      <c r="G357" s="174"/>
      <c r="H357" s="726"/>
      <c r="I357" s="269"/>
      <c r="J357" s="269"/>
      <c r="K357" s="465"/>
      <c r="L357" s="163"/>
      <c r="M357" s="163"/>
      <c r="N357" s="163"/>
      <c r="O357" s="163"/>
      <c r="P357" s="163"/>
    </row>
    <row r="358" spans="1:26" ht="18.75">
      <c r="A358" s="170"/>
      <c r="B358" s="342"/>
      <c r="C358" s="171"/>
      <c r="D358" s="342"/>
      <c r="E358" s="343" t="s">
        <v>161</v>
      </c>
      <c r="F358" s="342"/>
      <c r="G358" s="179"/>
      <c r="H358" s="185" t="s">
        <v>35</v>
      </c>
      <c r="I358" s="269">
        <v>0</v>
      </c>
      <c r="J358" s="269">
        <f ca="1">IFERROR(__xludf.DUMMYFUNCTION("IMPORTRANGE(""https://docs.google.com/spreadsheets/d/1XWAQStnk-4SwqDmLtmXYiTMKHgktTP8We1SCoS47DrQ/edit?usp=sharing"",""จัดที่ดิน!W26"")"),56)</f>
        <v>56</v>
      </c>
      <c r="K358" s="465">
        <f t="shared" ref="K358:K365" si="160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342"/>
      <c r="C359" s="171"/>
      <c r="D359" s="342"/>
      <c r="E359" s="342"/>
      <c r="F359" s="342"/>
      <c r="G359" s="179"/>
      <c r="H359" s="185" t="s">
        <v>46</v>
      </c>
      <c r="I359" s="269">
        <f ca="1">IFERROR(__xludf.DUMMYFUNCTION("IMPORTRANGE(""https://docs.google.com/spreadsheets/d/1QqKyyYR6Q21VydFLVH3TRQUabQu_ym0Zz7PgGX0-kHA/edit?usp=sharing"",""แผน!EO26"")"),620)</f>
        <v>620</v>
      </c>
      <c r="J359" s="269">
        <f ca="1">IFERROR(__xludf.DUMMYFUNCTION("IMPORTRANGE(""https://docs.google.com/spreadsheets/d/1XWAQStnk-4SwqDmLtmXYiTMKHgktTP8We1SCoS47DrQ/edit?usp=sharing"",""จัดที่ดิน!X26"")"),276.44)</f>
        <v>276.44</v>
      </c>
      <c r="K359" s="465">
        <f t="shared" ca="1" si="160"/>
        <v>44.587096774193547</v>
      </c>
      <c r="L359" s="163"/>
      <c r="M359" s="163"/>
      <c r="N359" s="163"/>
      <c r="O359" s="163"/>
      <c r="P359" s="163"/>
    </row>
    <row r="360" spans="1:26" ht="18.75">
      <c r="A360" s="170"/>
      <c r="B360" s="342"/>
      <c r="C360" s="171"/>
      <c r="D360" s="342"/>
      <c r="E360" s="343" t="s">
        <v>162</v>
      </c>
      <c r="F360" s="342"/>
      <c r="G360" s="179"/>
      <c r="H360" s="728" t="s">
        <v>35</v>
      </c>
      <c r="I360" s="269">
        <f ca="1">IFERROR(__xludf.DUMMYFUNCTION("IMPORTRANGE(""https://docs.google.com/spreadsheets/d/1QqKyyYR6Q21VydFLVH3TRQUabQu_ym0Zz7PgGX0-kHA/edit?usp=sharing"",""แผน!EP26"")"),70)</f>
        <v>70</v>
      </c>
      <c r="J360" s="269">
        <f ca="1">IFERROR(__xludf.DUMMYFUNCTION("IMPORTRANGE(""https://docs.google.com/spreadsheets/d/1XWAQStnk-4SwqDmLtmXYiTMKHgktTP8We1SCoS47DrQ/edit?usp=sharing"",""จัดที่ดิน!Y26"")"),0)</f>
        <v>0</v>
      </c>
      <c r="K360" s="465">
        <f t="shared" ca="1" si="160"/>
        <v>0</v>
      </c>
      <c r="L360" s="163"/>
      <c r="M360" s="163"/>
      <c r="N360" s="163"/>
      <c r="O360" s="163"/>
      <c r="P360" s="163"/>
    </row>
    <row r="361" spans="1:26" ht="18.75">
      <c r="A361" s="170"/>
      <c r="B361" s="342"/>
      <c r="C361" s="171"/>
      <c r="D361" s="342"/>
      <c r="E361" s="342"/>
      <c r="F361" s="342"/>
      <c r="G361" s="179"/>
      <c r="H361" s="728" t="s">
        <v>46</v>
      </c>
      <c r="I361" s="269">
        <v>0</v>
      </c>
      <c r="J361" s="269">
        <f ca="1">IFERROR(__xludf.DUMMYFUNCTION("IMPORTRANGE(""https://docs.google.com/spreadsheets/d/1XWAQStnk-4SwqDmLtmXYiTMKHgktTP8We1SCoS47DrQ/edit?usp=sharing"",""จัดที่ดิน!Z26"")"),0)</f>
        <v>0</v>
      </c>
      <c r="K361" s="465">
        <f t="shared" si="160"/>
        <v>0</v>
      </c>
      <c r="L361" s="163"/>
      <c r="M361" s="163"/>
      <c r="N361" s="163"/>
      <c r="O361" s="163"/>
      <c r="P361" s="163"/>
    </row>
    <row r="362" spans="1:26" ht="18.75">
      <c r="A362" s="170"/>
      <c r="B362" s="342"/>
      <c r="C362" s="171"/>
      <c r="D362" s="342"/>
      <c r="E362" s="343" t="s">
        <v>163</v>
      </c>
      <c r="F362" s="342"/>
      <c r="G362" s="179"/>
      <c r="H362" s="728" t="s">
        <v>35</v>
      </c>
      <c r="I362" s="269">
        <f ca="1">IFERROR(__xludf.DUMMYFUNCTION("IMPORTRANGE(""https://docs.google.com/spreadsheets/d/1QqKyyYR6Q21VydFLVH3TRQUabQu_ym0Zz7PgGX0-kHA/edit?usp=sharing"",""แผน!EP26"")"),70)</f>
        <v>70</v>
      </c>
      <c r="J362" s="269">
        <f ca="1">IFERROR(__xludf.DUMMYFUNCTION("IMPORTRANGE(""https://docs.google.com/spreadsheets/d/1XWAQStnk-4SwqDmLtmXYiTMKHgktTP8We1SCoS47DrQ/edit?usp=sharing"",""จัดที่ดิน!AA26"")"),0)</f>
        <v>0</v>
      </c>
      <c r="K362" s="465">
        <f t="shared" ca="1" si="160"/>
        <v>0</v>
      </c>
      <c r="L362" s="163"/>
      <c r="M362" s="163"/>
      <c r="N362" s="163"/>
      <c r="O362" s="163"/>
      <c r="P362" s="163"/>
    </row>
    <row r="363" spans="1:26" ht="18.75">
      <c r="A363" s="438" t="s">
        <v>164</v>
      </c>
      <c r="B363" s="342"/>
      <c r="C363" s="171"/>
      <c r="D363" s="342"/>
      <c r="E363" s="415"/>
      <c r="F363" s="342"/>
      <c r="G363" s="179"/>
      <c r="H363" s="728" t="s">
        <v>46</v>
      </c>
      <c r="I363" s="269">
        <v>0</v>
      </c>
      <c r="J363" s="269">
        <f ca="1">IFERROR(__xludf.DUMMYFUNCTION("IMPORTRANGE(""https://docs.google.com/spreadsheets/d/1XWAQStnk-4SwqDmLtmXYiTMKHgktTP8We1SCoS47DrQ/edit?usp=sharing"",""จัดที่ดิน!AB26"")"),0)</f>
        <v>0</v>
      </c>
      <c r="K363" s="465">
        <f t="shared" si="160"/>
        <v>0</v>
      </c>
      <c r="L363" s="163"/>
      <c r="M363" s="163"/>
      <c r="N363" s="163"/>
      <c r="O363" s="163"/>
      <c r="P363" s="163"/>
    </row>
    <row r="364" spans="1:26" ht="19.5">
      <c r="A364" s="439"/>
      <c r="B364" s="440"/>
      <c r="C364" s="441"/>
      <c r="D364" s="442" t="s">
        <v>165</v>
      </c>
      <c r="E364" s="443"/>
      <c r="F364" s="443"/>
      <c r="G364" s="444"/>
      <c r="H364" s="445" t="s">
        <v>35</v>
      </c>
      <c r="I364" s="446">
        <f t="shared" ref="I364:J364" ca="1" si="161">I365+I374</f>
        <v>150</v>
      </c>
      <c r="J364" s="446">
        <f t="shared" ca="1" si="161"/>
        <v>44</v>
      </c>
      <c r="K364" s="447">
        <f t="shared" ca="1" si="160"/>
        <v>29.333333333333332</v>
      </c>
      <c r="L364" s="448"/>
      <c r="M364" s="448"/>
      <c r="N364" s="448"/>
      <c r="O364" s="448"/>
      <c r="P364" s="448"/>
      <c r="Q364" s="449"/>
      <c r="R364" s="449"/>
      <c r="S364" s="449"/>
      <c r="T364" s="449"/>
      <c r="U364" s="449"/>
      <c r="V364" s="449"/>
      <c r="W364" s="449"/>
      <c r="X364" s="449"/>
      <c r="Y364" s="449"/>
      <c r="Z364" s="449"/>
    </row>
    <row r="365" spans="1:26" ht="19.5">
      <c r="A365" s="450"/>
      <c r="B365" s="451"/>
      <c r="C365" s="453"/>
      <c r="D365" s="453" t="s">
        <v>166</v>
      </c>
      <c r="E365" s="454"/>
      <c r="F365" s="454"/>
      <c r="G365" s="455"/>
      <c r="H365" s="456" t="s">
        <v>35</v>
      </c>
      <c r="I365" s="458">
        <f ca="1">IFERROR(__xludf.DUMMYFUNCTION("IMPORTRANGE(""https://docs.google.com/spreadsheets/d/1QqKyyYR6Q21VydFLVH3TRQUabQu_ym0Zz7PgGX0-kHA/edit?usp=sharing"",""แผน!EJ26"")"),40)</f>
        <v>40</v>
      </c>
      <c r="J365" s="458">
        <f ca="1">J372</f>
        <v>0</v>
      </c>
      <c r="K365" s="459">
        <f t="shared" ca="1" si="160"/>
        <v>0</v>
      </c>
      <c r="L365" s="460"/>
      <c r="M365" s="460"/>
      <c r="N365" s="460"/>
      <c r="O365" s="460"/>
      <c r="P365" s="460"/>
      <c r="Q365" s="449"/>
      <c r="R365" s="449"/>
      <c r="S365" s="449"/>
      <c r="T365" s="449"/>
      <c r="U365" s="449"/>
      <c r="V365" s="449"/>
      <c r="W365" s="449"/>
      <c r="X365" s="449"/>
      <c r="Y365" s="449"/>
      <c r="Z365" s="449"/>
    </row>
    <row r="366" spans="1:26" ht="19.5">
      <c r="A366" s="450"/>
      <c r="B366" s="451"/>
      <c r="C366" s="453"/>
      <c r="D366" s="461" t="s">
        <v>167</v>
      </c>
      <c r="E366" s="454"/>
      <c r="F366" s="454"/>
      <c r="G366" s="455"/>
      <c r="H366" s="462"/>
      <c r="I366" s="463"/>
      <c r="J366" s="463"/>
      <c r="K366" s="460"/>
      <c r="L366" s="460"/>
      <c r="M366" s="460"/>
      <c r="N366" s="460"/>
      <c r="O366" s="460"/>
      <c r="P366" s="460"/>
      <c r="Q366" s="449"/>
      <c r="R366" s="449"/>
      <c r="S366" s="449"/>
      <c r="T366" s="449"/>
      <c r="U366" s="449"/>
      <c r="V366" s="449"/>
      <c r="W366" s="449"/>
      <c r="X366" s="449"/>
      <c r="Y366" s="449"/>
      <c r="Z366" s="449"/>
    </row>
    <row r="367" spans="1:26" ht="19.5">
      <c r="A367" s="170"/>
      <c r="B367" s="171"/>
      <c r="C367" s="164" t="s">
        <v>16</v>
      </c>
      <c r="D367" s="818" t="s">
        <v>38</v>
      </c>
      <c r="E367" s="173"/>
      <c r="F367" s="173"/>
      <c r="G367" s="174"/>
      <c r="H367" s="726"/>
      <c r="I367" s="269"/>
      <c r="J367" s="269"/>
      <c r="K367" s="465"/>
      <c r="L367" s="163"/>
      <c r="M367" s="163"/>
      <c r="N367" s="163"/>
      <c r="O367" s="163"/>
      <c r="P367" s="163"/>
    </row>
    <row r="368" spans="1:26" ht="18.75">
      <c r="A368" s="170"/>
      <c r="B368" s="342"/>
      <c r="C368" s="171"/>
      <c r="D368" s="342"/>
      <c r="E368" s="343" t="s">
        <v>161</v>
      </c>
      <c r="F368" s="342"/>
      <c r="G368" s="179"/>
      <c r="H368" s="185" t="s">
        <v>35</v>
      </c>
      <c r="I368" s="269">
        <v>0</v>
      </c>
      <c r="J368" s="269">
        <f ca="1">IFERROR(__xludf.DUMMYFUNCTION("IMPORTRANGE(""https://docs.google.com/spreadsheets/d/1XWAQStnk-4SwqDmLtmXYiTMKHgktTP8We1SCoS47DrQ/edit?usp=sharing"",""จัดที่ดิน!E26"")"),56)</f>
        <v>56</v>
      </c>
      <c r="K368" s="465">
        <f t="shared" ref="K368:K374" si="162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342"/>
      <c r="C369" s="171"/>
      <c r="D369" s="342"/>
      <c r="E369" s="342"/>
      <c r="F369" s="342"/>
      <c r="G369" s="179"/>
      <c r="H369" s="185" t="s">
        <v>46</v>
      </c>
      <c r="I369" s="269">
        <f ca="1">IFERROR(__xludf.DUMMYFUNCTION("IMPORTRANGE(""https://docs.google.com/spreadsheets/d/1QqKyyYR6Q21VydFLVH3TRQUabQu_ym0Zz7PgGX0-kHA/edit?usp=sharing"",""แผน!EI26"")"),400)</f>
        <v>400</v>
      </c>
      <c r="J369" s="269">
        <f ca="1">IFERROR(__xludf.DUMMYFUNCTION("IMPORTRANGE(""https://docs.google.com/spreadsheets/d/1XWAQStnk-4SwqDmLtmXYiTMKHgktTP8We1SCoS47DrQ/edit?usp=sharing"",""จัดที่ดิน!F26"")"),276.44)</f>
        <v>276.44</v>
      </c>
      <c r="K369" s="465">
        <f t="shared" ca="1" si="162"/>
        <v>69.11</v>
      </c>
      <c r="L369" s="163"/>
      <c r="M369" s="163"/>
      <c r="N369" s="163"/>
      <c r="O369" s="163"/>
      <c r="P369" s="163"/>
    </row>
    <row r="370" spans="1:26" ht="18.75">
      <c r="A370" s="170"/>
      <c r="B370" s="342"/>
      <c r="C370" s="171"/>
      <c r="D370" s="342"/>
      <c r="E370" s="343" t="s">
        <v>162</v>
      </c>
      <c r="F370" s="342"/>
      <c r="G370" s="179"/>
      <c r="H370" s="728" t="s">
        <v>35</v>
      </c>
      <c r="I370" s="269">
        <f ca="1">IFERROR(__xludf.DUMMYFUNCTION("IMPORTRANGE(""https://docs.google.com/spreadsheets/d/1QqKyyYR6Q21VydFLVH3TRQUabQu_ym0Zz7PgGX0-kHA/edit?usp=sharing"",""แผน!EJ26"")"),40)</f>
        <v>40</v>
      </c>
      <c r="J370" s="269">
        <f ca="1">IFERROR(__xludf.DUMMYFUNCTION("IMPORTRANGE(""https://docs.google.com/spreadsheets/d/1XWAQStnk-4SwqDmLtmXYiTMKHgktTP8We1SCoS47DrQ/edit?usp=sharing"",""จัดที่ดิน!G26"")"),0)</f>
        <v>0</v>
      </c>
      <c r="K370" s="465">
        <f t="shared" ca="1" si="162"/>
        <v>0</v>
      </c>
      <c r="L370" s="163"/>
      <c r="M370" s="163"/>
      <c r="N370" s="163"/>
      <c r="O370" s="163"/>
      <c r="P370" s="163"/>
    </row>
    <row r="371" spans="1:26" ht="18.75">
      <c r="A371" s="170"/>
      <c r="B371" s="342"/>
      <c r="C371" s="171"/>
      <c r="D371" s="342"/>
      <c r="E371" s="342"/>
      <c r="F371" s="342"/>
      <c r="G371" s="179"/>
      <c r="H371" s="728" t="s">
        <v>46</v>
      </c>
      <c r="I371" s="269">
        <v>0</v>
      </c>
      <c r="J371" s="269">
        <f ca="1">IFERROR(__xludf.DUMMYFUNCTION("IMPORTRANGE(""https://docs.google.com/spreadsheets/d/1XWAQStnk-4SwqDmLtmXYiTMKHgktTP8We1SCoS47DrQ/edit?usp=sharing"",""จัดที่ดิน!H26"")"),0)</f>
        <v>0</v>
      </c>
      <c r="K371" s="465">
        <f t="shared" si="162"/>
        <v>0</v>
      </c>
      <c r="L371" s="163"/>
      <c r="M371" s="163"/>
      <c r="N371" s="163"/>
      <c r="O371" s="163"/>
      <c r="P371" s="163"/>
    </row>
    <row r="372" spans="1:26" ht="18.75">
      <c r="A372" s="170"/>
      <c r="B372" s="342"/>
      <c r="C372" s="171"/>
      <c r="D372" s="342"/>
      <c r="E372" s="343" t="s">
        <v>163</v>
      </c>
      <c r="F372" s="342"/>
      <c r="G372" s="179"/>
      <c r="H372" s="728" t="s">
        <v>35</v>
      </c>
      <c r="I372" s="269">
        <f ca="1">IFERROR(__xludf.DUMMYFUNCTION("IMPORTRANGE(""https://docs.google.com/spreadsheets/d/1QqKyyYR6Q21VydFLVH3TRQUabQu_ym0Zz7PgGX0-kHA/edit?usp=sharing"",""แผน!EJ26"")"),40)</f>
        <v>40</v>
      </c>
      <c r="J372" s="269">
        <f ca="1">IFERROR(__xludf.DUMMYFUNCTION("IMPORTRANGE(""https://docs.google.com/spreadsheets/d/1XWAQStnk-4SwqDmLtmXYiTMKHgktTP8We1SCoS47DrQ/edit?usp=sharing"",""จัดที่ดิน!I26"")"),0)</f>
        <v>0</v>
      </c>
      <c r="K372" s="465">
        <f t="shared" ca="1" si="162"/>
        <v>0</v>
      </c>
      <c r="L372" s="163"/>
      <c r="M372" s="163"/>
      <c r="N372" s="163"/>
      <c r="O372" s="163"/>
      <c r="P372" s="163"/>
    </row>
    <row r="373" spans="1:26" ht="18.75">
      <c r="A373" s="438" t="s">
        <v>164</v>
      </c>
      <c r="B373" s="342"/>
      <c r="C373" s="171"/>
      <c r="D373" s="342"/>
      <c r="E373" s="415"/>
      <c r="F373" s="342"/>
      <c r="G373" s="179"/>
      <c r="H373" s="728" t="s">
        <v>46</v>
      </c>
      <c r="I373" s="269">
        <v>0</v>
      </c>
      <c r="J373" s="269">
        <f ca="1">IFERROR(__xludf.DUMMYFUNCTION("IMPORTRANGE(""https://docs.google.com/spreadsheets/d/1XWAQStnk-4SwqDmLtmXYiTMKHgktTP8We1SCoS47DrQ/edit?usp=sharing"",""จัดที่ดิน!J26"")"),0)</f>
        <v>0</v>
      </c>
      <c r="K373" s="465">
        <f t="shared" si="162"/>
        <v>0</v>
      </c>
      <c r="L373" s="163"/>
      <c r="M373" s="163"/>
      <c r="N373" s="163"/>
      <c r="O373" s="163"/>
      <c r="P373" s="163"/>
    </row>
    <row r="374" spans="1:26" ht="19.5">
      <c r="A374" s="450"/>
      <c r="B374" s="451"/>
      <c r="C374" s="453"/>
      <c r="D374" s="453" t="s">
        <v>168</v>
      </c>
      <c r="E374" s="454"/>
      <c r="F374" s="454"/>
      <c r="G374" s="455"/>
      <c r="H374" s="456" t="s">
        <v>35</v>
      </c>
      <c r="I374" s="464">
        <f ca="1">IFERROR(__xludf.DUMMYFUNCTION("IMPORTRANGE(""https://docs.google.com/spreadsheets/d/1QqKyyYR6Q21VydFLVH3TRQUabQu_ym0Zz7PgGX0-kHA/edit?usp=sharing"",""แผน!EU26"")"),110)</f>
        <v>110</v>
      </c>
      <c r="J374" s="458">
        <f ca="1">J381</f>
        <v>44</v>
      </c>
      <c r="K374" s="459">
        <f t="shared" ca="1" si="162"/>
        <v>40</v>
      </c>
      <c r="L374" s="460"/>
      <c r="M374" s="460"/>
      <c r="N374" s="460"/>
      <c r="O374" s="460"/>
      <c r="P374" s="460"/>
      <c r="Q374" s="449"/>
      <c r="R374" s="449"/>
      <c r="S374" s="449"/>
      <c r="T374" s="449"/>
      <c r="U374" s="449"/>
      <c r="V374" s="449"/>
      <c r="W374" s="449"/>
      <c r="X374" s="449"/>
      <c r="Y374" s="449"/>
      <c r="Z374" s="449"/>
    </row>
    <row r="375" spans="1:26" ht="19.5">
      <c r="A375" s="450"/>
      <c r="B375" s="451"/>
      <c r="C375" s="453"/>
      <c r="D375" s="461" t="s">
        <v>169</v>
      </c>
      <c r="E375" s="454"/>
      <c r="F375" s="454"/>
      <c r="G375" s="455"/>
      <c r="H375" s="462"/>
      <c r="I375" s="463"/>
      <c r="J375" s="463"/>
      <c r="K375" s="460"/>
      <c r="L375" s="460"/>
      <c r="M375" s="460"/>
      <c r="N375" s="460"/>
      <c r="O375" s="460"/>
      <c r="P375" s="460"/>
      <c r="Q375" s="449"/>
      <c r="R375" s="449"/>
      <c r="S375" s="449"/>
      <c r="T375" s="449"/>
      <c r="U375" s="449"/>
      <c r="V375" s="449"/>
      <c r="W375" s="449"/>
      <c r="X375" s="449"/>
      <c r="Y375" s="449"/>
      <c r="Z375" s="449"/>
    </row>
    <row r="376" spans="1:26" ht="19.5">
      <c r="A376" s="170"/>
      <c r="B376" s="171"/>
      <c r="C376" s="164" t="s">
        <v>16</v>
      </c>
      <c r="D376" s="818" t="s">
        <v>38</v>
      </c>
      <c r="E376" s="173"/>
      <c r="F376" s="173"/>
      <c r="G376" s="174"/>
      <c r="H376" s="726"/>
      <c r="I376" s="269"/>
      <c r="J376" s="269"/>
      <c r="K376" s="465"/>
      <c r="L376" s="163"/>
      <c r="M376" s="163"/>
      <c r="N376" s="163"/>
      <c r="O376" s="163"/>
      <c r="P376" s="163"/>
    </row>
    <row r="377" spans="1:26" ht="18.75">
      <c r="A377" s="170"/>
      <c r="B377" s="342"/>
      <c r="C377" s="171"/>
      <c r="D377" s="342"/>
      <c r="E377" s="343" t="s">
        <v>161</v>
      </c>
      <c r="F377" s="342"/>
      <c r="G377" s="179"/>
      <c r="H377" s="185" t="s">
        <v>35</v>
      </c>
      <c r="I377" s="269">
        <v>0</v>
      </c>
      <c r="J377" s="269">
        <f ca="1">IFERROR(__xludf.DUMMYFUNCTION("IMPORTRANGE(""https://docs.google.com/spreadsheets/d/1XWAQStnk-4SwqDmLtmXYiTMKHgktTP8We1SCoS47DrQ/edit?usp=sharing"",""จัดที่ดิน!AH26"")"),0)</f>
        <v>0</v>
      </c>
      <c r="K377" s="465">
        <f t="shared" ref="K377:K382" si="163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342"/>
      <c r="C378" s="171"/>
      <c r="D378" s="342"/>
      <c r="E378" s="342"/>
      <c r="F378" s="342"/>
      <c r="G378" s="179"/>
      <c r="H378" s="185" t="s">
        <v>46</v>
      </c>
      <c r="I378" s="269">
        <f ca="1">IFERROR(__xludf.DUMMYFUNCTION("IMPORTRANGE(""https://docs.google.com/spreadsheets/d/1QqKyyYR6Q21VydFLVH3TRQUabQu_ym0Zz7PgGX0-kHA/edit?usp=sharing"",""แผน!ET26"")"),220)</f>
        <v>220</v>
      </c>
      <c r="J378" s="269">
        <f ca="1">IFERROR(__xludf.DUMMYFUNCTION("IMPORTRANGE(""https://docs.google.com/spreadsheets/d/1XWAQStnk-4SwqDmLtmXYiTMKHgktTP8We1SCoS47DrQ/edit?usp=sharing"",""จัดที่ดิน!AI26"")"),0)</f>
        <v>0</v>
      </c>
      <c r="K378" s="465">
        <f t="shared" ca="1" si="163"/>
        <v>0</v>
      </c>
      <c r="L378" s="163"/>
      <c r="M378" s="163"/>
      <c r="N378" s="163"/>
      <c r="O378" s="163"/>
      <c r="P378" s="163"/>
    </row>
    <row r="379" spans="1:26" ht="18.75">
      <c r="A379" s="170"/>
      <c r="B379" s="342"/>
      <c r="C379" s="171"/>
      <c r="D379" s="342"/>
      <c r="E379" s="343" t="s">
        <v>162</v>
      </c>
      <c r="F379" s="342"/>
      <c r="G379" s="179"/>
      <c r="H379" s="728" t="s">
        <v>35</v>
      </c>
      <c r="I379" s="269">
        <f ca="1">IFERROR(__xludf.DUMMYFUNCTION("IMPORTRANGE(""https://docs.google.com/spreadsheets/d/1QqKyyYR6Q21VydFLVH3TRQUabQu_ym0Zz7PgGX0-kHA/edit?usp=sharing"",""แผน!EU26"")"),110)</f>
        <v>110</v>
      </c>
      <c r="J379" s="269">
        <f ca="1">IFERROR(__xludf.DUMMYFUNCTION("IMPORTRANGE(""https://docs.google.com/spreadsheets/d/1XWAQStnk-4SwqDmLtmXYiTMKHgktTP8We1SCoS47DrQ/edit?usp=sharing"",""จัดที่ดิน!AJ26"")"),44)</f>
        <v>44</v>
      </c>
      <c r="K379" s="465">
        <f t="shared" ca="1" si="163"/>
        <v>40</v>
      </c>
      <c r="L379" s="163"/>
      <c r="M379" s="163"/>
      <c r="N379" s="163"/>
      <c r="O379" s="163"/>
      <c r="P379" s="163"/>
    </row>
    <row r="380" spans="1:26" ht="18.75">
      <c r="A380" s="170"/>
      <c r="B380" s="342"/>
      <c r="C380" s="171"/>
      <c r="D380" s="342"/>
      <c r="E380" s="342"/>
      <c r="F380" s="342"/>
      <c r="G380" s="179"/>
      <c r="H380" s="728" t="s">
        <v>46</v>
      </c>
      <c r="I380" s="269">
        <v>0</v>
      </c>
      <c r="J380" s="269">
        <f ca="1">IFERROR(__xludf.DUMMYFUNCTION("IMPORTRANGE(""https://docs.google.com/spreadsheets/d/1XWAQStnk-4SwqDmLtmXYiTMKHgktTP8We1SCoS47DrQ/edit?usp=sharing"",""จัดที่ดิน!AK26"")"),299.31)</f>
        <v>299.31</v>
      </c>
      <c r="K380" s="465">
        <f t="shared" si="163"/>
        <v>0</v>
      </c>
      <c r="L380" s="163"/>
      <c r="M380" s="163"/>
      <c r="N380" s="163"/>
      <c r="O380" s="163"/>
      <c r="P380" s="163"/>
    </row>
    <row r="381" spans="1:26" ht="18.75">
      <c r="A381" s="170"/>
      <c r="B381" s="342"/>
      <c r="C381" s="171"/>
      <c r="D381" s="342"/>
      <c r="E381" s="343" t="s">
        <v>163</v>
      </c>
      <c r="F381" s="342"/>
      <c r="G381" s="179"/>
      <c r="H381" s="728" t="s">
        <v>35</v>
      </c>
      <c r="I381" s="269">
        <f ca="1">IFERROR(__xludf.DUMMYFUNCTION("IMPORTRANGE(""https://docs.google.com/spreadsheets/d/1QqKyyYR6Q21VydFLVH3TRQUabQu_ym0Zz7PgGX0-kHA/edit?usp=sharing"",""แผน!EU26"")"),110)</f>
        <v>110</v>
      </c>
      <c r="J381" s="269">
        <f ca="1">IFERROR(__xludf.DUMMYFUNCTION("IMPORTRANGE(""https://docs.google.com/spreadsheets/d/1XWAQStnk-4SwqDmLtmXYiTMKHgktTP8We1SCoS47DrQ/edit?usp=sharing"",""จัดที่ดิน!AL26"")"),44)</f>
        <v>44</v>
      </c>
      <c r="K381" s="465">
        <f t="shared" ca="1" si="163"/>
        <v>40</v>
      </c>
      <c r="L381" s="163"/>
      <c r="M381" s="163"/>
      <c r="N381" s="163"/>
      <c r="O381" s="163"/>
      <c r="P381" s="163"/>
    </row>
    <row r="382" spans="1:26" ht="18.75">
      <c r="A382" s="438" t="s">
        <v>164</v>
      </c>
      <c r="B382" s="342"/>
      <c r="C382" s="171"/>
      <c r="D382" s="342"/>
      <c r="E382" s="415"/>
      <c r="F382" s="342"/>
      <c r="G382" s="179"/>
      <c r="H382" s="728" t="s">
        <v>46</v>
      </c>
      <c r="I382" s="269">
        <v>0</v>
      </c>
      <c r="J382" s="269">
        <f ca="1">IFERROR(__xludf.DUMMYFUNCTION("IMPORTRANGE(""https://docs.google.com/spreadsheets/d/1XWAQStnk-4SwqDmLtmXYiTMKHgktTP8We1SCoS47DrQ/edit?usp=sharing"",""จัดที่ดิน!AM26"")"),299.31)</f>
        <v>299.31</v>
      </c>
      <c r="K382" s="465">
        <f t="shared" si="163"/>
        <v>0</v>
      </c>
      <c r="L382" s="163"/>
      <c r="M382" s="163"/>
      <c r="N382" s="163"/>
      <c r="O382" s="163"/>
      <c r="P382" s="163"/>
    </row>
    <row r="383" spans="1:26" ht="19.5">
      <c r="A383" s="255"/>
      <c r="B383" s="263"/>
      <c r="C383" s="256"/>
      <c r="D383" s="845" t="s">
        <v>170</v>
      </c>
      <c r="E383" s="256"/>
      <c r="F383" s="256"/>
      <c r="G383" s="258"/>
      <c r="H383" s="423"/>
      <c r="I383" s="260"/>
      <c r="J383" s="260"/>
      <c r="K383" s="261"/>
      <c r="L383" s="261"/>
      <c r="M383" s="261"/>
      <c r="N383" s="261"/>
      <c r="O383" s="261"/>
      <c r="P383" s="261"/>
    </row>
    <row r="384" spans="1:26" ht="19.5">
      <c r="A384" s="170"/>
      <c r="B384" s="171"/>
      <c r="C384" s="33" t="s">
        <v>16</v>
      </c>
      <c r="D384" s="818" t="s">
        <v>38</v>
      </c>
      <c r="E384" s="173"/>
      <c r="F384" s="173"/>
      <c r="G384" s="174"/>
      <c r="H384" s="726"/>
      <c r="I384" s="269"/>
      <c r="J384" s="269"/>
      <c r="K384" s="465"/>
      <c r="L384" s="163"/>
      <c r="M384" s="163"/>
      <c r="N384" s="163"/>
      <c r="O384" s="163"/>
      <c r="P384" s="163"/>
    </row>
    <row r="385" spans="1:26" ht="18.75">
      <c r="A385" s="346"/>
      <c r="B385" s="349"/>
      <c r="C385" s="347"/>
      <c r="D385" s="349"/>
      <c r="E385" s="466" t="s">
        <v>163</v>
      </c>
      <c r="F385" s="349"/>
      <c r="G385" s="350"/>
      <c r="H385" s="467" t="s">
        <v>35</v>
      </c>
      <c r="I385" s="468">
        <f ca="1">IFERROR(__xludf.DUMMYFUNCTION("IMPORTRANGE(""https://docs.google.com/spreadsheets/d/1QqKyyYR6Q21VydFLVH3TRQUabQu_ym0Zz7PgGX0-kHA/edit?usp=sharing"",""แผน!EW26"")"),0)</f>
        <v>0</v>
      </c>
      <c r="J385" s="468">
        <f ca="1">IFERROR(__xludf.DUMMYFUNCTION("IMPORTRANGE(""https://docs.google.com/spreadsheets/d/1XWAQStnk-4SwqDmLtmXYiTMKHgktTP8We1SCoS47DrQ/edit?usp=sharing"",""จัดที่ดิน!AP26"")"),0)</f>
        <v>0</v>
      </c>
      <c r="K385" s="469">
        <f ca="1">IF(I385&gt;0,J385*100/I385,0)</f>
        <v>0</v>
      </c>
      <c r="L385" s="353"/>
      <c r="M385" s="353"/>
      <c r="N385" s="353"/>
      <c r="O385" s="353"/>
      <c r="P385" s="353"/>
    </row>
    <row r="386" spans="1:26" ht="19.5" hidden="1">
      <c r="A386" s="470" t="s">
        <v>171</v>
      </c>
      <c r="B386" s="471"/>
      <c r="C386" s="471"/>
      <c r="D386" s="471"/>
      <c r="E386" s="472"/>
      <c r="F386" s="472"/>
      <c r="G386" s="473"/>
      <c r="H386" s="474"/>
      <c r="I386" s="475"/>
      <c r="J386" s="475"/>
      <c r="K386" s="476"/>
      <c r="L386" s="476"/>
      <c r="M386" s="476"/>
      <c r="N386" s="476"/>
      <c r="O386" s="476"/>
      <c r="P386" s="476"/>
    </row>
    <row r="387" spans="1:26" ht="19.5" hidden="1">
      <c r="A387" s="477" t="s">
        <v>172</v>
      </c>
      <c r="B387" s="478"/>
      <c r="C387" s="478"/>
      <c r="D387" s="479"/>
      <c r="E387" s="478"/>
      <c r="F387" s="478"/>
      <c r="G387" s="478"/>
      <c r="H387" s="480"/>
      <c r="I387" s="481"/>
      <c r="J387" s="481"/>
      <c r="K387" s="482"/>
      <c r="L387" s="482"/>
      <c r="M387" s="482"/>
      <c r="N387" s="482"/>
      <c r="O387" s="482"/>
      <c r="P387" s="482"/>
    </row>
    <row r="388" spans="1:26" ht="19.5" hidden="1">
      <c r="A388" s="483"/>
      <c r="B388" s="484" t="s">
        <v>173</v>
      </c>
      <c r="C388" s="485"/>
      <c r="D388" s="486"/>
      <c r="E388" s="486"/>
      <c r="F388" s="486"/>
      <c r="G388" s="487"/>
      <c r="H388" s="488" t="s">
        <v>69</v>
      </c>
      <c r="I388" s="489">
        <f t="shared" ref="I388:J388" si="164">I400</f>
        <v>0</v>
      </c>
      <c r="J388" s="489">
        <f t="shared" si="164"/>
        <v>0</v>
      </c>
      <c r="K388" s="490">
        <f>IF(I388&gt;0,J388*100/I388,0)</f>
        <v>0</v>
      </c>
      <c r="L388" s="491"/>
      <c r="M388" s="491"/>
      <c r="N388" s="491"/>
      <c r="O388" s="491"/>
      <c r="P388" s="491"/>
    </row>
    <row r="389" spans="1:26" ht="19.5" hidden="1">
      <c r="A389" s="147"/>
      <c r="B389" s="148"/>
      <c r="C389" s="149" t="s">
        <v>16</v>
      </c>
      <c r="D389" s="817" t="s">
        <v>17</v>
      </c>
      <c r="E389" s="148"/>
      <c r="F389" s="148"/>
      <c r="G389" s="151"/>
      <c r="H389" s="152" t="s">
        <v>12</v>
      </c>
      <c r="I389" s="388"/>
      <c r="J389" s="388"/>
      <c r="K389" s="154"/>
      <c r="L389" s="155">
        <f t="shared" ref="L389:N389" ca="1" si="165">L390+L391</f>
        <v>0</v>
      </c>
      <c r="M389" s="155">
        <f t="shared" ca="1" si="165"/>
        <v>0</v>
      </c>
      <c r="N389" s="155">
        <f t="shared" ca="1" si="165"/>
        <v>0</v>
      </c>
      <c r="O389" s="155">
        <f t="shared" ref="O389:O397" ca="1" si="166">IF(L389&gt;0,N389*100/L389,0)</f>
        <v>0</v>
      </c>
      <c r="P389" s="155">
        <f t="shared" ref="P389:P397" ca="1" si="167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2" t="s">
        <v>18</v>
      </c>
      <c r="F390" s="40"/>
      <c r="G390" s="157"/>
      <c r="H390" s="158" t="s">
        <v>12</v>
      </c>
      <c r="I390" s="583"/>
      <c r="J390" s="583"/>
      <c r="K390" s="93"/>
      <c r="L390" s="93">
        <f t="shared" ref="L390:N391" si="168">L393+L396</f>
        <v>0</v>
      </c>
      <c r="M390" s="93">
        <f t="shared" si="168"/>
        <v>0</v>
      </c>
      <c r="N390" s="93">
        <f t="shared" si="168"/>
        <v>0</v>
      </c>
      <c r="O390" s="93">
        <f t="shared" si="166"/>
        <v>0</v>
      </c>
      <c r="P390" s="93">
        <f t="shared" si="167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2" t="s">
        <v>19</v>
      </c>
      <c r="F391" s="40"/>
      <c r="G391" s="157"/>
      <c r="H391" s="158" t="s">
        <v>12</v>
      </c>
      <c r="I391" s="583"/>
      <c r="J391" s="583"/>
      <c r="K391" s="93"/>
      <c r="L391" s="93">
        <f t="shared" ca="1" si="168"/>
        <v>0</v>
      </c>
      <c r="M391" s="93">
        <f t="shared" ca="1" si="168"/>
        <v>0</v>
      </c>
      <c r="N391" s="93">
        <f t="shared" ca="1" si="168"/>
        <v>0</v>
      </c>
      <c r="O391" s="93">
        <f t="shared" ca="1" si="166"/>
        <v>0</v>
      </c>
      <c r="P391" s="93">
        <f t="shared" ca="1" si="167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1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65">
        <f t="shared" ref="L392:N392" ca="1" si="169">L393+L394</f>
        <v>0</v>
      </c>
      <c r="M392" s="465">
        <f t="shared" ca="1" si="169"/>
        <v>0</v>
      </c>
      <c r="N392" s="465">
        <f t="shared" ca="1" si="169"/>
        <v>0</v>
      </c>
      <c r="O392" s="465">
        <f t="shared" ca="1" si="166"/>
        <v>0</v>
      </c>
      <c r="P392" s="465">
        <f t="shared" ca="1" si="167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2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6"/>
        <v>0</v>
      </c>
      <c r="P393" s="93">
        <f t="shared" si="167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2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IFERROR(__xludf.DUMMYFUNCTION("IMPORTRANGE(""https://docs.google.com/spreadsheets/d/1MeEWN-I1oV_STSDYn1IFDPWt_1FKiwhDph83XaGc0o0/edit?usp=sharing"",""งบพรบ!FG26"")"),0)</f>
        <v>0</v>
      </c>
      <c r="M394" s="93">
        <f ca="1">IFERROR(__xludf.DUMMYFUNCTION("IMPORTRANGE(""https://docs.google.com/spreadsheets/d/1MeEWN-I1oV_STSDYn1IFDPWt_1FKiwhDph83XaGc0o0/edit?usp=sharing"",""งบพรบ!FL26"")"),0)</f>
        <v>0</v>
      </c>
      <c r="N394" s="93">
        <f ca="1">IFERROR(__xludf.DUMMYFUNCTION("IMPORTRANGE(""https://docs.google.com/spreadsheets/d/1MeEWN-I1oV_STSDYn1IFDPWt_1FKiwhDph83XaGc0o0/edit?usp=sharing"",""งบพรบ!FN26"")"),0)</f>
        <v>0</v>
      </c>
      <c r="O394" s="93">
        <f t="shared" ca="1" si="166"/>
        <v>0</v>
      </c>
      <c r="P394" s="93">
        <f t="shared" ca="1" si="167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1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65">
        <f t="shared" ref="L395:N395" ca="1" si="170">L396+L397</f>
        <v>0</v>
      </c>
      <c r="M395" s="465">
        <f t="shared" ca="1" si="170"/>
        <v>0</v>
      </c>
      <c r="N395" s="465">
        <f t="shared" ca="1" si="170"/>
        <v>0</v>
      </c>
      <c r="O395" s="465">
        <f t="shared" ca="1" si="166"/>
        <v>0</v>
      </c>
      <c r="P395" s="465">
        <f t="shared" ca="1" si="167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2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6"/>
        <v>0</v>
      </c>
      <c r="P396" s="93">
        <f t="shared" si="167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2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IFERROR(__xludf.DUMMYFUNCTION("IMPORTRANGE(""https://docs.google.com/spreadsheets/d/1MeEWN-I1oV_STSDYn1IFDPWt_1FKiwhDph83XaGc0o0/edit?usp=sharing"",""งบพรบ!FJ26"")"),0)</f>
        <v>0</v>
      </c>
      <c r="M397" s="93">
        <f ca="1">IFERROR(__xludf.DUMMYFUNCTION("IMPORTRANGE(""https://docs.google.com/spreadsheets/d/1MeEWN-I1oV_STSDYn1IFDPWt_1FKiwhDph83XaGc0o0/edit?usp=sharing"",""งบพรบ!FM26"")"),0)</f>
        <v>0</v>
      </c>
      <c r="N397" s="93">
        <f ca="1">IFERROR(__xludf.DUMMYFUNCTION("IMPORTRANGE(""https://docs.google.com/spreadsheets/d/1MeEWN-I1oV_STSDYn1IFDPWt_1FKiwhDph83XaGc0o0/edit?usp=sharing"",""งบพรบ!FO26"")"),0)</f>
        <v>0</v>
      </c>
      <c r="O397" s="93">
        <f t="shared" ca="1" si="166"/>
        <v>0</v>
      </c>
      <c r="P397" s="93">
        <f t="shared" ca="1" si="167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18" t="s">
        <v>38</v>
      </c>
      <c r="E398" s="173"/>
      <c r="F398" s="173"/>
      <c r="G398" s="174"/>
      <c r="H398" s="726"/>
      <c r="I398" s="184"/>
      <c r="J398" s="269"/>
      <c r="K398" s="465"/>
      <c r="L398" s="465"/>
      <c r="M398" s="465"/>
      <c r="N398" s="465"/>
      <c r="O398" s="163"/>
      <c r="P398" s="163"/>
    </row>
    <row r="399" spans="1:26" ht="18.75" hidden="1">
      <c r="A399" s="492"/>
      <c r="B399" s="148"/>
      <c r="C399" s="493"/>
      <c r="D399" s="494" t="s">
        <v>174</v>
      </c>
      <c r="E399" s="383"/>
      <c r="F399" s="148"/>
      <c r="G399" s="151"/>
      <c r="H399" s="495" t="s">
        <v>9</v>
      </c>
      <c r="I399" s="269">
        <v>0</v>
      </c>
      <c r="J399" s="214">
        <v>0</v>
      </c>
      <c r="K399" s="465">
        <f t="shared" ref="K399:K401" si="171">IF(I399&gt;0,J399*100/I399,0)</f>
        <v>0</v>
      </c>
      <c r="L399" s="496"/>
      <c r="M399" s="496"/>
      <c r="N399" s="496"/>
      <c r="O399" s="496"/>
      <c r="P399" s="496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3"/>
      <c r="B400" s="33"/>
      <c r="C400" s="280"/>
      <c r="D400" s="415" t="s">
        <v>175</v>
      </c>
      <c r="E400" s="171"/>
      <c r="F400" s="33"/>
      <c r="G400" s="35"/>
      <c r="H400" s="276" t="s">
        <v>69</v>
      </c>
      <c r="I400" s="269">
        <v>0</v>
      </c>
      <c r="J400" s="214">
        <v>0</v>
      </c>
      <c r="K400" s="465">
        <f t="shared" si="171"/>
        <v>0</v>
      </c>
      <c r="L400" s="465"/>
      <c r="M400" s="465"/>
      <c r="N400" s="465"/>
      <c r="O400" s="465"/>
      <c r="P400" s="465"/>
    </row>
    <row r="401" spans="1:26" ht="19.5" hidden="1">
      <c r="A401" s="483"/>
      <c r="B401" s="484" t="s">
        <v>176</v>
      </c>
      <c r="C401" s="485"/>
      <c r="D401" s="486"/>
      <c r="E401" s="486"/>
      <c r="F401" s="486"/>
      <c r="G401" s="487"/>
      <c r="H401" s="488" t="s">
        <v>69</v>
      </c>
      <c r="I401" s="489">
        <f t="shared" ref="I401:J401" si="172">I412</f>
        <v>0</v>
      </c>
      <c r="J401" s="489">
        <f t="shared" si="172"/>
        <v>0</v>
      </c>
      <c r="K401" s="490">
        <f t="shared" si="171"/>
        <v>0</v>
      </c>
      <c r="L401" s="491"/>
      <c r="M401" s="491"/>
      <c r="N401" s="491"/>
      <c r="O401" s="491"/>
      <c r="P401" s="491"/>
    </row>
    <row r="402" spans="1:26" ht="19.5" hidden="1">
      <c r="A402" s="147"/>
      <c r="B402" s="148"/>
      <c r="C402" s="149" t="s">
        <v>16</v>
      </c>
      <c r="D402" s="817" t="s">
        <v>17</v>
      </c>
      <c r="E402" s="148"/>
      <c r="F402" s="148"/>
      <c r="G402" s="151"/>
      <c r="H402" s="152" t="s">
        <v>12</v>
      </c>
      <c r="I402" s="388"/>
      <c r="J402" s="388"/>
      <c r="K402" s="154"/>
      <c r="L402" s="155">
        <f t="shared" ref="L402:N402" ca="1" si="173">L403+L404</f>
        <v>0</v>
      </c>
      <c r="M402" s="155">
        <f t="shared" ca="1" si="173"/>
        <v>0</v>
      </c>
      <c r="N402" s="155">
        <f t="shared" ca="1" si="173"/>
        <v>0</v>
      </c>
      <c r="O402" s="155">
        <f t="shared" ref="O402:O410" ca="1" si="174">IF(L402&gt;0,N402*100/L402,0)</f>
        <v>0</v>
      </c>
      <c r="P402" s="155">
        <f t="shared" ref="P402:P410" ca="1" si="175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2" t="s">
        <v>18</v>
      </c>
      <c r="F403" s="40"/>
      <c r="G403" s="157"/>
      <c r="H403" s="158" t="s">
        <v>12</v>
      </c>
      <c r="I403" s="583"/>
      <c r="J403" s="583"/>
      <c r="K403" s="93"/>
      <c r="L403" s="93">
        <f t="shared" ref="L403:N404" si="176">L406+L409</f>
        <v>0</v>
      </c>
      <c r="M403" s="93">
        <f t="shared" si="176"/>
        <v>0</v>
      </c>
      <c r="N403" s="93">
        <f t="shared" si="176"/>
        <v>0</v>
      </c>
      <c r="O403" s="93">
        <f t="shared" si="174"/>
        <v>0</v>
      </c>
      <c r="P403" s="93">
        <f t="shared" si="175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2" t="s">
        <v>19</v>
      </c>
      <c r="F404" s="40"/>
      <c r="G404" s="157"/>
      <c r="H404" s="158" t="s">
        <v>12</v>
      </c>
      <c r="I404" s="583"/>
      <c r="J404" s="583"/>
      <c r="K404" s="93"/>
      <c r="L404" s="93">
        <f t="shared" ca="1" si="176"/>
        <v>0</v>
      </c>
      <c r="M404" s="93">
        <f t="shared" ca="1" si="176"/>
        <v>0</v>
      </c>
      <c r="N404" s="93">
        <f t="shared" ca="1" si="176"/>
        <v>0</v>
      </c>
      <c r="O404" s="93">
        <f t="shared" ca="1" si="174"/>
        <v>0</v>
      </c>
      <c r="P404" s="93">
        <f t="shared" ca="1" si="175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1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65">
        <f t="shared" ref="L405:N405" ca="1" si="177">L406+L407</f>
        <v>0</v>
      </c>
      <c r="M405" s="465">
        <f t="shared" ca="1" si="177"/>
        <v>0</v>
      </c>
      <c r="N405" s="465">
        <f t="shared" ca="1" si="177"/>
        <v>0</v>
      </c>
      <c r="O405" s="465">
        <f t="shared" ca="1" si="174"/>
        <v>0</v>
      </c>
      <c r="P405" s="465">
        <f t="shared" ca="1" si="175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2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4"/>
        <v>0</v>
      </c>
      <c r="P406" s="93">
        <f t="shared" si="175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2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IFERROR(__xludf.DUMMYFUNCTION("IMPORTRANGE(""https://docs.google.com/spreadsheets/d/1MeEWN-I1oV_STSDYn1IFDPWt_1FKiwhDph83XaGc0o0/edit?usp=sharing"",""งบพรบ!FQ26"")"),0)</f>
        <v>0</v>
      </c>
      <c r="M407" s="93">
        <f ca="1">IFERROR(__xludf.DUMMYFUNCTION("IMPORTRANGE(""https://docs.google.com/spreadsheets/d/1MeEWN-I1oV_STSDYn1IFDPWt_1FKiwhDph83XaGc0o0/edit?usp=sharing"",""งบพรบ!FV26"")"),0)</f>
        <v>0</v>
      </c>
      <c r="N407" s="93">
        <f ca="1">IFERROR(__xludf.DUMMYFUNCTION("IMPORTRANGE(""https://docs.google.com/spreadsheets/d/1MeEWN-I1oV_STSDYn1IFDPWt_1FKiwhDph83XaGc0o0/edit?usp=sharing"",""งบพรบ!FX26"")"),0)</f>
        <v>0</v>
      </c>
      <c r="O407" s="93">
        <f t="shared" ca="1" si="174"/>
        <v>0</v>
      </c>
      <c r="P407" s="93">
        <f t="shared" ca="1" si="175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1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65">
        <f t="shared" ref="L408:N408" ca="1" si="178">L409+L410</f>
        <v>0</v>
      </c>
      <c r="M408" s="465">
        <f t="shared" ca="1" si="178"/>
        <v>0</v>
      </c>
      <c r="N408" s="465">
        <f t="shared" ca="1" si="178"/>
        <v>0</v>
      </c>
      <c r="O408" s="465">
        <f t="shared" ca="1" si="174"/>
        <v>0</v>
      </c>
      <c r="P408" s="465">
        <f t="shared" ca="1" si="175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2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4"/>
        <v>0</v>
      </c>
      <c r="P409" s="93">
        <f t="shared" si="175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2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IFERROR(__xludf.DUMMYFUNCTION("IMPORTRANGE(""https://docs.google.com/spreadsheets/d/1MeEWN-I1oV_STSDYn1IFDPWt_1FKiwhDph83XaGc0o0/edit?usp=sharing"",""งบพรบ!FT26"")"),0)</f>
        <v>0</v>
      </c>
      <c r="M410" s="93">
        <f ca="1">IFERROR(__xludf.DUMMYFUNCTION("IMPORTRANGE(""https://docs.google.com/spreadsheets/d/1MeEWN-I1oV_STSDYn1IFDPWt_1FKiwhDph83XaGc0o0/edit?usp=sharing"",""งบพรบ!FW26"")"),0)</f>
        <v>0</v>
      </c>
      <c r="N410" s="93">
        <f ca="1">IFERROR(__xludf.DUMMYFUNCTION("IMPORTRANGE(""https://docs.google.com/spreadsheets/d/1MeEWN-I1oV_STSDYn1IFDPWt_1FKiwhDph83XaGc0o0/edit?usp=sharing"",""งบพรบ!FY26"")"),0)</f>
        <v>0</v>
      </c>
      <c r="O410" s="93">
        <f t="shared" ca="1" si="174"/>
        <v>0</v>
      </c>
      <c r="P410" s="93">
        <f t="shared" ca="1" si="175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47" t="s">
        <v>38</v>
      </c>
      <c r="E411" s="498"/>
      <c r="F411" s="498"/>
      <c r="G411" s="499"/>
      <c r="H411" s="726"/>
      <c r="I411" s="269"/>
      <c r="J411" s="269"/>
      <c r="K411" s="465"/>
      <c r="L411" s="163"/>
      <c r="M411" s="163"/>
      <c r="N411" s="163"/>
      <c r="O411" s="163"/>
      <c r="P411" s="163"/>
    </row>
    <row r="412" spans="1:26" ht="18.75" hidden="1">
      <c r="A412" s="170"/>
      <c r="B412" s="342"/>
      <c r="C412" s="342"/>
      <c r="D412" s="415" t="s">
        <v>177</v>
      </c>
      <c r="E412" s="342"/>
      <c r="F412" s="342"/>
      <c r="G412" s="179"/>
      <c r="H412" s="500" t="s">
        <v>69</v>
      </c>
      <c r="I412" s="269">
        <v>0</v>
      </c>
      <c r="J412" s="214">
        <v>0</v>
      </c>
      <c r="K412" s="465">
        <f t="shared" ref="K412:K413" si="179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01"/>
      <c r="B413" s="502"/>
      <c r="C413" s="502"/>
      <c r="D413" s="503" t="s">
        <v>178</v>
      </c>
      <c r="E413" s="502"/>
      <c r="F413" s="502"/>
      <c r="G413" s="504"/>
      <c r="H413" s="505" t="s">
        <v>179</v>
      </c>
      <c r="I413" s="506">
        <v>0</v>
      </c>
      <c r="J413" s="507">
        <v>0</v>
      </c>
      <c r="K413" s="508">
        <f t="shared" si="179"/>
        <v>0</v>
      </c>
      <c r="L413" s="509"/>
      <c r="M413" s="509"/>
      <c r="N413" s="509"/>
      <c r="O413" s="509"/>
      <c r="P413" s="509"/>
    </row>
    <row r="414" spans="1:26" ht="19.5">
      <c r="A414" s="510" t="s">
        <v>180</v>
      </c>
      <c r="B414" s="511"/>
      <c r="C414" s="511"/>
      <c r="D414" s="511"/>
      <c r="E414" s="511"/>
      <c r="F414" s="511"/>
      <c r="G414" s="512"/>
      <c r="H414" s="513"/>
      <c r="I414" s="514"/>
      <c r="J414" s="514"/>
      <c r="K414" s="515"/>
      <c r="L414" s="516">
        <f t="shared" ref="L414:N414" ca="1" si="180">L419+L444+L467+L502+L523+L544+L629+L655+L685+L737+L754+L770+L786+L805</f>
        <v>2361734</v>
      </c>
      <c r="M414" s="516">
        <f t="shared" si="180"/>
        <v>0</v>
      </c>
      <c r="N414" s="516">
        <f t="shared" si="180"/>
        <v>0</v>
      </c>
      <c r="O414" s="516">
        <f ca="1">IF(L414&gt;0,N414*100/L414,0)</f>
        <v>0</v>
      </c>
      <c r="P414" s="516">
        <f>IF(M414&gt;0,N414*100/M414,0)</f>
        <v>0</v>
      </c>
    </row>
    <row r="415" spans="1:26" ht="19.5">
      <c r="A415" s="517" t="s">
        <v>181</v>
      </c>
      <c r="B415" s="518"/>
      <c r="C415" s="518"/>
      <c r="D415" s="518"/>
      <c r="E415" s="518"/>
      <c r="F415" s="518"/>
      <c r="G415" s="518"/>
      <c r="H415" s="519"/>
      <c r="I415" s="520"/>
      <c r="J415" s="520"/>
      <c r="K415" s="521"/>
      <c r="L415" s="522"/>
      <c r="M415" s="522"/>
      <c r="N415" s="522"/>
      <c r="O415" s="522"/>
      <c r="P415" s="522"/>
    </row>
    <row r="416" spans="1:26" ht="19.5">
      <c r="A416" s="517" t="s">
        <v>182</v>
      </c>
      <c r="B416" s="518"/>
      <c r="C416" s="518"/>
      <c r="D416" s="518"/>
      <c r="E416" s="518"/>
      <c r="F416" s="518"/>
      <c r="G416" s="523"/>
      <c r="H416" s="524"/>
      <c r="I416" s="525"/>
      <c r="J416" s="525"/>
      <c r="K416" s="522"/>
      <c r="L416" s="522"/>
      <c r="M416" s="522"/>
      <c r="N416" s="522"/>
      <c r="O416" s="522"/>
      <c r="P416" s="522"/>
    </row>
    <row r="417" spans="1:26" ht="21.75" customHeight="1">
      <c r="A417" s="526">
        <v>1</v>
      </c>
      <c r="B417" s="528" t="s">
        <v>183</v>
      </c>
      <c r="C417" s="528"/>
      <c r="D417" s="529"/>
      <c r="E417" s="529"/>
      <c r="F417" s="529"/>
      <c r="G417" s="530"/>
      <c r="H417" s="531" t="s">
        <v>35</v>
      </c>
      <c r="I417" s="532">
        <f t="shared" ref="I417:J418" ca="1" si="181">I433</f>
        <v>60</v>
      </c>
      <c r="J417" s="532">
        <f t="shared" ca="1" si="181"/>
        <v>0</v>
      </c>
      <c r="K417" s="533">
        <f t="shared" ref="K417:K418" ca="1" si="182">IF(I417&gt;0,J417*100/I417,0)</f>
        <v>0</v>
      </c>
      <c r="L417" s="534"/>
      <c r="M417" s="534"/>
      <c r="N417" s="534"/>
      <c r="O417" s="534"/>
      <c r="P417" s="534"/>
    </row>
    <row r="418" spans="1:26" ht="19.5">
      <c r="A418" s="535"/>
      <c r="B418" s="526"/>
      <c r="C418" s="528"/>
      <c r="D418" s="529"/>
      <c r="E418" s="529"/>
      <c r="F418" s="529"/>
      <c r="G418" s="530"/>
      <c r="H418" s="531" t="s">
        <v>49</v>
      </c>
      <c r="I418" s="532">
        <f t="shared" ca="1" si="181"/>
        <v>2</v>
      </c>
      <c r="J418" s="532">
        <f t="shared" si="181"/>
        <v>0</v>
      </c>
      <c r="K418" s="533">
        <f t="shared" ca="1" si="182"/>
        <v>0</v>
      </c>
      <c r="L418" s="534"/>
      <c r="M418" s="534"/>
      <c r="N418" s="534"/>
      <c r="O418" s="534"/>
      <c r="P418" s="534"/>
    </row>
    <row r="419" spans="1:26" ht="19.5">
      <c r="A419" s="147"/>
      <c r="B419" s="148"/>
      <c r="C419" s="148" t="s">
        <v>16</v>
      </c>
      <c r="D419" s="848" t="s">
        <v>17</v>
      </c>
      <c r="E419" s="810"/>
      <c r="F419" s="810"/>
      <c r="G419" s="151"/>
      <c r="H419" s="274" t="s">
        <v>12</v>
      </c>
      <c r="I419" s="388"/>
      <c r="J419" s="388"/>
      <c r="K419" s="154"/>
      <c r="L419" s="155">
        <f t="shared" ref="L419:N419" ca="1" si="183">L420+L421</f>
        <v>188600</v>
      </c>
      <c r="M419" s="155">
        <f t="shared" si="183"/>
        <v>0</v>
      </c>
      <c r="N419" s="155">
        <f t="shared" si="183"/>
        <v>0</v>
      </c>
      <c r="O419" s="155">
        <f t="shared" ref="O419:O424" ca="1" si="184">IF(L419&gt;0,N419*100/L419,0)</f>
        <v>0</v>
      </c>
      <c r="P419" s="155">
        <f t="shared" ref="P419:P424" si="185">IF(M419&gt;0,N419*100/M419,0)</f>
        <v>0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536"/>
      <c r="E420" s="222" t="s">
        <v>184</v>
      </c>
      <c r="F420" s="40"/>
      <c r="G420" s="157"/>
      <c r="H420" s="165" t="s">
        <v>12</v>
      </c>
      <c r="I420" s="583"/>
      <c r="J420" s="583"/>
      <c r="K420" s="93"/>
      <c r="L420" s="93">
        <f t="shared" ref="L420:N421" si="186">L423+L430</f>
        <v>0</v>
      </c>
      <c r="M420" s="93">
        <f t="shared" si="186"/>
        <v>0</v>
      </c>
      <c r="N420" s="93">
        <f t="shared" si="186"/>
        <v>0</v>
      </c>
      <c r="O420" s="93">
        <f t="shared" si="184"/>
        <v>0</v>
      </c>
      <c r="P420" s="93">
        <f t="shared" si="185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536"/>
      <c r="E421" s="222" t="s">
        <v>185</v>
      </c>
      <c r="F421" s="40"/>
      <c r="G421" s="157"/>
      <c r="H421" s="165" t="s">
        <v>12</v>
      </c>
      <c r="I421" s="583"/>
      <c r="J421" s="583"/>
      <c r="K421" s="93"/>
      <c r="L421" s="93">
        <f t="shared" ca="1" si="186"/>
        <v>188600</v>
      </c>
      <c r="M421" s="93">
        <f t="shared" si="186"/>
        <v>0</v>
      </c>
      <c r="N421" s="93">
        <f t="shared" si="186"/>
        <v>0</v>
      </c>
      <c r="O421" s="93">
        <f t="shared" ca="1" si="184"/>
        <v>0</v>
      </c>
      <c r="P421" s="93">
        <f t="shared" si="185"/>
        <v>0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0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65">
        <f t="shared" ref="L422:N422" ca="1" si="187">L423+L424</f>
        <v>188600</v>
      </c>
      <c r="M422" s="465">
        <f t="shared" si="187"/>
        <v>0</v>
      </c>
      <c r="N422" s="465">
        <f t="shared" si="187"/>
        <v>0</v>
      </c>
      <c r="O422" s="465">
        <f t="shared" ca="1" si="184"/>
        <v>0</v>
      </c>
      <c r="P422" s="465">
        <f t="shared" si="185"/>
        <v>0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536"/>
      <c r="E423" s="222" t="s">
        <v>184</v>
      </c>
      <c r="F423" s="40"/>
      <c r="G423" s="157"/>
      <c r="H423" s="165" t="s">
        <v>12</v>
      </c>
      <c r="I423" s="583"/>
      <c r="J423" s="583"/>
      <c r="K423" s="93"/>
      <c r="L423" s="93">
        <v>0</v>
      </c>
      <c r="M423" s="93">
        <v>0</v>
      </c>
      <c r="N423" s="93">
        <v>0</v>
      </c>
      <c r="O423" s="93">
        <f t="shared" si="184"/>
        <v>0</v>
      </c>
      <c r="P423" s="93">
        <f t="shared" si="185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536"/>
      <c r="E424" s="222" t="s">
        <v>185</v>
      </c>
      <c r="F424" s="40"/>
      <c r="G424" s="157"/>
      <c r="H424" s="165" t="s">
        <v>12</v>
      </c>
      <c r="I424" s="583"/>
      <c r="J424" s="583"/>
      <c r="K424" s="93"/>
      <c r="L424" s="93">
        <f ca="1">IFERROR(__xludf.DUMMYFUNCTION("IMPORTRANGE(""https://docs.google.com/spreadsheets/d/1QqKyyYR6Q21VydFLVH3TRQUabQu_ym0Zz7PgGX0-kHA/edit?usp=sharing"",""แผน!EY26"")"),188600)</f>
        <v>188600</v>
      </c>
      <c r="M424" s="93">
        <v>0</v>
      </c>
      <c r="N424" s="93">
        <f>N425+N426+N427+N428</f>
        <v>0</v>
      </c>
      <c r="O424" s="93">
        <f t="shared" ca="1" si="184"/>
        <v>0</v>
      </c>
      <c r="P424" s="93">
        <f t="shared" si="185"/>
        <v>0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37"/>
      <c r="B425" s="538"/>
      <c r="C425" s="727"/>
      <c r="D425" s="727"/>
      <c r="E425" s="727"/>
      <c r="F425" s="727" t="s">
        <v>186</v>
      </c>
      <c r="G425" s="189"/>
      <c r="H425" s="161" t="s">
        <v>12</v>
      </c>
      <c r="I425" s="269"/>
      <c r="J425" s="269"/>
      <c r="K425" s="465"/>
      <c r="L425" s="465"/>
      <c r="M425" s="465"/>
      <c r="N425" s="789">
        <v>0</v>
      </c>
      <c r="O425" s="465"/>
      <c r="P425" s="465"/>
      <c r="Q425" s="541"/>
      <c r="R425" s="541"/>
      <c r="S425" s="541"/>
      <c r="T425" s="541"/>
      <c r="U425" s="541"/>
      <c r="V425" s="541"/>
      <c r="W425" s="541"/>
      <c r="X425" s="541"/>
      <c r="Y425" s="541"/>
      <c r="Z425" s="541"/>
    </row>
    <row r="426" spans="1:26" ht="18.75">
      <c r="A426" s="537"/>
      <c r="B426" s="538"/>
      <c r="C426" s="727"/>
      <c r="D426" s="727"/>
      <c r="E426" s="727"/>
      <c r="F426" s="727" t="s">
        <v>187</v>
      </c>
      <c r="G426" s="189"/>
      <c r="H426" s="161" t="s">
        <v>12</v>
      </c>
      <c r="I426" s="269"/>
      <c r="J426" s="269"/>
      <c r="K426" s="465"/>
      <c r="L426" s="465"/>
      <c r="M426" s="465"/>
      <c r="N426" s="789">
        <v>0</v>
      </c>
      <c r="O426" s="465"/>
      <c r="P426" s="465"/>
      <c r="Q426" s="541"/>
      <c r="R426" s="541"/>
      <c r="S426" s="541"/>
      <c r="T426" s="541"/>
      <c r="U426" s="541"/>
      <c r="V426" s="541"/>
      <c r="W426" s="541"/>
      <c r="X426" s="541"/>
      <c r="Y426" s="541"/>
      <c r="Z426" s="541"/>
    </row>
    <row r="427" spans="1:26" ht="18.75">
      <c r="A427" s="537"/>
      <c r="B427" s="538"/>
      <c r="C427" s="727"/>
      <c r="D427" s="727"/>
      <c r="E427" s="727"/>
      <c r="F427" s="727" t="s">
        <v>188</v>
      </c>
      <c r="G427" s="189"/>
      <c r="H427" s="161" t="s">
        <v>12</v>
      </c>
      <c r="I427" s="269"/>
      <c r="J427" s="269"/>
      <c r="K427" s="465"/>
      <c r="L427" s="465"/>
      <c r="M427" s="465"/>
      <c r="N427" s="789">
        <v>0</v>
      </c>
      <c r="O427" s="465"/>
      <c r="P427" s="465"/>
      <c r="Q427" s="541"/>
      <c r="R427" s="541"/>
      <c r="S427" s="541"/>
      <c r="T427" s="541"/>
      <c r="U427" s="541"/>
      <c r="V427" s="541"/>
      <c r="W427" s="541"/>
      <c r="X427" s="541"/>
      <c r="Y427" s="541"/>
      <c r="Z427" s="541"/>
    </row>
    <row r="428" spans="1:26" ht="18.75">
      <c r="A428" s="283"/>
      <c r="B428" s="280"/>
      <c r="C428" s="33"/>
      <c r="D428" s="33"/>
      <c r="E428" s="33"/>
      <c r="F428" s="281" t="s">
        <v>189</v>
      </c>
      <c r="G428" s="213"/>
      <c r="H428" s="161" t="s">
        <v>12</v>
      </c>
      <c r="I428" s="269"/>
      <c r="J428" s="269"/>
      <c r="K428" s="465"/>
      <c r="L428" s="465"/>
      <c r="M428" s="465"/>
      <c r="N428" s="789">
        <v>0</v>
      </c>
      <c r="O428" s="465"/>
      <c r="P428" s="465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0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65">
        <f t="shared" ref="L429:N429" ca="1" si="188">L430+L431</f>
        <v>0</v>
      </c>
      <c r="M429" s="465">
        <f t="shared" si="188"/>
        <v>0</v>
      </c>
      <c r="N429" s="465">
        <f t="shared" si="188"/>
        <v>0</v>
      </c>
      <c r="O429" s="465">
        <f t="shared" ref="O429:O431" ca="1" si="189">IF(L429&gt;0,N429*100/L429,0)</f>
        <v>0</v>
      </c>
      <c r="P429" s="465">
        <f t="shared" ref="P429:P431" si="190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542"/>
      <c r="C430" s="40"/>
      <c r="D430" s="40"/>
      <c r="E430" s="222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89"/>
        <v>0</v>
      </c>
      <c r="P430" s="93">
        <f t="shared" si="190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542"/>
      <c r="C431" s="40"/>
      <c r="D431" s="40"/>
      <c r="E431" s="222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IFERROR(__xludf.DUMMYFUNCTION("IMPORTRANGE(""https://docs.google.com/spreadsheets/d/1QqKyyYR6Q21VydFLVH3TRQUabQu_ym0Zz7PgGX0-kHA/edit?usp=sharing"",""แผน!FB26"")"),0)</f>
        <v>0</v>
      </c>
      <c r="M431" s="93">
        <v>0</v>
      </c>
      <c r="N431" s="93">
        <v>0</v>
      </c>
      <c r="O431" s="93">
        <f t="shared" ca="1" si="189"/>
        <v>0</v>
      </c>
      <c r="P431" s="93">
        <f t="shared" si="190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382"/>
      <c r="B432" s="383"/>
      <c r="C432" s="148" t="s">
        <v>16</v>
      </c>
      <c r="D432" s="849" t="s">
        <v>38</v>
      </c>
      <c r="E432" s="544"/>
      <c r="F432" s="544"/>
      <c r="G432" s="545"/>
      <c r="H432" s="546"/>
      <c r="I432" s="388"/>
      <c r="J432" s="388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190</v>
      </c>
      <c r="E433" s="342"/>
      <c r="F433" s="342"/>
      <c r="G433" s="179"/>
      <c r="H433" s="196" t="s">
        <v>35</v>
      </c>
      <c r="I433" s="647">
        <f ca="1">I435</f>
        <v>60</v>
      </c>
      <c r="J433" s="647">
        <f ca="1">IF(AND(J435=I435,J437=I437,J439=I439),I437+I439,IF(AND(J435=I437,J437=I437),I437,IF(AND(J435=I439,J439=I439),I439,0)))</f>
        <v>0</v>
      </c>
      <c r="K433" s="195">
        <f t="shared" ref="K433:K435" ca="1" si="191">IF(I433&gt;0,J433*100/I433,0)</f>
        <v>0</v>
      </c>
      <c r="L433" s="465"/>
      <c r="M433" s="465"/>
      <c r="N433" s="465"/>
      <c r="O433" s="465"/>
      <c r="P433" s="465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191</v>
      </c>
      <c r="E434" s="342"/>
      <c r="F434" s="342"/>
      <c r="G434" s="179"/>
      <c r="H434" s="196" t="s">
        <v>49</v>
      </c>
      <c r="I434" s="647">
        <f t="shared" ref="I434:J434" ca="1" si="192">I438+I440</f>
        <v>2</v>
      </c>
      <c r="J434" s="647">
        <f t="shared" si="192"/>
        <v>0</v>
      </c>
      <c r="K434" s="195">
        <f t="shared" ca="1" si="191"/>
        <v>0</v>
      </c>
      <c r="L434" s="465"/>
      <c r="M434" s="465"/>
      <c r="N434" s="465"/>
      <c r="O434" s="465"/>
      <c r="P434" s="465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15" t="s">
        <v>192</v>
      </c>
      <c r="E435" s="342"/>
      <c r="F435" s="342"/>
      <c r="G435" s="179"/>
      <c r="H435" s="589" t="s">
        <v>35</v>
      </c>
      <c r="I435" s="547">
        <f ca="1">IFERROR(__xludf.DUMMYFUNCTION("IMPORTRANGE(""https://docs.google.com/spreadsheets/d/1QqKyyYR6Q21VydFLVH3TRQUabQu_ym0Zz7PgGX0-kHA/edit?usp=sharing"",""แผน!FC26"")"),60)</f>
        <v>60</v>
      </c>
      <c r="J435" s="548">
        <v>0</v>
      </c>
      <c r="K435" s="465">
        <f t="shared" ca="1" si="191"/>
        <v>0</v>
      </c>
      <c r="L435" s="465"/>
      <c r="M435" s="465"/>
      <c r="N435" s="465"/>
      <c r="O435" s="465"/>
      <c r="P435" s="465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15" t="s">
        <v>193</v>
      </c>
      <c r="E436" s="342"/>
      <c r="F436" s="342"/>
      <c r="G436" s="179"/>
      <c r="H436" s="589"/>
      <c r="I436" s="269"/>
      <c r="J436" s="269"/>
      <c r="K436" s="465"/>
      <c r="L436" s="465"/>
      <c r="M436" s="465"/>
      <c r="N436" s="465"/>
      <c r="O436" s="465"/>
      <c r="P436" s="465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15" t="s">
        <v>194</v>
      </c>
      <c r="E437" s="342"/>
      <c r="F437" s="342"/>
      <c r="G437" s="179"/>
      <c r="H437" s="589" t="s">
        <v>35</v>
      </c>
      <c r="I437" s="547">
        <f ca="1">IFERROR(__xludf.DUMMYFUNCTION("IMPORTRANGE(""https://docs.google.com/spreadsheets/d/1QqKyyYR6Q21VydFLVH3TRQUabQu_ym0Zz7PgGX0-kHA/edit?usp=sharing"",""แผน!FD26"")"),40)</f>
        <v>40</v>
      </c>
      <c r="J437" s="548">
        <v>0</v>
      </c>
      <c r="K437" s="465">
        <f t="shared" ref="K437:K443" ca="1" si="193">IF(I437&gt;0,J437*100/I437,0)</f>
        <v>0</v>
      </c>
      <c r="L437" s="465"/>
      <c r="M437" s="465"/>
      <c r="N437" s="465"/>
      <c r="O437" s="465"/>
      <c r="P437" s="465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15" t="s">
        <v>195</v>
      </c>
      <c r="E438" s="342"/>
      <c r="F438" s="342"/>
      <c r="G438" s="179"/>
      <c r="H438" s="589" t="s">
        <v>49</v>
      </c>
      <c r="I438" s="269">
        <f ca="1">IFERROR(__xludf.DUMMYFUNCTION("IMPORTRANGE(""https://docs.google.com/spreadsheets/d/1QqKyyYR6Q21VydFLVH3TRQUabQu_ym0Zz7PgGX0-kHA/edit?usp=sharing"",""แผน!FE26"")"),1)</f>
        <v>1</v>
      </c>
      <c r="J438" s="214">
        <v>0</v>
      </c>
      <c r="K438" s="465">
        <f t="shared" ca="1" si="193"/>
        <v>0</v>
      </c>
      <c r="L438" s="465"/>
      <c r="M438" s="465"/>
      <c r="N438" s="465"/>
      <c r="O438" s="465"/>
      <c r="P438" s="465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15" t="s">
        <v>196</v>
      </c>
      <c r="E439" s="342"/>
      <c r="F439" s="342"/>
      <c r="G439" s="179"/>
      <c r="H439" s="589" t="s">
        <v>35</v>
      </c>
      <c r="I439" s="547">
        <f ca="1">IFERROR(__xludf.DUMMYFUNCTION("IMPORTRANGE(""https://docs.google.com/spreadsheets/d/1QqKyyYR6Q21VydFLVH3TRQUabQu_ym0Zz7PgGX0-kHA/edit?usp=sharing"",""แผน!FF26"")"),20)</f>
        <v>20</v>
      </c>
      <c r="J439" s="548">
        <v>0</v>
      </c>
      <c r="K439" s="465">
        <f t="shared" ca="1" si="193"/>
        <v>0</v>
      </c>
      <c r="L439" s="465"/>
      <c r="M439" s="465"/>
      <c r="N439" s="465"/>
      <c r="O439" s="465"/>
      <c r="P439" s="465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15" t="s">
        <v>197</v>
      </c>
      <c r="E440" s="342"/>
      <c r="F440" s="342"/>
      <c r="G440" s="179"/>
      <c r="H440" s="589" t="s">
        <v>49</v>
      </c>
      <c r="I440" s="269">
        <f ca="1">IFERROR(__xludf.DUMMYFUNCTION("IMPORTRANGE(""https://docs.google.com/spreadsheets/d/1QqKyyYR6Q21VydFLVH3TRQUabQu_ym0Zz7PgGX0-kHA/edit?usp=sharing"",""แผน!FG26"")"),1)</f>
        <v>1</v>
      </c>
      <c r="J440" s="214">
        <v>0</v>
      </c>
      <c r="K440" s="465">
        <f t="shared" ca="1" si="193"/>
        <v>0</v>
      </c>
      <c r="L440" s="465"/>
      <c r="M440" s="465"/>
      <c r="N440" s="465"/>
      <c r="O440" s="465"/>
      <c r="P440" s="465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 hidden="1">
      <c r="A441" s="170"/>
      <c r="B441" s="171"/>
      <c r="C441" s="171"/>
      <c r="D441" s="415" t="s">
        <v>198</v>
      </c>
      <c r="E441" s="342"/>
      <c r="F441" s="342"/>
      <c r="G441" s="179"/>
      <c r="H441" s="589" t="s">
        <v>35</v>
      </c>
      <c r="I441" s="269">
        <f ca="1">IFERROR(__xludf.DUMMYFUNCTION("IMPORTRANGE(""https://docs.google.com/spreadsheets/d/1QqKyyYR6Q21VydFLVH3TRQUabQu_ym0Zz7PgGX0-kHA/edit?usp=sharing"",""แผน!FH26"")"),0)</f>
        <v>0</v>
      </c>
      <c r="J441" s="269">
        <v>0</v>
      </c>
      <c r="K441" s="465">
        <f t="shared" ca="1" si="193"/>
        <v>0</v>
      </c>
      <c r="L441" s="465"/>
      <c r="M441" s="465"/>
      <c r="N441" s="465"/>
      <c r="O441" s="465"/>
      <c r="P441" s="465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49">
        <v>2</v>
      </c>
      <c r="B442" s="550" t="s">
        <v>199</v>
      </c>
      <c r="C442" s="551"/>
      <c r="D442" s="551"/>
      <c r="E442" s="551"/>
      <c r="F442" s="551"/>
      <c r="G442" s="552"/>
      <c r="H442" s="553" t="s">
        <v>35</v>
      </c>
      <c r="I442" s="554">
        <f t="shared" ref="I442:J442" ca="1" si="194">I460</f>
        <v>20</v>
      </c>
      <c r="J442" s="554">
        <f t="shared" si="194"/>
        <v>0</v>
      </c>
      <c r="K442" s="555">
        <f t="shared" ca="1" si="193"/>
        <v>0</v>
      </c>
      <c r="L442" s="556"/>
      <c r="M442" s="556"/>
      <c r="N442" s="556"/>
      <c r="O442" s="556"/>
      <c r="P442" s="556"/>
      <c r="Q442" s="541"/>
      <c r="R442" s="541"/>
      <c r="S442" s="541"/>
      <c r="T442" s="541"/>
      <c r="U442" s="541"/>
      <c r="V442" s="541"/>
      <c r="W442" s="541"/>
      <c r="X442" s="541"/>
      <c r="Y442" s="541"/>
      <c r="Z442" s="541"/>
    </row>
    <row r="443" spans="1:26" ht="19.5">
      <c r="A443" s="557"/>
      <c r="B443" s="558"/>
      <c r="C443" s="559"/>
      <c r="D443" s="559"/>
      <c r="E443" s="559"/>
      <c r="F443" s="559"/>
      <c r="G443" s="560"/>
      <c r="H443" s="531" t="s">
        <v>46</v>
      </c>
      <c r="I443" s="532">
        <f t="shared" ref="I443:J443" ca="1" si="195">I462</f>
        <v>70</v>
      </c>
      <c r="J443" s="532">
        <f t="shared" si="195"/>
        <v>0</v>
      </c>
      <c r="K443" s="533">
        <f t="shared" ca="1" si="193"/>
        <v>0</v>
      </c>
      <c r="L443" s="534"/>
      <c r="M443" s="534"/>
      <c r="N443" s="534"/>
      <c r="O443" s="534"/>
      <c r="P443" s="534"/>
      <c r="Q443" s="541"/>
      <c r="R443" s="541"/>
      <c r="S443" s="541"/>
      <c r="T443" s="541"/>
      <c r="U443" s="541"/>
      <c r="V443" s="541"/>
      <c r="W443" s="541"/>
      <c r="X443" s="541"/>
      <c r="Y443" s="541"/>
      <c r="Z443" s="541"/>
    </row>
    <row r="444" spans="1:26" ht="19.5">
      <c r="A444" s="561"/>
      <c r="B444" s="727"/>
      <c r="C444" s="727" t="s">
        <v>16</v>
      </c>
      <c r="D444" s="811" t="s">
        <v>17</v>
      </c>
      <c r="E444" s="805"/>
      <c r="F444" s="805"/>
      <c r="G444" s="189"/>
      <c r="H444" s="562" t="s">
        <v>12</v>
      </c>
      <c r="I444" s="269"/>
      <c r="J444" s="269"/>
      <c r="K444" s="465"/>
      <c r="L444" s="195">
        <f t="shared" ref="L444:N444" ca="1" si="196">L445+L446</f>
        <v>128460</v>
      </c>
      <c r="M444" s="195">
        <f t="shared" si="196"/>
        <v>0</v>
      </c>
      <c r="N444" s="195">
        <f t="shared" si="196"/>
        <v>0</v>
      </c>
      <c r="O444" s="195">
        <f t="shared" ref="O444:O449" ca="1" si="197">IF(L444&gt;0,N444*100/L444,0)</f>
        <v>0</v>
      </c>
      <c r="P444" s="195">
        <f t="shared" ref="P444:P449" si="198">IF(M444&gt;0,N444*100/M444,0)</f>
        <v>0</v>
      </c>
      <c r="Q444" s="541"/>
      <c r="R444" s="541"/>
      <c r="S444" s="541"/>
      <c r="T444" s="541"/>
      <c r="U444" s="541"/>
      <c r="V444" s="541"/>
      <c r="W444" s="541"/>
      <c r="X444" s="541"/>
      <c r="Y444" s="541"/>
      <c r="Z444" s="541"/>
    </row>
    <row r="445" spans="1:26" ht="18.75" hidden="1">
      <c r="A445" s="563"/>
      <c r="B445" s="723"/>
      <c r="C445" s="723"/>
      <c r="D445" s="684"/>
      <c r="E445" s="723" t="s">
        <v>184</v>
      </c>
      <c r="F445" s="723"/>
      <c r="G445" s="567"/>
      <c r="H445" s="165" t="s">
        <v>12</v>
      </c>
      <c r="I445" s="583"/>
      <c r="J445" s="583"/>
      <c r="K445" s="93"/>
      <c r="L445" s="93">
        <f t="shared" ref="L445:N446" si="199">L448+L455</f>
        <v>0</v>
      </c>
      <c r="M445" s="93">
        <f t="shared" si="199"/>
        <v>0</v>
      </c>
      <c r="N445" s="93">
        <f t="shared" si="199"/>
        <v>0</v>
      </c>
      <c r="O445" s="93">
        <f t="shared" si="197"/>
        <v>0</v>
      </c>
      <c r="P445" s="93">
        <f t="shared" si="198"/>
        <v>0</v>
      </c>
      <c r="Q445" s="568"/>
      <c r="R445" s="568"/>
      <c r="S445" s="568"/>
      <c r="T445" s="568"/>
      <c r="U445" s="568"/>
      <c r="V445" s="568"/>
      <c r="W445" s="568"/>
      <c r="X445" s="568"/>
      <c r="Y445" s="568"/>
      <c r="Z445" s="568"/>
    </row>
    <row r="446" spans="1:26" ht="18.75" hidden="1">
      <c r="A446" s="563"/>
      <c r="B446" s="571"/>
      <c r="C446" s="723"/>
      <c r="D446" s="684"/>
      <c r="E446" s="723" t="s">
        <v>185</v>
      </c>
      <c r="F446" s="723"/>
      <c r="G446" s="567"/>
      <c r="H446" s="165" t="s">
        <v>12</v>
      </c>
      <c r="I446" s="583"/>
      <c r="J446" s="583"/>
      <c r="K446" s="93"/>
      <c r="L446" s="93">
        <f t="shared" ca="1" si="199"/>
        <v>128460</v>
      </c>
      <c r="M446" s="93">
        <f t="shared" si="199"/>
        <v>0</v>
      </c>
      <c r="N446" s="93">
        <f t="shared" si="199"/>
        <v>0</v>
      </c>
      <c r="O446" s="93">
        <f t="shared" ca="1" si="197"/>
        <v>0</v>
      </c>
      <c r="P446" s="93">
        <f t="shared" si="198"/>
        <v>0</v>
      </c>
      <c r="Q446" s="568"/>
      <c r="R446" s="568"/>
      <c r="S446" s="568"/>
      <c r="T446" s="568"/>
      <c r="U446" s="568"/>
      <c r="V446" s="568"/>
      <c r="W446" s="568"/>
      <c r="X446" s="568"/>
      <c r="Y446" s="568"/>
      <c r="Z446" s="568"/>
    </row>
    <row r="447" spans="1:26" ht="18.75">
      <c r="A447" s="561"/>
      <c r="B447" s="538"/>
      <c r="C447" s="727"/>
      <c r="D447" s="570" t="s">
        <v>20</v>
      </c>
      <c r="E447" s="727"/>
      <c r="F447" s="727"/>
      <c r="G447" s="189"/>
      <c r="H447" s="161" t="s">
        <v>12</v>
      </c>
      <c r="I447" s="184"/>
      <c r="J447" s="184"/>
      <c r="K447" s="163"/>
      <c r="L447" s="465">
        <f t="shared" ref="L447:N447" ca="1" si="200">L448+L449</f>
        <v>128460</v>
      </c>
      <c r="M447" s="465">
        <f t="shared" si="200"/>
        <v>0</v>
      </c>
      <c r="N447" s="465">
        <f t="shared" si="200"/>
        <v>0</v>
      </c>
      <c r="O447" s="465">
        <f t="shared" ca="1" si="197"/>
        <v>0</v>
      </c>
      <c r="P447" s="465">
        <f t="shared" si="198"/>
        <v>0</v>
      </c>
      <c r="Q447" s="541"/>
      <c r="R447" s="541"/>
      <c r="S447" s="541"/>
      <c r="T447" s="541"/>
      <c r="U447" s="541"/>
      <c r="V447" s="541"/>
      <c r="W447" s="541"/>
      <c r="X447" s="541"/>
      <c r="Y447" s="541"/>
      <c r="Z447" s="541"/>
    </row>
    <row r="448" spans="1:26" ht="18.75" hidden="1">
      <c r="A448" s="563"/>
      <c r="B448" s="571"/>
      <c r="C448" s="723"/>
      <c r="D448" s="684"/>
      <c r="E448" s="723" t="s">
        <v>184</v>
      </c>
      <c r="F448" s="723"/>
      <c r="G448" s="567"/>
      <c r="H448" s="165" t="s">
        <v>12</v>
      </c>
      <c r="I448" s="583"/>
      <c r="J448" s="583"/>
      <c r="K448" s="93"/>
      <c r="L448" s="93">
        <v>0</v>
      </c>
      <c r="M448" s="93">
        <v>0</v>
      </c>
      <c r="N448" s="93">
        <v>0</v>
      </c>
      <c r="O448" s="93">
        <f t="shared" si="197"/>
        <v>0</v>
      </c>
      <c r="P448" s="93">
        <f t="shared" si="198"/>
        <v>0</v>
      </c>
      <c r="Q448" s="568"/>
      <c r="R448" s="568"/>
      <c r="S448" s="568"/>
      <c r="T448" s="568"/>
      <c r="U448" s="568"/>
      <c r="V448" s="568"/>
      <c r="W448" s="568"/>
      <c r="X448" s="568"/>
      <c r="Y448" s="568"/>
      <c r="Z448" s="568"/>
    </row>
    <row r="449" spans="1:26" ht="18.75" hidden="1">
      <c r="A449" s="563"/>
      <c r="B449" s="571"/>
      <c r="C449" s="723"/>
      <c r="D449" s="684"/>
      <c r="E449" s="723" t="s">
        <v>185</v>
      </c>
      <c r="F449" s="723"/>
      <c r="G449" s="567"/>
      <c r="H449" s="165" t="s">
        <v>12</v>
      </c>
      <c r="I449" s="583"/>
      <c r="J449" s="583"/>
      <c r="K449" s="93"/>
      <c r="L449" s="93">
        <f ca="1">IFERROR(__xludf.DUMMYFUNCTION("IMPORTRANGE(""https://docs.google.com/spreadsheets/d/1QqKyyYR6Q21VydFLVH3TRQUabQu_ym0Zz7PgGX0-kHA/edit?usp=sharing"",""แผน!FJ26"")"),128460)</f>
        <v>128460</v>
      </c>
      <c r="M449" s="93">
        <v>0</v>
      </c>
      <c r="N449" s="93">
        <f>N450+N451+N452+N453</f>
        <v>0</v>
      </c>
      <c r="O449" s="93">
        <f t="shared" ca="1" si="197"/>
        <v>0</v>
      </c>
      <c r="P449" s="93">
        <f t="shared" si="198"/>
        <v>0</v>
      </c>
      <c r="Q449" s="568"/>
      <c r="R449" s="568"/>
      <c r="S449" s="568"/>
      <c r="T449" s="568"/>
      <c r="U449" s="568"/>
      <c r="V449" s="568"/>
      <c r="W449" s="568"/>
      <c r="X449" s="568"/>
      <c r="Y449" s="568"/>
      <c r="Z449" s="568"/>
    </row>
    <row r="450" spans="1:26" ht="18.75">
      <c r="A450" s="537"/>
      <c r="B450" s="538"/>
      <c r="C450" s="727"/>
      <c r="D450" s="727"/>
      <c r="E450" s="727"/>
      <c r="F450" s="727" t="s">
        <v>186</v>
      </c>
      <c r="G450" s="189"/>
      <c r="H450" s="161" t="s">
        <v>12</v>
      </c>
      <c r="I450" s="269"/>
      <c r="J450" s="269"/>
      <c r="K450" s="465"/>
      <c r="L450" s="465"/>
      <c r="M450" s="465"/>
      <c r="N450" s="789">
        <v>0</v>
      </c>
      <c r="O450" s="465"/>
      <c r="P450" s="465"/>
      <c r="Q450" s="541"/>
      <c r="R450" s="541"/>
      <c r="S450" s="541"/>
      <c r="T450" s="541"/>
      <c r="U450" s="541"/>
      <c r="V450" s="541"/>
      <c r="W450" s="541"/>
      <c r="X450" s="541"/>
      <c r="Y450" s="541"/>
      <c r="Z450" s="541"/>
    </row>
    <row r="451" spans="1:26" ht="18.75">
      <c r="A451" s="537"/>
      <c r="B451" s="538"/>
      <c r="C451" s="727"/>
      <c r="D451" s="727"/>
      <c r="E451" s="727"/>
      <c r="F451" s="727" t="s">
        <v>187</v>
      </c>
      <c r="G451" s="189"/>
      <c r="H451" s="161" t="s">
        <v>12</v>
      </c>
      <c r="I451" s="269"/>
      <c r="J451" s="269"/>
      <c r="K451" s="465"/>
      <c r="L451" s="465"/>
      <c r="M451" s="465"/>
      <c r="N451" s="789">
        <v>0</v>
      </c>
      <c r="O451" s="465"/>
      <c r="P451" s="465"/>
      <c r="Q451" s="541"/>
      <c r="R451" s="541"/>
      <c r="S451" s="541"/>
      <c r="T451" s="541"/>
      <c r="U451" s="541"/>
      <c r="V451" s="541"/>
      <c r="W451" s="541"/>
      <c r="X451" s="541"/>
      <c r="Y451" s="541"/>
      <c r="Z451" s="541"/>
    </row>
    <row r="452" spans="1:26" ht="18.75">
      <c r="A452" s="537"/>
      <c r="B452" s="538"/>
      <c r="C452" s="538"/>
      <c r="D452" s="538"/>
      <c r="E452" s="538"/>
      <c r="F452" s="727" t="s">
        <v>188</v>
      </c>
      <c r="G452" s="189"/>
      <c r="H452" s="161" t="s">
        <v>12</v>
      </c>
      <c r="I452" s="269"/>
      <c r="J452" s="269"/>
      <c r="K452" s="465"/>
      <c r="L452" s="465"/>
      <c r="M452" s="465"/>
      <c r="N452" s="789">
        <v>0</v>
      </c>
      <c r="O452" s="465"/>
      <c r="P452" s="465"/>
      <c r="Q452" s="541"/>
      <c r="R452" s="541"/>
      <c r="S452" s="541"/>
      <c r="T452" s="541"/>
      <c r="U452" s="541"/>
      <c r="V452" s="541"/>
      <c r="W452" s="541"/>
      <c r="X452" s="541"/>
      <c r="Y452" s="541"/>
      <c r="Z452" s="541"/>
    </row>
    <row r="453" spans="1:26" ht="18.75">
      <c r="A453" s="537"/>
      <c r="B453" s="538"/>
      <c r="C453" s="538"/>
      <c r="D453" s="538"/>
      <c r="E453" s="538"/>
      <c r="F453" s="727" t="s">
        <v>189</v>
      </c>
      <c r="G453" s="189"/>
      <c r="H453" s="161" t="s">
        <v>12</v>
      </c>
      <c r="I453" s="269"/>
      <c r="J453" s="269"/>
      <c r="K453" s="465"/>
      <c r="L453" s="465"/>
      <c r="M453" s="465"/>
      <c r="N453" s="789">
        <v>0</v>
      </c>
      <c r="O453" s="465"/>
      <c r="P453" s="465"/>
      <c r="Q453" s="541"/>
      <c r="R453" s="541"/>
      <c r="S453" s="541"/>
      <c r="T453" s="541"/>
      <c r="U453" s="541"/>
      <c r="V453" s="541"/>
      <c r="W453" s="541"/>
      <c r="X453" s="541"/>
      <c r="Y453" s="541"/>
      <c r="Z453" s="541"/>
    </row>
    <row r="454" spans="1:26" ht="18.75">
      <c r="A454" s="561"/>
      <c r="B454" s="538"/>
      <c r="C454" s="538"/>
      <c r="D454" s="570" t="s">
        <v>21</v>
      </c>
      <c r="E454" s="538"/>
      <c r="F454" s="727"/>
      <c r="G454" s="189"/>
      <c r="H454" s="168" t="s">
        <v>12</v>
      </c>
      <c r="I454" s="184"/>
      <c r="J454" s="184"/>
      <c r="K454" s="163"/>
      <c r="L454" s="465">
        <f t="shared" ref="L454:N454" ca="1" si="201">L455+L456</f>
        <v>0</v>
      </c>
      <c r="M454" s="465">
        <f t="shared" si="201"/>
        <v>0</v>
      </c>
      <c r="N454" s="465">
        <f t="shared" si="201"/>
        <v>0</v>
      </c>
      <c r="O454" s="465">
        <f t="shared" ref="O454:O456" ca="1" si="202">IF(L454&gt;0,N454*100/L454,0)</f>
        <v>0</v>
      </c>
      <c r="P454" s="465">
        <f t="shared" ref="P454:P456" si="203">IF(M454&gt;0,N454*100/M454,0)</f>
        <v>0</v>
      </c>
      <c r="Q454" s="541"/>
      <c r="R454" s="541"/>
      <c r="S454" s="541"/>
      <c r="T454" s="541"/>
      <c r="U454" s="541"/>
      <c r="V454" s="541"/>
      <c r="W454" s="541"/>
      <c r="X454" s="541"/>
      <c r="Y454" s="541"/>
      <c r="Z454" s="541"/>
    </row>
    <row r="455" spans="1:26" ht="18.75" hidden="1">
      <c r="A455" s="563"/>
      <c r="B455" s="571"/>
      <c r="C455" s="571"/>
      <c r="D455" s="571"/>
      <c r="E455" s="571" t="s">
        <v>18</v>
      </c>
      <c r="F455" s="723"/>
      <c r="G455" s="567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2"/>
        <v>0</v>
      </c>
      <c r="P455" s="93">
        <f t="shared" si="203"/>
        <v>0</v>
      </c>
      <c r="Q455" s="568"/>
      <c r="R455" s="568"/>
      <c r="S455" s="568"/>
      <c r="T455" s="568"/>
      <c r="U455" s="568"/>
      <c r="V455" s="568"/>
      <c r="W455" s="568"/>
      <c r="X455" s="568"/>
      <c r="Y455" s="568"/>
      <c r="Z455" s="568"/>
    </row>
    <row r="456" spans="1:26" ht="18.75" hidden="1">
      <c r="A456" s="563"/>
      <c r="B456" s="571"/>
      <c r="C456" s="571"/>
      <c r="D456" s="571"/>
      <c r="E456" s="571" t="s">
        <v>19</v>
      </c>
      <c r="F456" s="723"/>
      <c r="G456" s="567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IFERROR(__xludf.DUMMYFUNCTION("IMPORTRANGE(""https://docs.google.com/spreadsheets/d/1QqKyyYR6Q21VydFLVH3TRQUabQu_ym0Zz7PgGX0-kHA/edit?usp=sharing"",""แผน!FM26"")"),0)</f>
        <v>0</v>
      </c>
      <c r="M456" s="93">
        <v>0</v>
      </c>
      <c r="N456" s="93">
        <v>0</v>
      </c>
      <c r="O456" s="93">
        <f t="shared" ca="1" si="202"/>
        <v>0</v>
      </c>
      <c r="P456" s="93">
        <f t="shared" si="203"/>
        <v>0</v>
      </c>
      <c r="Q456" s="568"/>
      <c r="R456" s="568"/>
      <c r="S456" s="568"/>
      <c r="T456" s="568"/>
      <c r="U456" s="568"/>
      <c r="V456" s="568"/>
      <c r="W456" s="568"/>
      <c r="X456" s="568"/>
      <c r="Y456" s="568"/>
      <c r="Z456" s="568"/>
    </row>
    <row r="457" spans="1:26" ht="19.5">
      <c r="A457" s="572"/>
      <c r="B457" s="584"/>
      <c r="C457" s="538" t="s">
        <v>16</v>
      </c>
      <c r="D457" s="850" t="s">
        <v>38</v>
      </c>
      <c r="E457" s="575"/>
      <c r="F457" s="725"/>
      <c r="G457" s="577"/>
      <c r="H457" s="726"/>
      <c r="I457" s="269"/>
      <c r="J457" s="269"/>
      <c r="K457" s="465"/>
      <c r="L457" s="465"/>
      <c r="M457" s="465"/>
      <c r="N457" s="465"/>
      <c r="O457" s="465"/>
      <c r="P457" s="465"/>
      <c r="Q457" s="541"/>
      <c r="R457" s="541"/>
      <c r="S457" s="541"/>
      <c r="T457" s="541"/>
      <c r="U457" s="541"/>
      <c r="V457" s="541"/>
      <c r="W457" s="541"/>
      <c r="X457" s="541"/>
      <c r="Y457" s="541"/>
      <c r="Z457" s="541"/>
    </row>
    <row r="458" spans="1:26" ht="18.75" hidden="1">
      <c r="A458" s="578"/>
      <c r="B458" s="580"/>
      <c r="C458" s="580"/>
      <c r="D458" s="580" t="s">
        <v>200</v>
      </c>
      <c r="E458" s="580"/>
      <c r="F458" s="684"/>
      <c r="G458" s="581"/>
      <c r="H458" s="582" t="s">
        <v>35</v>
      </c>
      <c r="I458" s="583">
        <v>0</v>
      </c>
      <c r="J458" s="583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568"/>
      <c r="R458" s="568"/>
      <c r="S458" s="568"/>
      <c r="T458" s="568"/>
      <c r="U458" s="568"/>
      <c r="V458" s="568"/>
      <c r="W458" s="568"/>
      <c r="X458" s="568"/>
      <c r="Y458" s="568"/>
      <c r="Z458" s="568"/>
    </row>
    <row r="459" spans="1:26" ht="18.75" hidden="1">
      <c r="A459" s="578"/>
      <c r="B459" s="580"/>
      <c r="C459" s="580"/>
      <c r="D459" s="580" t="s">
        <v>201</v>
      </c>
      <c r="E459" s="580"/>
      <c r="F459" s="684"/>
      <c r="G459" s="581"/>
      <c r="H459" s="582"/>
      <c r="I459" s="583"/>
      <c r="J459" s="583"/>
      <c r="K459" s="93"/>
      <c r="L459" s="93"/>
      <c r="M459" s="93"/>
      <c r="N459" s="93"/>
      <c r="O459" s="93"/>
      <c r="P459" s="93"/>
      <c r="Q459" s="568"/>
      <c r="R459" s="568"/>
      <c r="S459" s="568"/>
      <c r="T459" s="568"/>
      <c r="U459" s="568"/>
      <c r="V459" s="568"/>
      <c r="W459" s="568"/>
      <c r="X459" s="568"/>
      <c r="Y459" s="568"/>
      <c r="Z459" s="568"/>
    </row>
    <row r="460" spans="1:26" ht="18.75">
      <c r="A460" s="572"/>
      <c r="B460" s="584"/>
      <c r="C460" s="584"/>
      <c r="D460" s="584" t="s">
        <v>202</v>
      </c>
      <c r="E460" s="584"/>
      <c r="F460" s="592"/>
      <c r="G460" s="726"/>
      <c r="H460" s="728" t="s">
        <v>35</v>
      </c>
      <c r="I460" s="269">
        <f ca="1">IFERROR(__xludf.DUMMYFUNCTION("IMPORTRANGE(""https://docs.google.com/spreadsheets/d/1QqKyyYR6Q21VydFLVH3TRQUabQu_ym0Zz7PgGX0-kHA/edit?usp=sharing"",""แผน!FN26"")"),20)</f>
        <v>20</v>
      </c>
      <c r="J460" s="214">
        <v>0</v>
      </c>
      <c r="K460" s="465">
        <f ca="1">IF(I460&gt;0,J460*100/I460,0)</f>
        <v>0</v>
      </c>
      <c r="L460" s="465"/>
      <c r="M460" s="465"/>
      <c r="N460" s="465"/>
      <c r="O460" s="465"/>
      <c r="P460" s="465"/>
      <c r="Q460" s="541"/>
      <c r="R460" s="541"/>
      <c r="S460" s="541"/>
      <c r="T460" s="541"/>
      <c r="U460" s="541"/>
      <c r="V460" s="541"/>
      <c r="W460" s="541"/>
      <c r="X460" s="541"/>
      <c r="Y460" s="541"/>
      <c r="Z460" s="541"/>
    </row>
    <row r="461" spans="1:26" ht="18.75">
      <c r="A461" s="572"/>
      <c r="B461" s="584"/>
      <c r="C461" s="584"/>
      <c r="D461" s="584" t="s">
        <v>203</v>
      </c>
      <c r="E461" s="592"/>
      <c r="F461" s="592"/>
      <c r="G461" s="726"/>
      <c r="H461" s="728"/>
      <c r="I461" s="269"/>
      <c r="J461" s="269"/>
      <c r="K461" s="465"/>
      <c r="L461" s="465"/>
      <c r="M461" s="465"/>
      <c r="N461" s="465"/>
      <c r="O461" s="465"/>
      <c r="P461" s="465"/>
      <c r="Q461" s="541"/>
      <c r="R461" s="541"/>
      <c r="S461" s="541"/>
      <c r="T461" s="541"/>
      <c r="U461" s="541"/>
      <c r="V461" s="541"/>
      <c r="W461" s="541"/>
      <c r="X461" s="541"/>
      <c r="Y461" s="541"/>
      <c r="Z461" s="541"/>
    </row>
    <row r="462" spans="1:26" ht="18.75">
      <c r="A462" s="572"/>
      <c r="B462" s="584"/>
      <c r="C462" s="584"/>
      <c r="D462" s="584" t="s">
        <v>204</v>
      </c>
      <c r="E462" s="592"/>
      <c r="F462" s="592"/>
      <c r="G462" s="726"/>
      <c r="H462" s="728" t="s">
        <v>46</v>
      </c>
      <c r="I462" s="269">
        <f ca="1">IFERROR(__xludf.DUMMYFUNCTION("IMPORTRANGE(""https://docs.google.com/spreadsheets/d/1QqKyyYR6Q21VydFLVH3TRQUabQu_ym0Zz7PgGX0-kHA/edit?usp=sharing"",""แผน!FO26"")"),70)</f>
        <v>70</v>
      </c>
      <c r="J462" s="214">
        <v>0</v>
      </c>
      <c r="K462" s="465">
        <f ca="1">IF(I462&gt;0,J462*100/I462,0)</f>
        <v>0</v>
      </c>
      <c r="L462" s="465"/>
      <c r="M462" s="465"/>
      <c r="N462" s="465"/>
      <c r="O462" s="465"/>
      <c r="P462" s="465"/>
      <c r="Q462" s="541"/>
      <c r="R462" s="541"/>
      <c r="S462" s="541"/>
      <c r="T462" s="541"/>
      <c r="U462" s="541"/>
      <c r="V462" s="541"/>
      <c r="W462" s="541"/>
      <c r="X462" s="541"/>
      <c r="Y462" s="541"/>
      <c r="Z462" s="541"/>
    </row>
    <row r="463" spans="1:26" ht="18.75">
      <c r="A463" s="572"/>
      <c r="B463" s="584"/>
      <c r="C463" s="584"/>
      <c r="D463" s="584" t="s">
        <v>59</v>
      </c>
      <c r="E463" s="592"/>
      <c r="F463" s="727"/>
      <c r="G463" s="189"/>
      <c r="H463" s="728" t="s">
        <v>46</v>
      </c>
      <c r="I463" s="269">
        <f ca="1">IFERROR(__xludf.DUMMYFUNCTION("IMPORTRANGE(""https://docs.google.com/spreadsheets/d/1QqKyyYR6Q21VydFLVH3TRQUabQu_ym0Zz7PgGX0-kHA/edit?usp=sharing"",""แผน!FO26"")"),70)</f>
        <v>70</v>
      </c>
      <c r="J463" s="214">
        <v>0</v>
      </c>
      <c r="K463" s="465"/>
      <c r="L463" s="465"/>
      <c r="M463" s="465"/>
      <c r="N463" s="465"/>
      <c r="O463" s="465"/>
      <c r="P463" s="465"/>
      <c r="Q463" s="541"/>
      <c r="R463" s="541"/>
      <c r="S463" s="541"/>
      <c r="T463" s="541"/>
      <c r="U463" s="541"/>
      <c r="V463" s="541"/>
      <c r="W463" s="541"/>
      <c r="X463" s="541"/>
      <c r="Y463" s="541"/>
      <c r="Z463" s="541"/>
    </row>
    <row r="464" spans="1:26" ht="19.5">
      <c r="A464" s="572"/>
      <c r="B464" s="584"/>
      <c r="C464" s="584"/>
      <c r="D464" s="584"/>
      <c r="E464" s="592"/>
      <c r="F464" s="592"/>
      <c r="G464" s="586"/>
      <c r="H464" s="728" t="s">
        <v>35</v>
      </c>
      <c r="I464" s="269">
        <f ca="1">IFERROR(__xludf.DUMMYFUNCTION("IMPORTRANGE(""https://docs.google.com/spreadsheets/d/1QqKyyYR6Q21VydFLVH3TRQUabQu_ym0Zz7PgGX0-kHA/edit?usp=sharing"",""แผน!FN26"")"),20)</f>
        <v>20</v>
      </c>
      <c r="J464" s="214">
        <v>0</v>
      </c>
      <c r="K464" s="465"/>
      <c r="L464" s="465"/>
      <c r="M464" s="465"/>
      <c r="N464" s="465"/>
      <c r="O464" s="465"/>
      <c r="P464" s="465"/>
      <c r="Q464" s="541"/>
      <c r="R464" s="541"/>
      <c r="S464" s="541"/>
      <c r="T464" s="541"/>
      <c r="U464" s="541"/>
      <c r="V464" s="541"/>
      <c r="W464" s="541"/>
      <c r="X464" s="541"/>
      <c r="Y464" s="541"/>
      <c r="Z464" s="541"/>
    </row>
    <row r="465" spans="1:26" ht="19.5">
      <c r="A465" s="549">
        <v>3</v>
      </c>
      <c r="B465" s="550" t="s">
        <v>205</v>
      </c>
      <c r="C465" s="551"/>
      <c r="D465" s="551"/>
      <c r="E465" s="551"/>
      <c r="F465" s="551"/>
      <c r="G465" s="552"/>
      <c r="H465" s="553" t="s">
        <v>35</v>
      </c>
      <c r="I465" s="554">
        <f ca="1">IFERROR(__xludf.DUMMYFUNCTION("IMPORTRANGE(""https://docs.google.com/spreadsheets/d/1QqKyyYR6Q21VydFLVH3TRQUabQu_ym0Zz7PgGX0-kHA/edit?usp=sharing"",""แผน!FX26"")"),131)</f>
        <v>131</v>
      </c>
      <c r="J465" s="554">
        <f>J485+J489+J492</f>
        <v>0</v>
      </c>
      <c r="K465" s="555">
        <f t="shared" ref="K465:K466" ca="1" si="204">IF(I465&gt;0,J465*100/I465,0)</f>
        <v>0</v>
      </c>
      <c r="L465" s="556"/>
      <c r="M465" s="556"/>
      <c r="N465" s="556"/>
      <c r="O465" s="556"/>
      <c r="P465" s="556"/>
      <c r="Q465" s="541"/>
      <c r="R465" s="541"/>
      <c r="S465" s="541"/>
      <c r="T465" s="541"/>
      <c r="U465" s="541"/>
      <c r="V465" s="541"/>
      <c r="W465" s="541"/>
      <c r="X465" s="541"/>
      <c r="Y465" s="541"/>
      <c r="Z465" s="541"/>
    </row>
    <row r="466" spans="1:26" ht="19.5">
      <c r="A466" s="557"/>
      <c r="B466" s="558"/>
      <c r="C466" s="559"/>
      <c r="D466" s="559"/>
      <c r="E466" s="559"/>
      <c r="F466" s="559"/>
      <c r="G466" s="560"/>
      <c r="H466" s="531" t="s">
        <v>46</v>
      </c>
      <c r="I466" s="532">
        <f ca="1">IFERROR(__xludf.DUMMYFUNCTION("IMPORTRANGE(""https://docs.google.com/spreadsheets/d/1QqKyyYR6Q21VydFLVH3TRQUabQu_ym0Zz7PgGX0-kHA/edit?usp=sharing"",""แผน!FW26"")"),1300)</f>
        <v>1300</v>
      </c>
      <c r="J466" s="532">
        <f>J483+J487</f>
        <v>0</v>
      </c>
      <c r="K466" s="533">
        <f t="shared" ca="1" si="204"/>
        <v>0</v>
      </c>
      <c r="L466" s="534"/>
      <c r="M466" s="534"/>
      <c r="N466" s="534"/>
      <c r="O466" s="534"/>
      <c r="P466" s="534"/>
      <c r="Q466" s="541"/>
      <c r="R466" s="541"/>
      <c r="S466" s="541"/>
      <c r="T466" s="541"/>
      <c r="U466" s="541"/>
      <c r="V466" s="541"/>
      <c r="W466" s="541"/>
      <c r="X466" s="541"/>
      <c r="Y466" s="541"/>
      <c r="Z466" s="541"/>
    </row>
    <row r="467" spans="1:26" ht="19.5">
      <c r="A467" s="561"/>
      <c r="B467" s="727"/>
      <c r="C467" s="727" t="s">
        <v>16</v>
      </c>
      <c r="D467" s="811" t="s">
        <v>17</v>
      </c>
      <c r="E467" s="805"/>
      <c r="F467" s="805"/>
      <c r="G467" s="189"/>
      <c r="H467" s="562" t="s">
        <v>12</v>
      </c>
      <c r="I467" s="269"/>
      <c r="J467" s="269"/>
      <c r="K467" s="465"/>
      <c r="L467" s="195">
        <f t="shared" ref="L467:N467" ca="1" si="205">L468+L469</f>
        <v>1161548</v>
      </c>
      <c r="M467" s="195">
        <f t="shared" si="205"/>
        <v>0</v>
      </c>
      <c r="N467" s="195">
        <f t="shared" si="205"/>
        <v>0</v>
      </c>
      <c r="O467" s="195">
        <f t="shared" ref="O467:O472" ca="1" si="206">IF(L467&gt;0,N467*100/L467,0)</f>
        <v>0</v>
      </c>
      <c r="P467" s="195">
        <f t="shared" ref="P467:P472" si="207">IF(M467&gt;0,N467*100/M467,0)</f>
        <v>0</v>
      </c>
      <c r="Q467" s="541"/>
      <c r="R467" s="541"/>
      <c r="S467" s="541"/>
      <c r="T467" s="541"/>
      <c r="U467" s="541"/>
      <c r="V467" s="541"/>
      <c r="W467" s="541"/>
      <c r="X467" s="541"/>
      <c r="Y467" s="541"/>
      <c r="Z467" s="541"/>
    </row>
    <row r="468" spans="1:26" ht="18.75" hidden="1">
      <c r="A468" s="563"/>
      <c r="B468" s="723"/>
      <c r="C468" s="723"/>
      <c r="D468" s="684"/>
      <c r="E468" s="723" t="s">
        <v>184</v>
      </c>
      <c r="F468" s="723"/>
      <c r="G468" s="567"/>
      <c r="H468" s="165" t="s">
        <v>12</v>
      </c>
      <c r="I468" s="583"/>
      <c r="J468" s="583"/>
      <c r="K468" s="93"/>
      <c r="L468" s="93">
        <f t="shared" ref="L468:N469" si="208">L471+L478</f>
        <v>0</v>
      </c>
      <c r="M468" s="93">
        <f t="shared" si="208"/>
        <v>0</v>
      </c>
      <c r="N468" s="93">
        <f t="shared" si="208"/>
        <v>0</v>
      </c>
      <c r="O468" s="93">
        <f t="shared" si="206"/>
        <v>0</v>
      </c>
      <c r="P468" s="93">
        <f t="shared" si="207"/>
        <v>0</v>
      </c>
      <c r="Q468" s="568"/>
      <c r="R468" s="568"/>
      <c r="S468" s="568"/>
      <c r="T468" s="568"/>
      <c r="U468" s="568"/>
      <c r="V468" s="568"/>
      <c r="W468" s="568"/>
      <c r="X468" s="568"/>
      <c r="Y468" s="568"/>
      <c r="Z468" s="568"/>
    </row>
    <row r="469" spans="1:26" ht="18.75" hidden="1">
      <c r="A469" s="563"/>
      <c r="B469" s="571"/>
      <c r="C469" s="723"/>
      <c r="D469" s="684"/>
      <c r="E469" s="723" t="s">
        <v>185</v>
      </c>
      <c r="F469" s="723"/>
      <c r="G469" s="567"/>
      <c r="H469" s="165" t="s">
        <v>12</v>
      </c>
      <c r="I469" s="583"/>
      <c r="J469" s="583"/>
      <c r="K469" s="93"/>
      <c r="L469" s="93">
        <f t="shared" ca="1" si="208"/>
        <v>1161548</v>
      </c>
      <c r="M469" s="93">
        <f t="shared" si="208"/>
        <v>0</v>
      </c>
      <c r="N469" s="93">
        <f t="shared" si="208"/>
        <v>0</v>
      </c>
      <c r="O469" s="93">
        <f t="shared" ca="1" si="206"/>
        <v>0</v>
      </c>
      <c r="P469" s="93">
        <f t="shared" si="207"/>
        <v>0</v>
      </c>
      <c r="Q469" s="568"/>
      <c r="R469" s="568"/>
      <c r="S469" s="568"/>
      <c r="T469" s="568"/>
      <c r="U469" s="568"/>
      <c r="V469" s="568"/>
      <c r="W469" s="568"/>
      <c r="X469" s="568"/>
      <c r="Y469" s="568"/>
      <c r="Z469" s="568"/>
    </row>
    <row r="470" spans="1:26" ht="18.75">
      <c r="A470" s="561"/>
      <c r="B470" s="538"/>
      <c r="C470" s="727"/>
      <c r="D470" s="570" t="s">
        <v>20</v>
      </c>
      <c r="E470" s="727"/>
      <c r="F470" s="727"/>
      <c r="G470" s="189"/>
      <c r="H470" s="161" t="s">
        <v>12</v>
      </c>
      <c r="I470" s="184"/>
      <c r="J470" s="184"/>
      <c r="K470" s="163"/>
      <c r="L470" s="465">
        <f t="shared" ref="L470:N470" ca="1" si="209">L471+L472</f>
        <v>1161548</v>
      </c>
      <c r="M470" s="465">
        <f t="shared" si="209"/>
        <v>0</v>
      </c>
      <c r="N470" s="465">
        <f t="shared" si="209"/>
        <v>0</v>
      </c>
      <c r="O470" s="465">
        <f t="shared" ca="1" si="206"/>
        <v>0</v>
      </c>
      <c r="P470" s="465">
        <f t="shared" si="207"/>
        <v>0</v>
      </c>
      <c r="Q470" s="541"/>
      <c r="R470" s="541"/>
      <c r="S470" s="541"/>
      <c r="T470" s="541"/>
      <c r="U470" s="541"/>
      <c r="V470" s="541"/>
      <c r="W470" s="541"/>
      <c r="X470" s="541"/>
      <c r="Y470" s="541"/>
      <c r="Z470" s="541"/>
    </row>
    <row r="471" spans="1:26" ht="18.75" hidden="1">
      <c r="A471" s="563"/>
      <c r="B471" s="571"/>
      <c r="C471" s="723"/>
      <c r="D471" s="684"/>
      <c r="E471" s="723" t="s">
        <v>184</v>
      </c>
      <c r="F471" s="723"/>
      <c r="G471" s="567"/>
      <c r="H471" s="165" t="s">
        <v>12</v>
      </c>
      <c r="I471" s="583"/>
      <c r="J471" s="583"/>
      <c r="K471" s="93"/>
      <c r="L471" s="93">
        <v>0</v>
      </c>
      <c r="M471" s="93">
        <v>0</v>
      </c>
      <c r="N471" s="93">
        <v>0</v>
      </c>
      <c r="O471" s="93">
        <f t="shared" si="206"/>
        <v>0</v>
      </c>
      <c r="P471" s="93">
        <f t="shared" si="207"/>
        <v>0</v>
      </c>
      <c r="Q471" s="568"/>
      <c r="R471" s="568"/>
      <c r="S471" s="568"/>
      <c r="T471" s="568"/>
      <c r="U471" s="568"/>
      <c r="V471" s="568"/>
      <c r="W471" s="568"/>
      <c r="X471" s="568"/>
      <c r="Y471" s="568"/>
      <c r="Z471" s="568"/>
    </row>
    <row r="472" spans="1:26" ht="18.75" hidden="1">
      <c r="A472" s="563"/>
      <c r="B472" s="571"/>
      <c r="C472" s="723"/>
      <c r="D472" s="684"/>
      <c r="E472" s="723" t="s">
        <v>185</v>
      </c>
      <c r="F472" s="723"/>
      <c r="G472" s="567"/>
      <c r="H472" s="165" t="s">
        <v>12</v>
      </c>
      <c r="I472" s="583"/>
      <c r="J472" s="583"/>
      <c r="K472" s="93"/>
      <c r="L472" s="93">
        <f ca="1">IFERROR(__xludf.DUMMYFUNCTION("IMPORTRANGE(""https://docs.google.com/spreadsheets/d/1QqKyyYR6Q21VydFLVH3TRQUabQu_ym0Zz7PgGX0-kHA/edit?usp=sharing"",""แผน!FS26"")"),1161548)</f>
        <v>1161548</v>
      </c>
      <c r="M472" s="93">
        <v>0</v>
      </c>
      <c r="N472" s="93">
        <f>N473+N474+N475+N476</f>
        <v>0</v>
      </c>
      <c r="O472" s="93">
        <f t="shared" ca="1" si="206"/>
        <v>0</v>
      </c>
      <c r="P472" s="93">
        <f t="shared" si="207"/>
        <v>0</v>
      </c>
      <c r="Q472" s="568"/>
      <c r="R472" s="568"/>
      <c r="S472" s="568"/>
      <c r="T472" s="568"/>
      <c r="U472" s="568"/>
      <c r="V472" s="568"/>
      <c r="W472" s="568"/>
      <c r="X472" s="568"/>
      <c r="Y472" s="568"/>
      <c r="Z472" s="568"/>
    </row>
    <row r="473" spans="1:26" ht="18.75">
      <c r="A473" s="537"/>
      <c r="B473" s="538"/>
      <c r="C473" s="727"/>
      <c r="D473" s="727"/>
      <c r="E473" s="727"/>
      <c r="F473" s="727" t="s">
        <v>186</v>
      </c>
      <c r="G473" s="189"/>
      <c r="H473" s="161" t="s">
        <v>12</v>
      </c>
      <c r="I473" s="269"/>
      <c r="J473" s="269"/>
      <c r="K473" s="465"/>
      <c r="L473" s="465"/>
      <c r="M473" s="465"/>
      <c r="N473" s="789">
        <v>0</v>
      </c>
      <c r="O473" s="465"/>
      <c r="P473" s="465"/>
      <c r="Q473" s="541"/>
      <c r="R473" s="541"/>
      <c r="S473" s="541"/>
      <c r="T473" s="541"/>
      <c r="U473" s="541"/>
      <c r="V473" s="541"/>
      <c r="W473" s="541"/>
      <c r="X473" s="541"/>
      <c r="Y473" s="541"/>
      <c r="Z473" s="541"/>
    </row>
    <row r="474" spans="1:26" ht="18.75">
      <c r="A474" s="537"/>
      <c r="B474" s="538"/>
      <c r="C474" s="727"/>
      <c r="D474" s="727"/>
      <c r="E474" s="727"/>
      <c r="F474" s="727" t="s">
        <v>187</v>
      </c>
      <c r="G474" s="189"/>
      <c r="H474" s="161" t="s">
        <v>12</v>
      </c>
      <c r="I474" s="269"/>
      <c r="J474" s="269"/>
      <c r="K474" s="465"/>
      <c r="L474" s="465"/>
      <c r="M474" s="465"/>
      <c r="N474" s="789">
        <v>0</v>
      </c>
      <c r="O474" s="465"/>
      <c r="P474" s="465"/>
      <c r="Q474" s="541"/>
      <c r="R474" s="541"/>
      <c r="S474" s="541"/>
      <c r="T474" s="541"/>
      <c r="U474" s="541"/>
      <c r="V474" s="541"/>
      <c r="W474" s="541"/>
      <c r="X474" s="541"/>
      <c r="Y474" s="541"/>
      <c r="Z474" s="541"/>
    </row>
    <row r="475" spans="1:26" ht="18.75">
      <c r="A475" s="537"/>
      <c r="B475" s="538"/>
      <c r="C475" s="538"/>
      <c r="D475" s="538"/>
      <c r="E475" s="538"/>
      <c r="F475" s="727" t="s">
        <v>188</v>
      </c>
      <c r="G475" s="189"/>
      <c r="H475" s="161" t="s">
        <v>12</v>
      </c>
      <c r="I475" s="269"/>
      <c r="J475" s="269"/>
      <c r="K475" s="465"/>
      <c r="L475" s="465"/>
      <c r="M475" s="465"/>
      <c r="N475" s="789">
        <v>0</v>
      </c>
      <c r="O475" s="465"/>
      <c r="P475" s="465"/>
      <c r="Q475" s="541"/>
      <c r="R475" s="541"/>
      <c r="S475" s="541"/>
      <c r="T475" s="541"/>
      <c r="U475" s="541"/>
      <c r="V475" s="541"/>
      <c r="W475" s="541"/>
      <c r="X475" s="541"/>
      <c r="Y475" s="541"/>
      <c r="Z475" s="541"/>
    </row>
    <row r="476" spans="1:26" ht="18.75">
      <c r="A476" s="537"/>
      <c r="B476" s="538"/>
      <c r="C476" s="538"/>
      <c r="D476" s="538"/>
      <c r="E476" s="538"/>
      <c r="F476" s="727" t="s">
        <v>189</v>
      </c>
      <c r="G476" s="189"/>
      <c r="H476" s="161" t="s">
        <v>12</v>
      </c>
      <c r="I476" s="269"/>
      <c r="J476" s="269"/>
      <c r="K476" s="465"/>
      <c r="L476" s="465"/>
      <c r="M476" s="465"/>
      <c r="N476" s="789">
        <v>0</v>
      </c>
      <c r="O476" s="465"/>
      <c r="P476" s="465"/>
      <c r="Q476" s="541"/>
      <c r="R476" s="541"/>
      <c r="S476" s="541"/>
      <c r="T476" s="541"/>
      <c r="U476" s="541"/>
      <c r="V476" s="541"/>
      <c r="W476" s="541"/>
      <c r="X476" s="541"/>
      <c r="Y476" s="541"/>
      <c r="Z476" s="541"/>
    </row>
    <row r="477" spans="1:26" ht="18.75">
      <c r="A477" s="561"/>
      <c r="B477" s="538"/>
      <c r="C477" s="538"/>
      <c r="D477" s="570" t="s">
        <v>21</v>
      </c>
      <c r="E477" s="538"/>
      <c r="F477" s="538"/>
      <c r="G477" s="189"/>
      <c r="H477" s="168" t="s">
        <v>12</v>
      </c>
      <c r="I477" s="184"/>
      <c r="J477" s="184"/>
      <c r="K477" s="163"/>
      <c r="L477" s="465">
        <f t="shared" ref="L477:N477" ca="1" si="210">L478+L479</f>
        <v>0</v>
      </c>
      <c r="M477" s="465">
        <f t="shared" si="210"/>
        <v>0</v>
      </c>
      <c r="N477" s="465">
        <f t="shared" si="210"/>
        <v>0</v>
      </c>
      <c r="O477" s="465">
        <f t="shared" ref="O477:O479" ca="1" si="211">IF(L477&gt;0,N477*100/L477,0)</f>
        <v>0</v>
      </c>
      <c r="P477" s="465">
        <f t="shared" ref="P477:P479" si="212">IF(M477&gt;0,N477*100/M477,0)</f>
        <v>0</v>
      </c>
      <c r="Q477" s="541"/>
      <c r="R477" s="541"/>
      <c r="S477" s="541"/>
      <c r="T477" s="541"/>
      <c r="U477" s="541"/>
      <c r="V477" s="541"/>
      <c r="W477" s="541"/>
      <c r="X477" s="541"/>
      <c r="Y477" s="541"/>
      <c r="Z477" s="541"/>
    </row>
    <row r="478" spans="1:26" ht="18.75" hidden="1">
      <c r="A478" s="563"/>
      <c r="B478" s="571"/>
      <c r="C478" s="571"/>
      <c r="D478" s="571"/>
      <c r="E478" s="571" t="s">
        <v>18</v>
      </c>
      <c r="F478" s="571"/>
      <c r="G478" s="567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1"/>
        <v>0</v>
      </c>
      <c r="P478" s="93">
        <f t="shared" si="212"/>
        <v>0</v>
      </c>
      <c r="Q478" s="568"/>
      <c r="R478" s="568"/>
      <c r="S478" s="568"/>
      <c r="T478" s="568"/>
      <c r="U478" s="568"/>
      <c r="V478" s="568"/>
      <c r="W478" s="568"/>
      <c r="X478" s="568"/>
      <c r="Y478" s="568"/>
      <c r="Z478" s="568"/>
    </row>
    <row r="479" spans="1:26" ht="18.75" hidden="1">
      <c r="A479" s="563"/>
      <c r="B479" s="571"/>
      <c r="C479" s="571"/>
      <c r="D479" s="571"/>
      <c r="E479" s="571" t="s">
        <v>19</v>
      </c>
      <c r="F479" s="571"/>
      <c r="G479" s="567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IFERROR(__xludf.DUMMYFUNCTION("IMPORTRANGE(""https://docs.google.com/spreadsheets/d/1QqKyyYR6Q21VydFLVH3TRQUabQu_ym0Zz7PgGX0-kHA/edit?usp=sharing"",""แผน!FV26"")"),0)</f>
        <v>0</v>
      </c>
      <c r="M479" s="93">
        <v>0</v>
      </c>
      <c r="N479" s="93">
        <v>0</v>
      </c>
      <c r="O479" s="93">
        <f t="shared" ca="1" si="211"/>
        <v>0</v>
      </c>
      <c r="P479" s="93">
        <f t="shared" si="212"/>
        <v>0</v>
      </c>
      <c r="Q479" s="568"/>
      <c r="R479" s="568"/>
      <c r="S479" s="568"/>
      <c r="T479" s="568"/>
      <c r="U479" s="568"/>
      <c r="V479" s="568"/>
      <c r="W479" s="568"/>
      <c r="X479" s="568"/>
      <c r="Y479" s="568"/>
      <c r="Z479" s="568"/>
    </row>
    <row r="480" spans="1:26" ht="19.5">
      <c r="A480" s="572"/>
      <c r="B480" s="584"/>
      <c r="C480" s="538" t="s">
        <v>16</v>
      </c>
      <c r="D480" s="851" t="s">
        <v>38</v>
      </c>
      <c r="E480" s="575"/>
      <c r="F480" s="725"/>
      <c r="G480" s="577"/>
      <c r="H480" s="726"/>
      <c r="I480" s="269"/>
      <c r="J480" s="269"/>
      <c r="K480" s="465"/>
      <c r="L480" s="465"/>
      <c r="M480" s="465"/>
      <c r="N480" s="465"/>
      <c r="O480" s="465"/>
      <c r="P480" s="465"/>
      <c r="Q480" s="541"/>
      <c r="R480" s="541"/>
      <c r="S480" s="541"/>
      <c r="T480" s="541"/>
      <c r="U480" s="541"/>
      <c r="V480" s="541"/>
      <c r="W480" s="541"/>
      <c r="X480" s="541"/>
      <c r="Y480" s="541"/>
      <c r="Z480" s="541"/>
    </row>
    <row r="481" spans="1:26" ht="19.5">
      <c r="A481" s="572"/>
      <c r="B481" s="584"/>
      <c r="C481" s="584"/>
      <c r="D481" s="591" t="s">
        <v>206</v>
      </c>
      <c r="E481" s="584"/>
      <c r="F481" s="584"/>
      <c r="G481" s="726"/>
      <c r="H481" s="189"/>
      <c r="I481" s="269"/>
      <c r="J481" s="269"/>
      <c r="K481" s="465"/>
      <c r="L481" s="465"/>
      <c r="M481" s="465"/>
      <c r="N481" s="465"/>
      <c r="O481" s="465"/>
      <c r="P481" s="465"/>
      <c r="Q481" s="541"/>
      <c r="R481" s="541"/>
      <c r="S481" s="541"/>
      <c r="T481" s="541"/>
      <c r="U481" s="541"/>
      <c r="V481" s="541"/>
      <c r="W481" s="541"/>
      <c r="X481" s="541"/>
      <c r="Y481" s="541"/>
      <c r="Z481" s="541"/>
    </row>
    <row r="482" spans="1:26" ht="18.75">
      <c r="A482" s="572"/>
      <c r="B482" s="584"/>
      <c r="C482" s="584"/>
      <c r="D482" s="584"/>
      <c r="E482" s="584" t="s">
        <v>207</v>
      </c>
      <c r="F482" s="584"/>
      <c r="G482" s="726"/>
      <c r="H482" s="189"/>
      <c r="I482" s="269"/>
      <c r="J482" s="269"/>
      <c r="K482" s="465"/>
      <c r="L482" s="465"/>
      <c r="M482" s="465"/>
      <c r="N482" s="465"/>
      <c r="O482" s="465"/>
      <c r="P482" s="465"/>
      <c r="Q482" s="541"/>
      <c r="R482" s="541"/>
      <c r="S482" s="541"/>
      <c r="T482" s="541"/>
      <c r="U482" s="541"/>
      <c r="V482" s="541"/>
      <c r="W482" s="541"/>
      <c r="X482" s="541"/>
      <c r="Y482" s="541"/>
      <c r="Z482" s="541"/>
    </row>
    <row r="483" spans="1:26" ht="18.75">
      <c r="A483" s="572"/>
      <c r="B483" s="584"/>
      <c r="C483" s="584"/>
      <c r="D483" s="584"/>
      <c r="E483" s="584"/>
      <c r="F483" s="584" t="s">
        <v>208</v>
      </c>
      <c r="G483" s="726"/>
      <c r="H483" s="589" t="s">
        <v>46</v>
      </c>
      <c r="I483" s="269">
        <f ca="1">IFERROR(__xludf.DUMMYFUNCTION("IMPORTRANGE(""https://docs.google.com/spreadsheets/d/1QqKyyYR6Q21VydFLVH3TRQUabQu_ym0Zz7PgGX0-kHA/edit?usp=sharing"",""แผน!FY26"")"),1170)</f>
        <v>1170</v>
      </c>
      <c r="J483" s="214">
        <v>0</v>
      </c>
      <c r="K483" s="465">
        <f ca="1">IF(I483&gt;0,J483*100/I483,0)</f>
        <v>0</v>
      </c>
      <c r="L483" s="465"/>
      <c r="M483" s="465"/>
      <c r="N483" s="465"/>
      <c r="O483" s="465"/>
      <c r="P483" s="465"/>
      <c r="Q483" s="541"/>
      <c r="R483" s="541"/>
      <c r="S483" s="541"/>
      <c r="T483" s="541"/>
      <c r="U483" s="541"/>
      <c r="V483" s="541"/>
      <c r="W483" s="541"/>
      <c r="X483" s="541"/>
      <c r="Y483" s="541"/>
      <c r="Z483" s="541"/>
    </row>
    <row r="484" spans="1:26" ht="18.75">
      <c r="A484" s="572"/>
      <c r="B484" s="584"/>
      <c r="C484" s="584"/>
      <c r="D484" s="584"/>
      <c r="E484" s="584"/>
      <c r="F484" s="584" t="s">
        <v>209</v>
      </c>
      <c r="G484" s="726"/>
      <c r="H484" s="589" t="s">
        <v>35</v>
      </c>
      <c r="I484" s="269"/>
      <c r="J484" s="214">
        <v>0</v>
      </c>
      <c r="K484" s="465"/>
      <c r="L484" s="465"/>
      <c r="M484" s="465"/>
      <c r="N484" s="465"/>
      <c r="O484" s="465"/>
      <c r="P484" s="465"/>
      <c r="Q484" s="541"/>
      <c r="R484" s="541"/>
      <c r="S484" s="541"/>
      <c r="T484" s="541"/>
      <c r="U484" s="541"/>
      <c r="V484" s="541"/>
      <c r="W484" s="541"/>
      <c r="X484" s="541"/>
      <c r="Y484" s="541"/>
      <c r="Z484" s="541"/>
    </row>
    <row r="485" spans="1:26" ht="18.75">
      <c r="A485" s="572"/>
      <c r="B485" s="584"/>
      <c r="C485" s="584"/>
      <c r="D485" s="584"/>
      <c r="E485" s="584"/>
      <c r="F485" s="584" t="s">
        <v>210</v>
      </c>
      <c r="G485" s="726"/>
      <c r="H485" s="589" t="s">
        <v>35</v>
      </c>
      <c r="I485" s="269">
        <f ca="1">IFERROR(__xludf.DUMMYFUNCTION("IMPORTRANGE(""https://docs.google.com/spreadsheets/d/1QqKyyYR6Q21VydFLVH3TRQUabQu_ym0Zz7PgGX0-kHA/edit?usp=sharing"",""แผน!FZ26"")"),117)</f>
        <v>117</v>
      </c>
      <c r="J485" s="214">
        <v>0</v>
      </c>
      <c r="K485" s="465">
        <f ca="1">IF(I485&gt;0,J485*100/I485,0)</f>
        <v>0</v>
      </c>
      <c r="L485" s="465"/>
      <c r="M485" s="465"/>
      <c r="N485" s="465"/>
      <c r="O485" s="465"/>
      <c r="P485" s="465"/>
      <c r="Q485" s="541"/>
      <c r="R485" s="541"/>
      <c r="S485" s="541"/>
      <c r="T485" s="541"/>
      <c r="U485" s="541"/>
      <c r="V485" s="541"/>
      <c r="W485" s="541"/>
      <c r="X485" s="541"/>
      <c r="Y485" s="541"/>
      <c r="Z485" s="541"/>
    </row>
    <row r="486" spans="1:26" ht="18.75">
      <c r="A486" s="572"/>
      <c r="B486" s="584"/>
      <c r="C486" s="584"/>
      <c r="D486" s="584"/>
      <c r="E486" s="584" t="s">
        <v>62</v>
      </c>
      <c r="F486" s="584"/>
      <c r="G486" s="726"/>
      <c r="H486" s="589"/>
      <c r="I486" s="269"/>
      <c r="J486" s="269"/>
      <c r="K486" s="465"/>
      <c r="L486" s="465"/>
      <c r="M486" s="465"/>
      <c r="N486" s="465"/>
      <c r="O486" s="465"/>
      <c r="P486" s="465"/>
      <c r="Q486" s="541"/>
      <c r="R486" s="541"/>
      <c r="S486" s="541"/>
      <c r="T486" s="541"/>
      <c r="U486" s="541"/>
      <c r="V486" s="541"/>
      <c r="W486" s="541"/>
      <c r="X486" s="541"/>
      <c r="Y486" s="541"/>
      <c r="Z486" s="541"/>
    </row>
    <row r="487" spans="1:26" ht="18.75">
      <c r="A487" s="572"/>
      <c r="B487" s="584"/>
      <c r="C487" s="584"/>
      <c r="D487" s="584"/>
      <c r="E487" s="584"/>
      <c r="F487" s="584" t="s">
        <v>208</v>
      </c>
      <c r="G487" s="726"/>
      <c r="H487" s="589" t="s">
        <v>46</v>
      </c>
      <c r="I487" s="269">
        <f ca="1">IFERROR(__xludf.DUMMYFUNCTION("IMPORTRANGE(""https://docs.google.com/spreadsheets/d/1QqKyyYR6Q21VydFLVH3TRQUabQu_ym0Zz7PgGX0-kHA/edit?usp=sharing"",""แผน!GA26"")"),130)</f>
        <v>130</v>
      </c>
      <c r="J487" s="214">
        <v>0</v>
      </c>
      <c r="K487" s="465">
        <f ca="1">IF(I487&gt;0,J487*100/I487,0)</f>
        <v>0</v>
      </c>
      <c r="L487" s="465"/>
      <c r="M487" s="465"/>
      <c r="N487" s="465"/>
      <c r="O487" s="465"/>
      <c r="P487" s="465"/>
      <c r="Q487" s="541"/>
      <c r="R487" s="541"/>
      <c r="S487" s="541"/>
      <c r="T487" s="541"/>
      <c r="U487" s="541"/>
      <c r="V487" s="541"/>
      <c r="W487" s="541"/>
      <c r="X487" s="541"/>
      <c r="Y487" s="541"/>
      <c r="Z487" s="541"/>
    </row>
    <row r="488" spans="1:26" ht="18.75">
      <c r="A488" s="572"/>
      <c r="B488" s="584"/>
      <c r="C488" s="584"/>
      <c r="D488" s="584"/>
      <c r="E488" s="584"/>
      <c r="F488" s="584" t="s">
        <v>211</v>
      </c>
      <c r="G488" s="726"/>
      <c r="H488" s="589" t="s">
        <v>35</v>
      </c>
      <c r="I488" s="269"/>
      <c r="J488" s="214">
        <v>0</v>
      </c>
      <c r="K488" s="465"/>
      <c r="L488" s="465"/>
      <c r="M488" s="465"/>
      <c r="N488" s="465"/>
      <c r="O488" s="465"/>
      <c r="P488" s="465"/>
      <c r="Q488" s="541"/>
      <c r="R488" s="541"/>
      <c r="S488" s="541"/>
      <c r="T488" s="541"/>
      <c r="U488" s="541"/>
      <c r="V488" s="541"/>
      <c r="W488" s="541"/>
      <c r="X488" s="541"/>
      <c r="Y488" s="541"/>
      <c r="Z488" s="541"/>
    </row>
    <row r="489" spans="1:26" ht="18.75">
      <c r="A489" s="572"/>
      <c r="B489" s="584"/>
      <c r="C489" s="584"/>
      <c r="D489" s="584"/>
      <c r="E489" s="584"/>
      <c r="F489" s="584" t="s">
        <v>212</v>
      </c>
      <c r="G489" s="726"/>
      <c r="H489" s="589" t="s">
        <v>35</v>
      </c>
      <c r="I489" s="269">
        <f ca="1">IFERROR(__xludf.DUMMYFUNCTION("IMPORTRANGE(""https://docs.google.com/spreadsheets/d/1QqKyyYR6Q21VydFLVH3TRQUabQu_ym0Zz7PgGX0-kHA/edit?usp=sharing"",""แผน!GB26"")"),13)</f>
        <v>13</v>
      </c>
      <c r="J489" s="214">
        <v>0</v>
      </c>
      <c r="K489" s="465">
        <f ca="1">IF(I489&gt;0,J489*100/I489,0)</f>
        <v>0</v>
      </c>
      <c r="L489" s="465"/>
      <c r="M489" s="465"/>
      <c r="N489" s="465"/>
      <c r="O489" s="465"/>
      <c r="P489" s="465"/>
      <c r="Q489" s="541"/>
      <c r="R489" s="541"/>
      <c r="S489" s="541"/>
      <c r="T489" s="541"/>
      <c r="U489" s="541"/>
      <c r="V489" s="541"/>
      <c r="W489" s="541"/>
      <c r="X489" s="541"/>
      <c r="Y489" s="541"/>
      <c r="Z489" s="541"/>
    </row>
    <row r="490" spans="1:26" ht="18.75">
      <c r="A490" s="572"/>
      <c r="B490" s="584"/>
      <c r="C490" s="584"/>
      <c r="D490" s="584"/>
      <c r="E490" s="584" t="s">
        <v>63</v>
      </c>
      <c r="F490" s="592"/>
      <c r="G490" s="726"/>
      <c r="H490" s="589"/>
      <c r="I490" s="269"/>
      <c r="J490" s="269"/>
      <c r="K490" s="465"/>
      <c r="L490" s="465"/>
      <c r="M490" s="465"/>
      <c r="N490" s="465"/>
      <c r="O490" s="465"/>
      <c r="P490" s="465"/>
      <c r="Q490" s="541"/>
      <c r="R490" s="541"/>
      <c r="S490" s="541"/>
      <c r="T490" s="541"/>
      <c r="U490" s="541"/>
      <c r="V490" s="541"/>
      <c r="W490" s="541"/>
      <c r="X490" s="541"/>
      <c r="Y490" s="541"/>
      <c r="Z490" s="541"/>
    </row>
    <row r="491" spans="1:26" ht="18.75">
      <c r="A491" s="572"/>
      <c r="B491" s="584"/>
      <c r="C491" s="584"/>
      <c r="D491" s="584"/>
      <c r="E491" s="584"/>
      <c r="F491" s="584" t="s">
        <v>213</v>
      </c>
      <c r="G491" s="726"/>
      <c r="H491" s="589" t="s">
        <v>35</v>
      </c>
      <c r="I491" s="269"/>
      <c r="J491" s="214">
        <v>0</v>
      </c>
      <c r="K491" s="465"/>
      <c r="L491" s="465"/>
      <c r="M491" s="465"/>
      <c r="N491" s="465"/>
      <c r="O491" s="465"/>
      <c r="P491" s="465"/>
      <c r="Q491" s="541"/>
      <c r="R491" s="541"/>
      <c r="S491" s="541"/>
      <c r="T491" s="541"/>
      <c r="U491" s="541"/>
      <c r="V491" s="541"/>
      <c r="W491" s="541"/>
      <c r="X491" s="541"/>
      <c r="Y491" s="541"/>
      <c r="Z491" s="541"/>
    </row>
    <row r="492" spans="1:26" ht="18.75">
      <c r="A492" s="572"/>
      <c r="B492" s="584"/>
      <c r="C492" s="584"/>
      <c r="D492" s="584"/>
      <c r="E492" s="584"/>
      <c r="F492" s="584" t="s">
        <v>214</v>
      </c>
      <c r="G492" s="726"/>
      <c r="H492" s="589" t="s">
        <v>35</v>
      </c>
      <c r="I492" s="269">
        <f ca="1">IFERROR(__xludf.DUMMYFUNCTION("IMPORTRANGE(""https://docs.google.com/spreadsheets/d/1QqKyyYR6Q21VydFLVH3TRQUabQu_ym0Zz7PgGX0-kHA/edit?usp=sharing"",""แผน!GC26"")"),1)</f>
        <v>1</v>
      </c>
      <c r="J492" s="214">
        <v>0</v>
      </c>
      <c r="K492" s="465">
        <f ca="1">IF(I492&gt;0,J492*100/I492,0)</f>
        <v>0</v>
      </c>
      <c r="L492" s="465"/>
      <c r="M492" s="465"/>
      <c r="N492" s="465"/>
      <c r="O492" s="465"/>
      <c r="P492" s="465"/>
      <c r="Q492" s="541"/>
      <c r="R492" s="541"/>
      <c r="S492" s="541"/>
      <c r="T492" s="541"/>
      <c r="U492" s="541"/>
      <c r="V492" s="541"/>
      <c r="W492" s="541"/>
      <c r="X492" s="541"/>
      <c r="Y492" s="541"/>
      <c r="Z492" s="541"/>
    </row>
    <row r="493" spans="1:26" ht="19.5">
      <c r="A493" s="572"/>
      <c r="B493" s="584"/>
      <c r="C493" s="584"/>
      <c r="D493" s="591" t="s">
        <v>59</v>
      </c>
      <c r="E493" s="584"/>
      <c r="F493" s="592"/>
      <c r="G493" s="726"/>
      <c r="H493" s="189"/>
      <c r="I493" s="269"/>
      <c r="J493" s="269"/>
      <c r="K493" s="465"/>
      <c r="L493" s="465"/>
      <c r="M493" s="465"/>
      <c r="N493" s="465"/>
      <c r="O493" s="465"/>
      <c r="P493" s="465"/>
      <c r="Q493" s="541"/>
      <c r="R493" s="541"/>
      <c r="S493" s="541"/>
      <c r="T493" s="541"/>
      <c r="U493" s="541"/>
      <c r="V493" s="541"/>
      <c r="W493" s="541"/>
      <c r="X493" s="541"/>
      <c r="Y493" s="541"/>
      <c r="Z493" s="541"/>
    </row>
    <row r="494" spans="1:26" ht="18.75">
      <c r="A494" s="572"/>
      <c r="B494" s="584"/>
      <c r="C494" s="584"/>
      <c r="D494" s="584"/>
      <c r="E494" s="584" t="s">
        <v>207</v>
      </c>
      <c r="F494" s="592"/>
      <c r="G494" s="726"/>
      <c r="H494" s="189"/>
      <c r="I494" s="269"/>
      <c r="J494" s="269"/>
      <c r="K494" s="465"/>
      <c r="L494" s="465"/>
      <c r="M494" s="465"/>
      <c r="N494" s="465"/>
      <c r="O494" s="465"/>
      <c r="P494" s="465"/>
      <c r="Q494" s="541"/>
      <c r="R494" s="541"/>
      <c r="S494" s="541"/>
      <c r="T494" s="541"/>
      <c r="U494" s="541"/>
      <c r="V494" s="541"/>
      <c r="W494" s="541"/>
      <c r="X494" s="541"/>
      <c r="Y494" s="541"/>
      <c r="Z494" s="541"/>
    </row>
    <row r="495" spans="1:26" ht="18.75">
      <c r="A495" s="572"/>
      <c r="B495" s="584"/>
      <c r="C495" s="584"/>
      <c r="D495" s="584"/>
      <c r="E495" s="584"/>
      <c r="F495" s="592" t="s">
        <v>215</v>
      </c>
      <c r="G495" s="726"/>
      <c r="H495" s="589" t="s">
        <v>46</v>
      </c>
      <c r="I495" s="269">
        <f ca="1">IFERROR(__xludf.DUMMYFUNCTION("IMPORTRANGE(""https://docs.google.com/spreadsheets/d/1QqKyyYR6Q21VydFLVH3TRQUabQu_ym0Zz7PgGX0-kHA/edit?usp=sharing"",""แผน!FY26"")"),1170)</f>
        <v>1170</v>
      </c>
      <c r="J495" s="214">
        <v>0</v>
      </c>
      <c r="K495" s="465">
        <f ca="1">IF(I495&gt;0,J495*100/I495,0)</f>
        <v>0</v>
      </c>
      <c r="L495" s="465"/>
      <c r="M495" s="465"/>
      <c r="N495" s="465"/>
      <c r="O495" s="465"/>
      <c r="P495" s="465"/>
      <c r="Q495" s="541"/>
      <c r="R495" s="541"/>
      <c r="S495" s="541"/>
      <c r="T495" s="541"/>
      <c r="U495" s="541"/>
      <c r="V495" s="541"/>
      <c r="W495" s="541"/>
      <c r="X495" s="541"/>
      <c r="Y495" s="541"/>
      <c r="Z495" s="541"/>
    </row>
    <row r="496" spans="1:26" ht="18.75">
      <c r="A496" s="572"/>
      <c r="B496" s="584"/>
      <c r="C496" s="584"/>
      <c r="D496" s="584"/>
      <c r="E496" s="584"/>
      <c r="F496" s="592" t="s">
        <v>216</v>
      </c>
      <c r="G496" s="726"/>
      <c r="H496" s="589" t="s">
        <v>46</v>
      </c>
      <c r="I496" s="269"/>
      <c r="J496" s="214">
        <v>0</v>
      </c>
      <c r="K496" s="465"/>
      <c r="L496" s="465"/>
      <c r="M496" s="465"/>
      <c r="N496" s="465"/>
      <c r="O496" s="465"/>
      <c r="P496" s="465"/>
      <c r="Q496" s="541"/>
      <c r="R496" s="541"/>
      <c r="S496" s="541"/>
      <c r="T496" s="541"/>
      <c r="U496" s="541"/>
      <c r="V496" s="541"/>
      <c r="W496" s="541"/>
      <c r="X496" s="541"/>
      <c r="Y496" s="541"/>
      <c r="Z496" s="541"/>
    </row>
    <row r="497" spans="1:26" ht="18.75">
      <c r="A497" s="572"/>
      <c r="B497" s="584"/>
      <c r="C497" s="584"/>
      <c r="D497" s="584"/>
      <c r="E497" s="584" t="s">
        <v>62</v>
      </c>
      <c r="F497" s="592"/>
      <c r="G497" s="726"/>
      <c r="H497" s="189"/>
      <c r="I497" s="269"/>
      <c r="J497" s="269"/>
      <c r="K497" s="465"/>
      <c r="L497" s="465"/>
      <c r="M497" s="465"/>
      <c r="N497" s="465"/>
      <c r="O497" s="465"/>
      <c r="P497" s="465"/>
      <c r="Q497" s="541"/>
      <c r="R497" s="541"/>
      <c r="S497" s="541"/>
      <c r="T497" s="541"/>
      <c r="U497" s="541"/>
      <c r="V497" s="541"/>
      <c r="W497" s="541"/>
      <c r="X497" s="541"/>
      <c r="Y497" s="541"/>
      <c r="Z497" s="541"/>
    </row>
    <row r="498" spans="1:26" ht="18.75">
      <c r="A498" s="572"/>
      <c r="B498" s="584"/>
      <c r="C498" s="584"/>
      <c r="D498" s="584"/>
      <c r="E498" s="592"/>
      <c r="F498" s="592" t="s">
        <v>217</v>
      </c>
      <c r="G498" s="726"/>
      <c r="H498" s="589" t="s">
        <v>46</v>
      </c>
      <c r="I498" s="269">
        <f ca="1">IFERROR(__xludf.DUMMYFUNCTION("IMPORTRANGE(""https://docs.google.com/spreadsheets/d/1QqKyyYR6Q21VydFLVH3TRQUabQu_ym0Zz7PgGX0-kHA/edit?usp=sharing"",""แผน!GA26"")"),130)</f>
        <v>130</v>
      </c>
      <c r="J498" s="214">
        <v>0</v>
      </c>
      <c r="K498" s="465">
        <f ca="1">IF(I498&gt;0,J498*100/I498,0)</f>
        <v>0</v>
      </c>
      <c r="L498" s="465"/>
      <c r="M498" s="465"/>
      <c r="N498" s="465"/>
      <c r="O498" s="465"/>
      <c r="P498" s="465"/>
      <c r="Q498" s="541"/>
      <c r="R498" s="541"/>
      <c r="S498" s="541"/>
      <c r="T498" s="541"/>
      <c r="U498" s="541"/>
      <c r="V498" s="541"/>
      <c r="W498" s="541"/>
      <c r="X498" s="541"/>
      <c r="Y498" s="541"/>
      <c r="Z498" s="541"/>
    </row>
    <row r="499" spans="1:26" ht="18.75">
      <c r="A499" s="572"/>
      <c r="B499" s="584"/>
      <c r="C499" s="584"/>
      <c r="D499" s="584"/>
      <c r="E499" s="592"/>
      <c r="F499" s="592" t="s">
        <v>218</v>
      </c>
      <c r="G499" s="726"/>
      <c r="H499" s="589" t="s">
        <v>46</v>
      </c>
      <c r="I499" s="269"/>
      <c r="J499" s="214">
        <v>0</v>
      </c>
      <c r="K499" s="465"/>
      <c r="L499" s="465"/>
      <c r="M499" s="465"/>
      <c r="N499" s="465"/>
      <c r="O499" s="465"/>
      <c r="P499" s="465"/>
      <c r="Q499" s="541"/>
      <c r="R499" s="541"/>
      <c r="S499" s="541"/>
      <c r="T499" s="541"/>
      <c r="U499" s="541"/>
      <c r="V499" s="541"/>
      <c r="W499" s="541"/>
      <c r="X499" s="541"/>
      <c r="Y499" s="541"/>
      <c r="Z499" s="541"/>
    </row>
    <row r="500" spans="1:26" ht="19.5" hidden="1">
      <c r="A500" s="593">
        <v>4</v>
      </c>
      <c r="B500" s="594" t="s">
        <v>219</v>
      </c>
      <c r="C500" s="595"/>
      <c r="D500" s="596"/>
      <c r="E500" s="596"/>
      <c r="F500" s="596"/>
      <c r="G500" s="597"/>
      <c r="H500" s="598" t="s">
        <v>109</v>
      </c>
      <c r="I500" s="599"/>
      <c r="J500" s="599">
        <f t="shared" ref="J500:J501" si="213">J516</f>
        <v>0</v>
      </c>
      <c r="K500" s="600">
        <f t="shared" ref="K500:K501" si="214">IF(I500&gt;0,J500*100/I500,0)</f>
        <v>0</v>
      </c>
      <c r="L500" s="601"/>
      <c r="M500" s="601"/>
      <c r="N500" s="601"/>
      <c r="O500" s="601"/>
      <c r="P500" s="601"/>
      <c r="Q500" s="568"/>
      <c r="R500" s="568"/>
      <c r="S500" s="568"/>
      <c r="T500" s="568"/>
      <c r="U500" s="568"/>
      <c r="V500" s="568"/>
      <c r="W500" s="568"/>
      <c r="X500" s="568"/>
      <c r="Y500" s="568"/>
      <c r="Z500" s="568"/>
    </row>
    <row r="501" spans="1:26" ht="19.5" hidden="1">
      <c r="A501" s="602"/>
      <c r="B501" s="604" t="s">
        <v>220</v>
      </c>
      <c r="C501" s="604"/>
      <c r="D501" s="605"/>
      <c r="E501" s="605"/>
      <c r="F501" s="605"/>
      <c r="G501" s="606"/>
      <c r="H501" s="607" t="s">
        <v>35</v>
      </c>
      <c r="I501" s="608"/>
      <c r="J501" s="608">
        <f t="shared" si="213"/>
        <v>0</v>
      </c>
      <c r="K501" s="609">
        <f t="shared" si="214"/>
        <v>0</v>
      </c>
      <c r="L501" s="610"/>
      <c r="M501" s="610"/>
      <c r="N501" s="610"/>
      <c r="O501" s="610"/>
      <c r="P501" s="610"/>
      <c r="Q501" s="568"/>
      <c r="R501" s="568"/>
      <c r="S501" s="568"/>
      <c r="T501" s="568"/>
      <c r="U501" s="568"/>
      <c r="V501" s="568"/>
      <c r="W501" s="568"/>
      <c r="X501" s="568"/>
      <c r="Y501" s="568"/>
      <c r="Z501" s="568"/>
    </row>
    <row r="502" spans="1:26" ht="19.5" hidden="1">
      <c r="A502" s="563"/>
      <c r="B502" s="723"/>
      <c r="C502" s="723" t="s">
        <v>16</v>
      </c>
      <c r="D502" s="812" t="s">
        <v>17</v>
      </c>
      <c r="E502" s="805"/>
      <c r="F502" s="805"/>
      <c r="G502" s="567"/>
      <c r="H502" s="612" t="s">
        <v>12</v>
      </c>
      <c r="I502" s="583"/>
      <c r="J502" s="583"/>
      <c r="K502" s="93"/>
      <c r="L502" s="613">
        <f t="shared" ref="L502:N502" si="215">L503+L504</f>
        <v>0</v>
      </c>
      <c r="M502" s="613">
        <f t="shared" si="215"/>
        <v>0</v>
      </c>
      <c r="N502" s="613">
        <f t="shared" si="215"/>
        <v>0</v>
      </c>
      <c r="O502" s="613">
        <f t="shared" ref="O502:O507" si="216">IF(L502&gt;0,N502*100/L502,0)</f>
        <v>0</v>
      </c>
      <c r="P502" s="613">
        <f t="shared" ref="P502:P507" si="217">IF(M502&gt;0,N502*100/M502,0)</f>
        <v>0</v>
      </c>
      <c r="Q502" s="568"/>
      <c r="R502" s="568"/>
      <c r="S502" s="568"/>
      <c r="T502" s="568"/>
      <c r="U502" s="568"/>
      <c r="V502" s="568"/>
      <c r="W502" s="568"/>
      <c r="X502" s="568"/>
      <c r="Y502" s="568"/>
      <c r="Z502" s="568"/>
    </row>
    <row r="503" spans="1:26" ht="18.75" hidden="1">
      <c r="A503" s="563"/>
      <c r="B503" s="723"/>
      <c r="C503" s="723"/>
      <c r="D503" s="684"/>
      <c r="E503" s="723" t="s">
        <v>184</v>
      </c>
      <c r="F503" s="723"/>
      <c r="G503" s="567"/>
      <c r="H503" s="165" t="s">
        <v>12</v>
      </c>
      <c r="I503" s="583"/>
      <c r="J503" s="583"/>
      <c r="K503" s="93"/>
      <c r="L503" s="93">
        <f t="shared" ref="L503:N504" si="218">L506+L513</f>
        <v>0</v>
      </c>
      <c r="M503" s="93">
        <f t="shared" si="218"/>
        <v>0</v>
      </c>
      <c r="N503" s="93">
        <f t="shared" si="218"/>
        <v>0</v>
      </c>
      <c r="O503" s="93">
        <f t="shared" si="216"/>
        <v>0</v>
      </c>
      <c r="P503" s="93">
        <f t="shared" si="217"/>
        <v>0</v>
      </c>
      <c r="Q503" s="568"/>
      <c r="R503" s="568"/>
      <c r="S503" s="568"/>
      <c r="T503" s="568"/>
      <c r="U503" s="568"/>
      <c r="V503" s="568"/>
      <c r="W503" s="568"/>
      <c r="X503" s="568"/>
      <c r="Y503" s="568"/>
      <c r="Z503" s="568"/>
    </row>
    <row r="504" spans="1:26" ht="18.75" hidden="1">
      <c r="A504" s="563"/>
      <c r="B504" s="571"/>
      <c r="C504" s="723"/>
      <c r="D504" s="684"/>
      <c r="E504" s="723" t="s">
        <v>185</v>
      </c>
      <c r="F504" s="723"/>
      <c r="G504" s="567"/>
      <c r="H504" s="165" t="s">
        <v>12</v>
      </c>
      <c r="I504" s="583"/>
      <c r="J504" s="583"/>
      <c r="K504" s="93"/>
      <c r="L504" s="93">
        <f t="shared" si="218"/>
        <v>0</v>
      </c>
      <c r="M504" s="93">
        <f t="shared" si="218"/>
        <v>0</v>
      </c>
      <c r="N504" s="93">
        <f t="shared" si="218"/>
        <v>0</v>
      </c>
      <c r="O504" s="93">
        <f t="shared" si="216"/>
        <v>0</v>
      </c>
      <c r="P504" s="93">
        <f t="shared" si="217"/>
        <v>0</v>
      </c>
      <c r="Q504" s="568"/>
      <c r="R504" s="568"/>
      <c r="S504" s="568"/>
      <c r="T504" s="568"/>
      <c r="U504" s="568"/>
      <c r="V504" s="568"/>
      <c r="W504" s="568"/>
      <c r="X504" s="568"/>
      <c r="Y504" s="568"/>
      <c r="Z504" s="568"/>
    </row>
    <row r="505" spans="1:26" ht="18.75" hidden="1">
      <c r="A505" s="563"/>
      <c r="B505" s="571"/>
      <c r="C505" s="723"/>
      <c r="D505" s="614" t="s">
        <v>20</v>
      </c>
      <c r="E505" s="723"/>
      <c r="F505" s="723"/>
      <c r="G505" s="567"/>
      <c r="H505" s="165" t="s">
        <v>12</v>
      </c>
      <c r="I505" s="166"/>
      <c r="J505" s="166"/>
      <c r="K505" s="167"/>
      <c r="L505" s="93">
        <f t="shared" ref="L505:N505" si="219">L506+L507</f>
        <v>0</v>
      </c>
      <c r="M505" s="93">
        <f t="shared" si="219"/>
        <v>0</v>
      </c>
      <c r="N505" s="93">
        <f t="shared" si="219"/>
        <v>0</v>
      </c>
      <c r="O505" s="93">
        <f t="shared" si="216"/>
        <v>0</v>
      </c>
      <c r="P505" s="93">
        <f t="shared" si="217"/>
        <v>0</v>
      </c>
      <c r="Q505" s="568"/>
      <c r="R505" s="568"/>
      <c r="S505" s="568"/>
      <c r="T505" s="568"/>
      <c r="U505" s="568"/>
      <c r="V505" s="568"/>
      <c r="W505" s="568"/>
      <c r="X505" s="568"/>
      <c r="Y505" s="568"/>
      <c r="Z505" s="568"/>
    </row>
    <row r="506" spans="1:26" ht="18.75" hidden="1">
      <c r="A506" s="563"/>
      <c r="B506" s="571"/>
      <c r="C506" s="723"/>
      <c r="D506" s="684"/>
      <c r="E506" s="723" t="s">
        <v>184</v>
      </c>
      <c r="F506" s="723"/>
      <c r="G506" s="567"/>
      <c r="H506" s="165" t="s">
        <v>12</v>
      </c>
      <c r="I506" s="583"/>
      <c r="J506" s="583"/>
      <c r="K506" s="93"/>
      <c r="L506" s="93">
        <v>0</v>
      </c>
      <c r="M506" s="93">
        <v>0</v>
      </c>
      <c r="N506" s="93">
        <v>0</v>
      </c>
      <c r="O506" s="93">
        <f t="shared" si="216"/>
        <v>0</v>
      </c>
      <c r="P506" s="93">
        <f t="shared" si="217"/>
        <v>0</v>
      </c>
      <c r="Q506" s="568"/>
      <c r="R506" s="568"/>
      <c r="S506" s="568"/>
      <c r="T506" s="568"/>
      <c r="U506" s="568"/>
      <c r="V506" s="568"/>
      <c r="W506" s="568"/>
      <c r="X506" s="568"/>
      <c r="Y506" s="568"/>
      <c r="Z506" s="568"/>
    </row>
    <row r="507" spans="1:26" ht="18.75" hidden="1">
      <c r="A507" s="563"/>
      <c r="B507" s="571"/>
      <c r="C507" s="723"/>
      <c r="D507" s="684"/>
      <c r="E507" s="723" t="s">
        <v>185</v>
      </c>
      <c r="F507" s="723"/>
      <c r="G507" s="567"/>
      <c r="H507" s="165" t="s">
        <v>12</v>
      </c>
      <c r="I507" s="583"/>
      <c r="J507" s="583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6"/>
        <v>0</v>
      </c>
      <c r="P507" s="93">
        <f t="shared" si="217"/>
        <v>0</v>
      </c>
      <c r="Q507" s="568"/>
      <c r="R507" s="568"/>
      <c r="S507" s="568"/>
      <c r="T507" s="568"/>
      <c r="U507" s="568"/>
      <c r="V507" s="568"/>
      <c r="W507" s="568"/>
      <c r="X507" s="568"/>
      <c r="Y507" s="568"/>
      <c r="Z507" s="568"/>
    </row>
    <row r="508" spans="1:26" ht="18.75" hidden="1">
      <c r="A508" s="615"/>
      <c r="B508" s="571"/>
      <c r="C508" s="723"/>
      <c r="D508" s="723"/>
      <c r="E508" s="723"/>
      <c r="F508" s="723" t="s">
        <v>186</v>
      </c>
      <c r="G508" s="567"/>
      <c r="H508" s="165" t="s">
        <v>12</v>
      </c>
      <c r="I508" s="583"/>
      <c r="J508" s="583"/>
      <c r="K508" s="93"/>
      <c r="L508" s="93"/>
      <c r="M508" s="93"/>
      <c r="N508" s="93">
        <v>0</v>
      </c>
      <c r="O508" s="93"/>
      <c r="P508" s="93"/>
      <c r="Q508" s="568"/>
      <c r="R508" s="568"/>
      <c r="S508" s="568"/>
      <c r="T508" s="568"/>
      <c r="U508" s="568"/>
      <c r="V508" s="568"/>
      <c r="W508" s="568"/>
      <c r="X508" s="568"/>
      <c r="Y508" s="568"/>
      <c r="Z508" s="568"/>
    </row>
    <row r="509" spans="1:26" ht="18.75" hidden="1">
      <c r="A509" s="615"/>
      <c r="B509" s="571"/>
      <c r="C509" s="723"/>
      <c r="D509" s="723"/>
      <c r="E509" s="723"/>
      <c r="F509" s="723" t="s">
        <v>187</v>
      </c>
      <c r="G509" s="567"/>
      <c r="H509" s="165" t="s">
        <v>12</v>
      </c>
      <c r="I509" s="583"/>
      <c r="J509" s="583"/>
      <c r="K509" s="93"/>
      <c r="L509" s="93"/>
      <c r="M509" s="93"/>
      <c r="N509" s="93">
        <v>0</v>
      </c>
      <c r="O509" s="93"/>
      <c r="P509" s="93"/>
      <c r="Q509" s="568"/>
      <c r="R509" s="568"/>
      <c r="S509" s="568"/>
      <c r="T509" s="568"/>
      <c r="U509" s="568"/>
      <c r="V509" s="568"/>
      <c r="W509" s="568"/>
      <c r="X509" s="568"/>
      <c r="Y509" s="568"/>
      <c r="Z509" s="568"/>
    </row>
    <row r="510" spans="1:26" ht="18.75" hidden="1">
      <c r="A510" s="615"/>
      <c r="B510" s="571"/>
      <c r="C510" s="571"/>
      <c r="D510" s="571"/>
      <c r="E510" s="723"/>
      <c r="F510" s="723" t="s">
        <v>188</v>
      </c>
      <c r="G510" s="567"/>
      <c r="H510" s="165" t="s">
        <v>12</v>
      </c>
      <c r="I510" s="583"/>
      <c r="J510" s="583"/>
      <c r="K510" s="93"/>
      <c r="L510" s="93"/>
      <c r="M510" s="93"/>
      <c r="N510" s="93">
        <v>0</v>
      </c>
      <c r="O510" s="93"/>
      <c r="P510" s="93"/>
      <c r="Q510" s="568"/>
      <c r="R510" s="568"/>
      <c r="S510" s="568"/>
      <c r="T510" s="568"/>
      <c r="U510" s="568"/>
      <c r="V510" s="568"/>
      <c r="W510" s="568"/>
      <c r="X510" s="568"/>
      <c r="Y510" s="568"/>
      <c r="Z510" s="568"/>
    </row>
    <row r="511" spans="1:26" ht="18.75" hidden="1">
      <c r="A511" s="615"/>
      <c r="B511" s="571"/>
      <c r="C511" s="571"/>
      <c r="D511" s="571"/>
      <c r="E511" s="723"/>
      <c r="F511" s="723" t="s">
        <v>189</v>
      </c>
      <c r="G511" s="567"/>
      <c r="H511" s="165" t="s">
        <v>12</v>
      </c>
      <c r="I511" s="583"/>
      <c r="J511" s="583"/>
      <c r="K511" s="93"/>
      <c r="L511" s="93"/>
      <c r="M511" s="93"/>
      <c r="N511" s="93">
        <v>0</v>
      </c>
      <c r="O511" s="93"/>
      <c r="P511" s="93"/>
      <c r="Q511" s="568"/>
      <c r="R511" s="568"/>
      <c r="S511" s="568"/>
      <c r="T511" s="568"/>
      <c r="U511" s="568"/>
      <c r="V511" s="568"/>
      <c r="W511" s="568"/>
      <c r="X511" s="568"/>
      <c r="Y511" s="568"/>
      <c r="Z511" s="568"/>
    </row>
    <row r="512" spans="1:26" ht="18.75" hidden="1">
      <c r="A512" s="563"/>
      <c r="B512" s="571"/>
      <c r="C512" s="571"/>
      <c r="D512" s="614" t="s">
        <v>21</v>
      </c>
      <c r="E512" s="571"/>
      <c r="F512" s="723"/>
      <c r="G512" s="567"/>
      <c r="H512" s="169" t="s">
        <v>12</v>
      </c>
      <c r="I512" s="166"/>
      <c r="J512" s="166"/>
      <c r="K512" s="167"/>
      <c r="L512" s="93">
        <f t="shared" ref="L512:N512" si="220">L513+L514</f>
        <v>0</v>
      </c>
      <c r="M512" s="93">
        <f t="shared" si="220"/>
        <v>0</v>
      </c>
      <c r="N512" s="93">
        <f t="shared" si="220"/>
        <v>0</v>
      </c>
      <c r="O512" s="93">
        <f t="shared" ref="O512:O514" si="221">IF(L512&gt;0,N512*100/L512,0)</f>
        <v>0</v>
      </c>
      <c r="P512" s="93">
        <f t="shared" ref="P512:P514" si="222">IF(M512&gt;0,N512*100/M512,0)</f>
        <v>0</v>
      </c>
      <c r="Q512" s="568"/>
      <c r="R512" s="568"/>
      <c r="S512" s="568"/>
      <c r="T512" s="568"/>
      <c r="U512" s="568"/>
      <c r="V512" s="568"/>
      <c r="W512" s="568"/>
      <c r="X512" s="568"/>
      <c r="Y512" s="568"/>
      <c r="Z512" s="568"/>
    </row>
    <row r="513" spans="1:26" ht="18.75" hidden="1">
      <c r="A513" s="563"/>
      <c r="B513" s="571"/>
      <c r="C513" s="571"/>
      <c r="D513" s="571"/>
      <c r="E513" s="571" t="s">
        <v>18</v>
      </c>
      <c r="F513" s="723"/>
      <c r="G513" s="567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1"/>
        <v>0</v>
      </c>
      <c r="P513" s="93">
        <f t="shared" si="222"/>
        <v>0</v>
      </c>
      <c r="Q513" s="568"/>
      <c r="R513" s="568"/>
      <c r="S513" s="568"/>
      <c r="T513" s="568"/>
      <c r="U513" s="568"/>
      <c r="V513" s="568"/>
      <c r="W513" s="568"/>
      <c r="X513" s="568"/>
      <c r="Y513" s="568"/>
      <c r="Z513" s="568"/>
    </row>
    <row r="514" spans="1:26" ht="18.75" hidden="1">
      <c r="A514" s="563"/>
      <c r="B514" s="571"/>
      <c r="C514" s="571"/>
      <c r="D514" s="723"/>
      <c r="E514" s="571" t="s">
        <v>19</v>
      </c>
      <c r="F514" s="723"/>
      <c r="G514" s="567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1"/>
        <v>0</v>
      </c>
      <c r="P514" s="93">
        <f t="shared" si="222"/>
        <v>0</v>
      </c>
      <c r="Q514" s="568"/>
      <c r="R514" s="568"/>
      <c r="S514" s="568"/>
      <c r="T514" s="568"/>
      <c r="U514" s="568"/>
      <c r="V514" s="568"/>
      <c r="W514" s="568"/>
      <c r="X514" s="568"/>
      <c r="Y514" s="568"/>
      <c r="Z514" s="568"/>
    </row>
    <row r="515" spans="1:26" ht="19.5" hidden="1">
      <c r="A515" s="578"/>
      <c r="B515" s="580"/>
      <c r="C515" s="571" t="s">
        <v>16</v>
      </c>
      <c r="D515" s="852" t="s">
        <v>38</v>
      </c>
      <c r="E515" s="617"/>
      <c r="F515" s="617"/>
      <c r="G515" s="618"/>
      <c r="H515" s="581"/>
      <c r="I515" s="166"/>
      <c r="J515" s="166"/>
      <c r="K515" s="167"/>
      <c r="L515" s="167"/>
      <c r="M515" s="167"/>
      <c r="N515" s="167"/>
      <c r="O515" s="167"/>
      <c r="P515" s="167"/>
      <c r="Q515" s="568"/>
      <c r="R515" s="568"/>
      <c r="S515" s="568"/>
      <c r="T515" s="568"/>
      <c r="U515" s="568"/>
      <c r="V515" s="568"/>
      <c r="W515" s="568"/>
      <c r="X515" s="568"/>
      <c r="Y515" s="568"/>
      <c r="Z515" s="568"/>
    </row>
    <row r="516" spans="1:26" ht="18.75" hidden="1">
      <c r="A516" s="578"/>
      <c r="B516" s="580"/>
      <c r="C516" s="580"/>
      <c r="D516" s="580" t="s">
        <v>221</v>
      </c>
      <c r="E516" s="684"/>
      <c r="F516" s="684"/>
      <c r="G516" s="581"/>
      <c r="H516" s="619" t="s">
        <v>109</v>
      </c>
      <c r="I516" s="583"/>
      <c r="J516" s="583">
        <v>0</v>
      </c>
      <c r="K516" s="167">
        <f t="shared" ref="K516:K517" si="223">IF(I516&gt;0,J516*100/I516,0)</f>
        <v>0</v>
      </c>
      <c r="L516" s="167"/>
      <c r="M516" s="167"/>
      <c r="N516" s="167"/>
      <c r="O516" s="167"/>
      <c r="P516" s="167"/>
      <c r="Q516" s="568"/>
      <c r="R516" s="568"/>
      <c r="S516" s="568"/>
      <c r="T516" s="568"/>
      <c r="U516" s="568"/>
      <c r="V516" s="568"/>
      <c r="W516" s="568"/>
      <c r="X516" s="568"/>
      <c r="Y516" s="568"/>
      <c r="Z516" s="568"/>
    </row>
    <row r="517" spans="1:26" ht="19.5" hidden="1">
      <c r="A517" s="578"/>
      <c r="B517" s="580"/>
      <c r="C517" s="580"/>
      <c r="D517" s="580" t="s">
        <v>222</v>
      </c>
      <c r="E517" s="684"/>
      <c r="F517" s="684"/>
      <c r="G517" s="581"/>
      <c r="H517" s="620" t="s">
        <v>35</v>
      </c>
      <c r="I517" s="621"/>
      <c r="J517" s="621">
        <f>J518+J519</f>
        <v>0</v>
      </c>
      <c r="K517" s="622">
        <f t="shared" si="223"/>
        <v>0</v>
      </c>
      <c r="L517" s="167"/>
      <c r="M517" s="167"/>
      <c r="N517" s="167"/>
      <c r="O517" s="167"/>
      <c r="P517" s="167"/>
      <c r="Q517" s="568"/>
      <c r="R517" s="568"/>
      <c r="S517" s="568"/>
      <c r="T517" s="568"/>
      <c r="U517" s="568"/>
      <c r="V517" s="568"/>
      <c r="W517" s="568"/>
      <c r="X517" s="568"/>
      <c r="Y517" s="568"/>
      <c r="Z517" s="568"/>
    </row>
    <row r="518" spans="1:26" ht="18.75" hidden="1">
      <c r="A518" s="578"/>
      <c r="B518" s="580"/>
      <c r="C518" s="580"/>
      <c r="D518" s="580"/>
      <c r="E518" s="580" t="s">
        <v>223</v>
      </c>
      <c r="F518" s="684"/>
      <c r="G518" s="581"/>
      <c r="H518" s="582" t="s">
        <v>35</v>
      </c>
      <c r="I518" s="583"/>
      <c r="J518" s="583"/>
      <c r="K518" s="167"/>
      <c r="L518" s="167"/>
      <c r="M518" s="167"/>
      <c r="N518" s="167"/>
      <c r="O518" s="167"/>
      <c r="P518" s="167"/>
      <c r="Q518" s="568"/>
      <c r="R518" s="568"/>
      <c r="S518" s="568"/>
      <c r="T518" s="568"/>
      <c r="U518" s="568"/>
      <c r="V518" s="568"/>
      <c r="W518" s="568"/>
      <c r="X518" s="568"/>
      <c r="Y518" s="568"/>
      <c r="Z518" s="568"/>
    </row>
    <row r="519" spans="1:26" ht="18.75" hidden="1">
      <c r="A519" s="578"/>
      <c r="B519" s="580"/>
      <c r="C519" s="580"/>
      <c r="D519" s="580"/>
      <c r="E519" s="580" t="s">
        <v>224</v>
      </c>
      <c r="F519" s="684"/>
      <c r="G519" s="581"/>
      <c r="H519" s="619" t="s">
        <v>35</v>
      </c>
      <c r="I519" s="583"/>
      <c r="J519" s="583"/>
      <c r="K519" s="167"/>
      <c r="L519" s="167"/>
      <c r="M519" s="167"/>
      <c r="N519" s="167"/>
      <c r="O519" s="167"/>
      <c r="P519" s="167"/>
      <c r="Q519" s="568"/>
      <c r="R519" s="568"/>
      <c r="S519" s="568"/>
      <c r="T519" s="568"/>
      <c r="U519" s="568"/>
      <c r="V519" s="568"/>
      <c r="W519" s="568"/>
      <c r="X519" s="568"/>
      <c r="Y519" s="568"/>
      <c r="Z519" s="568"/>
    </row>
    <row r="520" spans="1:26" ht="19.5">
      <c r="A520" s="623" t="s">
        <v>137</v>
      </c>
      <c r="B520" s="624"/>
      <c r="C520" s="624"/>
      <c r="D520" s="625"/>
      <c r="E520" s="625"/>
      <c r="F520" s="625"/>
      <c r="G520" s="626"/>
      <c r="H520" s="627"/>
      <c r="I520" s="628"/>
      <c r="J520" s="628"/>
      <c r="K520" s="629"/>
      <c r="L520" s="629"/>
      <c r="M520" s="629"/>
      <c r="N520" s="629"/>
      <c r="O520" s="629"/>
      <c r="P520" s="629"/>
    </row>
    <row r="521" spans="1:26" ht="19.5" hidden="1">
      <c r="A521" s="630">
        <v>5</v>
      </c>
      <c r="B521" s="631" t="s">
        <v>225</v>
      </c>
      <c r="C521" s="632"/>
      <c r="D521" s="633"/>
      <c r="E521" s="633"/>
      <c r="F521" s="633"/>
      <c r="G521" s="633"/>
      <c r="H521" s="634"/>
      <c r="I521" s="635"/>
      <c r="J521" s="635"/>
      <c r="K521" s="636"/>
      <c r="L521" s="636"/>
      <c r="M521" s="636"/>
      <c r="N521" s="636"/>
      <c r="O521" s="636"/>
      <c r="P521" s="636"/>
      <c r="Q521" s="541"/>
      <c r="R521" s="541"/>
      <c r="S521" s="541"/>
      <c r="T521" s="541"/>
      <c r="U521" s="541"/>
      <c r="V521" s="541"/>
      <c r="W521" s="541"/>
      <c r="X521" s="541"/>
      <c r="Y521" s="541"/>
      <c r="Z521" s="541"/>
    </row>
    <row r="522" spans="1:26" ht="19.5" hidden="1">
      <c r="A522" s="637"/>
      <c r="B522" s="638" t="s">
        <v>226</v>
      </c>
      <c r="C522" s="639"/>
      <c r="D522" s="639"/>
      <c r="E522" s="639"/>
      <c r="F522" s="639"/>
      <c r="G522" s="640"/>
      <c r="H522" s="641" t="s">
        <v>35</v>
      </c>
      <c r="I522" s="672">
        <f t="shared" ref="I522:J522" ca="1" si="224">I537</f>
        <v>0</v>
      </c>
      <c r="J522" s="672">
        <f t="shared" ca="1" si="224"/>
        <v>0</v>
      </c>
      <c r="K522" s="643">
        <f ca="1">IF(I522&gt;0,J522*100/I522,0)</f>
        <v>0</v>
      </c>
      <c r="L522" s="644"/>
      <c r="M522" s="644"/>
      <c r="N522" s="644"/>
      <c r="O522" s="644"/>
      <c r="P522" s="644"/>
      <c r="Q522" s="541"/>
      <c r="R522" s="541"/>
      <c r="S522" s="541"/>
      <c r="T522" s="541"/>
      <c r="U522" s="541"/>
      <c r="V522" s="541"/>
      <c r="W522" s="541"/>
      <c r="X522" s="541"/>
      <c r="Y522" s="541"/>
      <c r="Z522" s="541"/>
    </row>
    <row r="523" spans="1:26" ht="19.5" hidden="1">
      <c r="A523" s="561"/>
      <c r="B523" s="727"/>
      <c r="C523" s="727" t="s">
        <v>16</v>
      </c>
      <c r="D523" s="811" t="s">
        <v>17</v>
      </c>
      <c r="E523" s="805"/>
      <c r="F523" s="805"/>
      <c r="G523" s="189"/>
      <c r="H523" s="562" t="s">
        <v>12</v>
      </c>
      <c r="I523" s="269"/>
      <c r="J523" s="269"/>
      <c r="K523" s="465"/>
      <c r="L523" s="195">
        <f t="shared" ref="L523:N523" ca="1" si="225">L524+L525</f>
        <v>0</v>
      </c>
      <c r="M523" s="195">
        <f t="shared" si="225"/>
        <v>0</v>
      </c>
      <c r="N523" s="195">
        <f t="shared" si="225"/>
        <v>0</v>
      </c>
      <c r="O523" s="195">
        <f t="shared" ref="O523:O528" ca="1" si="226">IF(L523&gt;0,N523*100/L523,0)</f>
        <v>0</v>
      </c>
      <c r="P523" s="195">
        <f t="shared" ref="P523:P528" si="227">IF(M523&gt;0,N523*100/M523,0)</f>
        <v>0</v>
      </c>
      <c r="Q523" s="541"/>
      <c r="R523" s="541"/>
      <c r="S523" s="541"/>
      <c r="T523" s="541"/>
      <c r="U523" s="541"/>
      <c r="V523" s="541"/>
      <c r="W523" s="541"/>
      <c r="X523" s="541"/>
      <c r="Y523" s="541"/>
      <c r="Z523" s="541"/>
    </row>
    <row r="524" spans="1:26" ht="18.75" hidden="1">
      <c r="A524" s="563"/>
      <c r="B524" s="723"/>
      <c r="C524" s="723"/>
      <c r="D524" s="684"/>
      <c r="E524" s="723" t="s">
        <v>184</v>
      </c>
      <c r="F524" s="723"/>
      <c r="G524" s="567"/>
      <c r="H524" s="165" t="s">
        <v>12</v>
      </c>
      <c r="I524" s="583"/>
      <c r="J524" s="583"/>
      <c r="K524" s="93"/>
      <c r="L524" s="93">
        <f t="shared" ref="L524:N525" si="228">L527+L534</f>
        <v>0</v>
      </c>
      <c r="M524" s="93">
        <f t="shared" si="228"/>
        <v>0</v>
      </c>
      <c r="N524" s="93">
        <f t="shared" si="228"/>
        <v>0</v>
      </c>
      <c r="O524" s="93">
        <f t="shared" si="226"/>
        <v>0</v>
      </c>
      <c r="P524" s="93">
        <f t="shared" si="227"/>
        <v>0</v>
      </c>
      <c r="Q524" s="568"/>
      <c r="R524" s="568"/>
      <c r="S524" s="568"/>
      <c r="T524" s="568"/>
      <c r="U524" s="568"/>
      <c r="V524" s="568"/>
      <c r="W524" s="568"/>
      <c r="X524" s="568"/>
      <c r="Y524" s="568"/>
      <c r="Z524" s="568"/>
    </row>
    <row r="525" spans="1:26" ht="18.75" hidden="1">
      <c r="A525" s="563"/>
      <c r="B525" s="571"/>
      <c r="C525" s="723"/>
      <c r="D525" s="684"/>
      <c r="E525" s="723" t="s">
        <v>185</v>
      </c>
      <c r="F525" s="723"/>
      <c r="G525" s="567"/>
      <c r="H525" s="165" t="s">
        <v>12</v>
      </c>
      <c r="I525" s="583"/>
      <c r="J525" s="583"/>
      <c r="K525" s="93"/>
      <c r="L525" s="93">
        <f t="shared" ca="1" si="228"/>
        <v>0</v>
      </c>
      <c r="M525" s="93">
        <f t="shared" si="228"/>
        <v>0</v>
      </c>
      <c r="N525" s="93">
        <f t="shared" si="228"/>
        <v>0</v>
      </c>
      <c r="O525" s="93">
        <f t="shared" ca="1" si="226"/>
        <v>0</v>
      </c>
      <c r="P525" s="93">
        <f t="shared" si="227"/>
        <v>0</v>
      </c>
      <c r="Q525" s="568"/>
      <c r="R525" s="568"/>
      <c r="S525" s="568"/>
      <c r="T525" s="568"/>
      <c r="U525" s="568"/>
      <c r="V525" s="568"/>
      <c r="W525" s="568"/>
      <c r="X525" s="568"/>
      <c r="Y525" s="568"/>
      <c r="Z525" s="568"/>
    </row>
    <row r="526" spans="1:26" ht="18.75" hidden="1">
      <c r="A526" s="561"/>
      <c r="B526" s="538"/>
      <c r="C526" s="727"/>
      <c r="D526" s="570" t="s">
        <v>20</v>
      </c>
      <c r="E526" s="727"/>
      <c r="F526" s="727"/>
      <c r="G526" s="189"/>
      <c r="H526" s="161" t="s">
        <v>12</v>
      </c>
      <c r="I526" s="184"/>
      <c r="J526" s="184"/>
      <c r="K526" s="163"/>
      <c r="L526" s="465">
        <f t="shared" ref="L526:N526" ca="1" si="229">L527+L528</f>
        <v>0</v>
      </c>
      <c r="M526" s="465">
        <f t="shared" si="229"/>
        <v>0</v>
      </c>
      <c r="N526" s="465">
        <f t="shared" si="229"/>
        <v>0</v>
      </c>
      <c r="O526" s="465">
        <f t="shared" ca="1" si="226"/>
        <v>0</v>
      </c>
      <c r="P526" s="465">
        <f t="shared" si="227"/>
        <v>0</v>
      </c>
      <c r="Q526" s="541"/>
      <c r="R526" s="541"/>
      <c r="S526" s="541"/>
      <c r="T526" s="541"/>
      <c r="U526" s="541"/>
      <c r="V526" s="541"/>
      <c r="W526" s="541"/>
      <c r="X526" s="541"/>
      <c r="Y526" s="541"/>
      <c r="Z526" s="541"/>
    </row>
    <row r="527" spans="1:26" ht="18.75" hidden="1">
      <c r="A527" s="563"/>
      <c r="B527" s="571"/>
      <c r="C527" s="723"/>
      <c r="D527" s="684"/>
      <c r="E527" s="723" t="s">
        <v>184</v>
      </c>
      <c r="F527" s="723"/>
      <c r="G527" s="567"/>
      <c r="H527" s="165" t="s">
        <v>12</v>
      </c>
      <c r="I527" s="583"/>
      <c r="J527" s="583"/>
      <c r="K527" s="93"/>
      <c r="L527" s="93">
        <v>0</v>
      </c>
      <c r="M527" s="93">
        <v>0</v>
      </c>
      <c r="N527" s="93">
        <v>0</v>
      </c>
      <c r="O527" s="93">
        <f t="shared" si="226"/>
        <v>0</v>
      </c>
      <c r="P527" s="93">
        <f t="shared" si="227"/>
        <v>0</v>
      </c>
      <c r="Q527" s="568"/>
      <c r="R527" s="568"/>
      <c r="S527" s="568"/>
      <c r="T527" s="568"/>
      <c r="U527" s="568"/>
      <c r="V527" s="568"/>
      <c r="W527" s="568"/>
      <c r="X527" s="568"/>
      <c r="Y527" s="568"/>
      <c r="Z527" s="568"/>
    </row>
    <row r="528" spans="1:26" ht="18.75" hidden="1">
      <c r="A528" s="563"/>
      <c r="B528" s="571"/>
      <c r="C528" s="723"/>
      <c r="D528" s="684"/>
      <c r="E528" s="723" t="s">
        <v>185</v>
      </c>
      <c r="F528" s="723"/>
      <c r="G528" s="567"/>
      <c r="H528" s="165" t="s">
        <v>12</v>
      </c>
      <c r="I528" s="583"/>
      <c r="J528" s="583"/>
      <c r="K528" s="93"/>
      <c r="L528" s="93">
        <f ca="1">IFERROR(__xludf.DUMMYFUNCTION("IMPORTRANGE(""https://docs.google.com/spreadsheets/d/1QqKyyYR6Q21VydFLVH3TRQUabQu_ym0Zz7PgGX0-kHA/edit?usp=sharing"",""แผน!GQ26"")"),0)</f>
        <v>0</v>
      </c>
      <c r="M528" s="93">
        <v>0</v>
      </c>
      <c r="N528" s="93">
        <f>N529+N530+N531+N532</f>
        <v>0</v>
      </c>
      <c r="O528" s="93">
        <f t="shared" ca="1" si="226"/>
        <v>0</v>
      </c>
      <c r="P528" s="93">
        <f t="shared" si="227"/>
        <v>0</v>
      </c>
      <c r="Q528" s="568"/>
      <c r="R528" s="568"/>
      <c r="S528" s="568"/>
      <c r="T528" s="568"/>
      <c r="U528" s="568"/>
      <c r="V528" s="568"/>
      <c r="W528" s="568"/>
      <c r="X528" s="568"/>
      <c r="Y528" s="568"/>
      <c r="Z528" s="568"/>
    </row>
    <row r="529" spans="1:26" ht="18.75" hidden="1">
      <c r="A529" s="537"/>
      <c r="B529" s="538"/>
      <c r="C529" s="727"/>
      <c r="D529" s="727"/>
      <c r="E529" s="727"/>
      <c r="F529" s="727" t="s">
        <v>186</v>
      </c>
      <c r="G529" s="189"/>
      <c r="H529" s="161" t="s">
        <v>12</v>
      </c>
      <c r="I529" s="269"/>
      <c r="J529" s="269"/>
      <c r="K529" s="465"/>
      <c r="L529" s="465"/>
      <c r="M529" s="465"/>
      <c r="N529" s="789">
        <v>0</v>
      </c>
      <c r="O529" s="465"/>
      <c r="P529" s="465"/>
      <c r="Q529" s="541"/>
      <c r="R529" s="541"/>
      <c r="S529" s="541"/>
      <c r="T529" s="541"/>
      <c r="U529" s="541"/>
      <c r="V529" s="541"/>
      <c r="W529" s="541"/>
      <c r="X529" s="541"/>
      <c r="Y529" s="541"/>
      <c r="Z529" s="541"/>
    </row>
    <row r="530" spans="1:26" ht="18.75" hidden="1">
      <c r="A530" s="537"/>
      <c r="B530" s="538"/>
      <c r="C530" s="727"/>
      <c r="D530" s="727"/>
      <c r="E530" s="727"/>
      <c r="F530" s="727" t="s">
        <v>187</v>
      </c>
      <c r="G530" s="189"/>
      <c r="H530" s="161" t="s">
        <v>12</v>
      </c>
      <c r="I530" s="269"/>
      <c r="J530" s="269"/>
      <c r="K530" s="465"/>
      <c r="L530" s="465"/>
      <c r="M530" s="465"/>
      <c r="N530" s="789">
        <v>0</v>
      </c>
      <c r="O530" s="465"/>
      <c r="P530" s="465"/>
      <c r="Q530" s="541"/>
      <c r="R530" s="541"/>
      <c r="S530" s="541"/>
      <c r="T530" s="541"/>
      <c r="U530" s="541"/>
      <c r="V530" s="541"/>
      <c r="W530" s="541"/>
      <c r="X530" s="541"/>
      <c r="Y530" s="541"/>
      <c r="Z530" s="541"/>
    </row>
    <row r="531" spans="1:26" ht="18.75" hidden="1">
      <c r="A531" s="537"/>
      <c r="B531" s="538"/>
      <c r="C531" s="727"/>
      <c r="D531" s="727"/>
      <c r="E531" s="727"/>
      <c r="F531" s="727" t="s">
        <v>188</v>
      </c>
      <c r="G531" s="189"/>
      <c r="H531" s="161" t="s">
        <v>12</v>
      </c>
      <c r="I531" s="269"/>
      <c r="J531" s="269"/>
      <c r="K531" s="465"/>
      <c r="L531" s="465"/>
      <c r="M531" s="465"/>
      <c r="N531" s="789">
        <v>0</v>
      </c>
      <c r="O531" s="465"/>
      <c r="P531" s="465"/>
      <c r="Q531" s="541"/>
      <c r="R531" s="541"/>
      <c r="S531" s="541"/>
      <c r="T531" s="541"/>
      <c r="U531" s="541"/>
      <c r="V531" s="541"/>
      <c r="W531" s="541"/>
      <c r="X531" s="541"/>
      <c r="Y531" s="541"/>
      <c r="Z531" s="541"/>
    </row>
    <row r="532" spans="1:26" ht="18.75" hidden="1">
      <c r="A532" s="537"/>
      <c r="B532" s="538"/>
      <c r="C532" s="727"/>
      <c r="D532" s="727"/>
      <c r="E532" s="727"/>
      <c r="F532" s="727" t="s">
        <v>189</v>
      </c>
      <c r="G532" s="189"/>
      <c r="H532" s="161" t="s">
        <v>12</v>
      </c>
      <c r="I532" s="269"/>
      <c r="J532" s="269"/>
      <c r="K532" s="465"/>
      <c r="L532" s="465"/>
      <c r="M532" s="465"/>
      <c r="N532" s="789">
        <v>0</v>
      </c>
      <c r="O532" s="465"/>
      <c r="P532" s="465"/>
      <c r="Q532" s="541"/>
      <c r="R532" s="541"/>
      <c r="S532" s="541"/>
      <c r="T532" s="541"/>
      <c r="U532" s="541"/>
      <c r="V532" s="541"/>
      <c r="W532" s="541"/>
      <c r="X532" s="541"/>
      <c r="Y532" s="541"/>
      <c r="Z532" s="541"/>
    </row>
    <row r="533" spans="1:26" ht="18.75" hidden="1">
      <c r="A533" s="561"/>
      <c r="B533" s="538"/>
      <c r="C533" s="727"/>
      <c r="D533" s="570" t="s">
        <v>21</v>
      </c>
      <c r="E533" s="727"/>
      <c r="F533" s="727"/>
      <c r="G533" s="189"/>
      <c r="H533" s="168" t="s">
        <v>12</v>
      </c>
      <c r="I533" s="184"/>
      <c r="J533" s="184"/>
      <c r="K533" s="163"/>
      <c r="L533" s="465">
        <f t="shared" ref="L533:N533" ca="1" si="230">L534+L535</f>
        <v>0</v>
      </c>
      <c r="M533" s="465">
        <f t="shared" si="230"/>
        <v>0</v>
      </c>
      <c r="N533" s="465">
        <f t="shared" si="230"/>
        <v>0</v>
      </c>
      <c r="O533" s="465">
        <f t="shared" ref="O533:O535" ca="1" si="231">IF(L533&gt;0,N533*100/L533,0)</f>
        <v>0</v>
      </c>
      <c r="P533" s="465">
        <f t="shared" ref="P533:P535" si="232">IF(M533&gt;0,N533*100/M533,0)</f>
        <v>0</v>
      </c>
      <c r="Q533" s="541"/>
      <c r="R533" s="541"/>
      <c r="S533" s="541"/>
      <c r="T533" s="541"/>
      <c r="U533" s="541"/>
      <c r="V533" s="541"/>
      <c r="W533" s="541"/>
      <c r="X533" s="541"/>
      <c r="Y533" s="541"/>
      <c r="Z533" s="541"/>
    </row>
    <row r="534" spans="1:26" ht="18.75" hidden="1">
      <c r="A534" s="563"/>
      <c r="B534" s="571"/>
      <c r="C534" s="723"/>
      <c r="D534" s="723"/>
      <c r="E534" s="723" t="s">
        <v>18</v>
      </c>
      <c r="F534" s="723"/>
      <c r="G534" s="567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1"/>
        <v>0</v>
      </c>
      <c r="P534" s="93">
        <f t="shared" si="232"/>
        <v>0</v>
      </c>
      <c r="Q534" s="568"/>
      <c r="R534" s="568"/>
      <c r="S534" s="568"/>
      <c r="T534" s="568"/>
      <c r="U534" s="568"/>
      <c r="V534" s="568"/>
      <c r="W534" s="568"/>
      <c r="X534" s="568"/>
      <c r="Y534" s="568"/>
      <c r="Z534" s="568"/>
    </row>
    <row r="535" spans="1:26" ht="18.75" hidden="1">
      <c r="A535" s="563"/>
      <c r="B535" s="571"/>
      <c r="C535" s="723"/>
      <c r="D535" s="723"/>
      <c r="E535" s="723" t="s">
        <v>19</v>
      </c>
      <c r="F535" s="723"/>
      <c r="G535" s="567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IFERROR(__xludf.DUMMYFUNCTION("IMPORTRANGE(""https://docs.google.com/spreadsheets/d/1QqKyyYR6Q21VydFLVH3TRQUabQu_ym0Zz7PgGX0-kHA/edit?usp=sharing"",""แผน!GT26"")"),0)</f>
        <v>0</v>
      </c>
      <c r="M535" s="93">
        <v>0</v>
      </c>
      <c r="N535" s="93">
        <v>0</v>
      </c>
      <c r="O535" s="93">
        <f t="shared" ca="1" si="231"/>
        <v>0</v>
      </c>
      <c r="P535" s="93">
        <f t="shared" si="232"/>
        <v>0</v>
      </c>
      <c r="Q535" s="568"/>
      <c r="R535" s="568"/>
      <c r="S535" s="568"/>
      <c r="T535" s="568"/>
      <c r="U535" s="568"/>
      <c r="V535" s="568"/>
      <c r="W535" s="568"/>
      <c r="X535" s="568"/>
      <c r="Y535" s="568"/>
      <c r="Z535" s="568"/>
    </row>
    <row r="536" spans="1:26" ht="19.5" hidden="1">
      <c r="A536" s="572"/>
      <c r="B536" s="584"/>
      <c r="C536" s="727" t="s">
        <v>16</v>
      </c>
      <c r="D536" s="853" t="s">
        <v>38</v>
      </c>
      <c r="E536" s="725"/>
      <c r="F536" s="725"/>
      <c r="G536" s="577"/>
      <c r="H536" s="726"/>
      <c r="I536" s="184"/>
      <c r="J536" s="184"/>
      <c r="K536" s="163"/>
      <c r="L536" s="163"/>
      <c r="M536" s="163"/>
      <c r="N536" s="163"/>
      <c r="O536" s="163"/>
      <c r="P536" s="163"/>
      <c r="Q536" s="541"/>
      <c r="R536" s="541"/>
      <c r="S536" s="541"/>
      <c r="T536" s="541"/>
      <c r="U536" s="541"/>
      <c r="V536" s="541"/>
      <c r="W536" s="541"/>
      <c r="X536" s="541"/>
      <c r="Y536" s="541"/>
      <c r="Z536" s="541"/>
    </row>
    <row r="537" spans="1:26" ht="19.5" hidden="1">
      <c r="A537" s="537"/>
      <c r="B537" s="538"/>
      <c r="C537" s="727"/>
      <c r="D537" s="727" t="s">
        <v>227</v>
      </c>
      <c r="E537" s="727"/>
      <c r="F537" s="727"/>
      <c r="G537" s="189"/>
      <c r="H537" s="589" t="s">
        <v>35</v>
      </c>
      <c r="I537" s="647">
        <f ca="1">IFERROR(__xludf.DUMMYFUNCTION("IMPORTRANGE(""https://docs.google.com/spreadsheets/d/1QqKyyYR6Q21VydFLVH3TRQUabQu_ym0Zz7PgGX0-kHA/edit?usp=sharing"",""แผน!GU26"")"),0)</f>
        <v>0</v>
      </c>
      <c r="J537" s="647">
        <f ca="1">IF(AND(J538=I538,J539=I539,J540=I540,J541=I541),I537,0)</f>
        <v>0</v>
      </c>
      <c r="K537" s="465">
        <f t="shared" ref="K537:K543" ca="1" si="233">IF(I537&gt;0,J537*100/I537,0)</f>
        <v>0</v>
      </c>
      <c r="L537" s="465"/>
      <c r="M537" s="465"/>
      <c r="N537" s="465"/>
      <c r="O537" s="465"/>
      <c r="P537" s="465"/>
      <c r="Q537" s="648"/>
      <c r="R537" s="648"/>
      <c r="S537" s="648"/>
      <c r="T537" s="648"/>
      <c r="U537" s="648"/>
      <c r="V537" s="648"/>
      <c r="W537" s="648"/>
      <c r="X537" s="648"/>
      <c r="Y537" s="648"/>
      <c r="Z537" s="648"/>
    </row>
    <row r="538" spans="1:26" ht="18.75" hidden="1">
      <c r="A538" s="537"/>
      <c r="B538" s="538"/>
      <c r="C538" s="727"/>
      <c r="D538" s="727"/>
      <c r="E538" s="727" t="s">
        <v>228</v>
      </c>
      <c r="F538" s="727"/>
      <c r="G538" s="189"/>
      <c r="H538" s="589" t="s">
        <v>35</v>
      </c>
      <c r="I538" s="269">
        <f ca="1">IFERROR(__xludf.DUMMYFUNCTION("IMPORTRANGE(""https://docs.google.com/spreadsheets/d/1QqKyyYR6Q21VydFLVH3TRQUabQu_ym0Zz7PgGX0-kHA/edit?usp=sharing"",""แผน!GV26"")"),0)</f>
        <v>0</v>
      </c>
      <c r="J538" s="214">
        <v>0</v>
      </c>
      <c r="K538" s="465">
        <f t="shared" ca="1" si="233"/>
        <v>0</v>
      </c>
      <c r="L538" s="465"/>
      <c r="M538" s="465"/>
      <c r="N538" s="465"/>
      <c r="O538" s="465"/>
      <c r="P538" s="465"/>
      <c r="Q538" s="648"/>
      <c r="R538" s="648"/>
      <c r="S538" s="648"/>
      <c r="T538" s="648"/>
      <c r="U538" s="648"/>
      <c r="V538" s="648"/>
      <c r="W538" s="648"/>
      <c r="X538" s="648"/>
      <c r="Y538" s="648"/>
      <c r="Z538" s="648"/>
    </row>
    <row r="539" spans="1:26" ht="18.75" hidden="1">
      <c r="A539" s="537"/>
      <c r="B539" s="538"/>
      <c r="C539" s="727"/>
      <c r="D539" s="727"/>
      <c r="E539" s="727" t="s">
        <v>229</v>
      </c>
      <c r="F539" s="727"/>
      <c r="G539" s="189"/>
      <c r="H539" s="589" t="s">
        <v>35</v>
      </c>
      <c r="I539" s="269">
        <f ca="1">IFERROR(__xludf.DUMMYFUNCTION("IMPORTRANGE(""https://docs.google.com/spreadsheets/d/1QqKyyYR6Q21VydFLVH3TRQUabQu_ym0Zz7PgGX0-kHA/edit?usp=sharing"",""แผน!GW26"")"),0)</f>
        <v>0</v>
      </c>
      <c r="J539" s="214">
        <v>0</v>
      </c>
      <c r="K539" s="465">
        <f t="shared" ca="1" si="233"/>
        <v>0</v>
      </c>
      <c r="L539" s="465"/>
      <c r="M539" s="465"/>
      <c r="N539" s="465"/>
      <c r="O539" s="465"/>
      <c r="P539" s="465"/>
      <c r="Q539" s="648"/>
      <c r="R539" s="648"/>
      <c r="S539" s="648"/>
      <c r="T539" s="648"/>
      <c r="U539" s="648"/>
      <c r="V539" s="648"/>
      <c r="W539" s="648"/>
      <c r="X539" s="648"/>
      <c r="Y539" s="648"/>
      <c r="Z539" s="648"/>
    </row>
    <row r="540" spans="1:26" ht="18.75" hidden="1">
      <c r="A540" s="537"/>
      <c r="B540" s="538"/>
      <c r="C540" s="727"/>
      <c r="D540" s="727"/>
      <c r="E540" s="727" t="s">
        <v>230</v>
      </c>
      <c r="F540" s="727"/>
      <c r="G540" s="189"/>
      <c r="H540" s="589" t="s">
        <v>35</v>
      </c>
      <c r="I540" s="269">
        <f ca="1">IFERROR(__xludf.DUMMYFUNCTION("IMPORTRANGE(""https://docs.google.com/spreadsheets/d/1QqKyyYR6Q21VydFLVH3TRQUabQu_ym0Zz7PgGX0-kHA/edit?usp=sharing"",""แผน!GX26"")"),0)</f>
        <v>0</v>
      </c>
      <c r="J540" s="214">
        <v>0</v>
      </c>
      <c r="K540" s="465">
        <f t="shared" ca="1" si="233"/>
        <v>0</v>
      </c>
      <c r="L540" s="465"/>
      <c r="M540" s="465"/>
      <c r="N540" s="465"/>
      <c r="O540" s="465"/>
      <c r="P540" s="465"/>
      <c r="Q540" s="648"/>
      <c r="R540" s="648"/>
      <c r="S540" s="648"/>
      <c r="T540" s="648"/>
      <c r="U540" s="648"/>
      <c r="V540" s="648"/>
      <c r="W540" s="648"/>
      <c r="X540" s="648"/>
      <c r="Y540" s="648"/>
      <c r="Z540" s="648"/>
    </row>
    <row r="541" spans="1:26" ht="18.75" hidden="1">
      <c r="A541" s="537"/>
      <c r="B541" s="538"/>
      <c r="C541" s="727"/>
      <c r="D541" s="727"/>
      <c r="E541" s="733" t="s">
        <v>231</v>
      </c>
      <c r="F541" s="727"/>
      <c r="G541" s="189"/>
      <c r="H541" s="589" t="s">
        <v>35</v>
      </c>
      <c r="I541" s="269">
        <f ca="1">IFERROR(__xludf.DUMMYFUNCTION("IMPORTRANGE(""https://docs.google.com/spreadsheets/d/1QqKyyYR6Q21VydFLVH3TRQUabQu_ym0Zz7PgGX0-kHA/edit?usp=sharing"",""แผน!GY26"")"),0)</f>
        <v>0</v>
      </c>
      <c r="J541" s="214">
        <v>0</v>
      </c>
      <c r="K541" s="465">
        <f t="shared" ca="1" si="233"/>
        <v>0</v>
      </c>
      <c r="L541" s="465"/>
      <c r="M541" s="465"/>
      <c r="N541" s="465"/>
      <c r="O541" s="465"/>
      <c r="P541" s="465"/>
      <c r="Q541" s="648"/>
      <c r="R541" s="648"/>
      <c r="S541" s="648"/>
      <c r="T541" s="648"/>
      <c r="U541" s="648"/>
      <c r="V541" s="648"/>
      <c r="W541" s="648"/>
      <c r="X541" s="648"/>
      <c r="Y541" s="648"/>
      <c r="Z541" s="648"/>
    </row>
    <row r="542" spans="1:26" ht="18.75" hidden="1">
      <c r="A542" s="537"/>
      <c r="B542" s="538"/>
      <c r="C542" s="727"/>
      <c r="D542" s="727" t="s">
        <v>59</v>
      </c>
      <c r="E542" s="727"/>
      <c r="F542" s="727"/>
      <c r="G542" s="189"/>
      <c r="H542" s="589" t="s">
        <v>35</v>
      </c>
      <c r="I542" s="269">
        <f ca="1">IFERROR(__xludf.DUMMYFUNCTION("IMPORTRANGE(""https://docs.google.com/spreadsheets/d/1QqKyyYR6Q21VydFLVH3TRQUabQu_ym0Zz7PgGX0-kHA/edit?usp=sharing"",""แผน!GZ26"")"),0)</f>
        <v>0</v>
      </c>
      <c r="J542" s="214">
        <v>0</v>
      </c>
      <c r="K542" s="465">
        <f t="shared" ca="1" si="233"/>
        <v>0</v>
      </c>
      <c r="L542" s="465"/>
      <c r="M542" s="465"/>
      <c r="N542" s="465"/>
      <c r="O542" s="465"/>
      <c r="P542" s="465"/>
      <c r="Q542" s="648"/>
      <c r="R542" s="648"/>
      <c r="S542" s="648"/>
      <c r="T542" s="648"/>
      <c r="U542" s="648"/>
      <c r="V542" s="648"/>
      <c r="W542" s="648"/>
      <c r="X542" s="648"/>
      <c r="Y542" s="648"/>
      <c r="Z542" s="648"/>
    </row>
    <row r="543" spans="1:26" ht="19.5">
      <c r="A543" s="630">
        <v>6</v>
      </c>
      <c r="B543" s="651" t="s">
        <v>232</v>
      </c>
      <c r="C543" s="633"/>
      <c r="D543" s="633"/>
      <c r="E543" s="633"/>
      <c r="F543" s="633"/>
      <c r="G543" s="634"/>
      <c r="H543" s="652" t="s">
        <v>46</v>
      </c>
      <c r="I543" s="653">
        <f t="shared" ref="I543:J543" ca="1" si="234">I559</f>
        <v>24651</v>
      </c>
      <c r="J543" s="653">
        <f t="shared" si="234"/>
        <v>0</v>
      </c>
      <c r="K543" s="654">
        <f t="shared" ca="1" si="233"/>
        <v>0</v>
      </c>
      <c r="L543" s="636"/>
      <c r="M543" s="636"/>
      <c r="N543" s="636"/>
      <c r="O543" s="636"/>
      <c r="P543" s="636"/>
      <c r="Q543" s="541"/>
      <c r="R543" s="541"/>
      <c r="S543" s="541"/>
      <c r="T543" s="541"/>
      <c r="U543" s="541"/>
      <c r="V543" s="541"/>
      <c r="W543" s="541"/>
      <c r="X543" s="541"/>
      <c r="Y543" s="541"/>
      <c r="Z543" s="541"/>
    </row>
    <row r="544" spans="1:26" ht="19.5">
      <c r="A544" s="655"/>
      <c r="B544" s="656"/>
      <c r="C544" s="656" t="s">
        <v>16</v>
      </c>
      <c r="D544" s="854" t="s">
        <v>17</v>
      </c>
      <c r="E544" s="810"/>
      <c r="F544" s="810"/>
      <c r="G544" s="657"/>
      <c r="H544" s="274" t="s">
        <v>12</v>
      </c>
      <c r="I544" s="388"/>
      <c r="J544" s="388"/>
      <c r="K544" s="154"/>
      <c r="L544" s="155">
        <f t="shared" ref="L544:N544" ca="1" si="235">L545+L546</f>
        <v>483401</v>
      </c>
      <c r="M544" s="155">
        <f t="shared" si="235"/>
        <v>0</v>
      </c>
      <c r="N544" s="155">
        <f t="shared" si="235"/>
        <v>0</v>
      </c>
      <c r="O544" s="155">
        <f t="shared" ref="O544:O549" ca="1" si="236">IF(L544&gt;0,N544*100/L544,0)</f>
        <v>0</v>
      </c>
      <c r="P544" s="155">
        <f t="shared" ref="P544:P549" si="237">IF(M544&gt;0,N544*100/M544,0)</f>
        <v>0</v>
      </c>
      <c r="Q544" s="541"/>
      <c r="R544" s="541"/>
      <c r="S544" s="541"/>
      <c r="T544" s="541"/>
      <c r="U544" s="541"/>
      <c r="V544" s="541"/>
      <c r="W544" s="541"/>
      <c r="X544" s="541"/>
      <c r="Y544" s="541"/>
      <c r="Z544" s="541"/>
    </row>
    <row r="545" spans="1:26" ht="18.75" hidden="1">
      <c r="A545" s="563"/>
      <c r="B545" s="723"/>
      <c r="C545" s="723"/>
      <c r="D545" s="723"/>
      <c r="E545" s="723" t="s">
        <v>184</v>
      </c>
      <c r="F545" s="723"/>
      <c r="G545" s="567"/>
      <c r="H545" s="165" t="s">
        <v>12</v>
      </c>
      <c r="I545" s="583"/>
      <c r="J545" s="583"/>
      <c r="K545" s="93"/>
      <c r="L545" s="93">
        <f t="shared" ref="L545:L546" si="238">L548+L556</f>
        <v>0</v>
      </c>
      <c r="M545" s="93">
        <f t="shared" ref="M545:N546" si="239">M548+M555</f>
        <v>0</v>
      </c>
      <c r="N545" s="93">
        <f t="shared" si="239"/>
        <v>0</v>
      </c>
      <c r="O545" s="93">
        <f t="shared" si="236"/>
        <v>0</v>
      </c>
      <c r="P545" s="93">
        <f t="shared" si="237"/>
        <v>0</v>
      </c>
      <c r="Q545" s="568"/>
      <c r="R545" s="568"/>
      <c r="S545" s="568"/>
      <c r="T545" s="568"/>
      <c r="U545" s="568"/>
      <c r="V545" s="568"/>
      <c r="W545" s="568"/>
      <c r="X545" s="568"/>
      <c r="Y545" s="568"/>
      <c r="Z545" s="568"/>
    </row>
    <row r="546" spans="1:26" ht="18.75" hidden="1">
      <c r="A546" s="563"/>
      <c r="B546" s="571"/>
      <c r="C546" s="723"/>
      <c r="D546" s="723"/>
      <c r="E546" s="723" t="s">
        <v>185</v>
      </c>
      <c r="F546" s="723"/>
      <c r="G546" s="567"/>
      <c r="H546" s="165" t="s">
        <v>12</v>
      </c>
      <c r="I546" s="583"/>
      <c r="J546" s="583"/>
      <c r="K546" s="93"/>
      <c r="L546" s="93">
        <f t="shared" ca="1" si="238"/>
        <v>483401</v>
      </c>
      <c r="M546" s="93">
        <f t="shared" si="239"/>
        <v>0</v>
      </c>
      <c r="N546" s="93">
        <f t="shared" si="239"/>
        <v>0</v>
      </c>
      <c r="O546" s="93">
        <f t="shared" ca="1" si="236"/>
        <v>0</v>
      </c>
      <c r="P546" s="93">
        <f t="shared" si="237"/>
        <v>0</v>
      </c>
      <c r="Q546" s="568"/>
      <c r="R546" s="568"/>
      <c r="S546" s="568"/>
      <c r="T546" s="568"/>
      <c r="U546" s="568"/>
      <c r="V546" s="568"/>
      <c r="W546" s="568"/>
      <c r="X546" s="568"/>
      <c r="Y546" s="568"/>
      <c r="Z546" s="568"/>
    </row>
    <row r="547" spans="1:26" ht="18.75">
      <c r="A547" s="561"/>
      <c r="B547" s="538"/>
      <c r="C547" s="727"/>
      <c r="D547" s="570" t="s">
        <v>20</v>
      </c>
      <c r="E547" s="727"/>
      <c r="F547" s="727"/>
      <c r="G547" s="189"/>
      <c r="H547" s="161" t="s">
        <v>12</v>
      </c>
      <c r="I547" s="184"/>
      <c r="J547" s="184"/>
      <c r="K547" s="163"/>
      <c r="L547" s="465">
        <f t="shared" ref="L547:N547" ca="1" si="240">L548+L549</f>
        <v>483401</v>
      </c>
      <c r="M547" s="465">
        <f t="shared" si="240"/>
        <v>0</v>
      </c>
      <c r="N547" s="465">
        <f t="shared" si="240"/>
        <v>0</v>
      </c>
      <c r="O547" s="465">
        <f t="shared" ca="1" si="236"/>
        <v>0</v>
      </c>
      <c r="P547" s="465">
        <f t="shared" si="237"/>
        <v>0</v>
      </c>
      <c r="Q547" s="541"/>
      <c r="R547" s="541"/>
      <c r="S547" s="541"/>
      <c r="T547" s="541"/>
      <c r="U547" s="541"/>
      <c r="V547" s="541"/>
      <c r="W547" s="541"/>
      <c r="X547" s="541"/>
      <c r="Y547" s="541"/>
      <c r="Z547" s="541"/>
    </row>
    <row r="548" spans="1:26" ht="18.75" hidden="1">
      <c r="A548" s="563"/>
      <c r="B548" s="571"/>
      <c r="C548" s="723"/>
      <c r="D548" s="684"/>
      <c r="E548" s="723" t="s">
        <v>184</v>
      </c>
      <c r="F548" s="723"/>
      <c r="G548" s="567"/>
      <c r="H548" s="165" t="s">
        <v>12</v>
      </c>
      <c r="I548" s="583"/>
      <c r="J548" s="583"/>
      <c r="K548" s="93"/>
      <c r="L548" s="93">
        <v>0</v>
      </c>
      <c r="M548" s="93">
        <v>0</v>
      </c>
      <c r="N548" s="93">
        <v>0</v>
      </c>
      <c r="O548" s="93">
        <f t="shared" si="236"/>
        <v>0</v>
      </c>
      <c r="P548" s="93">
        <f t="shared" si="237"/>
        <v>0</v>
      </c>
      <c r="Q548" s="568"/>
      <c r="R548" s="568"/>
      <c r="S548" s="568"/>
      <c r="T548" s="568"/>
      <c r="U548" s="568"/>
      <c r="V548" s="568"/>
      <c r="W548" s="568"/>
      <c r="X548" s="568"/>
      <c r="Y548" s="568"/>
      <c r="Z548" s="568"/>
    </row>
    <row r="549" spans="1:26" ht="18.75" hidden="1">
      <c r="A549" s="563"/>
      <c r="B549" s="571"/>
      <c r="C549" s="723"/>
      <c r="D549" s="684"/>
      <c r="E549" s="723" t="s">
        <v>185</v>
      </c>
      <c r="F549" s="723"/>
      <c r="G549" s="567"/>
      <c r="H549" s="165" t="s">
        <v>12</v>
      </c>
      <c r="I549" s="583"/>
      <c r="J549" s="583"/>
      <c r="K549" s="93"/>
      <c r="L549" s="93">
        <f ca="1">IFERROR(__xludf.DUMMYFUNCTION("IMPORTRANGE(""https://docs.google.com/spreadsheets/d/1QqKyyYR6Q21VydFLVH3TRQUabQu_ym0Zz7PgGX0-kHA/edit?usp=sharing"",""แผน!HB26"")"),483401)</f>
        <v>483401</v>
      </c>
      <c r="M549" s="93">
        <v>0</v>
      </c>
      <c r="N549" s="93">
        <f>N550+N551+N552+N553+N554</f>
        <v>0</v>
      </c>
      <c r="O549" s="93">
        <f t="shared" ca="1" si="236"/>
        <v>0</v>
      </c>
      <c r="P549" s="93">
        <f t="shared" si="237"/>
        <v>0</v>
      </c>
      <c r="Q549" s="568"/>
      <c r="R549" s="568"/>
      <c r="S549" s="568"/>
      <c r="T549" s="568"/>
      <c r="U549" s="568"/>
      <c r="V549" s="568"/>
      <c r="W549" s="568"/>
      <c r="X549" s="568"/>
      <c r="Y549" s="568"/>
      <c r="Z549" s="568"/>
    </row>
    <row r="550" spans="1:26" ht="18.75">
      <c r="A550" s="537"/>
      <c r="B550" s="538"/>
      <c r="C550" s="727"/>
      <c r="D550" s="727"/>
      <c r="E550" s="727"/>
      <c r="F550" s="727" t="s">
        <v>186</v>
      </c>
      <c r="G550" s="189"/>
      <c r="H550" s="161" t="s">
        <v>12</v>
      </c>
      <c r="I550" s="269"/>
      <c r="J550" s="269"/>
      <c r="K550" s="465"/>
      <c r="L550" s="465"/>
      <c r="M550" s="465"/>
      <c r="N550" s="789">
        <v>0</v>
      </c>
      <c r="O550" s="465"/>
      <c r="P550" s="465"/>
      <c r="Q550" s="541"/>
      <c r="R550" s="541"/>
      <c r="S550" s="541"/>
      <c r="T550" s="541"/>
      <c r="U550" s="541"/>
      <c r="V550" s="541"/>
      <c r="W550" s="541"/>
      <c r="X550" s="541"/>
      <c r="Y550" s="541"/>
      <c r="Z550" s="541"/>
    </row>
    <row r="551" spans="1:26" ht="18.75">
      <c r="A551" s="537"/>
      <c r="B551" s="538"/>
      <c r="C551" s="538"/>
      <c r="D551" s="538"/>
      <c r="E551" s="727"/>
      <c r="F551" s="727" t="s">
        <v>187</v>
      </c>
      <c r="G551" s="189"/>
      <c r="H551" s="161" t="s">
        <v>12</v>
      </c>
      <c r="I551" s="269"/>
      <c r="J551" s="269"/>
      <c r="K551" s="465"/>
      <c r="L551" s="465"/>
      <c r="M551" s="465"/>
      <c r="N551" s="789">
        <v>0</v>
      </c>
      <c r="O551" s="465"/>
      <c r="P551" s="465"/>
      <c r="Q551" s="541"/>
      <c r="R551" s="541"/>
      <c r="S551" s="541"/>
      <c r="T551" s="541"/>
      <c r="U551" s="541"/>
      <c r="V551" s="541"/>
      <c r="W551" s="541"/>
      <c r="X551" s="541"/>
      <c r="Y551" s="541"/>
      <c r="Z551" s="541"/>
    </row>
    <row r="552" spans="1:26" ht="18.75">
      <c r="A552" s="537"/>
      <c r="B552" s="538"/>
      <c r="C552" s="727"/>
      <c r="D552" s="727"/>
      <c r="E552" s="727"/>
      <c r="F552" s="727" t="s">
        <v>188</v>
      </c>
      <c r="G552" s="189"/>
      <c r="H552" s="161" t="s">
        <v>12</v>
      </c>
      <c r="I552" s="269"/>
      <c r="J552" s="269"/>
      <c r="K552" s="465"/>
      <c r="L552" s="465"/>
      <c r="M552" s="465"/>
      <c r="N552" s="789">
        <v>0</v>
      </c>
      <c r="O552" s="465"/>
      <c r="P552" s="465"/>
      <c r="Q552" s="541"/>
      <c r="R552" s="541"/>
      <c r="S552" s="541"/>
      <c r="T552" s="541"/>
      <c r="U552" s="541"/>
      <c r="V552" s="541"/>
      <c r="W552" s="541"/>
      <c r="X552" s="541"/>
      <c r="Y552" s="541"/>
      <c r="Z552" s="541"/>
    </row>
    <row r="553" spans="1:26" ht="18.75">
      <c r="A553" s="537"/>
      <c r="B553" s="538"/>
      <c r="C553" s="538"/>
      <c r="D553" s="538"/>
      <c r="E553" s="727"/>
      <c r="F553" s="727" t="s">
        <v>189</v>
      </c>
      <c r="G553" s="189"/>
      <c r="H553" s="161" t="s">
        <v>12</v>
      </c>
      <c r="I553" s="269"/>
      <c r="J553" s="269"/>
      <c r="K553" s="465"/>
      <c r="L553" s="465"/>
      <c r="M553" s="465"/>
      <c r="N553" s="789">
        <v>0</v>
      </c>
      <c r="O553" s="465"/>
      <c r="P553" s="465"/>
      <c r="Q553" s="541"/>
      <c r="R553" s="541"/>
      <c r="S553" s="541"/>
      <c r="T553" s="541"/>
      <c r="U553" s="541"/>
      <c r="V553" s="541"/>
      <c r="W553" s="541"/>
      <c r="X553" s="541"/>
      <c r="Y553" s="541"/>
      <c r="Z553" s="541"/>
    </row>
    <row r="554" spans="1:26" ht="18.75">
      <c r="A554" s="537"/>
      <c r="B554" s="538"/>
      <c r="C554" s="538"/>
      <c r="D554" s="538"/>
      <c r="E554" s="727"/>
      <c r="F554" s="727" t="s">
        <v>233</v>
      </c>
      <c r="G554" s="189"/>
      <c r="H554" s="161" t="s">
        <v>12</v>
      </c>
      <c r="I554" s="269"/>
      <c r="J554" s="269"/>
      <c r="K554" s="465"/>
      <c r="L554" s="465"/>
      <c r="M554" s="465"/>
      <c r="N554" s="789">
        <v>0</v>
      </c>
      <c r="O554" s="465"/>
      <c r="P554" s="465"/>
      <c r="Q554" s="541"/>
      <c r="R554" s="541"/>
      <c r="S554" s="541"/>
      <c r="T554" s="541"/>
      <c r="U554" s="541"/>
      <c r="V554" s="541"/>
      <c r="W554" s="541"/>
      <c r="X554" s="541"/>
      <c r="Y554" s="541"/>
      <c r="Z554" s="541"/>
    </row>
    <row r="555" spans="1:26" ht="18.75">
      <c r="A555" s="561"/>
      <c r="B555" s="538"/>
      <c r="C555" s="538"/>
      <c r="D555" s="570" t="s">
        <v>21</v>
      </c>
      <c r="E555" s="727"/>
      <c r="F555" s="727"/>
      <c r="G555" s="189"/>
      <c r="H555" s="168" t="s">
        <v>12</v>
      </c>
      <c r="I555" s="184"/>
      <c r="J555" s="184"/>
      <c r="K555" s="163"/>
      <c r="L555" s="465">
        <f t="shared" ref="L555:N555" ca="1" si="241">L556+L557</f>
        <v>0</v>
      </c>
      <c r="M555" s="465">
        <f t="shared" si="241"/>
        <v>0</v>
      </c>
      <c r="N555" s="465">
        <f t="shared" si="241"/>
        <v>0</v>
      </c>
      <c r="O555" s="465">
        <f t="shared" ref="O555:O557" ca="1" si="242">IF(L555&gt;0,N555*100/L555,0)</f>
        <v>0</v>
      </c>
      <c r="P555" s="465">
        <f t="shared" ref="P555:P557" si="243">IF(M555&gt;0,N555*100/M555,0)</f>
        <v>0</v>
      </c>
      <c r="Q555" s="541"/>
      <c r="R555" s="541"/>
      <c r="S555" s="541"/>
      <c r="T555" s="541"/>
      <c r="U555" s="541"/>
      <c r="V555" s="541"/>
      <c r="W555" s="541"/>
      <c r="X555" s="541"/>
      <c r="Y555" s="541"/>
      <c r="Z555" s="541"/>
    </row>
    <row r="556" spans="1:26" ht="18.75" hidden="1">
      <c r="A556" s="563"/>
      <c r="B556" s="571"/>
      <c r="C556" s="571"/>
      <c r="D556" s="723"/>
      <c r="E556" s="723" t="s">
        <v>18</v>
      </c>
      <c r="F556" s="723"/>
      <c r="G556" s="567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2"/>
        <v>0</v>
      </c>
      <c r="P556" s="93">
        <f t="shared" si="243"/>
        <v>0</v>
      </c>
      <c r="Q556" s="568"/>
      <c r="R556" s="568"/>
      <c r="S556" s="568"/>
      <c r="T556" s="568"/>
      <c r="U556" s="568"/>
      <c r="V556" s="568"/>
      <c r="W556" s="568"/>
      <c r="X556" s="568"/>
      <c r="Y556" s="568"/>
      <c r="Z556" s="568"/>
    </row>
    <row r="557" spans="1:26" ht="18.75" hidden="1">
      <c r="A557" s="563"/>
      <c r="B557" s="571"/>
      <c r="C557" s="571"/>
      <c r="D557" s="723"/>
      <c r="E557" s="723" t="s">
        <v>19</v>
      </c>
      <c r="F557" s="723"/>
      <c r="G557" s="567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IFERROR(__xludf.DUMMYFUNCTION("IMPORTRANGE(""https://docs.google.com/spreadsheets/d/1QqKyyYR6Q21VydFLVH3TRQUabQu_ym0Zz7PgGX0-kHA/edit?usp=sharing"",""แผน!HF26"")"),0)</f>
        <v>0</v>
      </c>
      <c r="M557" s="93">
        <v>0</v>
      </c>
      <c r="N557" s="93">
        <v>0</v>
      </c>
      <c r="O557" s="93">
        <f t="shared" ca="1" si="242"/>
        <v>0</v>
      </c>
      <c r="P557" s="93">
        <f t="shared" si="243"/>
        <v>0</v>
      </c>
      <c r="Q557" s="568"/>
      <c r="R557" s="568"/>
      <c r="S557" s="568"/>
      <c r="T557" s="568"/>
      <c r="U557" s="568"/>
      <c r="V557" s="568"/>
      <c r="W557" s="568"/>
      <c r="X557" s="568"/>
      <c r="Y557" s="568"/>
      <c r="Z557" s="568"/>
    </row>
    <row r="558" spans="1:26" ht="19.5">
      <c r="A558" s="572"/>
      <c r="B558" s="584"/>
      <c r="C558" s="538" t="s">
        <v>16</v>
      </c>
      <c r="D558" s="853" t="s">
        <v>38</v>
      </c>
      <c r="E558" s="725"/>
      <c r="F558" s="725"/>
      <c r="G558" s="577"/>
      <c r="H558" s="726"/>
      <c r="I558" s="184"/>
      <c r="J558" s="184"/>
      <c r="K558" s="163"/>
      <c r="L558" s="163"/>
      <c r="M558" s="163"/>
      <c r="N558" s="163"/>
      <c r="O558" s="163"/>
      <c r="P558" s="163"/>
      <c r="Q558" s="541"/>
      <c r="R558" s="541"/>
      <c r="S558" s="541"/>
      <c r="T558" s="541"/>
      <c r="U558" s="541"/>
      <c r="V558" s="541"/>
      <c r="W558" s="541"/>
      <c r="X558" s="541"/>
      <c r="Y558" s="541"/>
      <c r="Z558" s="541"/>
    </row>
    <row r="559" spans="1:26" ht="19.5">
      <c r="A559" s="658"/>
      <c r="B559" s="659" t="s">
        <v>234</v>
      </c>
      <c r="C559" s="660"/>
      <c r="D559" s="660"/>
      <c r="E559" s="639"/>
      <c r="F559" s="639"/>
      <c r="G559" s="640"/>
      <c r="H559" s="661" t="s">
        <v>46</v>
      </c>
      <c r="I559" s="672">
        <f t="shared" ref="I559:J559" ca="1" si="244">I576</f>
        <v>24651</v>
      </c>
      <c r="J559" s="672">
        <f t="shared" si="244"/>
        <v>0</v>
      </c>
      <c r="K559" s="643">
        <f t="shared" ref="K559:K561" ca="1" si="245">IF(I559&gt;0,J559*100/I559,0)</f>
        <v>0</v>
      </c>
      <c r="L559" s="644"/>
      <c r="M559" s="644"/>
      <c r="N559" s="644"/>
      <c r="O559" s="644"/>
      <c r="P559" s="644"/>
      <c r="Q559" s="541"/>
      <c r="R559" s="541"/>
      <c r="S559" s="541"/>
      <c r="T559" s="541"/>
      <c r="U559" s="541"/>
      <c r="V559" s="541"/>
      <c r="W559" s="541"/>
      <c r="X559" s="541"/>
      <c r="Y559" s="541"/>
      <c r="Z559" s="541"/>
    </row>
    <row r="560" spans="1:26" ht="19.5">
      <c r="A560" s="572"/>
      <c r="B560" s="584"/>
      <c r="C560" s="591" t="s">
        <v>235</v>
      </c>
      <c r="D560" s="584"/>
      <c r="E560" s="592"/>
      <c r="F560" s="592"/>
      <c r="G560" s="726"/>
      <c r="H560" s="731" t="s">
        <v>46</v>
      </c>
      <c r="I560" s="193">
        <f ca="1">IFERROR(__xludf.DUMMYFUNCTION("IMPORTRANGE(""https://docs.google.com/spreadsheets/d/1QqKyyYR6Q21VydFLVH3TRQUabQu_ym0Zz7PgGX0-kHA/edit?usp=sharing"",""แผน!HH26"")"),24651)</f>
        <v>24651</v>
      </c>
      <c r="J560" s="193">
        <f t="shared" ref="J560:J561" si="246">J562+J564+J566</f>
        <v>0</v>
      </c>
      <c r="K560" s="379">
        <f t="shared" ca="1" si="245"/>
        <v>0</v>
      </c>
      <c r="L560" s="163"/>
      <c r="M560" s="163"/>
      <c r="N560" s="163"/>
      <c r="O560" s="163"/>
      <c r="P560" s="163"/>
      <c r="Q560" s="541"/>
      <c r="R560" s="541"/>
      <c r="S560" s="541"/>
      <c r="T560" s="541"/>
      <c r="U560" s="541"/>
      <c r="V560" s="541"/>
      <c r="W560" s="541"/>
      <c r="X560" s="541"/>
      <c r="Y560" s="541"/>
      <c r="Z560" s="541"/>
    </row>
    <row r="561" spans="1:26" ht="19.5">
      <c r="A561" s="572"/>
      <c r="B561" s="584"/>
      <c r="C561" s="584"/>
      <c r="D561" s="592"/>
      <c r="E561" s="592"/>
      <c r="F561" s="592"/>
      <c r="G561" s="726"/>
      <c r="H561" s="731" t="s">
        <v>34</v>
      </c>
      <c r="I561" s="193">
        <f ca="1">IFERROR(__xludf.DUMMYFUNCTION("IMPORTRANGE(""https://docs.google.com/spreadsheets/d/1QqKyyYR6Q21VydFLVH3TRQUabQu_ym0Zz7PgGX0-kHA/edit?usp=sharing"",""แผน!HG26"")"),4817)</f>
        <v>4817</v>
      </c>
      <c r="J561" s="193">
        <f t="shared" si="246"/>
        <v>0</v>
      </c>
      <c r="K561" s="379">
        <f t="shared" ca="1" si="245"/>
        <v>0</v>
      </c>
      <c r="L561" s="163"/>
      <c r="M561" s="163"/>
      <c r="N561" s="163"/>
      <c r="O561" s="163"/>
      <c r="P561" s="163"/>
      <c r="Q561" s="541"/>
      <c r="R561" s="541"/>
      <c r="S561" s="541"/>
      <c r="T561" s="541"/>
      <c r="U561" s="541"/>
      <c r="V561" s="541"/>
      <c r="W561" s="541"/>
      <c r="X561" s="541"/>
      <c r="Y561" s="541"/>
      <c r="Z561" s="541"/>
    </row>
    <row r="562" spans="1:26" ht="18.75">
      <c r="A562" s="572"/>
      <c r="B562" s="584"/>
      <c r="C562" s="584"/>
      <c r="D562" s="592" t="s">
        <v>236</v>
      </c>
      <c r="E562" s="592"/>
      <c r="F562" s="592"/>
      <c r="G562" s="726"/>
      <c r="H562" s="728" t="s">
        <v>46</v>
      </c>
      <c r="I562" s="184"/>
      <c r="J562" s="214">
        <v>0</v>
      </c>
      <c r="K562" s="163"/>
      <c r="L562" s="163"/>
      <c r="M562" s="163"/>
      <c r="N562" s="163"/>
      <c r="O562" s="163"/>
      <c r="P562" s="163"/>
      <c r="Q562" s="541"/>
      <c r="R562" s="541"/>
      <c r="S562" s="541"/>
      <c r="T562" s="541"/>
      <c r="U562" s="541"/>
      <c r="V562" s="541"/>
      <c r="W562" s="541"/>
      <c r="X562" s="541"/>
      <c r="Y562" s="541"/>
      <c r="Z562" s="541"/>
    </row>
    <row r="563" spans="1:26" ht="18.75">
      <c r="A563" s="572"/>
      <c r="B563" s="584"/>
      <c r="C563" s="584"/>
      <c r="D563" s="584"/>
      <c r="E563" s="592"/>
      <c r="F563" s="592"/>
      <c r="G563" s="726"/>
      <c r="H563" s="728" t="s">
        <v>34</v>
      </c>
      <c r="I563" s="184"/>
      <c r="J563" s="214">
        <v>0</v>
      </c>
      <c r="K563" s="163"/>
      <c r="L563" s="163"/>
      <c r="M563" s="163"/>
      <c r="N563" s="163"/>
      <c r="O563" s="163"/>
      <c r="P563" s="163"/>
      <c r="Q563" s="541"/>
      <c r="R563" s="541"/>
      <c r="S563" s="541"/>
      <c r="T563" s="541"/>
      <c r="U563" s="541"/>
      <c r="V563" s="541"/>
      <c r="W563" s="541"/>
      <c r="X563" s="541"/>
      <c r="Y563" s="541"/>
      <c r="Z563" s="541"/>
    </row>
    <row r="564" spans="1:26" ht="18.75">
      <c r="A564" s="572"/>
      <c r="B564" s="584"/>
      <c r="C564" s="584"/>
      <c r="D564" s="592" t="s">
        <v>237</v>
      </c>
      <c r="E564" s="592"/>
      <c r="F564" s="592"/>
      <c r="G564" s="726"/>
      <c r="H564" s="728" t="s">
        <v>46</v>
      </c>
      <c r="I564" s="184"/>
      <c r="J564" s="214">
        <v>0</v>
      </c>
      <c r="K564" s="163"/>
      <c r="L564" s="163"/>
      <c r="M564" s="163"/>
      <c r="N564" s="163"/>
      <c r="O564" s="163"/>
      <c r="P564" s="163"/>
      <c r="Q564" s="541"/>
      <c r="R564" s="541"/>
      <c r="S564" s="541"/>
      <c r="T564" s="541"/>
      <c r="U564" s="541"/>
      <c r="V564" s="541"/>
      <c r="W564" s="541"/>
      <c r="X564" s="541"/>
      <c r="Y564" s="541"/>
      <c r="Z564" s="541"/>
    </row>
    <row r="565" spans="1:26" ht="18.75">
      <c r="A565" s="572"/>
      <c r="B565" s="584"/>
      <c r="C565" s="584"/>
      <c r="D565" s="592"/>
      <c r="E565" s="592"/>
      <c r="F565" s="592"/>
      <c r="G565" s="726"/>
      <c r="H565" s="728" t="s">
        <v>34</v>
      </c>
      <c r="I565" s="184"/>
      <c r="J565" s="214">
        <v>0</v>
      </c>
      <c r="K565" s="163"/>
      <c r="L565" s="163"/>
      <c r="M565" s="163"/>
      <c r="N565" s="163"/>
      <c r="O565" s="163"/>
      <c r="P565" s="163"/>
      <c r="Q565" s="541"/>
      <c r="R565" s="541"/>
      <c r="S565" s="541"/>
      <c r="T565" s="541"/>
      <c r="U565" s="541"/>
      <c r="V565" s="541"/>
      <c r="W565" s="541"/>
      <c r="X565" s="541"/>
      <c r="Y565" s="541"/>
      <c r="Z565" s="541"/>
    </row>
    <row r="566" spans="1:26" ht="18.75">
      <c r="A566" s="572"/>
      <c r="B566" s="584"/>
      <c r="C566" s="584"/>
      <c r="D566" s="592" t="s">
        <v>238</v>
      </c>
      <c r="E566" s="592"/>
      <c r="F566" s="592"/>
      <c r="G566" s="726"/>
      <c r="H566" s="728" t="s">
        <v>46</v>
      </c>
      <c r="I566" s="184"/>
      <c r="J566" s="214">
        <v>0</v>
      </c>
      <c r="K566" s="163"/>
      <c r="L566" s="163"/>
      <c r="M566" s="163"/>
      <c r="N566" s="163"/>
      <c r="O566" s="163"/>
      <c r="P566" s="163"/>
      <c r="Q566" s="541"/>
      <c r="R566" s="541"/>
      <c r="S566" s="541"/>
      <c r="T566" s="541"/>
      <c r="U566" s="541"/>
      <c r="V566" s="541"/>
      <c r="W566" s="541"/>
      <c r="X566" s="541"/>
      <c r="Y566" s="541"/>
      <c r="Z566" s="541"/>
    </row>
    <row r="567" spans="1:26" ht="18.75">
      <c r="A567" s="572"/>
      <c r="B567" s="584"/>
      <c r="C567" s="584"/>
      <c r="D567" s="592"/>
      <c r="E567" s="592"/>
      <c r="F567" s="592"/>
      <c r="G567" s="726"/>
      <c r="H567" s="728" t="s">
        <v>34</v>
      </c>
      <c r="I567" s="184"/>
      <c r="J567" s="214">
        <v>0</v>
      </c>
      <c r="K567" s="163"/>
      <c r="L567" s="163"/>
      <c r="M567" s="163"/>
      <c r="N567" s="163"/>
      <c r="O567" s="163"/>
      <c r="P567" s="163"/>
      <c r="Q567" s="541"/>
      <c r="R567" s="541"/>
      <c r="S567" s="541"/>
      <c r="T567" s="541"/>
      <c r="U567" s="541"/>
      <c r="V567" s="541"/>
      <c r="W567" s="541"/>
      <c r="X567" s="541"/>
      <c r="Y567" s="541"/>
      <c r="Z567" s="541"/>
    </row>
    <row r="568" spans="1:26" ht="19.5">
      <c r="A568" s="572"/>
      <c r="B568" s="584"/>
      <c r="C568" s="591" t="s">
        <v>239</v>
      </c>
      <c r="D568" s="592"/>
      <c r="E568" s="592"/>
      <c r="F568" s="592"/>
      <c r="G568" s="726"/>
      <c r="H568" s="731" t="s">
        <v>46</v>
      </c>
      <c r="I568" s="193">
        <f ca="1">IFERROR(__xludf.DUMMYFUNCTION("IMPORTRANGE(""https://docs.google.com/spreadsheets/d/1QqKyyYR6Q21VydFLVH3TRQUabQu_ym0Zz7PgGX0-kHA/edit?usp=sharing"",""แผน!HH26"")"),24651)</f>
        <v>24651</v>
      </c>
      <c r="J568" s="647">
        <f t="shared" ref="J568:J569" si="247">J570+J572+J574</f>
        <v>0</v>
      </c>
      <c r="K568" s="379">
        <f t="shared" ref="K568:K569" ca="1" si="248">IF(I568&gt;0,J568*100/I568,0)</f>
        <v>0</v>
      </c>
      <c r="L568" s="163"/>
      <c r="M568" s="163"/>
      <c r="N568" s="163"/>
      <c r="O568" s="163"/>
      <c r="P568" s="163"/>
      <c r="Q568" s="541"/>
      <c r="R568" s="541"/>
      <c r="S568" s="541"/>
      <c r="T568" s="541"/>
      <c r="U568" s="541"/>
      <c r="V568" s="541"/>
      <c r="W568" s="541"/>
      <c r="X568" s="541"/>
      <c r="Y568" s="541"/>
      <c r="Z568" s="541"/>
    </row>
    <row r="569" spans="1:26" ht="19.5">
      <c r="A569" s="572"/>
      <c r="B569" s="584"/>
      <c r="C569" s="584"/>
      <c r="D569" s="584"/>
      <c r="E569" s="592"/>
      <c r="F569" s="592"/>
      <c r="G569" s="726"/>
      <c r="H569" s="731" t="s">
        <v>34</v>
      </c>
      <c r="I569" s="193">
        <f ca="1">IFERROR(__xludf.DUMMYFUNCTION("IMPORTRANGE(""https://docs.google.com/spreadsheets/d/1QqKyyYR6Q21VydFLVH3TRQUabQu_ym0Zz7PgGX0-kHA/edit?usp=sharing"",""แผน!HG26"")"),4817)</f>
        <v>4817</v>
      </c>
      <c r="J569" s="647">
        <f t="shared" si="247"/>
        <v>0</v>
      </c>
      <c r="K569" s="379">
        <f t="shared" ca="1" si="248"/>
        <v>0</v>
      </c>
      <c r="L569" s="163"/>
      <c r="M569" s="163"/>
      <c r="N569" s="163"/>
      <c r="O569" s="163"/>
      <c r="P569" s="163"/>
      <c r="Q569" s="541"/>
      <c r="R569" s="541"/>
      <c r="S569" s="541"/>
      <c r="T569" s="541"/>
      <c r="U569" s="541"/>
      <c r="V569" s="541"/>
      <c r="W569" s="541"/>
      <c r="X569" s="541"/>
      <c r="Y569" s="541"/>
      <c r="Z569" s="541"/>
    </row>
    <row r="570" spans="1:26" ht="18.75">
      <c r="A570" s="572"/>
      <c r="B570" s="584"/>
      <c r="C570" s="584"/>
      <c r="D570" s="592" t="s">
        <v>240</v>
      </c>
      <c r="E570" s="584"/>
      <c r="F570" s="592"/>
      <c r="G570" s="726"/>
      <c r="H570" s="728" t="s">
        <v>46</v>
      </c>
      <c r="I570" s="184"/>
      <c r="J570" s="214">
        <v>0</v>
      </c>
      <c r="K570" s="163"/>
      <c r="L570" s="163"/>
      <c r="M570" s="163"/>
      <c r="N570" s="163"/>
      <c r="O570" s="163"/>
      <c r="P570" s="163"/>
      <c r="Q570" s="541"/>
      <c r="R570" s="541"/>
      <c r="S570" s="541"/>
      <c r="T570" s="541"/>
      <c r="U570" s="541"/>
      <c r="V570" s="541"/>
      <c r="W570" s="541"/>
      <c r="X570" s="541"/>
      <c r="Y570" s="541"/>
      <c r="Z570" s="541"/>
    </row>
    <row r="571" spans="1:26" ht="18.75">
      <c r="A571" s="572"/>
      <c r="B571" s="584"/>
      <c r="C571" s="584"/>
      <c r="D571" s="584"/>
      <c r="E571" s="592"/>
      <c r="F571" s="592"/>
      <c r="G571" s="726"/>
      <c r="H571" s="728" t="s">
        <v>34</v>
      </c>
      <c r="I571" s="184"/>
      <c r="J571" s="214">
        <v>0</v>
      </c>
      <c r="K571" s="163"/>
      <c r="L571" s="163"/>
      <c r="M571" s="163"/>
      <c r="N571" s="163"/>
      <c r="O571" s="163"/>
      <c r="P571" s="163"/>
      <c r="Q571" s="541"/>
      <c r="R571" s="541"/>
      <c r="S571" s="541"/>
      <c r="T571" s="541"/>
      <c r="U571" s="541"/>
      <c r="V571" s="541"/>
      <c r="W571" s="541"/>
      <c r="X571" s="541"/>
      <c r="Y571" s="541"/>
      <c r="Z571" s="541"/>
    </row>
    <row r="572" spans="1:26" ht="18.75">
      <c r="A572" s="572"/>
      <c r="B572" s="584"/>
      <c r="C572" s="584"/>
      <c r="D572" s="592" t="s">
        <v>241</v>
      </c>
      <c r="E572" s="592"/>
      <c r="F572" s="592"/>
      <c r="G572" s="726"/>
      <c r="H572" s="728" t="s">
        <v>46</v>
      </c>
      <c r="I572" s="184"/>
      <c r="J572" s="214">
        <v>0</v>
      </c>
      <c r="K572" s="163"/>
      <c r="L572" s="163"/>
      <c r="M572" s="163"/>
      <c r="N572" s="163"/>
      <c r="O572" s="163"/>
      <c r="P572" s="163"/>
      <c r="Q572" s="541"/>
      <c r="R572" s="541"/>
      <c r="S572" s="541"/>
      <c r="T572" s="541"/>
      <c r="U572" s="541"/>
      <c r="V572" s="541"/>
      <c r="W572" s="541"/>
      <c r="X572" s="541"/>
      <c r="Y572" s="541"/>
      <c r="Z572" s="541"/>
    </row>
    <row r="573" spans="1:26" ht="18.75">
      <c r="A573" s="572"/>
      <c r="B573" s="584"/>
      <c r="C573" s="584"/>
      <c r="D573" s="592"/>
      <c r="E573" s="592"/>
      <c r="F573" s="592"/>
      <c r="G573" s="726"/>
      <c r="H573" s="728" t="s">
        <v>34</v>
      </c>
      <c r="I573" s="184"/>
      <c r="J573" s="214">
        <v>0</v>
      </c>
      <c r="K573" s="163"/>
      <c r="L573" s="163"/>
      <c r="M573" s="163"/>
      <c r="N573" s="163"/>
      <c r="O573" s="163"/>
      <c r="P573" s="163"/>
      <c r="Q573" s="541"/>
      <c r="R573" s="541"/>
      <c r="S573" s="541"/>
      <c r="T573" s="541"/>
      <c r="U573" s="541"/>
      <c r="V573" s="541"/>
      <c r="W573" s="541"/>
      <c r="X573" s="541"/>
      <c r="Y573" s="541"/>
      <c r="Z573" s="541"/>
    </row>
    <row r="574" spans="1:26" ht="18.75">
      <c r="A574" s="572"/>
      <c r="B574" s="584"/>
      <c r="C574" s="584"/>
      <c r="D574" s="592" t="s">
        <v>242</v>
      </c>
      <c r="E574" s="592"/>
      <c r="F574" s="592"/>
      <c r="G574" s="726"/>
      <c r="H574" s="728" t="s">
        <v>46</v>
      </c>
      <c r="I574" s="184"/>
      <c r="J574" s="214">
        <v>0</v>
      </c>
      <c r="K574" s="163"/>
      <c r="L574" s="163"/>
      <c r="M574" s="163"/>
      <c r="N574" s="163"/>
      <c r="O574" s="163"/>
      <c r="P574" s="163"/>
      <c r="Q574" s="541"/>
      <c r="R574" s="541"/>
      <c r="S574" s="541"/>
      <c r="T574" s="541"/>
      <c r="U574" s="541"/>
      <c r="V574" s="541"/>
      <c r="W574" s="541"/>
      <c r="X574" s="541"/>
      <c r="Y574" s="541"/>
      <c r="Z574" s="541"/>
    </row>
    <row r="575" spans="1:26" ht="18.75">
      <c r="A575" s="572"/>
      <c r="B575" s="584"/>
      <c r="C575" s="584"/>
      <c r="D575" s="584"/>
      <c r="E575" s="592"/>
      <c r="F575" s="592"/>
      <c r="G575" s="726"/>
      <c r="H575" s="728" t="s">
        <v>34</v>
      </c>
      <c r="I575" s="184"/>
      <c r="J575" s="214">
        <v>0</v>
      </c>
      <c r="K575" s="163"/>
      <c r="L575" s="163"/>
      <c r="M575" s="163"/>
      <c r="N575" s="163"/>
      <c r="O575" s="163"/>
      <c r="P575" s="163"/>
      <c r="Q575" s="541"/>
      <c r="R575" s="541"/>
      <c r="S575" s="541"/>
      <c r="T575" s="541"/>
      <c r="U575" s="541"/>
      <c r="V575" s="541"/>
      <c r="W575" s="541"/>
      <c r="X575" s="541"/>
      <c r="Y575" s="541"/>
      <c r="Z575" s="541"/>
    </row>
    <row r="576" spans="1:26" ht="19.5">
      <c r="A576" s="572"/>
      <c r="B576" s="584"/>
      <c r="C576" s="591" t="s">
        <v>243</v>
      </c>
      <c r="D576" s="584"/>
      <c r="E576" s="584"/>
      <c r="F576" s="592"/>
      <c r="G576" s="726"/>
      <c r="H576" s="731" t="s">
        <v>46</v>
      </c>
      <c r="I576" s="193">
        <f ca="1">IFERROR(__xludf.DUMMYFUNCTION("IMPORTRANGE(""https://docs.google.com/spreadsheets/d/1QqKyyYR6Q21VydFLVH3TRQUabQu_ym0Zz7PgGX0-kHA/edit?usp=sharing"",""แผน!HH26"")"),24651)</f>
        <v>24651</v>
      </c>
      <c r="J576" s="647">
        <f t="shared" ref="J576:J577" si="249">J578+J580+J582+J588+J590</f>
        <v>0</v>
      </c>
      <c r="K576" s="379">
        <f t="shared" ref="K576:K577" ca="1" si="250">IF(I576&gt;0,J576*100/I576,0)</f>
        <v>0</v>
      </c>
      <c r="L576" s="163"/>
      <c r="M576" s="163"/>
      <c r="N576" s="163"/>
      <c r="O576" s="163"/>
      <c r="P576" s="163"/>
      <c r="Q576" s="541"/>
      <c r="R576" s="541"/>
      <c r="S576" s="541"/>
      <c r="T576" s="541"/>
      <c r="U576" s="541"/>
      <c r="V576" s="541"/>
      <c r="W576" s="541"/>
      <c r="X576" s="541"/>
      <c r="Y576" s="541"/>
      <c r="Z576" s="541"/>
    </row>
    <row r="577" spans="1:26" ht="19.5">
      <c r="A577" s="572"/>
      <c r="B577" s="584"/>
      <c r="C577" s="584"/>
      <c r="D577" s="584"/>
      <c r="E577" s="592"/>
      <c r="F577" s="592"/>
      <c r="G577" s="726"/>
      <c r="H577" s="731" t="s">
        <v>34</v>
      </c>
      <c r="I577" s="193">
        <f ca="1">IFERROR(__xludf.DUMMYFUNCTION("IMPORTRANGE(""https://docs.google.com/spreadsheets/d/1QqKyyYR6Q21VydFLVH3TRQUabQu_ym0Zz7PgGX0-kHA/edit?usp=sharing"",""แผน!HG26"")"),4817)</f>
        <v>4817</v>
      </c>
      <c r="J577" s="647">
        <f t="shared" si="249"/>
        <v>0</v>
      </c>
      <c r="K577" s="379">
        <f t="shared" ca="1" si="250"/>
        <v>0</v>
      </c>
      <c r="L577" s="163"/>
      <c r="M577" s="163"/>
      <c r="N577" s="163"/>
      <c r="O577" s="163"/>
      <c r="P577" s="163"/>
      <c r="Q577" s="541"/>
      <c r="R577" s="541"/>
      <c r="S577" s="541"/>
      <c r="T577" s="541"/>
      <c r="U577" s="541"/>
      <c r="V577" s="541"/>
      <c r="W577" s="541"/>
      <c r="X577" s="541"/>
      <c r="Y577" s="541"/>
      <c r="Z577" s="541"/>
    </row>
    <row r="578" spans="1:26" ht="18.75">
      <c r="A578" s="572"/>
      <c r="B578" s="584"/>
      <c r="C578" s="584"/>
      <c r="D578" s="592" t="s">
        <v>244</v>
      </c>
      <c r="E578" s="592"/>
      <c r="F578" s="592"/>
      <c r="G578" s="726"/>
      <c r="H578" s="728" t="s">
        <v>46</v>
      </c>
      <c r="I578" s="184"/>
      <c r="J578" s="214">
        <v>0</v>
      </c>
      <c r="K578" s="163"/>
      <c r="L578" s="163"/>
      <c r="M578" s="163"/>
      <c r="N578" s="163"/>
      <c r="O578" s="163"/>
      <c r="P578" s="163"/>
      <c r="Q578" s="541"/>
      <c r="R578" s="541"/>
      <c r="S578" s="541"/>
      <c r="T578" s="541"/>
      <c r="U578" s="541"/>
      <c r="V578" s="541"/>
      <c r="W578" s="541"/>
      <c r="X578" s="541"/>
      <c r="Y578" s="541"/>
      <c r="Z578" s="541"/>
    </row>
    <row r="579" spans="1:26" ht="18.75">
      <c r="A579" s="572"/>
      <c r="B579" s="584"/>
      <c r="C579" s="584"/>
      <c r="D579" s="584"/>
      <c r="E579" s="592"/>
      <c r="F579" s="592"/>
      <c r="G579" s="726"/>
      <c r="H579" s="728" t="s">
        <v>34</v>
      </c>
      <c r="I579" s="184"/>
      <c r="J579" s="214">
        <v>0</v>
      </c>
      <c r="K579" s="163"/>
      <c r="L579" s="163"/>
      <c r="M579" s="163"/>
      <c r="N579" s="163"/>
      <c r="O579" s="163"/>
      <c r="P579" s="163"/>
      <c r="Q579" s="541"/>
      <c r="R579" s="541"/>
      <c r="S579" s="541"/>
      <c r="T579" s="541"/>
      <c r="U579" s="541"/>
      <c r="V579" s="541"/>
      <c r="W579" s="541"/>
      <c r="X579" s="541"/>
      <c r="Y579" s="541"/>
      <c r="Z579" s="541"/>
    </row>
    <row r="580" spans="1:26" ht="18.75">
      <c r="A580" s="572"/>
      <c r="B580" s="584"/>
      <c r="C580" s="584"/>
      <c r="D580" s="592" t="s">
        <v>245</v>
      </c>
      <c r="E580" s="592"/>
      <c r="F580" s="592"/>
      <c r="G580" s="726"/>
      <c r="H580" s="728" t="s">
        <v>46</v>
      </c>
      <c r="I580" s="184"/>
      <c r="J580" s="214">
        <v>0</v>
      </c>
      <c r="K580" s="163"/>
      <c r="L580" s="163"/>
      <c r="M580" s="163"/>
      <c r="N580" s="163"/>
      <c r="O580" s="163"/>
      <c r="P580" s="163"/>
      <c r="Q580" s="541"/>
      <c r="R580" s="541"/>
      <c r="S580" s="541"/>
      <c r="T580" s="541"/>
      <c r="U580" s="541"/>
      <c r="V580" s="541"/>
      <c r="W580" s="541"/>
      <c r="X580" s="541"/>
      <c r="Y580" s="541"/>
      <c r="Z580" s="541"/>
    </row>
    <row r="581" spans="1:26" ht="18.75">
      <c r="A581" s="572"/>
      <c r="B581" s="584"/>
      <c r="C581" s="584"/>
      <c r="D581" s="584"/>
      <c r="E581" s="592"/>
      <c r="F581" s="592"/>
      <c r="G581" s="726"/>
      <c r="H581" s="728" t="s">
        <v>34</v>
      </c>
      <c r="I581" s="184"/>
      <c r="J581" s="214">
        <v>0</v>
      </c>
      <c r="K581" s="163"/>
      <c r="L581" s="163"/>
      <c r="M581" s="163"/>
      <c r="N581" s="163"/>
      <c r="O581" s="163"/>
      <c r="P581" s="163"/>
      <c r="Q581" s="541"/>
      <c r="R581" s="541"/>
      <c r="S581" s="541"/>
      <c r="T581" s="541"/>
      <c r="U581" s="541"/>
      <c r="V581" s="541"/>
      <c r="W581" s="541"/>
      <c r="X581" s="541"/>
      <c r="Y581" s="541"/>
      <c r="Z581" s="541"/>
    </row>
    <row r="582" spans="1:26" ht="19.5">
      <c r="A582" s="572"/>
      <c r="B582" s="584"/>
      <c r="C582" s="584"/>
      <c r="D582" s="592" t="s">
        <v>246</v>
      </c>
      <c r="E582" s="592"/>
      <c r="F582" s="592"/>
      <c r="G582" s="726"/>
      <c r="H582" s="728" t="s">
        <v>46</v>
      </c>
      <c r="I582" s="184"/>
      <c r="J582" s="647">
        <f t="shared" ref="J582:J583" si="251">J584+J586</f>
        <v>0</v>
      </c>
      <c r="K582" s="379"/>
      <c r="L582" s="163"/>
      <c r="M582" s="163"/>
      <c r="N582" s="163"/>
      <c r="O582" s="163"/>
      <c r="P582" s="163"/>
      <c r="Q582" s="541"/>
      <c r="R582" s="541"/>
      <c r="S582" s="541"/>
      <c r="T582" s="541"/>
      <c r="U582" s="541"/>
      <c r="V582" s="541"/>
      <c r="W582" s="541"/>
      <c r="X582" s="541"/>
      <c r="Y582" s="541"/>
      <c r="Z582" s="541"/>
    </row>
    <row r="583" spans="1:26" ht="19.5">
      <c r="A583" s="572"/>
      <c r="B583" s="584"/>
      <c r="C583" s="584"/>
      <c r="D583" s="584"/>
      <c r="E583" s="592"/>
      <c r="F583" s="592"/>
      <c r="G583" s="726"/>
      <c r="H583" s="728" t="s">
        <v>34</v>
      </c>
      <c r="I583" s="184"/>
      <c r="J583" s="647">
        <f t="shared" si="251"/>
        <v>0</v>
      </c>
      <c r="K583" s="379"/>
      <c r="L583" s="163"/>
      <c r="M583" s="163"/>
      <c r="N583" s="163"/>
      <c r="O583" s="163"/>
      <c r="P583" s="163"/>
      <c r="Q583" s="541"/>
      <c r="R583" s="541"/>
      <c r="S583" s="541"/>
      <c r="T583" s="541"/>
      <c r="U583" s="541"/>
      <c r="V583" s="541"/>
      <c r="W583" s="541"/>
      <c r="X583" s="541"/>
      <c r="Y583" s="541"/>
      <c r="Z583" s="541"/>
    </row>
    <row r="584" spans="1:26" ht="18.75">
      <c r="A584" s="572"/>
      <c r="B584" s="584"/>
      <c r="C584" s="584"/>
      <c r="D584" s="584"/>
      <c r="E584" s="592" t="s">
        <v>247</v>
      </c>
      <c r="F584" s="592"/>
      <c r="G584" s="726"/>
      <c r="H584" s="728" t="s">
        <v>46</v>
      </c>
      <c r="I584" s="184"/>
      <c r="J584" s="214">
        <v>0</v>
      </c>
      <c r="K584" s="163"/>
      <c r="L584" s="163"/>
      <c r="M584" s="163"/>
      <c r="N584" s="163"/>
      <c r="O584" s="163"/>
      <c r="P584" s="163"/>
      <c r="Q584" s="541"/>
      <c r="R584" s="541"/>
      <c r="S584" s="541"/>
      <c r="T584" s="541"/>
      <c r="U584" s="541"/>
      <c r="V584" s="541"/>
      <c r="W584" s="541"/>
      <c r="X584" s="541"/>
      <c r="Y584" s="541"/>
      <c r="Z584" s="541"/>
    </row>
    <row r="585" spans="1:26" ht="18.75">
      <c r="A585" s="572"/>
      <c r="B585" s="584"/>
      <c r="C585" s="584"/>
      <c r="D585" s="584"/>
      <c r="E585" s="592"/>
      <c r="F585" s="592"/>
      <c r="G585" s="726"/>
      <c r="H585" s="728" t="s">
        <v>34</v>
      </c>
      <c r="I585" s="184"/>
      <c r="J585" s="214">
        <v>0</v>
      </c>
      <c r="K585" s="163"/>
      <c r="L585" s="163"/>
      <c r="M585" s="163"/>
      <c r="N585" s="163"/>
      <c r="O585" s="163"/>
      <c r="P585" s="163"/>
      <c r="Q585" s="541"/>
      <c r="R585" s="541"/>
      <c r="S585" s="541"/>
      <c r="T585" s="541"/>
      <c r="U585" s="541"/>
      <c r="V585" s="541"/>
      <c r="W585" s="541"/>
      <c r="X585" s="541"/>
      <c r="Y585" s="541"/>
      <c r="Z585" s="541"/>
    </row>
    <row r="586" spans="1:26" ht="18.75">
      <c r="A586" s="572"/>
      <c r="B586" s="584"/>
      <c r="C586" s="584"/>
      <c r="D586" s="584"/>
      <c r="E586" s="592" t="s">
        <v>248</v>
      </c>
      <c r="F586" s="592"/>
      <c r="G586" s="726"/>
      <c r="H586" s="728" t="s">
        <v>46</v>
      </c>
      <c r="I586" s="184"/>
      <c r="J586" s="214">
        <v>0</v>
      </c>
      <c r="K586" s="163"/>
      <c r="L586" s="163"/>
      <c r="M586" s="163"/>
      <c r="N586" s="163"/>
      <c r="O586" s="163"/>
      <c r="P586" s="163"/>
      <c r="Q586" s="541"/>
      <c r="R586" s="541"/>
      <c r="S586" s="541"/>
      <c r="T586" s="541"/>
      <c r="U586" s="541"/>
      <c r="V586" s="541"/>
      <c r="W586" s="541"/>
      <c r="X586" s="541"/>
      <c r="Y586" s="541"/>
      <c r="Z586" s="541"/>
    </row>
    <row r="587" spans="1:26" ht="18.75">
      <c r="A587" s="572"/>
      <c r="B587" s="584"/>
      <c r="C587" s="584"/>
      <c r="D587" s="584"/>
      <c r="E587" s="584"/>
      <c r="F587" s="592"/>
      <c r="G587" s="726"/>
      <c r="H587" s="728" t="s">
        <v>34</v>
      </c>
      <c r="I587" s="184"/>
      <c r="J587" s="214">
        <v>0</v>
      </c>
      <c r="K587" s="163"/>
      <c r="L587" s="163"/>
      <c r="M587" s="163"/>
      <c r="N587" s="163"/>
      <c r="O587" s="163"/>
      <c r="P587" s="163"/>
      <c r="Q587" s="541"/>
      <c r="R587" s="541"/>
      <c r="S587" s="541"/>
      <c r="T587" s="541"/>
      <c r="U587" s="541"/>
      <c r="V587" s="541"/>
      <c r="W587" s="541"/>
      <c r="X587" s="541"/>
      <c r="Y587" s="541"/>
      <c r="Z587" s="541"/>
    </row>
    <row r="588" spans="1:26" ht="18.75">
      <c r="A588" s="572"/>
      <c r="B588" s="584"/>
      <c r="C588" s="584"/>
      <c r="D588" s="592" t="s">
        <v>249</v>
      </c>
      <c r="E588" s="592"/>
      <c r="F588" s="592"/>
      <c r="G588" s="726"/>
      <c r="H588" s="728" t="s">
        <v>46</v>
      </c>
      <c r="I588" s="184"/>
      <c r="J588" s="214">
        <v>0</v>
      </c>
      <c r="K588" s="163"/>
      <c r="L588" s="163"/>
      <c r="M588" s="163"/>
      <c r="N588" s="163"/>
      <c r="O588" s="163"/>
      <c r="P588" s="163"/>
      <c r="Q588" s="541"/>
      <c r="R588" s="541"/>
      <c r="S588" s="541"/>
      <c r="T588" s="541"/>
      <c r="U588" s="541"/>
      <c r="V588" s="541"/>
      <c r="W588" s="541"/>
      <c r="X588" s="541"/>
      <c r="Y588" s="541"/>
      <c r="Z588" s="541"/>
    </row>
    <row r="589" spans="1:26" ht="18.75">
      <c r="A589" s="572"/>
      <c r="B589" s="584"/>
      <c r="C589" s="584"/>
      <c r="D589" s="584"/>
      <c r="E589" s="584"/>
      <c r="F589" s="592"/>
      <c r="G589" s="726"/>
      <c r="H589" s="728" t="s">
        <v>34</v>
      </c>
      <c r="I589" s="184"/>
      <c r="J589" s="214">
        <v>0</v>
      </c>
      <c r="K589" s="163"/>
      <c r="L589" s="163"/>
      <c r="M589" s="163"/>
      <c r="N589" s="163"/>
      <c r="O589" s="163"/>
      <c r="P589" s="163"/>
      <c r="Q589" s="541"/>
      <c r="R589" s="541"/>
      <c r="S589" s="541"/>
      <c r="T589" s="541"/>
      <c r="U589" s="541"/>
      <c r="V589" s="541"/>
      <c r="W589" s="541"/>
      <c r="X589" s="541"/>
      <c r="Y589" s="541"/>
      <c r="Z589" s="541"/>
    </row>
    <row r="590" spans="1:26" ht="18.75">
      <c r="A590" s="572"/>
      <c r="B590" s="584"/>
      <c r="C590" s="584"/>
      <c r="D590" s="592" t="s">
        <v>250</v>
      </c>
      <c r="E590" s="592"/>
      <c r="F590" s="592"/>
      <c r="G590" s="726"/>
      <c r="H590" s="728" t="s">
        <v>46</v>
      </c>
      <c r="I590" s="184"/>
      <c r="J590" s="214">
        <v>0</v>
      </c>
      <c r="K590" s="163"/>
      <c r="L590" s="163"/>
      <c r="M590" s="163"/>
      <c r="N590" s="163"/>
      <c r="O590" s="163"/>
      <c r="P590" s="163"/>
      <c r="Q590" s="541"/>
      <c r="R590" s="541"/>
      <c r="S590" s="541"/>
      <c r="T590" s="541"/>
      <c r="U590" s="541"/>
      <c r="V590" s="541"/>
      <c r="W590" s="541"/>
      <c r="X590" s="541"/>
      <c r="Y590" s="541"/>
      <c r="Z590" s="541"/>
    </row>
    <row r="591" spans="1:26" ht="18.75">
      <c r="A591" s="662"/>
      <c r="B591" s="663"/>
      <c r="C591" s="663"/>
      <c r="D591" s="663"/>
      <c r="E591" s="541"/>
      <c r="F591" s="541"/>
      <c r="G591" s="664"/>
      <c r="H591" s="665" t="s">
        <v>34</v>
      </c>
      <c r="I591" s="666"/>
      <c r="J591" s="667">
        <v>0</v>
      </c>
      <c r="K591" s="668"/>
      <c r="L591" s="668"/>
      <c r="M591" s="668"/>
      <c r="N591" s="668"/>
      <c r="O591" s="668"/>
      <c r="P591" s="668"/>
      <c r="Q591" s="541"/>
      <c r="R591" s="541"/>
      <c r="S591" s="541"/>
      <c r="T591" s="541"/>
      <c r="U591" s="541"/>
      <c r="V591" s="541"/>
      <c r="W591" s="541"/>
      <c r="X591" s="541"/>
      <c r="Y591" s="541"/>
      <c r="Z591" s="541"/>
    </row>
    <row r="592" spans="1:26" ht="19.5">
      <c r="A592" s="658"/>
      <c r="B592" s="659" t="s">
        <v>251</v>
      </c>
      <c r="C592" s="660"/>
      <c r="D592" s="660"/>
      <c r="E592" s="639"/>
      <c r="F592" s="639"/>
      <c r="G592" s="640"/>
      <c r="H592" s="661" t="s">
        <v>46</v>
      </c>
      <c r="I592" s="672">
        <f t="shared" ref="I592:J592" ca="1" si="252">I593</f>
        <v>4105</v>
      </c>
      <c r="J592" s="672">
        <f t="shared" si="252"/>
        <v>0</v>
      </c>
      <c r="K592" s="643">
        <f t="shared" ref="K592:K594" ca="1" si="253">IF(I592&gt;0,J592*100/I592,0)</f>
        <v>0</v>
      </c>
      <c r="L592" s="644"/>
      <c r="M592" s="644"/>
      <c r="N592" s="644"/>
      <c r="O592" s="644"/>
      <c r="P592" s="644"/>
      <c r="Q592" s="541"/>
      <c r="R592" s="541"/>
      <c r="S592" s="541"/>
      <c r="T592" s="541"/>
      <c r="U592" s="541"/>
      <c r="V592" s="541"/>
      <c r="W592" s="541"/>
      <c r="X592" s="541"/>
      <c r="Y592" s="541"/>
      <c r="Z592" s="541"/>
    </row>
    <row r="593" spans="1:26" ht="19.5">
      <c r="A593" s="572"/>
      <c r="B593" s="584"/>
      <c r="C593" s="591" t="s">
        <v>252</v>
      </c>
      <c r="D593" s="584"/>
      <c r="E593" s="584"/>
      <c r="F593" s="592"/>
      <c r="G593" s="726"/>
      <c r="H593" s="731" t="s">
        <v>46</v>
      </c>
      <c r="I593" s="193">
        <f ca="1">IFERROR(__xludf.DUMMYFUNCTION("IMPORTRANGE(""https://docs.google.com/spreadsheets/d/1QqKyyYR6Q21VydFLVH3TRQUabQu_ym0Zz7PgGX0-kHA/edit?usp=sharing"",""แผน!HJ26"")"),4105)</f>
        <v>4105</v>
      </c>
      <c r="J593" s="193">
        <f t="shared" ref="J593:J594" si="254">J595+J603+J609</f>
        <v>0</v>
      </c>
      <c r="K593" s="379">
        <f t="shared" ca="1" si="253"/>
        <v>0</v>
      </c>
      <c r="L593" s="163"/>
      <c r="M593" s="163"/>
      <c r="N593" s="163"/>
      <c r="O593" s="163"/>
      <c r="P593" s="163"/>
      <c r="Q593" s="541"/>
      <c r="R593" s="541"/>
      <c r="S593" s="541"/>
      <c r="T593" s="541"/>
      <c r="U593" s="541"/>
      <c r="V593" s="541"/>
      <c r="W593" s="541"/>
      <c r="X593" s="541"/>
      <c r="Y593" s="541"/>
      <c r="Z593" s="541"/>
    </row>
    <row r="594" spans="1:26" ht="19.5">
      <c r="A594" s="572"/>
      <c r="B594" s="584"/>
      <c r="C594" s="584"/>
      <c r="D594" s="584"/>
      <c r="E594" s="592"/>
      <c r="F594" s="592"/>
      <c r="G594" s="726"/>
      <c r="H594" s="731" t="s">
        <v>34</v>
      </c>
      <c r="I594" s="193">
        <f ca="1">IFERROR(__xludf.DUMMYFUNCTION("IMPORTRANGE(""https://docs.google.com/spreadsheets/d/1QqKyyYR6Q21VydFLVH3TRQUabQu_ym0Zz7PgGX0-kHA/edit?usp=sharing"",""แผน!HI26"")"),599)</f>
        <v>599</v>
      </c>
      <c r="J594" s="193">
        <f t="shared" si="254"/>
        <v>0</v>
      </c>
      <c r="K594" s="379">
        <f t="shared" ca="1" si="253"/>
        <v>0</v>
      </c>
      <c r="L594" s="163"/>
      <c r="M594" s="163"/>
      <c r="N594" s="163"/>
      <c r="O594" s="163"/>
      <c r="P594" s="163"/>
      <c r="Q594" s="541"/>
      <c r="R594" s="541"/>
      <c r="S594" s="541"/>
      <c r="T594" s="541"/>
      <c r="U594" s="541"/>
      <c r="V594" s="541"/>
      <c r="W594" s="541"/>
      <c r="X594" s="541"/>
      <c r="Y594" s="541"/>
      <c r="Z594" s="541"/>
    </row>
    <row r="595" spans="1:26" ht="18.75">
      <c r="A595" s="572"/>
      <c r="B595" s="584"/>
      <c r="C595" s="584" t="s">
        <v>253</v>
      </c>
      <c r="D595" s="584"/>
      <c r="E595" s="584"/>
      <c r="F595" s="592"/>
      <c r="G595" s="726"/>
      <c r="H595" s="728" t="s">
        <v>46</v>
      </c>
      <c r="I595" s="184"/>
      <c r="J595" s="184">
        <f t="shared" ref="J595:J596" si="255">J597+J599</f>
        <v>0</v>
      </c>
      <c r="K595" s="163"/>
      <c r="L595" s="163"/>
      <c r="M595" s="163"/>
      <c r="N595" s="163"/>
      <c r="O595" s="163"/>
      <c r="P595" s="163"/>
      <c r="Q595" s="541"/>
      <c r="R595" s="541"/>
      <c r="S595" s="541"/>
      <c r="T595" s="541"/>
      <c r="U595" s="541"/>
      <c r="V595" s="541"/>
      <c r="W595" s="541"/>
      <c r="X595" s="541"/>
      <c r="Y595" s="541"/>
      <c r="Z595" s="541"/>
    </row>
    <row r="596" spans="1:26" ht="18.75">
      <c r="A596" s="572"/>
      <c r="B596" s="584"/>
      <c r="C596" s="584"/>
      <c r="D596" s="584"/>
      <c r="E596" s="592"/>
      <c r="F596" s="592"/>
      <c r="G596" s="726"/>
      <c r="H596" s="728" t="s">
        <v>34</v>
      </c>
      <c r="I596" s="184"/>
      <c r="J596" s="184">
        <f t="shared" si="255"/>
        <v>0</v>
      </c>
      <c r="K596" s="163"/>
      <c r="L596" s="163"/>
      <c r="M596" s="163"/>
      <c r="N596" s="163"/>
      <c r="O596" s="163"/>
      <c r="P596" s="163"/>
      <c r="Q596" s="541"/>
      <c r="R596" s="541"/>
      <c r="S596" s="541"/>
      <c r="T596" s="541"/>
      <c r="U596" s="541"/>
      <c r="V596" s="541"/>
      <c r="W596" s="541"/>
      <c r="X596" s="541"/>
      <c r="Y596" s="541"/>
      <c r="Z596" s="541"/>
    </row>
    <row r="597" spans="1:26" ht="18.75">
      <c r="A597" s="572"/>
      <c r="B597" s="584"/>
      <c r="C597" s="584"/>
      <c r="D597" s="710" t="s">
        <v>254</v>
      </c>
      <c r="E597" s="592"/>
      <c r="F597" s="592"/>
      <c r="G597" s="726"/>
      <c r="H597" s="728" t="s">
        <v>46</v>
      </c>
      <c r="I597" s="184"/>
      <c r="J597" s="214">
        <v>0</v>
      </c>
      <c r="K597" s="163"/>
      <c r="L597" s="163"/>
      <c r="M597" s="163"/>
      <c r="N597" s="163"/>
      <c r="O597" s="163"/>
      <c r="P597" s="163"/>
      <c r="Q597" s="541"/>
      <c r="R597" s="541"/>
      <c r="S597" s="541"/>
      <c r="T597" s="541"/>
      <c r="U597" s="541"/>
      <c r="V597" s="541"/>
      <c r="W597" s="541"/>
      <c r="X597" s="541"/>
      <c r="Y597" s="541"/>
      <c r="Z597" s="541"/>
    </row>
    <row r="598" spans="1:26" ht="18.75">
      <c r="A598" s="572"/>
      <c r="B598" s="584"/>
      <c r="C598" s="584"/>
      <c r="D598" s="584"/>
      <c r="E598" s="592"/>
      <c r="F598" s="592"/>
      <c r="G598" s="726"/>
      <c r="H598" s="728" t="s">
        <v>34</v>
      </c>
      <c r="I598" s="269"/>
      <c r="J598" s="214">
        <v>0</v>
      </c>
      <c r="K598" s="163"/>
      <c r="L598" s="163"/>
      <c r="M598" s="163"/>
      <c r="N598" s="163"/>
      <c r="O598" s="163"/>
      <c r="P598" s="163"/>
      <c r="Q598" s="541"/>
      <c r="R598" s="541"/>
      <c r="S598" s="541"/>
      <c r="T598" s="541"/>
      <c r="U598" s="541"/>
      <c r="V598" s="541"/>
      <c r="W598" s="541"/>
      <c r="X598" s="541"/>
      <c r="Y598" s="541"/>
      <c r="Z598" s="541"/>
    </row>
    <row r="599" spans="1:26" ht="18.75">
      <c r="A599" s="572"/>
      <c r="B599" s="584"/>
      <c r="C599" s="584"/>
      <c r="D599" s="710" t="s">
        <v>255</v>
      </c>
      <c r="E599" s="592"/>
      <c r="F599" s="592"/>
      <c r="G599" s="726"/>
      <c r="H599" s="728" t="s">
        <v>46</v>
      </c>
      <c r="I599" s="269"/>
      <c r="J599" s="214">
        <v>0</v>
      </c>
      <c r="K599" s="163"/>
      <c r="L599" s="163"/>
      <c r="M599" s="163"/>
      <c r="N599" s="163"/>
      <c r="O599" s="163"/>
      <c r="P599" s="163"/>
      <c r="Q599" s="541"/>
      <c r="R599" s="541"/>
      <c r="S599" s="541"/>
      <c r="T599" s="541"/>
      <c r="U599" s="541"/>
      <c r="V599" s="541"/>
      <c r="W599" s="541"/>
      <c r="X599" s="541"/>
      <c r="Y599" s="541"/>
      <c r="Z599" s="541"/>
    </row>
    <row r="600" spans="1:26" ht="18.75">
      <c r="A600" s="572"/>
      <c r="B600" s="584"/>
      <c r="C600" s="584"/>
      <c r="D600" s="584"/>
      <c r="E600" s="592"/>
      <c r="F600" s="592"/>
      <c r="G600" s="726"/>
      <c r="H600" s="728" t="s">
        <v>34</v>
      </c>
      <c r="I600" s="269"/>
      <c r="J600" s="214">
        <v>0</v>
      </c>
      <c r="K600" s="163"/>
      <c r="L600" s="163"/>
      <c r="M600" s="163"/>
      <c r="N600" s="163"/>
      <c r="O600" s="163"/>
      <c r="P600" s="163"/>
      <c r="Q600" s="541"/>
      <c r="R600" s="541"/>
      <c r="S600" s="541"/>
      <c r="T600" s="541"/>
      <c r="U600" s="541"/>
      <c r="V600" s="541"/>
      <c r="W600" s="541"/>
      <c r="X600" s="541"/>
      <c r="Y600" s="541"/>
      <c r="Z600" s="541"/>
    </row>
    <row r="601" spans="1:26" ht="18.75">
      <c r="A601" s="572"/>
      <c r="B601" s="584"/>
      <c r="C601" s="584"/>
      <c r="D601" s="710" t="s">
        <v>256</v>
      </c>
      <c r="E601" s="592"/>
      <c r="F601" s="592"/>
      <c r="G601" s="726"/>
      <c r="H601" s="728" t="s">
        <v>46</v>
      </c>
      <c r="I601" s="269"/>
      <c r="J601" s="214">
        <v>0</v>
      </c>
      <c r="K601" s="163"/>
      <c r="L601" s="163"/>
      <c r="M601" s="163"/>
      <c r="N601" s="163"/>
      <c r="O601" s="163"/>
      <c r="P601" s="163"/>
      <c r="Q601" s="541"/>
      <c r="R601" s="541"/>
      <c r="S601" s="541"/>
      <c r="T601" s="541"/>
      <c r="U601" s="541"/>
      <c r="V601" s="541"/>
      <c r="W601" s="541"/>
      <c r="X601" s="541"/>
      <c r="Y601" s="541"/>
      <c r="Z601" s="541"/>
    </row>
    <row r="602" spans="1:26" ht="18.75">
      <c r="A602" s="572"/>
      <c r="B602" s="584"/>
      <c r="C602" s="584"/>
      <c r="D602" s="584"/>
      <c r="E602" s="592"/>
      <c r="F602" s="592"/>
      <c r="G602" s="726"/>
      <c r="H602" s="728" t="s">
        <v>34</v>
      </c>
      <c r="I602" s="269"/>
      <c r="J602" s="214">
        <v>0</v>
      </c>
      <c r="K602" s="163"/>
      <c r="L602" s="163"/>
      <c r="M602" s="163"/>
      <c r="N602" s="163"/>
      <c r="O602" s="163"/>
      <c r="P602" s="163"/>
      <c r="Q602" s="541"/>
      <c r="R602" s="541"/>
      <c r="S602" s="541"/>
      <c r="T602" s="541"/>
      <c r="U602" s="541"/>
      <c r="V602" s="541"/>
      <c r="W602" s="541"/>
      <c r="X602" s="541"/>
      <c r="Y602" s="541"/>
      <c r="Z602" s="541"/>
    </row>
    <row r="603" spans="1:26" ht="18.75">
      <c r="A603" s="572"/>
      <c r="B603" s="584"/>
      <c r="C603" s="669" t="s">
        <v>257</v>
      </c>
      <c r="D603" s="584"/>
      <c r="E603" s="584"/>
      <c r="F603" s="592"/>
      <c r="G603" s="726"/>
      <c r="H603" s="728" t="s">
        <v>46</v>
      </c>
      <c r="I603" s="269"/>
      <c r="J603" s="269">
        <f t="shared" ref="J603:J604" si="256">J605+J607</f>
        <v>0</v>
      </c>
      <c r="K603" s="163"/>
      <c r="L603" s="163"/>
      <c r="M603" s="163"/>
      <c r="N603" s="163"/>
      <c r="O603" s="163"/>
      <c r="P603" s="163"/>
      <c r="Q603" s="541"/>
      <c r="R603" s="541"/>
      <c r="S603" s="541"/>
      <c r="T603" s="541"/>
      <c r="U603" s="541"/>
      <c r="V603" s="541"/>
      <c r="W603" s="541"/>
      <c r="X603" s="541"/>
      <c r="Y603" s="541"/>
      <c r="Z603" s="541"/>
    </row>
    <row r="604" spans="1:26" ht="18.75">
      <c r="A604" s="572"/>
      <c r="B604" s="584"/>
      <c r="C604" s="584"/>
      <c r="D604" s="584"/>
      <c r="E604" s="592"/>
      <c r="F604" s="592"/>
      <c r="G604" s="726"/>
      <c r="H604" s="728" t="s">
        <v>34</v>
      </c>
      <c r="I604" s="269"/>
      <c r="J604" s="269">
        <f t="shared" si="256"/>
        <v>0</v>
      </c>
      <c r="K604" s="163"/>
      <c r="L604" s="163"/>
      <c r="M604" s="163"/>
      <c r="N604" s="163"/>
      <c r="O604" s="163"/>
      <c r="P604" s="163"/>
      <c r="Q604" s="541"/>
      <c r="R604" s="541"/>
      <c r="S604" s="541"/>
      <c r="T604" s="541"/>
      <c r="U604" s="541"/>
      <c r="V604" s="541"/>
      <c r="W604" s="541"/>
      <c r="X604" s="541"/>
      <c r="Y604" s="541"/>
      <c r="Z604" s="541"/>
    </row>
    <row r="605" spans="1:26" ht="18.75">
      <c r="A605" s="572"/>
      <c r="B605" s="584"/>
      <c r="C605" s="584"/>
      <c r="D605" s="669" t="s">
        <v>258</v>
      </c>
      <c r="E605" s="592"/>
      <c r="F605" s="592"/>
      <c r="G605" s="726"/>
      <c r="H605" s="728" t="s">
        <v>46</v>
      </c>
      <c r="I605" s="269"/>
      <c r="J605" s="214">
        <v>0</v>
      </c>
      <c r="K605" s="163"/>
      <c r="L605" s="163"/>
      <c r="M605" s="163"/>
      <c r="N605" s="163"/>
      <c r="O605" s="163"/>
      <c r="P605" s="163"/>
      <c r="Q605" s="541"/>
      <c r="R605" s="541"/>
      <c r="S605" s="541"/>
      <c r="T605" s="541"/>
      <c r="U605" s="541"/>
      <c r="V605" s="541"/>
      <c r="W605" s="541"/>
      <c r="X605" s="541"/>
      <c r="Y605" s="541"/>
      <c r="Z605" s="541"/>
    </row>
    <row r="606" spans="1:26" ht="18.75">
      <c r="A606" s="572"/>
      <c r="B606" s="584"/>
      <c r="C606" s="584"/>
      <c r="D606" s="584"/>
      <c r="E606" s="584"/>
      <c r="F606" s="592"/>
      <c r="G606" s="726"/>
      <c r="H606" s="728" t="s">
        <v>34</v>
      </c>
      <c r="I606" s="269"/>
      <c r="J606" s="214">
        <v>0</v>
      </c>
      <c r="K606" s="163"/>
      <c r="L606" s="163"/>
      <c r="M606" s="163"/>
      <c r="N606" s="163"/>
      <c r="O606" s="163"/>
      <c r="P606" s="163"/>
      <c r="Q606" s="541"/>
      <c r="R606" s="541"/>
      <c r="S606" s="541"/>
      <c r="T606" s="541"/>
      <c r="U606" s="541"/>
      <c r="V606" s="541"/>
      <c r="W606" s="541"/>
      <c r="X606" s="541"/>
      <c r="Y606" s="541"/>
      <c r="Z606" s="541"/>
    </row>
    <row r="607" spans="1:26" ht="18.75">
      <c r="A607" s="572"/>
      <c r="B607" s="584"/>
      <c r="C607" s="584"/>
      <c r="D607" s="669" t="s">
        <v>259</v>
      </c>
      <c r="E607" s="584"/>
      <c r="F607" s="592"/>
      <c r="G607" s="726"/>
      <c r="H607" s="728" t="s">
        <v>46</v>
      </c>
      <c r="I607" s="269"/>
      <c r="J607" s="214">
        <v>0</v>
      </c>
      <c r="K607" s="163"/>
      <c r="L607" s="163"/>
      <c r="M607" s="163"/>
      <c r="N607" s="163"/>
      <c r="O607" s="163"/>
      <c r="P607" s="163"/>
      <c r="Q607" s="541"/>
      <c r="R607" s="541"/>
      <c r="S607" s="541"/>
      <c r="T607" s="541"/>
      <c r="U607" s="541"/>
      <c r="V607" s="541"/>
      <c r="W607" s="541"/>
      <c r="X607" s="541"/>
      <c r="Y607" s="541"/>
      <c r="Z607" s="541"/>
    </row>
    <row r="608" spans="1:26" ht="18.75">
      <c r="A608" s="572"/>
      <c r="B608" s="584"/>
      <c r="C608" s="584"/>
      <c r="D608" s="584"/>
      <c r="E608" s="592"/>
      <c r="F608" s="592"/>
      <c r="G608" s="726"/>
      <c r="H608" s="728" t="s">
        <v>34</v>
      </c>
      <c r="I608" s="269"/>
      <c r="J608" s="214">
        <v>0</v>
      </c>
      <c r="K608" s="163"/>
      <c r="L608" s="163"/>
      <c r="M608" s="163"/>
      <c r="N608" s="163"/>
      <c r="O608" s="163"/>
      <c r="P608" s="163"/>
      <c r="Q608" s="541"/>
      <c r="R608" s="541"/>
      <c r="S608" s="541"/>
      <c r="T608" s="541"/>
      <c r="U608" s="541"/>
      <c r="V608" s="541"/>
      <c r="W608" s="541"/>
      <c r="X608" s="541"/>
      <c r="Y608" s="541"/>
      <c r="Z608" s="541"/>
    </row>
    <row r="609" spans="1:26" ht="18.75">
      <c r="A609" s="572"/>
      <c r="B609" s="584"/>
      <c r="C609" s="584" t="s">
        <v>260</v>
      </c>
      <c r="D609" s="584"/>
      <c r="E609" s="584"/>
      <c r="F609" s="592"/>
      <c r="G609" s="726"/>
      <c r="H609" s="728" t="s">
        <v>46</v>
      </c>
      <c r="I609" s="269"/>
      <c r="J609" s="214">
        <v>0</v>
      </c>
      <c r="K609" s="163"/>
      <c r="L609" s="163"/>
      <c r="M609" s="163"/>
      <c r="N609" s="163"/>
      <c r="O609" s="163"/>
      <c r="P609" s="163"/>
      <c r="Q609" s="541"/>
      <c r="R609" s="541"/>
      <c r="S609" s="541"/>
      <c r="T609" s="541"/>
      <c r="U609" s="541"/>
      <c r="V609" s="541"/>
      <c r="W609" s="541"/>
      <c r="X609" s="541"/>
      <c r="Y609" s="541"/>
      <c r="Z609" s="541"/>
    </row>
    <row r="610" spans="1:26" ht="18.75">
      <c r="A610" s="572"/>
      <c r="B610" s="584"/>
      <c r="C610" s="584"/>
      <c r="D610" s="584"/>
      <c r="E610" s="592"/>
      <c r="F610" s="592"/>
      <c r="G610" s="726"/>
      <c r="H610" s="728" t="s">
        <v>34</v>
      </c>
      <c r="I610" s="269"/>
      <c r="J610" s="214">
        <v>0</v>
      </c>
      <c r="K610" s="163"/>
      <c r="L610" s="163"/>
      <c r="M610" s="163"/>
      <c r="N610" s="163"/>
      <c r="O610" s="163"/>
      <c r="P610" s="163"/>
      <c r="Q610" s="541"/>
      <c r="R610" s="541"/>
      <c r="S610" s="541"/>
      <c r="T610" s="541"/>
      <c r="U610" s="541"/>
      <c r="V610" s="541"/>
      <c r="W610" s="541"/>
      <c r="X610" s="541"/>
      <c r="Y610" s="541"/>
      <c r="Z610" s="541"/>
    </row>
    <row r="611" spans="1:26" ht="19.5">
      <c r="A611" s="658"/>
      <c r="B611" s="670" t="s">
        <v>261</v>
      </c>
      <c r="C611" s="660"/>
      <c r="D611" s="660"/>
      <c r="E611" s="639"/>
      <c r="F611" s="639"/>
      <c r="G611" s="640"/>
      <c r="H611" s="671" t="s">
        <v>46</v>
      </c>
      <c r="I611" s="672">
        <v>0</v>
      </c>
      <c r="J611" s="672">
        <f>J614+J616</f>
        <v>0</v>
      </c>
      <c r="K611" s="643">
        <f t="shared" ref="K611:K613" si="257">IF(I611&gt;0,J611*100/I611,0)</f>
        <v>0</v>
      </c>
      <c r="L611" s="644"/>
      <c r="M611" s="644"/>
      <c r="N611" s="644"/>
      <c r="O611" s="644"/>
      <c r="P611" s="644"/>
      <c r="Q611" s="541"/>
      <c r="R611" s="541"/>
      <c r="S611" s="541"/>
      <c r="T611" s="541"/>
      <c r="U611" s="541"/>
      <c r="V611" s="541"/>
      <c r="W611" s="541"/>
      <c r="X611" s="541"/>
      <c r="Y611" s="541"/>
      <c r="Z611" s="541"/>
    </row>
    <row r="612" spans="1:26" ht="19.5" hidden="1">
      <c r="A612" s="673"/>
      <c r="B612" s="683"/>
      <c r="C612" s="675" t="s">
        <v>262</v>
      </c>
      <c r="D612" s="683"/>
      <c r="E612" s="683"/>
      <c r="F612" s="676"/>
      <c r="G612" s="677"/>
      <c r="H612" s="678" t="s">
        <v>46</v>
      </c>
      <c r="I612" s="680">
        <v>0</v>
      </c>
      <c r="J612" s="680">
        <f t="shared" ref="J612:J613" si="258">J614+J616</f>
        <v>0</v>
      </c>
      <c r="K612" s="681">
        <f t="shared" si="257"/>
        <v>0</v>
      </c>
      <c r="L612" s="682"/>
      <c r="M612" s="682"/>
      <c r="N612" s="682"/>
      <c r="O612" s="682"/>
      <c r="P612" s="682"/>
      <c r="Q612" s="568"/>
      <c r="R612" s="568"/>
      <c r="S612" s="568"/>
      <c r="T612" s="568"/>
      <c r="U612" s="568"/>
      <c r="V612" s="568"/>
      <c r="W612" s="568"/>
      <c r="X612" s="568"/>
      <c r="Y612" s="568"/>
      <c r="Z612" s="568"/>
    </row>
    <row r="613" spans="1:26" ht="19.5" hidden="1">
      <c r="A613" s="673"/>
      <c r="B613" s="683"/>
      <c r="C613" s="683" t="s">
        <v>263</v>
      </c>
      <c r="D613" s="683"/>
      <c r="E613" s="683"/>
      <c r="F613" s="676"/>
      <c r="G613" s="677"/>
      <c r="H613" s="678" t="s">
        <v>34</v>
      </c>
      <c r="I613" s="680">
        <v>0</v>
      </c>
      <c r="J613" s="680">
        <f t="shared" si="258"/>
        <v>0</v>
      </c>
      <c r="K613" s="681">
        <f t="shared" si="257"/>
        <v>0</v>
      </c>
      <c r="L613" s="682"/>
      <c r="M613" s="682"/>
      <c r="N613" s="682"/>
      <c r="O613" s="682"/>
      <c r="P613" s="682"/>
      <c r="Q613" s="568"/>
      <c r="R613" s="568"/>
      <c r="S613" s="568"/>
      <c r="T613" s="568"/>
      <c r="U613" s="568"/>
      <c r="V613" s="568"/>
      <c r="W613" s="568"/>
      <c r="X613" s="568"/>
      <c r="Y613" s="568"/>
      <c r="Z613" s="568"/>
    </row>
    <row r="614" spans="1:26" ht="18.75" hidden="1">
      <c r="A614" s="578"/>
      <c r="B614" s="580"/>
      <c r="C614" s="580"/>
      <c r="D614" s="684" t="s">
        <v>264</v>
      </c>
      <c r="E614" s="580"/>
      <c r="F614" s="684"/>
      <c r="G614" s="581"/>
      <c r="H614" s="582" t="s">
        <v>46</v>
      </c>
      <c r="I614" s="583"/>
      <c r="J614" s="583">
        <v>0</v>
      </c>
      <c r="K614" s="167"/>
      <c r="L614" s="167"/>
      <c r="M614" s="167"/>
      <c r="N614" s="167"/>
      <c r="O614" s="167"/>
      <c r="P614" s="167"/>
      <c r="Q614" s="568"/>
      <c r="R614" s="568"/>
      <c r="S614" s="568"/>
      <c r="T614" s="568"/>
      <c r="U614" s="568"/>
      <c r="V614" s="568"/>
      <c r="W614" s="568"/>
      <c r="X614" s="568"/>
      <c r="Y614" s="568"/>
      <c r="Z614" s="568"/>
    </row>
    <row r="615" spans="1:26" ht="18.75" hidden="1">
      <c r="A615" s="578"/>
      <c r="B615" s="580"/>
      <c r="C615" s="580"/>
      <c r="D615" s="580"/>
      <c r="E615" s="580"/>
      <c r="F615" s="684"/>
      <c r="G615" s="581"/>
      <c r="H615" s="582" t="s">
        <v>34</v>
      </c>
      <c r="I615" s="583"/>
      <c r="J615" s="583">
        <v>0</v>
      </c>
      <c r="K615" s="167"/>
      <c r="L615" s="167"/>
      <c r="M615" s="167"/>
      <c r="N615" s="167"/>
      <c r="O615" s="167"/>
      <c r="P615" s="167"/>
      <c r="Q615" s="568"/>
      <c r="R615" s="568"/>
      <c r="S615" s="568"/>
      <c r="T615" s="568"/>
      <c r="U615" s="568"/>
      <c r="V615" s="568"/>
      <c r="W615" s="568"/>
      <c r="X615" s="568"/>
      <c r="Y615" s="568"/>
      <c r="Z615" s="568"/>
    </row>
    <row r="616" spans="1:26" ht="18.75" hidden="1">
      <c r="A616" s="578"/>
      <c r="B616" s="580"/>
      <c r="C616" s="580"/>
      <c r="D616" s="685" t="s">
        <v>264</v>
      </c>
      <c r="E616" s="684"/>
      <c r="F616" s="684"/>
      <c r="G616" s="581"/>
      <c r="H616" s="582" t="s">
        <v>46</v>
      </c>
      <c r="I616" s="583"/>
      <c r="J616" s="583">
        <v>0</v>
      </c>
      <c r="K616" s="167"/>
      <c r="L616" s="167"/>
      <c r="M616" s="167"/>
      <c r="N616" s="167"/>
      <c r="O616" s="167"/>
      <c r="P616" s="167"/>
      <c r="Q616" s="568"/>
      <c r="R616" s="568"/>
      <c r="S616" s="568"/>
      <c r="T616" s="568"/>
      <c r="U616" s="568"/>
      <c r="V616" s="568"/>
      <c r="W616" s="568"/>
      <c r="X616" s="568"/>
      <c r="Y616" s="568"/>
      <c r="Z616" s="568"/>
    </row>
    <row r="617" spans="1:26" ht="18.75" hidden="1">
      <c r="A617" s="578"/>
      <c r="B617" s="580"/>
      <c r="C617" s="580"/>
      <c r="D617" s="580"/>
      <c r="E617" s="684"/>
      <c r="F617" s="684"/>
      <c r="G617" s="581"/>
      <c r="H617" s="582" t="s">
        <v>34</v>
      </c>
      <c r="I617" s="583"/>
      <c r="J617" s="583">
        <v>0</v>
      </c>
      <c r="K617" s="167"/>
      <c r="L617" s="167"/>
      <c r="M617" s="167"/>
      <c r="N617" s="167"/>
      <c r="O617" s="167"/>
      <c r="P617" s="167"/>
      <c r="Q617" s="568"/>
      <c r="R617" s="568"/>
      <c r="S617" s="568"/>
      <c r="T617" s="568"/>
      <c r="U617" s="568"/>
      <c r="V617" s="568"/>
      <c r="W617" s="568"/>
      <c r="X617" s="568"/>
      <c r="Y617" s="568"/>
      <c r="Z617" s="568"/>
    </row>
    <row r="618" spans="1:26" ht="18.75" hidden="1">
      <c r="A618" s="578"/>
      <c r="B618" s="580"/>
      <c r="C618" s="580"/>
      <c r="D618" s="685" t="s">
        <v>265</v>
      </c>
      <c r="E618" s="684"/>
      <c r="F618" s="684"/>
      <c r="G618" s="581"/>
      <c r="H618" s="582" t="s">
        <v>46</v>
      </c>
      <c r="I618" s="583"/>
      <c r="J618" s="583">
        <v>0</v>
      </c>
      <c r="K618" s="167"/>
      <c r="L618" s="167"/>
      <c r="M618" s="167"/>
      <c r="N618" s="167"/>
      <c r="O618" s="167"/>
      <c r="P618" s="167"/>
      <c r="Q618" s="568"/>
      <c r="R618" s="568"/>
      <c r="S618" s="568"/>
      <c r="T618" s="568"/>
      <c r="U618" s="568"/>
      <c r="V618" s="568"/>
      <c r="W618" s="568"/>
      <c r="X618" s="568"/>
      <c r="Y618" s="568"/>
      <c r="Z618" s="568"/>
    </row>
    <row r="619" spans="1:26" ht="18.75" hidden="1">
      <c r="A619" s="578"/>
      <c r="B619" s="580"/>
      <c r="C619" s="580"/>
      <c r="D619" s="580"/>
      <c r="E619" s="684"/>
      <c r="F619" s="684"/>
      <c r="G619" s="581"/>
      <c r="H619" s="582" t="s">
        <v>34</v>
      </c>
      <c r="I619" s="583"/>
      <c r="J619" s="583">
        <v>0</v>
      </c>
      <c r="K619" s="167"/>
      <c r="L619" s="167"/>
      <c r="M619" s="167"/>
      <c r="N619" s="167"/>
      <c r="O619" s="167"/>
      <c r="P619" s="167"/>
      <c r="Q619" s="568"/>
      <c r="R619" s="568"/>
      <c r="S619" s="568"/>
      <c r="T619" s="568"/>
      <c r="U619" s="568"/>
      <c r="V619" s="568"/>
      <c r="W619" s="568"/>
      <c r="X619" s="568"/>
      <c r="Y619" s="568"/>
      <c r="Z619" s="568"/>
    </row>
    <row r="620" spans="1:26" ht="19.5">
      <c r="A620" s="686"/>
      <c r="B620" s="695"/>
      <c r="C620" s="688" t="s">
        <v>266</v>
      </c>
      <c r="D620" s="695"/>
      <c r="E620" s="695"/>
      <c r="F620" s="689"/>
      <c r="G620" s="690"/>
      <c r="H620" s="691" t="s">
        <v>46</v>
      </c>
      <c r="I620" s="692">
        <f ca="1">IFERROR(__xludf.DUMMYFUNCTION("IMPORTRANGE(""https://docs.google.com/spreadsheets/d/1QqKyyYR6Q21VydFLVH3TRQUabQu_ym0Zz7PgGX0-kHA/edit?usp=sharing"",""แผน!HL26"")"),0)</f>
        <v>0</v>
      </c>
      <c r="J620" s="692">
        <f t="shared" ref="J620:J621" si="259">J622+J624+J626</f>
        <v>0</v>
      </c>
      <c r="K620" s="693">
        <f t="shared" ref="K620:K621" ca="1" si="260">IF(I620&gt;0,J620*100/I620,0)</f>
        <v>0</v>
      </c>
      <c r="L620" s="694"/>
      <c r="M620" s="694"/>
      <c r="N620" s="694"/>
      <c r="O620" s="694"/>
      <c r="P620" s="694"/>
      <c r="Q620" s="541"/>
      <c r="R620" s="541"/>
      <c r="S620" s="541"/>
      <c r="T620" s="541"/>
      <c r="U620" s="541"/>
      <c r="V620" s="541"/>
      <c r="W620" s="541"/>
      <c r="X620" s="541"/>
      <c r="Y620" s="541"/>
      <c r="Z620" s="541"/>
    </row>
    <row r="621" spans="1:26" ht="19.5">
      <c r="A621" s="686"/>
      <c r="B621" s="695"/>
      <c r="C621" s="695" t="s">
        <v>267</v>
      </c>
      <c r="D621" s="695"/>
      <c r="E621" s="695"/>
      <c r="F621" s="689"/>
      <c r="G621" s="690"/>
      <c r="H621" s="691" t="s">
        <v>34</v>
      </c>
      <c r="I621" s="692">
        <f ca="1">IFERROR(__xludf.DUMMYFUNCTION("IMPORTRANGE(""https://docs.google.com/spreadsheets/d/1QqKyyYR6Q21VydFLVH3TRQUabQu_ym0Zz7PgGX0-kHA/edit?usp=sharing"",""แผน!HK26"")"),0)</f>
        <v>0</v>
      </c>
      <c r="J621" s="692">
        <f t="shared" si="259"/>
        <v>0</v>
      </c>
      <c r="K621" s="693">
        <f t="shared" ca="1" si="260"/>
        <v>0</v>
      </c>
      <c r="L621" s="694"/>
      <c r="M621" s="694"/>
      <c r="N621" s="694"/>
      <c r="O621" s="694"/>
      <c r="P621" s="694"/>
      <c r="Q621" s="541"/>
      <c r="R621" s="541"/>
      <c r="S621" s="541"/>
      <c r="T621" s="541"/>
      <c r="U621" s="541"/>
      <c r="V621" s="541"/>
      <c r="W621" s="541"/>
      <c r="X621" s="541"/>
      <c r="Y621" s="541"/>
      <c r="Z621" s="541"/>
    </row>
    <row r="622" spans="1:26" ht="18.75">
      <c r="A622" s="572"/>
      <c r="B622" s="584"/>
      <c r="C622" s="584"/>
      <c r="D622" s="710" t="s">
        <v>268</v>
      </c>
      <c r="E622" s="592"/>
      <c r="F622" s="592"/>
      <c r="G622" s="726"/>
      <c r="H622" s="728" t="s">
        <v>46</v>
      </c>
      <c r="I622" s="269"/>
      <c r="J622" s="214">
        <v>0</v>
      </c>
      <c r="K622" s="163"/>
      <c r="L622" s="163"/>
      <c r="M622" s="163"/>
      <c r="N622" s="163"/>
      <c r="O622" s="163"/>
      <c r="P622" s="163"/>
      <c r="Q622" s="541"/>
      <c r="R622" s="541"/>
      <c r="S622" s="541"/>
      <c r="T622" s="541"/>
      <c r="U622" s="541"/>
      <c r="V622" s="541"/>
      <c r="W622" s="541"/>
      <c r="X622" s="541"/>
      <c r="Y622" s="541"/>
      <c r="Z622" s="541"/>
    </row>
    <row r="623" spans="1:26" ht="18.75">
      <c r="A623" s="572"/>
      <c r="B623" s="584"/>
      <c r="C623" s="584"/>
      <c r="D623" s="584"/>
      <c r="E623" s="592"/>
      <c r="F623" s="592"/>
      <c r="G623" s="726"/>
      <c r="H623" s="728" t="s">
        <v>34</v>
      </c>
      <c r="I623" s="269"/>
      <c r="J623" s="214">
        <v>0</v>
      </c>
      <c r="K623" s="163"/>
      <c r="L623" s="163"/>
      <c r="M623" s="163"/>
      <c r="N623" s="163"/>
      <c r="O623" s="163"/>
      <c r="P623" s="163"/>
      <c r="Q623" s="541"/>
      <c r="R623" s="541"/>
      <c r="S623" s="541"/>
      <c r="T623" s="541"/>
      <c r="U623" s="541"/>
      <c r="V623" s="541"/>
      <c r="W623" s="541"/>
      <c r="X623" s="541"/>
      <c r="Y623" s="541"/>
      <c r="Z623" s="541"/>
    </row>
    <row r="624" spans="1:26" ht="18.75">
      <c r="A624" s="572"/>
      <c r="B624" s="584"/>
      <c r="C624" s="584"/>
      <c r="D624" s="710" t="s">
        <v>264</v>
      </c>
      <c r="E624" s="592"/>
      <c r="F624" s="592"/>
      <c r="G624" s="726"/>
      <c r="H624" s="728" t="s">
        <v>46</v>
      </c>
      <c r="I624" s="269"/>
      <c r="J624" s="214">
        <v>0</v>
      </c>
      <c r="K624" s="163"/>
      <c r="L624" s="163"/>
      <c r="M624" s="163"/>
      <c r="N624" s="163"/>
      <c r="O624" s="163"/>
      <c r="P624" s="163"/>
      <c r="Q624" s="541"/>
      <c r="R624" s="541"/>
      <c r="S624" s="541"/>
      <c r="T624" s="541"/>
      <c r="U624" s="541"/>
      <c r="V624" s="541"/>
      <c r="W624" s="541"/>
      <c r="X624" s="541"/>
      <c r="Y624" s="541"/>
      <c r="Z624" s="541"/>
    </row>
    <row r="625" spans="1:26" ht="18.75">
      <c r="A625" s="572"/>
      <c r="B625" s="584"/>
      <c r="C625" s="584"/>
      <c r="D625" s="584"/>
      <c r="E625" s="592"/>
      <c r="F625" s="592"/>
      <c r="G625" s="726"/>
      <c r="H625" s="728" t="s">
        <v>34</v>
      </c>
      <c r="I625" s="269"/>
      <c r="J625" s="214">
        <v>0</v>
      </c>
      <c r="K625" s="163"/>
      <c r="L625" s="163"/>
      <c r="M625" s="163"/>
      <c r="N625" s="163"/>
      <c r="O625" s="163"/>
      <c r="P625" s="163"/>
      <c r="Q625" s="541"/>
      <c r="R625" s="541"/>
      <c r="S625" s="541"/>
      <c r="T625" s="541"/>
      <c r="U625" s="541"/>
      <c r="V625" s="541"/>
      <c r="W625" s="541"/>
      <c r="X625" s="541"/>
      <c r="Y625" s="541"/>
      <c r="Z625" s="541"/>
    </row>
    <row r="626" spans="1:26" ht="18.75">
      <c r="A626" s="572"/>
      <c r="B626" s="584"/>
      <c r="C626" s="584"/>
      <c r="D626" s="710" t="s">
        <v>269</v>
      </c>
      <c r="E626" s="592"/>
      <c r="F626" s="592"/>
      <c r="G626" s="726"/>
      <c r="H626" s="728" t="s">
        <v>46</v>
      </c>
      <c r="I626" s="269"/>
      <c r="J626" s="214">
        <v>0</v>
      </c>
      <c r="K626" s="163"/>
      <c r="L626" s="163"/>
      <c r="M626" s="163"/>
      <c r="N626" s="163"/>
      <c r="O626" s="163"/>
      <c r="P626" s="163"/>
      <c r="Q626" s="541"/>
      <c r="R626" s="541"/>
      <c r="S626" s="541"/>
      <c r="T626" s="541"/>
      <c r="U626" s="541"/>
      <c r="V626" s="541"/>
      <c r="W626" s="541"/>
      <c r="X626" s="541"/>
      <c r="Y626" s="541"/>
      <c r="Z626" s="541"/>
    </row>
    <row r="627" spans="1:26" ht="18.75">
      <c r="A627" s="696"/>
      <c r="B627" s="697"/>
      <c r="C627" s="697"/>
      <c r="D627" s="697"/>
      <c r="E627" s="698"/>
      <c r="F627" s="698"/>
      <c r="G627" s="699"/>
      <c r="H627" s="390" t="s">
        <v>34</v>
      </c>
      <c r="I627" s="468"/>
      <c r="J627" s="392">
        <v>0</v>
      </c>
      <c r="K627" s="353"/>
      <c r="L627" s="353"/>
      <c r="M627" s="353"/>
      <c r="N627" s="353"/>
      <c r="O627" s="353"/>
      <c r="P627" s="353"/>
      <c r="Q627" s="541"/>
      <c r="R627" s="541"/>
      <c r="S627" s="541"/>
      <c r="T627" s="541"/>
      <c r="U627" s="541"/>
      <c r="V627" s="541"/>
      <c r="W627" s="541"/>
      <c r="X627" s="541"/>
      <c r="Y627" s="541"/>
      <c r="Z627" s="541"/>
    </row>
    <row r="628" spans="1:26" ht="19.5">
      <c r="A628" s="700">
        <v>7</v>
      </c>
      <c r="B628" s="701" t="s">
        <v>270</v>
      </c>
      <c r="C628" s="702"/>
      <c r="D628" s="702"/>
      <c r="E628" s="702"/>
      <c r="F628" s="702"/>
      <c r="G628" s="703"/>
      <c r="H628" s="704" t="s">
        <v>35</v>
      </c>
      <c r="I628" s="705">
        <f t="shared" ref="I628:J628" ca="1" si="261">I651</f>
        <v>20</v>
      </c>
      <c r="J628" s="705">
        <f t="shared" ca="1" si="261"/>
        <v>0</v>
      </c>
      <c r="K628" s="706">
        <f ca="1">IF(I628&gt;0,J628*100/I628,0)</f>
        <v>0</v>
      </c>
      <c r="L628" s="707"/>
      <c r="M628" s="707"/>
      <c r="N628" s="707"/>
      <c r="O628" s="707"/>
      <c r="P628" s="707"/>
      <c r="Q628" s="541"/>
      <c r="R628" s="541"/>
      <c r="S628" s="541"/>
      <c r="T628" s="541"/>
      <c r="U628" s="541"/>
      <c r="V628" s="541"/>
      <c r="W628" s="541"/>
      <c r="X628" s="541"/>
      <c r="Y628" s="541"/>
      <c r="Z628" s="541"/>
    </row>
    <row r="629" spans="1:26" ht="19.5">
      <c r="A629" s="561"/>
      <c r="B629" s="727"/>
      <c r="C629" s="727" t="s">
        <v>16</v>
      </c>
      <c r="D629" s="811" t="s">
        <v>17</v>
      </c>
      <c r="E629" s="805"/>
      <c r="F629" s="805"/>
      <c r="G629" s="189"/>
      <c r="H629" s="562" t="s">
        <v>12</v>
      </c>
      <c r="I629" s="269"/>
      <c r="J629" s="269"/>
      <c r="K629" s="465"/>
      <c r="L629" s="195">
        <f t="shared" ref="L629:N629" ca="1" si="262">L630+L631</f>
        <v>187805</v>
      </c>
      <c r="M629" s="195">
        <f t="shared" si="262"/>
        <v>0</v>
      </c>
      <c r="N629" s="195">
        <f t="shared" si="262"/>
        <v>0</v>
      </c>
      <c r="O629" s="195">
        <f t="shared" ref="O629:O634" ca="1" si="263">IF(L629&gt;0,N629*100/L629,0)</f>
        <v>0</v>
      </c>
      <c r="P629" s="195">
        <f t="shared" ref="P629:P634" si="264">IF(M629&gt;0,N629*100/M629,0)</f>
        <v>0</v>
      </c>
      <c r="Q629" s="541"/>
      <c r="R629" s="541"/>
      <c r="S629" s="541"/>
      <c r="T629" s="541"/>
      <c r="U629" s="541"/>
      <c r="V629" s="541"/>
      <c r="W629" s="541"/>
      <c r="X629" s="541"/>
      <c r="Y629" s="541"/>
      <c r="Z629" s="541"/>
    </row>
    <row r="630" spans="1:26" ht="18.75" hidden="1">
      <c r="A630" s="563"/>
      <c r="B630" s="723"/>
      <c r="C630" s="723"/>
      <c r="D630" s="684"/>
      <c r="E630" s="723" t="s">
        <v>184</v>
      </c>
      <c r="F630" s="723"/>
      <c r="G630" s="567"/>
      <c r="H630" s="165" t="s">
        <v>12</v>
      </c>
      <c r="I630" s="583"/>
      <c r="J630" s="583"/>
      <c r="K630" s="93"/>
      <c r="L630" s="93">
        <f t="shared" ref="L630:N631" si="265">L633+L640</f>
        <v>0</v>
      </c>
      <c r="M630" s="93">
        <f t="shared" si="265"/>
        <v>0</v>
      </c>
      <c r="N630" s="93">
        <f t="shared" si="265"/>
        <v>0</v>
      </c>
      <c r="O630" s="93">
        <f t="shared" si="263"/>
        <v>0</v>
      </c>
      <c r="P630" s="93">
        <f t="shared" si="264"/>
        <v>0</v>
      </c>
      <c r="Q630" s="568"/>
      <c r="R630" s="568"/>
      <c r="S630" s="568"/>
      <c r="T630" s="568"/>
      <c r="U630" s="568"/>
      <c r="V630" s="568"/>
      <c r="W630" s="568"/>
      <c r="X630" s="568"/>
      <c r="Y630" s="568"/>
      <c r="Z630" s="568"/>
    </row>
    <row r="631" spans="1:26" ht="18.75" hidden="1">
      <c r="A631" s="563"/>
      <c r="B631" s="571"/>
      <c r="C631" s="723"/>
      <c r="D631" s="684"/>
      <c r="E631" s="723" t="s">
        <v>185</v>
      </c>
      <c r="F631" s="723"/>
      <c r="G631" s="567"/>
      <c r="H631" s="165" t="s">
        <v>12</v>
      </c>
      <c r="I631" s="583"/>
      <c r="J631" s="583"/>
      <c r="K631" s="93"/>
      <c r="L631" s="93">
        <f t="shared" ca="1" si="265"/>
        <v>187805</v>
      </c>
      <c r="M631" s="93">
        <f t="shared" si="265"/>
        <v>0</v>
      </c>
      <c r="N631" s="93">
        <f t="shared" si="265"/>
        <v>0</v>
      </c>
      <c r="O631" s="93">
        <f t="shared" ca="1" si="263"/>
        <v>0</v>
      </c>
      <c r="P631" s="93">
        <f t="shared" si="264"/>
        <v>0</v>
      </c>
      <c r="Q631" s="568"/>
      <c r="R631" s="568"/>
      <c r="S631" s="568"/>
      <c r="T631" s="568"/>
      <c r="U631" s="568"/>
      <c r="V631" s="568"/>
      <c r="W631" s="568"/>
      <c r="X631" s="568"/>
      <c r="Y631" s="568"/>
      <c r="Z631" s="568"/>
    </row>
    <row r="632" spans="1:26" ht="18.75">
      <c r="A632" s="561"/>
      <c r="B632" s="538"/>
      <c r="C632" s="727"/>
      <c r="D632" s="570" t="s">
        <v>20</v>
      </c>
      <c r="E632" s="727"/>
      <c r="F632" s="727"/>
      <c r="G632" s="189"/>
      <c r="H632" s="161" t="s">
        <v>12</v>
      </c>
      <c r="I632" s="184"/>
      <c r="J632" s="184"/>
      <c r="K632" s="163"/>
      <c r="L632" s="465">
        <f t="shared" ref="L632:N632" ca="1" si="266">L633+L634</f>
        <v>187805</v>
      </c>
      <c r="M632" s="465">
        <f t="shared" si="266"/>
        <v>0</v>
      </c>
      <c r="N632" s="465">
        <f t="shared" si="266"/>
        <v>0</v>
      </c>
      <c r="O632" s="465">
        <f t="shared" ca="1" si="263"/>
        <v>0</v>
      </c>
      <c r="P632" s="465">
        <f t="shared" si="264"/>
        <v>0</v>
      </c>
      <c r="Q632" s="541"/>
      <c r="R632" s="541"/>
      <c r="S632" s="541"/>
      <c r="T632" s="541"/>
      <c r="U632" s="541"/>
      <c r="V632" s="541"/>
      <c r="W632" s="541"/>
      <c r="X632" s="541"/>
      <c r="Y632" s="541"/>
      <c r="Z632" s="541"/>
    </row>
    <row r="633" spans="1:26" ht="18.75" hidden="1">
      <c r="A633" s="563"/>
      <c r="B633" s="571"/>
      <c r="C633" s="723"/>
      <c r="D633" s="684"/>
      <c r="E633" s="723" t="s">
        <v>184</v>
      </c>
      <c r="F633" s="723"/>
      <c r="G633" s="567"/>
      <c r="H633" s="165" t="s">
        <v>12</v>
      </c>
      <c r="I633" s="583"/>
      <c r="J633" s="583"/>
      <c r="K633" s="93"/>
      <c r="L633" s="93">
        <v>0</v>
      </c>
      <c r="M633" s="93">
        <v>0</v>
      </c>
      <c r="N633" s="93">
        <v>0</v>
      </c>
      <c r="O633" s="93">
        <f t="shared" si="263"/>
        <v>0</v>
      </c>
      <c r="P633" s="93">
        <f t="shared" si="264"/>
        <v>0</v>
      </c>
      <c r="Q633" s="568"/>
      <c r="R633" s="568"/>
      <c r="S633" s="568"/>
      <c r="T633" s="568"/>
      <c r="U633" s="568"/>
      <c r="V633" s="568"/>
      <c r="W633" s="568"/>
      <c r="X633" s="568"/>
      <c r="Y633" s="568"/>
      <c r="Z633" s="568"/>
    </row>
    <row r="634" spans="1:26" ht="18.75" hidden="1">
      <c r="A634" s="563"/>
      <c r="B634" s="571"/>
      <c r="C634" s="723"/>
      <c r="D634" s="684"/>
      <c r="E634" s="723" t="s">
        <v>185</v>
      </c>
      <c r="F634" s="723"/>
      <c r="G634" s="567"/>
      <c r="H634" s="165" t="s">
        <v>12</v>
      </c>
      <c r="I634" s="583"/>
      <c r="J634" s="583"/>
      <c r="K634" s="93"/>
      <c r="L634" s="93">
        <f ca="1">IFERROR(__xludf.DUMMYFUNCTION("IMPORTRANGE(""https://docs.google.com/spreadsheets/d/1QqKyyYR6Q21VydFLVH3TRQUabQu_ym0Zz7PgGX0-kHA/edit?usp=sharing"",""แผน!HN26"")"),187805)</f>
        <v>187805</v>
      </c>
      <c r="M634" s="93">
        <v>0</v>
      </c>
      <c r="N634" s="93">
        <f>N635+N636+N637+N638</f>
        <v>0</v>
      </c>
      <c r="O634" s="93">
        <f t="shared" ca="1" si="263"/>
        <v>0</v>
      </c>
      <c r="P634" s="93">
        <f t="shared" si="264"/>
        <v>0</v>
      </c>
      <c r="Q634" s="568"/>
      <c r="R634" s="568"/>
      <c r="S634" s="568"/>
      <c r="T634" s="568"/>
      <c r="U634" s="568"/>
      <c r="V634" s="568"/>
      <c r="W634" s="568"/>
      <c r="X634" s="568"/>
      <c r="Y634" s="568"/>
      <c r="Z634" s="568"/>
    </row>
    <row r="635" spans="1:26" ht="18.75">
      <c r="A635" s="537"/>
      <c r="B635" s="538"/>
      <c r="C635" s="727"/>
      <c r="D635" s="727"/>
      <c r="E635" s="727"/>
      <c r="F635" s="727" t="s">
        <v>186</v>
      </c>
      <c r="G635" s="189"/>
      <c r="H635" s="161" t="s">
        <v>12</v>
      </c>
      <c r="I635" s="269"/>
      <c r="J635" s="269"/>
      <c r="K635" s="465"/>
      <c r="L635" s="465"/>
      <c r="M635" s="465"/>
      <c r="N635" s="789">
        <v>0</v>
      </c>
      <c r="O635" s="465"/>
      <c r="P635" s="465"/>
      <c r="Q635" s="541"/>
      <c r="R635" s="541"/>
      <c r="S635" s="541"/>
      <c r="T635" s="541"/>
      <c r="U635" s="541"/>
      <c r="V635" s="541"/>
      <c r="W635" s="541"/>
      <c r="X635" s="541"/>
      <c r="Y635" s="541"/>
      <c r="Z635" s="541"/>
    </row>
    <row r="636" spans="1:26" ht="18.75">
      <c r="A636" s="537"/>
      <c r="B636" s="538"/>
      <c r="C636" s="727"/>
      <c r="D636" s="727"/>
      <c r="E636" s="727"/>
      <c r="F636" s="727" t="s">
        <v>187</v>
      </c>
      <c r="G636" s="189"/>
      <c r="H636" s="161" t="s">
        <v>12</v>
      </c>
      <c r="I636" s="269"/>
      <c r="J636" s="269"/>
      <c r="K636" s="465"/>
      <c r="L636" s="465"/>
      <c r="M636" s="465"/>
      <c r="N636" s="789">
        <v>0</v>
      </c>
      <c r="O636" s="465"/>
      <c r="P636" s="465"/>
      <c r="Q636" s="541"/>
      <c r="R636" s="541"/>
      <c r="S636" s="541"/>
      <c r="T636" s="541"/>
      <c r="U636" s="541"/>
      <c r="V636" s="541"/>
      <c r="W636" s="541"/>
      <c r="X636" s="541"/>
      <c r="Y636" s="541"/>
      <c r="Z636" s="541"/>
    </row>
    <row r="637" spans="1:26" ht="18.75">
      <c r="A637" s="537"/>
      <c r="B637" s="538"/>
      <c r="C637" s="727"/>
      <c r="D637" s="727"/>
      <c r="E637" s="727"/>
      <c r="F637" s="727" t="s">
        <v>188</v>
      </c>
      <c r="G637" s="189"/>
      <c r="H637" s="161" t="s">
        <v>12</v>
      </c>
      <c r="I637" s="269"/>
      <c r="J637" s="269"/>
      <c r="K637" s="465"/>
      <c r="L637" s="465"/>
      <c r="M637" s="465"/>
      <c r="N637" s="789">
        <v>0</v>
      </c>
      <c r="O637" s="465"/>
      <c r="P637" s="465"/>
      <c r="Q637" s="541"/>
      <c r="R637" s="541"/>
      <c r="S637" s="541"/>
      <c r="T637" s="541"/>
      <c r="U637" s="541"/>
      <c r="V637" s="541"/>
      <c r="W637" s="541"/>
      <c r="X637" s="541"/>
      <c r="Y637" s="541"/>
      <c r="Z637" s="541"/>
    </row>
    <row r="638" spans="1:26" ht="18.75">
      <c r="A638" s="537"/>
      <c r="B638" s="538"/>
      <c r="C638" s="727"/>
      <c r="D638" s="727"/>
      <c r="E638" s="727"/>
      <c r="F638" s="727" t="s">
        <v>189</v>
      </c>
      <c r="G638" s="189"/>
      <c r="H638" s="161" t="s">
        <v>12</v>
      </c>
      <c r="I638" s="269"/>
      <c r="J638" s="269"/>
      <c r="K638" s="465"/>
      <c r="L638" s="465"/>
      <c r="M638" s="465"/>
      <c r="N638" s="789">
        <v>0</v>
      </c>
      <c r="O638" s="465"/>
      <c r="P638" s="465"/>
      <c r="Q638" s="541"/>
      <c r="R638" s="541"/>
      <c r="S638" s="541"/>
      <c r="T638" s="541"/>
      <c r="U638" s="541"/>
      <c r="V638" s="541"/>
      <c r="W638" s="541"/>
      <c r="X638" s="541"/>
      <c r="Y638" s="541"/>
      <c r="Z638" s="541"/>
    </row>
    <row r="639" spans="1:26" ht="18.75">
      <c r="A639" s="561"/>
      <c r="B639" s="538"/>
      <c r="C639" s="727"/>
      <c r="D639" s="570" t="s">
        <v>21</v>
      </c>
      <c r="E639" s="727"/>
      <c r="F639" s="727"/>
      <c r="G639" s="189"/>
      <c r="H639" s="168" t="s">
        <v>12</v>
      </c>
      <c r="I639" s="184"/>
      <c r="J639" s="184"/>
      <c r="K639" s="163"/>
      <c r="L639" s="465">
        <f t="shared" ref="L639:N639" ca="1" si="267">L640+L641</f>
        <v>0</v>
      </c>
      <c r="M639" s="465">
        <f t="shared" si="267"/>
        <v>0</v>
      </c>
      <c r="N639" s="465">
        <f t="shared" si="267"/>
        <v>0</v>
      </c>
      <c r="O639" s="465">
        <f t="shared" ref="O639:O641" ca="1" si="268">IF(L639&gt;0,N639*100/L639,0)</f>
        <v>0</v>
      </c>
      <c r="P639" s="465">
        <f t="shared" ref="P639:P641" si="269">IF(M639&gt;0,N639*100/M639,0)</f>
        <v>0</v>
      </c>
      <c r="Q639" s="541"/>
      <c r="R639" s="541"/>
      <c r="S639" s="541"/>
      <c r="T639" s="541"/>
      <c r="U639" s="541"/>
      <c r="V639" s="541"/>
      <c r="W639" s="541"/>
      <c r="X639" s="541"/>
      <c r="Y639" s="541"/>
      <c r="Z639" s="541"/>
    </row>
    <row r="640" spans="1:26" ht="18.75" hidden="1">
      <c r="A640" s="563"/>
      <c r="B640" s="571"/>
      <c r="C640" s="723"/>
      <c r="D640" s="723"/>
      <c r="E640" s="723" t="s">
        <v>18</v>
      </c>
      <c r="F640" s="723"/>
      <c r="G640" s="567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8"/>
        <v>0</v>
      </c>
      <c r="P640" s="93">
        <f t="shared" si="269"/>
        <v>0</v>
      </c>
      <c r="Q640" s="568"/>
      <c r="R640" s="568"/>
      <c r="S640" s="568"/>
      <c r="T640" s="568"/>
      <c r="U640" s="568"/>
      <c r="V640" s="568"/>
      <c r="W640" s="568"/>
      <c r="X640" s="568"/>
      <c r="Y640" s="568"/>
      <c r="Z640" s="568"/>
    </row>
    <row r="641" spans="1:26" ht="18.75" hidden="1">
      <c r="A641" s="563"/>
      <c r="B641" s="571"/>
      <c r="C641" s="723"/>
      <c r="D641" s="723"/>
      <c r="E641" s="723" t="s">
        <v>19</v>
      </c>
      <c r="F641" s="723"/>
      <c r="G641" s="567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IFERROR(__xludf.DUMMYFUNCTION("IMPORTRANGE(""https://docs.google.com/spreadsheets/d/1QqKyyYR6Q21VydFLVH3TRQUabQu_ym0Zz7PgGX0-kHA/edit?usp=sharing"",""แผน!HQ26"")"),0)</f>
        <v>0</v>
      </c>
      <c r="M641" s="93">
        <v>0</v>
      </c>
      <c r="N641" s="93">
        <v>0</v>
      </c>
      <c r="O641" s="93">
        <f t="shared" ca="1" si="268"/>
        <v>0</v>
      </c>
      <c r="P641" s="93">
        <f t="shared" si="269"/>
        <v>0</v>
      </c>
      <c r="Q641" s="568"/>
      <c r="R641" s="568"/>
      <c r="S641" s="568"/>
      <c r="T641" s="568"/>
      <c r="U641" s="568"/>
      <c r="V641" s="568"/>
      <c r="W641" s="568"/>
      <c r="X641" s="568"/>
      <c r="Y641" s="568"/>
      <c r="Z641" s="568"/>
    </row>
    <row r="642" spans="1:26" ht="19.5">
      <c r="A642" s="572"/>
      <c r="B642" s="584"/>
      <c r="C642" s="727" t="s">
        <v>16</v>
      </c>
      <c r="D642" s="853" t="s">
        <v>38</v>
      </c>
      <c r="E642" s="725"/>
      <c r="F642" s="725"/>
      <c r="G642" s="577"/>
      <c r="H642" s="726"/>
      <c r="I642" s="184"/>
      <c r="J642" s="184"/>
      <c r="K642" s="163"/>
      <c r="L642" s="163"/>
      <c r="M642" s="163"/>
      <c r="N642" s="163"/>
      <c r="O642" s="163"/>
      <c r="P642" s="163"/>
      <c r="Q642" s="541"/>
      <c r="R642" s="541"/>
      <c r="S642" s="541"/>
      <c r="T642" s="541"/>
      <c r="U642" s="541"/>
      <c r="V642" s="541"/>
      <c r="W642" s="541"/>
      <c r="X642" s="541"/>
      <c r="Y642" s="541"/>
      <c r="Z642" s="541"/>
    </row>
    <row r="643" spans="1:26" ht="18.75">
      <c r="A643" s="708"/>
      <c r="B643" s="538"/>
      <c r="C643" s="727"/>
      <c r="D643" s="592"/>
      <c r="E643" s="710" t="s">
        <v>271</v>
      </c>
      <c r="F643" s="592"/>
      <c r="G643" s="726"/>
      <c r="H643" s="728" t="s">
        <v>272</v>
      </c>
      <c r="I643" s="269">
        <f ca="1">IFERROR(__xludf.DUMMYFUNCTION("IMPORTRANGE(""https://docs.google.com/spreadsheets/d/1QqKyyYR6Q21VydFLVH3TRQUabQu_ym0Zz7PgGX0-kHA/edit?usp=sharing"",""แผน!HR26"")"),0)</f>
        <v>0</v>
      </c>
      <c r="J643" s="214">
        <v>0</v>
      </c>
      <c r="K643" s="163">
        <f t="shared" ref="K643:K652" ca="1" si="270">IF(I643&gt;0,J643*100/I643,0)</f>
        <v>0</v>
      </c>
      <c r="L643" s="163"/>
      <c r="M643" s="163"/>
      <c r="N643" s="465"/>
      <c r="O643" s="163"/>
      <c r="P643" s="163"/>
      <c r="Q643" s="541"/>
      <c r="R643" s="541"/>
      <c r="S643" s="541"/>
      <c r="T643" s="541"/>
      <c r="U643" s="541"/>
      <c r="V643" s="541"/>
      <c r="W643" s="541"/>
      <c r="X643" s="541"/>
      <c r="Y643" s="541"/>
      <c r="Z643" s="541"/>
    </row>
    <row r="644" spans="1:26" ht="18.75">
      <c r="A644" s="708"/>
      <c r="B644" s="538"/>
      <c r="C644" s="727"/>
      <c r="D644" s="592"/>
      <c r="E644" s="710" t="s">
        <v>273</v>
      </c>
      <c r="F644" s="592"/>
      <c r="G644" s="726"/>
      <c r="H644" s="728" t="s">
        <v>274</v>
      </c>
      <c r="I644" s="269">
        <f ca="1">IFERROR(__xludf.DUMMYFUNCTION("IMPORTRANGE(""https://docs.google.com/spreadsheets/d/1QqKyyYR6Q21VydFLVH3TRQUabQu_ym0Zz7PgGX0-kHA/edit?usp=sharing"",""แผน!HR26"")"),0)</f>
        <v>0</v>
      </c>
      <c r="J644" s="214">
        <v>0</v>
      </c>
      <c r="K644" s="163">
        <f t="shared" ca="1" si="270"/>
        <v>0</v>
      </c>
      <c r="L644" s="163"/>
      <c r="M644" s="163"/>
      <c r="N644" s="465"/>
      <c r="O644" s="163"/>
      <c r="P644" s="163"/>
      <c r="Q644" s="541"/>
      <c r="R644" s="541"/>
      <c r="S644" s="541"/>
      <c r="T644" s="541"/>
      <c r="U644" s="541"/>
      <c r="V644" s="541"/>
      <c r="W644" s="541"/>
      <c r="X644" s="541"/>
      <c r="Y644" s="541"/>
      <c r="Z644" s="541"/>
    </row>
    <row r="645" spans="1:26" ht="18.75">
      <c r="A645" s="708"/>
      <c r="B645" s="538"/>
      <c r="C645" s="727"/>
      <c r="D645" s="592"/>
      <c r="E645" s="710" t="s">
        <v>275</v>
      </c>
      <c r="F645" s="592"/>
      <c r="G645" s="726"/>
      <c r="H645" s="728" t="s">
        <v>34</v>
      </c>
      <c r="I645" s="269">
        <v>0</v>
      </c>
      <c r="J645" s="269">
        <f ca="1">IFERROR(__xludf.DUMMYFUNCTION("IMPORTRANGE(""https://docs.google.com/spreadsheets/d/1XWAQStnk-4SwqDmLtmXYiTMKHgktTP8We1SCoS47DrQ/edit?usp=sharing"",""จัดที่ดิน!AS26"")"),21)</f>
        <v>21</v>
      </c>
      <c r="K645" s="163">
        <f t="shared" si="270"/>
        <v>0</v>
      </c>
      <c r="L645" s="163"/>
      <c r="M645" s="163"/>
      <c r="N645" s="465"/>
      <c r="O645" s="163"/>
      <c r="P645" s="163"/>
      <c r="Q645" s="541"/>
      <c r="R645" s="541"/>
      <c r="S645" s="541"/>
      <c r="T645" s="541"/>
      <c r="U645" s="541"/>
      <c r="V645" s="541"/>
      <c r="W645" s="541"/>
      <c r="X645" s="541"/>
      <c r="Y645" s="541"/>
      <c r="Z645" s="541"/>
    </row>
    <row r="646" spans="1:26" ht="18.75">
      <c r="A646" s="708"/>
      <c r="B646" s="538"/>
      <c r="C646" s="727"/>
      <c r="D646" s="592"/>
      <c r="E646" s="592"/>
      <c r="F646" s="592"/>
      <c r="G646" s="726"/>
      <c r="H646" s="728" t="s">
        <v>46</v>
      </c>
      <c r="I646" s="269">
        <v>0</v>
      </c>
      <c r="J646" s="269">
        <f ca="1">IFERROR(__xludf.DUMMYFUNCTION("IMPORTRANGE(""https://docs.google.com/spreadsheets/d/1XWAQStnk-4SwqDmLtmXYiTMKHgktTP8We1SCoS47DrQ/edit?usp=sharing"",""จัดที่ดิน!AT26"")"),13.94)</f>
        <v>13.94</v>
      </c>
      <c r="K646" s="465">
        <f t="shared" si="270"/>
        <v>0</v>
      </c>
      <c r="L646" s="163"/>
      <c r="M646" s="163"/>
      <c r="N646" s="465"/>
      <c r="O646" s="163"/>
      <c r="P646" s="163"/>
      <c r="Q646" s="541"/>
      <c r="R646" s="541"/>
      <c r="S646" s="541"/>
      <c r="T646" s="541"/>
      <c r="U646" s="541"/>
      <c r="V646" s="541"/>
      <c r="W646" s="541"/>
      <c r="X646" s="541"/>
      <c r="Y646" s="541"/>
      <c r="Z646" s="541"/>
    </row>
    <row r="647" spans="1:26" ht="18.75">
      <c r="A647" s="708"/>
      <c r="B647" s="538"/>
      <c r="C647" s="727"/>
      <c r="D647" s="592"/>
      <c r="E647" s="710" t="s">
        <v>162</v>
      </c>
      <c r="F647" s="592"/>
      <c r="G647" s="726"/>
      <c r="H647" s="728" t="s">
        <v>35</v>
      </c>
      <c r="I647" s="269">
        <f ca="1">IFERROR(__xludf.DUMMYFUNCTION("IMPORTRANGE(""https://docs.google.com/spreadsheets/d/1QqKyyYR6Q21VydFLVH3TRQUabQu_ym0Zz7PgGX0-kHA/edit?usp=sharing"",""แผน!HS26"")"),20)</f>
        <v>20</v>
      </c>
      <c r="J647" s="269">
        <f ca="1">IFERROR(__xludf.DUMMYFUNCTION("IMPORTRANGE(""https://docs.google.com/spreadsheets/d/1XWAQStnk-4SwqDmLtmXYiTMKHgktTP8We1SCoS47DrQ/edit?usp=sharing"",""จัดที่ดิน!AU26"")"),0)</f>
        <v>0</v>
      </c>
      <c r="K647" s="163">
        <f t="shared" ca="1" si="270"/>
        <v>0</v>
      </c>
      <c r="L647" s="163"/>
      <c r="M647" s="163"/>
      <c r="N647" s="163"/>
      <c r="O647" s="163"/>
      <c r="P647" s="163"/>
      <c r="Q647" s="541"/>
      <c r="R647" s="541"/>
      <c r="S647" s="541"/>
      <c r="T647" s="541"/>
      <c r="U647" s="541"/>
      <c r="V647" s="541"/>
      <c r="W647" s="541"/>
      <c r="X647" s="541"/>
      <c r="Y647" s="541"/>
      <c r="Z647" s="541"/>
    </row>
    <row r="648" spans="1:26" ht="18.75">
      <c r="A648" s="708"/>
      <c r="B648" s="538"/>
      <c r="C648" s="727"/>
      <c r="D648" s="592"/>
      <c r="E648" s="592"/>
      <c r="F648" s="592"/>
      <c r="G648" s="726"/>
      <c r="H648" s="728" t="s">
        <v>46</v>
      </c>
      <c r="I648" s="269">
        <v>0</v>
      </c>
      <c r="J648" s="269">
        <f ca="1">IFERROR(__xludf.DUMMYFUNCTION("IMPORTRANGE(""https://docs.google.com/spreadsheets/d/1XWAQStnk-4SwqDmLtmXYiTMKHgktTP8We1SCoS47DrQ/edit?usp=sharing"",""จัดที่ดิน!AV26"")"),0)</f>
        <v>0</v>
      </c>
      <c r="K648" s="465">
        <f t="shared" si="270"/>
        <v>0</v>
      </c>
      <c r="L648" s="163"/>
      <c r="M648" s="163"/>
      <c r="N648" s="163"/>
      <c r="O648" s="163"/>
      <c r="P648" s="163"/>
      <c r="Q648" s="541"/>
      <c r="R648" s="541"/>
      <c r="S648" s="541"/>
      <c r="T648" s="541"/>
      <c r="U648" s="541"/>
      <c r="V648" s="541"/>
      <c r="W648" s="541"/>
      <c r="X648" s="541"/>
      <c r="Y648" s="541"/>
      <c r="Z648" s="541"/>
    </row>
    <row r="649" spans="1:26" ht="18.75">
      <c r="A649" s="708"/>
      <c r="B649" s="538"/>
      <c r="C649" s="727"/>
      <c r="D649" s="592"/>
      <c r="E649" s="710" t="s">
        <v>276</v>
      </c>
      <c r="F649" s="592"/>
      <c r="G649" s="726"/>
      <c r="H649" s="728" t="s">
        <v>35</v>
      </c>
      <c r="I649" s="269">
        <f ca="1">IFERROR(__xludf.DUMMYFUNCTION("IMPORTRANGE(""https://docs.google.com/spreadsheets/d/1QqKyyYR6Q21VydFLVH3TRQUabQu_ym0Zz7PgGX0-kHA/edit?usp=sharing"",""แผน!HS26"")"),20)</f>
        <v>20</v>
      </c>
      <c r="J649" s="269">
        <f ca="1">IFERROR(__xludf.DUMMYFUNCTION("IMPORTRANGE(""https://docs.google.com/spreadsheets/d/1XWAQStnk-4SwqDmLtmXYiTMKHgktTP8We1SCoS47DrQ/edit?usp=sharing"",""จัดที่ดิน!AW26"")"),0)</f>
        <v>0</v>
      </c>
      <c r="K649" s="163">
        <f t="shared" ca="1" si="270"/>
        <v>0</v>
      </c>
      <c r="L649" s="163"/>
      <c r="M649" s="163"/>
      <c r="N649" s="163"/>
      <c r="O649" s="163"/>
      <c r="P649" s="163"/>
      <c r="Q649" s="541"/>
      <c r="R649" s="541"/>
      <c r="S649" s="541"/>
      <c r="T649" s="541"/>
      <c r="U649" s="541"/>
      <c r="V649" s="541"/>
      <c r="W649" s="541"/>
      <c r="X649" s="541"/>
      <c r="Y649" s="541"/>
      <c r="Z649" s="541"/>
    </row>
    <row r="650" spans="1:26" ht="18.75">
      <c r="A650" s="708"/>
      <c r="B650" s="538"/>
      <c r="C650" s="727"/>
      <c r="D650" s="592"/>
      <c r="E650" s="592"/>
      <c r="F650" s="592"/>
      <c r="G650" s="726"/>
      <c r="H650" s="728" t="s">
        <v>46</v>
      </c>
      <c r="I650" s="269">
        <v>0</v>
      </c>
      <c r="J650" s="269">
        <f ca="1">IFERROR(__xludf.DUMMYFUNCTION("IMPORTRANGE(""https://docs.google.com/spreadsheets/d/1XWAQStnk-4SwqDmLtmXYiTMKHgktTP8We1SCoS47DrQ/edit?usp=sharing"",""จัดที่ดิน!AX26"")"),0)</f>
        <v>0</v>
      </c>
      <c r="K650" s="465">
        <f t="shared" si="270"/>
        <v>0</v>
      </c>
      <c r="L650" s="163"/>
      <c r="M650" s="163"/>
      <c r="N650" s="163"/>
      <c r="O650" s="163"/>
      <c r="P650" s="163"/>
      <c r="Q650" s="541"/>
      <c r="R650" s="541"/>
      <c r="S650" s="541"/>
      <c r="T650" s="541"/>
      <c r="U650" s="541"/>
      <c r="V650" s="541"/>
      <c r="W650" s="541"/>
      <c r="X650" s="541"/>
      <c r="Y650" s="541"/>
      <c r="Z650" s="541"/>
    </row>
    <row r="651" spans="1:26" ht="18.75">
      <c r="A651" s="708"/>
      <c r="B651" s="538"/>
      <c r="C651" s="727"/>
      <c r="D651" s="592"/>
      <c r="E651" s="710" t="s">
        <v>277</v>
      </c>
      <c r="F651" s="592"/>
      <c r="G651" s="726"/>
      <c r="H651" s="728" t="s">
        <v>35</v>
      </c>
      <c r="I651" s="269">
        <f ca="1">IFERROR(__xludf.DUMMYFUNCTION("IMPORTRANGE(""https://docs.google.com/spreadsheets/d/1QqKyyYR6Q21VydFLVH3TRQUabQu_ym0Zz7PgGX0-kHA/edit?usp=sharing"",""แผน!HS26"")"),20)</f>
        <v>20</v>
      </c>
      <c r="J651" s="269">
        <f ca="1">IFERROR(__xludf.DUMMYFUNCTION("IMPORTRANGE(""https://docs.google.com/spreadsheets/d/1XWAQStnk-4SwqDmLtmXYiTMKHgktTP8We1SCoS47DrQ/edit?usp=sharing"",""จัดที่ดิน!AY26"")"),0)</f>
        <v>0</v>
      </c>
      <c r="K651" s="163">
        <f t="shared" ca="1" si="270"/>
        <v>0</v>
      </c>
      <c r="L651" s="163"/>
      <c r="M651" s="163"/>
      <c r="N651" s="163"/>
      <c r="O651" s="163"/>
      <c r="P651" s="163"/>
      <c r="Q651" s="541"/>
      <c r="R651" s="541"/>
      <c r="S651" s="541"/>
      <c r="T651" s="541"/>
      <c r="U651" s="541"/>
      <c r="V651" s="541"/>
      <c r="W651" s="541"/>
      <c r="X651" s="541"/>
      <c r="Y651" s="541"/>
      <c r="Z651" s="541"/>
    </row>
    <row r="652" spans="1:26" ht="18.75">
      <c r="A652" s="711"/>
      <c r="B652" s="712"/>
      <c r="C652" s="713"/>
      <c r="D652" s="698"/>
      <c r="E652" s="698"/>
      <c r="F652" s="698"/>
      <c r="G652" s="699"/>
      <c r="H652" s="467" t="s">
        <v>46</v>
      </c>
      <c r="I652" s="468">
        <v>0</v>
      </c>
      <c r="J652" s="468">
        <f ca="1">IFERROR(__xludf.DUMMYFUNCTION("IMPORTRANGE(""https://docs.google.com/spreadsheets/d/1XWAQStnk-4SwqDmLtmXYiTMKHgktTP8We1SCoS47DrQ/edit?usp=sharing"",""จัดที่ดิน!AZ26"")"),0)</f>
        <v>0</v>
      </c>
      <c r="K652" s="469">
        <f t="shared" si="270"/>
        <v>0</v>
      </c>
      <c r="L652" s="353"/>
      <c r="M652" s="353"/>
      <c r="N652" s="353"/>
      <c r="O652" s="353"/>
      <c r="P652" s="353"/>
      <c r="Q652" s="541"/>
      <c r="R652" s="541"/>
      <c r="S652" s="541"/>
      <c r="T652" s="541"/>
      <c r="U652" s="541"/>
      <c r="V652" s="541"/>
      <c r="W652" s="541"/>
      <c r="X652" s="541"/>
      <c r="Y652" s="541"/>
      <c r="Z652" s="541"/>
    </row>
    <row r="653" spans="1:26" ht="19.5">
      <c r="A653" s="714">
        <v>8</v>
      </c>
      <c r="B653" s="701" t="s">
        <v>278</v>
      </c>
      <c r="C653" s="702"/>
      <c r="D653" s="702"/>
      <c r="E653" s="702"/>
      <c r="F653" s="702"/>
      <c r="G653" s="703"/>
      <c r="H653" s="703"/>
      <c r="I653" s="715"/>
      <c r="J653" s="715"/>
      <c r="K653" s="707"/>
      <c r="L653" s="707"/>
      <c r="M653" s="707"/>
      <c r="N653" s="707"/>
      <c r="O653" s="707"/>
      <c r="P653" s="707"/>
      <c r="Q653" s="541"/>
      <c r="R653" s="541"/>
      <c r="S653" s="541"/>
      <c r="T653" s="541"/>
      <c r="U653" s="541"/>
      <c r="V653" s="541"/>
      <c r="W653" s="541"/>
      <c r="X653" s="541"/>
      <c r="Y653" s="541"/>
      <c r="Z653" s="541"/>
    </row>
    <row r="654" spans="1:26" ht="19.5">
      <c r="A654" s="639"/>
      <c r="B654" s="638" t="s">
        <v>279</v>
      </c>
      <c r="C654" s="639"/>
      <c r="D654" s="639"/>
      <c r="E654" s="639"/>
      <c r="F654" s="639"/>
      <c r="G654" s="640"/>
      <c r="H654" s="671" t="s">
        <v>46</v>
      </c>
      <c r="I654" s="672">
        <f t="shared" ref="I654:J654" ca="1" si="271">I669</f>
        <v>100</v>
      </c>
      <c r="J654" s="672">
        <f t="shared" si="271"/>
        <v>0</v>
      </c>
      <c r="K654" s="643">
        <f ca="1">IF(I654&gt;0,J654*100/I654,0)</f>
        <v>0</v>
      </c>
      <c r="L654" s="644"/>
      <c r="M654" s="644"/>
      <c r="N654" s="644"/>
      <c r="O654" s="644"/>
      <c r="P654" s="644"/>
      <c r="Q654" s="541"/>
      <c r="R654" s="541"/>
      <c r="S654" s="541"/>
      <c r="T654" s="541"/>
      <c r="U654" s="541"/>
      <c r="V654" s="541"/>
      <c r="W654" s="541"/>
      <c r="X654" s="541"/>
      <c r="Y654" s="541"/>
      <c r="Z654" s="541"/>
    </row>
    <row r="655" spans="1:26" ht="19.5">
      <c r="A655" s="561"/>
      <c r="B655" s="727"/>
      <c r="C655" s="727" t="s">
        <v>16</v>
      </c>
      <c r="D655" s="811" t="s">
        <v>17</v>
      </c>
      <c r="E655" s="805"/>
      <c r="F655" s="805"/>
      <c r="G655" s="189"/>
      <c r="H655" s="562" t="s">
        <v>12</v>
      </c>
      <c r="I655" s="269"/>
      <c r="J655" s="269"/>
      <c r="K655" s="465"/>
      <c r="L655" s="195">
        <f t="shared" ref="L655:N655" ca="1" si="272">L656+L657</f>
        <v>14000</v>
      </c>
      <c r="M655" s="195">
        <f t="shared" si="272"/>
        <v>0</v>
      </c>
      <c r="N655" s="195">
        <f t="shared" si="272"/>
        <v>0</v>
      </c>
      <c r="O655" s="195">
        <f t="shared" ref="O655:O660" ca="1" si="273">IF(L655&gt;0,N655*100/L655,0)</f>
        <v>0</v>
      </c>
      <c r="P655" s="195">
        <f t="shared" ref="P655:P660" si="274">IF(M655&gt;0,N655*100/M655,0)</f>
        <v>0</v>
      </c>
      <c r="Q655" s="541"/>
      <c r="R655" s="541"/>
      <c r="S655" s="541"/>
      <c r="T655" s="541"/>
      <c r="U655" s="541"/>
      <c r="V655" s="541"/>
      <c r="W655" s="541"/>
      <c r="X655" s="541"/>
      <c r="Y655" s="541"/>
      <c r="Z655" s="541"/>
    </row>
    <row r="656" spans="1:26" ht="18.75" hidden="1">
      <c r="A656" s="563"/>
      <c r="B656" s="723"/>
      <c r="C656" s="723"/>
      <c r="D656" s="684"/>
      <c r="E656" s="723" t="s">
        <v>184</v>
      </c>
      <c r="F656" s="723"/>
      <c r="G656" s="567"/>
      <c r="H656" s="165" t="s">
        <v>12</v>
      </c>
      <c r="I656" s="583"/>
      <c r="J656" s="583"/>
      <c r="K656" s="93"/>
      <c r="L656" s="93">
        <f t="shared" ref="L656:N657" si="275">L659+L666</f>
        <v>0</v>
      </c>
      <c r="M656" s="93">
        <f t="shared" si="275"/>
        <v>0</v>
      </c>
      <c r="N656" s="93">
        <f t="shared" si="275"/>
        <v>0</v>
      </c>
      <c r="O656" s="93">
        <f t="shared" si="273"/>
        <v>0</v>
      </c>
      <c r="P656" s="93">
        <f t="shared" si="274"/>
        <v>0</v>
      </c>
      <c r="Q656" s="568"/>
      <c r="R656" s="568"/>
      <c r="S656" s="568"/>
      <c r="T656" s="568"/>
      <c r="U656" s="568"/>
      <c r="V656" s="568"/>
      <c r="W656" s="568"/>
      <c r="X656" s="568"/>
      <c r="Y656" s="568"/>
      <c r="Z656" s="568"/>
    </row>
    <row r="657" spans="1:26" ht="18.75" hidden="1">
      <c r="A657" s="563"/>
      <c r="B657" s="571"/>
      <c r="C657" s="723"/>
      <c r="D657" s="684"/>
      <c r="E657" s="723" t="s">
        <v>185</v>
      </c>
      <c r="F657" s="723"/>
      <c r="G657" s="567"/>
      <c r="H657" s="165" t="s">
        <v>12</v>
      </c>
      <c r="I657" s="583"/>
      <c r="J657" s="583"/>
      <c r="K657" s="93"/>
      <c r="L657" s="93">
        <f t="shared" ca="1" si="275"/>
        <v>14000</v>
      </c>
      <c r="M657" s="93">
        <f t="shared" si="275"/>
        <v>0</v>
      </c>
      <c r="N657" s="93">
        <f t="shared" si="275"/>
        <v>0</v>
      </c>
      <c r="O657" s="93">
        <f t="shared" ca="1" si="273"/>
        <v>0</v>
      </c>
      <c r="P657" s="93">
        <f t="shared" si="274"/>
        <v>0</v>
      </c>
      <c r="Q657" s="568"/>
      <c r="R657" s="568"/>
      <c r="S657" s="568"/>
      <c r="T657" s="568"/>
      <c r="U657" s="568"/>
      <c r="V657" s="568"/>
      <c r="W657" s="568"/>
      <c r="X657" s="568"/>
      <c r="Y657" s="568"/>
      <c r="Z657" s="568"/>
    </row>
    <row r="658" spans="1:26" ht="18.75">
      <c r="A658" s="561"/>
      <c r="B658" s="538"/>
      <c r="C658" s="727"/>
      <c r="D658" s="570" t="s">
        <v>20</v>
      </c>
      <c r="E658" s="727"/>
      <c r="F658" s="727"/>
      <c r="G658" s="189"/>
      <c r="H658" s="161" t="s">
        <v>12</v>
      </c>
      <c r="I658" s="184"/>
      <c r="J658" s="184"/>
      <c r="K658" s="163"/>
      <c r="L658" s="465">
        <f t="shared" ref="L658:N658" ca="1" si="276">L659+L660</f>
        <v>14000</v>
      </c>
      <c r="M658" s="465">
        <f t="shared" si="276"/>
        <v>0</v>
      </c>
      <c r="N658" s="465">
        <f t="shared" si="276"/>
        <v>0</v>
      </c>
      <c r="O658" s="465">
        <f t="shared" ca="1" si="273"/>
        <v>0</v>
      </c>
      <c r="P658" s="465">
        <f t="shared" si="274"/>
        <v>0</v>
      </c>
      <c r="Q658" s="541"/>
      <c r="R658" s="541"/>
      <c r="S658" s="541"/>
      <c r="T658" s="541"/>
      <c r="U658" s="541"/>
      <c r="V658" s="541"/>
      <c r="W658" s="541"/>
      <c r="X658" s="541"/>
      <c r="Y658" s="541"/>
      <c r="Z658" s="541"/>
    </row>
    <row r="659" spans="1:26" ht="18.75" hidden="1">
      <c r="A659" s="563"/>
      <c r="B659" s="571"/>
      <c r="C659" s="723"/>
      <c r="D659" s="684"/>
      <c r="E659" s="723" t="s">
        <v>184</v>
      </c>
      <c r="F659" s="723"/>
      <c r="G659" s="567"/>
      <c r="H659" s="165" t="s">
        <v>12</v>
      </c>
      <c r="I659" s="583"/>
      <c r="J659" s="583"/>
      <c r="K659" s="93"/>
      <c r="L659" s="93">
        <v>0</v>
      </c>
      <c r="M659" s="93">
        <v>0</v>
      </c>
      <c r="N659" s="93">
        <v>0</v>
      </c>
      <c r="O659" s="93">
        <f t="shared" si="273"/>
        <v>0</v>
      </c>
      <c r="P659" s="93">
        <f t="shared" si="274"/>
        <v>0</v>
      </c>
      <c r="Q659" s="568"/>
      <c r="R659" s="568"/>
      <c r="S659" s="568"/>
      <c r="T659" s="568"/>
      <c r="U659" s="568"/>
      <c r="V659" s="568"/>
      <c r="W659" s="568"/>
      <c r="X659" s="568"/>
      <c r="Y659" s="568"/>
      <c r="Z659" s="568"/>
    </row>
    <row r="660" spans="1:26" ht="18.75" hidden="1">
      <c r="A660" s="563"/>
      <c r="B660" s="571"/>
      <c r="C660" s="723"/>
      <c r="D660" s="684"/>
      <c r="E660" s="723" t="s">
        <v>185</v>
      </c>
      <c r="F660" s="723"/>
      <c r="G660" s="567"/>
      <c r="H660" s="165" t="s">
        <v>12</v>
      </c>
      <c r="I660" s="583"/>
      <c r="J660" s="583"/>
      <c r="K660" s="93"/>
      <c r="L660" s="93">
        <f ca="1">IFERROR(__xludf.DUMMYFUNCTION("IMPORTRANGE(""https://docs.google.com/spreadsheets/d/1QqKyyYR6Q21VydFLVH3TRQUabQu_ym0Zz7PgGX0-kHA/edit?usp=sharing"",""แผน!HV26"")"),14000)</f>
        <v>14000</v>
      </c>
      <c r="M660" s="93">
        <v>0</v>
      </c>
      <c r="N660" s="93">
        <f>N661+N662+N663+N664</f>
        <v>0</v>
      </c>
      <c r="O660" s="93">
        <f t="shared" ca="1" si="273"/>
        <v>0</v>
      </c>
      <c r="P660" s="93">
        <f t="shared" si="274"/>
        <v>0</v>
      </c>
      <c r="Q660" s="568"/>
      <c r="R660" s="568"/>
      <c r="S660" s="568"/>
      <c r="T660" s="568"/>
      <c r="U660" s="568"/>
      <c r="V660" s="568"/>
      <c r="W660" s="568"/>
      <c r="X660" s="568"/>
      <c r="Y660" s="568"/>
      <c r="Z660" s="568"/>
    </row>
    <row r="661" spans="1:26" ht="18.75">
      <c r="A661" s="537"/>
      <c r="B661" s="538"/>
      <c r="C661" s="727"/>
      <c r="D661" s="727"/>
      <c r="E661" s="727"/>
      <c r="F661" s="727" t="s">
        <v>186</v>
      </c>
      <c r="G661" s="189"/>
      <c r="H661" s="161" t="s">
        <v>12</v>
      </c>
      <c r="I661" s="269"/>
      <c r="J661" s="269"/>
      <c r="K661" s="465"/>
      <c r="L661" s="465"/>
      <c r="M661" s="465"/>
      <c r="N661" s="789">
        <v>0</v>
      </c>
      <c r="O661" s="465"/>
      <c r="P661" s="465"/>
      <c r="Q661" s="541"/>
      <c r="R661" s="541"/>
      <c r="S661" s="541"/>
      <c r="T661" s="541"/>
      <c r="U661" s="541"/>
      <c r="V661" s="541"/>
      <c r="W661" s="541"/>
      <c r="X661" s="541"/>
      <c r="Y661" s="541"/>
      <c r="Z661" s="541"/>
    </row>
    <row r="662" spans="1:26" ht="18.75">
      <c r="A662" s="537"/>
      <c r="B662" s="538"/>
      <c r="C662" s="727"/>
      <c r="D662" s="727"/>
      <c r="E662" s="727"/>
      <c r="F662" s="727" t="s">
        <v>187</v>
      </c>
      <c r="G662" s="189"/>
      <c r="H662" s="161" t="s">
        <v>12</v>
      </c>
      <c r="I662" s="269"/>
      <c r="J662" s="269"/>
      <c r="K662" s="465"/>
      <c r="L662" s="465"/>
      <c r="M662" s="465"/>
      <c r="N662" s="789">
        <v>0</v>
      </c>
      <c r="O662" s="465"/>
      <c r="P662" s="465"/>
      <c r="Q662" s="541"/>
      <c r="R662" s="541"/>
      <c r="S662" s="541"/>
      <c r="T662" s="541"/>
      <c r="U662" s="541"/>
      <c r="V662" s="541"/>
      <c r="W662" s="541"/>
      <c r="X662" s="541"/>
      <c r="Y662" s="541"/>
      <c r="Z662" s="541"/>
    </row>
    <row r="663" spans="1:26" ht="18.75">
      <c r="A663" s="537"/>
      <c r="B663" s="538"/>
      <c r="C663" s="538"/>
      <c r="D663" s="727"/>
      <c r="E663" s="727"/>
      <c r="F663" s="727" t="s">
        <v>188</v>
      </c>
      <c r="G663" s="189"/>
      <c r="H663" s="161" t="s">
        <v>12</v>
      </c>
      <c r="I663" s="269"/>
      <c r="J663" s="269"/>
      <c r="K663" s="465"/>
      <c r="L663" s="465"/>
      <c r="M663" s="465"/>
      <c r="N663" s="789">
        <v>0</v>
      </c>
      <c r="O663" s="465"/>
      <c r="P663" s="465"/>
      <c r="Q663" s="541"/>
      <c r="R663" s="541"/>
      <c r="S663" s="541"/>
      <c r="T663" s="541"/>
      <c r="U663" s="541"/>
      <c r="V663" s="541"/>
      <c r="W663" s="541"/>
      <c r="X663" s="541"/>
      <c r="Y663" s="541"/>
      <c r="Z663" s="541"/>
    </row>
    <row r="664" spans="1:26" ht="18.75">
      <c r="A664" s="537"/>
      <c r="B664" s="538"/>
      <c r="C664" s="538"/>
      <c r="D664" s="538"/>
      <c r="E664" s="727"/>
      <c r="F664" s="727" t="s">
        <v>189</v>
      </c>
      <c r="G664" s="189"/>
      <c r="H664" s="161" t="s">
        <v>12</v>
      </c>
      <c r="I664" s="269"/>
      <c r="J664" s="269"/>
      <c r="K664" s="465"/>
      <c r="L664" s="465"/>
      <c r="M664" s="465"/>
      <c r="N664" s="789">
        <v>0</v>
      </c>
      <c r="O664" s="465"/>
      <c r="P664" s="465"/>
      <c r="Q664" s="541"/>
      <c r="R664" s="541"/>
      <c r="S664" s="541"/>
      <c r="T664" s="541"/>
      <c r="U664" s="541"/>
      <c r="V664" s="541"/>
      <c r="W664" s="541"/>
      <c r="X664" s="541"/>
      <c r="Y664" s="541"/>
      <c r="Z664" s="541"/>
    </row>
    <row r="665" spans="1:26" ht="18.75">
      <c r="A665" s="561"/>
      <c r="B665" s="538"/>
      <c r="C665" s="538"/>
      <c r="D665" s="570" t="s">
        <v>21</v>
      </c>
      <c r="E665" s="727"/>
      <c r="F665" s="727"/>
      <c r="G665" s="189"/>
      <c r="H665" s="168" t="s">
        <v>12</v>
      </c>
      <c r="I665" s="184"/>
      <c r="J665" s="184"/>
      <c r="K665" s="163"/>
      <c r="L665" s="465">
        <f t="shared" ref="L665:N665" si="277">L666+L667</f>
        <v>0</v>
      </c>
      <c r="M665" s="465">
        <f t="shared" si="277"/>
        <v>0</v>
      </c>
      <c r="N665" s="465">
        <f t="shared" si="277"/>
        <v>0</v>
      </c>
      <c r="O665" s="465">
        <f t="shared" ref="O665:O667" si="278">IF(L665&gt;0,N665*100/L665,0)</f>
        <v>0</v>
      </c>
      <c r="P665" s="465">
        <f t="shared" ref="P665:P667" si="279">IF(M665&gt;0,N665*100/M665,0)</f>
        <v>0</v>
      </c>
      <c r="Q665" s="541"/>
      <c r="R665" s="541"/>
      <c r="S665" s="541"/>
      <c r="T665" s="541"/>
      <c r="U665" s="541"/>
      <c r="V665" s="541"/>
      <c r="W665" s="541"/>
      <c r="X665" s="541"/>
      <c r="Y665" s="541"/>
      <c r="Z665" s="541"/>
    </row>
    <row r="666" spans="1:26" ht="18.75" hidden="1">
      <c r="A666" s="563"/>
      <c r="B666" s="571"/>
      <c r="C666" s="571"/>
      <c r="D666" s="571"/>
      <c r="E666" s="723" t="s">
        <v>18</v>
      </c>
      <c r="F666" s="723"/>
      <c r="G666" s="567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8"/>
        <v>0</v>
      </c>
      <c r="P666" s="93">
        <f t="shared" si="279"/>
        <v>0</v>
      </c>
      <c r="Q666" s="568"/>
      <c r="R666" s="568"/>
      <c r="S666" s="568"/>
      <c r="T666" s="568"/>
      <c r="U666" s="568"/>
      <c r="V666" s="568"/>
      <c r="W666" s="568"/>
      <c r="X666" s="568"/>
      <c r="Y666" s="568"/>
      <c r="Z666" s="568"/>
    </row>
    <row r="667" spans="1:26" ht="18.75" hidden="1">
      <c r="A667" s="563"/>
      <c r="B667" s="571"/>
      <c r="C667" s="571"/>
      <c r="D667" s="571"/>
      <c r="E667" s="723" t="s">
        <v>19</v>
      </c>
      <c r="F667" s="723"/>
      <c r="G667" s="567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8"/>
        <v>0</v>
      </c>
      <c r="P667" s="93">
        <f t="shared" si="279"/>
        <v>0</v>
      </c>
      <c r="Q667" s="568"/>
      <c r="R667" s="568"/>
      <c r="S667" s="568"/>
      <c r="T667" s="568"/>
      <c r="U667" s="568"/>
      <c r="V667" s="568"/>
      <c r="W667" s="568"/>
      <c r="X667" s="568"/>
      <c r="Y667" s="568"/>
      <c r="Z667" s="568"/>
    </row>
    <row r="668" spans="1:26" ht="19.5">
      <c r="A668" s="572"/>
      <c r="B668" s="584"/>
      <c r="C668" s="538" t="s">
        <v>16</v>
      </c>
      <c r="D668" s="850" t="s">
        <v>38</v>
      </c>
      <c r="E668" s="725"/>
      <c r="F668" s="725"/>
      <c r="G668" s="577"/>
      <c r="H668" s="726"/>
      <c r="I668" s="184"/>
      <c r="J668" s="184"/>
      <c r="K668" s="163"/>
      <c r="L668" s="163"/>
      <c r="M668" s="163"/>
      <c r="N668" s="163"/>
      <c r="O668" s="163"/>
      <c r="P668" s="163"/>
      <c r="Q668" s="541"/>
      <c r="R668" s="541"/>
      <c r="S668" s="541"/>
      <c r="T668" s="541"/>
      <c r="U668" s="541"/>
      <c r="V668" s="541"/>
      <c r="W668" s="541"/>
      <c r="X668" s="541"/>
      <c r="Y668" s="541"/>
      <c r="Z668" s="541"/>
    </row>
    <row r="669" spans="1:26" ht="19.5">
      <c r="A669" s="572"/>
      <c r="B669" s="584"/>
      <c r="C669" s="584"/>
      <c r="D669" s="584" t="s">
        <v>280</v>
      </c>
      <c r="E669" s="592"/>
      <c r="F669" s="592"/>
      <c r="G669" s="726"/>
      <c r="H669" s="731" t="s">
        <v>46</v>
      </c>
      <c r="I669" s="647">
        <f ca="1">IFERROR(__xludf.DUMMYFUNCTION("IMPORTRANGE(""https://docs.google.com/spreadsheets/d/1QqKyyYR6Q21VydFLVH3TRQUabQu_ym0Zz7PgGX0-kHA/edit?usp=sharing"",""แผน!IA26"")"),100)</f>
        <v>100</v>
      </c>
      <c r="J669" s="647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41"/>
      <c r="R669" s="541"/>
      <c r="S669" s="541"/>
      <c r="T669" s="541"/>
      <c r="U669" s="541"/>
      <c r="V669" s="541"/>
      <c r="W669" s="541"/>
      <c r="X669" s="541"/>
      <c r="Y669" s="541"/>
      <c r="Z669" s="541"/>
    </row>
    <row r="670" spans="1:26" ht="18.75">
      <c r="A670" s="572"/>
      <c r="B670" s="584"/>
      <c r="C670" s="584"/>
      <c r="D670" s="584"/>
      <c r="E670" s="592" t="s">
        <v>281</v>
      </c>
      <c r="F670" s="592"/>
      <c r="G670" s="726"/>
      <c r="H670" s="728" t="s">
        <v>69</v>
      </c>
      <c r="I670" s="269">
        <f ca="1">IFERROR(__xludf.DUMMYFUNCTION("IMPORTRANGE(""https://docs.google.com/spreadsheets/d/1QqKyyYR6Q21VydFLVH3TRQUabQu_ym0Zz7PgGX0-kHA/edit?usp=sharing"",""แผน!HZ26"")"),5)</f>
        <v>5</v>
      </c>
      <c r="J670" s="214">
        <v>0</v>
      </c>
      <c r="K670" s="465">
        <f ca="1">IF(I670&gt;0,(J670*100)/I670,0)</f>
        <v>0</v>
      </c>
      <c r="L670" s="163"/>
      <c r="M670" s="163"/>
      <c r="N670" s="163"/>
      <c r="O670" s="163"/>
      <c r="P670" s="163"/>
      <c r="Q670" s="541"/>
      <c r="R670" s="541"/>
      <c r="S670" s="541"/>
      <c r="T670" s="541"/>
      <c r="U670" s="541"/>
      <c r="V670" s="541"/>
      <c r="W670" s="541"/>
      <c r="X670" s="541"/>
      <c r="Y670" s="541"/>
      <c r="Z670" s="541"/>
    </row>
    <row r="671" spans="1:26" ht="18.75">
      <c r="A671" s="572"/>
      <c r="B671" s="584"/>
      <c r="C671" s="584"/>
      <c r="D671" s="584"/>
      <c r="E671" s="592" t="s">
        <v>282</v>
      </c>
      <c r="F671" s="592"/>
      <c r="G671" s="726"/>
      <c r="H671" s="728" t="s">
        <v>69</v>
      </c>
      <c r="I671" s="269">
        <f ca="1">IFERROR(__xludf.DUMMYFUNCTION("IMPORTRANGE(""https://docs.google.com/spreadsheets/d/1QqKyyYR6Q21VydFLVH3TRQUabQu_ym0Zz7PgGX0-kHA/edit?usp=sharing"",""แผน!HZ26"")"),5)</f>
        <v>5</v>
      </c>
      <c r="J671" s="214">
        <v>0</v>
      </c>
      <c r="K671" s="465">
        <f ca="1">IF(I$671&gt;0,J671*100/I$671,0)</f>
        <v>0</v>
      </c>
      <c r="L671" s="163"/>
      <c r="M671" s="163"/>
      <c r="N671" s="163"/>
      <c r="O671" s="163"/>
      <c r="P671" s="163"/>
      <c r="Q671" s="541"/>
      <c r="R671" s="541"/>
      <c r="S671" s="541"/>
      <c r="T671" s="541"/>
      <c r="U671" s="541"/>
      <c r="V671" s="541"/>
      <c r="W671" s="541"/>
      <c r="X671" s="541"/>
      <c r="Y671" s="541"/>
      <c r="Z671" s="541"/>
    </row>
    <row r="672" spans="1:26" ht="18.75">
      <c r="A672" s="572"/>
      <c r="B672" s="584"/>
      <c r="C672" s="584"/>
      <c r="D672" s="584"/>
      <c r="E672" s="592" t="s">
        <v>283</v>
      </c>
      <c r="F672" s="592"/>
      <c r="G672" s="726"/>
      <c r="H672" s="728" t="s">
        <v>46</v>
      </c>
      <c r="I672" s="269"/>
      <c r="J672" s="214">
        <v>0</v>
      </c>
      <c r="K672" s="465">
        <f t="shared" ref="K672:K675" ca="1" si="280">IF(I$669&gt;0,J672*100/I$669,0)</f>
        <v>0</v>
      </c>
      <c r="L672" s="163"/>
      <c r="M672" s="163"/>
      <c r="N672" s="163"/>
      <c r="O672" s="163"/>
      <c r="P672" s="163"/>
      <c r="Q672" s="541"/>
      <c r="R672" s="541"/>
      <c r="S672" s="541"/>
      <c r="T672" s="541"/>
      <c r="U672" s="541"/>
      <c r="V672" s="541"/>
      <c r="W672" s="541"/>
      <c r="X672" s="541"/>
      <c r="Y672" s="541"/>
      <c r="Z672" s="541"/>
    </row>
    <row r="673" spans="1:26" ht="18.75">
      <c r="A673" s="572"/>
      <c r="B673" s="584"/>
      <c r="C673" s="584"/>
      <c r="D673" s="584"/>
      <c r="E673" s="592" t="s">
        <v>284</v>
      </c>
      <c r="F673" s="592"/>
      <c r="G673" s="726"/>
      <c r="H673" s="728" t="s">
        <v>46</v>
      </c>
      <c r="I673" s="269"/>
      <c r="J673" s="214">
        <v>0</v>
      </c>
      <c r="K673" s="465">
        <f t="shared" ca="1" si="280"/>
        <v>0</v>
      </c>
      <c r="L673" s="163"/>
      <c r="M673" s="163"/>
      <c r="N673" s="163"/>
      <c r="O673" s="163"/>
      <c r="P673" s="163"/>
      <c r="Q673" s="541"/>
      <c r="R673" s="541"/>
      <c r="S673" s="541"/>
      <c r="T673" s="541"/>
      <c r="U673" s="541"/>
      <c r="V673" s="541"/>
      <c r="W673" s="541"/>
      <c r="X673" s="541"/>
      <c r="Y673" s="541"/>
      <c r="Z673" s="541"/>
    </row>
    <row r="674" spans="1:26" ht="18.75">
      <c r="A674" s="572"/>
      <c r="B674" s="584"/>
      <c r="C674" s="584"/>
      <c r="D674" s="584"/>
      <c r="E674" s="592" t="s">
        <v>285</v>
      </c>
      <c r="F674" s="592"/>
      <c r="G674" s="726"/>
      <c r="H674" s="728" t="s">
        <v>46</v>
      </c>
      <c r="I674" s="269"/>
      <c r="J674" s="214">
        <v>0</v>
      </c>
      <c r="K674" s="465">
        <f t="shared" ca="1" si="280"/>
        <v>0</v>
      </c>
      <c r="L674" s="163"/>
      <c r="M674" s="163"/>
      <c r="N674" s="163"/>
      <c r="O674" s="163"/>
      <c r="P674" s="163"/>
      <c r="Q674" s="541"/>
      <c r="R674" s="541"/>
      <c r="S674" s="541"/>
      <c r="T674" s="541"/>
      <c r="U674" s="541"/>
      <c r="V674" s="541"/>
      <c r="W674" s="541"/>
      <c r="X674" s="541"/>
      <c r="Y674" s="541"/>
      <c r="Z674" s="541"/>
    </row>
    <row r="675" spans="1:26" ht="19.5">
      <c r="A675" s="572"/>
      <c r="B675" s="584"/>
      <c r="C675" s="584"/>
      <c r="D675" s="584"/>
      <c r="E675" s="592" t="s">
        <v>286</v>
      </c>
      <c r="F675" s="592"/>
      <c r="G675" s="726"/>
      <c r="H675" s="728" t="s">
        <v>46</v>
      </c>
      <c r="I675" s="269"/>
      <c r="J675" s="647">
        <f>J676+J677</f>
        <v>0</v>
      </c>
      <c r="K675" s="195">
        <f t="shared" ca="1" si="280"/>
        <v>0</v>
      </c>
      <c r="L675" s="163"/>
      <c r="M675" s="163"/>
      <c r="N675" s="163"/>
      <c r="O675" s="163"/>
      <c r="P675" s="163"/>
      <c r="Q675" s="541"/>
      <c r="R675" s="541"/>
      <c r="S675" s="541"/>
      <c r="T675" s="541"/>
      <c r="U675" s="541"/>
      <c r="V675" s="541"/>
      <c r="W675" s="541"/>
      <c r="X675" s="541"/>
      <c r="Y675" s="541"/>
      <c r="Z675" s="541"/>
    </row>
    <row r="676" spans="1:26" ht="18.75">
      <c r="A676" s="572"/>
      <c r="B676" s="584"/>
      <c r="C676" s="584"/>
      <c r="D676" s="584"/>
      <c r="E676" s="592"/>
      <c r="F676" s="592" t="s">
        <v>287</v>
      </c>
      <c r="G676" s="726"/>
      <c r="H676" s="728" t="s">
        <v>46</v>
      </c>
      <c r="I676" s="269"/>
      <c r="J676" s="214">
        <v>0</v>
      </c>
      <c r="K676" s="465"/>
      <c r="L676" s="163"/>
      <c r="M676" s="163"/>
      <c r="N676" s="163"/>
      <c r="O676" s="163"/>
      <c r="P676" s="163"/>
      <c r="Q676" s="541"/>
      <c r="R676" s="541"/>
      <c r="S676" s="541"/>
      <c r="T676" s="541"/>
      <c r="U676" s="541"/>
      <c r="V676" s="541"/>
      <c r="W676" s="541"/>
      <c r="X676" s="541"/>
      <c r="Y676" s="541"/>
      <c r="Z676" s="541"/>
    </row>
    <row r="677" spans="1:26" ht="18.75">
      <c r="A677" s="572"/>
      <c r="B677" s="584"/>
      <c r="C677" s="584"/>
      <c r="D677" s="584"/>
      <c r="E677" s="592"/>
      <c r="F677" s="592" t="s">
        <v>288</v>
      </c>
      <c r="G677" s="726"/>
      <c r="H677" s="728" t="s">
        <v>46</v>
      </c>
      <c r="I677" s="269"/>
      <c r="J677" s="214">
        <v>0</v>
      </c>
      <c r="K677" s="465"/>
      <c r="L677" s="163"/>
      <c r="M677" s="163"/>
      <c r="N677" s="163"/>
      <c r="O677" s="163"/>
      <c r="P677" s="163"/>
      <c r="Q677" s="541"/>
      <c r="R677" s="541"/>
      <c r="S677" s="541"/>
      <c r="T677" s="541"/>
      <c r="U677" s="541"/>
      <c r="V677" s="541"/>
      <c r="W677" s="541"/>
      <c r="X677" s="541"/>
      <c r="Y677" s="541"/>
      <c r="Z677" s="541"/>
    </row>
    <row r="678" spans="1:26" ht="19.5">
      <c r="A678" s="572"/>
      <c r="B678" s="584"/>
      <c r="C678" s="584"/>
      <c r="D678" s="584" t="s">
        <v>289</v>
      </c>
      <c r="E678" s="592"/>
      <c r="F678" s="592"/>
      <c r="G678" s="726"/>
      <c r="H678" s="728" t="s">
        <v>46</v>
      </c>
      <c r="I678" s="647">
        <f ca="1">IFERROR(__xludf.DUMMYFUNCTION("IMPORTRANGE(""https://docs.google.com/spreadsheets/d/1QqKyyYR6Q21VydFLVH3TRQUabQu_ym0Zz7PgGX0-kHA/edit?usp=sharing"",""แผน!IB26"")"),0)</f>
        <v>0</v>
      </c>
      <c r="J678" s="647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41"/>
      <c r="R678" s="541"/>
      <c r="S678" s="541"/>
      <c r="T678" s="541"/>
      <c r="U678" s="541"/>
      <c r="V678" s="541"/>
      <c r="W678" s="541"/>
      <c r="X678" s="541"/>
      <c r="Y678" s="541"/>
      <c r="Z678" s="541"/>
    </row>
    <row r="679" spans="1:26" ht="18.75">
      <c r="A679" s="572"/>
      <c r="B679" s="584"/>
      <c r="C679" s="584"/>
      <c r="D679" s="584"/>
      <c r="E679" s="592" t="s">
        <v>290</v>
      </c>
      <c r="F679" s="592"/>
      <c r="G679" s="726"/>
      <c r="H679" s="728" t="s">
        <v>46</v>
      </c>
      <c r="I679" s="269"/>
      <c r="J679" s="269">
        <f>J680+J681</f>
        <v>0</v>
      </c>
      <c r="K679" s="465"/>
      <c r="L679" s="163"/>
      <c r="M679" s="163"/>
      <c r="N679" s="163"/>
      <c r="O679" s="163"/>
      <c r="P679" s="163"/>
      <c r="Q679" s="541"/>
      <c r="R679" s="541"/>
      <c r="S679" s="541"/>
      <c r="T679" s="541"/>
      <c r="U679" s="541"/>
      <c r="V679" s="541"/>
      <c r="W679" s="541"/>
      <c r="X679" s="541"/>
      <c r="Y679" s="541"/>
      <c r="Z679" s="541"/>
    </row>
    <row r="680" spans="1:26" ht="18.75">
      <c r="A680" s="572"/>
      <c r="B680" s="584"/>
      <c r="C680" s="584"/>
      <c r="D680" s="584"/>
      <c r="E680" s="592"/>
      <c r="F680" s="592" t="s">
        <v>287</v>
      </c>
      <c r="G680" s="726"/>
      <c r="H680" s="728" t="s">
        <v>46</v>
      </c>
      <c r="I680" s="269"/>
      <c r="J680" s="214">
        <v>0</v>
      </c>
      <c r="K680" s="465"/>
      <c r="L680" s="163"/>
      <c r="M680" s="163"/>
      <c r="N680" s="163"/>
      <c r="O680" s="163"/>
      <c r="P680" s="163"/>
      <c r="Q680" s="541"/>
      <c r="R680" s="541"/>
      <c r="S680" s="541"/>
      <c r="T680" s="541"/>
      <c r="U680" s="541"/>
      <c r="V680" s="541"/>
      <c r="W680" s="541"/>
      <c r="X680" s="541"/>
      <c r="Y680" s="541"/>
      <c r="Z680" s="541"/>
    </row>
    <row r="681" spans="1:26" ht="18.75">
      <c r="A681" s="572"/>
      <c r="B681" s="584"/>
      <c r="C681" s="584"/>
      <c r="D681" s="584"/>
      <c r="E681" s="592"/>
      <c r="F681" s="592" t="s">
        <v>288</v>
      </c>
      <c r="G681" s="726"/>
      <c r="H681" s="728" t="s">
        <v>46</v>
      </c>
      <c r="I681" s="269"/>
      <c r="J681" s="214">
        <v>0</v>
      </c>
      <c r="K681" s="465"/>
      <c r="L681" s="163"/>
      <c r="M681" s="163"/>
      <c r="N681" s="163"/>
      <c r="O681" s="163"/>
      <c r="P681" s="163"/>
      <c r="Q681" s="541"/>
      <c r="R681" s="541"/>
      <c r="S681" s="541"/>
      <c r="T681" s="541"/>
      <c r="U681" s="541"/>
      <c r="V681" s="541"/>
      <c r="W681" s="541"/>
      <c r="X681" s="541"/>
      <c r="Y681" s="541"/>
      <c r="Z681" s="541"/>
    </row>
    <row r="682" spans="1:26" ht="18.75">
      <c r="A682" s="572"/>
      <c r="B682" s="584"/>
      <c r="C682" s="584"/>
      <c r="D682" s="584"/>
      <c r="E682" s="592" t="s">
        <v>291</v>
      </c>
      <c r="F682" s="592"/>
      <c r="G682" s="726"/>
      <c r="H682" s="728" t="s">
        <v>46</v>
      </c>
      <c r="I682" s="269"/>
      <c r="J682" s="214">
        <v>0</v>
      </c>
      <c r="K682" s="465"/>
      <c r="L682" s="163"/>
      <c r="M682" s="163"/>
      <c r="N682" s="163"/>
      <c r="O682" s="163"/>
      <c r="P682" s="163"/>
      <c r="Q682" s="541"/>
      <c r="R682" s="541"/>
      <c r="S682" s="541"/>
      <c r="T682" s="541"/>
      <c r="U682" s="541"/>
      <c r="V682" s="541"/>
      <c r="W682" s="541"/>
      <c r="X682" s="541"/>
      <c r="Y682" s="541"/>
      <c r="Z682" s="541"/>
    </row>
    <row r="683" spans="1:26" ht="18.75">
      <c r="A683" s="572"/>
      <c r="B683" s="584"/>
      <c r="C683" s="584"/>
      <c r="D683" s="584"/>
      <c r="E683" s="592"/>
      <c r="F683" s="592" t="s">
        <v>292</v>
      </c>
      <c r="G683" s="726"/>
      <c r="H683" s="728" t="s">
        <v>46</v>
      </c>
      <c r="I683" s="269"/>
      <c r="J683" s="214">
        <v>0</v>
      </c>
      <c r="K683" s="465"/>
      <c r="L683" s="163"/>
      <c r="M683" s="163"/>
      <c r="N683" s="163"/>
      <c r="O683" s="163"/>
      <c r="P683" s="163"/>
      <c r="Q683" s="541"/>
      <c r="R683" s="541"/>
      <c r="S683" s="541"/>
      <c r="T683" s="541"/>
      <c r="U683" s="541"/>
      <c r="V683" s="541"/>
      <c r="W683" s="541"/>
      <c r="X683" s="541"/>
      <c r="Y683" s="541"/>
      <c r="Z683" s="541"/>
    </row>
    <row r="684" spans="1:26" ht="19.5" hidden="1">
      <c r="A684" s="717"/>
      <c r="B684" s="718" t="s">
        <v>293</v>
      </c>
      <c r="C684" s="717"/>
      <c r="D684" s="717"/>
      <c r="E684" s="717"/>
      <c r="F684" s="717"/>
      <c r="G684" s="719"/>
      <c r="H684" s="719"/>
      <c r="I684" s="720"/>
      <c r="J684" s="720"/>
      <c r="K684" s="721"/>
      <c r="L684" s="721"/>
      <c r="M684" s="721"/>
      <c r="N684" s="721"/>
      <c r="O684" s="721"/>
      <c r="P684" s="721"/>
      <c r="Q684" s="541"/>
      <c r="R684" s="541"/>
      <c r="S684" s="541"/>
      <c r="T684" s="541"/>
      <c r="U684" s="541"/>
      <c r="V684" s="541"/>
      <c r="W684" s="541"/>
      <c r="X684" s="541"/>
      <c r="Y684" s="541"/>
      <c r="Z684" s="541"/>
    </row>
    <row r="685" spans="1:26" ht="19.5" hidden="1">
      <c r="A685" s="561"/>
      <c r="B685" s="727"/>
      <c r="C685" s="727" t="s">
        <v>16</v>
      </c>
      <c r="D685" s="811" t="s">
        <v>17</v>
      </c>
      <c r="E685" s="805"/>
      <c r="F685" s="805"/>
      <c r="G685" s="189"/>
      <c r="H685" s="562" t="s">
        <v>12</v>
      </c>
      <c r="I685" s="269"/>
      <c r="J685" s="269"/>
      <c r="K685" s="465"/>
      <c r="L685" s="195">
        <f t="shared" ref="L685:N685" ca="1" si="281">L686+L687</f>
        <v>0</v>
      </c>
      <c r="M685" s="195">
        <f t="shared" si="281"/>
        <v>0</v>
      </c>
      <c r="N685" s="195">
        <f t="shared" si="281"/>
        <v>0</v>
      </c>
      <c r="O685" s="195">
        <f t="shared" ref="O685:O688" ca="1" si="282">IF(L685&gt;0,N685*100/L685,0)</f>
        <v>0</v>
      </c>
      <c r="P685" s="195">
        <f t="shared" ref="P685:P688" si="283">IF(M685&gt;0,N685*100/M685,0)</f>
        <v>0</v>
      </c>
      <c r="Q685" s="541"/>
      <c r="R685" s="541"/>
      <c r="S685" s="541"/>
      <c r="T685" s="541"/>
      <c r="U685" s="541"/>
      <c r="V685" s="541"/>
      <c r="W685" s="541"/>
      <c r="X685" s="541"/>
      <c r="Y685" s="541"/>
      <c r="Z685" s="541"/>
    </row>
    <row r="686" spans="1:26" ht="18.75" hidden="1">
      <c r="A686" s="563"/>
      <c r="B686" s="723"/>
      <c r="C686" s="723"/>
      <c r="D686" s="684"/>
      <c r="E686" s="723" t="s">
        <v>184</v>
      </c>
      <c r="F686" s="723"/>
      <c r="G686" s="567"/>
      <c r="H686" s="165" t="s">
        <v>12</v>
      </c>
      <c r="I686" s="583"/>
      <c r="J686" s="583"/>
      <c r="K686" s="93"/>
      <c r="L686" s="93">
        <f t="shared" ref="L686:N687" si="284">L689+L696</f>
        <v>0</v>
      </c>
      <c r="M686" s="93">
        <f t="shared" si="284"/>
        <v>0</v>
      </c>
      <c r="N686" s="93">
        <f t="shared" si="284"/>
        <v>0</v>
      </c>
      <c r="O686" s="93">
        <f t="shared" si="282"/>
        <v>0</v>
      </c>
      <c r="P686" s="93">
        <f t="shared" si="283"/>
        <v>0</v>
      </c>
      <c r="Q686" s="568"/>
      <c r="R686" s="568"/>
      <c r="S686" s="568"/>
      <c r="T686" s="568"/>
      <c r="U686" s="568"/>
      <c r="V686" s="568"/>
      <c r="W686" s="568"/>
      <c r="X686" s="568"/>
      <c r="Y686" s="568"/>
      <c r="Z686" s="568"/>
    </row>
    <row r="687" spans="1:26" ht="18.75" hidden="1">
      <c r="A687" s="563"/>
      <c r="B687" s="571"/>
      <c r="C687" s="723"/>
      <c r="D687" s="684"/>
      <c r="E687" s="723" t="s">
        <v>185</v>
      </c>
      <c r="F687" s="723"/>
      <c r="G687" s="567"/>
      <c r="H687" s="165" t="s">
        <v>12</v>
      </c>
      <c r="I687" s="583"/>
      <c r="J687" s="583"/>
      <c r="K687" s="93"/>
      <c r="L687" s="93">
        <f t="shared" ca="1" si="284"/>
        <v>0</v>
      </c>
      <c r="M687" s="93">
        <f t="shared" si="284"/>
        <v>0</v>
      </c>
      <c r="N687" s="93">
        <f t="shared" si="284"/>
        <v>0</v>
      </c>
      <c r="O687" s="93">
        <f t="shared" ca="1" si="282"/>
        <v>0</v>
      </c>
      <c r="P687" s="93">
        <f t="shared" si="283"/>
        <v>0</v>
      </c>
      <c r="Q687" s="568"/>
      <c r="R687" s="568"/>
      <c r="S687" s="568"/>
      <c r="T687" s="568"/>
      <c r="U687" s="568"/>
      <c r="V687" s="568"/>
      <c r="W687" s="568"/>
      <c r="X687" s="568"/>
      <c r="Y687" s="568"/>
      <c r="Z687" s="568"/>
    </row>
    <row r="688" spans="1:26" ht="18.75" hidden="1">
      <c r="A688" s="561"/>
      <c r="B688" s="538"/>
      <c r="C688" s="727"/>
      <c r="D688" s="570" t="s">
        <v>20</v>
      </c>
      <c r="E688" s="727"/>
      <c r="F688" s="727"/>
      <c r="G688" s="189"/>
      <c r="H688" s="161" t="s">
        <v>12</v>
      </c>
      <c r="I688" s="184"/>
      <c r="J688" s="184"/>
      <c r="K688" s="163"/>
      <c r="L688" s="465">
        <f t="shared" ref="L688:N688" ca="1" si="285">L689+L690</f>
        <v>0</v>
      </c>
      <c r="M688" s="465">
        <f t="shared" si="285"/>
        <v>0</v>
      </c>
      <c r="N688" s="465">
        <f t="shared" si="285"/>
        <v>0</v>
      </c>
      <c r="O688" s="465">
        <f t="shared" ca="1" si="282"/>
        <v>0</v>
      </c>
      <c r="P688" s="465">
        <f t="shared" si="283"/>
        <v>0</v>
      </c>
      <c r="Q688" s="541"/>
      <c r="R688" s="541"/>
      <c r="S688" s="541"/>
      <c r="T688" s="541"/>
      <c r="U688" s="541"/>
      <c r="V688" s="541"/>
      <c r="W688" s="541"/>
      <c r="X688" s="541"/>
      <c r="Y688" s="541"/>
      <c r="Z688" s="541"/>
    </row>
    <row r="689" spans="1:26" ht="18.75" hidden="1">
      <c r="A689" s="563"/>
      <c r="B689" s="571"/>
      <c r="C689" s="723"/>
      <c r="D689" s="684"/>
      <c r="E689" s="723" t="s">
        <v>184</v>
      </c>
      <c r="F689" s="723"/>
      <c r="G689" s="567"/>
      <c r="H689" s="165" t="s">
        <v>12</v>
      </c>
      <c r="I689" s="583"/>
      <c r="J689" s="583"/>
      <c r="K689" s="93"/>
      <c r="L689" s="93">
        <v>0</v>
      </c>
      <c r="M689" s="93">
        <v>0</v>
      </c>
      <c r="N689" s="93">
        <v>0</v>
      </c>
      <c r="O689" s="93"/>
      <c r="P689" s="93"/>
      <c r="Q689" s="568"/>
      <c r="R689" s="568"/>
      <c r="S689" s="568"/>
      <c r="T689" s="568"/>
      <c r="U689" s="568"/>
      <c r="V689" s="568"/>
      <c r="W689" s="568"/>
      <c r="X689" s="568"/>
      <c r="Y689" s="568"/>
      <c r="Z689" s="568"/>
    </row>
    <row r="690" spans="1:26" ht="18.75" hidden="1">
      <c r="A690" s="563"/>
      <c r="B690" s="571"/>
      <c r="C690" s="723"/>
      <c r="D690" s="684"/>
      <c r="E690" s="723" t="s">
        <v>185</v>
      </c>
      <c r="F690" s="723"/>
      <c r="G690" s="567"/>
      <c r="H690" s="165" t="s">
        <v>12</v>
      </c>
      <c r="I690" s="583"/>
      <c r="J690" s="583"/>
      <c r="K690" s="93"/>
      <c r="L690" s="93">
        <f ca="1">IFERROR(__xludf.DUMMYFUNCTION("IMPORTRANGE(""https://docs.google.com/spreadsheets/d/1QqKyyYR6Q21VydFLVH3TRQUabQu_ym0Zz7PgGX0-kHA/edit?usp=sharing"",""แผน!HW26"")"),0)</f>
        <v>0</v>
      </c>
      <c r="M690" s="93">
        <v>0</v>
      </c>
      <c r="N690" s="93">
        <f>N691+N692+N693+N694</f>
        <v>0</v>
      </c>
      <c r="O690" s="93">
        <f ca="1">IF(L690&gt;0,N690*100/L690,0)</f>
        <v>0</v>
      </c>
      <c r="P690" s="93">
        <f>IF(M690&gt;0,N690*100/M690,0)</f>
        <v>0</v>
      </c>
      <c r="Q690" s="568"/>
      <c r="R690" s="568"/>
      <c r="S690" s="568"/>
      <c r="T690" s="568"/>
      <c r="U690" s="568"/>
      <c r="V690" s="568"/>
      <c r="W690" s="568"/>
      <c r="X690" s="568"/>
      <c r="Y690" s="568"/>
      <c r="Z690" s="568"/>
    </row>
    <row r="691" spans="1:26" ht="18.75" hidden="1">
      <c r="A691" s="537"/>
      <c r="B691" s="538"/>
      <c r="C691" s="727"/>
      <c r="D691" s="727"/>
      <c r="E691" s="727"/>
      <c r="F691" s="727" t="s">
        <v>186</v>
      </c>
      <c r="G691" s="189"/>
      <c r="H691" s="161" t="s">
        <v>12</v>
      </c>
      <c r="I691" s="269"/>
      <c r="J691" s="269"/>
      <c r="K691" s="465"/>
      <c r="L691" s="465"/>
      <c r="M691" s="465"/>
      <c r="N691" s="789">
        <v>0</v>
      </c>
      <c r="O691" s="465"/>
      <c r="P691" s="465"/>
      <c r="Q691" s="541"/>
      <c r="R691" s="541"/>
      <c r="S691" s="541"/>
      <c r="T691" s="541"/>
      <c r="U691" s="541"/>
      <c r="V691" s="541"/>
      <c r="W691" s="541"/>
      <c r="X691" s="541"/>
      <c r="Y691" s="541"/>
      <c r="Z691" s="541"/>
    </row>
    <row r="692" spans="1:26" ht="18.75" hidden="1">
      <c r="A692" s="537"/>
      <c r="B692" s="538"/>
      <c r="C692" s="727"/>
      <c r="D692" s="727"/>
      <c r="E692" s="727"/>
      <c r="F692" s="727" t="s">
        <v>187</v>
      </c>
      <c r="G692" s="189"/>
      <c r="H692" s="161" t="s">
        <v>12</v>
      </c>
      <c r="I692" s="269"/>
      <c r="J692" s="269"/>
      <c r="K692" s="465"/>
      <c r="L692" s="465"/>
      <c r="M692" s="465"/>
      <c r="N692" s="789">
        <v>0</v>
      </c>
      <c r="O692" s="465"/>
      <c r="P692" s="465"/>
      <c r="Q692" s="541"/>
      <c r="R692" s="541"/>
      <c r="S692" s="541"/>
      <c r="T692" s="541"/>
      <c r="U692" s="541"/>
      <c r="V692" s="541"/>
      <c r="W692" s="541"/>
      <c r="X692" s="541"/>
      <c r="Y692" s="541"/>
      <c r="Z692" s="541"/>
    </row>
    <row r="693" spans="1:26" ht="18.75" hidden="1">
      <c r="A693" s="537"/>
      <c r="B693" s="538"/>
      <c r="C693" s="727"/>
      <c r="D693" s="727"/>
      <c r="E693" s="727"/>
      <c r="F693" s="727" t="s">
        <v>188</v>
      </c>
      <c r="G693" s="189"/>
      <c r="H693" s="161" t="s">
        <v>12</v>
      </c>
      <c r="I693" s="269"/>
      <c r="J693" s="269"/>
      <c r="K693" s="465"/>
      <c r="L693" s="465"/>
      <c r="M693" s="465"/>
      <c r="N693" s="789">
        <v>0</v>
      </c>
      <c r="O693" s="465"/>
      <c r="P693" s="465"/>
      <c r="Q693" s="541"/>
      <c r="R693" s="541"/>
      <c r="S693" s="541"/>
      <c r="T693" s="541"/>
      <c r="U693" s="541"/>
      <c r="V693" s="541"/>
      <c r="W693" s="541"/>
      <c r="X693" s="541"/>
      <c r="Y693" s="541"/>
      <c r="Z693" s="541"/>
    </row>
    <row r="694" spans="1:26" ht="18.75" hidden="1">
      <c r="A694" s="537"/>
      <c r="B694" s="538"/>
      <c r="C694" s="727"/>
      <c r="D694" s="727"/>
      <c r="E694" s="727"/>
      <c r="F694" s="727" t="s">
        <v>189</v>
      </c>
      <c r="G694" s="189"/>
      <c r="H694" s="161" t="s">
        <v>12</v>
      </c>
      <c r="I694" s="269"/>
      <c r="J694" s="269"/>
      <c r="K694" s="465"/>
      <c r="L694" s="465"/>
      <c r="M694" s="465"/>
      <c r="N694" s="789">
        <v>0</v>
      </c>
      <c r="O694" s="465"/>
      <c r="P694" s="465"/>
      <c r="Q694" s="541"/>
      <c r="R694" s="541"/>
      <c r="S694" s="541"/>
      <c r="T694" s="541"/>
      <c r="U694" s="541"/>
      <c r="V694" s="541"/>
      <c r="W694" s="541"/>
      <c r="X694" s="541"/>
      <c r="Y694" s="541"/>
      <c r="Z694" s="541"/>
    </row>
    <row r="695" spans="1:26" ht="18.75" hidden="1">
      <c r="A695" s="561"/>
      <c r="B695" s="538"/>
      <c r="C695" s="727"/>
      <c r="D695" s="570" t="s">
        <v>21</v>
      </c>
      <c r="E695" s="727"/>
      <c r="F695" s="727"/>
      <c r="G695" s="189"/>
      <c r="H695" s="168" t="s">
        <v>12</v>
      </c>
      <c r="I695" s="184"/>
      <c r="J695" s="184"/>
      <c r="K695" s="163"/>
      <c r="L695" s="465">
        <f t="shared" ref="L695:N695" si="286">L696+L697</f>
        <v>0</v>
      </c>
      <c r="M695" s="465">
        <f t="shared" si="286"/>
        <v>0</v>
      </c>
      <c r="N695" s="465">
        <f t="shared" si="286"/>
        <v>0</v>
      </c>
      <c r="O695" s="465">
        <f t="shared" ref="O695:O697" si="287">IF(L695&gt;0,N695*100/L695,0)</f>
        <v>0</v>
      </c>
      <c r="P695" s="465">
        <f t="shared" ref="P695:P697" si="288">IF(M695&gt;0,N695*100/M695,0)</f>
        <v>0</v>
      </c>
      <c r="Q695" s="541"/>
      <c r="R695" s="541"/>
      <c r="S695" s="541"/>
      <c r="T695" s="541"/>
      <c r="U695" s="541"/>
      <c r="V695" s="541"/>
      <c r="W695" s="541"/>
      <c r="X695" s="541"/>
      <c r="Y695" s="541"/>
      <c r="Z695" s="541"/>
    </row>
    <row r="696" spans="1:26" ht="18.75" hidden="1">
      <c r="A696" s="563"/>
      <c r="B696" s="571"/>
      <c r="C696" s="723"/>
      <c r="D696" s="723"/>
      <c r="E696" s="723" t="s">
        <v>18</v>
      </c>
      <c r="F696" s="723"/>
      <c r="G696" s="567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7"/>
        <v>0</v>
      </c>
      <c r="P696" s="93">
        <f t="shared" si="288"/>
        <v>0</v>
      </c>
      <c r="Q696" s="568"/>
      <c r="R696" s="568"/>
      <c r="S696" s="568"/>
      <c r="T696" s="568"/>
      <c r="U696" s="568"/>
      <c r="V696" s="568"/>
      <c r="W696" s="568"/>
      <c r="X696" s="568"/>
      <c r="Y696" s="568"/>
      <c r="Z696" s="568"/>
    </row>
    <row r="697" spans="1:26" ht="18.75" hidden="1">
      <c r="A697" s="563"/>
      <c r="B697" s="571"/>
      <c r="C697" s="723"/>
      <c r="D697" s="723"/>
      <c r="E697" s="723" t="s">
        <v>19</v>
      </c>
      <c r="F697" s="723"/>
      <c r="G697" s="567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7"/>
        <v>0</v>
      </c>
      <c r="P697" s="93">
        <f t="shared" si="288"/>
        <v>0</v>
      </c>
      <c r="Q697" s="568"/>
      <c r="R697" s="568"/>
      <c r="S697" s="568"/>
      <c r="T697" s="568"/>
      <c r="U697" s="568"/>
      <c r="V697" s="568"/>
      <c r="W697" s="568"/>
      <c r="X697" s="568"/>
      <c r="Y697" s="568"/>
      <c r="Z697" s="568"/>
    </row>
    <row r="698" spans="1:26" ht="19.5" hidden="1">
      <c r="A698" s="572"/>
      <c r="B698" s="584"/>
      <c r="C698" s="727" t="s">
        <v>16</v>
      </c>
      <c r="D698" s="855" t="s">
        <v>38</v>
      </c>
      <c r="E698" s="725"/>
      <c r="F698" s="725"/>
      <c r="G698" s="577"/>
      <c r="H698" s="726"/>
      <c r="I698" s="184"/>
      <c r="J698" s="184"/>
      <c r="K698" s="163"/>
      <c r="L698" s="163"/>
      <c r="M698" s="163"/>
      <c r="N698" s="163"/>
      <c r="O698" s="163"/>
      <c r="P698" s="163"/>
      <c r="Q698" s="541"/>
      <c r="R698" s="541"/>
      <c r="S698" s="541"/>
      <c r="T698" s="541"/>
      <c r="U698" s="541"/>
      <c r="V698" s="541"/>
      <c r="W698" s="541"/>
      <c r="X698" s="541"/>
      <c r="Y698" s="541"/>
      <c r="Z698" s="541"/>
    </row>
    <row r="699" spans="1:26" ht="18.75" hidden="1">
      <c r="A699" s="708"/>
      <c r="B699" s="727"/>
      <c r="C699" s="727"/>
      <c r="D699" s="727" t="s">
        <v>294</v>
      </c>
      <c r="E699" s="727"/>
      <c r="F699" s="727"/>
      <c r="G699" s="189"/>
      <c r="H699" s="728" t="s">
        <v>46</v>
      </c>
      <c r="I699" s="729">
        <f ca="1">IFERROR(__xludf.DUMMYFUNCTION("IMPORTRANGE(""https://docs.google.com/spreadsheets/d/1QqKyyYR6Q21VydFLVH3TRQUabQu_ym0Zz7PgGX0-kHA/edit?usp=sharing"",""แผน!IC26"")"),0)</f>
        <v>0</v>
      </c>
      <c r="J699" s="269">
        <f ca="1">IFERROR(__xludf.DUMMYFUNCTION("IMPORTRANGE(""https://docs.google.com/spreadsheets/d/1XWAQStnk-4SwqDmLtmXYiTMKHgktTP8We1SCoS47DrQ/edit?usp=sharing"",""จัดที่ดิน!BB26"")"),0)</f>
        <v>0</v>
      </c>
      <c r="K699" s="465">
        <f t="shared" ref="K699:K701" ca="1" si="289">IF(I699&gt;0,J699*100/I699,0)</f>
        <v>0</v>
      </c>
      <c r="L699" s="465"/>
      <c r="M699" s="189"/>
      <c r="N699" s="730"/>
      <c r="O699" s="465"/>
      <c r="P699" s="465"/>
      <c r="Q699" s="541"/>
      <c r="R699" s="541"/>
      <c r="S699" s="541"/>
      <c r="T699" s="541"/>
      <c r="U699" s="541"/>
      <c r="V699" s="541"/>
      <c r="W699" s="541"/>
      <c r="X699" s="541"/>
      <c r="Y699" s="541"/>
      <c r="Z699" s="541"/>
    </row>
    <row r="700" spans="1:26" ht="18.75" hidden="1">
      <c r="A700" s="708"/>
      <c r="B700" s="727"/>
      <c r="C700" s="727"/>
      <c r="D700" s="727" t="s">
        <v>295</v>
      </c>
      <c r="E700" s="727"/>
      <c r="F700" s="727"/>
      <c r="G700" s="189"/>
      <c r="H700" s="728" t="s">
        <v>35</v>
      </c>
      <c r="I700" s="729">
        <f ca="1">IFERROR(__xludf.DUMMYFUNCTION("IMPORTRANGE(""https://docs.google.com/spreadsheets/d/1QqKyyYR6Q21VydFLVH3TRQUabQu_ym0Zz7PgGX0-kHA/edit?usp=sharing"",""แผน!ID26"")"),0)</f>
        <v>0</v>
      </c>
      <c r="J700" s="269">
        <f ca="1">IFERROR(__xludf.DUMMYFUNCTION("IMPORTRANGE(""https://docs.google.com/spreadsheets/d/1XWAQStnk-4SwqDmLtmXYiTMKHgktTP8We1SCoS47DrQ/edit?usp=sharing"",""จัดที่ดิน!BD26"")"),0)</f>
        <v>0</v>
      </c>
      <c r="K700" s="465">
        <f t="shared" ca="1" si="289"/>
        <v>0</v>
      </c>
      <c r="L700" s="465"/>
      <c r="M700" s="189"/>
      <c r="N700" s="730"/>
      <c r="O700" s="465"/>
      <c r="P700" s="465"/>
      <c r="Q700" s="541"/>
      <c r="R700" s="541"/>
      <c r="S700" s="541"/>
      <c r="T700" s="541"/>
      <c r="U700" s="541"/>
      <c r="V700" s="541"/>
      <c r="W700" s="541"/>
      <c r="X700" s="541"/>
      <c r="Y700" s="541"/>
      <c r="Z700" s="541"/>
    </row>
    <row r="701" spans="1:26" ht="19.5" hidden="1">
      <c r="A701" s="708"/>
      <c r="B701" s="727"/>
      <c r="C701" s="727"/>
      <c r="D701" s="727" t="s">
        <v>296</v>
      </c>
      <c r="E701" s="727"/>
      <c r="F701" s="727"/>
      <c r="G701" s="189"/>
      <c r="H701" s="731" t="s">
        <v>46</v>
      </c>
      <c r="I701" s="732">
        <f ca="1">IFERROR(__xludf.DUMMYFUNCTION("IMPORTRANGE(""https://docs.google.com/spreadsheets/d/1QqKyyYR6Q21VydFLVH3TRQUabQu_ym0Zz7PgGX0-kHA/edit?usp=sharing"",""แผน!IE26"")"),0)</f>
        <v>0</v>
      </c>
      <c r="J701" s="647">
        <f>J704+J707</f>
        <v>0</v>
      </c>
      <c r="K701" s="195">
        <f t="shared" ca="1" si="289"/>
        <v>0</v>
      </c>
      <c r="L701" s="465"/>
      <c r="M701" s="189"/>
      <c r="N701" s="730"/>
      <c r="O701" s="465"/>
      <c r="P701" s="465"/>
      <c r="Q701" s="541"/>
      <c r="R701" s="541"/>
      <c r="S701" s="541"/>
      <c r="T701" s="541"/>
      <c r="U701" s="541"/>
      <c r="V701" s="541"/>
      <c r="W701" s="541"/>
      <c r="X701" s="541"/>
      <c r="Y701" s="541"/>
      <c r="Z701" s="541"/>
    </row>
    <row r="702" spans="1:26" ht="18.75" hidden="1">
      <c r="A702" s="708"/>
      <c r="B702" s="727"/>
      <c r="C702" s="727"/>
      <c r="D702" s="727"/>
      <c r="E702" s="727" t="s">
        <v>297</v>
      </c>
      <c r="F702" s="727"/>
      <c r="G702" s="189"/>
      <c r="H702" s="728" t="s">
        <v>35</v>
      </c>
      <c r="I702" s="729"/>
      <c r="J702" s="214">
        <v>0</v>
      </c>
      <c r="K702" s="465"/>
      <c r="L702" s="465"/>
      <c r="M702" s="189"/>
      <c r="N702" s="730"/>
      <c r="O702" s="465"/>
      <c r="P702" s="465"/>
      <c r="Q702" s="541"/>
      <c r="R702" s="541"/>
      <c r="S702" s="541"/>
      <c r="T702" s="541"/>
      <c r="U702" s="541"/>
      <c r="V702" s="541"/>
      <c r="W702" s="541"/>
      <c r="X702" s="541"/>
      <c r="Y702" s="541"/>
      <c r="Z702" s="541"/>
    </row>
    <row r="703" spans="1:26" ht="18.75" hidden="1">
      <c r="A703" s="708"/>
      <c r="B703" s="727"/>
      <c r="C703" s="727"/>
      <c r="D703" s="727"/>
      <c r="E703" s="727"/>
      <c r="F703" s="727"/>
      <c r="G703" s="189"/>
      <c r="H703" s="728" t="s">
        <v>34</v>
      </c>
      <c r="I703" s="729"/>
      <c r="J703" s="214">
        <v>0</v>
      </c>
      <c r="K703" s="465"/>
      <c r="L703" s="465"/>
      <c r="M703" s="189"/>
      <c r="N703" s="730"/>
      <c r="O703" s="465"/>
      <c r="P703" s="465"/>
      <c r="Q703" s="541"/>
      <c r="R703" s="541"/>
      <c r="S703" s="541"/>
      <c r="T703" s="541"/>
      <c r="U703" s="541"/>
      <c r="V703" s="541"/>
      <c r="W703" s="541"/>
      <c r="X703" s="541"/>
      <c r="Y703" s="541"/>
      <c r="Z703" s="541"/>
    </row>
    <row r="704" spans="1:26" ht="18.75" hidden="1">
      <c r="A704" s="708"/>
      <c r="B704" s="727"/>
      <c r="C704" s="727"/>
      <c r="D704" s="727"/>
      <c r="E704" s="727"/>
      <c r="F704" s="727"/>
      <c r="G704" s="189"/>
      <c r="H704" s="728" t="s">
        <v>46</v>
      </c>
      <c r="I704" s="729">
        <f ca="1">IFERROR(__xludf.DUMMYFUNCTION("IMPORTRANGE(""https://docs.google.com/spreadsheets/d/1QqKyyYR6Q21VydFLVH3TRQUabQu_ym0Zz7PgGX0-kHA/edit?usp=sharing"",""แผน!IF26"")"),0)</f>
        <v>0</v>
      </c>
      <c r="J704" s="214">
        <v>0</v>
      </c>
      <c r="K704" s="465"/>
      <c r="L704" s="465"/>
      <c r="M704" s="189"/>
      <c r="N704" s="730"/>
      <c r="O704" s="465"/>
      <c r="P704" s="465"/>
      <c r="Q704" s="541"/>
      <c r="R704" s="541"/>
      <c r="S704" s="541"/>
      <c r="T704" s="541"/>
      <c r="U704" s="541"/>
      <c r="V704" s="541"/>
      <c r="W704" s="541"/>
      <c r="X704" s="541"/>
      <c r="Y704" s="541"/>
      <c r="Z704" s="541"/>
    </row>
    <row r="705" spans="1:26" ht="18.75" hidden="1">
      <c r="A705" s="708"/>
      <c r="B705" s="727"/>
      <c r="C705" s="727"/>
      <c r="D705" s="727"/>
      <c r="E705" s="727" t="s">
        <v>298</v>
      </c>
      <c r="F705" s="727"/>
      <c r="G705" s="189"/>
      <c r="H705" s="728" t="s">
        <v>35</v>
      </c>
      <c r="I705" s="729"/>
      <c r="J705" s="214">
        <v>0</v>
      </c>
      <c r="K705" s="465"/>
      <c r="L705" s="465"/>
      <c r="M705" s="189"/>
      <c r="N705" s="730"/>
      <c r="O705" s="465"/>
      <c r="P705" s="465"/>
      <c r="Q705" s="541"/>
      <c r="R705" s="541"/>
      <c r="S705" s="541"/>
      <c r="T705" s="541"/>
      <c r="U705" s="541"/>
      <c r="V705" s="541"/>
      <c r="W705" s="541"/>
      <c r="X705" s="541"/>
      <c r="Y705" s="541"/>
      <c r="Z705" s="541"/>
    </row>
    <row r="706" spans="1:26" ht="18.75" hidden="1">
      <c r="A706" s="708"/>
      <c r="B706" s="727"/>
      <c r="C706" s="727"/>
      <c r="D706" s="727"/>
      <c r="E706" s="727"/>
      <c r="F706" s="727"/>
      <c r="G706" s="189"/>
      <c r="H706" s="728" t="s">
        <v>34</v>
      </c>
      <c r="I706" s="729"/>
      <c r="J706" s="214">
        <v>0</v>
      </c>
      <c r="K706" s="465"/>
      <c r="L706" s="465"/>
      <c r="M706" s="189"/>
      <c r="N706" s="730"/>
      <c r="O706" s="465"/>
      <c r="P706" s="465"/>
      <c r="Q706" s="541"/>
      <c r="R706" s="541"/>
      <c r="S706" s="541"/>
      <c r="T706" s="541"/>
      <c r="U706" s="541"/>
      <c r="V706" s="541"/>
      <c r="W706" s="541"/>
      <c r="X706" s="541"/>
      <c r="Y706" s="541"/>
      <c r="Z706" s="541"/>
    </row>
    <row r="707" spans="1:26" ht="18.75" hidden="1">
      <c r="A707" s="708"/>
      <c r="B707" s="727"/>
      <c r="C707" s="727"/>
      <c r="D707" s="727"/>
      <c r="E707" s="727"/>
      <c r="F707" s="727"/>
      <c r="G707" s="189"/>
      <c r="H707" s="728" t="s">
        <v>46</v>
      </c>
      <c r="I707" s="729">
        <f ca="1">IFERROR(__xludf.DUMMYFUNCTION("IMPORTRANGE(""https://docs.google.com/spreadsheets/d/1QqKyyYR6Q21VydFLVH3TRQUabQu_ym0Zz7PgGX0-kHA/edit?usp=sharing"",""แผน!IG26"")"),0)</f>
        <v>0</v>
      </c>
      <c r="J707" s="214">
        <v>0</v>
      </c>
      <c r="K707" s="465"/>
      <c r="L707" s="465"/>
      <c r="M707" s="189"/>
      <c r="N707" s="730"/>
      <c r="O707" s="465"/>
      <c r="P707" s="465"/>
      <c r="Q707" s="541"/>
      <c r="R707" s="541"/>
      <c r="S707" s="541"/>
      <c r="T707" s="541"/>
      <c r="U707" s="541"/>
      <c r="V707" s="541"/>
      <c r="W707" s="541"/>
      <c r="X707" s="541"/>
      <c r="Y707" s="541"/>
      <c r="Z707" s="541"/>
    </row>
    <row r="708" spans="1:26" ht="19.5" hidden="1">
      <c r="A708" s="708"/>
      <c r="B708" s="727"/>
      <c r="C708" s="727"/>
      <c r="D708" s="733" t="s">
        <v>299</v>
      </c>
      <c r="E708" s="727"/>
      <c r="F708" s="727"/>
      <c r="G708" s="189"/>
      <c r="H708" s="731" t="s">
        <v>46</v>
      </c>
      <c r="I708" s="732">
        <f ca="1">IFERROR(__xludf.DUMMYFUNCTION("IMPORTRANGE(""https://docs.google.com/spreadsheets/d/1QqKyyYR6Q21VydFLVH3TRQUabQu_ym0Zz7PgGX0-kHA/edit?usp=sharing"",""แผน!IH26"")"),0)</f>
        <v>0</v>
      </c>
      <c r="J708" s="647">
        <f>J714+J717</f>
        <v>0</v>
      </c>
      <c r="K708" s="195">
        <f ca="1">IF(I708&gt;0,J708*100/I708,0)</f>
        <v>0</v>
      </c>
      <c r="L708" s="465"/>
      <c r="M708" s="189"/>
      <c r="N708" s="730"/>
      <c r="O708" s="465"/>
      <c r="P708" s="465"/>
      <c r="Q708" s="541"/>
      <c r="R708" s="541"/>
      <c r="S708" s="541"/>
      <c r="T708" s="541"/>
      <c r="U708" s="541"/>
      <c r="V708" s="541"/>
      <c r="W708" s="541"/>
      <c r="X708" s="541"/>
      <c r="Y708" s="541"/>
      <c r="Z708" s="541"/>
    </row>
    <row r="709" spans="1:26" ht="18.75" hidden="1">
      <c r="A709" s="708"/>
      <c r="B709" s="727"/>
      <c r="C709" s="727"/>
      <c r="D709" s="727"/>
      <c r="E709" s="727" t="s">
        <v>300</v>
      </c>
      <c r="F709" s="727"/>
      <c r="G709" s="189"/>
      <c r="H709" s="728" t="s">
        <v>34</v>
      </c>
      <c r="I709" s="729"/>
      <c r="J709" s="214">
        <v>0</v>
      </c>
      <c r="K709" s="465"/>
      <c r="L709" s="730"/>
      <c r="M709" s="189"/>
      <c r="N709" s="730"/>
      <c r="O709" s="465"/>
      <c r="P709" s="465"/>
      <c r="Q709" s="541"/>
      <c r="R709" s="541"/>
      <c r="S709" s="541"/>
      <c r="T709" s="541"/>
      <c r="U709" s="541"/>
      <c r="V709" s="541"/>
      <c r="W709" s="541"/>
      <c r="X709" s="541"/>
      <c r="Y709" s="541"/>
      <c r="Z709" s="541"/>
    </row>
    <row r="710" spans="1:26" ht="18.75" hidden="1">
      <c r="A710" s="708"/>
      <c r="B710" s="727"/>
      <c r="C710" s="727"/>
      <c r="D710" s="727"/>
      <c r="E710" s="727"/>
      <c r="F710" s="727"/>
      <c r="G710" s="189"/>
      <c r="H710" s="728" t="s">
        <v>46</v>
      </c>
      <c r="I710" s="729"/>
      <c r="J710" s="214">
        <v>0</v>
      </c>
      <c r="K710" s="465"/>
      <c r="L710" s="730"/>
      <c r="M710" s="189"/>
      <c r="N710" s="730"/>
      <c r="O710" s="465"/>
      <c r="P710" s="465"/>
      <c r="Q710" s="541"/>
      <c r="R710" s="541"/>
      <c r="S710" s="541"/>
      <c r="T710" s="541"/>
      <c r="U710" s="541"/>
      <c r="V710" s="541"/>
      <c r="W710" s="541"/>
      <c r="X710" s="541"/>
      <c r="Y710" s="541"/>
      <c r="Z710" s="541"/>
    </row>
    <row r="711" spans="1:26" ht="18.75" hidden="1">
      <c r="A711" s="708"/>
      <c r="B711" s="727"/>
      <c r="C711" s="727"/>
      <c r="D711" s="727"/>
      <c r="E711" s="727" t="s">
        <v>301</v>
      </c>
      <c r="F711" s="727"/>
      <c r="G711" s="189"/>
      <c r="H711" s="726"/>
      <c r="I711" s="729"/>
      <c r="J711" s="269"/>
      <c r="K711" s="465"/>
      <c r="L711" s="730"/>
      <c r="M711" s="189"/>
      <c r="N711" s="730"/>
      <c r="O711" s="465"/>
      <c r="P711" s="465"/>
      <c r="Q711" s="541"/>
      <c r="R711" s="541"/>
      <c r="S711" s="541"/>
      <c r="T711" s="541"/>
      <c r="U711" s="541"/>
      <c r="V711" s="541"/>
      <c r="W711" s="541"/>
      <c r="X711" s="541"/>
      <c r="Y711" s="541"/>
      <c r="Z711" s="541"/>
    </row>
    <row r="712" spans="1:26" ht="18.75" hidden="1">
      <c r="A712" s="708"/>
      <c r="B712" s="727"/>
      <c r="C712" s="727"/>
      <c r="D712" s="727"/>
      <c r="E712" s="727"/>
      <c r="F712" s="727" t="s">
        <v>302</v>
      </c>
      <c r="G712" s="189"/>
      <c r="H712" s="728" t="s">
        <v>35</v>
      </c>
      <c r="I712" s="729"/>
      <c r="J712" s="214">
        <v>0</v>
      </c>
      <c r="K712" s="465"/>
      <c r="L712" s="730"/>
      <c r="M712" s="189"/>
      <c r="N712" s="730"/>
      <c r="O712" s="465"/>
      <c r="P712" s="465"/>
      <c r="Q712" s="541"/>
      <c r="R712" s="541"/>
      <c r="S712" s="541"/>
      <c r="T712" s="541"/>
      <c r="U712" s="541"/>
      <c r="V712" s="541"/>
      <c r="W712" s="541"/>
      <c r="X712" s="541"/>
      <c r="Y712" s="541"/>
      <c r="Z712" s="541"/>
    </row>
    <row r="713" spans="1:26" ht="18.75" hidden="1">
      <c r="A713" s="708"/>
      <c r="B713" s="727"/>
      <c r="C713" s="727"/>
      <c r="D713" s="727"/>
      <c r="E713" s="727"/>
      <c r="F713" s="727"/>
      <c r="G713" s="189"/>
      <c r="H713" s="728" t="s">
        <v>34</v>
      </c>
      <c r="I713" s="729"/>
      <c r="J713" s="214">
        <v>0</v>
      </c>
      <c r="K713" s="465"/>
      <c r="L713" s="730"/>
      <c r="M713" s="189"/>
      <c r="N713" s="730"/>
      <c r="O713" s="465"/>
      <c r="P713" s="465"/>
      <c r="Q713" s="541"/>
      <c r="R713" s="541"/>
      <c r="S713" s="541"/>
      <c r="T713" s="541"/>
      <c r="U713" s="541"/>
      <c r="V713" s="541"/>
      <c r="W713" s="541"/>
      <c r="X713" s="541"/>
      <c r="Y713" s="541"/>
      <c r="Z713" s="541"/>
    </row>
    <row r="714" spans="1:26" ht="18.75" hidden="1">
      <c r="A714" s="708"/>
      <c r="B714" s="727"/>
      <c r="C714" s="727"/>
      <c r="D714" s="727"/>
      <c r="E714" s="727"/>
      <c r="F714" s="727"/>
      <c r="G714" s="189"/>
      <c r="H714" s="728" t="s">
        <v>46</v>
      </c>
      <c r="I714" s="729"/>
      <c r="J714" s="214">
        <v>0</v>
      </c>
      <c r="K714" s="465"/>
      <c r="L714" s="730"/>
      <c r="M714" s="189"/>
      <c r="N714" s="730"/>
      <c r="O714" s="465"/>
      <c r="P714" s="465"/>
      <c r="Q714" s="541"/>
      <c r="R714" s="541"/>
      <c r="S714" s="541"/>
      <c r="T714" s="541"/>
      <c r="U714" s="541"/>
      <c r="V714" s="541"/>
      <c r="W714" s="541"/>
      <c r="X714" s="541"/>
      <c r="Y714" s="541"/>
      <c r="Z714" s="541"/>
    </row>
    <row r="715" spans="1:26" ht="18.75" hidden="1">
      <c r="A715" s="708"/>
      <c r="B715" s="727"/>
      <c r="C715" s="727"/>
      <c r="D715" s="727"/>
      <c r="E715" s="727"/>
      <c r="F715" s="727" t="s">
        <v>303</v>
      </c>
      <c r="G715" s="189"/>
      <c r="H715" s="728" t="s">
        <v>35</v>
      </c>
      <c r="I715" s="729"/>
      <c r="J715" s="214">
        <v>0</v>
      </c>
      <c r="K715" s="465"/>
      <c r="L715" s="730"/>
      <c r="M715" s="189"/>
      <c r="N715" s="730"/>
      <c r="O715" s="465"/>
      <c r="P715" s="465"/>
      <c r="Q715" s="541"/>
      <c r="R715" s="541"/>
      <c r="S715" s="541"/>
      <c r="T715" s="541"/>
      <c r="U715" s="541"/>
      <c r="V715" s="541"/>
      <c r="W715" s="541"/>
      <c r="X715" s="541"/>
      <c r="Y715" s="541"/>
      <c r="Z715" s="541"/>
    </row>
    <row r="716" spans="1:26" ht="18.75" hidden="1">
      <c r="A716" s="708"/>
      <c r="B716" s="727"/>
      <c r="C716" s="727"/>
      <c r="D716" s="727"/>
      <c r="E716" s="727"/>
      <c r="F716" s="727"/>
      <c r="G716" s="189"/>
      <c r="H716" s="728" t="s">
        <v>34</v>
      </c>
      <c r="I716" s="729"/>
      <c r="J716" s="214">
        <v>0</v>
      </c>
      <c r="K716" s="465"/>
      <c r="L716" s="730"/>
      <c r="M716" s="189"/>
      <c r="N716" s="730"/>
      <c r="O716" s="465"/>
      <c r="P716" s="465"/>
      <c r="Q716" s="541"/>
      <c r="R716" s="541"/>
      <c r="S716" s="541"/>
      <c r="T716" s="541"/>
      <c r="U716" s="541"/>
      <c r="V716" s="541"/>
      <c r="W716" s="541"/>
      <c r="X716" s="541"/>
      <c r="Y716" s="541"/>
      <c r="Z716" s="541"/>
    </row>
    <row r="717" spans="1:26" ht="18.75" hidden="1">
      <c r="A717" s="708"/>
      <c r="B717" s="727"/>
      <c r="C717" s="727"/>
      <c r="D717" s="727"/>
      <c r="E717" s="727"/>
      <c r="F717" s="727"/>
      <c r="G717" s="189"/>
      <c r="H717" s="728" t="s">
        <v>46</v>
      </c>
      <c r="I717" s="729"/>
      <c r="J717" s="214">
        <v>0</v>
      </c>
      <c r="K717" s="465"/>
      <c r="L717" s="730"/>
      <c r="M717" s="189"/>
      <c r="N717" s="730"/>
      <c r="O717" s="465"/>
      <c r="P717" s="465"/>
      <c r="Q717" s="541"/>
      <c r="R717" s="541"/>
      <c r="S717" s="541"/>
      <c r="T717" s="541"/>
      <c r="U717" s="541"/>
      <c r="V717" s="541"/>
      <c r="W717" s="541"/>
      <c r="X717" s="541"/>
      <c r="Y717" s="541"/>
      <c r="Z717" s="541"/>
    </row>
    <row r="718" spans="1:26" ht="18.75" hidden="1">
      <c r="A718" s="708"/>
      <c r="B718" s="727"/>
      <c r="C718" s="727"/>
      <c r="D718" s="727" t="s">
        <v>304</v>
      </c>
      <c r="E718" s="727"/>
      <c r="F718" s="727"/>
      <c r="G718" s="189"/>
      <c r="H718" s="728" t="s">
        <v>35</v>
      </c>
      <c r="I718" s="729"/>
      <c r="J718" s="269">
        <f ca="1">IFERROR(__xludf.DUMMYFUNCTION("IMPORTRANGE(""https://docs.google.com/spreadsheets/d/1XWAQStnk-4SwqDmLtmXYiTMKHgktTP8We1SCoS47DrQ/edit?usp=sharing"",""จัดที่ดิน!BF26"")"),0)</f>
        <v>0</v>
      </c>
      <c r="K718" s="465"/>
      <c r="L718" s="465"/>
      <c r="M718" s="189"/>
      <c r="N718" s="730"/>
      <c r="O718" s="465"/>
      <c r="P718" s="465"/>
      <c r="Q718" s="541"/>
      <c r="R718" s="541"/>
      <c r="S718" s="541"/>
      <c r="T718" s="541"/>
      <c r="U718" s="541"/>
      <c r="V718" s="541"/>
      <c r="W718" s="541"/>
      <c r="X718" s="541"/>
      <c r="Y718" s="541"/>
      <c r="Z718" s="541"/>
    </row>
    <row r="719" spans="1:26" ht="18.75" hidden="1">
      <c r="A719" s="708"/>
      <c r="B719" s="727"/>
      <c r="C719" s="727"/>
      <c r="D719" s="727"/>
      <c r="E719" s="727"/>
      <c r="F719" s="727"/>
      <c r="G719" s="189"/>
      <c r="H719" s="728" t="s">
        <v>34</v>
      </c>
      <c r="I719" s="729"/>
      <c r="J719" s="269">
        <f ca="1">IFERROR(__xludf.DUMMYFUNCTION("IMPORTRANGE(""https://docs.google.com/spreadsheets/d/1XWAQStnk-4SwqDmLtmXYiTMKHgktTP8We1SCoS47DrQ/edit?usp=sharing"",""จัดที่ดิน!BG26"")"),0)</f>
        <v>0</v>
      </c>
      <c r="K719" s="465"/>
      <c r="L719" s="730"/>
      <c r="M719" s="189"/>
      <c r="N719" s="730"/>
      <c r="O719" s="465"/>
      <c r="P719" s="465"/>
      <c r="Q719" s="541"/>
      <c r="R719" s="541"/>
      <c r="S719" s="541"/>
      <c r="T719" s="541"/>
      <c r="U719" s="541"/>
      <c r="V719" s="541"/>
      <c r="W719" s="541"/>
      <c r="X719" s="541"/>
      <c r="Y719" s="541"/>
      <c r="Z719" s="541"/>
    </row>
    <row r="720" spans="1:26" ht="18.75" hidden="1">
      <c r="A720" s="708"/>
      <c r="B720" s="727"/>
      <c r="C720" s="727"/>
      <c r="D720" s="727"/>
      <c r="E720" s="727"/>
      <c r="F720" s="727"/>
      <c r="G720" s="189"/>
      <c r="H720" s="728" t="s">
        <v>46</v>
      </c>
      <c r="I720" s="729">
        <f ca="1">IFERROR(__xludf.DUMMYFUNCTION("IMPORTRANGE(""https://docs.google.com/spreadsheets/d/1QqKyyYR6Q21VydFLVH3TRQUabQu_ym0Zz7PgGX0-kHA/edit?usp=sharing"",""แผน!II26"")"),0)</f>
        <v>0</v>
      </c>
      <c r="J720" s="269">
        <f ca="1">IFERROR(__xludf.DUMMYFUNCTION("IMPORTRANGE(""https://docs.google.com/spreadsheets/d/1XWAQStnk-4SwqDmLtmXYiTMKHgktTP8We1SCoS47DrQ/edit?usp=sharing"",""จัดที่ดิน!BH26"")"),0)</f>
        <v>0</v>
      </c>
      <c r="K720" s="465">
        <f t="shared" ref="K720:K723" ca="1" si="290">IF(I720&gt;0,J720*100/I720,0)</f>
        <v>0</v>
      </c>
      <c r="L720" s="730"/>
      <c r="M720" s="189"/>
      <c r="N720" s="730"/>
      <c r="O720" s="465"/>
      <c r="P720" s="465"/>
      <c r="Q720" s="541"/>
      <c r="R720" s="541"/>
      <c r="S720" s="541"/>
      <c r="T720" s="541"/>
      <c r="U720" s="541"/>
      <c r="V720" s="541"/>
      <c r="W720" s="541"/>
      <c r="X720" s="541"/>
      <c r="Y720" s="541"/>
      <c r="Z720" s="541"/>
    </row>
    <row r="721" spans="1:26" ht="19.5" hidden="1">
      <c r="A721" s="708"/>
      <c r="B721" s="727"/>
      <c r="C721" s="727"/>
      <c r="D721" s="727" t="s">
        <v>305</v>
      </c>
      <c r="E721" s="727"/>
      <c r="F721" s="727"/>
      <c r="G721" s="189"/>
      <c r="H721" s="731" t="s">
        <v>35</v>
      </c>
      <c r="I721" s="732">
        <f ca="1">IFERROR(__xludf.DUMMYFUNCTION("IMPORTRANGE(""https://docs.google.com/spreadsheets/d/1QqKyyYR6Q21VydFLVH3TRQUabQu_ym0Zz7PgGX0-kHA/edit?usp=sharing"",""แผน!IJ26"")"),0)</f>
        <v>0</v>
      </c>
      <c r="J721" s="647">
        <f ca="1">J723+J726</f>
        <v>0</v>
      </c>
      <c r="K721" s="195">
        <f t="shared" ca="1" si="290"/>
        <v>0</v>
      </c>
      <c r="L721" s="730"/>
      <c r="M721" s="189"/>
      <c r="N721" s="730"/>
      <c r="O721" s="465"/>
      <c r="P721" s="465"/>
      <c r="Q721" s="541"/>
      <c r="R721" s="541"/>
      <c r="S721" s="541"/>
      <c r="T721" s="541"/>
      <c r="U721" s="541"/>
      <c r="V721" s="541"/>
      <c r="W721" s="541"/>
      <c r="X721" s="541"/>
      <c r="Y721" s="541"/>
      <c r="Z721" s="541"/>
    </row>
    <row r="722" spans="1:26" ht="19.5" hidden="1">
      <c r="A722" s="708"/>
      <c r="B722" s="727"/>
      <c r="C722" s="727"/>
      <c r="D722" s="727"/>
      <c r="E722" s="727"/>
      <c r="F722" s="727"/>
      <c r="G722" s="189"/>
      <c r="H722" s="731" t="s">
        <v>46</v>
      </c>
      <c r="I722" s="732">
        <f ca="1">IFERROR(__xludf.DUMMYFUNCTION("IMPORTRANGE(""https://docs.google.com/spreadsheets/d/1QqKyyYR6Q21VydFLVH3TRQUabQu_ym0Zz7PgGX0-kHA/edit?usp=sharing"",""แผน!IK26"")"),0)</f>
        <v>0</v>
      </c>
      <c r="J722" s="647">
        <f ca="1">J725+J728</f>
        <v>0</v>
      </c>
      <c r="K722" s="195">
        <f t="shared" ca="1" si="290"/>
        <v>0</v>
      </c>
      <c r="L722" s="465"/>
      <c r="M722" s="189"/>
      <c r="N722" s="730"/>
      <c r="O722" s="465"/>
      <c r="P722" s="465"/>
      <c r="Q722" s="541"/>
      <c r="R722" s="541"/>
      <c r="S722" s="541"/>
      <c r="T722" s="541"/>
      <c r="U722" s="541"/>
      <c r="V722" s="541"/>
      <c r="W722" s="541"/>
      <c r="X722" s="541"/>
      <c r="Y722" s="541"/>
      <c r="Z722" s="541"/>
    </row>
    <row r="723" spans="1:26" ht="18.75" hidden="1">
      <c r="A723" s="708"/>
      <c r="B723" s="727"/>
      <c r="C723" s="727"/>
      <c r="D723" s="727"/>
      <c r="E723" s="727" t="s">
        <v>306</v>
      </c>
      <c r="F723" s="727"/>
      <c r="G723" s="189"/>
      <c r="H723" s="728" t="s">
        <v>35</v>
      </c>
      <c r="I723" s="729">
        <f ca="1">IFERROR(__xludf.DUMMYFUNCTION("IMPORTRANGE(""https://docs.google.com/spreadsheets/d/1QqKyyYR6Q21VydFLVH3TRQUabQu_ym0Zz7PgGX0-kHA/edit?usp=sharing"",""แผน!IL26"")"),0)</f>
        <v>0</v>
      </c>
      <c r="J723" s="269">
        <f ca="1">IFERROR(__xludf.DUMMYFUNCTION("IMPORTRANGE(""https://docs.google.com/spreadsheets/d/1XWAQStnk-4SwqDmLtmXYiTMKHgktTP8We1SCoS47DrQ/edit?usp=sharing"",""จัดที่ดิน!BM26"")"),0)</f>
        <v>0</v>
      </c>
      <c r="K723" s="465">
        <f t="shared" ca="1" si="290"/>
        <v>0</v>
      </c>
      <c r="L723" s="465"/>
      <c r="M723" s="189"/>
      <c r="N723" s="730"/>
      <c r="O723" s="465"/>
      <c r="P723" s="465"/>
      <c r="Q723" s="541"/>
      <c r="R723" s="541"/>
      <c r="S723" s="541"/>
      <c r="T723" s="541"/>
      <c r="U723" s="541"/>
      <c r="V723" s="541"/>
      <c r="W723" s="541"/>
      <c r="X723" s="541"/>
      <c r="Y723" s="541"/>
      <c r="Z723" s="541"/>
    </row>
    <row r="724" spans="1:26" ht="18.75" hidden="1">
      <c r="A724" s="708"/>
      <c r="B724" s="727"/>
      <c r="C724" s="727"/>
      <c r="D724" s="727"/>
      <c r="E724" s="727"/>
      <c r="F724" s="727"/>
      <c r="G724" s="189"/>
      <c r="H724" s="728" t="s">
        <v>34</v>
      </c>
      <c r="I724" s="729"/>
      <c r="J724" s="269">
        <f ca="1">IFERROR(__xludf.DUMMYFUNCTION("IMPORTRANGE(""https://docs.google.com/spreadsheets/d/1XWAQStnk-4SwqDmLtmXYiTMKHgktTP8We1SCoS47DrQ/edit?usp=sharing"",""จัดที่ดิน!BN26"")"),0)</f>
        <v>0</v>
      </c>
      <c r="K724" s="465"/>
      <c r="L724" s="730"/>
      <c r="M724" s="189"/>
      <c r="N724" s="730"/>
      <c r="O724" s="465"/>
      <c r="P724" s="465"/>
      <c r="Q724" s="541"/>
      <c r="R724" s="541"/>
      <c r="S724" s="541"/>
      <c r="T724" s="541"/>
      <c r="U724" s="541"/>
      <c r="V724" s="541"/>
      <c r="W724" s="541"/>
      <c r="X724" s="541"/>
      <c r="Y724" s="541"/>
      <c r="Z724" s="541"/>
    </row>
    <row r="725" spans="1:26" ht="18.75" hidden="1">
      <c r="A725" s="708"/>
      <c r="B725" s="727"/>
      <c r="C725" s="727"/>
      <c r="D725" s="727"/>
      <c r="E725" s="727"/>
      <c r="F725" s="727"/>
      <c r="G725" s="189"/>
      <c r="H725" s="728" t="s">
        <v>46</v>
      </c>
      <c r="I725" s="729">
        <f ca="1">IFERROR(__xludf.DUMMYFUNCTION("IMPORTRANGE(""https://docs.google.com/spreadsheets/d/1QqKyyYR6Q21VydFLVH3TRQUabQu_ym0Zz7PgGX0-kHA/edit?usp=sharing"",""แผน!IM26"")"),0)</f>
        <v>0</v>
      </c>
      <c r="J725" s="269">
        <f ca="1">IFERROR(__xludf.DUMMYFUNCTION("IMPORTRANGE(""https://docs.google.com/spreadsheets/d/1XWAQStnk-4SwqDmLtmXYiTMKHgktTP8We1SCoS47DrQ/edit?usp=sharing"",""จัดที่ดิน!BO26"")"),0)</f>
        <v>0</v>
      </c>
      <c r="K725" s="465">
        <f t="shared" ref="K725:K726" ca="1" si="291">IF(I725&gt;0,J725*100/I725,0)</f>
        <v>0</v>
      </c>
      <c r="L725" s="730"/>
      <c r="M725" s="189"/>
      <c r="N725" s="730"/>
      <c r="O725" s="465"/>
      <c r="P725" s="465"/>
      <c r="Q725" s="541"/>
      <c r="R725" s="541"/>
      <c r="S725" s="541"/>
      <c r="T725" s="541"/>
      <c r="U725" s="541"/>
      <c r="V725" s="541"/>
      <c r="W725" s="541"/>
      <c r="X725" s="541"/>
      <c r="Y725" s="541"/>
      <c r="Z725" s="541"/>
    </row>
    <row r="726" spans="1:26" ht="18.75" hidden="1">
      <c r="A726" s="708"/>
      <c r="B726" s="727"/>
      <c r="C726" s="727"/>
      <c r="D726" s="727"/>
      <c r="E726" s="727" t="s">
        <v>307</v>
      </c>
      <c r="F726" s="727"/>
      <c r="G726" s="189"/>
      <c r="H726" s="728" t="s">
        <v>35</v>
      </c>
      <c r="I726" s="729">
        <f ca="1">IFERROR(__xludf.DUMMYFUNCTION("IMPORTRANGE(""https://docs.google.com/spreadsheets/d/1QqKyyYR6Q21VydFLVH3TRQUabQu_ym0Zz7PgGX0-kHA/edit?usp=sharing"",""แผน!IN26"")"),0)</f>
        <v>0</v>
      </c>
      <c r="J726" s="269">
        <f ca="1">IFERROR(__xludf.DUMMYFUNCTION("IMPORTRANGE(""https://docs.google.com/spreadsheets/d/1XWAQStnk-4SwqDmLtmXYiTMKHgktTP8We1SCoS47DrQ/edit?usp=sharing"",""จัดที่ดิน!BR26"")"),0)</f>
        <v>0</v>
      </c>
      <c r="K726" s="465">
        <f t="shared" ca="1" si="291"/>
        <v>0</v>
      </c>
      <c r="L726" s="465"/>
      <c r="M726" s="189"/>
      <c r="N726" s="730"/>
      <c r="O726" s="465"/>
      <c r="P726" s="465"/>
      <c r="Q726" s="541"/>
      <c r="R726" s="541"/>
      <c r="S726" s="541"/>
      <c r="T726" s="541"/>
      <c r="U726" s="541"/>
      <c r="V726" s="541"/>
      <c r="W726" s="541"/>
      <c r="X726" s="541"/>
      <c r="Y726" s="541"/>
      <c r="Z726" s="541"/>
    </row>
    <row r="727" spans="1:26" ht="18.75" hidden="1">
      <c r="A727" s="708"/>
      <c r="B727" s="727"/>
      <c r="C727" s="727"/>
      <c r="D727" s="727"/>
      <c r="E727" s="727"/>
      <c r="F727" s="727"/>
      <c r="G727" s="189"/>
      <c r="H727" s="728" t="s">
        <v>34</v>
      </c>
      <c r="I727" s="729"/>
      <c r="J727" s="269">
        <f ca="1">IFERROR(__xludf.DUMMYFUNCTION("IMPORTRANGE(""https://docs.google.com/spreadsheets/d/1XWAQStnk-4SwqDmLtmXYiTMKHgktTP8We1SCoS47DrQ/edit?usp=sharing"",""จัดที่ดิน!BS26"")"),0)</f>
        <v>0</v>
      </c>
      <c r="K727" s="465"/>
      <c r="L727" s="730"/>
      <c r="M727" s="189"/>
      <c r="N727" s="730"/>
      <c r="O727" s="465"/>
      <c r="P727" s="465"/>
      <c r="Q727" s="541"/>
      <c r="R727" s="541"/>
      <c r="S727" s="541"/>
      <c r="T727" s="541"/>
      <c r="U727" s="541"/>
      <c r="V727" s="541"/>
      <c r="W727" s="541"/>
      <c r="X727" s="541"/>
      <c r="Y727" s="541"/>
      <c r="Z727" s="541"/>
    </row>
    <row r="728" spans="1:26" ht="18.75" hidden="1">
      <c r="A728" s="708"/>
      <c r="B728" s="727"/>
      <c r="C728" s="727"/>
      <c r="D728" s="727"/>
      <c r="E728" s="727"/>
      <c r="F728" s="727"/>
      <c r="G728" s="189"/>
      <c r="H728" s="728" t="s">
        <v>46</v>
      </c>
      <c r="I728" s="729">
        <f ca="1">IFERROR(__xludf.DUMMYFUNCTION("IMPORTRANGE(""https://docs.google.com/spreadsheets/d/1QqKyyYR6Q21VydFLVH3TRQUabQu_ym0Zz7PgGX0-kHA/edit?usp=sharing"",""แผน!IO26"")"),0)</f>
        <v>0</v>
      </c>
      <c r="J728" s="269">
        <f ca="1">IFERROR(__xludf.DUMMYFUNCTION("IMPORTRANGE(""https://docs.google.com/spreadsheets/d/1XWAQStnk-4SwqDmLtmXYiTMKHgktTP8We1SCoS47DrQ/edit?usp=sharing"",""จัดที่ดิน!BT26"")"),0)</f>
        <v>0</v>
      </c>
      <c r="K728" s="465">
        <f t="shared" ref="K728:K729" ca="1" si="292">IF(I728&gt;0,J728*100/I728,0)</f>
        <v>0</v>
      </c>
      <c r="L728" s="730"/>
      <c r="M728" s="189"/>
      <c r="N728" s="730"/>
      <c r="O728" s="465"/>
      <c r="P728" s="465"/>
      <c r="Q728" s="541"/>
      <c r="R728" s="541"/>
      <c r="S728" s="541"/>
      <c r="T728" s="541"/>
      <c r="U728" s="541"/>
      <c r="V728" s="541"/>
      <c r="W728" s="541"/>
      <c r="X728" s="541"/>
      <c r="Y728" s="541"/>
      <c r="Z728" s="541"/>
    </row>
    <row r="729" spans="1:26" ht="19.5" hidden="1">
      <c r="A729" s="708"/>
      <c r="B729" s="727"/>
      <c r="C729" s="727"/>
      <c r="D729" s="727" t="s">
        <v>308</v>
      </c>
      <c r="E729" s="727"/>
      <c r="F729" s="727"/>
      <c r="G729" s="189"/>
      <c r="H729" s="731" t="s">
        <v>46</v>
      </c>
      <c r="I729" s="732">
        <f ca="1">IFERROR(__xludf.DUMMYFUNCTION("IMPORTRANGE(""https://docs.google.com/spreadsheets/d/1QqKyyYR6Q21VydFLVH3TRQUabQu_ym0Zz7PgGX0-kHA/edit?usp=sharing"",""แผน!IP26"")"),0)</f>
        <v>0</v>
      </c>
      <c r="J729" s="647">
        <f>J732+J735</f>
        <v>0</v>
      </c>
      <c r="K729" s="195">
        <f t="shared" ca="1" si="292"/>
        <v>0</v>
      </c>
      <c r="L729" s="465"/>
      <c r="M729" s="189"/>
      <c r="N729" s="730"/>
      <c r="O729" s="465"/>
      <c r="P729" s="465"/>
      <c r="Q729" s="541"/>
      <c r="R729" s="541"/>
      <c r="S729" s="541"/>
      <c r="T729" s="541"/>
      <c r="U729" s="541"/>
      <c r="V729" s="541"/>
      <c r="W729" s="541"/>
      <c r="X729" s="541"/>
      <c r="Y729" s="541"/>
      <c r="Z729" s="541"/>
    </row>
    <row r="730" spans="1:26" ht="18.75" hidden="1">
      <c r="A730" s="708"/>
      <c r="B730" s="727"/>
      <c r="C730" s="727"/>
      <c r="D730" s="727"/>
      <c r="E730" s="727" t="s">
        <v>309</v>
      </c>
      <c r="F730" s="727"/>
      <c r="G730" s="189"/>
      <c r="H730" s="728" t="s">
        <v>35</v>
      </c>
      <c r="I730" s="729"/>
      <c r="J730" s="214">
        <v>0</v>
      </c>
      <c r="K730" s="465"/>
      <c r="L730" s="730"/>
      <c r="M730" s="465"/>
      <c r="N730" s="730"/>
      <c r="O730" s="465"/>
      <c r="P730" s="465"/>
      <c r="Q730" s="541"/>
      <c r="R730" s="541"/>
      <c r="S730" s="541"/>
      <c r="T730" s="541"/>
      <c r="U730" s="541"/>
      <c r="V730" s="541"/>
      <c r="W730" s="541"/>
      <c r="X730" s="541"/>
      <c r="Y730" s="541"/>
      <c r="Z730" s="541"/>
    </row>
    <row r="731" spans="1:26" ht="18.75" hidden="1">
      <c r="A731" s="708"/>
      <c r="B731" s="727"/>
      <c r="C731" s="727"/>
      <c r="D731" s="727"/>
      <c r="E731" s="727"/>
      <c r="F731" s="727"/>
      <c r="G731" s="189"/>
      <c r="H731" s="728" t="s">
        <v>34</v>
      </c>
      <c r="I731" s="729"/>
      <c r="J731" s="214">
        <v>0</v>
      </c>
      <c r="K731" s="465"/>
      <c r="L731" s="730"/>
      <c r="M731" s="465"/>
      <c r="N731" s="730"/>
      <c r="O731" s="465"/>
      <c r="P731" s="465"/>
      <c r="Q731" s="541"/>
      <c r="R731" s="541"/>
      <c r="S731" s="541"/>
      <c r="T731" s="541"/>
      <c r="U731" s="541"/>
      <c r="V731" s="541"/>
      <c r="W731" s="541"/>
      <c r="X731" s="541"/>
      <c r="Y731" s="541"/>
      <c r="Z731" s="541"/>
    </row>
    <row r="732" spans="1:26" ht="18.75" hidden="1">
      <c r="A732" s="708"/>
      <c r="B732" s="727"/>
      <c r="C732" s="727"/>
      <c r="D732" s="727"/>
      <c r="E732" s="727"/>
      <c r="F732" s="727"/>
      <c r="G732" s="189"/>
      <c r="H732" s="728" t="s">
        <v>46</v>
      </c>
      <c r="I732" s="729"/>
      <c r="J732" s="214">
        <v>0</v>
      </c>
      <c r="K732" s="465"/>
      <c r="L732" s="730"/>
      <c r="M732" s="465"/>
      <c r="N732" s="730"/>
      <c r="O732" s="465"/>
      <c r="P732" s="465"/>
      <c r="Q732" s="541"/>
      <c r="R732" s="541"/>
      <c r="S732" s="541"/>
      <c r="T732" s="541"/>
      <c r="U732" s="541"/>
      <c r="V732" s="541"/>
      <c r="W732" s="541"/>
      <c r="X732" s="541"/>
      <c r="Y732" s="541"/>
      <c r="Z732" s="541"/>
    </row>
    <row r="733" spans="1:26" ht="18.75" hidden="1">
      <c r="A733" s="708"/>
      <c r="B733" s="727"/>
      <c r="C733" s="727"/>
      <c r="D733" s="727"/>
      <c r="E733" s="727" t="s">
        <v>310</v>
      </c>
      <c r="F733" s="727"/>
      <c r="G733" s="189"/>
      <c r="H733" s="728" t="s">
        <v>35</v>
      </c>
      <c r="I733" s="729"/>
      <c r="J733" s="214">
        <v>0</v>
      </c>
      <c r="K733" s="465"/>
      <c r="L733" s="730"/>
      <c r="M733" s="465"/>
      <c r="N733" s="730"/>
      <c r="O733" s="465"/>
      <c r="P733" s="465"/>
      <c r="Q733" s="541"/>
      <c r="R733" s="541"/>
      <c r="S733" s="541"/>
      <c r="T733" s="541"/>
      <c r="U733" s="541"/>
      <c r="V733" s="541"/>
      <c r="W733" s="541"/>
      <c r="X733" s="541"/>
      <c r="Y733" s="541"/>
      <c r="Z733" s="541"/>
    </row>
    <row r="734" spans="1:26" ht="18.75" hidden="1">
      <c r="A734" s="708"/>
      <c r="B734" s="727"/>
      <c r="C734" s="727"/>
      <c r="D734" s="727"/>
      <c r="E734" s="727"/>
      <c r="F734" s="727"/>
      <c r="G734" s="189"/>
      <c r="H734" s="728" t="s">
        <v>34</v>
      </c>
      <c r="I734" s="729"/>
      <c r="J734" s="214">
        <v>0</v>
      </c>
      <c r="K734" s="465"/>
      <c r="L734" s="730"/>
      <c r="M734" s="465"/>
      <c r="N734" s="730"/>
      <c r="O734" s="465"/>
      <c r="P734" s="465"/>
      <c r="Q734" s="541"/>
      <c r="R734" s="541"/>
      <c r="S734" s="541"/>
      <c r="T734" s="541"/>
      <c r="U734" s="541"/>
      <c r="V734" s="541"/>
      <c r="W734" s="541"/>
      <c r="X734" s="541"/>
      <c r="Y734" s="541"/>
      <c r="Z734" s="541"/>
    </row>
    <row r="735" spans="1:26" ht="19.5" hidden="1">
      <c r="A735" s="734"/>
      <c r="B735" s="735" t="s">
        <v>311</v>
      </c>
      <c r="C735" s="698"/>
      <c r="D735" s="698"/>
      <c r="E735" s="698"/>
      <c r="F735" s="698"/>
      <c r="G735" s="699"/>
      <c r="H735" s="390" t="s">
        <v>46</v>
      </c>
      <c r="I735" s="736"/>
      <c r="J735" s="392">
        <v>0</v>
      </c>
      <c r="K735" s="469"/>
      <c r="L735" s="737"/>
      <c r="M735" s="469"/>
      <c r="N735" s="737"/>
      <c r="O735" s="469"/>
      <c r="P735" s="469"/>
      <c r="Q735" s="541"/>
      <c r="R735" s="541"/>
      <c r="S735" s="541"/>
      <c r="T735" s="541"/>
      <c r="U735" s="541"/>
      <c r="V735" s="541"/>
      <c r="W735" s="541"/>
      <c r="X735" s="541"/>
      <c r="Y735" s="541"/>
      <c r="Z735" s="541"/>
    </row>
    <row r="736" spans="1:26" ht="19.5" hidden="1">
      <c r="A736" s="738">
        <v>9</v>
      </c>
      <c r="B736" s="739" t="s">
        <v>312</v>
      </c>
      <c r="C736" s="740"/>
      <c r="D736" s="740"/>
      <c r="E736" s="740"/>
      <c r="F736" s="740"/>
      <c r="G736" s="741"/>
      <c r="H736" s="742" t="s">
        <v>46</v>
      </c>
      <c r="I736" s="743"/>
      <c r="J736" s="743">
        <f>J751</f>
        <v>0</v>
      </c>
      <c r="K736" s="744">
        <f>IF(I736&gt;0,J736*100/I736,0)</f>
        <v>0</v>
      </c>
      <c r="L736" s="745"/>
      <c r="M736" s="745"/>
      <c r="N736" s="745"/>
      <c r="O736" s="745"/>
      <c r="P736" s="745"/>
      <c r="Q736" s="568"/>
      <c r="R736" s="568"/>
      <c r="S736" s="568"/>
      <c r="T736" s="568"/>
      <c r="U736" s="568"/>
      <c r="V736" s="568"/>
      <c r="W736" s="568"/>
      <c r="X736" s="568"/>
      <c r="Y736" s="568"/>
      <c r="Z736" s="568"/>
    </row>
    <row r="737" spans="1:26" ht="19.5" hidden="1">
      <c r="A737" s="563"/>
      <c r="B737" s="723"/>
      <c r="C737" s="723" t="s">
        <v>16</v>
      </c>
      <c r="D737" s="812" t="s">
        <v>17</v>
      </c>
      <c r="E737" s="805"/>
      <c r="F737" s="805"/>
      <c r="G737" s="567"/>
      <c r="H737" s="612" t="s">
        <v>12</v>
      </c>
      <c r="I737" s="583"/>
      <c r="J737" s="583"/>
      <c r="K737" s="93"/>
      <c r="L737" s="613">
        <f t="shared" ref="L737:N737" si="293">L738+L739</f>
        <v>0</v>
      </c>
      <c r="M737" s="613">
        <f t="shared" si="293"/>
        <v>0</v>
      </c>
      <c r="N737" s="613">
        <f t="shared" si="293"/>
        <v>0</v>
      </c>
      <c r="O737" s="613">
        <f t="shared" ref="O737:O742" si="294">IF(L737&gt;0,N737*100/L737,0)</f>
        <v>0</v>
      </c>
      <c r="P737" s="613">
        <f t="shared" ref="P737:P742" si="295">IF(M737&gt;0,N737*100/M737,0)</f>
        <v>0</v>
      </c>
      <c r="Q737" s="568"/>
      <c r="R737" s="568"/>
      <c r="S737" s="568"/>
      <c r="T737" s="568"/>
      <c r="U737" s="568"/>
      <c r="V737" s="568"/>
      <c r="W737" s="568"/>
      <c r="X737" s="568"/>
      <c r="Y737" s="568"/>
      <c r="Z737" s="568"/>
    </row>
    <row r="738" spans="1:26" ht="18.75" hidden="1">
      <c r="A738" s="563"/>
      <c r="B738" s="723"/>
      <c r="C738" s="723"/>
      <c r="D738" s="684"/>
      <c r="E738" s="723" t="s">
        <v>184</v>
      </c>
      <c r="F738" s="723"/>
      <c r="G738" s="567"/>
      <c r="H738" s="165" t="s">
        <v>12</v>
      </c>
      <c r="I738" s="583"/>
      <c r="J738" s="583"/>
      <c r="K738" s="93"/>
      <c r="L738" s="93">
        <f t="shared" ref="L738:N739" si="296">L741+L748</f>
        <v>0</v>
      </c>
      <c r="M738" s="93">
        <f t="shared" si="296"/>
        <v>0</v>
      </c>
      <c r="N738" s="93">
        <f t="shared" si="296"/>
        <v>0</v>
      </c>
      <c r="O738" s="93">
        <f t="shared" si="294"/>
        <v>0</v>
      </c>
      <c r="P738" s="93">
        <f t="shared" si="295"/>
        <v>0</v>
      </c>
      <c r="Q738" s="568"/>
      <c r="R738" s="568"/>
      <c r="S738" s="568"/>
      <c r="T738" s="568"/>
      <c r="U738" s="568"/>
      <c r="V738" s="568"/>
      <c r="W738" s="568"/>
      <c r="X738" s="568"/>
      <c r="Y738" s="568"/>
      <c r="Z738" s="568"/>
    </row>
    <row r="739" spans="1:26" ht="18.75" hidden="1">
      <c r="A739" s="563"/>
      <c r="B739" s="571"/>
      <c r="C739" s="723"/>
      <c r="D739" s="684"/>
      <c r="E739" s="723" t="s">
        <v>185</v>
      </c>
      <c r="F739" s="723"/>
      <c r="G739" s="567"/>
      <c r="H739" s="165" t="s">
        <v>12</v>
      </c>
      <c r="I739" s="583"/>
      <c r="J739" s="583"/>
      <c r="K739" s="93"/>
      <c r="L739" s="93">
        <f t="shared" si="296"/>
        <v>0</v>
      </c>
      <c r="M739" s="93">
        <f t="shared" si="296"/>
        <v>0</v>
      </c>
      <c r="N739" s="93">
        <f t="shared" si="296"/>
        <v>0</v>
      </c>
      <c r="O739" s="93">
        <f t="shared" si="294"/>
        <v>0</v>
      </c>
      <c r="P739" s="93">
        <f t="shared" si="295"/>
        <v>0</v>
      </c>
      <c r="Q739" s="568"/>
      <c r="R739" s="568"/>
      <c r="S739" s="568"/>
      <c r="T739" s="568"/>
      <c r="U739" s="568"/>
      <c r="V739" s="568"/>
      <c r="W739" s="568"/>
      <c r="X739" s="568"/>
      <c r="Y739" s="568"/>
      <c r="Z739" s="568"/>
    </row>
    <row r="740" spans="1:26" ht="19.5" hidden="1">
      <c r="A740" s="563"/>
      <c r="B740" s="571"/>
      <c r="C740" s="723"/>
      <c r="D740" s="611" t="s">
        <v>20</v>
      </c>
      <c r="E740" s="723"/>
      <c r="F740" s="723"/>
      <c r="G740" s="567"/>
      <c r="H740" s="612" t="s">
        <v>12</v>
      </c>
      <c r="I740" s="166"/>
      <c r="J740" s="166"/>
      <c r="K740" s="167"/>
      <c r="L740" s="613">
        <f t="shared" ref="L740:N740" si="297">L741+L742</f>
        <v>0</v>
      </c>
      <c r="M740" s="613">
        <f t="shared" si="297"/>
        <v>0</v>
      </c>
      <c r="N740" s="613">
        <f t="shared" si="297"/>
        <v>0</v>
      </c>
      <c r="O740" s="613">
        <f t="shared" si="294"/>
        <v>0</v>
      </c>
      <c r="P740" s="613">
        <f t="shared" si="295"/>
        <v>0</v>
      </c>
      <c r="Q740" s="568"/>
      <c r="R740" s="568"/>
      <c r="S740" s="568"/>
      <c r="T740" s="568"/>
      <c r="U740" s="568"/>
      <c r="V740" s="568"/>
      <c r="W740" s="568"/>
      <c r="X740" s="568"/>
      <c r="Y740" s="568"/>
      <c r="Z740" s="568"/>
    </row>
    <row r="741" spans="1:26" ht="18.75" hidden="1">
      <c r="A741" s="563"/>
      <c r="B741" s="571"/>
      <c r="C741" s="723"/>
      <c r="D741" s="684"/>
      <c r="E741" s="723" t="s">
        <v>184</v>
      </c>
      <c r="F741" s="723"/>
      <c r="G741" s="567"/>
      <c r="H741" s="165" t="s">
        <v>12</v>
      </c>
      <c r="I741" s="583"/>
      <c r="J741" s="583"/>
      <c r="K741" s="93"/>
      <c r="L741" s="93">
        <v>0</v>
      </c>
      <c r="M741" s="93">
        <v>0</v>
      </c>
      <c r="N741" s="93">
        <v>0</v>
      </c>
      <c r="O741" s="93">
        <f t="shared" si="294"/>
        <v>0</v>
      </c>
      <c r="P741" s="93">
        <f t="shared" si="295"/>
        <v>0</v>
      </c>
      <c r="Q741" s="568"/>
      <c r="R741" s="568"/>
      <c r="S741" s="568"/>
      <c r="T741" s="568"/>
      <c r="U741" s="568"/>
      <c r="V741" s="568"/>
      <c r="W741" s="568"/>
      <c r="X741" s="568"/>
      <c r="Y741" s="568"/>
      <c r="Z741" s="568"/>
    </row>
    <row r="742" spans="1:26" ht="18.75" hidden="1">
      <c r="A742" s="563"/>
      <c r="B742" s="571"/>
      <c r="C742" s="723"/>
      <c r="D742" s="684"/>
      <c r="E742" s="723" t="s">
        <v>185</v>
      </c>
      <c r="F742" s="723"/>
      <c r="G742" s="567"/>
      <c r="H742" s="165" t="s">
        <v>12</v>
      </c>
      <c r="I742" s="583"/>
      <c r="J742" s="583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4"/>
        <v>0</v>
      </c>
      <c r="P742" s="93">
        <f t="shared" si="295"/>
        <v>0</v>
      </c>
      <c r="Q742" s="568"/>
      <c r="R742" s="568"/>
      <c r="S742" s="568"/>
      <c r="T742" s="568"/>
      <c r="U742" s="568"/>
      <c r="V742" s="568"/>
      <c r="W742" s="568"/>
      <c r="X742" s="568"/>
      <c r="Y742" s="568"/>
      <c r="Z742" s="568"/>
    </row>
    <row r="743" spans="1:26" ht="18.75" hidden="1">
      <c r="A743" s="615"/>
      <c r="B743" s="571"/>
      <c r="C743" s="723"/>
      <c r="D743" s="723"/>
      <c r="E743" s="723"/>
      <c r="F743" s="723" t="s">
        <v>186</v>
      </c>
      <c r="G743" s="567"/>
      <c r="H743" s="165" t="s">
        <v>12</v>
      </c>
      <c r="I743" s="583"/>
      <c r="J743" s="583"/>
      <c r="K743" s="93"/>
      <c r="L743" s="93"/>
      <c r="M743" s="93"/>
      <c r="N743" s="93"/>
      <c r="O743" s="93"/>
      <c r="P743" s="93"/>
      <c r="Q743" s="568"/>
      <c r="R743" s="568"/>
      <c r="S743" s="568"/>
      <c r="T743" s="568"/>
      <c r="U743" s="568"/>
      <c r="V743" s="568"/>
      <c r="W743" s="568"/>
      <c r="X743" s="568"/>
      <c r="Y743" s="568"/>
      <c r="Z743" s="568"/>
    </row>
    <row r="744" spans="1:26" ht="18.75" hidden="1">
      <c r="A744" s="615"/>
      <c r="B744" s="571"/>
      <c r="C744" s="723"/>
      <c r="D744" s="723"/>
      <c r="E744" s="723"/>
      <c r="F744" s="723" t="s">
        <v>187</v>
      </c>
      <c r="G744" s="567"/>
      <c r="H744" s="165" t="s">
        <v>12</v>
      </c>
      <c r="I744" s="583"/>
      <c r="J744" s="583"/>
      <c r="K744" s="93"/>
      <c r="L744" s="93"/>
      <c r="M744" s="93"/>
      <c r="N744" s="93"/>
      <c r="O744" s="93"/>
      <c r="P744" s="93"/>
      <c r="Q744" s="568"/>
      <c r="R744" s="568"/>
      <c r="S744" s="568"/>
      <c r="T744" s="568"/>
      <c r="U744" s="568"/>
      <c r="V744" s="568"/>
      <c r="W744" s="568"/>
      <c r="X744" s="568"/>
      <c r="Y744" s="568"/>
      <c r="Z744" s="568"/>
    </row>
    <row r="745" spans="1:26" ht="18.75" hidden="1">
      <c r="A745" s="615"/>
      <c r="B745" s="571"/>
      <c r="C745" s="723"/>
      <c r="D745" s="723"/>
      <c r="E745" s="723"/>
      <c r="F745" s="723" t="s">
        <v>188</v>
      </c>
      <c r="G745" s="567"/>
      <c r="H745" s="165" t="s">
        <v>12</v>
      </c>
      <c r="I745" s="583"/>
      <c r="J745" s="583"/>
      <c r="K745" s="93"/>
      <c r="L745" s="93"/>
      <c r="M745" s="93"/>
      <c r="N745" s="93"/>
      <c r="O745" s="93"/>
      <c r="P745" s="93"/>
      <c r="Q745" s="568"/>
      <c r="R745" s="568"/>
      <c r="S745" s="568"/>
      <c r="T745" s="568"/>
      <c r="U745" s="568"/>
      <c r="V745" s="568"/>
      <c r="W745" s="568"/>
      <c r="X745" s="568"/>
      <c r="Y745" s="568"/>
      <c r="Z745" s="568"/>
    </row>
    <row r="746" spans="1:26" ht="18.75" hidden="1">
      <c r="A746" s="615"/>
      <c r="B746" s="571"/>
      <c r="C746" s="723"/>
      <c r="D746" s="723"/>
      <c r="E746" s="723"/>
      <c r="F746" s="723" t="s">
        <v>189</v>
      </c>
      <c r="G746" s="567"/>
      <c r="H746" s="165" t="s">
        <v>12</v>
      </c>
      <c r="I746" s="583"/>
      <c r="J746" s="583"/>
      <c r="K746" s="93"/>
      <c r="L746" s="93"/>
      <c r="M746" s="93"/>
      <c r="N746" s="93"/>
      <c r="O746" s="93"/>
      <c r="P746" s="93"/>
      <c r="Q746" s="568"/>
      <c r="R746" s="568"/>
      <c r="S746" s="568"/>
      <c r="T746" s="568"/>
      <c r="U746" s="568"/>
      <c r="V746" s="568"/>
      <c r="W746" s="568"/>
      <c r="X746" s="568"/>
      <c r="Y746" s="568"/>
      <c r="Z746" s="568"/>
    </row>
    <row r="747" spans="1:26" ht="19.5" hidden="1">
      <c r="A747" s="563"/>
      <c r="B747" s="571"/>
      <c r="C747" s="723"/>
      <c r="D747" s="611" t="s">
        <v>21</v>
      </c>
      <c r="E747" s="723"/>
      <c r="F747" s="723"/>
      <c r="G747" s="567"/>
      <c r="H747" s="747" t="s">
        <v>12</v>
      </c>
      <c r="I747" s="166"/>
      <c r="J747" s="166"/>
      <c r="K747" s="167"/>
      <c r="L747" s="613">
        <f t="shared" ref="L747:N747" si="298">L748+L749</f>
        <v>0</v>
      </c>
      <c r="M747" s="613">
        <f t="shared" si="298"/>
        <v>0</v>
      </c>
      <c r="N747" s="613">
        <f t="shared" si="298"/>
        <v>0</v>
      </c>
      <c r="O747" s="613">
        <f t="shared" ref="O747:O749" si="299">IF(L747&gt;0,N747*100/L747,0)</f>
        <v>0</v>
      </c>
      <c r="P747" s="613">
        <f t="shared" ref="P747:P749" si="300">IF(M747&gt;0,N747*100/M747,0)</f>
        <v>0</v>
      </c>
      <c r="Q747" s="568"/>
      <c r="R747" s="568"/>
      <c r="S747" s="568"/>
      <c r="T747" s="568"/>
      <c r="U747" s="568"/>
      <c r="V747" s="568"/>
      <c r="W747" s="568"/>
      <c r="X747" s="568"/>
      <c r="Y747" s="568"/>
      <c r="Z747" s="568"/>
    </row>
    <row r="748" spans="1:26" ht="18.75" hidden="1">
      <c r="A748" s="563"/>
      <c r="B748" s="571"/>
      <c r="C748" s="723"/>
      <c r="D748" s="723"/>
      <c r="E748" s="723" t="s">
        <v>18</v>
      </c>
      <c r="F748" s="723"/>
      <c r="G748" s="567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299"/>
        <v>0</v>
      </c>
      <c r="P748" s="93">
        <f t="shared" si="300"/>
        <v>0</v>
      </c>
      <c r="Q748" s="568"/>
      <c r="R748" s="568"/>
      <c r="S748" s="568"/>
      <c r="T748" s="568"/>
      <c r="U748" s="568"/>
      <c r="V748" s="568"/>
      <c r="W748" s="568"/>
      <c r="X748" s="568"/>
      <c r="Y748" s="568"/>
      <c r="Z748" s="568"/>
    </row>
    <row r="749" spans="1:26" ht="18.75" hidden="1">
      <c r="A749" s="563"/>
      <c r="B749" s="571"/>
      <c r="C749" s="723"/>
      <c r="D749" s="723"/>
      <c r="E749" s="723" t="s">
        <v>19</v>
      </c>
      <c r="F749" s="723"/>
      <c r="G749" s="567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299"/>
        <v>0</v>
      </c>
      <c r="P749" s="93">
        <f t="shared" si="300"/>
        <v>0</v>
      </c>
      <c r="Q749" s="568"/>
      <c r="R749" s="568"/>
      <c r="S749" s="568"/>
      <c r="T749" s="568"/>
      <c r="U749" s="568"/>
      <c r="V749" s="568"/>
      <c r="W749" s="568"/>
      <c r="X749" s="568"/>
      <c r="Y749" s="568"/>
      <c r="Z749" s="568"/>
    </row>
    <row r="750" spans="1:26" ht="19.5" hidden="1">
      <c r="A750" s="578"/>
      <c r="B750" s="580"/>
      <c r="C750" s="723" t="s">
        <v>16</v>
      </c>
      <c r="D750" s="856" t="s">
        <v>38</v>
      </c>
      <c r="E750" s="617"/>
      <c r="F750" s="617"/>
      <c r="G750" s="618"/>
      <c r="H750" s="581"/>
      <c r="I750" s="166"/>
      <c r="J750" s="166"/>
      <c r="K750" s="167"/>
      <c r="L750" s="167"/>
      <c r="M750" s="167"/>
      <c r="N750" s="167"/>
      <c r="O750" s="167"/>
      <c r="P750" s="167"/>
      <c r="Q750" s="568"/>
      <c r="R750" s="568"/>
      <c r="S750" s="568"/>
      <c r="T750" s="568"/>
      <c r="U750" s="568"/>
      <c r="V750" s="568"/>
      <c r="W750" s="568"/>
      <c r="X750" s="568"/>
      <c r="Y750" s="568"/>
      <c r="Z750" s="568"/>
    </row>
    <row r="751" spans="1:26" ht="18.75" hidden="1">
      <c r="A751" s="615"/>
      <c r="B751" s="571"/>
      <c r="C751" s="723"/>
      <c r="D751" s="723"/>
      <c r="E751" s="723" t="s">
        <v>313</v>
      </c>
      <c r="F751" s="723"/>
      <c r="G751" s="567"/>
      <c r="H751" s="165" t="s">
        <v>46</v>
      </c>
      <c r="I751" s="583"/>
      <c r="J751" s="583"/>
      <c r="K751" s="93"/>
      <c r="L751" s="93"/>
      <c r="M751" s="93"/>
      <c r="N751" s="93"/>
      <c r="O751" s="93"/>
      <c r="P751" s="93"/>
      <c r="Q751" s="568"/>
      <c r="R751" s="568"/>
      <c r="S751" s="568"/>
      <c r="T751" s="568"/>
      <c r="U751" s="568"/>
      <c r="V751" s="568"/>
      <c r="W751" s="568"/>
      <c r="X751" s="568"/>
      <c r="Y751" s="568"/>
      <c r="Z751" s="568"/>
    </row>
    <row r="752" spans="1:26" ht="18.75" hidden="1">
      <c r="A752" s="615"/>
      <c r="B752" s="571"/>
      <c r="C752" s="723"/>
      <c r="D752" s="723"/>
      <c r="E752" s="723"/>
      <c r="F752" s="723"/>
      <c r="G752" s="567"/>
      <c r="H752" s="165" t="s">
        <v>314</v>
      </c>
      <c r="I752" s="583"/>
      <c r="J752" s="583"/>
      <c r="K752" s="93"/>
      <c r="L752" s="93"/>
      <c r="M752" s="93"/>
      <c r="N752" s="93"/>
      <c r="O752" s="93"/>
      <c r="P752" s="93"/>
      <c r="Q752" s="568"/>
      <c r="R752" s="568"/>
      <c r="S752" s="568"/>
      <c r="T752" s="568"/>
      <c r="U752" s="568"/>
      <c r="V752" s="568"/>
      <c r="W752" s="568"/>
      <c r="X752" s="568"/>
      <c r="Y752" s="568"/>
      <c r="Z752" s="568"/>
    </row>
    <row r="753" spans="1:26" ht="19.5" hidden="1">
      <c r="A753" s="749">
        <v>10</v>
      </c>
      <c r="B753" s="750" t="s">
        <v>315</v>
      </c>
      <c r="C753" s="751"/>
      <c r="D753" s="751"/>
      <c r="E753" s="751"/>
      <c r="F753" s="751"/>
      <c r="G753" s="752"/>
      <c r="H753" s="753" t="s">
        <v>46</v>
      </c>
      <c r="I753" s="754"/>
      <c r="J753" s="754">
        <f>J768</f>
        <v>0</v>
      </c>
      <c r="K753" s="755">
        <f>IF(I753&gt;0,J753*100/I753,0)</f>
        <v>0</v>
      </c>
      <c r="L753" s="756"/>
      <c r="M753" s="756"/>
      <c r="N753" s="756"/>
      <c r="O753" s="756"/>
      <c r="P753" s="756"/>
      <c r="Q753" s="568"/>
      <c r="R753" s="568"/>
      <c r="S753" s="568"/>
      <c r="T753" s="568"/>
      <c r="U753" s="568"/>
      <c r="V753" s="568"/>
      <c r="W753" s="568"/>
      <c r="X753" s="568"/>
      <c r="Y753" s="568"/>
      <c r="Z753" s="568"/>
    </row>
    <row r="754" spans="1:26" ht="19.5" hidden="1">
      <c r="A754" s="563"/>
      <c r="B754" s="723"/>
      <c r="C754" s="723" t="s">
        <v>16</v>
      </c>
      <c r="D754" s="812" t="s">
        <v>17</v>
      </c>
      <c r="E754" s="805"/>
      <c r="F754" s="805"/>
      <c r="G754" s="567"/>
      <c r="H754" s="612" t="s">
        <v>12</v>
      </c>
      <c r="I754" s="583"/>
      <c r="J754" s="583"/>
      <c r="K754" s="93"/>
      <c r="L754" s="613">
        <f t="shared" ref="L754:N754" si="301">L755+L756</f>
        <v>0</v>
      </c>
      <c r="M754" s="613">
        <f t="shared" si="301"/>
        <v>0</v>
      </c>
      <c r="N754" s="613">
        <f t="shared" si="301"/>
        <v>0</v>
      </c>
      <c r="O754" s="613">
        <f t="shared" ref="O754:O759" si="302">IF(L754&gt;0,N754*100/L754,0)</f>
        <v>0</v>
      </c>
      <c r="P754" s="613">
        <f t="shared" ref="P754:P759" si="303">IF(M754&gt;0,N754*100/M754,0)</f>
        <v>0</v>
      </c>
      <c r="Q754" s="568"/>
      <c r="R754" s="568"/>
      <c r="S754" s="568"/>
      <c r="T754" s="568"/>
      <c r="U754" s="568"/>
      <c r="V754" s="568"/>
      <c r="W754" s="568"/>
      <c r="X754" s="568"/>
      <c r="Y754" s="568"/>
      <c r="Z754" s="568"/>
    </row>
    <row r="755" spans="1:26" ht="18.75" hidden="1">
      <c r="A755" s="563"/>
      <c r="B755" s="723"/>
      <c r="C755" s="723"/>
      <c r="D755" s="684"/>
      <c r="E755" s="723" t="s">
        <v>184</v>
      </c>
      <c r="F755" s="723"/>
      <c r="G755" s="567"/>
      <c r="H755" s="165" t="s">
        <v>12</v>
      </c>
      <c r="I755" s="583"/>
      <c r="J755" s="583"/>
      <c r="K755" s="93"/>
      <c r="L755" s="93">
        <f t="shared" ref="L755:N756" si="304">L758+L765</f>
        <v>0</v>
      </c>
      <c r="M755" s="93">
        <f t="shared" si="304"/>
        <v>0</v>
      </c>
      <c r="N755" s="93">
        <f t="shared" si="304"/>
        <v>0</v>
      </c>
      <c r="O755" s="93">
        <f t="shared" si="302"/>
        <v>0</v>
      </c>
      <c r="P755" s="93">
        <f t="shared" si="303"/>
        <v>0</v>
      </c>
      <c r="Q755" s="568"/>
      <c r="R755" s="568"/>
      <c r="S755" s="568"/>
      <c r="T755" s="568"/>
      <c r="U755" s="568"/>
      <c r="V755" s="568"/>
      <c r="W755" s="568"/>
      <c r="X755" s="568"/>
      <c r="Y755" s="568"/>
      <c r="Z755" s="568"/>
    </row>
    <row r="756" spans="1:26" ht="18.75" hidden="1">
      <c r="A756" s="563"/>
      <c r="B756" s="571"/>
      <c r="C756" s="723"/>
      <c r="D756" s="684"/>
      <c r="E756" s="723" t="s">
        <v>185</v>
      </c>
      <c r="F756" s="723"/>
      <c r="G756" s="567"/>
      <c r="H756" s="165" t="s">
        <v>12</v>
      </c>
      <c r="I756" s="583"/>
      <c r="J756" s="583"/>
      <c r="K756" s="93"/>
      <c r="L756" s="93">
        <f t="shared" si="304"/>
        <v>0</v>
      </c>
      <c r="M756" s="93">
        <f t="shared" si="304"/>
        <v>0</v>
      </c>
      <c r="N756" s="93">
        <f t="shared" si="304"/>
        <v>0</v>
      </c>
      <c r="O756" s="93">
        <f t="shared" si="302"/>
        <v>0</v>
      </c>
      <c r="P756" s="93">
        <f t="shared" si="303"/>
        <v>0</v>
      </c>
      <c r="Q756" s="568"/>
      <c r="R756" s="568"/>
      <c r="S756" s="568"/>
      <c r="T756" s="568"/>
      <c r="U756" s="568"/>
      <c r="V756" s="568"/>
      <c r="W756" s="568"/>
      <c r="X756" s="568"/>
      <c r="Y756" s="568"/>
      <c r="Z756" s="568"/>
    </row>
    <row r="757" spans="1:26" ht="19.5" hidden="1">
      <c r="A757" s="563"/>
      <c r="B757" s="571"/>
      <c r="C757" s="723"/>
      <c r="D757" s="611" t="s">
        <v>20</v>
      </c>
      <c r="E757" s="723"/>
      <c r="F757" s="723"/>
      <c r="G757" s="567"/>
      <c r="H757" s="612" t="s">
        <v>12</v>
      </c>
      <c r="I757" s="166"/>
      <c r="J757" s="166"/>
      <c r="K757" s="167"/>
      <c r="L757" s="613">
        <f t="shared" ref="L757:N757" si="305">L758+L759</f>
        <v>0</v>
      </c>
      <c r="M757" s="613">
        <f t="shared" si="305"/>
        <v>0</v>
      </c>
      <c r="N757" s="613">
        <f t="shared" si="305"/>
        <v>0</v>
      </c>
      <c r="O757" s="613">
        <f t="shared" si="302"/>
        <v>0</v>
      </c>
      <c r="P757" s="613">
        <f t="shared" si="303"/>
        <v>0</v>
      </c>
      <c r="Q757" s="568"/>
      <c r="R757" s="568"/>
      <c r="S757" s="568"/>
      <c r="T757" s="568"/>
      <c r="U757" s="568"/>
      <c r="V757" s="568"/>
      <c r="W757" s="568"/>
      <c r="X757" s="568"/>
      <c r="Y757" s="568"/>
      <c r="Z757" s="568"/>
    </row>
    <row r="758" spans="1:26" ht="18.75" hidden="1">
      <c r="A758" s="563"/>
      <c r="B758" s="571"/>
      <c r="C758" s="723"/>
      <c r="D758" s="684"/>
      <c r="E758" s="723" t="s">
        <v>184</v>
      </c>
      <c r="F758" s="723"/>
      <c r="G758" s="567"/>
      <c r="H758" s="165" t="s">
        <v>12</v>
      </c>
      <c r="I758" s="583"/>
      <c r="J758" s="583"/>
      <c r="K758" s="93"/>
      <c r="L758" s="93">
        <v>0</v>
      </c>
      <c r="M758" s="93">
        <v>0</v>
      </c>
      <c r="N758" s="93">
        <v>0</v>
      </c>
      <c r="O758" s="93">
        <f t="shared" si="302"/>
        <v>0</v>
      </c>
      <c r="P758" s="93">
        <f t="shared" si="303"/>
        <v>0</v>
      </c>
      <c r="Q758" s="568"/>
      <c r="R758" s="568"/>
      <c r="S758" s="568"/>
      <c r="T758" s="568"/>
      <c r="U758" s="568"/>
      <c r="V758" s="568"/>
      <c r="W758" s="568"/>
      <c r="X758" s="568"/>
      <c r="Y758" s="568"/>
      <c r="Z758" s="568"/>
    </row>
    <row r="759" spans="1:26" ht="18.75" hidden="1">
      <c r="A759" s="563"/>
      <c r="B759" s="571"/>
      <c r="C759" s="723"/>
      <c r="D759" s="684"/>
      <c r="E759" s="723" t="s">
        <v>185</v>
      </c>
      <c r="F759" s="723"/>
      <c r="G759" s="567"/>
      <c r="H759" s="165" t="s">
        <v>12</v>
      </c>
      <c r="I759" s="583"/>
      <c r="J759" s="583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2"/>
        <v>0</v>
      </c>
      <c r="P759" s="93">
        <f t="shared" si="303"/>
        <v>0</v>
      </c>
      <c r="Q759" s="568"/>
      <c r="R759" s="568"/>
      <c r="S759" s="568"/>
      <c r="T759" s="568"/>
      <c r="U759" s="568"/>
      <c r="V759" s="568"/>
      <c r="W759" s="568"/>
      <c r="X759" s="568"/>
      <c r="Y759" s="568"/>
      <c r="Z759" s="568"/>
    </row>
    <row r="760" spans="1:26" ht="18.75" hidden="1">
      <c r="A760" s="615"/>
      <c r="B760" s="571"/>
      <c r="C760" s="723"/>
      <c r="D760" s="723"/>
      <c r="E760" s="723"/>
      <c r="F760" s="723" t="s">
        <v>186</v>
      </c>
      <c r="G760" s="567"/>
      <c r="H760" s="165" t="s">
        <v>12</v>
      </c>
      <c r="I760" s="583"/>
      <c r="J760" s="583"/>
      <c r="K760" s="93"/>
      <c r="L760" s="93"/>
      <c r="M760" s="93"/>
      <c r="N760" s="93"/>
      <c r="O760" s="93"/>
      <c r="P760" s="93"/>
      <c r="Q760" s="568"/>
      <c r="R760" s="568"/>
      <c r="S760" s="568"/>
      <c r="T760" s="568"/>
      <c r="U760" s="568"/>
      <c r="V760" s="568"/>
      <c r="W760" s="568"/>
      <c r="X760" s="568"/>
      <c r="Y760" s="568"/>
      <c r="Z760" s="568"/>
    </row>
    <row r="761" spans="1:26" ht="18.75" hidden="1">
      <c r="A761" s="615"/>
      <c r="B761" s="571"/>
      <c r="C761" s="723"/>
      <c r="D761" s="723"/>
      <c r="E761" s="723"/>
      <c r="F761" s="723" t="s">
        <v>187</v>
      </c>
      <c r="G761" s="567"/>
      <c r="H761" s="165" t="s">
        <v>12</v>
      </c>
      <c r="I761" s="583"/>
      <c r="J761" s="583"/>
      <c r="K761" s="93"/>
      <c r="L761" s="93"/>
      <c r="M761" s="93"/>
      <c r="N761" s="93"/>
      <c r="O761" s="93"/>
      <c r="P761" s="93"/>
      <c r="Q761" s="568"/>
      <c r="R761" s="568"/>
      <c r="S761" s="568"/>
      <c r="T761" s="568"/>
      <c r="U761" s="568"/>
      <c r="V761" s="568"/>
      <c r="W761" s="568"/>
      <c r="X761" s="568"/>
      <c r="Y761" s="568"/>
      <c r="Z761" s="568"/>
    </row>
    <row r="762" spans="1:26" ht="18.75" hidden="1">
      <c r="A762" s="615"/>
      <c r="B762" s="571"/>
      <c r="C762" s="723"/>
      <c r="D762" s="723"/>
      <c r="E762" s="723"/>
      <c r="F762" s="723" t="s">
        <v>188</v>
      </c>
      <c r="G762" s="567"/>
      <c r="H762" s="165" t="s">
        <v>12</v>
      </c>
      <c r="I762" s="583"/>
      <c r="J762" s="583"/>
      <c r="K762" s="93"/>
      <c r="L762" s="93"/>
      <c r="M762" s="93"/>
      <c r="N762" s="93"/>
      <c r="O762" s="93"/>
      <c r="P762" s="93"/>
      <c r="Q762" s="568"/>
      <c r="R762" s="568"/>
      <c r="S762" s="568"/>
      <c r="T762" s="568"/>
      <c r="U762" s="568"/>
      <c r="V762" s="568"/>
      <c r="W762" s="568"/>
      <c r="X762" s="568"/>
      <c r="Y762" s="568"/>
      <c r="Z762" s="568"/>
    </row>
    <row r="763" spans="1:26" ht="18.75" hidden="1">
      <c r="A763" s="615"/>
      <c r="B763" s="571"/>
      <c r="C763" s="723"/>
      <c r="D763" s="723"/>
      <c r="E763" s="723"/>
      <c r="F763" s="723" t="s">
        <v>189</v>
      </c>
      <c r="G763" s="567"/>
      <c r="H763" s="165" t="s">
        <v>12</v>
      </c>
      <c r="I763" s="583"/>
      <c r="J763" s="583"/>
      <c r="K763" s="93"/>
      <c r="L763" s="93"/>
      <c r="M763" s="93"/>
      <c r="N763" s="93"/>
      <c r="O763" s="93"/>
      <c r="P763" s="93"/>
      <c r="Q763" s="568"/>
      <c r="R763" s="568"/>
      <c r="S763" s="568"/>
      <c r="T763" s="568"/>
      <c r="U763" s="568"/>
      <c r="V763" s="568"/>
      <c r="W763" s="568"/>
      <c r="X763" s="568"/>
      <c r="Y763" s="568"/>
      <c r="Z763" s="568"/>
    </row>
    <row r="764" spans="1:26" ht="19.5" hidden="1">
      <c r="A764" s="563"/>
      <c r="B764" s="571"/>
      <c r="C764" s="723"/>
      <c r="D764" s="611" t="s">
        <v>21</v>
      </c>
      <c r="E764" s="723"/>
      <c r="F764" s="723"/>
      <c r="G764" s="567"/>
      <c r="H764" s="747" t="s">
        <v>12</v>
      </c>
      <c r="I764" s="166"/>
      <c r="J764" s="166"/>
      <c r="K764" s="167"/>
      <c r="L764" s="613">
        <f t="shared" ref="L764:N764" si="306">L765+L766</f>
        <v>0</v>
      </c>
      <c r="M764" s="613">
        <f t="shared" si="306"/>
        <v>0</v>
      </c>
      <c r="N764" s="613">
        <f t="shared" si="306"/>
        <v>0</v>
      </c>
      <c r="O764" s="613">
        <f t="shared" ref="O764:O766" si="307">IF(L764&gt;0,N764*100/L764,0)</f>
        <v>0</v>
      </c>
      <c r="P764" s="613">
        <f t="shared" ref="P764:P766" si="308">IF(M764&gt;0,N764*100/M764,0)</f>
        <v>0</v>
      </c>
      <c r="Q764" s="568"/>
      <c r="R764" s="568"/>
      <c r="S764" s="568"/>
      <c r="T764" s="568"/>
      <c r="U764" s="568"/>
      <c r="V764" s="568"/>
      <c r="W764" s="568"/>
      <c r="X764" s="568"/>
      <c r="Y764" s="568"/>
      <c r="Z764" s="568"/>
    </row>
    <row r="765" spans="1:26" ht="18.75" hidden="1">
      <c r="A765" s="563"/>
      <c r="B765" s="571"/>
      <c r="C765" s="723"/>
      <c r="D765" s="723"/>
      <c r="E765" s="723" t="s">
        <v>18</v>
      </c>
      <c r="F765" s="723"/>
      <c r="G765" s="567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7"/>
        <v>0</v>
      </c>
      <c r="P765" s="93">
        <f t="shared" si="308"/>
        <v>0</v>
      </c>
      <c r="Q765" s="568"/>
      <c r="R765" s="568"/>
      <c r="S765" s="568"/>
      <c r="T765" s="568"/>
      <c r="U765" s="568"/>
      <c r="V765" s="568"/>
      <c r="W765" s="568"/>
      <c r="X765" s="568"/>
      <c r="Y765" s="568"/>
      <c r="Z765" s="568"/>
    </row>
    <row r="766" spans="1:26" ht="18.75" hidden="1">
      <c r="A766" s="563"/>
      <c r="B766" s="571"/>
      <c r="C766" s="723"/>
      <c r="D766" s="723"/>
      <c r="E766" s="723" t="s">
        <v>19</v>
      </c>
      <c r="F766" s="723"/>
      <c r="G766" s="567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7"/>
        <v>0</v>
      </c>
      <c r="P766" s="93">
        <f t="shared" si="308"/>
        <v>0</v>
      </c>
      <c r="Q766" s="568"/>
      <c r="R766" s="568"/>
      <c r="S766" s="568"/>
      <c r="T766" s="568"/>
      <c r="U766" s="568"/>
      <c r="V766" s="568"/>
      <c r="W766" s="568"/>
      <c r="X766" s="568"/>
      <c r="Y766" s="568"/>
      <c r="Z766" s="568"/>
    </row>
    <row r="767" spans="1:26" ht="19.5" hidden="1">
      <c r="A767" s="578"/>
      <c r="B767" s="580"/>
      <c r="C767" s="723" t="s">
        <v>16</v>
      </c>
      <c r="D767" s="856" t="s">
        <v>38</v>
      </c>
      <c r="E767" s="617"/>
      <c r="F767" s="617"/>
      <c r="G767" s="618"/>
      <c r="H767" s="581"/>
      <c r="I767" s="166"/>
      <c r="J767" s="166"/>
      <c r="K767" s="167"/>
      <c r="L767" s="167"/>
      <c r="M767" s="167"/>
      <c r="N767" s="167"/>
      <c r="O767" s="167"/>
      <c r="P767" s="167"/>
      <c r="Q767" s="568"/>
      <c r="R767" s="568"/>
      <c r="S767" s="568"/>
      <c r="T767" s="568"/>
      <c r="U767" s="568"/>
      <c r="V767" s="568"/>
      <c r="W767" s="568"/>
      <c r="X767" s="568"/>
      <c r="Y767" s="568"/>
      <c r="Z767" s="568"/>
    </row>
    <row r="768" spans="1:26" ht="18.75" hidden="1">
      <c r="A768" s="615"/>
      <c r="B768" s="571"/>
      <c r="C768" s="723"/>
      <c r="D768" s="723"/>
      <c r="E768" s="723" t="s">
        <v>316</v>
      </c>
      <c r="F768" s="723"/>
      <c r="G768" s="567"/>
      <c r="H768" s="165" t="s">
        <v>46</v>
      </c>
      <c r="I768" s="583"/>
      <c r="J768" s="583"/>
      <c r="K768" s="93"/>
      <c r="L768" s="93"/>
      <c r="M768" s="93"/>
      <c r="N768" s="93"/>
      <c r="O768" s="93"/>
      <c r="P768" s="93"/>
      <c r="Q768" s="568"/>
      <c r="R768" s="568"/>
      <c r="S768" s="568"/>
      <c r="T768" s="568"/>
      <c r="U768" s="568"/>
      <c r="V768" s="568"/>
      <c r="W768" s="568"/>
      <c r="X768" s="568"/>
      <c r="Y768" s="568"/>
      <c r="Z768" s="568"/>
    </row>
    <row r="769" spans="1:26" ht="19.5" hidden="1">
      <c r="A769" s="757">
        <v>11</v>
      </c>
      <c r="B769" s="758" t="s">
        <v>317</v>
      </c>
      <c r="C769" s="759"/>
      <c r="D769" s="759"/>
      <c r="E769" s="759"/>
      <c r="F769" s="759"/>
      <c r="G769" s="760"/>
      <c r="H769" s="761" t="s">
        <v>46</v>
      </c>
      <c r="I769" s="762"/>
      <c r="J769" s="762">
        <f>J784</f>
        <v>0</v>
      </c>
      <c r="K769" s="763">
        <f>IF(I769&gt;0,J769*100/I769,0)</f>
        <v>0</v>
      </c>
      <c r="L769" s="764"/>
      <c r="M769" s="764"/>
      <c r="N769" s="764"/>
      <c r="O769" s="764"/>
      <c r="P769" s="764"/>
      <c r="Q769" s="568"/>
      <c r="R769" s="568"/>
      <c r="S769" s="568"/>
      <c r="T769" s="568"/>
      <c r="U769" s="568"/>
      <c r="V769" s="568"/>
      <c r="W769" s="568"/>
      <c r="X769" s="568"/>
      <c r="Y769" s="568"/>
      <c r="Z769" s="568"/>
    </row>
    <row r="770" spans="1:26" ht="19.5" hidden="1">
      <c r="A770" s="563"/>
      <c r="B770" s="723"/>
      <c r="C770" s="723" t="s">
        <v>16</v>
      </c>
      <c r="D770" s="812" t="s">
        <v>17</v>
      </c>
      <c r="E770" s="805"/>
      <c r="F770" s="805"/>
      <c r="G770" s="567"/>
      <c r="H770" s="612" t="s">
        <v>12</v>
      </c>
      <c r="I770" s="583"/>
      <c r="J770" s="583"/>
      <c r="K770" s="93"/>
      <c r="L770" s="613">
        <f t="shared" ref="L770:N770" si="309">L771+L772</f>
        <v>0</v>
      </c>
      <c r="M770" s="613">
        <f t="shared" si="309"/>
        <v>0</v>
      </c>
      <c r="N770" s="613">
        <f t="shared" si="309"/>
        <v>0</v>
      </c>
      <c r="O770" s="613">
        <f t="shared" ref="O770:O775" si="310">IF(L770&gt;0,N770*100/L770,0)</f>
        <v>0</v>
      </c>
      <c r="P770" s="613">
        <f t="shared" ref="P770:P775" si="311">IF(M770&gt;0,N770*100/M770,0)</f>
        <v>0</v>
      </c>
      <c r="Q770" s="568"/>
      <c r="R770" s="568"/>
      <c r="S770" s="568"/>
      <c r="T770" s="568"/>
      <c r="U770" s="568"/>
      <c r="V770" s="568"/>
      <c r="W770" s="568"/>
      <c r="X770" s="568"/>
      <c r="Y770" s="568"/>
      <c r="Z770" s="568"/>
    </row>
    <row r="771" spans="1:26" ht="18.75" hidden="1">
      <c r="A771" s="563"/>
      <c r="B771" s="723"/>
      <c r="C771" s="723"/>
      <c r="D771" s="684"/>
      <c r="E771" s="723" t="s">
        <v>184</v>
      </c>
      <c r="F771" s="723"/>
      <c r="G771" s="567"/>
      <c r="H771" s="165" t="s">
        <v>12</v>
      </c>
      <c r="I771" s="583"/>
      <c r="J771" s="583"/>
      <c r="K771" s="93"/>
      <c r="L771" s="93">
        <f t="shared" ref="L771:N772" si="312">L774+L781</f>
        <v>0</v>
      </c>
      <c r="M771" s="93">
        <f t="shared" si="312"/>
        <v>0</v>
      </c>
      <c r="N771" s="93">
        <f t="shared" si="312"/>
        <v>0</v>
      </c>
      <c r="O771" s="93">
        <f t="shared" si="310"/>
        <v>0</v>
      </c>
      <c r="P771" s="93">
        <f t="shared" si="311"/>
        <v>0</v>
      </c>
      <c r="Q771" s="568"/>
      <c r="R771" s="568"/>
      <c r="S771" s="568"/>
      <c r="T771" s="568"/>
      <c r="U771" s="568"/>
      <c r="V771" s="568"/>
      <c r="W771" s="568"/>
      <c r="X771" s="568"/>
      <c r="Y771" s="568"/>
      <c r="Z771" s="568"/>
    </row>
    <row r="772" spans="1:26" ht="18.75" hidden="1">
      <c r="A772" s="563"/>
      <c r="B772" s="571"/>
      <c r="C772" s="723"/>
      <c r="D772" s="684"/>
      <c r="E772" s="723" t="s">
        <v>185</v>
      </c>
      <c r="F772" s="723"/>
      <c r="G772" s="567"/>
      <c r="H772" s="165" t="s">
        <v>12</v>
      </c>
      <c r="I772" s="583"/>
      <c r="J772" s="583"/>
      <c r="K772" s="93"/>
      <c r="L772" s="93">
        <f t="shared" si="312"/>
        <v>0</v>
      </c>
      <c r="M772" s="93">
        <f t="shared" si="312"/>
        <v>0</v>
      </c>
      <c r="N772" s="93">
        <f t="shared" si="312"/>
        <v>0</v>
      </c>
      <c r="O772" s="93">
        <f t="shared" si="310"/>
        <v>0</v>
      </c>
      <c r="P772" s="93">
        <f t="shared" si="311"/>
        <v>0</v>
      </c>
      <c r="Q772" s="568"/>
      <c r="R772" s="568"/>
      <c r="S772" s="568"/>
      <c r="T772" s="568"/>
      <c r="U772" s="568"/>
      <c r="V772" s="568"/>
      <c r="W772" s="568"/>
      <c r="X772" s="568"/>
      <c r="Y772" s="568"/>
      <c r="Z772" s="568"/>
    </row>
    <row r="773" spans="1:26" ht="19.5" hidden="1">
      <c r="A773" s="563"/>
      <c r="B773" s="571"/>
      <c r="C773" s="723"/>
      <c r="D773" s="611" t="s">
        <v>20</v>
      </c>
      <c r="E773" s="723"/>
      <c r="F773" s="723"/>
      <c r="G773" s="567"/>
      <c r="H773" s="612" t="s">
        <v>12</v>
      </c>
      <c r="I773" s="166"/>
      <c r="J773" s="166"/>
      <c r="K773" s="167"/>
      <c r="L773" s="613">
        <f t="shared" ref="L773:N773" si="313">L774+L775</f>
        <v>0</v>
      </c>
      <c r="M773" s="613">
        <f t="shared" si="313"/>
        <v>0</v>
      </c>
      <c r="N773" s="613">
        <f t="shared" si="313"/>
        <v>0</v>
      </c>
      <c r="O773" s="613">
        <f t="shared" si="310"/>
        <v>0</v>
      </c>
      <c r="P773" s="613">
        <f t="shared" si="311"/>
        <v>0</v>
      </c>
      <c r="Q773" s="568"/>
      <c r="R773" s="568"/>
      <c r="S773" s="568"/>
      <c r="T773" s="568"/>
      <c r="U773" s="568"/>
      <c r="V773" s="568"/>
      <c r="W773" s="568"/>
      <c r="X773" s="568"/>
      <c r="Y773" s="568"/>
      <c r="Z773" s="568"/>
    </row>
    <row r="774" spans="1:26" ht="18.75" hidden="1">
      <c r="A774" s="563"/>
      <c r="B774" s="571"/>
      <c r="C774" s="723"/>
      <c r="D774" s="684"/>
      <c r="E774" s="723" t="s">
        <v>184</v>
      </c>
      <c r="F774" s="723"/>
      <c r="G774" s="567"/>
      <c r="H774" s="165" t="s">
        <v>12</v>
      </c>
      <c r="I774" s="583"/>
      <c r="J774" s="583"/>
      <c r="K774" s="93"/>
      <c r="L774" s="93">
        <v>0</v>
      </c>
      <c r="M774" s="93">
        <v>0</v>
      </c>
      <c r="N774" s="93">
        <v>0</v>
      </c>
      <c r="O774" s="93">
        <f t="shared" si="310"/>
        <v>0</v>
      </c>
      <c r="P774" s="93">
        <f t="shared" si="311"/>
        <v>0</v>
      </c>
      <c r="Q774" s="568"/>
      <c r="R774" s="568"/>
      <c r="S774" s="568"/>
      <c r="T774" s="568"/>
      <c r="U774" s="568"/>
      <c r="V774" s="568"/>
      <c r="W774" s="568"/>
      <c r="X774" s="568"/>
      <c r="Y774" s="568"/>
      <c r="Z774" s="568"/>
    </row>
    <row r="775" spans="1:26" ht="18.75" hidden="1">
      <c r="A775" s="563"/>
      <c r="B775" s="571"/>
      <c r="C775" s="723"/>
      <c r="D775" s="684"/>
      <c r="E775" s="723" t="s">
        <v>185</v>
      </c>
      <c r="F775" s="723"/>
      <c r="G775" s="567"/>
      <c r="H775" s="165" t="s">
        <v>12</v>
      </c>
      <c r="I775" s="583"/>
      <c r="J775" s="583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0"/>
        <v>0</v>
      </c>
      <c r="P775" s="93">
        <f t="shared" si="311"/>
        <v>0</v>
      </c>
      <c r="Q775" s="568"/>
      <c r="R775" s="568"/>
      <c r="S775" s="568"/>
      <c r="T775" s="568"/>
      <c r="U775" s="568"/>
      <c r="V775" s="568"/>
      <c r="W775" s="568"/>
      <c r="X775" s="568"/>
      <c r="Y775" s="568"/>
      <c r="Z775" s="568"/>
    </row>
    <row r="776" spans="1:26" ht="18.75" hidden="1">
      <c r="A776" s="615"/>
      <c r="B776" s="571"/>
      <c r="C776" s="723"/>
      <c r="D776" s="723"/>
      <c r="E776" s="723"/>
      <c r="F776" s="723" t="s">
        <v>186</v>
      </c>
      <c r="G776" s="567"/>
      <c r="H776" s="165" t="s">
        <v>12</v>
      </c>
      <c r="I776" s="583"/>
      <c r="J776" s="583"/>
      <c r="K776" s="93"/>
      <c r="L776" s="93"/>
      <c r="M776" s="93"/>
      <c r="N776" s="93"/>
      <c r="O776" s="93"/>
      <c r="P776" s="93"/>
      <c r="Q776" s="568"/>
      <c r="R776" s="568"/>
      <c r="S776" s="568"/>
      <c r="T776" s="568"/>
      <c r="U776" s="568"/>
      <c r="V776" s="568"/>
      <c r="W776" s="568"/>
      <c r="X776" s="568"/>
      <c r="Y776" s="568"/>
      <c r="Z776" s="568"/>
    </row>
    <row r="777" spans="1:26" ht="18.75" hidden="1">
      <c r="A777" s="615"/>
      <c r="B777" s="571"/>
      <c r="C777" s="723"/>
      <c r="D777" s="723"/>
      <c r="E777" s="723"/>
      <c r="F777" s="723" t="s">
        <v>187</v>
      </c>
      <c r="G777" s="567"/>
      <c r="H777" s="165" t="s">
        <v>12</v>
      </c>
      <c r="I777" s="583"/>
      <c r="J777" s="583"/>
      <c r="K777" s="93"/>
      <c r="L777" s="93"/>
      <c r="M777" s="93"/>
      <c r="N777" s="93"/>
      <c r="O777" s="93"/>
      <c r="P777" s="93"/>
      <c r="Q777" s="568"/>
      <c r="R777" s="568"/>
      <c r="S777" s="568"/>
      <c r="T777" s="568"/>
      <c r="U777" s="568"/>
      <c r="V777" s="568"/>
      <c r="W777" s="568"/>
      <c r="X777" s="568"/>
      <c r="Y777" s="568"/>
      <c r="Z777" s="568"/>
    </row>
    <row r="778" spans="1:26" ht="18.75" hidden="1">
      <c r="A778" s="615"/>
      <c r="B778" s="571"/>
      <c r="C778" s="723"/>
      <c r="D778" s="723"/>
      <c r="E778" s="723"/>
      <c r="F778" s="723" t="s">
        <v>188</v>
      </c>
      <c r="G778" s="567"/>
      <c r="H778" s="165" t="s">
        <v>12</v>
      </c>
      <c r="I778" s="583"/>
      <c r="J778" s="583"/>
      <c r="K778" s="93"/>
      <c r="L778" s="93"/>
      <c r="M778" s="93"/>
      <c r="N778" s="93"/>
      <c r="O778" s="93"/>
      <c r="P778" s="93"/>
      <c r="Q778" s="568"/>
      <c r="R778" s="568"/>
      <c r="S778" s="568"/>
      <c r="T778" s="568"/>
      <c r="U778" s="568"/>
      <c r="V778" s="568"/>
      <c r="W778" s="568"/>
      <c r="X778" s="568"/>
      <c r="Y778" s="568"/>
      <c r="Z778" s="568"/>
    </row>
    <row r="779" spans="1:26" ht="18.75" hidden="1">
      <c r="A779" s="615"/>
      <c r="B779" s="571"/>
      <c r="C779" s="723"/>
      <c r="D779" s="723"/>
      <c r="E779" s="723"/>
      <c r="F779" s="723" t="s">
        <v>189</v>
      </c>
      <c r="G779" s="567"/>
      <c r="H779" s="165" t="s">
        <v>12</v>
      </c>
      <c r="I779" s="583"/>
      <c r="J779" s="583"/>
      <c r="K779" s="93"/>
      <c r="L779" s="93"/>
      <c r="M779" s="93"/>
      <c r="N779" s="93"/>
      <c r="O779" s="93"/>
      <c r="P779" s="93"/>
      <c r="Q779" s="568"/>
      <c r="R779" s="568"/>
      <c r="S779" s="568"/>
      <c r="T779" s="568"/>
      <c r="U779" s="568"/>
      <c r="V779" s="568"/>
      <c r="W779" s="568"/>
      <c r="X779" s="568"/>
      <c r="Y779" s="568"/>
      <c r="Z779" s="568"/>
    </row>
    <row r="780" spans="1:26" ht="19.5" hidden="1">
      <c r="A780" s="563"/>
      <c r="B780" s="571"/>
      <c r="C780" s="723"/>
      <c r="D780" s="611" t="s">
        <v>21</v>
      </c>
      <c r="E780" s="723"/>
      <c r="F780" s="723"/>
      <c r="G780" s="567"/>
      <c r="H780" s="747" t="s">
        <v>12</v>
      </c>
      <c r="I780" s="166"/>
      <c r="J780" s="166"/>
      <c r="K780" s="167"/>
      <c r="L780" s="613">
        <f t="shared" ref="L780:N780" si="314">L781+L782</f>
        <v>0</v>
      </c>
      <c r="M780" s="613">
        <f t="shared" si="314"/>
        <v>0</v>
      </c>
      <c r="N780" s="613">
        <f t="shared" si="314"/>
        <v>0</v>
      </c>
      <c r="O780" s="613">
        <f t="shared" ref="O780:O782" si="315">IF(L780&gt;0,N780*100/L780,0)</f>
        <v>0</v>
      </c>
      <c r="P780" s="613">
        <f t="shared" ref="P780:P782" si="316">IF(M780&gt;0,N780*100/M780,0)</f>
        <v>0</v>
      </c>
      <c r="Q780" s="568"/>
      <c r="R780" s="568"/>
      <c r="S780" s="568"/>
      <c r="T780" s="568"/>
      <c r="U780" s="568"/>
      <c r="V780" s="568"/>
      <c r="W780" s="568"/>
      <c r="X780" s="568"/>
      <c r="Y780" s="568"/>
      <c r="Z780" s="568"/>
    </row>
    <row r="781" spans="1:26" ht="18.75" hidden="1">
      <c r="A781" s="563"/>
      <c r="B781" s="571"/>
      <c r="C781" s="723"/>
      <c r="D781" s="723"/>
      <c r="E781" s="723" t="s">
        <v>18</v>
      </c>
      <c r="F781" s="723"/>
      <c r="G781" s="567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5"/>
        <v>0</v>
      </c>
      <c r="P781" s="93">
        <f t="shared" si="316"/>
        <v>0</v>
      </c>
      <c r="Q781" s="568"/>
      <c r="R781" s="568"/>
      <c r="S781" s="568"/>
      <c r="T781" s="568"/>
      <c r="U781" s="568"/>
      <c r="V781" s="568"/>
      <c r="W781" s="568"/>
      <c r="X781" s="568"/>
      <c r="Y781" s="568"/>
      <c r="Z781" s="568"/>
    </row>
    <row r="782" spans="1:26" ht="18.75" hidden="1">
      <c r="A782" s="563"/>
      <c r="B782" s="571"/>
      <c r="C782" s="723"/>
      <c r="D782" s="723"/>
      <c r="E782" s="723" t="s">
        <v>19</v>
      </c>
      <c r="F782" s="723"/>
      <c r="G782" s="567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5"/>
        <v>0</v>
      </c>
      <c r="P782" s="93">
        <f t="shared" si="316"/>
        <v>0</v>
      </c>
      <c r="Q782" s="568"/>
      <c r="R782" s="568"/>
      <c r="S782" s="568"/>
      <c r="T782" s="568"/>
      <c r="U782" s="568"/>
      <c r="V782" s="568"/>
      <c r="W782" s="568"/>
      <c r="X782" s="568"/>
      <c r="Y782" s="568"/>
      <c r="Z782" s="568"/>
    </row>
    <row r="783" spans="1:26" ht="19.5" hidden="1">
      <c r="A783" s="578"/>
      <c r="B783" s="580"/>
      <c r="C783" s="723" t="s">
        <v>16</v>
      </c>
      <c r="D783" s="856" t="s">
        <v>38</v>
      </c>
      <c r="E783" s="617"/>
      <c r="F783" s="617"/>
      <c r="G783" s="618"/>
      <c r="H783" s="765"/>
      <c r="I783" s="166"/>
      <c r="J783" s="166"/>
      <c r="K783" s="167"/>
      <c r="L783" s="167"/>
      <c r="M783" s="167"/>
      <c r="N783" s="167"/>
      <c r="O783" s="167"/>
      <c r="P783" s="167"/>
      <c r="Q783" s="568"/>
      <c r="R783" s="568"/>
      <c r="S783" s="568"/>
      <c r="T783" s="568"/>
      <c r="U783" s="568"/>
      <c r="V783" s="568"/>
      <c r="W783" s="568"/>
      <c r="X783" s="568"/>
      <c r="Y783" s="568"/>
      <c r="Z783" s="568"/>
    </row>
    <row r="784" spans="1:26" ht="18.75" hidden="1">
      <c r="A784" s="615"/>
      <c r="B784" s="571"/>
      <c r="C784" s="723"/>
      <c r="D784" s="723"/>
      <c r="E784" s="723" t="s">
        <v>318</v>
      </c>
      <c r="F784" s="723"/>
      <c r="G784" s="567"/>
      <c r="H784" s="165" t="s">
        <v>46</v>
      </c>
      <c r="I784" s="583"/>
      <c r="J784" s="583"/>
      <c r="K784" s="93"/>
      <c r="L784" s="93"/>
      <c r="M784" s="93"/>
      <c r="N784" s="93"/>
      <c r="O784" s="93"/>
      <c r="P784" s="93"/>
      <c r="Q784" s="568"/>
      <c r="R784" s="568"/>
      <c r="S784" s="568"/>
      <c r="T784" s="568"/>
      <c r="U784" s="568"/>
      <c r="V784" s="568"/>
      <c r="W784" s="568"/>
      <c r="X784" s="568"/>
      <c r="Y784" s="568"/>
      <c r="Z784" s="568"/>
    </row>
    <row r="785" spans="1:26" ht="19.5">
      <c r="A785" s="766">
        <v>12</v>
      </c>
      <c r="B785" s="767" t="s">
        <v>319</v>
      </c>
      <c r="C785" s="768"/>
      <c r="D785" s="768"/>
      <c r="E785" s="768"/>
      <c r="F785" s="768"/>
      <c r="G785" s="769"/>
      <c r="H785" s="770" t="s">
        <v>46</v>
      </c>
      <c r="I785" s="771">
        <f t="shared" ref="I785:J785" ca="1" si="317">I800</f>
        <v>3000</v>
      </c>
      <c r="J785" s="771">
        <f t="shared" ca="1" si="317"/>
        <v>0</v>
      </c>
      <c r="K785" s="772">
        <f ca="1">IF(I785&gt;0,J785*100/I785,0)</f>
        <v>0</v>
      </c>
      <c r="L785" s="773"/>
      <c r="M785" s="773"/>
      <c r="N785" s="773"/>
      <c r="O785" s="773"/>
      <c r="P785" s="773"/>
      <c r="Q785" s="541"/>
      <c r="R785" s="541"/>
      <c r="S785" s="541"/>
      <c r="T785" s="541"/>
      <c r="U785" s="541"/>
      <c r="V785" s="541"/>
      <c r="W785" s="541"/>
      <c r="X785" s="541"/>
      <c r="Y785" s="541"/>
      <c r="Z785" s="541"/>
    </row>
    <row r="786" spans="1:26" ht="19.5">
      <c r="A786" s="561"/>
      <c r="B786" s="538"/>
      <c r="C786" s="727" t="s">
        <v>16</v>
      </c>
      <c r="D786" s="811" t="s">
        <v>17</v>
      </c>
      <c r="E786" s="805"/>
      <c r="F786" s="805"/>
      <c r="G786" s="189"/>
      <c r="H786" s="562" t="s">
        <v>12</v>
      </c>
      <c r="I786" s="269"/>
      <c r="J786" s="269"/>
      <c r="K786" s="465"/>
      <c r="L786" s="195">
        <f t="shared" ref="L786:N786" ca="1" si="318">L787+L788</f>
        <v>197920</v>
      </c>
      <c r="M786" s="195">
        <f t="shared" si="318"/>
        <v>0</v>
      </c>
      <c r="N786" s="195">
        <f t="shared" si="318"/>
        <v>0</v>
      </c>
      <c r="O786" s="195">
        <f t="shared" ref="O786:O791" ca="1" si="319">IF(L786&gt;0,N786*100/L786,0)</f>
        <v>0</v>
      </c>
      <c r="P786" s="195">
        <f t="shared" ref="P786:P791" si="320">IF(M786&gt;0,N786*100/M786,0)</f>
        <v>0</v>
      </c>
      <c r="Q786" s="541"/>
      <c r="R786" s="541"/>
      <c r="S786" s="541"/>
      <c r="T786" s="541"/>
      <c r="U786" s="541"/>
      <c r="V786" s="541"/>
      <c r="W786" s="541"/>
      <c r="X786" s="541"/>
      <c r="Y786" s="541"/>
      <c r="Z786" s="541"/>
    </row>
    <row r="787" spans="1:26" ht="18.75" hidden="1">
      <c r="A787" s="563"/>
      <c r="B787" s="571"/>
      <c r="C787" s="723"/>
      <c r="D787" s="684"/>
      <c r="E787" s="723" t="s">
        <v>184</v>
      </c>
      <c r="F787" s="723"/>
      <c r="G787" s="567"/>
      <c r="H787" s="165" t="s">
        <v>12</v>
      </c>
      <c r="I787" s="583"/>
      <c r="J787" s="583"/>
      <c r="K787" s="93"/>
      <c r="L787" s="93">
        <f t="shared" ref="L787:N788" si="321">L790+L797</f>
        <v>0</v>
      </c>
      <c r="M787" s="93">
        <f t="shared" si="321"/>
        <v>0</v>
      </c>
      <c r="N787" s="93">
        <f t="shared" si="321"/>
        <v>0</v>
      </c>
      <c r="O787" s="93">
        <f t="shared" si="319"/>
        <v>0</v>
      </c>
      <c r="P787" s="93">
        <f t="shared" si="320"/>
        <v>0</v>
      </c>
      <c r="Q787" s="568"/>
      <c r="R787" s="568"/>
      <c r="S787" s="568"/>
      <c r="T787" s="568"/>
      <c r="U787" s="568"/>
      <c r="V787" s="568"/>
      <c r="W787" s="568"/>
      <c r="X787" s="568"/>
      <c r="Y787" s="568"/>
      <c r="Z787" s="568"/>
    </row>
    <row r="788" spans="1:26" ht="18.75" hidden="1">
      <c r="A788" s="563"/>
      <c r="B788" s="571"/>
      <c r="C788" s="571"/>
      <c r="D788" s="580"/>
      <c r="E788" s="723" t="s">
        <v>185</v>
      </c>
      <c r="F788" s="723"/>
      <c r="G788" s="567"/>
      <c r="H788" s="165" t="s">
        <v>12</v>
      </c>
      <c r="I788" s="583"/>
      <c r="J788" s="583"/>
      <c r="K788" s="93"/>
      <c r="L788" s="93">
        <f t="shared" ca="1" si="321"/>
        <v>197920</v>
      </c>
      <c r="M788" s="93">
        <f t="shared" si="321"/>
        <v>0</v>
      </c>
      <c r="N788" s="93">
        <f t="shared" si="321"/>
        <v>0</v>
      </c>
      <c r="O788" s="93">
        <f t="shared" ca="1" si="319"/>
        <v>0</v>
      </c>
      <c r="P788" s="93">
        <f t="shared" si="320"/>
        <v>0</v>
      </c>
      <c r="Q788" s="568"/>
      <c r="R788" s="568"/>
      <c r="S788" s="568"/>
      <c r="T788" s="568"/>
      <c r="U788" s="568"/>
      <c r="V788" s="568"/>
      <c r="W788" s="568"/>
      <c r="X788" s="568"/>
      <c r="Y788" s="568"/>
      <c r="Z788" s="568"/>
    </row>
    <row r="789" spans="1:26" ht="18.75">
      <c r="A789" s="561"/>
      <c r="B789" s="538"/>
      <c r="C789" s="538"/>
      <c r="D789" s="570" t="s">
        <v>20</v>
      </c>
      <c r="E789" s="727"/>
      <c r="F789" s="727"/>
      <c r="G789" s="189"/>
      <c r="H789" s="161" t="s">
        <v>12</v>
      </c>
      <c r="I789" s="184"/>
      <c r="J789" s="184"/>
      <c r="K789" s="163"/>
      <c r="L789" s="465">
        <f t="shared" ref="L789:N789" ca="1" si="322">L790+L791</f>
        <v>197920</v>
      </c>
      <c r="M789" s="465">
        <f t="shared" si="322"/>
        <v>0</v>
      </c>
      <c r="N789" s="465">
        <f t="shared" si="322"/>
        <v>0</v>
      </c>
      <c r="O789" s="465">
        <f t="shared" ca="1" si="319"/>
        <v>0</v>
      </c>
      <c r="P789" s="465">
        <f t="shared" si="320"/>
        <v>0</v>
      </c>
      <c r="Q789" s="541"/>
      <c r="R789" s="541"/>
      <c r="S789" s="541"/>
      <c r="T789" s="541"/>
      <c r="U789" s="541"/>
      <c r="V789" s="541"/>
      <c r="W789" s="541"/>
      <c r="X789" s="541"/>
      <c r="Y789" s="541"/>
      <c r="Z789" s="541"/>
    </row>
    <row r="790" spans="1:26" ht="18.75" hidden="1">
      <c r="A790" s="563"/>
      <c r="B790" s="571"/>
      <c r="C790" s="571"/>
      <c r="D790" s="580"/>
      <c r="E790" s="723" t="s">
        <v>184</v>
      </c>
      <c r="F790" s="723"/>
      <c r="G790" s="567"/>
      <c r="H790" s="165" t="s">
        <v>12</v>
      </c>
      <c r="I790" s="583"/>
      <c r="J790" s="583"/>
      <c r="K790" s="93"/>
      <c r="L790" s="93">
        <v>0</v>
      </c>
      <c r="M790" s="93">
        <v>0</v>
      </c>
      <c r="N790" s="93">
        <v>0</v>
      </c>
      <c r="O790" s="93">
        <f t="shared" si="319"/>
        <v>0</v>
      </c>
      <c r="P790" s="93">
        <f t="shared" si="320"/>
        <v>0</v>
      </c>
      <c r="Q790" s="568"/>
      <c r="R790" s="568"/>
      <c r="S790" s="568"/>
      <c r="T790" s="568"/>
      <c r="U790" s="568"/>
      <c r="V790" s="568"/>
      <c r="W790" s="568"/>
      <c r="X790" s="568"/>
      <c r="Y790" s="568"/>
      <c r="Z790" s="568"/>
    </row>
    <row r="791" spans="1:26" ht="18.75" hidden="1">
      <c r="A791" s="563"/>
      <c r="B791" s="571"/>
      <c r="C791" s="571"/>
      <c r="D791" s="580"/>
      <c r="E791" s="723" t="s">
        <v>185</v>
      </c>
      <c r="F791" s="723"/>
      <c r="G791" s="567"/>
      <c r="H791" s="165" t="s">
        <v>12</v>
      </c>
      <c r="I791" s="583"/>
      <c r="J791" s="583"/>
      <c r="K791" s="93"/>
      <c r="L791" s="93">
        <f ca="1">IFERROR(__xludf.DUMMYFUNCTION("IMPORTRANGE(""https://docs.google.com/spreadsheets/d/1QqKyyYR6Q21VydFLVH3TRQUabQu_ym0Zz7PgGX0-kHA/edit?usp=sharing"",""แผน!JJ26"")"),197920)</f>
        <v>197920</v>
      </c>
      <c r="M791" s="93">
        <v>0</v>
      </c>
      <c r="N791" s="93">
        <f>N792+N793+N794+N795</f>
        <v>0</v>
      </c>
      <c r="O791" s="93">
        <f t="shared" ca="1" si="319"/>
        <v>0</v>
      </c>
      <c r="P791" s="93">
        <f t="shared" si="320"/>
        <v>0</v>
      </c>
      <c r="Q791" s="568"/>
      <c r="R791" s="568"/>
      <c r="S791" s="568"/>
      <c r="T791" s="568"/>
      <c r="U791" s="568"/>
      <c r="V791" s="568"/>
      <c r="W791" s="568"/>
      <c r="X791" s="568"/>
      <c r="Y791" s="568"/>
      <c r="Z791" s="568"/>
    </row>
    <row r="792" spans="1:26" ht="18.75">
      <c r="A792" s="537"/>
      <c r="B792" s="538"/>
      <c r="C792" s="727"/>
      <c r="D792" s="727"/>
      <c r="E792" s="727"/>
      <c r="F792" s="727" t="s">
        <v>186</v>
      </c>
      <c r="G792" s="189"/>
      <c r="H792" s="161" t="s">
        <v>12</v>
      </c>
      <c r="I792" s="269"/>
      <c r="J792" s="269"/>
      <c r="K792" s="465"/>
      <c r="L792" s="465"/>
      <c r="M792" s="465"/>
      <c r="N792" s="789">
        <v>0</v>
      </c>
      <c r="O792" s="465"/>
      <c r="P792" s="465"/>
      <c r="Q792" s="541"/>
      <c r="R792" s="541"/>
      <c r="S792" s="541"/>
      <c r="T792" s="541"/>
      <c r="U792" s="541"/>
      <c r="V792" s="541"/>
      <c r="W792" s="541"/>
      <c r="X792" s="541"/>
      <c r="Y792" s="541"/>
      <c r="Z792" s="541"/>
    </row>
    <row r="793" spans="1:26" ht="18.75">
      <c r="A793" s="537"/>
      <c r="B793" s="538"/>
      <c r="C793" s="727"/>
      <c r="D793" s="727"/>
      <c r="E793" s="727"/>
      <c r="F793" s="727" t="s">
        <v>187</v>
      </c>
      <c r="G793" s="189"/>
      <c r="H793" s="161" t="s">
        <v>12</v>
      </c>
      <c r="I793" s="269"/>
      <c r="J793" s="269"/>
      <c r="K793" s="465"/>
      <c r="L793" s="465"/>
      <c r="M793" s="465"/>
      <c r="N793" s="789">
        <v>0</v>
      </c>
      <c r="O793" s="465"/>
      <c r="P793" s="465"/>
      <c r="Q793" s="541"/>
      <c r="R793" s="541"/>
      <c r="S793" s="541"/>
      <c r="T793" s="541"/>
      <c r="U793" s="541"/>
      <c r="V793" s="541"/>
      <c r="W793" s="541"/>
      <c r="X793" s="541"/>
      <c r="Y793" s="541"/>
      <c r="Z793" s="541"/>
    </row>
    <row r="794" spans="1:26" ht="18.75">
      <c r="A794" s="537"/>
      <c r="B794" s="538"/>
      <c r="C794" s="727"/>
      <c r="D794" s="727"/>
      <c r="E794" s="727"/>
      <c r="F794" s="727" t="s">
        <v>188</v>
      </c>
      <c r="G794" s="189"/>
      <c r="H794" s="161" t="s">
        <v>12</v>
      </c>
      <c r="I794" s="269"/>
      <c r="J794" s="269"/>
      <c r="K794" s="465"/>
      <c r="L794" s="465"/>
      <c r="M794" s="465"/>
      <c r="N794" s="789">
        <v>0</v>
      </c>
      <c r="O794" s="465"/>
      <c r="P794" s="465"/>
      <c r="Q794" s="541"/>
      <c r="R794" s="541"/>
      <c r="S794" s="541"/>
      <c r="T794" s="541"/>
      <c r="U794" s="541"/>
      <c r="V794" s="541"/>
      <c r="W794" s="541"/>
      <c r="X794" s="541"/>
      <c r="Y794" s="541"/>
      <c r="Z794" s="541"/>
    </row>
    <row r="795" spans="1:26" ht="18.75">
      <c r="A795" s="537"/>
      <c r="B795" s="538"/>
      <c r="C795" s="727"/>
      <c r="D795" s="727"/>
      <c r="E795" s="727"/>
      <c r="F795" s="727" t="s">
        <v>189</v>
      </c>
      <c r="G795" s="189"/>
      <c r="H795" s="161" t="s">
        <v>12</v>
      </c>
      <c r="I795" s="269"/>
      <c r="J795" s="269"/>
      <c r="K795" s="465"/>
      <c r="L795" s="465"/>
      <c r="M795" s="465"/>
      <c r="N795" s="789">
        <v>0</v>
      </c>
      <c r="O795" s="465"/>
      <c r="P795" s="465"/>
      <c r="Q795" s="541"/>
      <c r="R795" s="541"/>
      <c r="S795" s="541"/>
      <c r="T795" s="541"/>
      <c r="U795" s="541"/>
      <c r="V795" s="541"/>
      <c r="W795" s="541"/>
      <c r="X795" s="541"/>
      <c r="Y795" s="541"/>
      <c r="Z795" s="541"/>
    </row>
    <row r="796" spans="1:26" ht="18.75">
      <c r="A796" s="561"/>
      <c r="B796" s="538"/>
      <c r="C796" s="727"/>
      <c r="D796" s="570" t="s">
        <v>21</v>
      </c>
      <c r="E796" s="727"/>
      <c r="F796" s="727"/>
      <c r="G796" s="189"/>
      <c r="H796" s="168" t="s">
        <v>12</v>
      </c>
      <c r="I796" s="184"/>
      <c r="J796" s="184"/>
      <c r="K796" s="163"/>
      <c r="L796" s="465">
        <f t="shared" ref="L796:N796" si="323">L797+L798</f>
        <v>0</v>
      </c>
      <c r="M796" s="465">
        <f t="shared" si="323"/>
        <v>0</v>
      </c>
      <c r="N796" s="465">
        <f t="shared" si="323"/>
        <v>0</v>
      </c>
      <c r="O796" s="465">
        <f t="shared" ref="O796:O798" si="324">IF(L796&gt;0,N796*100/L796,0)</f>
        <v>0</v>
      </c>
      <c r="P796" s="465">
        <f t="shared" ref="P796:P798" si="325">IF(M796&gt;0,N796*100/M796,0)</f>
        <v>0</v>
      </c>
      <c r="Q796" s="541"/>
      <c r="R796" s="541"/>
      <c r="S796" s="541"/>
      <c r="T796" s="541"/>
      <c r="U796" s="541"/>
      <c r="V796" s="541"/>
      <c r="W796" s="541"/>
      <c r="X796" s="541"/>
      <c r="Y796" s="541"/>
      <c r="Z796" s="541"/>
    </row>
    <row r="797" spans="1:26" ht="18.75" hidden="1">
      <c r="A797" s="563"/>
      <c r="B797" s="571"/>
      <c r="C797" s="723"/>
      <c r="D797" s="723"/>
      <c r="E797" s="723" t="s">
        <v>18</v>
      </c>
      <c r="F797" s="723"/>
      <c r="G797" s="567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4"/>
        <v>0</v>
      </c>
      <c r="P797" s="93">
        <f t="shared" si="325"/>
        <v>0</v>
      </c>
      <c r="Q797" s="568"/>
      <c r="R797" s="568"/>
      <c r="S797" s="568"/>
      <c r="T797" s="568"/>
      <c r="U797" s="568"/>
      <c r="V797" s="568"/>
      <c r="W797" s="568"/>
      <c r="X797" s="568"/>
      <c r="Y797" s="568"/>
      <c r="Z797" s="568"/>
    </row>
    <row r="798" spans="1:26" ht="18.75" hidden="1">
      <c r="A798" s="563"/>
      <c r="B798" s="571"/>
      <c r="C798" s="723"/>
      <c r="D798" s="723"/>
      <c r="E798" s="723" t="s">
        <v>19</v>
      </c>
      <c r="F798" s="723"/>
      <c r="G798" s="567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4"/>
        <v>0</v>
      </c>
      <c r="P798" s="93">
        <f t="shared" si="325"/>
        <v>0</v>
      </c>
      <c r="Q798" s="568"/>
      <c r="R798" s="568"/>
      <c r="S798" s="568"/>
      <c r="T798" s="568"/>
      <c r="U798" s="568"/>
      <c r="V798" s="568"/>
      <c r="W798" s="568"/>
      <c r="X798" s="568"/>
      <c r="Y798" s="568"/>
      <c r="Z798" s="568"/>
    </row>
    <row r="799" spans="1:26" ht="19.5">
      <c r="A799" s="572"/>
      <c r="B799" s="584"/>
      <c r="C799" s="727" t="s">
        <v>16</v>
      </c>
      <c r="D799" s="855" t="s">
        <v>38</v>
      </c>
      <c r="E799" s="725"/>
      <c r="F799" s="725"/>
      <c r="G799" s="577"/>
      <c r="H799" s="774"/>
      <c r="I799" s="184"/>
      <c r="J799" s="184"/>
      <c r="K799" s="163"/>
      <c r="L799" s="163"/>
      <c r="M799" s="163"/>
      <c r="N799" s="163"/>
      <c r="O799" s="163"/>
      <c r="P799" s="163"/>
      <c r="Q799" s="541"/>
      <c r="R799" s="541"/>
      <c r="S799" s="541"/>
      <c r="T799" s="541"/>
      <c r="U799" s="541"/>
      <c r="V799" s="541"/>
      <c r="W799" s="541"/>
      <c r="X799" s="541"/>
      <c r="Y799" s="541"/>
      <c r="Z799" s="541"/>
    </row>
    <row r="800" spans="1:26" ht="18.75">
      <c r="A800" s="572"/>
      <c r="B800" s="584"/>
      <c r="C800" s="584"/>
      <c r="D800" s="584"/>
      <c r="E800" s="592"/>
      <c r="F800" s="592" t="s">
        <v>320</v>
      </c>
      <c r="G800" s="726"/>
      <c r="H800" s="185" t="s">
        <v>46</v>
      </c>
      <c r="I800" s="184">
        <f ca="1">IFERROR(__xludf.DUMMYFUNCTION("IMPORTRANGE(""https://docs.google.com/spreadsheets/d/1QqKyyYR6Q21VydFLVH3TRQUabQu_ym0Zz7PgGX0-kHA/edit?usp=sharing"",""แผน!JN26"")"),3000)</f>
        <v>3000</v>
      </c>
      <c r="J800" s="184">
        <f ca="1">IFERROR(__xludf.DUMMYFUNCTION("IMPORTRANGE(""https://docs.google.com/spreadsheets/d/1MaWodYyGHDf7siQLGxnXhG4mBNTNIuy296niS2xXulU/edit?usp=sharing"",""RTK!H26"")"),0)</f>
        <v>0</v>
      </c>
      <c r="K800" s="465">
        <f ca="1">IF(I800&gt;0,J800*100/I800,0)</f>
        <v>0</v>
      </c>
      <c r="L800" s="465"/>
      <c r="M800" s="465"/>
      <c r="N800" s="465"/>
      <c r="O800" s="163"/>
      <c r="P800" s="163"/>
      <c r="Q800" s="541"/>
      <c r="R800" s="541"/>
      <c r="S800" s="541"/>
      <c r="T800" s="541"/>
      <c r="U800" s="541"/>
      <c r="V800" s="541"/>
      <c r="W800" s="541"/>
      <c r="X800" s="541"/>
      <c r="Y800" s="541"/>
      <c r="Z800" s="541"/>
    </row>
    <row r="801" spans="1:26" ht="18.75">
      <c r="A801" s="572"/>
      <c r="B801" s="584"/>
      <c r="C801" s="584"/>
      <c r="D801" s="584"/>
      <c r="E801" s="592"/>
      <c r="F801" s="592"/>
      <c r="G801" s="726"/>
      <c r="H801" s="161" t="s">
        <v>34</v>
      </c>
      <c r="I801" s="184"/>
      <c r="J801" s="269">
        <f ca="1">IFERROR(__xludf.DUMMYFUNCTION("IMPORTRANGE(""https://docs.google.com/spreadsheets/d/1MaWodYyGHDf7siQLGxnXhG4mBNTNIuy296niS2xXulU/edit?usp=sharing"",""RTK!I26"")"),0)</f>
        <v>0</v>
      </c>
      <c r="K801" s="465"/>
      <c r="L801" s="465"/>
      <c r="M801" s="465"/>
      <c r="N801" s="465"/>
      <c r="O801" s="163"/>
      <c r="P801" s="163"/>
      <c r="Q801" s="541"/>
      <c r="R801" s="541"/>
      <c r="S801" s="541"/>
      <c r="T801" s="541"/>
      <c r="U801" s="541"/>
      <c r="V801" s="541"/>
      <c r="W801" s="541"/>
      <c r="X801" s="541"/>
      <c r="Y801" s="541"/>
      <c r="Z801" s="541"/>
    </row>
    <row r="802" spans="1:26" ht="18.75" hidden="1">
      <c r="A802" s="578"/>
      <c r="B802" s="580"/>
      <c r="C802" s="580"/>
      <c r="D802" s="580"/>
      <c r="E802" s="684"/>
      <c r="F802" s="684" t="s">
        <v>321</v>
      </c>
      <c r="G802" s="581"/>
      <c r="H802" s="619" t="s">
        <v>46</v>
      </c>
      <c r="I802" s="166"/>
      <c r="J802" s="583"/>
      <c r="K802" s="167">
        <f>IF(I802&gt;0,J802*100/I802,0)</f>
        <v>0</v>
      </c>
      <c r="L802" s="167"/>
      <c r="M802" s="167"/>
      <c r="N802" s="167"/>
      <c r="O802" s="167"/>
      <c r="P802" s="167"/>
      <c r="Q802" s="568"/>
      <c r="R802" s="568"/>
      <c r="S802" s="568"/>
      <c r="T802" s="568"/>
      <c r="U802" s="568"/>
      <c r="V802" s="568"/>
      <c r="W802" s="568"/>
      <c r="X802" s="568"/>
      <c r="Y802" s="568"/>
      <c r="Z802" s="568"/>
    </row>
    <row r="803" spans="1:26" ht="18.75" hidden="1">
      <c r="A803" s="578"/>
      <c r="B803" s="580"/>
      <c r="C803" s="580"/>
      <c r="D803" s="580"/>
      <c r="E803" s="684"/>
      <c r="F803" s="684"/>
      <c r="G803" s="581"/>
      <c r="H803" s="619" t="s">
        <v>34</v>
      </c>
      <c r="I803" s="166"/>
      <c r="J803" s="583"/>
      <c r="K803" s="167"/>
      <c r="L803" s="167"/>
      <c r="M803" s="167"/>
      <c r="N803" s="167"/>
      <c r="O803" s="167"/>
      <c r="P803" s="167"/>
      <c r="Q803" s="568"/>
      <c r="R803" s="568"/>
      <c r="S803" s="568"/>
      <c r="T803" s="568"/>
      <c r="U803" s="568"/>
      <c r="V803" s="568"/>
      <c r="W803" s="568"/>
      <c r="X803" s="568"/>
      <c r="Y803" s="568"/>
      <c r="Z803" s="568"/>
    </row>
    <row r="804" spans="1:26" ht="19.5" hidden="1">
      <c r="A804" s="757">
        <v>13</v>
      </c>
      <c r="B804" s="758" t="s">
        <v>322</v>
      </c>
      <c r="C804" s="759"/>
      <c r="D804" s="775"/>
      <c r="E804" s="759"/>
      <c r="F804" s="759"/>
      <c r="G804" s="760"/>
      <c r="H804" s="761" t="s">
        <v>46</v>
      </c>
      <c r="I804" s="762"/>
      <c r="J804" s="762">
        <f>J819</f>
        <v>0</v>
      </c>
      <c r="K804" s="763">
        <f>IF(I804&gt;0,J804*100/I804,0)</f>
        <v>0</v>
      </c>
      <c r="L804" s="764"/>
      <c r="M804" s="764"/>
      <c r="N804" s="764"/>
      <c r="O804" s="764"/>
      <c r="P804" s="764"/>
      <c r="Q804" s="568"/>
      <c r="R804" s="568"/>
      <c r="S804" s="568"/>
      <c r="T804" s="568"/>
      <c r="U804" s="568"/>
      <c r="V804" s="568"/>
      <c r="W804" s="568"/>
      <c r="X804" s="568"/>
      <c r="Y804" s="568"/>
      <c r="Z804" s="568"/>
    </row>
    <row r="805" spans="1:26" ht="19.5" hidden="1">
      <c r="A805" s="563"/>
      <c r="B805" s="723"/>
      <c r="C805" s="723" t="s">
        <v>16</v>
      </c>
      <c r="D805" s="812" t="s">
        <v>17</v>
      </c>
      <c r="E805" s="805"/>
      <c r="F805" s="805"/>
      <c r="G805" s="567"/>
      <c r="H805" s="612" t="s">
        <v>12</v>
      </c>
      <c r="I805" s="583"/>
      <c r="J805" s="583"/>
      <c r="K805" s="93"/>
      <c r="L805" s="613">
        <f t="shared" ref="L805:N805" si="326">L806+L807</f>
        <v>0</v>
      </c>
      <c r="M805" s="613">
        <f t="shared" si="326"/>
        <v>0</v>
      </c>
      <c r="N805" s="613">
        <f t="shared" si="326"/>
        <v>0</v>
      </c>
      <c r="O805" s="613">
        <f t="shared" ref="O805:O810" si="327">IF(L805&gt;0,N805*100/L805,0)</f>
        <v>0</v>
      </c>
      <c r="P805" s="613">
        <f t="shared" ref="P805:P810" si="328">IF(M805&gt;0,N805*100/M805,0)</f>
        <v>0</v>
      </c>
      <c r="Q805" s="568"/>
      <c r="R805" s="568"/>
      <c r="S805" s="568"/>
      <c r="T805" s="568"/>
      <c r="U805" s="568"/>
      <c r="V805" s="568"/>
      <c r="W805" s="568"/>
      <c r="X805" s="568"/>
      <c r="Y805" s="568"/>
      <c r="Z805" s="568"/>
    </row>
    <row r="806" spans="1:26" ht="18.75" hidden="1">
      <c r="A806" s="563"/>
      <c r="B806" s="723"/>
      <c r="C806" s="723"/>
      <c r="D806" s="580"/>
      <c r="E806" s="723" t="s">
        <v>184</v>
      </c>
      <c r="F806" s="723"/>
      <c r="G806" s="567"/>
      <c r="H806" s="165" t="s">
        <v>12</v>
      </c>
      <c r="I806" s="583"/>
      <c r="J806" s="583"/>
      <c r="K806" s="93"/>
      <c r="L806" s="93">
        <f t="shared" ref="L806:N807" si="329">L809+L816</f>
        <v>0</v>
      </c>
      <c r="M806" s="93">
        <f t="shared" si="329"/>
        <v>0</v>
      </c>
      <c r="N806" s="93">
        <f t="shared" si="329"/>
        <v>0</v>
      </c>
      <c r="O806" s="93">
        <f t="shared" si="327"/>
        <v>0</v>
      </c>
      <c r="P806" s="93">
        <f t="shared" si="328"/>
        <v>0</v>
      </c>
      <c r="Q806" s="568"/>
      <c r="R806" s="568"/>
      <c r="S806" s="568"/>
      <c r="T806" s="568"/>
      <c r="U806" s="568"/>
      <c r="V806" s="568"/>
      <c r="W806" s="568"/>
      <c r="X806" s="568"/>
      <c r="Y806" s="568"/>
      <c r="Z806" s="568"/>
    </row>
    <row r="807" spans="1:26" ht="18.75" hidden="1">
      <c r="A807" s="563"/>
      <c r="B807" s="723"/>
      <c r="C807" s="723"/>
      <c r="D807" s="580"/>
      <c r="E807" s="723" t="s">
        <v>185</v>
      </c>
      <c r="F807" s="723"/>
      <c r="G807" s="567"/>
      <c r="H807" s="165" t="s">
        <v>12</v>
      </c>
      <c r="I807" s="583"/>
      <c r="J807" s="583"/>
      <c r="K807" s="93"/>
      <c r="L807" s="93">
        <f t="shared" si="329"/>
        <v>0</v>
      </c>
      <c r="M807" s="93">
        <f t="shared" si="329"/>
        <v>0</v>
      </c>
      <c r="N807" s="93">
        <f t="shared" si="329"/>
        <v>0</v>
      </c>
      <c r="O807" s="93">
        <f t="shared" si="327"/>
        <v>0</v>
      </c>
      <c r="P807" s="93">
        <f t="shared" si="328"/>
        <v>0</v>
      </c>
      <c r="Q807" s="568"/>
      <c r="R807" s="568"/>
      <c r="S807" s="568"/>
      <c r="T807" s="568"/>
      <c r="U807" s="568"/>
      <c r="V807" s="568"/>
      <c r="W807" s="568"/>
      <c r="X807" s="568"/>
      <c r="Y807" s="568"/>
      <c r="Z807" s="568"/>
    </row>
    <row r="808" spans="1:26" ht="19.5" hidden="1">
      <c r="A808" s="563"/>
      <c r="B808" s="571"/>
      <c r="C808" s="723"/>
      <c r="D808" s="857" t="s">
        <v>20</v>
      </c>
      <c r="E808" s="805"/>
      <c r="F808" s="805"/>
      <c r="G808" s="567"/>
      <c r="H808" s="612" t="s">
        <v>12</v>
      </c>
      <c r="I808" s="166"/>
      <c r="J808" s="166"/>
      <c r="K808" s="167"/>
      <c r="L808" s="613">
        <f t="shared" ref="L808:N808" si="330">L809+L810</f>
        <v>0</v>
      </c>
      <c r="M808" s="613">
        <f t="shared" si="330"/>
        <v>0</v>
      </c>
      <c r="N808" s="613">
        <f t="shared" si="330"/>
        <v>0</v>
      </c>
      <c r="O808" s="613">
        <f t="shared" si="327"/>
        <v>0</v>
      </c>
      <c r="P808" s="613">
        <f t="shared" si="328"/>
        <v>0</v>
      </c>
      <c r="Q808" s="568"/>
      <c r="R808" s="568"/>
      <c r="S808" s="568"/>
      <c r="T808" s="568"/>
      <c r="U808" s="568"/>
      <c r="V808" s="568"/>
      <c r="W808" s="568"/>
      <c r="X808" s="568"/>
      <c r="Y808" s="568"/>
      <c r="Z808" s="568"/>
    </row>
    <row r="809" spans="1:26" ht="18.75" hidden="1">
      <c r="A809" s="563"/>
      <c r="B809" s="723"/>
      <c r="C809" s="723"/>
      <c r="D809" s="580"/>
      <c r="E809" s="723" t="s">
        <v>184</v>
      </c>
      <c r="F809" s="723"/>
      <c r="G809" s="567"/>
      <c r="H809" s="165" t="s">
        <v>12</v>
      </c>
      <c r="I809" s="583"/>
      <c r="J809" s="583"/>
      <c r="K809" s="93"/>
      <c r="L809" s="93">
        <v>0</v>
      </c>
      <c r="M809" s="93">
        <v>0</v>
      </c>
      <c r="N809" s="93">
        <v>0</v>
      </c>
      <c r="O809" s="93">
        <f t="shared" si="327"/>
        <v>0</v>
      </c>
      <c r="P809" s="93">
        <f t="shared" si="328"/>
        <v>0</v>
      </c>
      <c r="Q809" s="568"/>
      <c r="R809" s="568"/>
      <c r="S809" s="568"/>
      <c r="T809" s="568"/>
      <c r="U809" s="568"/>
      <c r="V809" s="568"/>
      <c r="W809" s="568"/>
      <c r="X809" s="568"/>
      <c r="Y809" s="568"/>
      <c r="Z809" s="568"/>
    </row>
    <row r="810" spans="1:26" ht="18.75" hidden="1">
      <c r="A810" s="563"/>
      <c r="B810" s="723"/>
      <c r="C810" s="723"/>
      <c r="D810" s="580"/>
      <c r="E810" s="723" t="s">
        <v>185</v>
      </c>
      <c r="F810" s="723"/>
      <c r="G810" s="567"/>
      <c r="H810" s="165" t="s">
        <v>12</v>
      </c>
      <c r="I810" s="583"/>
      <c r="J810" s="583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7"/>
        <v>0</v>
      </c>
      <c r="P810" s="93">
        <f t="shared" si="328"/>
        <v>0</v>
      </c>
      <c r="Q810" s="568"/>
      <c r="R810" s="568"/>
      <c r="S810" s="568"/>
      <c r="T810" s="568"/>
      <c r="U810" s="568"/>
      <c r="V810" s="568"/>
      <c r="W810" s="568"/>
      <c r="X810" s="568"/>
      <c r="Y810" s="568"/>
      <c r="Z810" s="568"/>
    </row>
    <row r="811" spans="1:26" ht="18.75" hidden="1">
      <c r="A811" s="615"/>
      <c r="B811" s="571"/>
      <c r="C811" s="723"/>
      <c r="D811" s="571"/>
      <c r="E811" s="723"/>
      <c r="F811" s="723" t="s">
        <v>186</v>
      </c>
      <c r="G811" s="567"/>
      <c r="H811" s="165" t="s">
        <v>12</v>
      </c>
      <c r="I811" s="583"/>
      <c r="J811" s="583"/>
      <c r="K811" s="93"/>
      <c r="L811" s="93"/>
      <c r="M811" s="93"/>
      <c r="N811" s="93"/>
      <c r="O811" s="93"/>
      <c r="P811" s="93"/>
      <c r="Q811" s="568"/>
      <c r="R811" s="568"/>
      <c r="S811" s="568"/>
      <c r="T811" s="568"/>
      <c r="U811" s="568"/>
      <c r="V811" s="568"/>
      <c r="W811" s="568"/>
      <c r="X811" s="568"/>
      <c r="Y811" s="568"/>
      <c r="Z811" s="568"/>
    </row>
    <row r="812" spans="1:26" ht="18.75" hidden="1">
      <c r="A812" s="615"/>
      <c r="B812" s="571"/>
      <c r="C812" s="723"/>
      <c r="D812" s="571"/>
      <c r="E812" s="723"/>
      <c r="F812" s="723" t="s">
        <v>187</v>
      </c>
      <c r="G812" s="567"/>
      <c r="H812" s="165" t="s">
        <v>12</v>
      </c>
      <c r="I812" s="583"/>
      <c r="J812" s="583"/>
      <c r="K812" s="93"/>
      <c r="L812" s="93"/>
      <c r="M812" s="93"/>
      <c r="N812" s="93"/>
      <c r="O812" s="93"/>
      <c r="P812" s="93"/>
      <c r="Q812" s="568"/>
      <c r="R812" s="568"/>
      <c r="S812" s="568"/>
      <c r="T812" s="568"/>
      <c r="U812" s="568"/>
      <c r="V812" s="568"/>
      <c r="W812" s="568"/>
      <c r="X812" s="568"/>
      <c r="Y812" s="568"/>
      <c r="Z812" s="568"/>
    </row>
    <row r="813" spans="1:26" ht="18.75" hidden="1">
      <c r="A813" s="615"/>
      <c r="B813" s="571"/>
      <c r="C813" s="723"/>
      <c r="D813" s="571"/>
      <c r="E813" s="723"/>
      <c r="F813" s="723" t="s">
        <v>188</v>
      </c>
      <c r="G813" s="567"/>
      <c r="H813" s="165" t="s">
        <v>12</v>
      </c>
      <c r="I813" s="583"/>
      <c r="J813" s="583"/>
      <c r="K813" s="93"/>
      <c r="L813" s="93"/>
      <c r="M813" s="93"/>
      <c r="N813" s="93"/>
      <c r="O813" s="93"/>
      <c r="P813" s="93"/>
      <c r="Q813" s="568"/>
      <c r="R813" s="568"/>
      <c r="S813" s="568"/>
      <c r="T813" s="568"/>
      <c r="U813" s="568"/>
      <c r="V813" s="568"/>
      <c r="W813" s="568"/>
      <c r="X813" s="568"/>
      <c r="Y813" s="568"/>
      <c r="Z813" s="568"/>
    </row>
    <row r="814" spans="1:26" ht="18.75" hidden="1">
      <c r="A814" s="615"/>
      <c r="B814" s="571"/>
      <c r="C814" s="723"/>
      <c r="D814" s="571"/>
      <c r="E814" s="723"/>
      <c r="F814" s="723" t="s">
        <v>189</v>
      </c>
      <c r="G814" s="567"/>
      <c r="H814" s="165" t="s">
        <v>12</v>
      </c>
      <c r="I814" s="583"/>
      <c r="J814" s="583"/>
      <c r="K814" s="93"/>
      <c r="L814" s="93"/>
      <c r="M814" s="93"/>
      <c r="N814" s="93"/>
      <c r="O814" s="93"/>
      <c r="P814" s="93"/>
      <c r="Q814" s="568"/>
      <c r="R814" s="568"/>
      <c r="S814" s="568"/>
      <c r="T814" s="568"/>
      <c r="U814" s="568"/>
      <c r="V814" s="568"/>
      <c r="W814" s="568"/>
      <c r="X814" s="568"/>
      <c r="Y814" s="568"/>
      <c r="Z814" s="568"/>
    </row>
    <row r="815" spans="1:26" ht="19.5" hidden="1">
      <c r="A815" s="563"/>
      <c r="B815" s="571"/>
      <c r="C815" s="723"/>
      <c r="D815" s="857" t="s">
        <v>21</v>
      </c>
      <c r="E815" s="805"/>
      <c r="F815" s="805"/>
      <c r="G815" s="567"/>
      <c r="H815" s="747" t="s">
        <v>12</v>
      </c>
      <c r="I815" s="166"/>
      <c r="J815" s="166"/>
      <c r="K815" s="167"/>
      <c r="L815" s="613">
        <f t="shared" ref="L815:N815" si="331">L816+L817</f>
        <v>0</v>
      </c>
      <c r="M815" s="613">
        <f t="shared" si="331"/>
        <v>0</v>
      </c>
      <c r="N815" s="613">
        <f t="shared" si="331"/>
        <v>0</v>
      </c>
      <c r="O815" s="613">
        <f t="shared" ref="O815:O817" si="332">IF(L815&gt;0,N815*100/L815,0)</f>
        <v>0</v>
      </c>
      <c r="P815" s="613">
        <f t="shared" ref="P815:P817" si="333">IF(M815&gt;0,N815*100/M815,0)</f>
        <v>0</v>
      </c>
      <c r="Q815" s="568"/>
      <c r="R815" s="568"/>
      <c r="S815" s="568"/>
      <c r="T815" s="568"/>
      <c r="U815" s="568"/>
      <c r="V815" s="568"/>
      <c r="W815" s="568"/>
      <c r="X815" s="568"/>
      <c r="Y815" s="568"/>
      <c r="Z815" s="568"/>
    </row>
    <row r="816" spans="1:26" ht="18.75" hidden="1">
      <c r="A816" s="563"/>
      <c r="B816" s="571"/>
      <c r="C816" s="723"/>
      <c r="D816" s="571"/>
      <c r="E816" s="723" t="s">
        <v>18</v>
      </c>
      <c r="F816" s="723"/>
      <c r="G816" s="567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2"/>
        <v>0</v>
      </c>
      <c r="P816" s="93">
        <f t="shared" si="333"/>
        <v>0</v>
      </c>
      <c r="Q816" s="568"/>
      <c r="R816" s="568"/>
      <c r="S816" s="568"/>
      <c r="T816" s="568"/>
      <c r="U816" s="568"/>
      <c r="V816" s="568"/>
      <c r="W816" s="568"/>
      <c r="X816" s="568"/>
      <c r="Y816" s="568"/>
      <c r="Z816" s="568"/>
    </row>
    <row r="817" spans="1:26" ht="18.75" hidden="1">
      <c r="A817" s="563"/>
      <c r="B817" s="571"/>
      <c r="C817" s="723"/>
      <c r="D817" s="571"/>
      <c r="E817" s="723" t="s">
        <v>19</v>
      </c>
      <c r="F817" s="723"/>
      <c r="G817" s="567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2"/>
        <v>0</v>
      </c>
      <c r="P817" s="93">
        <f t="shared" si="333"/>
        <v>0</v>
      </c>
      <c r="Q817" s="568"/>
      <c r="R817" s="568"/>
      <c r="S817" s="568"/>
      <c r="T817" s="568"/>
      <c r="U817" s="568"/>
      <c r="V817" s="568"/>
      <c r="W817" s="568"/>
      <c r="X817" s="568"/>
      <c r="Y817" s="568"/>
      <c r="Z817" s="568"/>
    </row>
    <row r="818" spans="1:26" ht="19.5" hidden="1">
      <c r="A818" s="578"/>
      <c r="B818" s="580"/>
      <c r="C818" s="723" t="s">
        <v>16</v>
      </c>
      <c r="D818" s="858" t="s">
        <v>38</v>
      </c>
      <c r="E818" s="617"/>
      <c r="F818" s="617"/>
      <c r="G818" s="618"/>
      <c r="H818" s="581"/>
      <c r="I818" s="166"/>
      <c r="J818" s="166"/>
      <c r="K818" s="167"/>
      <c r="L818" s="167"/>
      <c r="M818" s="167"/>
      <c r="N818" s="167"/>
      <c r="O818" s="167"/>
      <c r="P818" s="167"/>
      <c r="Q818" s="568"/>
      <c r="R818" s="568"/>
      <c r="S818" s="568"/>
      <c r="T818" s="568"/>
      <c r="U818" s="568"/>
      <c r="V818" s="568"/>
      <c r="W818" s="568"/>
      <c r="X818" s="568"/>
      <c r="Y818" s="568"/>
      <c r="Z818" s="568"/>
    </row>
    <row r="819" spans="1:26" ht="19.5" hidden="1" thickBot="1">
      <c r="A819" s="777"/>
      <c r="B819" s="778"/>
      <c r="C819" s="780"/>
      <c r="D819" s="778"/>
      <c r="E819" s="780" t="s">
        <v>323</v>
      </c>
      <c r="F819" s="780"/>
      <c r="G819" s="781"/>
      <c r="H819" s="782" t="s">
        <v>46</v>
      </c>
      <c r="I819" s="783"/>
      <c r="J819" s="783"/>
      <c r="K819" s="784"/>
      <c r="L819" s="784"/>
      <c r="M819" s="784"/>
      <c r="N819" s="784"/>
      <c r="O819" s="784"/>
      <c r="P819" s="784"/>
      <c r="Q819" s="568"/>
      <c r="R819" s="568"/>
      <c r="S819" s="568"/>
      <c r="T819" s="568"/>
      <c r="U819" s="568"/>
      <c r="V819" s="568"/>
      <c r="W819" s="568"/>
      <c r="X819" s="568"/>
      <c r="Y819" s="568"/>
      <c r="Z819" s="568"/>
    </row>
    <row r="820" spans="1:26" ht="19.5">
      <c r="A820" s="785" t="s">
        <v>332</v>
      </c>
      <c r="B820" s="786"/>
      <c r="C820" s="786"/>
      <c r="D820" s="787"/>
      <c r="E820" s="786"/>
      <c r="F820" s="786"/>
      <c r="G820" s="788"/>
      <c r="H820" s="788"/>
      <c r="I820" s="214"/>
      <c r="J820" s="214"/>
      <c r="K820" s="789"/>
      <c r="L820" s="789"/>
      <c r="M820" s="789"/>
      <c r="N820" s="789"/>
      <c r="O820" s="789"/>
      <c r="P820" s="789"/>
      <c r="Q820" s="541"/>
      <c r="R820" s="541"/>
      <c r="S820" s="541"/>
      <c r="T820" s="541"/>
      <c r="U820" s="541"/>
      <c r="V820" s="541"/>
      <c r="W820" s="541"/>
      <c r="X820" s="541"/>
      <c r="Y820" s="541"/>
      <c r="Z820" s="541"/>
    </row>
    <row r="821" spans="1:26" ht="18.75">
      <c r="A821" s="708"/>
      <c r="B821" s="727" t="s">
        <v>325</v>
      </c>
      <c r="C821" s="727"/>
      <c r="D821" s="538"/>
      <c r="E821" s="727"/>
      <c r="F821" s="727"/>
      <c r="G821" s="189"/>
      <c r="H821" s="589" t="s">
        <v>12</v>
      </c>
      <c r="I821" s="269">
        <f ca="1">IFERROR(__xludf.DUMMYFUNCTION("IMPORTRANGE(""https://docs.google.com/spreadsheets/d/19vJNZY_5yjcGF2XGBMNZRCAIB0Kwfpjp8YEOfu-bneM/edit?usp=sharing"",""งานกองทุน!D26"")"),6943900.22)</f>
        <v>6943900.2199999997</v>
      </c>
      <c r="J821" s="269">
        <f ca="1">IFERROR(__xludf.DUMMYFUNCTION("IMPORTRANGE(""https://docs.google.com/spreadsheets/d/19vJNZY_5yjcGF2XGBMNZRCAIB0Kwfpjp8YEOfu-bneM/edit?usp=sharing"",""งานกองทุน!F26"")"),0)</f>
        <v>0</v>
      </c>
      <c r="K821" s="465">
        <f t="shared" ref="K821:K828" ca="1" si="334">IF(I821&gt;0,J821*100/I821,0)</f>
        <v>0</v>
      </c>
      <c r="L821" s="465"/>
      <c r="M821" s="465"/>
      <c r="N821" s="465"/>
      <c r="O821" s="465"/>
      <c r="P821" s="465"/>
      <c r="Q821" s="541"/>
      <c r="R821" s="541"/>
      <c r="S821" s="541"/>
      <c r="T821" s="541"/>
      <c r="U821" s="541"/>
      <c r="V821" s="541"/>
      <c r="W821" s="541"/>
      <c r="X821" s="541"/>
      <c r="Y821" s="541"/>
      <c r="Z821" s="541"/>
    </row>
    <row r="822" spans="1:26" ht="18.75">
      <c r="A822" s="708"/>
      <c r="B822" s="727"/>
      <c r="C822" s="727"/>
      <c r="D822" s="538"/>
      <c r="E822" s="727"/>
      <c r="F822" s="727"/>
      <c r="G822" s="189"/>
      <c r="H822" s="589" t="s">
        <v>35</v>
      </c>
      <c r="I822" s="269">
        <f ca="1">IFERROR(__xludf.DUMMYFUNCTION("IMPORTRANGE(""https://docs.google.com/spreadsheets/d/19vJNZY_5yjcGF2XGBMNZRCAIB0Kwfpjp8YEOfu-bneM/edit?usp=sharing"",""งานกองทุน!C26"")"),290)</f>
        <v>290</v>
      </c>
      <c r="J822" s="269">
        <f ca="1">IFERROR(__xludf.DUMMYFUNCTION("IMPORTRANGE(""https://docs.google.com/spreadsheets/d/19vJNZY_5yjcGF2XGBMNZRCAIB0Kwfpjp8YEOfu-bneM/edit?usp=sharing"",""งานกองทุน!E26"")"),0)</f>
        <v>0</v>
      </c>
      <c r="K822" s="465">
        <f t="shared" ca="1" si="334"/>
        <v>0</v>
      </c>
      <c r="L822" s="465"/>
      <c r="M822" s="465"/>
      <c r="N822" s="465"/>
      <c r="O822" s="465"/>
      <c r="P822" s="465"/>
      <c r="Q822" s="541"/>
      <c r="R822" s="541"/>
      <c r="S822" s="541"/>
      <c r="T822" s="541"/>
      <c r="U822" s="541"/>
      <c r="V822" s="541"/>
      <c r="W822" s="541"/>
      <c r="X822" s="541"/>
      <c r="Y822" s="541"/>
      <c r="Z822" s="541"/>
    </row>
    <row r="823" spans="1:26" ht="18.75">
      <c r="A823" s="708"/>
      <c r="B823" s="727" t="s">
        <v>326</v>
      </c>
      <c r="C823" s="727"/>
      <c r="D823" s="538"/>
      <c r="E823" s="727"/>
      <c r="F823" s="727"/>
      <c r="G823" s="189"/>
      <c r="H823" s="589" t="s">
        <v>12</v>
      </c>
      <c r="I823" s="269">
        <f ca="1">IFERROR(__xludf.DUMMYFUNCTION("IMPORTRANGE(""https://docs.google.com/spreadsheets/d/19vJNZY_5yjcGF2XGBMNZRCAIB0Kwfpjp8YEOfu-bneM/edit?usp=sharing"",""งานกองทุน!I26"")"),159680)</f>
        <v>159680</v>
      </c>
      <c r="J823" s="269">
        <f ca="1">IFERROR(__xludf.DUMMYFUNCTION("IMPORTRANGE(""https://docs.google.com/spreadsheets/d/19vJNZY_5yjcGF2XGBMNZRCAIB0Kwfpjp8YEOfu-bneM/edit?usp=sharing"",""งานกองทุน!K26"")"),159680)</f>
        <v>159680</v>
      </c>
      <c r="K823" s="465">
        <f t="shared" ca="1" si="334"/>
        <v>100</v>
      </c>
      <c r="L823" s="465"/>
      <c r="M823" s="465"/>
      <c r="N823" s="465"/>
      <c r="O823" s="465"/>
      <c r="P823" s="465"/>
      <c r="Q823" s="541"/>
      <c r="R823" s="541"/>
      <c r="S823" s="541"/>
      <c r="T823" s="541"/>
      <c r="U823" s="541"/>
      <c r="V823" s="541"/>
      <c r="W823" s="541"/>
      <c r="X823" s="541"/>
      <c r="Y823" s="541"/>
      <c r="Z823" s="541"/>
    </row>
    <row r="824" spans="1:26" ht="18.75">
      <c r="A824" s="708"/>
      <c r="B824" s="727"/>
      <c r="C824" s="727"/>
      <c r="D824" s="538"/>
      <c r="E824" s="727"/>
      <c r="F824" s="727"/>
      <c r="G824" s="189"/>
      <c r="H824" s="589" t="s">
        <v>35</v>
      </c>
      <c r="I824" s="269">
        <f ca="1">IFERROR(__xludf.DUMMYFUNCTION("IMPORTRANGE(""https://docs.google.com/spreadsheets/d/19vJNZY_5yjcGF2XGBMNZRCAIB0Kwfpjp8YEOfu-bneM/edit?usp=sharing"",""งานกองทุน!H26"")"),4)</f>
        <v>4</v>
      </c>
      <c r="J824" s="269">
        <f ca="1">IFERROR(__xludf.DUMMYFUNCTION("IMPORTRANGE(""https://docs.google.com/spreadsheets/d/19vJNZY_5yjcGF2XGBMNZRCAIB0Kwfpjp8YEOfu-bneM/edit?usp=sharing"",""งานกองทุน!J26"")"),4)</f>
        <v>4</v>
      </c>
      <c r="K824" s="465">
        <f t="shared" ca="1" si="334"/>
        <v>100</v>
      </c>
      <c r="L824" s="465"/>
      <c r="M824" s="465"/>
      <c r="N824" s="465"/>
      <c r="O824" s="465"/>
      <c r="P824" s="465"/>
      <c r="Q824" s="541"/>
      <c r="R824" s="541"/>
      <c r="S824" s="541"/>
      <c r="T824" s="541"/>
      <c r="U824" s="541"/>
      <c r="V824" s="541"/>
      <c r="W824" s="541"/>
      <c r="X824" s="541"/>
      <c r="Y824" s="541"/>
      <c r="Z824" s="541"/>
    </row>
    <row r="825" spans="1:26" ht="18.75">
      <c r="A825" s="708"/>
      <c r="B825" s="727" t="s">
        <v>327</v>
      </c>
      <c r="C825" s="727"/>
      <c r="D825" s="538"/>
      <c r="E825" s="727"/>
      <c r="F825" s="727"/>
      <c r="G825" s="189"/>
      <c r="H825" s="589" t="s">
        <v>12</v>
      </c>
      <c r="I825" s="269">
        <f ca="1">IFERROR(__xludf.DUMMYFUNCTION("IMPORTRANGE(""https://docs.google.com/spreadsheets/d/19vJNZY_5yjcGF2XGBMNZRCAIB0Kwfpjp8YEOfu-bneM/edit?usp=sharing"",""งานกองทุน!N26"")"),0)</f>
        <v>0</v>
      </c>
      <c r="J825" s="269">
        <f ca="1">IFERROR(__xludf.DUMMYFUNCTION("IMPORTRANGE(""https://docs.google.com/spreadsheets/d/19vJNZY_5yjcGF2XGBMNZRCAIB0Kwfpjp8YEOfu-bneM/edit?usp=sharing"",""งานกองทุน!P26"")"),0)</f>
        <v>0</v>
      </c>
      <c r="K825" s="465">
        <f t="shared" ca="1" si="334"/>
        <v>0</v>
      </c>
      <c r="L825" s="465"/>
      <c r="M825" s="465"/>
      <c r="N825" s="465"/>
      <c r="O825" s="465"/>
      <c r="P825" s="465"/>
      <c r="Q825" s="541"/>
      <c r="R825" s="541"/>
      <c r="S825" s="541"/>
      <c r="T825" s="541"/>
      <c r="U825" s="541"/>
      <c r="V825" s="541"/>
      <c r="W825" s="541"/>
      <c r="X825" s="541"/>
      <c r="Y825" s="541"/>
      <c r="Z825" s="541"/>
    </row>
    <row r="826" spans="1:26" ht="18.75">
      <c r="A826" s="708"/>
      <c r="B826" s="727"/>
      <c r="C826" s="727"/>
      <c r="D826" s="538"/>
      <c r="E826" s="727"/>
      <c r="F826" s="727"/>
      <c r="G826" s="189"/>
      <c r="H826" s="589" t="s">
        <v>35</v>
      </c>
      <c r="I826" s="269">
        <f ca="1">IFERROR(__xludf.DUMMYFUNCTION("IMPORTRANGE(""https://docs.google.com/spreadsheets/d/19vJNZY_5yjcGF2XGBMNZRCAIB0Kwfpjp8YEOfu-bneM/edit?usp=sharing"",""งานกองทุน!M26"")"),0)</f>
        <v>0</v>
      </c>
      <c r="J826" s="269">
        <f ca="1">IFERROR(__xludf.DUMMYFUNCTION("IMPORTRANGE(""https://docs.google.com/spreadsheets/d/19vJNZY_5yjcGF2XGBMNZRCAIB0Kwfpjp8YEOfu-bneM/edit?usp=sharing"",""งานกองทุน!O26"")"),0)</f>
        <v>0</v>
      </c>
      <c r="K826" s="465">
        <f t="shared" ca="1" si="334"/>
        <v>0</v>
      </c>
      <c r="L826" s="465"/>
      <c r="M826" s="465"/>
      <c r="N826" s="465"/>
      <c r="O826" s="465"/>
      <c r="P826" s="465"/>
      <c r="Q826" s="541"/>
      <c r="R826" s="541"/>
      <c r="S826" s="541"/>
      <c r="T826" s="541"/>
      <c r="U826" s="541"/>
      <c r="V826" s="541"/>
      <c r="W826" s="541"/>
      <c r="X826" s="541"/>
      <c r="Y826" s="541"/>
      <c r="Z826" s="541"/>
    </row>
    <row r="827" spans="1:26" ht="18.75">
      <c r="A827" s="708"/>
      <c r="B827" s="727" t="s">
        <v>328</v>
      </c>
      <c r="C827" s="727"/>
      <c r="D827" s="538"/>
      <c r="E827" s="727"/>
      <c r="F827" s="727"/>
      <c r="G827" s="189"/>
      <c r="H827" s="589" t="s">
        <v>12</v>
      </c>
      <c r="I827" s="269">
        <f ca="1">IFERROR(__xludf.DUMMYFUNCTION("IMPORTRANGE(""https://docs.google.com/spreadsheets/d/19vJNZY_5yjcGF2XGBMNZRCAIB0Kwfpjp8YEOfu-bneM/edit?usp=sharing"",""งานกองทุน!S26"")"),7945000)</f>
        <v>7945000</v>
      </c>
      <c r="J827" s="269">
        <f ca="1">IFERROR(__xludf.DUMMYFUNCTION("IMPORTRANGE(""https://docs.google.com/spreadsheets/d/19vJNZY_5yjcGF2XGBMNZRCAIB0Kwfpjp8YEOfu-bneM/edit?usp=sharing"",""งานกองทุน!U26"")"),0)</f>
        <v>0</v>
      </c>
      <c r="K827" s="465">
        <f t="shared" ca="1" si="334"/>
        <v>0</v>
      </c>
      <c r="L827" s="465"/>
      <c r="M827" s="465"/>
      <c r="N827" s="465"/>
      <c r="O827" s="465"/>
      <c r="P827" s="465"/>
      <c r="Q827" s="541"/>
      <c r="R827" s="541"/>
      <c r="S827" s="541"/>
      <c r="T827" s="541"/>
      <c r="U827" s="541"/>
      <c r="V827" s="541"/>
      <c r="W827" s="541"/>
      <c r="X827" s="541"/>
      <c r="Y827" s="541"/>
      <c r="Z827" s="541"/>
    </row>
    <row r="828" spans="1:26" ht="18.75">
      <c r="A828" s="711"/>
      <c r="B828" s="713"/>
      <c r="C828" s="713"/>
      <c r="D828" s="712"/>
      <c r="E828" s="713"/>
      <c r="F828" s="713"/>
      <c r="G828" s="790"/>
      <c r="H828" s="791" t="s">
        <v>35</v>
      </c>
      <c r="I828" s="468">
        <f ca="1">IFERROR(__xludf.DUMMYFUNCTION("IMPORTRANGE(""https://docs.google.com/spreadsheets/d/19vJNZY_5yjcGF2XGBMNZRCAIB0Kwfpjp8YEOfu-bneM/edit?usp=sharing"",""งานกองทุน!R26"")"),199)</f>
        <v>199</v>
      </c>
      <c r="J828" s="468">
        <f ca="1">IFERROR(__xludf.DUMMYFUNCTION("IMPORTRANGE(""https://docs.google.com/spreadsheets/d/19vJNZY_5yjcGF2XGBMNZRCAIB0Kwfpjp8YEOfu-bneM/edit?usp=sharing"",""งานกองทุน!T26"")"),13)</f>
        <v>13</v>
      </c>
      <c r="K828" s="469">
        <f t="shared" ca="1" si="334"/>
        <v>6.5326633165829149</v>
      </c>
      <c r="L828" s="469"/>
      <c r="M828" s="469"/>
      <c r="N828" s="469"/>
      <c r="O828" s="469"/>
      <c r="P828" s="469"/>
      <c r="Q828" s="541"/>
      <c r="R828" s="541"/>
      <c r="S828" s="541"/>
      <c r="T828" s="541"/>
      <c r="U828" s="541"/>
      <c r="V828" s="541"/>
      <c r="W828" s="541"/>
      <c r="X828" s="541"/>
      <c r="Y828" s="541"/>
      <c r="Z828" s="541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1" fitToHeight="0" pageOrder="overThenDown" orientation="portrait" cellComments="atEnd" r:id="rId1"/>
  <headerFooter>
    <oddFooter>&amp;Cหน้า &amp;P/&amp;N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0AB11D-5C80-4A7D-B935-36B5E1D80C4F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activeCell="S28" sqref="S28"/>
      <selection pane="bottomLeft" activeCell="A2" sqref="A2:P2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9" width="16.85546875" bestFit="1" customWidth="1"/>
    <col min="10" max="10" width="14.42578125" bestFit="1" customWidth="1"/>
    <col min="11" max="11" width="12.5703125" customWidth="1"/>
    <col min="12" max="13" width="21.28515625" bestFit="1" customWidth="1"/>
    <col min="14" max="14" width="18.7109375" bestFit="1" customWidth="1"/>
    <col min="15" max="15" width="20.140625" bestFit="1" customWidth="1"/>
    <col min="16" max="16" width="22" bestFit="1" customWidth="1"/>
  </cols>
  <sheetData>
    <row r="1" spans="1:26" ht="19.5">
      <c r="A1" s="792" t="s">
        <v>0</v>
      </c>
      <c r="B1" s="793"/>
      <c r="C1" s="793"/>
      <c r="D1" s="793"/>
      <c r="E1" s="793"/>
      <c r="F1" s="793"/>
      <c r="G1" s="793"/>
      <c r="H1" s="793"/>
      <c r="I1" s="793"/>
      <c r="J1" s="793"/>
      <c r="K1" s="793"/>
      <c r="L1" s="793"/>
      <c r="M1" s="793"/>
      <c r="N1" s="793"/>
      <c r="O1" s="793"/>
      <c r="P1" s="793"/>
    </row>
    <row r="2" spans="1:26" ht="19.5">
      <c r="A2" s="792" t="s">
        <v>350</v>
      </c>
      <c r="B2" s="793"/>
      <c r="C2" s="793"/>
      <c r="D2" s="793"/>
      <c r="E2" s="793"/>
      <c r="F2" s="793"/>
      <c r="G2" s="793"/>
      <c r="H2" s="793"/>
      <c r="I2" s="793"/>
      <c r="J2" s="793"/>
      <c r="K2" s="793"/>
      <c r="L2" s="793"/>
      <c r="M2" s="793"/>
      <c r="N2" s="793"/>
      <c r="O2" s="793"/>
      <c r="P2" s="793"/>
    </row>
    <row r="3" spans="1:26" ht="19.5">
      <c r="A3" s="792" t="s">
        <v>355</v>
      </c>
      <c r="B3" s="793"/>
      <c r="C3" s="793"/>
      <c r="D3" s="793"/>
      <c r="E3" s="793"/>
      <c r="F3" s="793"/>
      <c r="G3" s="793"/>
      <c r="H3" s="793"/>
      <c r="I3" s="793"/>
      <c r="J3" s="793"/>
      <c r="K3" s="793"/>
      <c r="L3" s="793"/>
      <c r="M3" s="793"/>
      <c r="N3" s="793"/>
      <c r="O3" s="793"/>
      <c r="P3" s="793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00" t="s">
        <v>2</v>
      </c>
      <c r="B5" s="793"/>
      <c r="C5" s="793"/>
      <c r="D5" s="793"/>
      <c r="E5" s="793"/>
      <c r="F5" s="793"/>
      <c r="G5" s="801"/>
      <c r="H5" s="794" t="s">
        <v>3</v>
      </c>
      <c r="I5" s="796" t="s">
        <v>4</v>
      </c>
      <c r="J5" s="797"/>
      <c r="K5" s="795"/>
      <c r="L5" s="798" t="s">
        <v>5</v>
      </c>
      <c r="M5" s="795"/>
      <c r="N5" s="799" t="s">
        <v>6</v>
      </c>
      <c r="O5" s="797"/>
      <c r="P5" s="795"/>
    </row>
    <row r="6" spans="1:26" ht="19.5">
      <c r="A6" s="802"/>
      <c r="B6" s="797"/>
      <c r="C6" s="797"/>
      <c r="D6" s="797"/>
      <c r="E6" s="797"/>
      <c r="F6" s="797"/>
      <c r="G6" s="795"/>
      <c r="H6" s="795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03" t="s">
        <v>15</v>
      </c>
      <c r="B7" s="797"/>
      <c r="C7" s="797"/>
      <c r="D7" s="797"/>
      <c r="E7" s="797"/>
      <c r="F7" s="797"/>
      <c r="G7" s="795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5252899</v>
      </c>
      <c r="M8" s="22">
        <f t="shared" ca="1" si="0"/>
        <v>2002360</v>
      </c>
      <c r="N8" s="22">
        <f t="shared" ca="1" si="0"/>
        <v>859160.93</v>
      </c>
      <c r="O8" s="22">
        <f t="shared" ref="O8:O16" ca="1" si="1">IF(L8&gt;0,N8*100/L8,0)</f>
        <v>16.355938501768261</v>
      </c>
      <c r="P8" s="22">
        <f t="shared" ref="P8:P16" ca="1" si="2">IF(M8&gt;0,N8*100/M8,0)</f>
        <v>42.907415749415691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5252899</v>
      </c>
      <c r="M10" s="30">
        <f t="shared" ca="1" si="3"/>
        <v>2002360</v>
      </c>
      <c r="N10" s="30">
        <f t="shared" ca="1" si="3"/>
        <v>859160.93</v>
      </c>
      <c r="O10" s="30">
        <f t="shared" ca="1" si="1"/>
        <v>16.355938501768261</v>
      </c>
      <c r="P10" s="30">
        <f t="shared" ca="1" si="2"/>
        <v>42.907415749415691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589" t="s">
        <v>12</v>
      </c>
      <c r="I11" s="269"/>
      <c r="J11" s="269"/>
      <c r="K11" s="465"/>
      <c r="L11" s="465">
        <f t="shared" ref="L11:N11" ca="1" si="4">L12+L13</f>
        <v>5171099</v>
      </c>
      <c r="M11" s="465">
        <f t="shared" ca="1" si="4"/>
        <v>1922360</v>
      </c>
      <c r="N11" s="465">
        <f t="shared" ca="1" si="4"/>
        <v>779160.93</v>
      </c>
      <c r="O11" s="465">
        <f t="shared" ca="1" si="1"/>
        <v>15.067608065519535</v>
      </c>
      <c r="P11" s="465">
        <f t="shared" ca="1" si="2"/>
        <v>40.531478495183002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2" t="s">
        <v>18</v>
      </c>
      <c r="F12" s="40"/>
      <c r="G12" s="42"/>
      <c r="H12" s="43" t="s">
        <v>12</v>
      </c>
      <c r="I12" s="583"/>
      <c r="J12" s="583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2" t="s">
        <v>19</v>
      </c>
      <c r="F13" s="40"/>
      <c r="G13" s="42"/>
      <c r="H13" s="43" t="s">
        <v>12</v>
      </c>
      <c r="I13" s="583"/>
      <c r="J13" s="583"/>
      <c r="K13" s="93"/>
      <c r="L13" s="93">
        <f t="shared" ca="1" si="5"/>
        <v>5171099</v>
      </c>
      <c r="M13" s="93">
        <f t="shared" ca="1" si="5"/>
        <v>1922360</v>
      </c>
      <c r="N13" s="93">
        <f t="shared" ca="1" si="5"/>
        <v>779160.93</v>
      </c>
      <c r="O13" s="93">
        <f t="shared" ca="1" si="1"/>
        <v>15.067608065519535</v>
      </c>
      <c r="P13" s="93">
        <f t="shared" ca="1" si="2"/>
        <v>40.531478495183002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589" t="s">
        <v>12</v>
      </c>
      <c r="I14" s="269"/>
      <c r="J14" s="269"/>
      <c r="K14" s="465"/>
      <c r="L14" s="465">
        <f t="shared" ref="L14:N14" ca="1" si="6">L15+L16</f>
        <v>81800</v>
      </c>
      <c r="M14" s="465">
        <f t="shared" ca="1" si="6"/>
        <v>80000</v>
      </c>
      <c r="N14" s="465">
        <f t="shared" ca="1" si="6"/>
        <v>80000</v>
      </c>
      <c r="O14" s="465">
        <f t="shared" ca="1" si="1"/>
        <v>97.799511002444987</v>
      </c>
      <c r="P14" s="465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2" t="s">
        <v>18</v>
      </c>
      <c r="F15" s="40"/>
      <c r="G15" s="42"/>
      <c r="H15" s="43" t="s">
        <v>12</v>
      </c>
      <c r="I15" s="583"/>
      <c r="J15" s="583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81800</v>
      </c>
      <c r="M16" s="52">
        <f t="shared" ca="1" si="7"/>
        <v>80000</v>
      </c>
      <c r="N16" s="52">
        <f t="shared" ca="1" si="7"/>
        <v>80000</v>
      </c>
      <c r="O16" s="52">
        <f t="shared" ca="1" si="1"/>
        <v>97.799511002444987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03" t="s">
        <v>22</v>
      </c>
      <c r="B17" s="797"/>
      <c r="C17" s="797"/>
      <c r="D17" s="797"/>
      <c r="E17" s="797"/>
      <c r="F17" s="797"/>
      <c r="G17" s="795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3963020</v>
      </c>
      <c r="M18" s="22">
        <f t="shared" ca="1" si="8"/>
        <v>2002360</v>
      </c>
      <c r="N18" s="22">
        <f t="shared" ca="1" si="8"/>
        <v>859160.93</v>
      </c>
      <c r="O18" s="22">
        <f t="shared" ref="O18:O26" ca="1" si="9">IF(L18&gt;0,N18*100/L18,0)</f>
        <v>21.679449763059484</v>
      </c>
      <c r="P18" s="22">
        <f t="shared" ref="P18:P26" ca="1" si="10">IF(M18&gt;0,N18*100/M18,0)</f>
        <v>42.907415749415691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3963020</v>
      </c>
      <c r="M20" s="30">
        <f t="shared" ca="1" si="11"/>
        <v>2002360</v>
      </c>
      <c r="N20" s="30">
        <f t="shared" ca="1" si="11"/>
        <v>859160.93</v>
      </c>
      <c r="O20" s="30">
        <f t="shared" ca="1" si="9"/>
        <v>21.679449763059484</v>
      </c>
      <c r="P20" s="30">
        <f t="shared" ca="1" si="10"/>
        <v>42.907415749415691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589" t="s">
        <v>12</v>
      </c>
      <c r="I21" s="269"/>
      <c r="J21" s="269"/>
      <c r="K21" s="465"/>
      <c r="L21" s="465">
        <f t="shared" ref="L21:N21" ca="1" si="12">L22+L23</f>
        <v>3881220</v>
      </c>
      <c r="M21" s="465">
        <f t="shared" ca="1" si="12"/>
        <v>1922360</v>
      </c>
      <c r="N21" s="465">
        <f t="shared" ca="1" si="12"/>
        <v>779160.93</v>
      </c>
      <c r="O21" s="465">
        <f t="shared" ca="1" si="9"/>
        <v>20.075154977043301</v>
      </c>
      <c r="P21" s="465">
        <f t="shared" ca="1" si="10"/>
        <v>40.531478495183002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2" t="s">
        <v>18</v>
      </c>
      <c r="F22" s="40"/>
      <c r="G22" s="42"/>
      <c r="H22" s="43" t="s">
        <v>12</v>
      </c>
      <c r="I22" s="583"/>
      <c r="J22" s="583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2" t="s">
        <v>19</v>
      </c>
      <c r="F23" s="40"/>
      <c r="G23" s="42"/>
      <c r="H23" s="43" t="s">
        <v>12</v>
      </c>
      <c r="I23" s="583"/>
      <c r="J23" s="583"/>
      <c r="K23" s="93"/>
      <c r="L23" s="93">
        <f t="shared" ca="1" si="13"/>
        <v>3881220</v>
      </c>
      <c r="M23" s="93">
        <f t="shared" ca="1" si="13"/>
        <v>1922360</v>
      </c>
      <c r="N23" s="93">
        <f t="shared" ca="1" si="13"/>
        <v>779160.93</v>
      </c>
      <c r="O23" s="93">
        <f t="shared" ca="1" si="9"/>
        <v>20.075154977043301</v>
      </c>
      <c r="P23" s="93">
        <f t="shared" ca="1" si="10"/>
        <v>40.531478495183002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589" t="s">
        <v>12</v>
      </c>
      <c r="I24" s="269"/>
      <c r="J24" s="269"/>
      <c r="K24" s="465"/>
      <c r="L24" s="465">
        <f t="shared" ref="L24:N24" ca="1" si="14">L25+L26</f>
        <v>81800</v>
      </c>
      <c r="M24" s="465">
        <f t="shared" ca="1" si="14"/>
        <v>80000</v>
      </c>
      <c r="N24" s="465">
        <f t="shared" ca="1" si="14"/>
        <v>80000</v>
      </c>
      <c r="O24" s="465">
        <f t="shared" ca="1" si="9"/>
        <v>97.799511002444987</v>
      </c>
      <c r="P24" s="465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2" t="s">
        <v>18</v>
      </c>
      <c r="F25" s="40"/>
      <c r="G25" s="42"/>
      <c r="H25" s="43" t="s">
        <v>12</v>
      </c>
      <c r="I25" s="583"/>
      <c r="J25" s="583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81800</v>
      </c>
      <c r="M26" s="52">
        <f t="shared" ca="1" si="15"/>
        <v>80000</v>
      </c>
      <c r="N26" s="52">
        <f t="shared" ca="1" si="15"/>
        <v>80000</v>
      </c>
      <c r="O26" s="52">
        <f t="shared" ca="1" si="9"/>
        <v>97.799511002444987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03" t="s">
        <v>23</v>
      </c>
      <c r="B27" s="797"/>
      <c r="C27" s="797"/>
      <c r="D27" s="797"/>
      <c r="E27" s="797"/>
      <c r="F27" s="797"/>
      <c r="G27" s="795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1289879</v>
      </c>
      <c r="M28" s="22">
        <f t="shared" si="16"/>
        <v>0</v>
      </c>
      <c r="N28" s="22">
        <f t="shared" si="16"/>
        <v>0</v>
      </c>
      <c r="O28" s="22">
        <f t="shared" ref="O28:O37" ca="1" si="17">IF(L28&gt;0,N28*100/L28,0)</f>
        <v>0</v>
      </c>
      <c r="P28" s="22">
        <f t="shared" ref="P28:P37" si="18">IF(M28&gt;0,N28*100/M28,0)</f>
        <v>0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1289879</v>
      </c>
      <c r="M30" s="30">
        <f t="shared" si="19"/>
        <v>0</v>
      </c>
      <c r="N30" s="30">
        <f t="shared" si="19"/>
        <v>0</v>
      </c>
      <c r="O30" s="30">
        <f t="shared" ca="1" si="17"/>
        <v>0</v>
      </c>
      <c r="P30" s="30">
        <f t="shared" si="18"/>
        <v>0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589" t="s">
        <v>12</v>
      </c>
      <c r="I31" s="269"/>
      <c r="J31" s="269"/>
      <c r="K31" s="465"/>
      <c r="L31" s="465">
        <f t="shared" ref="L31:N31" ca="1" si="20">L32+L33</f>
        <v>1289879</v>
      </c>
      <c r="M31" s="465">
        <f t="shared" si="20"/>
        <v>0</v>
      </c>
      <c r="N31" s="465">
        <f t="shared" si="20"/>
        <v>0</v>
      </c>
      <c r="O31" s="465">
        <f t="shared" ca="1" si="17"/>
        <v>0</v>
      </c>
      <c r="P31" s="465">
        <f t="shared" si="18"/>
        <v>0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2" t="s">
        <v>18</v>
      </c>
      <c r="F32" s="40"/>
      <c r="G32" s="42"/>
      <c r="H32" s="43" t="s">
        <v>12</v>
      </c>
      <c r="I32" s="583"/>
      <c r="J32" s="583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2" t="s">
        <v>19</v>
      </c>
      <c r="F33" s="40"/>
      <c r="G33" s="42"/>
      <c r="H33" s="43" t="s">
        <v>12</v>
      </c>
      <c r="I33" s="583"/>
      <c r="J33" s="583"/>
      <c r="K33" s="93"/>
      <c r="L33" s="93">
        <f t="shared" ca="1" si="21"/>
        <v>1289879</v>
      </c>
      <c r="M33" s="93">
        <f t="shared" si="21"/>
        <v>0</v>
      </c>
      <c r="N33" s="93">
        <f t="shared" si="21"/>
        <v>0</v>
      </c>
      <c r="O33" s="93">
        <f t="shared" ca="1" si="17"/>
        <v>0</v>
      </c>
      <c r="P33" s="93">
        <f t="shared" si="18"/>
        <v>0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589" t="s">
        <v>12</v>
      </c>
      <c r="I34" s="269"/>
      <c r="J34" s="269"/>
      <c r="K34" s="465"/>
      <c r="L34" s="465">
        <f t="shared" ref="L34:N34" ca="1" si="22">L35+L36</f>
        <v>0</v>
      </c>
      <c r="M34" s="465">
        <f t="shared" si="22"/>
        <v>0</v>
      </c>
      <c r="N34" s="465">
        <f t="shared" si="22"/>
        <v>0</v>
      </c>
      <c r="O34" s="465">
        <f t="shared" ca="1" si="17"/>
        <v>0</v>
      </c>
      <c r="P34" s="465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2" t="s">
        <v>18</v>
      </c>
      <c r="F35" s="40"/>
      <c r="G35" s="42"/>
      <c r="H35" s="43" t="s">
        <v>12</v>
      </c>
      <c r="I35" s="583"/>
      <c r="J35" s="583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53" t="s">
        <v>24</v>
      </c>
      <c r="B37" s="54"/>
      <c r="C37" s="54"/>
      <c r="D37" s="54"/>
      <c r="E37" s="54"/>
      <c r="F37" s="54"/>
      <c r="G37" s="55"/>
      <c r="H37" s="56"/>
      <c r="I37" s="392"/>
      <c r="J37" s="392"/>
      <c r="K37" s="58"/>
      <c r="L37" s="59">
        <f t="shared" ref="L37:N37" ca="1" si="24">L41+L53+L66+L88+L119+L132+L149+L165+L181+L261+L277+L298+L315+L328+L345+L389+L402</f>
        <v>3963020</v>
      </c>
      <c r="M37" s="59">
        <f t="shared" ca="1" si="24"/>
        <v>2002360</v>
      </c>
      <c r="N37" s="59">
        <f t="shared" ca="1" si="24"/>
        <v>859160.93</v>
      </c>
      <c r="O37" s="59">
        <f t="shared" ca="1" si="17"/>
        <v>21.679449763059484</v>
      </c>
      <c r="P37" s="59">
        <f t="shared" ca="1" si="18"/>
        <v>42.907415749415691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04" t="s">
        <v>27</v>
      </c>
      <c r="C40" s="805"/>
      <c r="D40" s="805"/>
      <c r="E40" s="805"/>
      <c r="F40" s="805"/>
      <c r="G40" s="806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15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522850</v>
      </c>
      <c r="M41" s="85">
        <f t="shared" ca="1" si="25"/>
        <v>264800</v>
      </c>
      <c r="N41" s="85">
        <f t="shared" ca="1" si="25"/>
        <v>129750</v>
      </c>
      <c r="O41" s="85">
        <f t="shared" ref="O41:O49" ca="1" si="26">IF(L41&gt;0,N41*100/L41,0)</f>
        <v>24.815912785693794</v>
      </c>
      <c r="P41" s="85">
        <f t="shared" ref="P41:P49" ca="1" si="27">IF(M41&gt;0,N41*100/M41,0)</f>
        <v>48.999244712990937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522850</v>
      </c>
      <c r="M43" s="92">
        <f t="shared" ca="1" si="28"/>
        <v>264800</v>
      </c>
      <c r="N43" s="92">
        <f t="shared" ca="1" si="28"/>
        <v>129750</v>
      </c>
      <c r="O43" s="92">
        <f t="shared" ca="1" si="26"/>
        <v>24.815912785693794</v>
      </c>
      <c r="P43" s="92">
        <f t="shared" ca="1" si="27"/>
        <v>48.999244712990937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589" t="s">
        <v>12</v>
      </c>
      <c r="I44" s="269"/>
      <c r="J44" s="269"/>
      <c r="K44" s="465"/>
      <c r="L44" s="465">
        <f t="shared" ref="L44:N44" ca="1" si="29">L45+L46</f>
        <v>522850</v>
      </c>
      <c r="M44" s="465">
        <f t="shared" ca="1" si="29"/>
        <v>264800</v>
      </c>
      <c r="N44" s="465">
        <f t="shared" ca="1" si="29"/>
        <v>129750</v>
      </c>
      <c r="O44" s="465">
        <f t="shared" ca="1" si="26"/>
        <v>24.815912785693794</v>
      </c>
      <c r="P44" s="465">
        <f t="shared" ca="1" si="27"/>
        <v>48.999244712990937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2" t="s">
        <v>18</v>
      </c>
      <c r="F45" s="40"/>
      <c r="G45" s="42"/>
      <c r="H45" s="43" t="s">
        <v>12</v>
      </c>
      <c r="I45" s="583"/>
      <c r="J45" s="583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2" t="s">
        <v>19</v>
      </c>
      <c r="F46" s="40"/>
      <c r="G46" s="42"/>
      <c r="H46" s="43" t="s">
        <v>12</v>
      </c>
      <c r="I46" s="583"/>
      <c r="J46" s="583"/>
      <c r="K46" s="93"/>
      <c r="L46" s="93">
        <f ca="1">IFERROR(__xludf.DUMMYFUNCTION("IMPORTRANGE(""https://docs.google.com/spreadsheets/d/1MeEWN-I1oV_STSDYn1IFDPWt_1FKiwhDph83XaGc0o0/edit?usp=sharing"",""งบพรบ!M27"")"),522850)</f>
        <v>522850</v>
      </c>
      <c r="M46" s="93">
        <f ca="1">IFERROR(__xludf.DUMMYFUNCTION("IMPORTRANGE(""https://docs.google.com/spreadsheets/d/1MeEWN-I1oV_STSDYn1IFDPWt_1FKiwhDph83XaGc0o0/edit?usp=sharing"",""งบพรบ!R27"")"),264800)</f>
        <v>264800</v>
      </c>
      <c r="N46" s="93">
        <f ca="1">IFERROR(__xludf.DUMMYFUNCTION("IMPORTRANGE(""https://docs.google.com/spreadsheets/d/1MeEWN-I1oV_STSDYn1IFDPWt_1FKiwhDph83XaGc0o0/edit?usp=sharing"",""งบพรบ!T27"")"),129750)</f>
        <v>129750</v>
      </c>
      <c r="O46" s="93">
        <f t="shared" ca="1" si="26"/>
        <v>24.815912785693794</v>
      </c>
      <c r="P46" s="93">
        <f t="shared" ca="1" si="27"/>
        <v>48.999244712990937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589" t="s">
        <v>12</v>
      </c>
      <c r="I47" s="269"/>
      <c r="J47" s="269"/>
      <c r="K47" s="465"/>
      <c r="L47" s="465">
        <f t="shared" ref="L47:N47" ca="1" si="30">L48+L49</f>
        <v>0</v>
      </c>
      <c r="M47" s="465">
        <f t="shared" ca="1" si="30"/>
        <v>0</v>
      </c>
      <c r="N47" s="465">
        <f t="shared" ca="1" si="30"/>
        <v>0</v>
      </c>
      <c r="O47" s="465">
        <f t="shared" ca="1" si="26"/>
        <v>0</v>
      </c>
      <c r="P47" s="465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2" t="s">
        <v>18</v>
      </c>
      <c r="F48" s="40"/>
      <c r="G48" s="42"/>
      <c r="H48" s="43" t="s">
        <v>12</v>
      </c>
      <c r="I48" s="583"/>
      <c r="J48" s="583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IFERROR(__xludf.DUMMYFUNCTION("IMPORTRANGE(""https://docs.google.com/spreadsheets/d/1MeEWN-I1oV_STSDYn1IFDPWt_1FKiwhDph83XaGc0o0/edit?usp=sharing"",""งบพรบ!P27"")"),0)</f>
        <v>0</v>
      </c>
      <c r="M49" s="52">
        <f ca="1">IFERROR(__xludf.DUMMYFUNCTION("IMPORTRANGE(""https://docs.google.com/spreadsheets/d/1MeEWN-I1oV_STSDYn1IFDPWt_1FKiwhDph83XaGc0o0/edit?usp=sharing"",""งบพรบ!S27"")"),0)</f>
        <v>0</v>
      </c>
      <c r="N49" s="52">
        <f ca="1">IFERROR(__xludf.DUMMYFUNCTION("IMPORTRANGE(""https://docs.google.com/spreadsheets/d/1MeEWN-I1oV_STSDYn1IFDPWt_1FKiwhDph83XaGc0o0/edit?usp=sharing"",""งบพรบ!U27"")"),0)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07" t="s">
        <v>28</v>
      </c>
      <c r="B50" s="797"/>
      <c r="C50" s="797"/>
      <c r="D50" s="797"/>
      <c r="E50" s="797"/>
      <c r="F50" s="797"/>
      <c r="G50" s="795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08" t="s">
        <v>29</v>
      </c>
      <c r="C51" s="805"/>
      <c r="D51" s="805"/>
      <c r="E51" s="805"/>
      <c r="F51" s="805"/>
      <c r="G51" s="806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16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865100</v>
      </c>
      <c r="M53" s="116">
        <f t="shared" ca="1" si="31"/>
        <v>471650</v>
      </c>
      <c r="N53" s="116">
        <f t="shared" ca="1" si="31"/>
        <v>371105.02</v>
      </c>
      <c r="O53" s="116">
        <f t="shared" ref="O53:O61" ca="1" si="32">IF(L53&gt;0,N53*100/L53,0)</f>
        <v>42.897355219049821</v>
      </c>
      <c r="P53" s="116">
        <f t="shared" ref="P53:P61" ca="1" si="33">IF(M53&gt;0,N53*100/M53,0)</f>
        <v>78.682289833563019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865100</v>
      </c>
      <c r="M55" s="123">
        <f t="shared" ca="1" si="34"/>
        <v>471650</v>
      </c>
      <c r="N55" s="123">
        <f t="shared" ca="1" si="34"/>
        <v>371105.02</v>
      </c>
      <c r="O55" s="123">
        <f t="shared" ca="1" si="32"/>
        <v>42.897355219049821</v>
      </c>
      <c r="P55" s="123">
        <f t="shared" ca="1" si="33"/>
        <v>78.682289833563019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589" t="s">
        <v>12</v>
      </c>
      <c r="I56" s="269"/>
      <c r="J56" s="269"/>
      <c r="K56" s="465"/>
      <c r="L56" s="465">
        <f t="shared" ref="L56:N56" ca="1" si="35">L57+L58</f>
        <v>783300</v>
      </c>
      <c r="M56" s="465">
        <f t="shared" ca="1" si="35"/>
        <v>391650</v>
      </c>
      <c r="N56" s="465">
        <f t="shared" ca="1" si="35"/>
        <v>291105.02</v>
      </c>
      <c r="O56" s="465">
        <f t="shared" ca="1" si="32"/>
        <v>37.163924422315844</v>
      </c>
      <c r="P56" s="465">
        <f t="shared" ca="1" si="33"/>
        <v>74.327848844631689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2" t="s">
        <v>18</v>
      </c>
      <c r="F57" s="40"/>
      <c r="G57" s="42"/>
      <c r="H57" s="43" t="s">
        <v>12</v>
      </c>
      <c r="I57" s="583"/>
      <c r="J57" s="583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2" t="s">
        <v>19</v>
      </c>
      <c r="F58" s="40"/>
      <c r="G58" s="42"/>
      <c r="H58" s="43" t="s">
        <v>12</v>
      </c>
      <c r="I58" s="583"/>
      <c r="J58" s="583"/>
      <c r="K58" s="93"/>
      <c r="L58" s="93">
        <f ca="1">IFERROR(__xludf.DUMMYFUNCTION("IMPORTRANGE(""https://docs.google.com/spreadsheets/d/1MeEWN-I1oV_STSDYn1IFDPWt_1FKiwhDph83XaGc0o0/edit?usp=sharing"",""งบพรบ!W27"")"),783300)</f>
        <v>783300</v>
      </c>
      <c r="M58" s="93">
        <f ca="1">IFERROR(__xludf.DUMMYFUNCTION("IMPORTRANGE(""https://docs.google.com/spreadsheets/d/1MeEWN-I1oV_STSDYn1IFDPWt_1FKiwhDph83XaGc0o0/edit?usp=sharing"",""งบพรบ!AB27"")"),391650)</f>
        <v>391650</v>
      </c>
      <c r="N58" s="93">
        <f ca="1">IFERROR(__xludf.DUMMYFUNCTION("IMPORTRANGE(""https://docs.google.com/spreadsheets/d/1MeEWN-I1oV_STSDYn1IFDPWt_1FKiwhDph83XaGc0o0/edit?usp=sharing"",""งบพรบ!AD27"")"),291105.02)</f>
        <v>291105.02</v>
      </c>
      <c r="O58" s="93">
        <f t="shared" ca="1" si="32"/>
        <v>37.163924422315844</v>
      </c>
      <c r="P58" s="93">
        <f t="shared" ca="1" si="33"/>
        <v>74.327848844631689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589" t="s">
        <v>12</v>
      </c>
      <c r="I59" s="269"/>
      <c r="J59" s="269"/>
      <c r="K59" s="465"/>
      <c r="L59" s="465">
        <f t="shared" ref="L59:N59" ca="1" si="36">L60+L61</f>
        <v>81800</v>
      </c>
      <c r="M59" s="465">
        <f t="shared" ca="1" si="36"/>
        <v>80000</v>
      </c>
      <c r="N59" s="465">
        <f t="shared" ca="1" si="36"/>
        <v>80000</v>
      </c>
      <c r="O59" s="465">
        <f t="shared" ca="1" si="32"/>
        <v>97.799511002444987</v>
      </c>
      <c r="P59" s="465">
        <f t="shared" ca="1" si="33"/>
        <v>100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2" t="s">
        <v>18</v>
      </c>
      <c r="F60" s="40"/>
      <c r="G60" s="42"/>
      <c r="H60" s="43" t="s">
        <v>12</v>
      </c>
      <c r="I60" s="583"/>
      <c r="J60" s="583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IFERROR(__xludf.DUMMYFUNCTION("IMPORTRANGE(""https://docs.google.com/spreadsheets/d/1MeEWN-I1oV_STSDYn1IFDPWt_1FKiwhDph83XaGc0o0/edit?usp=sharing"",""งบพรบ!Z27"")"),81800)</f>
        <v>81800</v>
      </c>
      <c r="M61" s="52">
        <f ca="1">IFERROR(__xludf.DUMMYFUNCTION("IMPORTRANGE(""https://docs.google.com/spreadsheets/d/1MeEWN-I1oV_STSDYn1IFDPWt_1FKiwhDph83XaGc0o0/edit?usp=sharing"",""งบพรบ!AC27"")"),80000)</f>
        <v>80000</v>
      </c>
      <c r="N61" s="52">
        <f ca="1">IFERROR(__xludf.DUMMYFUNCTION("IMPORTRANGE(""https://docs.google.com/spreadsheets/d/1MeEWN-I1oV_STSDYn1IFDPWt_1FKiwhDph83XaGc0o0/edit?usp=sharing"",""งบพรบ!AE27"")"),80000)</f>
        <v>80000</v>
      </c>
      <c r="O61" s="52">
        <f t="shared" ca="1" si="32"/>
        <v>97.799511002444987</v>
      </c>
      <c r="P61" s="52">
        <f t="shared" ca="1" si="33"/>
        <v>100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>
      <c r="A64" s="138"/>
      <c r="B64" s="208" t="s">
        <v>33</v>
      </c>
      <c r="C64" s="140"/>
      <c r="D64" s="141"/>
      <c r="E64" s="140"/>
      <c r="F64" s="140"/>
      <c r="G64" s="142"/>
      <c r="H64" s="143" t="s">
        <v>34</v>
      </c>
      <c r="I64" s="144">
        <f t="shared" ref="I64:J65" ca="1" si="37">I76</f>
        <v>1</v>
      </c>
      <c r="J64" s="144">
        <f t="shared" si="37"/>
        <v>0</v>
      </c>
      <c r="K64" s="145">
        <f t="shared" ref="K64:K65" ca="1" si="38">IF(I64&gt;0,J64*100/I64,0)</f>
        <v>0</v>
      </c>
      <c r="L64" s="146"/>
      <c r="M64" s="146"/>
      <c r="N64" s="146"/>
      <c r="O64" s="146"/>
      <c r="P64" s="146"/>
    </row>
    <row r="65" spans="1:26" ht="19.5">
      <c r="A65" s="138"/>
      <c r="B65" s="140"/>
      <c r="C65" s="140"/>
      <c r="D65" s="141"/>
      <c r="E65" s="140"/>
      <c r="F65" s="140"/>
      <c r="G65" s="142"/>
      <c r="H65" s="143" t="s">
        <v>35</v>
      </c>
      <c r="I65" s="144">
        <f t="shared" ca="1" si="37"/>
        <v>35</v>
      </c>
      <c r="J65" s="144">
        <f t="shared" si="37"/>
        <v>0</v>
      </c>
      <c r="K65" s="145">
        <f t="shared" ca="1" si="38"/>
        <v>0</v>
      </c>
      <c r="L65" s="146"/>
      <c r="M65" s="146"/>
      <c r="N65" s="146"/>
      <c r="O65" s="146"/>
      <c r="P65" s="146"/>
    </row>
    <row r="66" spans="1:26" ht="19.5">
      <c r="A66" s="147"/>
      <c r="B66" s="148"/>
      <c r="C66" s="149" t="s">
        <v>16</v>
      </c>
      <c r="D66" s="817" t="s">
        <v>17</v>
      </c>
      <c r="E66" s="148"/>
      <c r="F66" s="148"/>
      <c r="G66" s="151"/>
      <c r="H66" s="152" t="s">
        <v>12</v>
      </c>
      <c r="I66" s="388"/>
      <c r="J66" s="388"/>
      <c r="K66" s="154"/>
      <c r="L66" s="155">
        <f t="shared" ref="L66:N66" ca="1" si="39">L67+L68</f>
        <v>919600</v>
      </c>
      <c r="M66" s="155">
        <f t="shared" ca="1" si="39"/>
        <v>453800</v>
      </c>
      <c r="N66" s="155">
        <f t="shared" ca="1" si="39"/>
        <v>185600.53</v>
      </c>
      <c r="O66" s="155">
        <f t="shared" ref="O66:O74" ca="1" si="40">IF(L66&gt;0,N66*100/L66,0)</f>
        <v>20.182745759025664</v>
      </c>
      <c r="P66" s="155">
        <f t="shared" ref="P66:P74" ca="1" si="41">IF(M66&gt;0,N66*100/M66,0)</f>
        <v>40.899191273688849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2" t="s">
        <v>18</v>
      </c>
      <c r="F67" s="40"/>
      <c r="G67" s="157"/>
      <c r="H67" s="158" t="s">
        <v>12</v>
      </c>
      <c r="I67" s="583"/>
      <c r="J67" s="583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2" t="s">
        <v>19</v>
      </c>
      <c r="F68" s="40"/>
      <c r="G68" s="157"/>
      <c r="H68" s="158" t="s">
        <v>12</v>
      </c>
      <c r="I68" s="583"/>
      <c r="J68" s="583"/>
      <c r="K68" s="93"/>
      <c r="L68" s="93">
        <f t="shared" ca="1" si="42"/>
        <v>919600</v>
      </c>
      <c r="M68" s="93">
        <f t="shared" ca="1" si="42"/>
        <v>453800</v>
      </c>
      <c r="N68" s="93">
        <f t="shared" ca="1" si="42"/>
        <v>185600.53</v>
      </c>
      <c r="O68" s="93">
        <f t="shared" ca="1" si="40"/>
        <v>20.182745759025664</v>
      </c>
      <c r="P68" s="93">
        <f t="shared" ca="1" si="41"/>
        <v>40.899191273688849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>
      <c r="A69" s="159"/>
      <c r="B69" s="33"/>
      <c r="C69" s="281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65">
        <f t="shared" ref="L69:N69" ca="1" si="43">L70+L71</f>
        <v>919600</v>
      </c>
      <c r="M69" s="465">
        <f t="shared" ca="1" si="43"/>
        <v>453800</v>
      </c>
      <c r="N69" s="465">
        <f t="shared" ca="1" si="43"/>
        <v>185600.53</v>
      </c>
      <c r="O69" s="465">
        <f t="shared" ca="1" si="40"/>
        <v>20.182745759025664</v>
      </c>
      <c r="P69" s="465">
        <f t="shared" ca="1" si="41"/>
        <v>40.899191273688849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2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2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IFERROR(__xludf.DUMMYFUNCTION("IMPORTRANGE(""https://docs.google.com/spreadsheets/d/1MeEWN-I1oV_STSDYn1IFDPWt_1FKiwhDph83XaGc0o0/edit?usp=sharing"",""งบพรบ!AG27"")"),919600)</f>
        <v>919600</v>
      </c>
      <c r="M71" s="93">
        <f ca="1">IFERROR(__xludf.DUMMYFUNCTION("IMPORTRANGE(""https://docs.google.com/spreadsheets/d/1MeEWN-I1oV_STSDYn1IFDPWt_1FKiwhDph83XaGc0o0/edit?usp=sharing"",""งบพรบ!AL27"")"),453800)</f>
        <v>453800</v>
      </c>
      <c r="N71" s="93">
        <f ca="1">IFERROR(__xludf.DUMMYFUNCTION("IMPORTRANGE(""https://docs.google.com/spreadsheets/d/1MeEWN-I1oV_STSDYn1IFDPWt_1FKiwhDph83XaGc0o0/edit?usp=sharing"",""งบพรบ!AN27"")"),185600.53)</f>
        <v>185600.53</v>
      </c>
      <c r="O71" s="93">
        <f t="shared" ca="1" si="40"/>
        <v>20.182745759025664</v>
      </c>
      <c r="P71" s="93">
        <f t="shared" ca="1" si="41"/>
        <v>40.899191273688849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>
      <c r="A72" s="159"/>
      <c r="B72" s="33"/>
      <c r="C72" s="281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65">
        <f t="shared" ref="L72:N72" ca="1" si="44">L73+L74</f>
        <v>0</v>
      </c>
      <c r="M72" s="465">
        <f t="shared" ca="1" si="44"/>
        <v>0</v>
      </c>
      <c r="N72" s="465">
        <f t="shared" ca="1" si="44"/>
        <v>0</v>
      </c>
      <c r="O72" s="465">
        <f t="shared" ca="1" si="40"/>
        <v>0</v>
      </c>
      <c r="P72" s="465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2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2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IFERROR(__xludf.DUMMYFUNCTION("IMPORTRANGE(""https://docs.google.com/spreadsheets/d/1MeEWN-I1oV_STSDYn1IFDPWt_1FKiwhDph83XaGc0o0/edit?usp=sharing"",""งบพรบ!AJ27"")"),0)</f>
        <v>0</v>
      </c>
      <c r="M74" s="93">
        <f ca="1">IFERROR(__xludf.DUMMYFUNCTION("IMPORTRANGE(""https://docs.google.com/spreadsheets/d/1MeEWN-I1oV_STSDYn1IFDPWt_1FKiwhDph83XaGc0o0/edit?usp=sharing"",""งบพรบ!AM27"")"),0)</f>
        <v>0</v>
      </c>
      <c r="N74" s="93">
        <f ca="1">IFERROR(__xludf.DUMMYFUNCTION("IMPORTRANGE(""https://docs.google.com/spreadsheets/d/1MeEWN-I1oV_STSDYn1IFDPWt_1FKiwhDph83XaGc0o0/edit?usp=sharing"",""งบพรบ!AO27"")"),0)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>
      <c r="A75" s="170"/>
      <c r="B75" s="171"/>
      <c r="C75" s="164" t="s">
        <v>16</v>
      </c>
      <c r="D75" s="818" t="s">
        <v>38</v>
      </c>
      <c r="E75" s="173"/>
      <c r="F75" s="173"/>
      <c r="G75" s="174"/>
      <c r="H75" s="726"/>
      <c r="I75" s="184"/>
      <c r="J75" s="184"/>
      <c r="K75" s="163"/>
      <c r="L75" s="163"/>
      <c r="M75" s="163"/>
      <c r="N75" s="163"/>
      <c r="O75" s="163"/>
      <c r="P75" s="163"/>
    </row>
    <row r="76" spans="1:26" ht="19.5">
      <c r="A76" s="170"/>
      <c r="B76" s="171"/>
      <c r="C76" s="171"/>
      <c r="D76" s="343" t="s">
        <v>39</v>
      </c>
      <c r="E76" s="415"/>
      <c r="F76" s="342"/>
      <c r="G76" s="179"/>
      <c r="H76" s="180" t="s">
        <v>34</v>
      </c>
      <c r="I76" s="269">
        <f t="shared" ref="I76:J77" ca="1" si="45">I78+I80+I82</f>
        <v>1</v>
      </c>
      <c r="J76" s="269">
        <f t="shared" si="45"/>
        <v>0</v>
      </c>
      <c r="K76" s="163">
        <f t="shared" ref="K76:K84" ca="1" si="46">IF(I76&gt;0,J76*100/I76,0)</f>
        <v>0</v>
      </c>
      <c r="L76" s="163"/>
      <c r="M76" s="163"/>
      <c r="N76" s="163"/>
      <c r="O76" s="163"/>
      <c r="P76" s="163"/>
    </row>
    <row r="77" spans="1:26" ht="19.5">
      <c r="A77" s="170"/>
      <c r="B77" s="171"/>
      <c r="C77" s="171"/>
      <c r="D77" s="171"/>
      <c r="E77" s="342"/>
      <c r="F77" s="342"/>
      <c r="G77" s="179"/>
      <c r="H77" s="180" t="s">
        <v>35</v>
      </c>
      <c r="I77" s="269">
        <f t="shared" ca="1" si="45"/>
        <v>35</v>
      </c>
      <c r="J77" s="269">
        <f t="shared" si="45"/>
        <v>0</v>
      </c>
      <c r="K77" s="163">
        <f t="shared" ca="1" si="46"/>
        <v>0</v>
      </c>
      <c r="L77" s="163"/>
      <c r="M77" s="163"/>
      <c r="N77" s="163"/>
      <c r="O77" s="163"/>
      <c r="P77" s="163"/>
    </row>
    <row r="78" spans="1:26" ht="18.75">
      <c r="A78" s="170"/>
      <c r="B78" s="171"/>
      <c r="C78" s="171"/>
      <c r="D78" s="171"/>
      <c r="E78" s="415" t="s">
        <v>40</v>
      </c>
      <c r="F78" s="415"/>
      <c r="G78" s="179"/>
      <c r="H78" s="728" t="s">
        <v>34</v>
      </c>
      <c r="I78" s="184">
        <f ca="1">IFERROR(__xludf.DUMMYFUNCTION("IMPORTRANGE(""https://docs.google.com/spreadsheets/d/1QqKyyYR6Q21VydFLVH3TRQUabQu_ym0Zz7PgGX0-kHA/edit?usp=sharing"",""แผน!H27"")"),0)</f>
        <v>0</v>
      </c>
      <c r="J78" s="214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>
      <c r="A79" s="170"/>
      <c r="B79" s="171"/>
      <c r="C79" s="171"/>
      <c r="D79" s="171"/>
      <c r="E79" s="342"/>
      <c r="F79" s="342"/>
      <c r="G79" s="179"/>
      <c r="H79" s="728" t="s">
        <v>35</v>
      </c>
      <c r="I79" s="184">
        <f ca="1">IFERROR(__xludf.DUMMYFUNCTION("IMPORTRANGE(""https://docs.google.com/spreadsheets/d/1QqKyyYR6Q21VydFLVH3TRQUabQu_ym0Zz7PgGX0-kHA/edit?usp=sharing"",""แผน!I27"")"),0)</f>
        <v>0</v>
      </c>
      <c r="J79" s="214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>
      <c r="A80" s="170"/>
      <c r="B80" s="171"/>
      <c r="C80" s="171"/>
      <c r="D80" s="171"/>
      <c r="E80" s="415" t="s">
        <v>41</v>
      </c>
      <c r="F80" s="415"/>
      <c r="G80" s="179"/>
      <c r="H80" s="728" t="s">
        <v>34</v>
      </c>
      <c r="I80" s="184">
        <f ca="1">IFERROR(__xludf.DUMMYFUNCTION("IMPORTRANGE(""https://docs.google.com/spreadsheets/d/1QqKyyYR6Q21VydFLVH3TRQUabQu_ym0Zz7PgGX0-kHA/edit?usp=sharing"",""แผน!F27"")"),1)</f>
        <v>1</v>
      </c>
      <c r="J80" s="214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>
      <c r="A81" s="170"/>
      <c r="B81" s="171"/>
      <c r="C81" s="171"/>
      <c r="D81" s="171"/>
      <c r="E81" s="342"/>
      <c r="F81" s="342"/>
      <c r="G81" s="179"/>
      <c r="H81" s="728" t="s">
        <v>35</v>
      </c>
      <c r="I81" s="184">
        <f ca="1">IFERROR(__xludf.DUMMYFUNCTION("IMPORTRANGE(""https://docs.google.com/spreadsheets/d/1QqKyyYR6Q21VydFLVH3TRQUabQu_ym0Zz7PgGX0-kHA/edit?usp=sharing"",""แผน!G27"")"),35)</f>
        <v>35</v>
      </c>
      <c r="J81" s="214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>
      <c r="A82" s="170"/>
      <c r="B82" s="171"/>
      <c r="C82" s="171"/>
      <c r="D82" s="171"/>
      <c r="E82" s="415" t="s">
        <v>42</v>
      </c>
      <c r="F82" s="415"/>
      <c r="G82" s="179"/>
      <c r="H82" s="728" t="s">
        <v>34</v>
      </c>
      <c r="I82" s="184">
        <f ca="1">IFERROR(__xludf.DUMMYFUNCTION("IMPORTRANGE(""https://docs.google.com/spreadsheets/d/1QqKyyYR6Q21VydFLVH3TRQUabQu_ym0Zz7PgGX0-kHA/edit?usp=sharing"",""แผน!D27"")"),0)</f>
        <v>0</v>
      </c>
      <c r="J82" s="214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>
      <c r="A83" s="170"/>
      <c r="B83" s="171"/>
      <c r="C83" s="171"/>
      <c r="D83" s="171"/>
      <c r="E83" s="342"/>
      <c r="F83" s="342"/>
      <c r="G83" s="179"/>
      <c r="H83" s="728" t="s">
        <v>35</v>
      </c>
      <c r="I83" s="184">
        <f ca="1">IFERROR(__xludf.DUMMYFUNCTION("IMPORTRANGE(""https://docs.google.com/spreadsheets/d/1QqKyyYR6Q21VydFLVH3TRQUabQu_ym0Zz7PgGX0-kHA/edit?usp=sharing"",""แผน!E27"")"),0)</f>
        <v>0</v>
      </c>
      <c r="J83" s="214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>
      <c r="A84" s="170"/>
      <c r="B84" s="171"/>
      <c r="C84" s="171"/>
      <c r="D84" s="343" t="s">
        <v>43</v>
      </c>
      <c r="E84" s="415"/>
      <c r="F84" s="342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IFERROR(__xludf.DUMMYFUNCTION("IMPORTRANGE(""https://docs.google.com/spreadsheets/d/1QqKyyYR6Q21VydFLVH3TRQUabQu_ym0Zz7PgGX0-kHA/edit?usp=sharing"",""แผน!J27"")"),1)</f>
        <v>1</v>
      </c>
      <c r="J84" s="214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8" t="s">
        <v>45</v>
      </c>
      <c r="C86" s="140"/>
      <c r="D86" s="141"/>
      <c r="E86" s="140"/>
      <c r="F86" s="140"/>
      <c r="G86" s="142"/>
      <c r="H86" s="143" t="s">
        <v>46</v>
      </c>
      <c r="I86" s="144">
        <f t="shared" ref="I86:J87" ca="1" si="47">I98</f>
        <v>30</v>
      </c>
      <c r="J86" s="144">
        <f t="shared" si="47"/>
        <v>0</v>
      </c>
      <c r="K86" s="145">
        <f t="shared" ref="K86:K87" ca="1" si="48">IF(I86&gt;0,J86*100/I86,0)</f>
        <v>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143" t="s">
        <v>35</v>
      </c>
      <c r="I87" s="144">
        <f t="shared" ca="1" si="47"/>
        <v>10</v>
      </c>
      <c r="J87" s="144">
        <f t="shared" si="47"/>
        <v>0</v>
      </c>
      <c r="K87" s="145">
        <f t="shared" ca="1" si="48"/>
        <v>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17" t="s">
        <v>17</v>
      </c>
      <c r="E88" s="148"/>
      <c r="F88" s="148"/>
      <c r="G88" s="151"/>
      <c r="H88" s="152" t="s">
        <v>12</v>
      </c>
      <c r="I88" s="388"/>
      <c r="J88" s="388"/>
      <c r="K88" s="154"/>
      <c r="L88" s="155">
        <f t="shared" ref="L88:N88" ca="1" si="49">L89+L90</f>
        <v>116140</v>
      </c>
      <c r="M88" s="155">
        <f t="shared" ca="1" si="49"/>
        <v>49590</v>
      </c>
      <c r="N88" s="155">
        <f t="shared" ca="1" si="49"/>
        <v>0</v>
      </c>
      <c r="O88" s="155">
        <f t="shared" ref="O88:O96" ca="1" si="50">IF(L88&gt;0,N88*100/L88,0)</f>
        <v>0</v>
      </c>
      <c r="P88" s="155">
        <f t="shared" ref="P88:P96" ca="1" si="51">IF(M88&gt;0,N88*100/M88,0)</f>
        <v>0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2" t="s">
        <v>18</v>
      </c>
      <c r="F89" s="40"/>
      <c r="G89" s="157"/>
      <c r="H89" s="158" t="s">
        <v>12</v>
      </c>
      <c r="I89" s="583"/>
      <c r="J89" s="583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2" t="s">
        <v>19</v>
      </c>
      <c r="F90" s="40"/>
      <c r="G90" s="157"/>
      <c r="H90" s="158" t="s">
        <v>12</v>
      </c>
      <c r="I90" s="583"/>
      <c r="J90" s="583"/>
      <c r="K90" s="93"/>
      <c r="L90" s="93">
        <f t="shared" ca="1" si="52"/>
        <v>116140</v>
      </c>
      <c r="M90" s="93">
        <f t="shared" ca="1" si="52"/>
        <v>49590</v>
      </c>
      <c r="N90" s="93">
        <f t="shared" ca="1" si="52"/>
        <v>0</v>
      </c>
      <c r="O90" s="93">
        <f t="shared" ca="1" si="50"/>
        <v>0</v>
      </c>
      <c r="P90" s="93">
        <f t="shared" ca="1" si="51"/>
        <v>0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1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65">
        <f t="shared" ref="L91:N91" ca="1" si="53">L92+L93</f>
        <v>116140</v>
      </c>
      <c r="M91" s="465">
        <f t="shared" ca="1" si="53"/>
        <v>49590</v>
      </c>
      <c r="N91" s="465">
        <f t="shared" ca="1" si="53"/>
        <v>0</v>
      </c>
      <c r="O91" s="465">
        <f t="shared" ca="1" si="50"/>
        <v>0</v>
      </c>
      <c r="P91" s="465">
        <f t="shared" ca="1" si="51"/>
        <v>0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2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2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IFERROR(__xludf.DUMMYFUNCTION("IMPORTRANGE(""https://docs.google.com/spreadsheets/d/1MeEWN-I1oV_STSDYn1IFDPWt_1FKiwhDph83XaGc0o0/edit?usp=sharing"",""งบพรบ!AQ27"")"),116140)</f>
        <v>116140</v>
      </c>
      <c r="M93" s="93">
        <f ca="1">IFERROR(__xludf.DUMMYFUNCTION("IMPORTRANGE(""https://docs.google.com/spreadsheets/d/1MeEWN-I1oV_STSDYn1IFDPWt_1FKiwhDph83XaGc0o0/edit?usp=sharing"",""งบพรบ!AV27"")"),49590)</f>
        <v>49590</v>
      </c>
      <c r="N93" s="93">
        <f ca="1">IFERROR(__xludf.DUMMYFUNCTION("IMPORTRANGE(""https://docs.google.com/spreadsheets/d/1MeEWN-I1oV_STSDYn1IFDPWt_1FKiwhDph83XaGc0o0/edit?usp=sharing"",""งบพรบ!AX27"")"),0)</f>
        <v>0</v>
      </c>
      <c r="O93" s="93">
        <f t="shared" ca="1" si="50"/>
        <v>0</v>
      </c>
      <c r="P93" s="93">
        <f t="shared" ca="1" si="51"/>
        <v>0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1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65">
        <f t="shared" ref="L94:N94" ca="1" si="54">L95+L96</f>
        <v>0</v>
      </c>
      <c r="M94" s="465">
        <f t="shared" ca="1" si="54"/>
        <v>0</v>
      </c>
      <c r="N94" s="465">
        <f t="shared" ca="1" si="54"/>
        <v>0</v>
      </c>
      <c r="O94" s="465">
        <f t="shared" ca="1" si="50"/>
        <v>0</v>
      </c>
      <c r="P94" s="465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2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2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IFERROR(__xludf.DUMMYFUNCTION("IMPORTRANGE(""https://docs.google.com/spreadsheets/d/1MeEWN-I1oV_STSDYn1IFDPWt_1FKiwhDph83XaGc0o0/edit?usp=sharing"",""งบพรบ!AT27"")"),0)</f>
        <v>0</v>
      </c>
      <c r="M96" s="93">
        <f ca="1">IFERROR(__xludf.DUMMYFUNCTION("IMPORTRANGE(""https://docs.google.com/spreadsheets/d/1MeEWN-I1oV_STSDYn1IFDPWt_1FKiwhDph83XaGc0o0/edit?usp=sharing"",""งบพรบ!AW27"")"),0)</f>
        <v>0</v>
      </c>
      <c r="N96" s="93">
        <f ca="1">IFERROR(__xludf.DUMMYFUNCTION("IMPORTRANGE(""https://docs.google.com/spreadsheets/d/1MeEWN-I1oV_STSDYn1IFDPWt_1FKiwhDph83XaGc0o0/edit?usp=sharing"",""งบพรบ!AY27"")"),0)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18" t="s">
        <v>38</v>
      </c>
      <c r="E97" s="173"/>
      <c r="F97" s="173"/>
      <c r="G97" s="174"/>
      <c r="H97" s="726"/>
      <c r="I97" s="184"/>
      <c r="J97" s="269"/>
      <c r="K97" s="465"/>
      <c r="L97" s="465"/>
      <c r="M97" s="465"/>
      <c r="N97" s="465"/>
      <c r="O97" s="163"/>
      <c r="P97" s="163"/>
    </row>
    <row r="98" spans="1:16" ht="18.75">
      <c r="A98" s="170"/>
      <c r="B98" s="171"/>
      <c r="C98" s="171"/>
      <c r="D98" s="415" t="s">
        <v>47</v>
      </c>
      <c r="E98" s="415"/>
      <c r="F98" s="342"/>
      <c r="G98" s="179"/>
      <c r="H98" s="589" t="s">
        <v>46</v>
      </c>
      <c r="I98" s="269">
        <f ca="1">IFERROR(__xludf.DUMMYFUNCTION("IMPORTRANGE(""https://docs.google.com/spreadsheets/d/1QqKyyYR6Q21VydFLVH3TRQUabQu_ym0Zz7PgGX0-kHA/edit?usp=sharing"",""แผน!K27"")"),30)</f>
        <v>30</v>
      </c>
      <c r="J98" s="269">
        <f>J102</f>
        <v>0</v>
      </c>
      <c r="K98" s="465">
        <f t="shared" ref="K98:K100" ca="1" si="55">IF(I98&gt;0,J98*100/I98,0)</f>
        <v>0</v>
      </c>
      <c r="L98" s="465"/>
      <c r="M98" s="465"/>
      <c r="N98" s="465"/>
      <c r="O98" s="163"/>
      <c r="P98" s="163"/>
    </row>
    <row r="99" spans="1:16" ht="18.75">
      <c r="A99" s="170"/>
      <c r="B99" s="171"/>
      <c r="C99" s="171"/>
      <c r="D99" s="415" t="s">
        <v>48</v>
      </c>
      <c r="E99" s="415"/>
      <c r="F99" s="342"/>
      <c r="G99" s="179"/>
      <c r="H99" s="589" t="s">
        <v>35</v>
      </c>
      <c r="I99" s="269">
        <f ca="1">IFERROR(__xludf.DUMMYFUNCTION("IMPORTRANGE(""https://docs.google.com/spreadsheets/d/1QqKyyYR6Q21VydFLVH3TRQUabQu_ym0Zz7PgGX0-kHA/edit?usp=sharing"",""แผน!L27"")"),10)</f>
        <v>10</v>
      </c>
      <c r="J99" s="269">
        <f>J104</f>
        <v>0</v>
      </c>
      <c r="K99" s="465">
        <f t="shared" ca="1" si="55"/>
        <v>0</v>
      </c>
      <c r="L99" s="465"/>
      <c r="M99" s="465"/>
      <c r="N99" s="465"/>
      <c r="O99" s="163"/>
      <c r="P99" s="163"/>
    </row>
    <row r="100" spans="1:16" ht="18.75">
      <c r="A100" s="170"/>
      <c r="B100" s="171"/>
      <c r="C100" s="171"/>
      <c r="D100" s="171"/>
      <c r="E100" s="342"/>
      <c r="F100" s="342"/>
      <c r="G100" s="179"/>
      <c r="H100" s="589" t="s">
        <v>49</v>
      </c>
      <c r="I100" s="269">
        <f ca="1">IFERROR(__xludf.DUMMYFUNCTION("IMPORTRANGE(""https://docs.google.com/spreadsheets/d/1QqKyyYR6Q21VydFLVH3TRQUabQu_ym0Zz7PgGX0-kHA/edit?usp=sharing"",""แผน!M27"")"),3)</f>
        <v>3</v>
      </c>
      <c r="J100" s="269">
        <f>J107+J110</f>
        <v>0</v>
      </c>
      <c r="K100" s="465">
        <f t="shared" ca="1" si="55"/>
        <v>0</v>
      </c>
      <c r="L100" s="465"/>
      <c r="M100" s="465"/>
      <c r="N100" s="465"/>
      <c r="O100" s="163"/>
      <c r="P100" s="163"/>
    </row>
    <row r="101" spans="1:16" ht="19.5">
      <c r="A101" s="170"/>
      <c r="B101" s="171"/>
      <c r="C101" s="171"/>
      <c r="D101" s="342"/>
      <c r="E101" s="191" t="s">
        <v>50</v>
      </c>
      <c r="F101" s="342"/>
      <c r="G101" s="179"/>
      <c r="H101" s="589"/>
      <c r="I101" s="269"/>
      <c r="J101" s="269"/>
      <c r="K101" s="465"/>
      <c r="L101" s="465"/>
      <c r="M101" s="465"/>
      <c r="N101" s="465"/>
      <c r="O101" s="163"/>
      <c r="P101" s="163"/>
    </row>
    <row r="102" spans="1:16" ht="18.75">
      <c r="A102" s="170"/>
      <c r="B102" s="171"/>
      <c r="C102" s="171"/>
      <c r="D102" s="342"/>
      <c r="E102" s="592" t="s">
        <v>47</v>
      </c>
      <c r="F102" s="342"/>
      <c r="G102" s="179"/>
      <c r="H102" s="589" t="s">
        <v>46</v>
      </c>
      <c r="I102" s="269">
        <f ca="1">IFERROR(__xludf.DUMMYFUNCTION("IMPORTRANGE(""https://docs.google.com/spreadsheets/d/1QqKyyYR6Q21VydFLVH3TRQUabQu_ym0Zz7PgGX0-kHA/edit?usp=sharing"",""แผน!N27"")"),30)</f>
        <v>30</v>
      </c>
      <c r="J102" s="214">
        <v>0</v>
      </c>
      <c r="K102" s="465">
        <f t="shared" ref="K102:K104" ca="1" si="56">IF(I102&gt;0,J102*100/I102,0)</f>
        <v>0</v>
      </c>
      <c r="L102" s="465"/>
      <c r="M102" s="465"/>
      <c r="N102" s="465"/>
      <c r="O102" s="163"/>
      <c r="P102" s="163"/>
    </row>
    <row r="103" spans="1:16" ht="19.5">
      <c r="A103" s="170"/>
      <c r="B103" s="171"/>
      <c r="C103" s="171"/>
      <c r="D103" s="342"/>
      <c r="E103" s="415" t="s">
        <v>51</v>
      </c>
      <c r="F103" s="342"/>
      <c r="G103" s="179"/>
      <c r="H103" s="589" t="s">
        <v>35</v>
      </c>
      <c r="I103" s="269">
        <f ca="1">IFERROR(__xludf.DUMMYFUNCTION("IMPORTRANGE(""https://docs.google.com/spreadsheets/d/1QqKyyYR6Q21VydFLVH3TRQUabQu_ym0Zz7PgGX0-kHA/edit?usp=sharing"",""แผน!O27"")"),10)</f>
        <v>10</v>
      </c>
      <c r="J103" s="214">
        <v>0</v>
      </c>
      <c r="K103" s="465">
        <f t="shared" ca="1" si="56"/>
        <v>0</v>
      </c>
      <c r="L103" s="465"/>
      <c r="M103" s="465"/>
      <c r="N103" s="465"/>
      <c r="O103" s="163"/>
      <c r="P103" s="163"/>
    </row>
    <row r="104" spans="1:16" ht="18.75">
      <c r="A104" s="170"/>
      <c r="B104" s="171"/>
      <c r="C104" s="171"/>
      <c r="D104" s="342"/>
      <c r="E104" s="188" t="s">
        <v>52</v>
      </c>
      <c r="F104" s="342"/>
      <c r="G104" s="179"/>
      <c r="H104" s="589" t="s">
        <v>35</v>
      </c>
      <c r="I104" s="269">
        <f ca="1">IFERROR(__xludf.DUMMYFUNCTION("IMPORTRANGE(""https://docs.google.com/spreadsheets/d/1QqKyyYR6Q21VydFLVH3TRQUabQu_ym0Zz7PgGX0-kHA/edit?usp=sharing"",""แผน!O27"")"),10)</f>
        <v>10</v>
      </c>
      <c r="J104" s="214">
        <v>0</v>
      </c>
      <c r="K104" s="465">
        <f t="shared" ca="1" si="56"/>
        <v>0</v>
      </c>
      <c r="L104" s="465"/>
      <c r="M104" s="465"/>
      <c r="N104" s="465"/>
      <c r="O104" s="163"/>
      <c r="P104" s="163"/>
    </row>
    <row r="105" spans="1:16" ht="19.5">
      <c r="A105" s="170"/>
      <c r="B105" s="171"/>
      <c r="C105" s="171"/>
      <c r="D105" s="342"/>
      <c r="E105" s="191" t="s">
        <v>53</v>
      </c>
      <c r="F105" s="342"/>
      <c r="G105" s="179"/>
      <c r="H105" s="189"/>
      <c r="I105" s="269"/>
      <c r="J105" s="269"/>
      <c r="K105" s="465"/>
      <c r="L105" s="465"/>
      <c r="M105" s="465"/>
      <c r="N105" s="465"/>
      <c r="O105" s="163"/>
      <c r="P105" s="163"/>
    </row>
    <row r="106" spans="1:16" ht="19.5">
      <c r="A106" s="170"/>
      <c r="B106" s="171"/>
      <c r="C106" s="171"/>
      <c r="D106" s="342"/>
      <c r="E106" s="415" t="s">
        <v>54</v>
      </c>
      <c r="F106" s="342"/>
      <c r="G106" s="179"/>
      <c r="H106" s="589" t="s">
        <v>49</v>
      </c>
      <c r="I106" s="269">
        <f ca="1">IFERROR(__xludf.DUMMYFUNCTION("IMPORTRANGE(""https://docs.google.com/spreadsheets/d/1QqKyyYR6Q21VydFLVH3TRQUabQu_ym0Zz7PgGX0-kHA/edit?usp=sharing"",""แผน!P27"")"),1)</f>
        <v>1</v>
      </c>
      <c r="J106" s="214">
        <v>0</v>
      </c>
      <c r="K106" s="465">
        <f t="shared" ref="K106:K107" ca="1" si="57">IF(I106&gt;0,J106*100/I106,0)</f>
        <v>0</v>
      </c>
      <c r="L106" s="465"/>
      <c r="M106" s="465"/>
      <c r="N106" s="465"/>
      <c r="O106" s="163"/>
      <c r="P106" s="163"/>
    </row>
    <row r="107" spans="1:16" ht="18.75">
      <c r="A107" s="170"/>
      <c r="B107" s="171"/>
      <c r="C107" s="171"/>
      <c r="D107" s="342"/>
      <c r="E107" s="188" t="s">
        <v>55</v>
      </c>
      <c r="F107" s="342"/>
      <c r="G107" s="179"/>
      <c r="H107" s="589" t="s">
        <v>49</v>
      </c>
      <c r="I107" s="269">
        <f ca="1">IFERROR(__xludf.DUMMYFUNCTION("IMPORTRANGE(""https://docs.google.com/spreadsheets/d/1QqKyyYR6Q21VydFLVH3TRQUabQu_ym0Zz7PgGX0-kHA/edit?usp=sharing"",""แผน!P27"")"),1)</f>
        <v>1</v>
      </c>
      <c r="J107" s="214">
        <v>0</v>
      </c>
      <c r="K107" s="465">
        <f t="shared" ca="1" si="57"/>
        <v>0</v>
      </c>
      <c r="L107" s="465"/>
      <c r="M107" s="465"/>
      <c r="N107" s="465"/>
      <c r="O107" s="163"/>
      <c r="P107" s="163"/>
    </row>
    <row r="108" spans="1:16" ht="19.5">
      <c r="A108" s="170"/>
      <c r="B108" s="171"/>
      <c r="C108" s="171"/>
      <c r="D108" s="342"/>
      <c r="E108" s="191" t="s">
        <v>56</v>
      </c>
      <c r="F108" s="342"/>
      <c r="G108" s="179"/>
      <c r="H108" s="189"/>
      <c r="I108" s="269"/>
      <c r="J108" s="269"/>
      <c r="K108" s="465"/>
      <c r="L108" s="465"/>
      <c r="M108" s="465"/>
      <c r="N108" s="465"/>
      <c r="O108" s="163"/>
      <c r="P108" s="163"/>
    </row>
    <row r="109" spans="1:16" ht="19.5">
      <c r="A109" s="170"/>
      <c r="B109" s="171"/>
      <c r="C109" s="171"/>
      <c r="D109" s="342"/>
      <c r="E109" s="415" t="s">
        <v>57</v>
      </c>
      <c r="F109" s="342"/>
      <c r="G109" s="179"/>
      <c r="H109" s="589" t="s">
        <v>49</v>
      </c>
      <c r="I109" s="269">
        <f ca="1">IFERROR(__xludf.DUMMYFUNCTION("IMPORTRANGE(""https://docs.google.com/spreadsheets/d/1QqKyyYR6Q21VydFLVH3TRQUabQu_ym0Zz7PgGX0-kHA/edit?usp=sharing"",""แผน!Q27"")"),2)</f>
        <v>2</v>
      </c>
      <c r="J109" s="214">
        <v>0</v>
      </c>
      <c r="K109" s="465">
        <f t="shared" ref="K109:K116" ca="1" si="58">IF(I109&gt;0,J109*100/I109,0)</f>
        <v>0</v>
      </c>
      <c r="L109" s="465"/>
      <c r="M109" s="465"/>
      <c r="N109" s="465"/>
      <c r="O109" s="163"/>
      <c r="P109" s="163"/>
    </row>
    <row r="110" spans="1:16" ht="18.75">
      <c r="A110" s="170"/>
      <c r="B110" s="171"/>
      <c r="C110" s="171"/>
      <c r="D110" s="342"/>
      <c r="E110" s="190" t="s">
        <v>58</v>
      </c>
      <c r="F110" s="342"/>
      <c r="G110" s="179"/>
      <c r="H110" s="589" t="s">
        <v>49</v>
      </c>
      <c r="I110" s="269">
        <f ca="1">IFERROR(__xludf.DUMMYFUNCTION("IMPORTRANGE(""https://docs.google.com/spreadsheets/d/1QqKyyYR6Q21VydFLVH3TRQUabQu_ym0Zz7PgGX0-kHA/edit?usp=sharing"",""แผน!Q27"")"),2)</f>
        <v>2</v>
      </c>
      <c r="J110" s="214">
        <v>0</v>
      </c>
      <c r="K110" s="465">
        <f t="shared" ca="1" si="58"/>
        <v>0</v>
      </c>
      <c r="L110" s="465"/>
      <c r="M110" s="465"/>
      <c r="N110" s="465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342"/>
      <c r="G111" s="179"/>
      <c r="H111" s="731" t="s">
        <v>35</v>
      </c>
      <c r="I111" s="193">
        <f ca="1">IFERROR(__xludf.DUMMYFUNCTION("IMPORTRANGE(""https://docs.google.com/spreadsheets/d/1QqKyyYR6Q21VydFLVH3TRQUabQu_ym0Zz7PgGX0-kHA/edit?usp=sharing"",""แผน!R27"")"),10)</f>
        <v>10</v>
      </c>
      <c r="J111" s="647">
        <f>J114</f>
        <v>0</v>
      </c>
      <c r="K111" s="195">
        <f t="shared" ca="1" si="58"/>
        <v>0</v>
      </c>
      <c r="L111" s="465"/>
      <c r="M111" s="465"/>
      <c r="N111" s="465"/>
      <c r="O111" s="163"/>
      <c r="P111" s="163"/>
    </row>
    <row r="112" spans="1:16" ht="19.5">
      <c r="A112" s="170"/>
      <c r="B112" s="171"/>
      <c r="C112" s="171"/>
      <c r="D112" s="171"/>
      <c r="E112" s="342"/>
      <c r="F112" s="342"/>
      <c r="G112" s="179"/>
      <c r="H112" s="196" t="s">
        <v>49</v>
      </c>
      <c r="I112" s="193">
        <f t="shared" ref="I112:J112" ca="1" si="59">I115+I116</f>
        <v>3</v>
      </c>
      <c r="J112" s="647">
        <f t="shared" si="59"/>
        <v>0</v>
      </c>
      <c r="K112" s="195">
        <f t="shared" ca="1" si="58"/>
        <v>0</v>
      </c>
      <c r="L112" s="465"/>
      <c r="M112" s="465"/>
      <c r="N112" s="465"/>
      <c r="O112" s="163"/>
      <c r="P112" s="163"/>
    </row>
    <row r="113" spans="1:26" ht="19.5">
      <c r="A113" s="170"/>
      <c r="B113" s="171"/>
      <c r="C113" s="171"/>
      <c r="D113" s="171"/>
      <c r="E113" s="494" t="s">
        <v>60</v>
      </c>
      <c r="F113" s="342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IFERROR(__xludf.DUMMYFUNCTION("IMPORTRANGE(""https://docs.google.com/spreadsheets/d/1QqKyyYR6Q21VydFLVH3TRQUabQu_ym0Zz7PgGX0-kHA/edit?usp=sharing"",""แผน!R27"")"),10)</f>
        <v>10</v>
      </c>
      <c r="J113" s="214">
        <v>0</v>
      </c>
      <c r="K113" s="465">
        <f t="shared" ca="1" si="58"/>
        <v>0</v>
      </c>
      <c r="L113" s="465"/>
      <c r="M113" s="465"/>
      <c r="N113" s="465"/>
      <c r="O113" s="163"/>
      <c r="P113" s="163"/>
    </row>
    <row r="114" spans="1:26" ht="19.5">
      <c r="A114" s="170"/>
      <c r="B114" s="171"/>
      <c r="C114" s="171"/>
      <c r="D114" s="171"/>
      <c r="E114" s="415" t="s">
        <v>61</v>
      </c>
      <c r="F114" s="342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IFERROR(__xludf.DUMMYFUNCTION("IMPORTRANGE(""https://docs.google.com/spreadsheets/d/1QqKyyYR6Q21VydFLVH3TRQUabQu_ym0Zz7PgGX0-kHA/edit?usp=sharing"",""แผน!R27"")"),10)</f>
        <v>10</v>
      </c>
      <c r="J114" s="214">
        <v>0</v>
      </c>
      <c r="K114" s="465">
        <f t="shared" ca="1" si="58"/>
        <v>0</v>
      </c>
      <c r="L114" s="465"/>
      <c r="M114" s="465"/>
      <c r="N114" s="465"/>
      <c r="O114" s="163"/>
      <c r="P114" s="163"/>
    </row>
    <row r="115" spans="1:26" ht="18.75">
      <c r="A115" s="170"/>
      <c r="B115" s="171"/>
      <c r="C115" s="171"/>
      <c r="D115" s="171"/>
      <c r="E115" s="415" t="s">
        <v>62</v>
      </c>
      <c r="F115" s="342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IFERROR(__xludf.DUMMYFUNCTION("IMPORTRANGE(""https://docs.google.com/spreadsheets/d/1QqKyyYR6Q21VydFLVH3TRQUabQu_ym0Zz7PgGX0-kHA/edit?usp=sharing"",""แผน!S27"")"),1)</f>
        <v>1</v>
      </c>
      <c r="J115" s="214">
        <v>0</v>
      </c>
      <c r="K115" s="465">
        <f t="shared" ca="1" si="58"/>
        <v>0</v>
      </c>
      <c r="L115" s="465"/>
      <c r="M115" s="465"/>
      <c r="N115" s="465"/>
      <c r="O115" s="163"/>
      <c r="P115" s="163"/>
    </row>
    <row r="116" spans="1:26" ht="18.75">
      <c r="A116" s="170"/>
      <c r="B116" s="171"/>
      <c r="C116" s="171"/>
      <c r="D116" s="171"/>
      <c r="E116" s="415" t="s">
        <v>63</v>
      </c>
      <c r="F116" s="342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IFERROR(__xludf.DUMMYFUNCTION("IMPORTRANGE(""https://docs.google.com/spreadsheets/d/1QqKyyYR6Q21VydFLVH3TRQUabQu_ym0Zz7PgGX0-kHA/edit?usp=sharing"",""แผน!T27"")"),2)</f>
        <v>2</v>
      </c>
      <c r="J116" s="214">
        <v>0</v>
      </c>
      <c r="K116" s="465">
        <f t="shared" ca="1" si="58"/>
        <v>0</v>
      </c>
      <c r="L116" s="465"/>
      <c r="M116" s="465"/>
      <c r="N116" s="465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8" t="s">
        <v>65</v>
      </c>
      <c r="C118" s="204"/>
      <c r="D118" s="141"/>
      <c r="E118" s="140"/>
      <c r="F118" s="140"/>
      <c r="G118" s="142"/>
      <c r="H118" s="143"/>
      <c r="I118" s="205"/>
      <c r="J118" s="205"/>
      <c r="K118" s="146"/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17" t="s">
        <v>17</v>
      </c>
      <c r="E119" s="148"/>
      <c r="F119" s="148"/>
      <c r="G119" s="151"/>
      <c r="H119" s="152" t="s">
        <v>12</v>
      </c>
      <c r="I119" s="388"/>
      <c r="J119" s="388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2" t="s">
        <v>18</v>
      </c>
      <c r="F120" s="40"/>
      <c r="G120" s="157"/>
      <c r="H120" s="158" t="s">
        <v>12</v>
      </c>
      <c r="I120" s="583"/>
      <c r="J120" s="583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2" t="s">
        <v>19</v>
      </c>
      <c r="F121" s="40"/>
      <c r="G121" s="157"/>
      <c r="H121" s="158" t="s">
        <v>12</v>
      </c>
      <c r="I121" s="583"/>
      <c r="J121" s="583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1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65">
        <f t="shared" ref="L122:N122" ca="1" si="64">L123+L124</f>
        <v>0</v>
      </c>
      <c r="M122" s="465">
        <f t="shared" ca="1" si="64"/>
        <v>0</v>
      </c>
      <c r="N122" s="465">
        <f t="shared" ca="1" si="64"/>
        <v>0</v>
      </c>
      <c r="O122" s="465">
        <f t="shared" ca="1" si="61"/>
        <v>0</v>
      </c>
      <c r="P122" s="465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2"/>
      <c r="D123" s="40"/>
      <c r="E123" s="222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2"/>
      <c r="D124" s="40"/>
      <c r="E124" s="222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IFERROR(__xludf.DUMMYFUNCTION("IMPORTRANGE(""https://docs.google.com/spreadsheets/d/1MeEWN-I1oV_STSDYn1IFDPWt_1FKiwhDph83XaGc0o0/edit?usp=sharing"",""งบพรบ!BA27"")"),0)</f>
        <v>0</v>
      </c>
      <c r="M124" s="93">
        <f ca="1">IFERROR(__xludf.DUMMYFUNCTION("IMPORTRANGE(""https://docs.google.com/spreadsheets/d/1MeEWN-I1oV_STSDYn1IFDPWt_1FKiwhDph83XaGc0o0/edit?usp=sharing"",""งบพรบ!BF27"")"),0)</f>
        <v>0</v>
      </c>
      <c r="N124" s="93">
        <f ca="1">IFERROR(__xludf.DUMMYFUNCTION("IMPORTRANGE(""https://docs.google.com/spreadsheets/d/1MeEWN-I1oV_STSDYn1IFDPWt_1FKiwhDph83XaGc0o0/edit?usp=sharing"",""งบพรบ!BH27"")"),0)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1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65">
        <f t="shared" ref="L125:N125" ca="1" si="65">L126+L127</f>
        <v>0</v>
      </c>
      <c r="M125" s="465">
        <f t="shared" ca="1" si="65"/>
        <v>0</v>
      </c>
      <c r="N125" s="465">
        <f t="shared" ca="1" si="65"/>
        <v>0</v>
      </c>
      <c r="O125" s="465">
        <f t="shared" ca="1" si="61"/>
        <v>0</v>
      </c>
      <c r="P125" s="465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2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2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IFERROR(__xludf.DUMMYFUNCTION("IMPORTRANGE(""https://docs.google.com/spreadsheets/d/1MeEWN-I1oV_STSDYn1IFDPWt_1FKiwhDph83XaGc0o0/edit?usp=sharing"",""งบพรบ!BD27"")"),0)</f>
        <v>0</v>
      </c>
      <c r="M127" s="93">
        <f ca="1">IFERROR(__xludf.DUMMYFUNCTION("IMPORTRANGE(""https://docs.google.com/spreadsheets/d/1MeEWN-I1oV_STSDYn1IFDPWt_1FKiwhDph83XaGc0o0/edit?usp=sharing"",""งบพรบ!BG27"")"),0)</f>
        <v>0</v>
      </c>
      <c r="N127" s="93">
        <f ca="1">IFERROR(__xludf.DUMMYFUNCTION("IMPORTRANGE(""https://docs.google.com/spreadsheets/d/1MeEWN-I1oV_STSDYn1IFDPWt_1FKiwhDph83XaGc0o0/edit?usp=sharing"",""งบพรบ!BI27"")"),0)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66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8" t="s">
        <v>67</v>
      </c>
      <c r="C129" s="204"/>
      <c r="D129" s="141"/>
      <c r="E129" s="140"/>
      <c r="F129" s="140"/>
      <c r="G129" s="140"/>
      <c r="H129" s="207"/>
      <c r="I129" s="205"/>
      <c r="J129" s="205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8"/>
      <c r="C130" s="209" t="s">
        <v>68</v>
      </c>
      <c r="D130" s="141"/>
      <c r="E130" s="140"/>
      <c r="F130" s="140"/>
      <c r="G130" s="142"/>
      <c r="H130" s="143" t="s">
        <v>69</v>
      </c>
      <c r="I130" s="144">
        <f t="shared" ref="I130:J130" ca="1" si="66">I146</f>
        <v>0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8"/>
      <c r="C131" s="209" t="s">
        <v>70</v>
      </c>
      <c r="D131" s="141"/>
      <c r="E131" s="140"/>
      <c r="F131" s="140"/>
      <c r="G131" s="142"/>
      <c r="H131" s="143" t="s">
        <v>35</v>
      </c>
      <c r="I131" s="144">
        <f t="shared" ref="I131:J131" ca="1" si="68">I143</f>
        <v>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817" t="s">
        <v>17</v>
      </c>
      <c r="E132" s="148"/>
      <c r="F132" s="148"/>
      <c r="G132" s="151"/>
      <c r="H132" s="152" t="s">
        <v>12</v>
      </c>
      <c r="I132" s="388"/>
      <c r="J132" s="388"/>
      <c r="K132" s="154"/>
      <c r="L132" s="155">
        <f t="shared" ref="L132:N132" ca="1" si="69">L133+L134</f>
        <v>0</v>
      </c>
      <c r="M132" s="155">
        <f t="shared" ca="1" si="69"/>
        <v>0</v>
      </c>
      <c r="N132" s="155">
        <f t="shared" ca="1" si="69"/>
        <v>0</v>
      </c>
      <c r="O132" s="155">
        <f t="shared" ref="O132:O140" ca="1" si="70">IF(L132&gt;0,N132*100/L132,0)</f>
        <v>0</v>
      </c>
      <c r="P132" s="155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2" t="s">
        <v>18</v>
      </c>
      <c r="F133" s="40"/>
      <c r="G133" s="157"/>
      <c r="H133" s="158" t="s">
        <v>12</v>
      </c>
      <c r="I133" s="583"/>
      <c r="J133" s="583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2" t="s">
        <v>19</v>
      </c>
      <c r="F134" s="40"/>
      <c r="G134" s="157"/>
      <c r="H134" s="158" t="s">
        <v>12</v>
      </c>
      <c r="I134" s="583"/>
      <c r="J134" s="583"/>
      <c r="K134" s="93"/>
      <c r="L134" s="93">
        <f t="shared" ca="1" si="72"/>
        <v>0</v>
      </c>
      <c r="M134" s="93">
        <f t="shared" ca="1" si="72"/>
        <v>0</v>
      </c>
      <c r="N134" s="93">
        <f t="shared" ca="1" si="72"/>
        <v>0</v>
      </c>
      <c r="O134" s="93">
        <f t="shared" ca="1" si="70"/>
        <v>0</v>
      </c>
      <c r="P134" s="93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1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65">
        <f t="shared" ref="L135:N135" ca="1" si="73">L136+L137</f>
        <v>0</v>
      </c>
      <c r="M135" s="465">
        <f t="shared" ca="1" si="73"/>
        <v>0</v>
      </c>
      <c r="N135" s="465">
        <f t="shared" ca="1" si="73"/>
        <v>0</v>
      </c>
      <c r="O135" s="465">
        <f t="shared" ca="1" si="70"/>
        <v>0</v>
      </c>
      <c r="P135" s="465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2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2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IFERROR(__xludf.DUMMYFUNCTION("IMPORTRANGE(""https://docs.google.com/spreadsheets/d/1MeEWN-I1oV_STSDYn1IFDPWt_1FKiwhDph83XaGc0o0/edit?usp=sharing"",""งบพรบ!BK27"")"),0)</f>
        <v>0</v>
      </c>
      <c r="M137" s="93">
        <f ca="1">IFERROR(__xludf.DUMMYFUNCTION("IMPORTRANGE(""https://docs.google.com/spreadsheets/d/1MeEWN-I1oV_STSDYn1IFDPWt_1FKiwhDph83XaGc0o0/edit?usp=sharing"",""งบพรบ!BP27"")"),0)</f>
        <v>0</v>
      </c>
      <c r="N137" s="93">
        <f ca="1">IFERROR(__xludf.DUMMYFUNCTION("IMPORTRANGE(""https://docs.google.com/spreadsheets/d/1MeEWN-I1oV_STSDYn1IFDPWt_1FKiwhDph83XaGc0o0/edit?usp=sharing"",""งบพรบ!BR27"")"),0)</f>
        <v>0</v>
      </c>
      <c r="O137" s="93">
        <f t="shared" ca="1" si="70"/>
        <v>0</v>
      </c>
      <c r="P137" s="93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1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65">
        <f t="shared" ref="L138:N138" ca="1" si="74">L139+L140</f>
        <v>0</v>
      </c>
      <c r="M138" s="465">
        <f t="shared" ca="1" si="74"/>
        <v>0</v>
      </c>
      <c r="N138" s="465">
        <f t="shared" ca="1" si="74"/>
        <v>0</v>
      </c>
      <c r="O138" s="465">
        <f t="shared" ca="1" si="70"/>
        <v>0</v>
      </c>
      <c r="P138" s="465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2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2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IFERROR(__xludf.DUMMYFUNCTION("IMPORTRANGE(""https://docs.google.com/spreadsheets/d/1MeEWN-I1oV_STSDYn1IFDPWt_1FKiwhDph83XaGc0o0/edit?usp=sharing"",""งบพรบ!BN27"")"),0)</f>
        <v>0</v>
      </c>
      <c r="M140" s="93">
        <f ca="1">IFERROR(__xludf.DUMMYFUNCTION("IMPORTRANGE(""https://docs.google.com/spreadsheets/d/1MeEWN-I1oV_STSDYn1IFDPWt_1FKiwhDph83XaGc0o0/edit?usp=sharing"",""งบพรบ!BQ27"")"),0)</f>
        <v>0</v>
      </c>
      <c r="N140" s="93">
        <f ca="1">IFERROR(__xludf.DUMMYFUNCTION("IMPORTRANGE(""https://docs.google.com/spreadsheets/d/1MeEWN-I1oV_STSDYn1IFDPWt_1FKiwhDph83XaGc0o0/edit?usp=sharing"",""งบพรบ!BS27"")"),0)</f>
        <v>0</v>
      </c>
      <c r="O140" s="93">
        <f t="shared" ca="1" si="70"/>
        <v>0</v>
      </c>
      <c r="P140" s="93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818" t="s">
        <v>38</v>
      </c>
      <c r="E141" s="173"/>
      <c r="F141" s="173"/>
      <c r="G141" s="174"/>
      <c r="H141" s="168"/>
      <c r="I141" s="269"/>
      <c r="J141" s="269"/>
      <c r="K141" s="465"/>
      <c r="L141" s="465"/>
      <c r="M141" s="465"/>
      <c r="N141" s="465"/>
      <c r="O141" s="465"/>
      <c r="P141" s="465"/>
    </row>
    <row r="142" spans="1:26" ht="19.5" hidden="1">
      <c r="A142" s="159"/>
      <c r="B142" s="33"/>
      <c r="C142" s="210"/>
      <c r="D142" s="281" t="s">
        <v>71</v>
      </c>
      <c r="E142" s="34"/>
      <c r="F142" s="33"/>
      <c r="G142" s="213"/>
      <c r="H142" s="168"/>
      <c r="I142" s="269"/>
      <c r="J142" s="214">
        <v>0</v>
      </c>
      <c r="K142" s="465"/>
      <c r="L142" s="465"/>
      <c r="M142" s="465"/>
      <c r="N142" s="465"/>
      <c r="O142" s="465"/>
      <c r="P142" s="465"/>
    </row>
    <row r="143" spans="1:26" ht="19.5" hidden="1">
      <c r="A143" s="159"/>
      <c r="B143" s="33"/>
      <c r="C143" s="210"/>
      <c r="D143" s="281" t="s">
        <v>72</v>
      </c>
      <c r="E143" s="34"/>
      <c r="F143" s="33"/>
      <c r="G143" s="213"/>
      <c r="H143" s="168" t="s">
        <v>35</v>
      </c>
      <c r="I143" s="269">
        <f ca="1">I145</f>
        <v>0</v>
      </c>
      <c r="J143" s="269">
        <f ca="1">IF(AND(J144&gt;=I144,J145&gt;=I145),J145,0)</f>
        <v>0</v>
      </c>
      <c r="K143" s="465">
        <f t="shared" ref="K143:K146" ca="1" si="75">IF(I143&gt;0,J143*100/I143,0)</f>
        <v>0</v>
      </c>
      <c r="L143" s="465"/>
      <c r="M143" s="465"/>
      <c r="N143" s="465"/>
      <c r="O143" s="465"/>
      <c r="P143" s="465"/>
    </row>
    <row r="144" spans="1:26" ht="19.5" hidden="1">
      <c r="A144" s="159"/>
      <c r="B144" s="33"/>
      <c r="C144" s="210"/>
      <c r="D144" s="342"/>
      <c r="E144" s="281" t="s">
        <v>73</v>
      </c>
      <c r="F144" s="33"/>
      <c r="G144" s="213"/>
      <c r="H144" s="168" t="s">
        <v>35</v>
      </c>
      <c r="I144" s="269">
        <f ca="1">IFERROR(__xludf.DUMMYFUNCTION("IMPORTRANGE(""https://docs.google.com/spreadsheets/d/1QqKyyYR6Q21VydFLVH3TRQUabQu_ym0Zz7PgGX0-kHA/edit?usp=sharing"",""แผน!U27"")"),0)</f>
        <v>0</v>
      </c>
      <c r="J144" s="214">
        <v>0</v>
      </c>
      <c r="K144" s="465">
        <f t="shared" ca="1" si="75"/>
        <v>0</v>
      </c>
      <c r="L144" s="465"/>
      <c r="M144" s="465"/>
      <c r="N144" s="465"/>
      <c r="O144" s="465"/>
      <c r="P144" s="465"/>
    </row>
    <row r="145" spans="1:26" ht="19.5" hidden="1">
      <c r="A145" s="159"/>
      <c r="B145" s="33"/>
      <c r="C145" s="210"/>
      <c r="D145" s="342"/>
      <c r="E145" s="281" t="s">
        <v>74</v>
      </c>
      <c r="F145" s="33"/>
      <c r="G145" s="213"/>
      <c r="H145" s="168" t="s">
        <v>35</v>
      </c>
      <c r="I145" s="269">
        <f ca="1">IFERROR(__xludf.DUMMYFUNCTION("IMPORTRANGE(""https://docs.google.com/spreadsheets/d/1QqKyyYR6Q21VydFLVH3TRQUabQu_ym0Zz7PgGX0-kHA/edit?usp=sharing"",""แผน!V27"")"),0)</f>
        <v>0</v>
      </c>
      <c r="J145" s="214">
        <v>0</v>
      </c>
      <c r="K145" s="465">
        <f t="shared" ca="1" si="75"/>
        <v>0</v>
      </c>
      <c r="L145" s="465"/>
      <c r="M145" s="465"/>
      <c r="N145" s="465"/>
      <c r="O145" s="465"/>
      <c r="P145" s="465"/>
    </row>
    <row r="146" spans="1:26" ht="19.5" hidden="1">
      <c r="A146" s="159"/>
      <c r="B146" s="33"/>
      <c r="C146" s="210"/>
      <c r="D146" s="281" t="s">
        <v>75</v>
      </c>
      <c r="E146" s="34"/>
      <c r="F146" s="33"/>
      <c r="G146" s="213"/>
      <c r="H146" s="168" t="s">
        <v>69</v>
      </c>
      <c r="I146" s="269">
        <f ca="1">IFERROR(__xludf.DUMMYFUNCTION("IMPORTRANGE(""https://docs.google.com/spreadsheets/d/1QqKyyYR6Q21VydFLVH3TRQUabQu_ym0Zz7PgGX0-kHA/edit?usp=sharing"",""แผน!W27"")"),0)</f>
        <v>0</v>
      </c>
      <c r="J146" s="214">
        <v>0</v>
      </c>
      <c r="K146" s="465">
        <f t="shared" ca="1" si="75"/>
        <v>0</v>
      </c>
      <c r="L146" s="465"/>
      <c r="M146" s="465"/>
      <c r="N146" s="465"/>
      <c r="O146" s="465"/>
      <c r="P146" s="465"/>
    </row>
    <row r="147" spans="1:26" ht="19.5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>
      <c r="A148" s="216"/>
      <c r="B148" s="208" t="s">
        <v>77</v>
      </c>
      <c r="C148" s="208"/>
      <c r="D148" s="208"/>
      <c r="E148" s="819"/>
      <c r="F148" s="218"/>
      <c r="G148" s="219"/>
      <c r="H148" s="220" t="s">
        <v>35</v>
      </c>
      <c r="I148" s="144">
        <f t="shared" ref="I148:J148" ca="1" si="76">I159</f>
        <v>20</v>
      </c>
      <c r="J148" s="144">
        <f t="shared" si="76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1"/>
      <c r="R148" s="221"/>
      <c r="S148" s="221"/>
      <c r="T148" s="221"/>
      <c r="U148" s="221"/>
      <c r="V148" s="221"/>
      <c r="W148" s="221"/>
      <c r="X148" s="221"/>
      <c r="Y148" s="221"/>
      <c r="Z148" s="221"/>
    </row>
    <row r="149" spans="1:26" ht="19.5">
      <c r="A149" s="147"/>
      <c r="B149" s="148"/>
      <c r="C149" s="149" t="s">
        <v>16</v>
      </c>
      <c r="D149" s="817" t="s">
        <v>17</v>
      </c>
      <c r="E149" s="148"/>
      <c r="F149" s="148"/>
      <c r="G149" s="151"/>
      <c r="H149" s="152" t="s">
        <v>12</v>
      </c>
      <c r="I149" s="388"/>
      <c r="J149" s="388"/>
      <c r="K149" s="154"/>
      <c r="L149" s="155">
        <f t="shared" ref="L149:N149" ca="1" si="77">L150+L151</f>
        <v>10000</v>
      </c>
      <c r="M149" s="155">
        <f t="shared" ca="1" si="77"/>
        <v>10000</v>
      </c>
      <c r="N149" s="155">
        <f t="shared" ca="1" si="77"/>
        <v>0</v>
      </c>
      <c r="O149" s="155">
        <f t="shared" ref="O149:O157" ca="1" si="78">IF(L149&gt;0,N149*100/L149,0)</f>
        <v>0</v>
      </c>
      <c r="P149" s="155">
        <f t="shared" ref="P149:P157" ca="1" si="79">IF(M149&gt;0,N149*100/M149,0)</f>
        <v>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2" t="s">
        <v>18</v>
      </c>
      <c r="F150" s="40"/>
      <c r="G150" s="157"/>
      <c r="H150" s="158" t="s">
        <v>12</v>
      </c>
      <c r="I150" s="583"/>
      <c r="J150" s="583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2" t="s">
        <v>19</v>
      </c>
      <c r="F151" s="40"/>
      <c r="G151" s="157"/>
      <c r="H151" s="158" t="s">
        <v>12</v>
      </c>
      <c r="I151" s="583"/>
      <c r="J151" s="583"/>
      <c r="K151" s="93"/>
      <c r="L151" s="93">
        <f t="shared" ca="1" si="80"/>
        <v>10000</v>
      </c>
      <c r="M151" s="93">
        <f t="shared" ca="1" si="80"/>
        <v>10000</v>
      </c>
      <c r="N151" s="93">
        <f t="shared" ca="1" si="80"/>
        <v>0</v>
      </c>
      <c r="O151" s="93">
        <f t="shared" ca="1" si="78"/>
        <v>0</v>
      </c>
      <c r="P151" s="93">
        <f t="shared" ca="1" si="79"/>
        <v>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>
      <c r="A152" s="159"/>
      <c r="B152" s="33"/>
      <c r="C152" s="281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65">
        <f t="shared" ref="L152:N152" ca="1" si="81">L153+L154</f>
        <v>10000</v>
      </c>
      <c r="M152" s="465">
        <f t="shared" ca="1" si="81"/>
        <v>10000</v>
      </c>
      <c r="N152" s="465">
        <f t="shared" ca="1" si="81"/>
        <v>0</v>
      </c>
      <c r="O152" s="465">
        <f t="shared" ca="1" si="78"/>
        <v>0</v>
      </c>
      <c r="P152" s="465">
        <f t="shared" ca="1" si="79"/>
        <v>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2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2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IFERROR(__xludf.DUMMYFUNCTION("IMPORTRANGE(""https://docs.google.com/spreadsheets/d/1MeEWN-I1oV_STSDYn1IFDPWt_1FKiwhDph83XaGc0o0/edit?usp=sharing"",""งบพรบ!BU27"")"),10000)</f>
        <v>10000</v>
      </c>
      <c r="M154" s="93">
        <f ca="1">IFERROR(__xludf.DUMMYFUNCTION("IMPORTRANGE(""https://docs.google.com/spreadsheets/d/1MeEWN-I1oV_STSDYn1IFDPWt_1FKiwhDph83XaGc0o0/edit?usp=sharing"",""งบพรบ!BZ27"")"),10000)</f>
        <v>10000</v>
      </c>
      <c r="N154" s="93">
        <f ca="1">IFERROR(__xludf.DUMMYFUNCTION("IMPORTRANGE(""https://docs.google.com/spreadsheets/d/1MeEWN-I1oV_STSDYn1IFDPWt_1FKiwhDph83XaGc0o0/edit?usp=sharing"",""งบพรบ!CB27"")"),0)</f>
        <v>0</v>
      </c>
      <c r="O154" s="93">
        <f t="shared" ca="1" si="78"/>
        <v>0</v>
      </c>
      <c r="P154" s="93">
        <f t="shared" ca="1" si="79"/>
        <v>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>
      <c r="A155" s="159"/>
      <c r="B155" s="33"/>
      <c r="C155" s="281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65">
        <f t="shared" ref="L155:N155" ca="1" si="82">L156+L157</f>
        <v>0</v>
      </c>
      <c r="M155" s="465">
        <f t="shared" ca="1" si="82"/>
        <v>0</v>
      </c>
      <c r="N155" s="465">
        <f t="shared" ca="1" si="82"/>
        <v>0</v>
      </c>
      <c r="O155" s="465">
        <f t="shared" ca="1" si="78"/>
        <v>0</v>
      </c>
      <c r="P155" s="465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2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2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IFERROR(__xludf.DUMMYFUNCTION("IMPORTRANGE(""https://docs.google.com/spreadsheets/d/1MeEWN-I1oV_STSDYn1IFDPWt_1FKiwhDph83XaGc0o0/edit?usp=sharing"",""งบพรบ!BX27"")"),0)</f>
        <v>0</v>
      </c>
      <c r="M157" s="93">
        <f ca="1">IFERROR(__xludf.DUMMYFUNCTION("IMPORTRANGE(""https://docs.google.com/spreadsheets/d/1MeEWN-I1oV_STSDYn1IFDPWt_1FKiwhDph83XaGc0o0/edit?usp=sharing"",""งบพรบ!CA27"")"),0)</f>
        <v>0</v>
      </c>
      <c r="N157" s="93">
        <f ca="1">IFERROR(__xludf.DUMMYFUNCTION("IMPORTRANGE(""https://docs.google.com/spreadsheets/d/1MeEWN-I1oV_STSDYn1IFDPWt_1FKiwhDph83XaGc0o0/edit?usp=sharing"",""งบพรบ!CC27"")"),0)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>
      <c r="A158" s="170"/>
      <c r="B158" s="171"/>
      <c r="C158" s="164" t="s">
        <v>16</v>
      </c>
      <c r="D158" s="818" t="s">
        <v>38</v>
      </c>
      <c r="E158" s="173"/>
      <c r="F158" s="173"/>
      <c r="G158" s="174"/>
      <c r="H158" s="168"/>
      <c r="I158" s="269"/>
      <c r="J158" s="269"/>
      <c r="K158" s="465"/>
      <c r="L158" s="465"/>
      <c r="M158" s="465"/>
      <c r="N158" s="465"/>
      <c r="O158" s="465"/>
      <c r="P158" s="465"/>
    </row>
    <row r="159" spans="1:26" ht="19.5">
      <c r="A159" s="159"/>
      <c r="B159" s="33"/>
      <c r="C159" s="210"/>
      <c r="D159" s="281" t="s">
        <v>78</v>
      </c>
      <c r="E159" s="34"/>
      <c r="F159" s="33"/>
      <c r="G159" s="213"/>
      <c r="H159" s="168" t="s">
        <v>35</v>
      </c>
      <c r="I159" s="269">
        <f ca="1">IFERROR(__xludf.DUMMYFUNCTION("IMPORTRANGE(""https://docs.google.com/spreadsheets/d/1QqKyyYR6Q21VydFLVH3TRQUabQu_ym0Zz7PgGX0-kHA/edit?usp=sharing"",""แผน!X27"")"),20)</f>
        <v>20</v>
      </c>
      <c r="J159" s="214">
        <v>0</v>
      </c>
      <c r="K159" s="465">
        <f ca="1">IF(I159&gt;0,J159*100/I159,0)</f>
        <v>0</v>
      </c>
      <c r="L159" s="465"/>
      <c r="M159" s="465"/>
      <c r="N159" s="465"/>
      <c r="O159" s="465"/>
      <c r="P159" s="465"/>
    </row>
    <row r="160" spans="1:26" ht="19.5" hidden="1">
      <c r="A160" s="156"/>
      <c r="B160" s="40"/>
      <c r="C160" s="164"/>
      <c r="D160" s="222" t="s">
        <v>79</v>
      </c>
      <c r="E160" s="223"/>
      <c r="F160" s="40"/>
      <c r="G160" s="157"/>
      <c r="H160" s="169" t="s">
        <v>35</v>
      </c>
      <c r="I160" s="583"/>
      <c r="J160" s="583"/>
      <c r="K160" s="93"/>
      <c r="L160" s="93"/>
      <c r="M160" s="93"/>
      <c r="N160" s="93"/>
      <c r="O160" s="93"/>
      <c r="P160" s="93"/>
      <c r="Q160" s="224"/>
      <c r="R160" s="224"/>
      <c r="S160" s="224"/>
      <c r="T160" s="224"/>
      <c r="U160" s="224"/>
      <c r="V160" s="224"/>
      <c r="W160" s="224"/>
      <c r="X160" s="224"/>
      <c r="Y160" s="224"/>
      <c r="Z160" s="224"/>
    </row>
    <row r="161" spans="1:26" ht="19.5" hidden="1">
      <c r="A161" s="225"/>
      <c r="B161" s="226"/>
      <c r="C161" s="227"/>
      <c r="D161" s="228" t="s">
        <v>80</v>
      </c>
      <c r="E161" s="820"/>
      <c r="F161" s="226"/>
      <c r="G161" s="230"/>
      <c r="H161" s="231" t="s">
        <v>35</v>
      </c>
      <c r="I161" s="232"/>
      <c r="J161" s="232"/>
      <c r="K161" s="233"/>
      <c r="L161" s="233"/>
      <c r="M161" s="233"/>
      <c r="N161" s="233"/>
      <c r="O161" s="233"/>
      <c r="P161" s="233"/>
      <c r="Q161" s="224"/>
      <c r="R161" s="224"/>
      <c r="S161" s="224"/>
      <c r="T161" s="224"/>
      <c r="U161" s="224"/>
      <c r="V161" s="224"/>
      <c r="W161" s="224"/>
      <c r="X161" s="224"/>
      <c r="Y161" s="224"/>
      <c r="Z161" s="224"/>
    </row>
    <row r="162" spans="1:26" ht="19.5">
      <c r="A162" s="234" t="s">
        <v>81</v>
      </c>
      <c r="B162" s="235"/>
      <c r="C162" s="235"/>
      <c r="D162" s="235"/>
      <c r="E162" s="236"/>
      <c r="F162" s="236"/>
      <c r="G162" s="237"/>
      <c r="H162" s="238"/>
      <c r="I162" s="239"/>
      <c r="J162" s="239"/>
      <c r="K162" s="240"/>
      <c r="L162" s="240"/>
      <c r="M162" s="240"/>
      <c r="N162" s="240"/>
      <c r="O162" s="240"/>
      <c r="P162" s="240"/>
    </row>
    <row r="163" spans="1:26" ht="19.5">
      <c r="A163" s="241" t="s">
        <v>82</v>
      </c>
      <c r="B163" s="242"/>
      <c r="C163" s="242"/>
      <c r="D163" s="243"/>
      <c r="E163" s="243"/>
      <c r="F163" s="243"/>
      <c r="G163" s="244"/>
      <c r="H163" s="245"/>
      <c r="I163" s="246"/>
      <c r="J163" s="246"/>
      <c r="K163" s="247"/>
      <c r="L163" s="247"/>
      <c r="M163" s="247"/>
      <c r="N163" s="247"/>
      <c r="O163" s="247"/>
      <c r="P163" s="247"/>
    </row>
    <row r="164" spans="1:26" ht="19.5">
      <c r="A164" s="248"/>
      <c r="B164" s="249" t="s">
        <v>83</v>
      </c>
      <c r="C164" s="250"/>
      <c r="D164" s="173"/>
      <c r="E164" s="173"/>
      <c r="F164" s="173"/>
      <c r="G164" s="174"/>
      <c r="H164" s="251" t="s">
        <v>35</v>
      </c>
      <c r="I164" s="252">
        <f t="shared" ref="I164:J164" ca="1" si="83">I174+I177</f>
        <v>10</v>
      </c>
      <c r="J164" s="252">
        <f t="shared" si="83"/>
        <v>0</v>
      </c>
      <c r="K164" s="253">
        <f ca="1">IF(I164&gt;0,J164*100/I164,0)</f>
        <v>0</v>
      </c>
      <c r="L164" s="254"/>
      <c r="M164" s="254"/>
      <c r="N164" s="254"/>
      <c r="O164" s="254"/>
      <c r="P164" s="254"/>
    </row>
    <row r="165" spans="1:26" ht="19.5">
      <c r="A165" s="147"/>
      <c r="B165" s="148"/>
      <c r="C165" s="149" t="s">
        <v>16</v>
      </c>
      <c r="D165" s="817" t="s">
        <v>17</v>
      </c>
      <c r="E165" s="148"/>
      <c r="F165" s="148"/>
      <c r="G165" s="151"/>
      <c r="H165" s="152" t="s">
        <v>12</v>
      </c>
      <c r="I165" s="388"/>
      <c r="J165" s="388"/>
      <c r="K165" s="154"/>
      <c r="L165" s="155">
        <f t="shared" ref="L165:N165" ca="1" si="84">L166+L167</f>
        <v>21050</v>
      </c>
      <c r="M165" s="155">
        <f t="shared" ca="1" si="84"/>
        <v>21050</v>
      </c>
      <c r="N165" s="155">
        <f t="shared" ca="1" si="84"/>
        <v>0</v>
      </c>
      <c r="O165" s="155">
        <f t="shared" ref="O165:O173" ca="1" si="85">IF(L165&gt;0,N165*100/L165,0)</f>
        <v>0</v>
      </c>
      <c r="P165" s="155">
        <f t="shared" ref="P165:P173" ca="1" si="86">IF(M165&gt;0,N165*100/M165,0)</f>
        <v>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2" t="s">
        <v>18</v>
      </c>
      <c r="F166" s="40"/>
      <c r="G166" s="157"/>
      <c r="H166" s="158" t="s">
        <v>12</v>
      </c>
      <c r="I166" s="583"/>
      <c r="J166" s="583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2" t="s">
        <v>19</v>
      </c>
      <c r="F167" s="40"/>
      <c r="G167" s="157"/>
      <c r="H167" s="158" t="s">
        <v>12</v>
      </c>
      <c r="I167" s="583"/>
      <c r="J167" s="583"/>
      <c r="K167" s="93"/>
      <c r="L167" s="93">
        <f t="shared" ca="1" si="87"/>
        <v>21050</v>
      </c>
      <c r="M167" s="93">
        <f t="shared" ca="1" si="87"/>
        <v>21050</v>
      </c>
      <c r="N167" s="93">
        <f t="shared" ca="1" si="87"/>
        <v>0</v>
      </c>
      <c r="O167" s="93">
        <f t="shared" ca="1" si="85"/>
        <v>0</v>
      </c>
      <c r="P167" s="93">
        <f t="shared" ca="1" si="86"/>
        <v>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1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65">
        <f t="shared" ref="L168:N168" ca="1" si="88">L169+L170</f>
        <v>21050</v>
      </c>
      <c r="M168" s="465">
        <f t="shared" ca="1" si="88"/>
        <v>21050</v>
      </c>
      <c r="N168" s="465">
        <f t="shared" ca="1" si="88"/>
        <v>0</v>
      </c>
      <c r="O168" s="465">
        <f t="shared" ca="1" si="85"/>
        <v>0</v>
      </c>
      <c r="P168" s="465">
        <f t="shared" ca="1" si="86"/>
        <v>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2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2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IFERROR(__xludf.DUMMYFUNCTION("IMPORTRANGE(""https://docs.google.com/spreadsheets/d/1MeEWN-I1oV_STSDYn1IFDPWt_1FKiwhDph83XaGc0o0/edit?usp=sharing"",""งบพรบ!CE27"")"),21050)</f>
        <v>21050</v>
      </c>
      <c r="M170" s="93">
        <f ca="1">IFERROR(__xludf.DUMMYFUNCTION("IMPORTRANGE(""https://docs.google.com/spreadsheets/d/1MeEWN-I1oV_STSDYn1IFDPWt_1FKiwhDph83XaGc0o0/edit?usp=sharing"",""งบพรบ!CJ27"")"),21050)</f>
        <v>21050</v>
      </c>
      <c r="N170" s="93">
        <f ca="1">IFERROR(__xludf.DUMMYFUNCTION("IMPORTRANGE(""https://docs.google.com/spreadsheets/d/1MeEWN-I1oV_STSDYn1IFDPWt_1FKiwhDph83XaGc0o0/edit?usp=sharing"",""งบพรบ!CL27"")"),0)</f>
        <v>0</v>
      </c>
      <c r="O170" s="93">
        <f t="shared" ca="1" si="85"/>
        <v>0</v>
      </c>
      <c r="P170" s="93">
        <f t="shared" ca="1" si="86"/>
        <v>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1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65">
        <f t="shared" ref="L171:N171" ca="1" si="89">L172+L173</f>
        <v>0</v>
      </c>
      <c r="M171" s="465">
        <f t="shared" ca="1" si="89"/>
        <v>0</v>
      </c>
      <c r="N171" s="465">
        <f t="shared" ca="1" si="89"/>
        <v>0</v>
      </c>
      <c r="O171" s="465">
        <f t="shared" ca="1" si="85"/>
        <v>0</v>
      </c>
      <c r="P171" s="465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2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2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IFERROR(__xludf.DUMMYFUNCTION("IMPORTRANGE(""https://docs.google.com/spreadsheets/d/1MeEWN-I1oV_STSDYn1IFDPWt_1FKiwhDph83XaGc0o0/edit?usp=sharing"",""งบพรบ!CH27"")"),0)</f>
        <v>0</v>
      </c>
      <c r="M173" s="93">
        <f ca="1">IFERROR(__xludf.DUMMYFUNCTION("IMPORTRANGE(""https://docs.google.com/spreadsheets/d/1MeEWN-I1oV_STSDYn1IFDPWt_1FKiwhDph83XaGc0o0/edit?usp=sharing"",""งบพรบ!CK27"")"),0)</f>
        <v>0</v>
      </c>
      <c r="N173" s="93">
        <f ca="1">IFERROR(__xludf.DUMMYFUNCTION("IMPORTRANGE(""https://docs.google.com/spreadsheets/d/1MeEWN-I1oV_STSDYn1IFDPWt_1FKiwhDph83XaGc0o0/edit?usp=sharing"",""งบพรบ!CM27"")"),0)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5"/>
      <c r="B174" s="256"/>
      <c r="C174" s="257" t="s">
        <v>84</v>
      </c>
      <c r="D174" s="256"/>
      <c r="E174" s="256"/>
      <c r="F174" s="256"/>
      <c r="G174" s="258"/>
      <c r="H174" s="259" t="s">
        <v>35</v>
      </c>
      <c r="I174" s="260">
        <f t="shared" ref="I174:J174" ca="1" si="90">I176</f>
        <v>10</v>
      </c>
      <c r="J174" s="260">
        <f t="shared" si="90"/>
        <v>0</v>
      </c>
      <c r="K174" s="261">
        <f ca="1">IF(I174&gt;0,J174*100/I174,0)</f>
        <v>0</v>
      </c>
      <c r="L174" s="261"/>
      <c r="M174" s="261"/>
      <c r="N174" s="261"/>
      <c r="O174" s="261"/>
      <c r="P174" s="261"/>
    </row>
    <row r="175" spans="1:26" ht="19.5">
      <c r="A175" s="170"/>
      <c r="B175" s="171"/>
      <c r="C175" s="164" t="s">
        <v>16</v>
      </c>
      <c r="D175" s="818" t="s">
        <v>38</v>
      </c>
      <c r="E175" s="173"/>
      <c r="F175" s="173"/>
      <c r="G175" s="174"/>
      <c r="H175" s="726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10" t="s">
        <v>85</v>
      </c>
      <c r="E176" s="342"/>
      <c r="F176" s="342"/>
      <c r="G176" s="179"/>
      <c r="H176" s="589" t="s">
        <v>35</v>
      </c>
      <c r="I176" s="269">
        <f ca="1">IFERROR(__xludf.DUMMYFUNCTION("IMPORTRANGE(""https://docs.google.com/spreadsheets/d/1QqKyyYR6Q21VydFLVH3TRQUabQu_ym0Zz7PgGX0-kHA/edit?usp=sharing"",""แผน!Y27"")"),10)</f>
        <v>10</v>
      </c>
      <c r="J176" s="214">
        <v>0</v>
      </c>
      <c r="K176" s="163">
        <f ca="1">IF(I176&gt;0,J176*100/I176,0)</f>
        <v>0</v>
      </c>
      <c r="L176" s="163"/>
      <c r="M176" s="163"/>
      <c r="N176" s="163"/>
      <c r="O176" s="163"/>
      <c r="P176" s="163"/>
    </row>
    <row r="177" spans="1:26" ht="19.5" hidden="1">
      <c r="A177" s="255"/>
      <c r="B177" s="263"/>
      <c r="C177" s="264" t="s">
        <v>86</v>
      </c>
      <c r="D177" s="263"/>
      <c r="E177" s="256"/>
      <c r="F177" s="256"/>
      <c r="G177" s="258"/>
      <c r="H177" s="265" t="s">
        <v>35</v>
      </c>
      <c r="I177" s="260"/>
      <c r="J177" s="260">
        <f>J179</f>
        <v>0</v>
      </c>
      <c r="K177" s="261"/>
      <c r="L177" s="261"/>
      <c r="M177" s="261"/>
      <c r="N177" s="261"/>
      <c r="O177" s="261"/>
      <c r="P177" s="261"/>
    </row>
    <row r="178" spans="1:26" ht="19.5" hidden="1">
      <c r="A178" s="170"/>
      <c r="B178" s="171"/>
      <c r="C178" s="164" t="s">
        <v>16</v>
      </c>
      <c r="D178" s="266" t="s">
        <v>38</v>
      </c>
      <c r="E178" s="173"/>
      <c r="F178" s="173"/>
      <c r="G178" s="174"/>
      <c r="H178" s="726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267" t="s">
        <v>87</v>
      </c>
      <c r="E179" s="342"/>
      <c r="F179" s="268"/>
      <c r="G179" s="179"/>
      <c r="H179" s="43" t="s">
        <v>35</v>
      </c>
      <c r="I179" s="269"/>
      <c r="J179" s="269"/>
      <c r="K179" s="163"/>
      <c r="L179" s="163"/>
      <c r="M179" s="163"/>
      <c r="N179" s="163"/>
      <c r="O179" s="163"/>
      <c r="P179" s="163"/>
    </row>
    <row r="180" spans="1:26" ht="19.5">
      <c r="A180" s="248"/>
      <c r="B180" s="249" t="s">
        <v>88</v>
      </c>
      <c r="C180" s="250"/>
      <c r="D180" s="173"/>
      <c r="E180" s="173"/>
      <c r="F180" s="173"/>
      <c r="G180" s="174"/>
      <c r="H180" s="251" t="s">
        <v>35</v>
      </c>
      <c r="I180" s="821"/>
      <c r="J180" s="821">
        <f>J225+J226</f>
        <v>0</v>
      </c>
      <c r="K180" s="254">
        <f>IF(I180&gt;0,J180*100/I180,0)</f>
        <v>0</v>
      </c>
      <c r="L180" s="254"/>
      <c r="M180" s="254"/>
      <c r="N180" s="254"/>
      <c r="O180" s="254"/>
      <c r="P180" s="254"/>
    </row>
    <row r="181" spans="1:26" ht="19.5">
      <c r="A181" s="147"/>
      <c r="B181" s="148"/>
      <c r="C181" s="149" t="s">
        <v>16</v>
      </c>
      <c r="D181" s="817" t="s">
        <v>17</v>
      </c>
      <c r="E181" s="148"/>
      <c r="F181" s="148"/>
      <c r="G181" s="151"/>
      <c r="H181" s="152" t="s">
        <v>12</v>
      </c>
      <c r="I181" s="388"/>
      <c r="J181" s="388"/>
      <c r="K181" s="154"/>
      <c r="L181" s="155">
        <f t="shared" ref="L181:N181" ca="1" si="91">L182+L183</f>
        <v>665550</v>
      </c>
      <c r="M181" s="155">
        <f t="shared" ca="1" si="91"/>
        <v>312650</v>
      </c>
      <c r="N181" s="155">
        <f t="shared" ca="1" si="91"/>
        <v>71785</v>
      </c>
      <c r="O181" s="155">
        <f t="shared" ref="O181:O189" ca="1" si="92">IF(L181&gt;0,N181*100/L181,0)</f>
        <v>10.785816242205694</v>
      </c>
      <c r="P181" s="155">
        <f t="shared" ref="P181:P189" ca="1" si="93">IF(M181&gt;0,N181*100/M181,0)</f>
        <v>22.960179114025269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2" t="s">
        <v>18</v>
      </c>
      <c r="F182" s="40"/>
      <c r="G182" s="157"/>
      <c r="H182" s="158" t="s">
        <v>12</v>
      </c>
      <c r="I182" s="583"/>
      <c r="J182" s="583"/>
      <c r="K182" s="93"/>
      <c r="L182" s="93">
        <f t="shared" ref="L182:N183" si="94">L185+L188</f>
        <v>0</v>
      </c>
      <c r="M182" s="93">
        <f t="shared" si="94"/>
        <v>0</v>
      </c>
      <c r="N182" s="93">
        <f t="shared" si="94"/>
        <v>0</v>
      </c>
      <c r="O182" s="93">
        <f t="shared" si="92"/>
        <v>0</v>
      </c>
      <c r="P182" s="93">
        <f t="shared" si="93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2" t="s">
        <v>19</v>
      </c>
      <c r="F183" s="40"/>
      <c r="G183" s="157"/>
      <c r="H183" s="158" t="s">
        <v>12</v>
      </c>
      <c r="I183" s="583"/>
      <c r="J183" s="583"/>
      <c r="K183" s="93"/>
      <c r="L183" s="93">
        <f t="shared" ca="1" si="94"/>
        <v>665550</v>
      </c>
      <c r="M183" s="93">
        <f t="shared" ca="1" si="94"/>
        <v>312650</v>
      </c>
      <c r="N183" s="93">
        <f t="shared" ca="1" si="94"/>
        <v>71785</v>
      </c>
      <c r="O183" s="93">
        <f t="shared" ca="1" si="92"/>
        <v>10.785816242205694</v>
      </c>
      <c r="P183" s="93">
        <f t="shared" ca="1" si="93"/>
        <v>22.960179114025269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1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65">
        <f t="shared" ref="L184:N184" ca="1" si="95">L185+L186</f>
        <v>665550</v>
      </c>
      <c r="M184" s="465">
        <f t="shared" ca="1" si="95"/>
        <v>312650</v>
      </c>
      <c r="N184" s="465">
        <f t="shared" ca="1" si="95"/>
        <v>71785</v>
      </c>
      <c r="O184" s="465">
        <f t="shared" ca="1" si="92"/>
        <v>10.785816242205694</v>
      </c>
      <c r="P184" s="465">
        <f t="shared" ca="1" si="93"/>
        <v>22.960179114025269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2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2"/>
        <v>0</v>
      </c>
      <c r="P185" s="93">
        <f t="shared" si="93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2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IFERROR(__xludf.DUMMYFUNCTION("IMPORTRANGE(""https://docs.google.com/spreadsheets/d/1MeEWN-I1oV_STSDYn1IFDPWt_1FKiwhDph83XaGc0o0/edit?usp=sharing"",""งบพรบ!CO27"")"),665550)</f>
        <v>665550</v>
      </c>
      <c r="M186" s="93">
        <f ca="1">IFERROR(__xludf.DUMMYFUNCTION("IMPORTRANGE(""https://docs.google.com/spreadsheets/d/1MeEWN-I1oV_STSDYn1IFDPWt_1FKiwhDph83XaGc0o0/edit?usp=sharing"",""งบพรบ!CT27"")"),312650)</f>
        <v>312650</v>
      </c>
      <c r="N186" s="93">
        <f ca="1">IFERROR(__xludf.DUMMYFUNCTION("IMPORTRANGE(""https://docs.google.com/spreadsheets/d/1MeEWN-I1oV_STSDYn1IFDPWt_1FKiwhDph83XaGc0o0/edit?usp=sharing"",""งบพรบ!CV27"")"),71785)</f>
        <v>71785</v>
      </c>
      <c r="O186" s="93">
        <f t="shared" ca="1" si="92"/>
        <v>10.785816242205694</v>
      </c>
      <c r="P186" s="93">
        <f t="shared" ca="1" si="93"/>
        <v>22.960179114025269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1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65">
        <f t="shared" ref="L187:N187" ca="1" si="96">L188+L189</f>
        <v>0</v>
      </c>
      <c r="M187" s="465">
        <f t="shared" ca="1" si="96"/>
        <v>0</v>
      </c>
      <c r="N187" s="465">
        <f t="shared" ca="1" si="96"/>
        <v>0</v>
      </c>
      <c r="O187" s="465">
        <f t="shared" ca="1" si="92"/>
        <v>0</v>
      </c>
      <c r="P187" s="465">
        <f t="shared" ca="1" si="93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2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2"/>
        <v>0</v>
      </c>
      <c r="P188" s="93">
        <f t="shared" si="93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2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IFERROR(__xludf.DUMMYFUNCTION("IMPORTRANGE(""https://docs.google.com/spreadsheets/d/1MeEWN-I1oV_STSDYn1IFDPWt_1FKiwhDph83XaGc0o0/edit?usp=sharing"",""งบพรบ!CR27"")"),0)</f>
        <v>0</v>
      </c>
      <c r="M189" s="93">
        <f ca="1">IFERROR(__xludf.DUMMYFUNCTION("IMPORTRANGE(""https://docs.google.com/spreadsheets/d/1MeEWN-I1oV_STSDYn1IFDPWt_1FKiwhDph83XaGc0o0/edit?usp=sharing"",""งบพรบ!CU27"")"),0)</f>
        <v>0</v>
      </c>
      <c r="N189" s="93">
        <f ca="1">IFERROR(__xludf.DUMMYFUNCTION("IMPORTRANGE(""https://docs.google.com/spreadsheets/d/1MeEWN-I1oV_STSDYn1IFDPWt_1FKiwhDph83XaGc0o0/edit?usp=sharing"",""งบพรบ!CW27"")"),0)</f>
        <v>0</v>
      </c>
      <c r="O189" s="93">
        <f t="shared" ca="1" si="92"/>
        <v>0</v>
      </c>
      <c r="P189" s="93">
        <f t="shared" ca="1" si="93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5"/>
      <c r="B190" s="263"/>
      <c r="C190" s="339" t="s">
        <v>89</v>
      </c>
      <c r="D190" s="256"/>
      <c r="E190" s="256"/>
      <c r="F190" s="256"/>
      <c r="G190" s="258"/>
      <c r="H190" s="259" t="s">
        <v>90</v>
      </c>
      <c r="I190" s="271">
        <f t="shared" ref="I190:J190" ca="1" si="97">I193</f>
        <v>4</v>
      </c>
      <c r="J190" s="271">
        <f t="shared" si="97"/>
        <v>0</v>
      </c>
      <c r="K190" s="272">
        <f ca="1">IF(I190&gt;0,J190*100/I190,0)</f>
        <v>0</v>
      </c>
      <c r="L190" s="261"/>
      <c r="M190" s="261"/>
      <c r="N190" s="261"/>
      <c r="O190" s="261"/>
      <c r="P190" s="261"/>
    </row>
    <row r="191" spans="1:26" ht="19.5">
      <c r="A191" s="147"/>
      <c r="B191" s="148"/>
      <c r="C191" s="149" t="s">
        <v>16</v>
      </c>
      <c r="D191" s="822" t="s">
        <v>17</v>
      </c>
      <c r="E191" s="148"/>
      <c r="F191" s="148"/>
      <c r="G191" s="151"/>
      <c r="H191" s="274" t="s">
        <v>12</v>
      </c>
      <c r="I191" s="388"/>
      <c r="J191" s="388"/>
      <c r="K191" s="154"/>
      <c r="L191" s="155">
        <f ca="1">IFERROR(__xludf.DUMMYFUNCTION("IMPORTRANGE(""https://docs.google.com/spreadsheets/d/1QqKyyYR6Q21VydFLVH3TRQUabQu_ym0Zz7PgGX0-kHA/edit?usp=sharing"",""แผน!Z27"")"),6000)</f>
        <v>6000</v>
      </c>
      <c r="M191" s="155"/>
      <c r="N191" s="275">
        <v>0</v>
      </c>
      <c r="O191" s="155">
        <f ca="1">IF(L191&gt;0,N191*100/L191,0)</f>
        <v>0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0" t="s">
        <v>16</v>
      </c>
      <c r="D192" s="818" t="s">
        <v>38</v>
      </c>
      <c r="E192" s="173"/>
      <c r="F192" s="173"/>
      <c r="G192" s="174"/>
      <c r="H192" s="726"/>
      <c r="I192" s="269"/>
      <c r="J192" s="269"/>
      <c r="K192" s="465"/>
      <c r="L192" s="465"/>
      <c r="M192" s="465"/>
      <c r="N192" s="465"/>
      <c r="O192" s="465"/>
      <c r="P192" s="465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15" t="s">
        <v>91</v>
      </c>
      <c r="E193" s="342"/>
      <c r="F193" s="342"/>
      <c r="G193" s="179"/>
      <c r="H193" s="728" t="s">
        <v>90</v>
      </c>
      <c r="I193" s="269">
        <f ca="1">IFERROR(__xludf.DUMMYFUNCTION("IMPORTRANGE(""https://docs.google.com/spreadsheets/d/1QqKyyYR6Q21VydFLVH3TRQUabQu_ym0Zz7PgGX0-kHA/edit?usp=sharing"",""แผน!AC27"")"),4)</f>
        <v>4</v>
      </c>
      <c r="J193" s="214">
        <v>0</v>
      </c>
      <c r="K193" s="465">
        <f ca="1">IF(I193&gt;0,J193*100/I193,0)</f>
        <v>0</v>
      </c>
      <c r="L193" s="465"/>
      <c r="M193" s="465"/>
      <c r="N193" s="465"/>
      <c r="O193" s="465"/>
      <c r="P193" s="465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15" t="s">
        <v>92</v>
      </c>
      <c r="E194" s="342"/>
      <c r="F194" s="342"/>
      <c r="G194" s="179"/>
      <c r="H194" s="276" t="s">
        <v>35</v>
      </c>
      <c r="I194" s="269"/>
      <c r="J194" s="269">
        <f>J195+J196</f>
        <v>0</v>
      </c>
      <c r="K194" s="465"/>
      <c r="L194" s="465"/>
      <c r="M194" s="465"/>
      <c r="N194" s="465"/>
      <c r="O194" s="465"/>
      <c r="P194" s="465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15" t="s">
        <v>93</v>
      </c>
      <c r="F195" s="342"/>
      <c r="G195" s="179"/>
      <c r="H195" s="276" t="s">
        <v>35</v>
      </c>
      <c r="I195" s="269"/>
      <c r="J195" s="214">
        <v>0</v>
      </c>
      <c r="K195" s="465"/>
      <c r="L195" s="465"/>
      <c r="M195" s="465"/>
      <c r="N195" s="465"/>
      <c r="O195" s="465"/>
      <c r="P195" s="465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15" t="s">
        <v>94</v>
      </c>
      <c r="F196" s="342"/>
      <c r="G196" s="179"/>
      <c r="H196" s="276" t="s">
        <v>35</v>
      </c>
      <c r="I196" s="269"/>
      <c r="J196" s="214">
        <v>0</v>
      </c>
      <c r="K196" s="465"/>
      <c r="L196" s="465"/>
      <c r="M196" s="465"/>
      <c r="N196" s="465"/>
      <c r="O196" s="465"/>
      <c r="P196" s="465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5"/>
      <c r="B197" s="263"/>
      <c r="C197" s="339" t="s">
        <v>95</v>
      </c>
      <c r="D197" s="256"/>
      <c r="E197" s="256"/>
      <c r="F197" s="256"/>
      <c r="G197" s="258"/>
      <c r="H197" s="277" t="s">
        <v>96</v>
      </c>
      <c r="I197" s="271">
        <f t="shared" ref="I197:J197" ca="1" si="98">I204</f>
        <v>2</v>
      </c>
      <c r="J197" s="271">
        <f t="shared" si="98"/>
        <v>0</v>
      </c>
      <c r="K197" s="272">
        <f ca="1">IF(I197&gt;0,J197*100/I197,0)</f>
        <v>0</v>
      </c>
      <c r="L197" s="261"/>
      <c r="M197" s="261"/>
      <c r="N197" s="261"/>
      <c r="O197" s="261"/>
      <c r="P197" s="261"/>
    </row>
    <row r="198" spans="1:26" ht="19.5">
      <c r="A198" s="147"/>
      <c r="B198" s="148"/>
      <c r="C198" s="149" t="s">
        <v>16</v>
      </c>
      <c r="D198" s="822" t="s">
        <v>17</v>
      </c>
      <c r="E198" s="148"/>
      <c r="F198" s="148"/>
      <c r="G198" s="151"/>
      <c r="H198" s="274" t="s">
        <v>12</v>
      </c>
      <c r="I198" s="387"/>
      <c r="J198" s="387"/>
      <c r="K198" s="279"/>
      <c r="L198" s="155">
        <f ca="1">L199+L200+L201+L202</f>
        <v>26000</v>
      </c>
      <c r="M198" s="155"/>
      <c r="N198" s="155">
        <f>N199+N200+N201+N202</f>
        <v>0</v>
      </c>
      <c r="O198" s="155">
        <f ca="1">IF(L198&gt;0,N198*100/L198,0)</f>
        <v>0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0"/>
      <c r="C199" s="33"/>
      <c r="D199" s="281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65">
        <f ca="1">IFERROR(__xludf.DUMMYFUNCTION("IMPORTRANGE(""https://docs.google.com/spreadsheets/d/1QqKyyYR6Q21VydFLVH3TRQUabQu_ym0Zz7PgGX0-kHA/edit?usp=sharing"",""แผน!AE27"")"),2000)</f>
        <v>2000</v>
      </c>
      <c r="M199" s="465"/>
      <c r="N199" s="789">
        <v>0</v>
      </c>
      <c r="O199" s="465"/>
      <c r="P199" s="465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3"/>
      <c r="B200" s="280"/>
      <c r="C200" s="210"/>
      <c r="D200" s="281" t="s">
        <v>98</v>
      </c>
      <c r="E200" s="33"/>
      <c r="F200" s="33"/>
      <c r="G200" s="35"/>
      <c r="H200" s="589" t="s">
        <v>12</v>
      </c>
      <c r="I200" s="269"/>
      <c r="J200" s="269"/>
      <c r="K200" s="465"/>
      <c r="L200" s="465">
        <f ca="1">IFERROR(__xludf.DUMMYFUNCTION("IMPORTRANGE(""https://docs.google.com/spreadsheets/d/1QqKyyYR6Q21VydFLVH3TRQUabQu_ym0Zz7PgGX0-kHA/edit?usp=sharing"",""แผน!AF27"")"),16000)</f>
        <v>16000</v>
      </c>
      <c r="M200" s="465"/>
      <c r="N200" s="789">
        <v>0</v>
      </c>
      <c r="O200" s="465"/>
      <c r="P200" s="465"/>
      <c r="Q200" s="285"/>
      <c r="R200" s="285"/>
      <c r="S200" s="285"/>
      <c r="T200" s="285"/>
      <c r="U200" s="285"/>
      <c r="V200" s="285"/>
      <c r="W200" s="285"/>
      <c r="X200" s="285"/>
      <c r="Y200" s="285"/>
      <c r="Z200" s="285"/>
    </row>
    <row r="201" spans="1:26" ht="19.5">
      <c r="A201" s="283"/>
      <c r="B201" s="280"/>
      <c r="C201" s="210"/>
      <c r="D201" s="281" t="s">
        <v>99</v>
      </c>
      <c r="E201" s="33"/>
      <c r="F201" s="33"/>
      <c r="G201" s="35"/>
      <c r="H201" s="589" t="s">
        <v>12</v>
      </c>
      <c r="I201" s="269"/>
      <c r="J201" s="269"/>
      <c r="K201" s="465"/>
      <c r="L201" s="465">
        <f ca="1">IFERROR(__xludf.DUMMYFUNCTION("IMPORTRANGE(""https://docs.google.com/spreadsheets/d/1QqKyyYR6Q21VydFLVH3TRQUabQu_ym0Zz7PgGX0-kHA/edit?usp=sharing"",""แผน!AG27"")"),8000)</f>
        <v>8000</v>
      </c>
      <c r="M201" s="465"/>
      <c r="N201" s="789">
        <v>0</v>
      </c>
      <c r="O201" s="465"/>
      <c r="P201" s="465"/>
      <c r="Q201" s="285"/>
      <c r="R201" s="285"/>
      <c r="S201" s="285"/>
      <c r="T201" s="285"/>
      <c r="U201" s="285"/>
      <c r="V201" s="285"/>
      <c r="W201" s="285"/>
      <c r="X201" s="285"/>
      <c r="Y201" s="285"/>
      <c r="Z201" s="285"/>
    </row>
    <row r="202" spans="1:26" ht="19.5">
      <c r="A202" s="283"/>
      <c r="B202" s="280"/>
      <c r="C202" s="210"/>
      <c r="D202" s="281" t="s">
        <v>100</v>
      </c>
      <c r="E202" s="33"/>
      <c r="F202" s="33"/>
      <c r="G202" s="35"/>
      <c r="H202" s="589" t="s">
        <v>12</v>
      </c>
      <c r="I202" s="269"/>
      <c r="J202" s="269"/>
      <c r="K202" s="465"/>
      <c r="L202" s="465">
        <f ca="1">IFERROR(__xludf.DUMMYFUNCTION("IMPORTRANGE(""https://docs.google.com/spreadsheets/d/1QqKyyYR6Q21VydFLVH3TRQUabQu_ym0Zz7PgGX0-kHA/edit?usp=sharing"",""แผน!AH27"")"),0)</f>
        <v>0</v>
      </c>
      <c r="M202" s="465"/>
      <c r="N202" s="789">
        <v>0</v>
      </c>
      <c r="O202" s="465"/>
      <c r="P202" s="465"/>
      <c r="Q202" s="285"/>
      <c r="R202" s="285"/>
      <c r="S202" s="285"/>
      <c r="T202" s="285"/>
      <c r="U202" s="285"/>
      <c r="V202" s="285"/>
      <c r="W202" s="285"/>
      <c r="X202" s="285"/>
      <c r="Y202" s="285"/>
      <c r="Z202" s="285"/>
    </row>
    <row r="203" spans="1:26" ht="19.5">
      <c r="A203" s="170"/>
      <c r="B203" s="171"/>
      <c r="C203" s="210" t="s">
        <v>16</v>
      </c>
      <c r="D203" s="818" t="s">
        <v>38</v>
      </c>
      <c r="E203" s="173"/>
      <c r="F203" s="173"/>
      <c r="G203" s="174"/>
      <c r="H203" s="726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343" t="s">
        <v>101</v>
      </c>
      <c r="E204" s="342"/>
      <c r="F204" s="342"/>
      <c r="G204" s="179"/>
      <c r="H204" s="726" t="s">
        <v>96</v>
      </c>
      <c r="I204" s="269">
        <f ca="1">IFERROR(__xludf.DUMMYFUNCTION("IMPORTRANGE(""https://docs.google.com/spreadsheets/d/1QqKyyYR6Q21VydFLVH3TRQUabQu_ym0Zz7PgGX0-kHA/edit?usp=sharing"",""แผน!AI27"")"),2)</f>
        <v>2</v>
      </c>
      <c r="J204" s="214">
        <v>0</v>
      </c>
      <c r="K204" s="163">
        <f ca="1">IF(I204&gt;0,J204*100/I204,0)</f>
        <v>0</v>
      </c>
      <c r="L204" s="465"/>
      <c r="M204" s="465"/>
      <c r="N204" s="465"/>
      <c r="O204" s="465"/>
      <c r="P204" s="465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15" t="s">
        <v>59</v>
      </c>
      <c r="E205" s="342"/>
      <c r="F205" s="342"/>
      <c r="G205" s="179"/>
      <c r="H205" s="726"/>
      <c r="I205" s="269"/>
      <c r="J205" s="269"/>
      <c r="K205" s="163"/>
      <c r="L205" s="465"/>
      <c r="M205" s="465"/>
      <c r="N205" s="465"/>
      <c r="O205" s="465"/>
      <c r="P205" s="465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342"/>
      <c r="E206" s="494" t="s">
        <v>102</v>
      </c>
      <c r="F206" s="286"/>
      <c r="G206" s="287"/>
      <c r="H206" s="288" t="s">
        <v>96</v>
      </c>
      <c r="I206" s="269">
        <v>2</v>
      </c>
      <c r="J206" s="214">
        <v>0</v>
      </c>
      <c r="K206" s="163">
        <f t="shared" ref="K206:K208" si="99">IF(I206&gt;0,J206*100/I206,0)</f>
        <v>0</v>
      </c>
      <c r="L206" s="465"/>
      <c r="M206" s="465"/>
      <c r="N206" s="465"/>
      <c r="O206" s="465"/>
      <c r="P206" s="465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15"/>
      <c r="E207" s="415" t="s">
        <v>103</v>
      </c>
      <c r="F207" s="342"/>
      <c r="G207" s="342"/>
      <c r="H207" s="289" t="s">
        <v>104</v>
      </c>
      <c r="I207" s="269">
        <v>0</v>
      </c>
      <c r="J207" s="214">
        <v>0</v>
      </c>
      <c r="K207" s="163">
        <f t="shared" si="99"/>
        <v>0</v>
      </c>
      <c r="L207" s="465"/>
      <c r="M207" s="465"/>
      <c r="N207" s="465"/>
      <c r="O207" s="465"/>
      <c r="P207" s="465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 hidden="1">
      <c r="A208" s="255"/>
      <c r="B208" s="263"/>
      <c r="C208" s="339" t="s">
        <v>105</v>
      </c>
      <c r="D208" s="256"/>
      <c r="E208" s="256"/>
      <c r="F208" s="290"/>
      <c r="G208" s="258"/>
      <c r="H208" s="277" t="s">
        <v>96</v>
      </c>
      <c r="I208" s="271">
        <f t="shared" ref="I208:J208" ca="1" si="100">I215</f>
        <v>0</v>
      </c>
      <c r="J208" s="271">
        <f t="shared" si="100"/>
        <v>0</v>
      </c>
      <c r="K208" s="272">
        <f t="shared" ca="1" si="99"/>
        <v>0</v>
      </c>
      <c r="L208" s="261"/>
      <c r="M208" s="261"/>
      <c r="N208" s="261"/>
      <c r="O208" s="261"/>
      <c r="P208" s="261"/>
    </row>
    <row r="209" spans="1:26" ht="19.5" hidden="1">
      <c r="A209" s="147"/>
      <c r="B209" s="148"/>
      <c r="C209" s="149" t="s">
        <v>16</v>
      </c>
      <c r="D209" s="822" t="s">
        <v>17</v>
      </c>
      <c r="E209" s="148"/>
      <c r="F209" s="148"/>
      <c r="G209" s="151"/>
      <c r="H209" s="274" t="s">
        <v>12</v>
      </c>
      <c r="I209" s="387"/>
      <c r="J209" s="387"/>
      <c r="K209" s="279"/>
      <c r="L209" s="155">
        <f ca="1">L210+L211+L212</f>
        <v>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 hidden="1">
      <c r="A210" s="159"/>
      <c r="B210" s="280"/>
      <c r="C210" s="33"/>
      <c r="D210" s="281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65">
        <f ca="1">IFERROR(__xludf.DUMMYFUNCTION("IMPORTRANGE(""https://docs.google.com/spreadsheets/d/1QqKyyYR6Q21VydFLVH3TRQUabQu_ym0Zz7PgGX0-kHA/edit?usp=sharing"",""แผน!AK27"")"),0)</f>
        <v>0</v>
      </c>
      <c r="M210" s="465"/>
      <c r="N210" s="789">
        <v>0</v>
      </c>
      <c r="O210" s="465"/>
      <c r="P210" s="465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 hidden="1">
      <c r="A211" s="283"/>
      <c r="B211" s="280"/>
      <c r="C211" s="291"/>
      <c r="D211" s="281" t="s">
        <v>99</v>
      </c>
      <c r="E211" s="33"/>
      <c r="F211" s="33"/>
      <c r="G211" s="35"/>
      <c r="H211" s="161" t="s">
        <v>12</v>
      </c>
      <c r="I211" s="269"/>
      <c r="J211" s="269"/>
      <c r="K211" s="465"/>
      <c r="L211" s="465">
        <f ca="1">IFERROR(__xludf.DUMMYFUNCTION("IMPORTRANGE(""https://docs.google.com/spreadsheets/d/1QqKyyYR6Q21VydFLVH3TRQUabQu_ym0Zz7PgGX0-kHA/edit?usp=sharing"",""แผน!AL27"")"),0)</f>
        <v>0</v>
      </c>
      <c r="M211" s="465"/>
      <c r="N211" s="789">
        <v>0</v>
      </c>
      <c r="O211" s="465"/>
      <c r="P211" s="465"/>
      <c r="Q211" s="285"/>
      <c r="R211" s="285"/>
      <c r="S211" s="285"/>
      <c r="T211" s="285"/>
      <c r="U211" s="285"/>
      <c r="V211" s="285"/>
      <c r="W211" s="285"/>
      <c r="X211" s="285"/>
      <c r="Y211" s="285"/>
      <c r="Z211" s="285"/>
    </row>
    <row r="212" spans="1:26" ht="19.5" hidden="1">
      <c r="A212" s="283"/>
      <c r="B212" s="280"/>
      <c r="C212" s="291"/>
      <c r="D212" s="281" t="s">
        <v>98</v>
      </c>
      <c r="E212" s="33"/>
      <c r="F212" s="33"/>
      <c r="G212" s="35"/>
      <c r="H212" s="161" t="s">
        <v>12</v>
      </c>
      <c r="I212" s="269"/>
      <c r="J212" s="269"/>
      <c r="K212" s="465"/>
      <c r="L212" s="465">
        <f ca="1">IFERROR(__xludf.DUMMYFUNCTION("IMPORTRANGE(""https://docs.google.com/spreadsheets/d/1QqKyyYR6Q21VydFLVH3TRQUabQu_ym0Zz7PgGX0-kHA/edit?usp=sharing"",""แผน!AM27"")"),0)</f>
        <v>0</v>
      </c>
      <c r="M212" s="465"/>
      <c r="N212" s="789">
        <v>0</v>
      </c>
      <c r="O212" s="465"/>
      <c r="P212" s="465"/>
      <c r="Q212" s="285"/>
      <c r="R212" s="285"/>
      <c r="S212" s="285"/>
      <c r="T212" s="285"/>
      <c r="U212" s="285"/>
      <c r="V212" s="285"/>
      <c r="W212" s="285"/>
      <c r="X212" s="285"/>
      <c r="Y212" s="285"/>
      <c r="Z212" s="285"/>
    </row>
    <row r="213" spans="1:26" ht="19.5" hidden="1">
      <c r="A213" s="170"/>
      <c r="B213" s="171"/>
      <c r="C213" s="291" t="s">
        <v>16</v>
      </c>
      <c r="D213" s="818" t="s">
        <v>38</v>
      </c>
      <c r="E213" s="173"/>
      <c r="F213" s="173"/>
      <c r="G213" s="174"/>
      <c r="H213" s="726"/>
      <c r="I213" s="184"/>
      <c r="J213" s="269"/>
      <c r="K213" s="465"/>
      <c r="L213" s="465"/>
      <c r="M213" s="465"/>
      <c r="N213" s="465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 hidden="1">
      <c r="A214" s="170"/>
      <c r="B214" s="171"/>
      <c r="C214" s="171"/>
      <c r="D214" s="343" t="s">
        <v>106</v>
      </c>
      <c r="E214" s="342"/>
      <c r="F214" s="342"/>
      <c r="G214" s="179"/>
      <c r="H214" s="726" t="s">
        <v>96</v>
      </c>
      <c r="I214" s="269">
        <f ca="1">IFERROR(__xludf.DUMMYFUNCTION("IMPORTRANGE(""https://docs.google.com/spreadsheets/d/1QqKyyYR6Q21VydFLVH3TRQUabQu_ym0Zz7PgGX0-kHA/edit?usp=sharing"",""แผน!AN27"")"),0)</f>
        <v>0</v>
      </c>
      <c r="J214" s="214">
        <v>0</v>
      </c>
      <c r="K214" s="465">
        <f t="shared" ref="K214:K216" ca="1" si="101">IF(I214&gt;0,J214*100/I214,0)</f>
        <v>0</v>
      </c>
      <c r="L214" s="465"/>
      <c r="M214" s="465"/>
      <c r="N214" s="465"/>
      <c r="O214" s="465"/>
      <c r="P214" s="465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 hidden="1">
      <c r="A215" s="170"/>
      <c r="B215" s="171"/>
      <c r="C215" s="171"/>
      <c r="D215" s="343" t="s">
        <v>107</v>
      </c>
      <c r="E215" s="342"/>
      <c r="F215" s="342"/>
      <c r="G215" s="179"/>
      <c r="H215" s="726" t="s">
        <v>96</v>
      </c>
      <c r="I215" s="269">
        <f ca="1">IFERROR(__xludf.DUMMYFUNCTION("IMPORTRANGE(""https://docs.google.com/spreadsheets/d/1QqKyyYR6Q21VydFLVH3TRQUabQu_ym0Zz7PgGX0-kHA/edit?usp=sharing"",""แผน!AN27"")"),0)</f>
        <v>0</v>
      </c>
      <c r="J215" s="214">
        <v>0</v>
      </c>
      <c r="K215" s="465">
        <f t="shared" ca="1" si="101"/>
        <v>0</v>
      </c>
      <c r="L215" s="465"/>
      <c r="M215" s="465"/>
      <c r="N215" s="465"/>
      <c r="O215" s="465"/>
      <c r="P215" s="465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5"/>
      <c r="B216" s="263"/>
      <c r="C216" s="339" t="s">
        <v>108</v>
      </c>
      <c r="D216" s="256"/>
      <c r="E216" s="256"/>
      <c r="F216" s="290"/>
      <c r="G216" s="258"/>
      <c r="H216" s="259" t="s">
        <v>109</v>
      </c>
      <c r="I216" s="271">
        <f t="shared" ref="I216:J216" ca="1" si="102">I224</f>
        <v>100000</v>
      </c>
      <c r="J216" s="271">
        <f t="shared" si="102"/>
        <v>0</v>
      </c>
      <c r="K216" s="272">
        <f t="shared" ca="1" si="101"/>
        <v>0</v>
      </c>
      <c r="L216" s="261"/>
      <c r="M216" s="261"/>
      <c r="N216" s="261"/>
      <c r="O216" s="261"/>
      <c r="P216" s="261"/>
    </row>
    <row r="217" spans="1:26" ht="19.5">
      <c r="A217" s="147"/>
      <c r="B217" s="148"/>
      <c r="C217" s="149" t="s">
        <v>16</v>
      </c>
      <c r="D217" s="822" t="s">
        <v>17</v>
      </c>
      <c r="E217" s="148"/>
      <c r="F217" s="148"/>
      <c r="G217" s="151"/>
      <c r="H217" s="274" t="s">
        <v>12</v>
      </c>
      <c r="I217" s="387"/>
      <c r="J217" s="387"/>
      <c r="K217" s="279"/>
      <c r="L217" s="155">
        <f ca="1">L218+L219+L220</f>
        <v>31000</v>
      </c>
      <c r="M217" s="155"/>
      <c r="N217" s="155">
        <f>N218+N219+N220</f>
        <v>0</v>
      </c>
      <c r="O217" s="155">
        <f ca="1">IF(L217&gt;0,N217*100/L217,0)</f>
        <v>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0"/>
      <c r="C218" s="33"/>
      <c r="D218" s="281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65">
        <f ca="1">IFERROR(__xludf.DUMMYFUNCTION("IMPORTRANGE(""https://docs.google.com/spreadsheets/d/1QqKyyYR6Q21VydFLVH3TRQUabQu_ym0Zz7PgGX0-kHA/edit?usp=sharing"",""แผน!AP27"")"),6000)</f>
        <v>6000</v>
      </c>
      <c r="M218" s="465"/>
      <c r="N218" s="789">
        <v>0</v>
      </c>
      <c r="O218" s="465"/>
      <c r="P218" s="465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3"/>
      <c r="B219" s="280"/>
      <c r="C219" s="291"/>
      <c r="D219" s="281" t="s">
        <v>110</v>
      </c>
      <c r="E219" s="33"/>
      <c r="F219" s="33"/>
      <c r="G219" s="35"/>
      <c r="H219" s="161" t="s">
        <v>12</v>
      </c>
      <c r="I219" s="269"/>
      <c r="J219" s="269"/>
      <c r="K219" s="465"/>
      <c r="L219" s="465">
        <f ca="1">IFERROR(__xludf.DUMMYFUNCTION("IMPORTRANGE(""https://docs.google.com/spreadsheets/d/1QqKyyYR6Q21VydFLVH3TRQUabQu_ym0Zz7PgGX0-kHA/edit?usp=sharing"",""แผน!AQ27"")"),25000)</f>
        <v>25000</v>
      </c>
      <c r="M219" s="465"/>
      <c r="N219" s="789">
        <v>0</v>
      </c>
      <c r="O219" s="465"/>
      <c r="P219" s="465"/>
      <c r="Q219" s="285"/>
      <c r="R219" s="285"/>
      <c r="S219" s="285"/>
      <c r="T219" s="285"/>
      <c r="U219" s="285"/>
      <c r="V219" s="285"/>
      <c r="W219" s="285"/>
      <c r="X219" s="285"/>
      <c r="Y219" s="285"/>
      <c r="Z219" s="285"/>
    </row>
    <row r="220" spans="1:26" ht="19.5">
      <c r="A220" s="283"/>
      <c r="B220" s="280"/>
      <c r="C220" s="291"/>
      <c r="D220" s="281" t="s">
        <v>98</v>
      </c>
      <c r="E220" s="33"/>
      <c r="F220" s="33"/>
      <c r="G220" s="35"/>
      <c r="H220" s="161" t="s">
        <v>12</v>
      </c>
      <c r="I220" s="269"/>
      <c r="J220" s="269"/>
      <c r="K220" s="465"/>
      <c r="L220" s="465">
        <f ca="1">IFERROR(__xludf.DUMMYFUNCTION("IMPORTRANGE(""https://docs.google.com/spreadsheets/d/1QqKyyYR6Q21VydFLVH3TRQUabQu_ym0Zz7PgGX0-kHA/edit?usp=sharing"",""แผน!AR27"")"),0)</f>
        <v>0</v>
      </c>
      <c r="M220" s="465"/>
      <c r="N220" s="789">
        <v>0</v>
      </c>
      <c r="O220" s="465"/>
      <c r="P220" s="465"/>
      <c r="Q220" s="285"/>
      <c r="R220" s="285"/>
      <c r="S220" s="285"/>
      <c r="T220" s="285"/>
      <c r="U220" s="285"/>
      <c r="V220" s="285"/>
      <c r="W220" s="285"/>
      <c r="X220" s="285"/>
      <c r="Y220" s="285"/>
      <c r="Z220" s="285"/>
    </row>
    <row r="221" spans="1:26" ht="19.5">
      <c r="A221" s="170"/>
      <c r="B221" s="171"/>
      <c r="C221" s="291" t="s">
        <v>16</v>
      </c>
      <c r="D221" s="818" t="s">
        <v>38</v>
      </c>
      <c r="E221" s="173"/>
      <c r="F221" s="173"/>
      <c r="G221" s="174"/>
      <c r="H221" s="726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1" t="s">
        <v>111</v>
      </c>
      <c r="E222" s="342"/>
      <c r="F222" s="342"/>
      <c r="G222" s="179"/>
      <c r="H222" s="726"/>
      <c r="I222" s="269"/>
      <c r="J222" s="269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343" t="s">
        <v>112</v>
      </c>
      <c r="F223" s="342"/>
      <c r="G223" s="179"/>
      <c r="H223" s="728" t="s">
        <v>109</v>
      </c>
      <c r="I223" s="269">
        <f ca="1">IFERROR(__xludf.DUMMYFUNCTION("IMPORTRANGE(""https://docs.google.com/spreadsheets/d/1QqKyyYR6Q21VydFLVH3TRQUabQu_ym0Zz7PgGX0-kHA/edit?usp=sharing"",""แผน!AT27"")"),100000)</f>
        <v>100000</v>
      </c>
      <c r="J223" s="214">
        <v>0</v>
      </c>
      <c r="K223" s="163">
        <f t="shared" ref="K223:K226" ca="1" si="103">IF(I223&gt;0,J223*100/I223,0)</f>
        <v>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343" t="s">
        <v>113</v>
      </c>
      <c r="F224" s="342"/>
      <c r="G224" s="179"/>
      <c r="H224" s="728" t="s">
        <v>109</v>
      </c>
      <c r="I224" s="269">
        <f ca="1">IFERROR(__xludf.DUMMYFUNCTION("IMPORTRANGE(""https://docs.google.com/spreadsheets/d/1QqKyyYR6Q21VydFLVH3TRQUabQu_ym0Zz7PgGX0-kHA/edit?usp=sharing"",""แผน!AT27"")"),100000)</f>
        <v>100000</v>
      </c>
      <c r="J224" s="214">
        <v>0</v>
      </c>
      <c r="K224" s="163">
        <f t="shared" ca="1" si="103"/>
        <v>0</v>
      </c>
      <c r="L224" s="465"/>
      <c r="M224" s="465"/>
      <c r="N224" s="465"/>
      <c r="O224" s="465"/>
      <c r="P224" s="465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1" t="s">
        <v>114</v>
      </c>
      <c r="E225" s="342"/>
      <c r="F225" s="342"/>
      <c r="G225" s="179"/>
      <c r="H225" s="728" t="s">
        <v>35</v>
      </c>
      <c r="I225" s="269">
        <f ca="1">IFERROR(__xludf.DUMMYFUNCTION("IMPORTRANGE(""https://docs.google.com/spreadsheets/d/1QqKyyYR6Q21VydFLVH3TRQUabQu_ym0Zz7PgGX0-kHA/edit?usp=sharing"",""แผน!AS27"")"),0)</f>
        <v>0</v>
      </c>
      <c r="J225" s="214">
        <v>0</v>
      </c>
      <c r="K225" s="163">
        <f t="shared" ca="1" si="103"/>
        <v>0</v>
      </c>
      <c r="L225" s="465"/>
      <c r="M225" s="465"/>
      <c r="N225" s="465"/>
      <c r="O225" s="465"/>
      <c r="P225" s="465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5"/>
      <c r="B226" s="263"/>
      <c r="C226" s="823" t="s">
        <v>115</v>
      </c>
      <c r="D226" s="256"/>
      <c r="E226" s="256"/>
      <c r="F226" s="256"/>
      <c r="G226" s="258"/>
      <c r="H226" s="265" t="s">
        <v>35</v>
      </c>
      <c r="I226" s="824">
        <f t="shared" ref="I226:J226" ca="1" si="104">I237+I248</f>
        <v>100</v>
      </c>
      <c r="J226" s="824">
        <f t="shared" si="104"/>
        <v>0</v>
      </c>
      <c r="K226" s="825">
        <f t="shared" ca="1" si="103"/>
        <v>0</v>
      </c>
      <c r="L226" s="261"/>
      <c r="M226" s="261"/>
      <c r="N226" s="261"/>
      <c r="O226" s="261"/>
      <c r="P226" s="261"/>
    </row>
    <row r="227" spans="1:26" ht="19.5" hidden="1">
      <c r="A227" s="826"/>
      <c r="B227" s="827"/>
      <c r="C227" s="828" t="s">
        <v>16</v>
      </c>
      <c r="D227" s="829" t="s">
        <v>17</v>
      </c>
      <c r="E227" s="827"/>
      <c r="F227" s="827"/>
      <c r="G227" s="830"/>
      <c r="H227" s="831" t="s">
        <v>12</v>
      </c>
      <c r="I227" s="832"/>
      <c r="J227" s="832"/>
      <c r="K227" s="833"/>
      <c r="L227" s="834">
        <f t="shared" ref="L227:L231" ca="1" si="105">L238+L249</f>
        <v>602550</v>
      </c>
      <c r="M227" s="834"/>
      <c r="N227" s="834">
        <f t="shared" ref="N227:N231" si="106">N238+N249</f>
        <v>0</v>
      </c>
      <c r="O227" s="835"/>
      <c r="P227" s="835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542"/>
      <c r="C228" s="40"/>
      <c r="D228" s="222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5"/>
        <v>416700</v>
      </c>
      <c r="M228" s="93"/>
      <c r="N228" s="93">
        <f t="shared" si="106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836"/>
      <c r="B229" s="542"/>
      <c r="C229" s="837"/>
      <c r="D229" s="222" t="s">
        <v>98</v>
      </c>
      <c r="E229" s="40"/>
      <c r="F229" s="40"/>
      <c r="G229" s="42"/>
      <c r="H229" s="165" t="s">
        <v>12</v>
      </c>
      <c r="I229" s="583"/>
      <c r="J229" s="583"/>
      <c r="K229" s="93"/>
      <c r="L229" s="93">
        <f t="shared" ca="1" si="105"/>
        <v>135850</v>
      </c>
      <c r="M229" s="93"/>
      <c r="N229" s="93">
        <f t="shared" si="106"/>
        <v>0</v>
      </c>
      <c r="O229" s="93"/>
      <c r="P229" s="93"/>
      <c r="Q229" s="838"/>
      <c r="R229" s="838"/>
      <c r="S229" s="838"/>
      <c r="T229" s="838"/>
      <c r="U229" s="838"/>
      <c r="V229" s="838"/>
      <c r="W229" s="838"/>
      <c r="X229" s="838"/>
      <c r="Y229" s="838"/>
      <c r="Z229" s="838"/>
    </row>
    <row r="230" spans="1:26" ht="19.5" hidden="1">
      <c r="A230" s="836"/>
      <c r="B230" s="542"/>
      <c r="C230" s="837"/>
      <c r="D230" s="222" t="s">
        <v>116</v>
      </c>
      <c r="E230" s="40"/>
      <c r="F230" s="40"/>
      <c r="G230" s="42"/>
      <c r="H230" s="165" t="s">
        <v>12</v>
      </c>
      <c r="I230" s="583"/>
      <c r="J230" s="583"/>
      <c r="K230" s="93"/>
      <c r="L230" s="93">
        <f t="shared" ca="1" si="105"/>
        <v>0</v>
      </c>
      <c r="M230" s="93"/>
      <c r="N230" s="93">
        <f t="shared" si="106"/>
        <v>0</v>
      </c>
      <c r="O230" s="93"/>
      <c r="P230" s="93"/>
      <c r="Q230" s="838"/>
      <c r="R230" s="838"/>
      <c r="S230" s="838"/>
      <c r="T230" s="838"/>
      <c r="U230" s="838"/>
      <c r="V230" s="838"/>
      <c r="W230" s="838"/>
      <c r="X230" s="838"/>
      <c r="Y230" s="838"/>
      <c r="Z230" s="838"/>
    </row>
    <row r="231" spans="1:26" ht="19.5" hidden="1">
      <c r="A231" s="836"/>
      <c r="B231" s="542"/>
      <c r="C231" s="837"/>
      <c r="D231" s="222" t="s">
        <v>100</v>
      </c>
      <c r="E231" s="40"/>
      <c r="F231" s="40"/>
      <c r="G231" s="42"/>
      <c r="H231" s="165" t="s">
        <v>12</v>
      </c>
      <c r="I231" s="583"/>
      <c r="J231" s="583"/>
      <c r="K231" s="93"/>
      <c r="L231" s="93">
        <f t="shared" ca="1" si="105"/>
        <v>50000</v>
      </c>
      <c r="M231" s="93"/>
      <c r="N231" s="93">
        <f t="shared" si="106"/>
        <v>0</v>
      </c>
      <c r="O231" s="93"/>
      <c r="P231" s="93"/>
      <c r="Q231" s="838"/>
      <c r="R231" s="838"/>
      <c r="S231" s="838"/>
      <c r="T231" s="838"/>
      <c r="U231" s="838"/>
      <c r="V231" s="838"/>
      <c r="W231" s="838"/>
      <c r="X231" s="838"/>
      <c r="Y231" s="838"/>
      <c r="Z231" s="838"/>
    </row>
    <row r="232" spans="1:26" ht="19.5" hidden="1">
      <c r="A232" s="839"/>
      <c r="B232" s="840"/>
      <c r="C232" s="837" t="s">
        <v>16</v>
      </c>
      <c r="D232" s="266" t="s">
        <v>38</v>
      </c>
      <c r="E232" s="841"/>
      <c r="F232" s="841"/>
      <c r="G232" s="842"/>
      <c r="H232" s="581"/>
      <c r="I232" s="166"/>
      <c r="J232" s="583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839"/>
      <c r="B233" s="840"/>
      <c r="C233" s="840"/>
      <c r="D233" s="268" t="s">
        <v>117</v>
      </c>
      <c r="E233" s="536"/>
      <c r="F233" s="536"/>
      <c r="G233" s="843"/>
      <c r="H233" s="582" t="s">
        <v>35</v>
      </c>
      <c r="I233" s="583">
        <f t="shared" ref="I233:J233" ca="1" si="107">I244+I255</f>
        <v>100</v>
      </c>
      <c r="J233" s="583">
        <f t="shared" si="107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839"/>
      <c r="B234" s="840"/>
      <c r="C234" s="840"/>
      <c r="D234" s="844" t="s">
        <v>43</v>
      </c>
      <c r="E234" s="536"/>
      <c r="F234" s="536"/>
      <c r="G234" s="843"/>
      <c r="H234" s="582"/>
      <c r="I234" s="583"/>
      <c r="J234" s="583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839"/>
      <c r="B235" s="840"/>
      <c r="C235" s="840"/>
      <c r="D235" s="840"/>
      <c r="E235" s="267" t="s">
        <v>118</v>
      </c>
      <c r="F235" s="536"/>
      <c r="G235" s="843"/>
      <c r="H235" s="582" t="s">
        <v>35</v>
      </c>
      <c r="I235" s="583">
        <f t="shared" ref="I235:J236" si="108">I246+I257</f>
        <v>0</v>
      </c>
      <c r="J235" s="583">
        <f t="shared" si="108"/>
        <v>0</v>
      </c>
      <c r="K235" s="93">
        <f t="shared" ref="K235:K237" si="109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839"/>
      <c r="B236" s="840"/>
      <c r="C236" s="840"/>
      <c r="D236" s="840"/>
      <c r="E236" s="267" t="s">
        <v>119</v>
      </c>
      <c r="F236" s="536"/>
      <c r="G236" s="843"/>
      <c r="H236" s="582" t="s">
        <v>69</v>
      </c>
      <c r="I236" s="583">
        <f t="shared" si="108"/>
        <v>3</v>
      </c>
      <c r="J236" s="583">
        <f t="shared" si="108"/>
        <v>0</v>
      </c>
      <c r="K236" s="93">
        <f t="shared" si="109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>
      <c r="A237" s="255"/>
      <c r="B237" s="263"/>
      <c r="C237" s="339" t="s">
        <v>351</v>
      </c>
      <c r="D237" s="256"/>
      <c r="E237" s="256"/>
      <c r="F237" s="256"/>
      <c r="G237" s="258"/>
      <c r="H237" s="259" t="s">
        <v>35</v>
      </c>
      <c r="I237" s="271">
        <f t="shared" ref="I237:J237" ca="1" si="110">I244</f>
        <v>100</v>
      </c>
      <c r="J237" s="271">
        <f t="shared" si="110"/>
        <v>0</v>
      </c>
      <c r="K237" s="272">
        <f t="shared" ca="1" si="109"/>
        <v>0</v>
      </c>
      <c r="L237" s="261"/>
      <c r="M237" s="261"/>
      <c r="N237" s="261"/>
      <c r="O237" s="261"/>
      <c r="P237" s="261"/>
    </row>
    <row r="238" spans="1:26" ht="19.5">
      <c r="A238" s="147"/>
      <c r="B238" s="148"/>
      <c r="C238" s="149" t="s">
        <v>16</v>
      </c>
      <c r="D238" s="817" t="s">
        <v>17</v>
      </c>
      <c r="E238" s="148"/>
      <c r="F238" s="148"/>
      <c r="G238" s="151"/>
      <c r="H238" s="274" t="s">
        <v>12</v>
      </c>
      <c r="I238" s="387"/>
      <c r="J238" s="387"/>
      <c r="K238" s="279"/>
      <c r="L238" s="155">
        <f ca="1">L239+L240+L241+L242</f>
        <v>602550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>
      <c r="A239" s="313"/>
      <c r="B239" s="314"/>
      <c r="C239" s="315"/>
      <c r="D239" s="324" t="s">
        <v>97</v>
      </c>
      <c r="E239" s="315"/>
      <c r="F239" s="315"/>
      <c r="G239" s="317"/>
      <c r="H239" s="318" t="s">
        <v>12</v>
      </c>
      <c r="I239" s="319"/>
      <c r="J239" s="319"/>
      <c r="K239" s="320"/>
      <c r="L239" s="321">
        <f ca="1">IFERROR(__xludf.DUMMYFUNCTION("IMPORTRANGE(""https://docs.google.com/spreadsheets/d/1QqKyyYR6Q21VydFLVH3TRQUabQu_ym0Zz7PgGX0-kHA/edit?usp=sharing"",""แผน!AV27"")"),416700)</f>
        <v>416700</v>
      </c>
      <c r="M239" s="321"/>
      <c r="N239" s="340">
        <v>0</v>
      </c>
      <c r="O239" s="321"/>
      <c r="P239" s="321"/>
      <c r="Q239" s="312"/>
      <c r="R239" s="312"/>
      <c r="S239" s="312"/>
      <c r="T239" s="312"/>
      <c r="U239" s="312"/>
      <c r="V239" s="312"/>
      <c r="W239" s="312"/>
      <c r="X239" s="312"/>
      <c r="Y239" s="312"/>
      <c r="Z239" s="312"/>
    </row>
    <row r="240" spans="1:26" ht="19.5">
      <c r="A240" s="322"/>
      <c r="B240" s="314"/>
      <c r="C240" s="323"/>
      <c r="D240" s="324" t="s">
        <v>98</v>
      </c>
      <c r="E240" s="315"/>
      <c r="F240" s="315"/>
      <c r="G240" s="317"/>
      <c r="H240" s="318" t="s">
        <v>12</v>
      </c>
      <c r="I240" s="325"/>
      <c r="J240" s="325"/>
      <c r="K240" s="321"/>
      <c r="L240" s="321">
        <f ca="1">IFERROR(__xludf.DUMMYFUNCTION("IMPORTRANGE(""https://docs.google.com/spreadsheets/d/1QqKyyYR6Q21VydFLVH3TRQUabQu_ym0Zz7PgGX0-kHA/edit?usp=sharing"",""แผน!AW27"")"),135850)</f>
        <v>135850</v>
      </c>
      <c r="M240" s="321"/>
      <c r="N240" s="340">
        <v>0</v>
      </c>
      <c r="O240" s="321"/>
      <c r="P240" s="321"/>
      <c r="Q240" s="326"/>
      <c r="R240" s="326"/>
      <c r="S240" s="326"/>
      <c r="T240" s="326"/>
      <c r="U240" s="326"/>
      <c r="V240" s="326"/>
      <c r="W240" s="326"/>
      <c r="X240" s="326"/>
      <c r="Y240" s="326"/>
      <c r="Z240" s="326"/>
    </row>
    <row r="241" spans="1:26" ht="19.5">
      <c r="A241" s="322"/>
      <c r="B241" s="314"/>
      <c r="C241" s="323"/>
      <c r="D241" s="324" t="s">
        <v>116</v>
      </c>
      <c r="E241" s="315"/>
      <c r="F241" s="315"/>
      <c r="G241" s="317"/>
      <c r="H241" s="318" t="s">
        <v>12</v>
      </c>
      <c r="I241" s="325"/>
      <c r="J241" s="325"/>
      <c r="K241" s="321"/>
      <c r="L241" s="321">
        <f ca="1">IFERROR(__xludf.DUMMYFUNCTION("IMPORTRANGE(""https://docs.google.com/spreadsheets/d/1QqKyyYR6Q21VydFLVH3TRQUabQu_ym0Zz7PgGX0-kHA/edit?usp=sharing"",""แผน!AX27"")"),0)</f>
        <v>0</v>
      </c>
      <c r="M241" s="321"/>
      <c r="N241" s="340">
        <v>0</v>
      </c>
      <c r="O241" s="321"/>
      <c r="P241" s="321"/>
      <c r="Q241" s="326"/>
      <c r="R241" s="326"/>
      <c r="S241" s="326"/>
      <c r="T241" s="326"/>
      <c r="U241" s="326"/>
      <c r="V241" s="326"/>
      <c r="W241" s="326"/>
      <c r="X241" s="326"/>
      <c r="Y241" s="326"/>
      <c r="Z241" s="326"/>
    </row>
    <row r="242" spans="1:26" ht="19.5">
      <c r="A242" s="322"/>
      <c r="B242" s="314"/>
      <c r="C242" s="323"/>
      <c r="D242" s="324" t="s">
        <v>100</v>
      </c>
      <c r="E242" s="315"/>
      <c r="F242" s="315"/>
      <c r="G242" s="317"/>
      <c r="H242" s="318" t="s">
        <v>12</v>
      </c>
      <c r="I242" s="325"/>
      <c r="J242" s="325"/>
      <c r="K242" s="321"/>
      <c r="L242" s="321">
        <f ca="1">IFERROR(__xludf.DUMMYFUNCTION("IMPORTRANGE(""https://docs.google.com/spreadsheets/d/1QqKyyYR6Q21VydFLVH3TRQUabQu_ym0Zz7PgGX0-kHA/edit?usp=sharing"",""แผน!AY27"")"),50000)</f>
        <v>50000</v>
      </c>
      <c r="M242" s="321"/>
      <c r="N242" s="340">
        <v>0</v>
      </c>
      <c r="O242" s="321"/>
      <c r="P242" s="321"/>
      <c r="Q242" s="326"/>
      <c r="R242" s="326"/>
      <c r="S242" s="326"/>
      <c r="T242" s="326"/>
      <c r="U242" s="326"/>
      <c r="V242" s="326"/>
      <c r="W242" s="326"/>
      <c r="X242" s="326"/>
      <c r="Y242" s="326"/>
      <c r="Z242" s="326"/>
    </row>
    <row r="243" spans="1:26" ht="19.5">
      <c r="A243" s="170"/>
      <c r="B243" s="171"/>
      <c r="C243" s="291" t="s">
        <v>16</v>
      </c>
      <c r="D243" s="818" t="s">
        <v>38</v>
      </c>
      <c r="E243" s="173"/>
      <c r="F243" s="173"/>
      <c r="G243" s="174"/>
      <c r="H243" s="726"/>
      <c r="I243" s="184"/>
      <c r="J243" s="269"/>
      <c r="K243" s="465"/>
      <c r="L243" s="465"/>
      <c r="M243" s="465"/>
      <c r="N243" s="465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>
      <c r="A244" s="170"/>
      <c r="B244" s="171"/>
      <c r="C244" s="171"/>
      <c r="D244" s="415" t="s">
        <v>117</v>
      </c>
      <c r="E244" s="342"/>
      <c r="F244" s="342"/>
      <c r="G244" s="179"/>
      <c r="H244" s="728" t="s">
        <v>35</v>
      </c>
      <c r="I244" s="269">
        <f ca="1">IFERROR(__xludf.DUMMYFUNCTION("IMPORTRANGE(""https://docs.google.com/spreadsheets/d/1QqKyyYR6Q21VydFLVH3TRQUabQu_ym0Zz7PgGX0-kHA/edit?usp=sharing"",""แผน!BE27"")"),100)</f>
        <v>100</v>
      </c>
      <c r="J244" s="214">
        <v>0</v>
      </c>
      <c r="K244" s="465">
        <f ca="1">IF(I244&gt;0,J244*100/I244,0)</f>
        <v>0</v>
      </c>
      <c r="L244" s="465"/>
      <c r="M244" s="465"/>
      <c r="N244" s="465"/>
      <c r="O244" s="465"/>
      <c r="P244" s="465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>
      <c r="A245" s="170"/>
      <c r="B245" s="171"/>
      <c r="C245" s="171"/>
      <c r="D245" s="341" t="s">
        <v>43</v>
      </c>
      <c r="E245" s="342"/>
      <c r="F245" s="342"/>
      <c r="G245" s="179"/>
      <c r="H245" s="728"/>
      <c r="I245" s="269"/>
      <c r="J245" s="269"/>
      <c r="K245" s="465"/>
      <c r="L245" s="465"/>
      <c r="M245" s="465"/>
      <c r="N245" s="465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>
      <c r="A246" s="170"/>
      <c r="B246" s="171"/>
      <c r="C246" s="171"/>
      <c r="D246" s="171"/>
      <c r="E246" s="343" t="s">
        <v>118</v>
      </c>
      <c r="F246" s="342"/>
      <c r="G246" s="179"/>
      <c r="H246" s="728" t="s">
        <v>35</v>
      </c>
      <c r="I246" s="269">
        <v>0</v>
      </c>
      <c r="J246" s="214">
        <v>0</v>
      </c>
      <c r="K246" s="465">
        <f t="shared" ref="K246:K248" si="111">IF(I246&gt;0,J246*100/I246,0)</f>
        <v>0</v>
      </c>
      <c r="L246" s="465"/>
      <c r="M246" s="465"/>
      <c r="N246" s="465"/>
      <c r="O246" s="465"/>
      <c r="P246" s="465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>
      <c r="A247" s="170"/>
      <c r="B247" s="171"/>
      <c r="C247" s="171"/>
      <c r="D247" s="171"/>
      <c r="E247" s="343" t="s">
        <v>119</v>
      </c>
      <c r="F247" s="342"/>
      <c r="G247" s="179"/>
      <c r="H247" s="728" t="s">
        <v>69</v>
      </c>
      <c r="I247" s="269">
        <v>3</v>
      </c>
      <c r="J247" s="214">
        <v>0</v>
      </c>
      <c r="K247" s="465">
        <f t="shared" si="111"/>
        <v>0</v>
      </c>
      <c r="L247" s="465"/>
      <c r="M247" s="465"/>
      <c r="N247" s="465"/>
      <c r="O247" s="465"/>
      <c r="P247" s="465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5"/>
      <c r="B248" s="263"/>
      <c r="C248" s="339" t="s">
        <v>331</v>
      </c>
      <c r="D248" s="256"/>
      <c r="E248" s="256"/>
      <c r="F248" s="256"/>
      <c r="G248" s="258"/>
      <c r="H248" s="259" t="s">
        <v>35</v>
      </c>
      <c r="I248" s="271">
        <f t="shared" ref="I248:J248" ca="1" si="112">I255</f>
        <v>0</v>
      </c>
      <c r="J248" s="271">
        <f t="shared" si="112"/>
        <v>0</v>
      </c>
      <c r="K248" s="272">
        <f t="shared" ca="1" si="111"/>
        <v>0</v>
      </c>
      <c r="L248" s="261"/>
      <c r="M248" s="261"/>
      <c r="N248" s="261"/>
      <c r="O248" s="261"/>
      <c r="P248" s="261"/>
    </row>
    <row r="249" spans="1:26" ht="19.5" hidden="1">
      <c r="A249" s="147"/>
      <c r="B249" s="148"/>
      <c r="C249" s="149" t="s">
        <v>16</v>
      </c>
      <c r="D249" s="822" t="s">
        <v>17</v>
      </c>
      <c r="E249" s="148"/>
      <c r="F249" s="148"/>
      <c r="G249" s="151"/>
      <c r="H249" s="274" t="s">
        <v>12</v>
      </c>
      <c r="I249" s="387"/>
      <c r="J249" s="387"/>
      <c r="K249" s="279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3"/>
      <c r="B250" s="314"/>
      <c r="C250" s="315"/>
      <c r="D250" s="324" t="s">
        <v>97</v>
      </c>
      <c r="E250" s="315"/>
      <c r="F250" s="315"/>
      <c r="G250" s="317"/>
      <c r="H250" s="318" t="s">
        <v>12</v>
      </c>
      <c r="I250" s="319"/>
      <c r="J250" s="319"/>
      <c r="K250" s="320"/>
      <c r="L250" s="321">
        <f ca="1">IFERROR(__xludf.DUMMYFUNCTION("IMPORTRANGE(""https://docs.google.com/spreadsheets/d/1QqKyyYR6Q21VydFLVH3TRQUabQu_ym0Zz7PgGX0-kHA/edit?usp=sharing"",""แผน!AZ27"")"),0)</f>
        <v>0</v>
      </c>
      <c r="M250" s="321"/>
      <c r="N250" s="340">
        <v>0</v>
      </c>
      <c r="O250" s="321"/>
      <c r="P250" s="321"/>
      <c r="Q250" s="312"/>
      <c r="R250" s="312"/>
      <c r="S250" s="312"/>
      <c r="T250" s="312"/>
      <c r="U250" s="312"/>
      <c r="V250" s="312"/>
      <c r="W250" s="312"/>
      <c r="X250" s="312"/>
      <c r="Y250" s="312"/>
      <c r="Z250" s="312"/>
    </row>
    <row r="251" spans="1:26" ht="19.5" hidden="1">
      <c r="A251" s="322"/>
      <c r="B251" s="314"/>
      <c r="C251" s="323"/>
      <c r="D251" s="324" t="s">
        <v>98</v>
      </c>
      <c r="E251" s="315"/>
      <c r="F251" s="315"/>
      <c r="G251" s="317"/>
      <c r="H251" s="318" t="s">
        <v>12</v>
      </c>
      <c r="I251" s="325"/>
      <c r="J251" s="325"/>
      <c r="K251" s="321"/>
      <c r="L251" s="321">
        <f ca="1">IFERROR(__xludf.DUMMYFUNCTION("IMPORTRANGE(""https://docs.google.com/spreadsheets/d/1QqKyyYR6Q21VydFLVH3TRQUabQu_ym0Zz7PgGX0-kHA/edit?usp=sharing"",""แผน!BA27"")"),0)</f>
        <v>0</v>
      </c>
      <c r="M251" s="321"/>
      <c r="N251" s="340">
        <v>0</v>
      </c>
      <c r="O251" s="321"/>
      <c r="P251" s="321"/>
      <c r="Q251" s="326"/>
      <c r="R251" s="326"/>
      <c r="S251" s="326"/>
      <c r="T251" s="326"/>
      <c r="U251" s="326"/>
      <c r="V251" s="326"/>
      <c r="W251" s="326"/>
      <c r="X251" s="326"/>
      <c r="Y251" s="326"/>
      <c r="Z251" s="326"/>
    </row>
    <row r="252" spans="1:26" ht="19.5" hidden="1">
      <c r="A252" s="322"/>
      <c r="B252" s="314"/>
      <c r="C252" s="323"/>
      <c r="D252" s="324" t="s">
        <v>116</v>
      </c>
      <c r="E252" s="315"/>
      <c r="F252" s="315"/>
      <c r="G252" s="317"/>
      <c r="H252" s="318" t="s">
        <v>12</v>
      </c>
      <c r="I252" s="325"/>
      <c r="J252" s="325"/>
      <c r="K252" s="321"/>
      <c r="L252" s="321">
        <f ca="1">IFERROR(__xludf.DUMMYFUNCTION("IMPORTRANGE(""https://docs.google.com/spreadsheets/d/1QqKyyYR6Q21VydFLVH3TRQUabQu_ym0Zz7PgGX0-kHA/edit?usp=sharing"",""แผน!BB27"")"),0)</f>
        <v>0</v>
      </c>
      <c r="M252" s="321"/>
      <c r="N252" s="340">
        <v>0</v>
      </c>
      <c r="O252" s="321"/>
      <c r="P252" s="321"/>
      <c r="Q252" s="326"/>
      <c r="R252" s="326"/>
      <c r="S252" s="326"/>
      <c r="T252" s="326"/>
      <c r="U252" s="326"/>
      <c r="V252" s="326"/>
      <c r="W252" s="326"/>
      <c r="X252" s="326"/>
      <c r="Y252" s="326"/>
      <c r="Z252" s="326"/>
    </row>
    <row r="253" spans="1:26" ht="19.5" hidden="1">
      <c r="A253" s="322"/>
      <c r="B253" s="314"/>
      <c r="C253" s="323"/>
      <c r="D253" s="324" t="s">
        <v>100</v>
      </c>
      <c r="E253" s="315"/>
      <c r="F253" s="315"/>
      <c r="G253" s="317"/>
      <c r="H253" s="318" t="s">
        <v>12</v>
      </c>
      <c r="I253" s="325"/>
      <c r="J253" s="325"/>
      <c r="K253" s="321"/>
      <c r="L253" s="321">
        <f ca="1">IFERROR(__xludf.DUMMYFUNCTION("IMPORTRANGE(""https://docs.google.com/spreadsheets/d/1QqKyyYR6Q21VydFLVH3TRQUabQu_ym0Zz7PgGX0-kHA/edit?usp=sharing"",""แผน!BC27"")"),0)</f>
        <v>0</v>
      </c>
      <c r="M253" s="321"/>
      <c r="N253" s="340">
        <v>0</v>
      </c>
      <c r="O253" s="321"/>
      <c r="P253" s="321"/>
      <c r="Q253" s="326"/>
      <c r="R253" s="326"/>
      <c r="S253" s="326"/>
      <c r="T253" s="326"/>
      <c r="U253" s="326"/>
      <c r="V253" s="326"/>
      <c r="W253" s="326"/>
      <c r="X253" s="326"/>
      <c r="Y253" s="326"/>
      <c r="Z253" s="326"/>
    </row>
    <row r="254" spans="1:26" ht="19.5" hidden="1">
      <c r="A254" s="170"/>
      <c r="B254" s="171"/>
      <c r="C254" s="291" t="s">
        <v>16</v>
      </c>
      <c r="D254" s="818" t="s">
        <v>38</v>
      </c>
      <c r="E254" s="173"/>
      <c r="F254" s="173"/>
      <c r="G254" s="174"/>
      <c r="H254" s="726"/>
      <c r="I254" s="184"/>
      <c r="J254" s="269"/>
      <c r="K254" s="465"/>
      <c r="L254" s="465"/>
      <c r="M254" s="465"/>
      <c r="N254" s="465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15" t="s">
        <v>117</v>
      </c>
      <c r="E255" s="342"/>
      <c r="F255" s="342"/>
      <c r="G255" s="179"/>
      <c r="H255" s="728" t="s">
        <v>35</v>
      </c>
      <c r="I255" s="269">
        <f ca="1">IFERROR(__xludf.DUMMYFUNCTION("IMPORTRANGE(""https://docs.google.com/spreadsheets/d/1QqKyyYR6Q21VydFLVH3TRQUabQu_ym0Zz7PgGX0-kHA/edit?usp=sharing"",""แผน!BF27"")"),0)</f>
        <v>0</v>
      </c>
      <c r="J255" s="214">
        <v>0</v>
      </c>
      <c r="K255" s="465">
        <f ca="1">IF(I255&gt;0,J255*100/I255,0)</f>
        <v>0</v>
      </c>
      <c r="L255" s="465"/>
      <c r="M255" s="465"/>
      <c r="N255" s="465"/>
      <c r="O255" s="465"/>
      <c r="P255" s="465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341" t="s">
        <v>43</v>
      </c>
      <c r="E256" s="342"/>
      <c r="F256" s="342"/>
      <c r="G256" s="179"/>
      <c r="H256" s="728"/>
      <c r="I256" s="269"/>
      <c r="J256" s="269"/>
      <c r="K256" s="465"/>
      <c r="L256" s="465"/>
      <c r="M256" s="465"/>
      <c r="N256" s="465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343" t="s">
        <v>118</v>
      </c>
      <c r="F257" s="342"/>
      <c r="G257" s="179"/>
      <c r="H257" s="728" t="s">
        <v>35</v>
      </c>
      <c r="I257" s="269"/>
      <c r="J257" s="214">
        <v>0</v>
      </c>
      <c r="K257" s="465">
        <f t="shared" ref="K257:K258" si="113">IF(I257&gt;0,J257*100/I257,0)</f>
        <v>0</v>
      </c>
      <c r="L257" s="465"/>
      <c r="M257" s="465"/>
      <c r="N257" s="465"/>
      <c r="O257" s="465"/>
      <c r="P257" s="465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343" t="s">
        <v>119</v>
      </c>
      <c r="F258" s="342"/>
      <c r="G258" s="179"/>
      <c r="H258" s="728" t="s">
        <v>69</v>
      </c>
      <c r="I258" s="269"/>
      <c r="J258" s="214">
        <v>0</v>
      </c>
      <c r="K258" s="465">
        <f t="shared" si="113"/>
        <v>0</v>
      </c>
      <c r="L258" s="465"/>
      <c r="M258" s="465"/>
      <c r="N258" s="465"/>
      <c r="O258" s="465"/>
      <c r="P258" s="465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1" t="s">
        <v>122</v>
      </c>
      <c r="B259" s="242"/>
      <c r="C259" s="242"/>
      <c r="D259" s="243"/>
      <c r="E259" s="243"/>
      <c r="F259" s="243"/>
      <c r="G259" s="244"/>
      <c r="H259" s="245"/>
      <c r="I259" s="246"/>
      <c r="J259" s="246"/>
      <c r="K259" s="247"/>
      <c r="L259" s="247"/>
      <c r="M259" s="247"/>
      <c r="N259" s="247"/>
      <c r="O259" s="247"/>
      <c r="P259" s="247"/>
    </row>
    <row r="260" spans="1:26" ht="19.5">
      <c r="A260" s="248"/>
      <c r="B260" s="249" t="s">
        <v>123</v>
      </c>
      <c r="C260" s="250"/>
      <c r="D260" s="173"/>
      <c r="E260" s="173"/>
      <c r="F260" s="173"/>
      <c r="G260" s="174"/>
      <c r="H260" s="251" t="s">
        <v>35</v>
      </c>
      <c r="I260" s="252">
        <f t="shared" ref="I260:J260" ca="1" si="114">I271</f>
        <v>22</v>
      </c>
      <c r="J260" s="252">
        <f t="shared" si="114"/>
        <v>0</v>
      </c>
      <c r="K260" s="253">
        <f ca="1">IF(I260&gt;0,J260*100/I260,0)</f>
        <v>0</v>
      </c>
      <c r="L260" s="254"/>
      <c r="M260" s="254"/>
      <c r="N260" s="254"/>
      <c r="O260" s="254"/>
      <c r="P260" s="254"/>
    </row>
    <row r="261" spans="1:26" ht="19.5">
      <c r="A261" s="147"/>
      <c r="B261" s="148"/>
      <c r="C261" s="149" t="s">
        <v>16</v>
      </c>
      <c r="D261" s="817" t="s">
        <v>17</v>
      </c>
      <c r="E261" s="148"/>
      <c r="F261" s="148"/>
      <c r="G261" s="151"/>
      <c r="H261" s="152" t="s">
        <v>12</v>
      </c>
      <c r="I261" s="388"/>
      <c r="J261" s="388"/>
      <c r="K261" s="154"/>
      <c r="L261" s="155">
        <f t="shared" ref="L261:N261" ca="1" si="115">L262+L263</f>
        <v>312900</v>
      </c>
      <c r="M261" s="155">
        <f t="shared" ca="1" si="115"/>
        <v>153900</v>
      </c>
      <c r="N261" s="155">
        <f t="shared" ca="1" si="115"/>
        <v>43594</v>
      </c>
      <c r="O261" s="155">
        <f t="shared" ref="O261:O269" ca="1" si="116">IF(L261&gt;0,N261*100/L261,0)</f>
        <v>13.932246724193034</v>
      </c>
      <c r="P261" s="155">
        <f t="shared" ref="P261:P269" ca="1" si="117">IF(M261&gt;0,N261*100/M261,0)</f>
        <v>28.326185834957766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2" t="s">
        <v>18</v>
      </c>
      <c r="F262" s="40"/>
      <c r="G262" s="157"/>
      <c r="H262" s="158" t="s">
        <v>12</v>
      </c>
      <c r="I262" s="583"/>
      <c r="J262" s="583"/>
      <c r="K262" s="93"/>
      <c r="L262" s="93">
        <f t="shared" ref="L262:N263" si="118">L265+L268</f>
        <v>0</v>
      </c>
      <c r="M262" s="93">
        <f t="shared" si="118"/>
        <v>0</v>
      </c>
      <c r="N262" s="93">
        <f t="shared" si="118"/>
        <v>0</v>
      </c>
      <c r="O262" s="93">
        <f t="shared" si="116"/>
        <v>0</v>
      </c>
      <c r="P262" s="93">
        <f t="shared" si="117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2" t="s">
        <v>19</v>
      </c>
      <c r="F263" s="40"/>
      <c r="G263" s="157"/>
      <c r="H263" s="158" t="s">
        <v>12</v>
      </c>
      <c r="I263" s="583"/>
      <c r="J263" s="583"/>
      <c r="K263" s="93"/>
      <c r="L263" s="93">
        <f t="shared" ca="1" si="118"/>
        <v>312900</v>
      </c>
      <c r="M263" s="93">
        <f t="shared" ca="1" si="118"/>
        <v>153900</v>
      </c>
      <c r="N263" s="93">
        <f t="shared" ca="1" si="118"/>
        <v>43594</v>
      </c>
      <c r="O263" s="93">
        <f t="shared" ca="1" si="116"/>
        <v>13.932246724193034</v>
      </c>
      <c r="P263" s="93">
        <f t="shared" ca="1" si="117"/>
        <v>28.326185834957766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1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65">
        <f t="shared" ref="L264:N264" ca="1" si="119">L265+L266</f>
        <v>312900</v>
      </c>
      <c r="M264" s="465">
        <f t="shared" ca="1" si="119"/>
        <v>153900</v>
      </c>
      <c r="N264" s="465">
        <f t="shared" ca="1" si="119"/>
        <v>43594</v>
      </c>
      <c r="O264" s="465">
        <f t="shared" ca="1" si="116"/>
        <v>13.932246724193034</v>
      </c>
      <c r="P264" s="465">
        <f t="shared" ca="1" si="117"/>
        <v>28.326185834957766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2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6"/>
        <v>0</v>
      </c>
      <c r="P265" s="93">
        <f t="shared" si="117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2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IFERROR(__xludf.DUMMYFUNCTION("IMPORTRANGE(""https://docs.google.com/spreadsheets/d/1MeEWN-I1oV_STSDYn1IFDPWt_1FKiwhDph83XaGc0o0/edit?usp=sharing"",""งบพรบ!CY27"")"),312900)</f>
        <v>312900</v>
      </c>
      <c r="M266" s="93">
        <f ca="1">IFERROR(__xludf.DUMMYFUNCTION("IMPORTRANGE(""https://docs.google.com/spreadsheets/d/1MeEWN-I1oV_STSDYn1IFDPWt_1FKiwhDph83XaGc0o0/edit?usp=sharing"",""งบพรบ!DD27"")"),153900)</f>
        <v>153900</v>
      </c>
      <c r="N266" s="93">
        <f ca="1">IFERROR(__xludf.DUMMYFUNCTION("IMPORTRANGE(""https://docs.google.com/spreadsheets/d/1MeEWN-I1oV_STSDYn1IFDPWt_1FKiwhDph83XaGc0o0/edit?usp=sharing"",""งบพรบ!DF27"")"),43594)</f>
        <v>43594</v>
      </c>
      <c r="O266" s="93">
        <f t="shared" ca="1" si="116"/>
        <v>13.932246724193034</v>
      </c>
      <c r="P266" s="93">
        <f t="shared" ca="1" si="117"/>
        <v>28.326185834957766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1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65">
        <f t="shared" ref="L267:N267" ca="1" si="120">L268+L269</f>
        <v>0</v>
      </c>
      <c r="M267" s="465">
        <f t="shared" ca="1" si="120"/>
        <v>0</v>
      </c>
      <c r="N267" s="465">
        <f t="shared" ca="1" si="120"/>
        <v>0</v>
      </c>
      <c r="O267" s="465">
        <f t="shared" ca="1" si="116"/>
        <v>0</v>
      </c>
      <c r="P267" s="465">
        <f t="shared" ca="1" si="117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2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6"/>
        <v>0</v>
      </c>
      <c r="P268" s="93">
        <f t="shared" si="117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2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IFERROR(__xludf.DUMMYFUNCTION("IMPORTRANGE(""https://docs.google.com/spreadsheets/d/1MeEWN-I1oV_STSDYn1IFDPWt_1FKiwhDph83XaGc0o0/edit?usp=sharing"",""งบพรบ!DB27"")"),0)</f>
        <v>0</v>
      </c>
      <c r="M269" s="93">
        <f ca="1">IFERROR(__xludf.DUMMYFUNCTION("IMPORTRANGE(""https://docs.google.com/spreadsheets/d/1MeEWN-I1oV_STSDYn1IFDPWt_1FKiwhDph83XaGc0o0/edit?usp=sharing"",""งบพรบ!DE27"")"),0)</f>
        <v>0</v>
      </c>
      <c r="N269" s="93">
        <f ca="1">IFERROR(__xludf.DUMMYFUNCTION("IMPORTRANGE(""https://docs.google.com/spreadsheets/d/1MeEWN-I1oV_STSDYn1IFDPWt_1FKiwhDph83XaGc0o0/edit?usp=sharing"",""งบพรบ!DG27"")"),0)</f>
        <v>0</v>
      </c>
      <c r="O269" s="93">
        <f t="shared" ca="1" si="116"/>
        <v>0</v>
      </c>
      <c r="P269" s="93">
        <f t="shared" ca="1" si="117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1" t="s">
        <v>16</v>
      </c>
      <c r="D270" s="818" t="s">
        <v>38</v>
      </c>
      <c r="E270" s="173"/>
      <c r="F270" s="173"/>
      <c r="G270" s="174"/>
      <c r="H270" s="726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44" t="s">
        <v>124</v>
      </c>
      <c r="E271" s="342"/>
      <c r="F271" s="268"/>
      <c r="G271" s="179"/>
      <c r="H271" s="345" t="s">
        <v>35</v>
      </c>
      <c r="I271" s="269">
        <f ca="1">IFERROR(__xludf.DUMMYFUNCTION("IMPORTRANGE(""https://docs.google.com/spreadsheets/d/1QqKyyYR6Q21VydFLVH3TRQUabQu_ym0Zz7PgGX0-kHA/edit?usp=sharing"",""แผน!EA27"")"),22)</f>
        <v>22</v>
      </c>
      <c r="J271" s="214">
        <v>0</v>
      </c>
      <c r="K271" s="163">
        <f ca="1">IF(I271&gt;0,J271*100/I271,0)</f>
        <v>0</v>
      </c>
      <c r="L271" s="163"/>
      <c r="M271" s="163"/>
      <c r="N271" s="163"/>
      <c r="O271" s="163"/>
      <c r="P271" s="163"/>
    </row>
    <row r="272" spans="1:26" ht="18.75" hidden="1">
      <c r="A272" s="346"/>
      <c r="B272" s="347"/>
      <c r="C272" s="347"/>
      <c r="D272" s="348" t="s">
        <v>125</v>
      </c>
      <c r="E272" s="349"/>
      <c r="F272" s="349"/>
      <c r="G272" s="350"/>
      <c r="H272" s="50" t="s">
        <v>35</v>
      </c>
      <c r="I272" s="468">
        <v>0</v>
      </c>
      <c r="J272" s="468">
        <v>0</v>
      </c>
      <c r="K272" s="353">
        <v>0</v>
      </c>
      <c r="L272" s="353"/>
      <c r="M272" s="353"/>
      <c r="N272" s="353"/>
      <c r="O272" s="353"/>
      <c r="P272" s="353"/>
    </row>
    <row r="273" spans="1:26" ht="19.5" hidden="1">
      <c r="A273" s="354" t="s">
        <v>126</v>
      </c>
      <c r="B273" s="355"/>
      <c r="C273" s="355"/>
      <c r="D273" s="355"/>
      <c r="E273" s="356"/>
      <c r="F273" s="356"/>
      <c r="G273" s="357"/>
      <c r="H273" s="358"/>
      <c r="I273" s="359"/>
      <c r="J273" s="359"/>
      <c r="K273" s="360"/>
      <c r="L273" s="360"/>
      <c r="M273" s="360"/>
      <c r="N273" s="360"/>
      <c r="O273" s="360"/>
      <c r="P273" s="360"/>
    </row>
    <row r="274" spans="1:26" ht="19.5" hidden="1">
      <c r="A274" s="361" t="s">
        <v>127</v>
      </c>
      <c r="B274" s="362"/>
      <c r="C274" s="363"/>
      <c r="D274" s="362"/>
      <c r="E274" s="362"/>
      <c r="F274" s="362"/>
      <c r="G274" s="362"/>
      <c r="H274" s="364"/>
      <c r="I274" s="365"/>
      <c r="J274" s="366"/>
      <c r="K274" s="367"/>
      <c r="L274" s="367"/>
      <c r="M274" s="367"/>
      <c r="N274" s="367"/>
      <c r="O274" s="367"/>
      <c r="P274" s="367"/>
    </row>
    <row r="275" spans="1:26" ht="19.5" hidden="1">
      <c r="A275" s="368"/>
      <c r="B275" s="377" t="s">
        <v>128</v>
      </c>
      <c r="C275" s="370"/>
      <c r="D275" s="371"/>
      <c r="E275" s="370"/>
      <c r="F275" s="370"/>
      <c r="G275" s="372"/>
      <c r="H275" s="373" t="s">
        <v>35</v>
      </c>
      <c r="I275" s="374">
        <f t="shared" ref="I275:J275" ca="1" si="121">I288</f>
        <v>0</v>
      </c>
      <c r="J275" s="374">
        <f t="shared" ca="1" si="121"/>
        <v>0</v>
      </c>
      <c r="K275" s="375">
        <f t="shared" ref="K275:K276" ca="1" si="122">IF(I275&gt;0,J275*100/I275,0)</f>
        <v>0</v>
      </c>
      <c r="L275" s="376"/>
      <c r="M275" s="376"/>
      <c r="N275" s="376"/>
      <c r="O275" s="376"/>
      <c r="P275" s="376"/>
    </row>
    <row r="276" spans="1:26" ht="19.5" hidden="1">
      <c r="A276" s="368"/>
      <c r="B276" s="377"/>
      <c r="C276" s="370"/>
      <c r="D276" s="371"/>
      <c r="E276" s="370"/>
      <c r="F276" s="370"/>
      <c r="G276" s="372"/>
      <c r="H276" s="373" t="s">
        <v>46</v>
      </c>
      <c r="I276" s="859">
        <f t="shared" ref="I276:J276" ca="1" si="123">I287</f>
        <v>0</v>
      </c>
      <c r="J276" s="859">
        <f t="shared" si="123"/>
        <v>0</v>
      </c>
      <c r="K276" s="376">
        <f t="shared" ca="1" si="122"/>
        <v>0</v>
      </c>
      <c r="L276" s="376"/>
      <c r="M276" s="376"/>
      <c r="N276" s="376"/>
      <c r="O276" s="376"/>
      <c r="P276" s="376"/>
    </row>
    <row r="277" spans="1:26" ht="19.5" hidden="1">
      <c r="A277" s="147"/>
      <c r="B277" s="148"/>
      <c r="C277" s="149" t="s">
        <v>16</v>
      </c>
      <c r="D277" s="817" t="s">
        <v>17</v>
      </c>
      <c r="E277" s="148"/>
      <c r="F277" s="148"/>
      <c r="G277" s="151"/>
      <c r="H277" s="152" t="s">
        <v>12</v>
      </c>
      <c r="I277" s="388"/>
      <c r="J277" s="388"/>
      <c r="K277" s="154"/>
      <c r="L277" s="155">
        <f t="shared" ref="L277:N277" ca="1" si="124">L278+L279</f>
        <v>0</v>
      </c>
      <c r="M277" s="155">
        <f t="shared" ca="1" si="124"/>
        <v>0</v>
      </c>
      <c r="N277" s="155">
        <f t="shared" ca="1" si="124"/>
        <v>0</v>
      </c>
      <c r="O277" s="155">
        <f t="shared" ref="O277:O285" ca="1" si="125">IF(L277&gt;0,N277*100/L277,0)</f>
        <v>0</v>
      </c>
      <c r="P277" s="155">
        <f t="shared" ref="P277:P285" ca="1" si="126">IF(M277&gt;0,N277*100/M277,0)</f>
        <v>0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2" t="s">
        <v>18</v>
      </c>
      <c r="F278" s="40"/>
      <c r="G278" s="157"/>
      <c r="H278" s="158" t="s">
        <v>12</v>
      </c>
      <c r="I278" s="583"/>
      <c r="J278" s="583"/>
      <c r="K278" s="93"/>
      <c r="L278" s="93">
        <f t="shared" ref="L278:N279" si="127">L281+L284</f>
        <v>0</v>
      </c>
      <c r="M278" s="93">
        <f t="shared" si="127"/>
        <v>0</v>
      </c>
      <c r="N278" s="93">
        <f t="shared" si="127"/>
        <v>0</v>
      </c>
      <c r="O278" s="93">
        <f t="shared" si="125"/>
        <v>0</v>
      </c>
      <c r="P278" s="93">
        <f t="shared" si="126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2" t="s">
        <v>19</v>
      </c>
      <c r="F279" s="40"/>
      <c r="G279" s="157"/>
      <c r="H279" s="158" t="s">
        <v>12</v>
      </c>
      <c r="I279" s="583"/>
      <c r="J279" s="583"/>
      <c r="K279" s="93"/>
      <c r="L279" s="93">
        <f t="shared" ca="1" si="127"/>
        <v>0</v>
      </c>
      <c r="M279" s="93">
        <f t="shared" ca="1" si="127"/>
        <v>0</v>
      </c>
      <c r="N279" s="93">
        <f t="shared" ca="1" si="127"/>
        <v>0</v>
      </c>
      <c r="O279" s="93">
        <f t="shared" ca="1" si="125"/>
        <v>0</v>
      </c>
      <c r="P279" s="93">
        <f t="shared" ca="1" si="126"/>
        <v>0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 hidden="1">
      <c r="A280" s="159"/>
      <c r="B280" s="33"/>
      <c r="C280" s="281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65">
        <f t="shared" ref="L280:N280" ca="1" si="128">L281+L282</f>
        <v>0</v>
      </c>
      <c r="M280" s="465">
        <f t="shared" ca="1" si="128"/>
        <v>0</v>
      </c>
      <c r="N280" s="465">
        <f t="shared" ca="1" si="128"/>
        <v>0</v>
      </c>
      <c r="O280" s="465">
        <f t="shared" ca="1" si="125"/>
        <v>0</v>
      </c>
      <c r="P280" s="465">
        <f t="shared" ca="1" si="126"/>
        <v>0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2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5"/>
        <v>0</v>
      </c>
      <c r="P281" s="93">
        <f t="shared" si="126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2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IFERROR(__xludf.DUMMYFUNCTION("IMPORTRANGE(""https://docs.google.com/spreadsheets/d/1MeEWN-I1oV_STSDYn1IFDPWt_1FKiwhDph83XaGc0o0/edit?usp=sharing"",""งบพรบ!DI27"")"),0)</f>
        <v>0</v>
      </c>
      <c r="M282" s="93">
        <f ca="1">IFERROR(__xludf.DUMMYFUNCTION("IMPORTRANGE(""https://docs.google.com/spreadsheets/d/1MeEWN-I1oV_STSDYn1IFDPWt_1FKiwhDph83XaGc0o0/edit?usp=sharing"",""งบพรบ!DN27"")"),0)</f>
        <v>0</v>
      </c>
      <c r="N282" s="93">
        <f ca="1">IFERROR(__xludf.DUMMYFUNCTION("IMPORTRANGE(""https://docs.google.com/spreadsheets/d/1MeEWN-I1oV_STSDYn1IFDPWt_1FKiwhDph83XaGc0o0/edit?usp=sharing"",""งบพรบ!DP27"")"),0)</f>
        <v>0</v>
      </c>
      <c r="O282" s="93">
        <f t="shared" ca="1" si="125"/>
        <v>0</v>
      </c>
      <c r="P282" s="93">
        <f t="shared" ca="1" si="126"/>
        <v>0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 hidden="1">
      <c r="A283" s="159"/>
      <c r="B283" s="33"/>
      <c r="C283" s="281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65">
        <f t="shared" ref="L283:N283" ca="1" si="129">L284+L285</f>
        <v>0</v>
      </c>
      <c r="M283" s="465">
        <f t="shared" ca="1" si="129"/>
        <v>0</v>
      </c>
      <c r="N283" s="465">
        <f t="shared" ca="1" si="129"/>
        <v>0</v>
      </c>
      <c r="O283" s="465">
        <f t="shared" ca="1" si="125"/>
        <v>0</v>
      </c>
      <c r="P283" s="465">
        <f t="shared" ca="1" si="126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2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5"/>
        <v>0</v>
      </c>
      <c r="P284" s="93">
        <f t="shared" si="126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2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IFERROR(__xludf.DUMMYFUNCTION("IMPORTRANGE(""https://docs.google.com/spreadsheets/d/1MeEWN-I1oV_STSDYn1IFDPWt_1FKiwhDph83XaGc0o0/edit?usp=sharing"",""งบพรบ!DL27"")"),0)</f>
        <v>0</v>
      </c>
      <c r="M285" s="93">
        <f ca="1">IFERROR(__xludf.DUMMYFUNCTION("IMPORTRANGE(""https://docs.google.com/spreadsheets/d/1MeEWN-I1oV_STSDYn1IFDPWt_1FKiwhDph83XaGc0o0/edit?usp=sharing"",""งบพรบ!DO27"")"),0)</f>
        <v>0</v>
      </c>
      <c r="N285" s="93">
        <f ca="1">IFERROR(__xludf.DUMMYFUNCTION("IMPORTRANGE(""https://docs.google.com/spreadsheets/d/1MeEWN-I1oV_STSDYn1IFDPWt_1FKiwhDph83XaGc0o0/edit?usp=sharing"",""งบพรบ!DQ27"")"),0)</f>
        <v>0</v>
      </c>
      <c r="O285" s="93">
        <f t="shared" ca="1" si="125"/>
        <v>0</v>
      </c>
      <c r="P285" s="93">
        <f t="shared" ca="1" si="126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 hidden="1">
      <c r="A286" s="170"/>
      <c r="B286" s="171"/>
      <c r="C286" s="164" t="s">
        <v>16</v>
      </c>
      <c r="D286" s="818" t="s">
        <v>38</v>
      </c>
      <c r="E286" s="173"/>
      <c r="F286" s="173"/>
      <c r="G286" s="174"/>
      <c r="H286" s="726"/>
      <c r="I286" s="184"/>
      <c r="J286" s="184"/>
      <c r="K286" s="163"/>
      <c r="L286" s="163"/>
      <c r="M286" s="163"/>
      <c r="N286" s="163"/>
      <c r="O286" s="163"/>
      <c r="P286" s="163"/>
    </row>
    <row r="287" spans="1:26" ht="18.75" hidden="1">
      <c r="A287" s="170"/>
      <c r="B287" s="171"/>
      <c r="C287" s="171"/>
      <c r="D287" s="592" t="s">
        <v>129</v>
      </c>
      <c r="E287" s="171"/>
      <c r="F287" s="342"/>
      <c r="G287" s="179"/>
      <c r="H287" s="185" t="s">
        <v>46</v>
      </c>
      <c r="I287" s="269">
        <f ca="1">IFERROR(__xludf.DUMMYFUNCTION("IMPORTRANGE(""https://docs.google.com/spreadsheets/d/1QqKyyYR6Q21VydFLVH3TRQUabQu_ym0Zz7PgGX0-kHA/edit?usp=sharing"",""แผน!EC27"")"),0)</f>
        <v>0</v>
      </c>
      <c r="J287" s="214">
        <v>0</v>
      </c>
      <c r="K287" s="163">
        <f t="shared" ref="K287:K288" ca="1" si="130">IF(I287&gt;0,J287*100/I287,0)</f>
        <v>0</v>
      </c>
      <c r="L287" s="163"/>
      <c r="M287" s="163"/>
      <c r="N287" s="163"/>
      <c r="O287" s="163"/>
      <c r="P287" s="163"/>
    </row>
    <row r="288" spans="1:26" ht="19.5" hidden="1">
      <c r="A288" s="170"/>
      <c r="B288" s="171"/>
      <c r="C288" s="171"/>
      <c r="D288" s="592" t="s">
        <v>130</v>
      </c>
      <c r="E288" s="171"/>
      <c r="F288" s="342"/>
      <c r="G288" s="179"/>
      <c r="H288" s="180" t="s">
        <v>35</v>
      </c>
      <c r="I288" s="647">
        <f ca="1">IFERROR(__xludf.DUMMYFUNCTION("IMPORTRANGE(""https://docs.google.com/spreadsheets/d/1QqKyyYR6Q21VydFLVH3TRQUabQu_ym0Zz7PgGX0-kHA/edit?usp=sharing"",""แผน!EB27"")"),0)</f>
        <v>0</v>
      </c>
      <c r="J288" s="647">
        <f ca="1">IF(AND(J291&gt;=I288,J294&gt;=I288),J294,0)</f>
        <v>0</v>
      </c>
      <c r="K288" s="379">
        <f t="shared" ca="1" si="130"/>
        <v>0</v>
      </c>
      <c r="L288" s="163"/>
      <c r="M288" s="163"/>
      <c r="N288" s="163"/>
      <c r="O288" s="163"/>
      <c r="P288" s="163"/>
    </row>
    <row r="289" spans="1:26" ht="19.5" hidden="1">
      <c r="A289" s="170"/>
      <c r="B289" s="171"/>
      <c r="C289" s="171"/>
      <c r="D289" s="380"/>
      <c r="E289" s="381" t="s">
        <v>131</v>
      </c>
      <c r="F289" s="342"/>
      <c r="G289" s="179"/>
      <c r="H289" s="728"/>
      <c r="I289" s="184"/>
      <c r="J289" s="269"/>
      <c r="K289" s="163"/>
      <c r="L289" s="163"/>
      <c r="M289" s="163"/>
      <c r="N289" s="163"/>
      <c r="O289" s="163"/>
      <c r="P289" s="163"/>
    </row>
    <row r="290" spans="1:26" ht="19.5" hidden="1">
      <c r="A290" s="170"/>
      <c r="B290" s="171"/>
      <c r="C290" s="171"/>
      <c r="D290" s="380"/>
      <c r="E290" s="592" t="s">
        <v>132</v>
      </c>
      <c r="F290" s="342"/>
      <c r="G290" s="179"/>
      <c r="H290" s="728" t="s">
        <v>35</v>
      </c>
      <c r="I290" s="184">
        <f ca="1">IFERROR(__xludf.DUMMYFUNCTION("IMPORTRANGE(""https://docs.google.com/spreadsheets/d/1QqKyyYR6Q21VydFLVH3TRQUabQu_ym0Zz7PgGX0-kHA/edit?usp=sharing"",""แผน!EB27"")"),0)</f>
        <v>0</v>
      </c>
      <c r="J290" s="214">
        <v>0</v>
      </c>
      <c r="K290" s="163">
        <f t="shared" ref="K290:K291" ca="1" si="131">IF(I290&gt;0,J290*100/I290,0)</f>
        <v>0</v>
      </c>
      <c r="L290" s="163"/>
      <c r="M290" s="163"/>
      <c r="N290" s="163"/>
      <c r="O290" s="163"/>
      <c r="P290" s="163"/>
    </row>
    <row r="291" spans="1:26" ht="19.5" hidden="1">
      <c r="A291" s="170"/>
      <c r="B291" s="171"/>
      <c r="C291" s="171"/>
      <c r="D291" s="342"/>
      <c r="E291" s="592" t="s">
        <v>348</v>
      </c>
      <c r="F291" s="342"/>
      <c r="G291" s="179"/>
      <c r="H291" s="728" t="s">
        <v>35</v>
      </c>
      <c r="I291" s="184">
        <f ca="1">IFERROR(__xludf.DUMMYFUNCTION("IMPORTRANGE(""https://docs.google.com/spreadsheets/d/1QqKyyYR6Q21VydFLVH3TRQUabQu_ym0Zz7PgGX0-kHA/edit?usp=sharing"",""แผน!EB27"")"),0)</f>
        <v>0</v>
      </c>
      <c r="J291" s="214">
        <v>0</v>
      </c>
      <c r="K291" s="163">
        <f t="shared" ca="1" si="131"/>
        <v>0</v>
      </c>
      <c r="L291" s="163"/>
      <c r="M291" s="163"/>
      <c r="N291" s="163"/>
      <c r="O291" s="163"/>
      <c r="P291" s="163"/>
    </row>
    <row r="292" spans="1:26" ht="19.5" hidden="1">
      <c r="A292" s="382"/>
      <c r="B292" s="383"/>
      <c r="C292" s="383"/>
      <c r="D292" s="384"/>
      <c r="E292" s="385" t="s">
        <v>134</v>
      </c>
      <c r="F292" s="286"/>
      <c r="G292" s="287"/>
      <c r="H292" s="386"/>
      <c r="I292" s="387"/>
      <c r="J292" s="388"/>
      <c r="K292" s="279"/>
      <c r="L292" s="279"/>
      <c r="M292" s="279"/>
      <c r="N292" s="279"/>
      <c r="O292" s="279"/>
      <c r="P292" s="279"/>
    </row>
    <row r="293" spans="1:26" ht="19.5" hidden="1">
      <c r="A293" s="170"/>
      <c r="B293" s="171"/>
      <c r="C293" s="171"/>
      <c r="D293" s="380"/>
      <c r="E293" s="592" t="s">
        <v>132</v>
      </c>
      <c r="F293" s="342"/>
      <c r="G293" s="179"/>
      <c r="H293" s="728" t="s">
        <v>35</v>
      </c>
      <c r="I293" s="184">
        <f ca="1">IFERROR(__xludf.DUMMYFUNCTION("IMPORTRANGE(""https://docs.google.com/spreadsheets/d/1QqKyyYR6Q21VydFLVH3TRQUabQu_ym0Zz7PgGX0-kHA/edit?usp=sharing"",""แผน!EB27"")"),0)</f>
        <v>0</v>
      </c>
      <c r="J293" s="214">
        <v>0</v>
      </c>
      <c r="K293" s="163">
        <f t="shared" ref="K293:K294" ca="1" si="132">IF(I293&gt;0,J293*100/I293,0)</f>
        <v>0</v>
      </c>
      <c r="L293" s="163"/>
      <c r="M293" s="163"/>
      <c r="N293" s="163"/>
      <c r="O293" s="163"/>
      <c r="P293" s="163"/>
    </row>
    <row r="294" spans="1:26" ht="19.5" hidden="1">
      <c r="A294" s="346"/>
      <c r="B294" s="347"/>
      <c r="C294" s="347"/>
      <c r="D294" s="349"/>
      <c r="E294" s="698" t="s">
        <v>348</v>
      </c>
      <c r="F294" s="349"/>
      <c r="G294" s="350"/>
      <c r="H294" s="390" t="s">
        <v>35</v>
      </c>
      <c r="I294" s="391">
        <f ca="1">IFERROR(__xludf.DUMMYFUNCTION("IMPORTRANGE(""https://docs.google.com/spreadsheets/d/1QqKyyYR6Q21VydFLVH3TRQUabQu_ym0Zz7PgGX0-kHA/edit?usp=sharing"",""แผน!EB27"")"),0)</f>
        <v>0</v>
      </c>
      <c r="J294" s="392">
        <v>0</v>
      </c>
      <c r="K294" s="353">
        <f t="shared" ca="1" si="132"/>
        <v>0</v>
      </c>
      <c r="L294" s="353"/>
      <c r="M294" s="353"/>
      <c r="N294" s="353"/>
      <c r="O294" s="353"/>
      <c r="P294" s="353"/>
    </row>
    <row r="295" spans="1:26" ht="19.5">
      <c r="A295" s="393" t="s">
        <v>137</v>
      </c>
      <c r="B295" s="394"/>
      <c r="C295" s="394"/>
      <c r="D295" s="394"/>
      <c r="E295" s="395"/>
      <c r="F295" s="395"/>
      <c r="G295" s="396"/>
      <c r="H295" s="397"/>
      <c r="I295" s="398"/>
      <c r="J295" s="398"/>
      <c r="K295" s="399"/>
      <c r="L295" s="399"/>
      <c r="M295" s="399"/>
      <c r="N295" s="399"/>
      <c r="O295" s="399"/>
      <c r="P295" s="399"/>
    </row>
    <row r="296" spans="1:26" ht="19.5" hidden="1">
      <c r="A296" s="400" t="s">
        <v>138</v>
      </c>
      <c r="B296" s="401"/>
      <c r="C296" s="401"/>
      <c r="D296" s="402"/>
      <c r="E296" s="402"/>
      <c r="F296" s="402"/>
      <c r="G296" s="403"/>
      <c r="H296" s="404"/>
      <c r="I296" s="405"/>
      <c r="J296" s="405"/>
      <c r="K296" s="406"/>
      <c r="L296" s="406"/>
      <c r="M296" s="406"/>
      <c r="N296" s="406"/>
      <c r="O296" s="406"/>
      <c r="P296" s="406"/>
    </row>
    <row r="297" spans="1:26" ht="19.5" hidden="1">
      <c r="A297" s="407"/>
      <c r="B297" s="408" t="s">
        <v>139</v>
      </c>
      <c r="C297" s="409"/>
      <c r="D297" s="409"/>
      <c r="E297" s="409"/>
      <c r="F297" s="409"/>
      <c r="G297" s="410"/>
      <c r="H297" s="411" t="s">
        <v>35</v>
      </c>
      <c r="I297" s="412">
        <f t="shared" ref="I297:J297" ca="1" si="133">I309</f>
        <v>0</v>
      </c>
      <c r="J297" s="412">
        <f t="shared" si="133"/>
        <v>0</v>
      </c>
      <c r="K297" s="413">
        <f ca="1">IF(I297&gt;0,J297*100/I297,0)</f>
        <v>0</v>
      </c>
      <c r="L297" s="414"/>
      <c r="M297" s="414"/>
      <c r="N297" s="414"/>
      <c r="O297" s="414"/>
      <c r="P297" s="414"/>
    </row>
    <row r="298" spans="1:26" ht="19.5" hidden="1">
      <c r="A298" s="147"/>
      <c r="B298" s="148"/>
      <c r="C298" s="149" t="s">
        <v>16</v>
      </c>
      <c r="D298" s="817" t="s">
        <v>17</v>
      </c>
      <c r="E298" s="148"/>
      <c r="F298" s="148"/>
      <c r="G298" s="151"/>
      <c r="H298" s="152" t="s">
        <v>12</v>
      </c>
      <c r="I298" s="388"/>
      <c r="J298" s="388"/>
      <c r="K298" s="154"/>
      <c r="L298" s="155">
        <f t="shared" ref="L298:N298" ca="1" si="134">L299+L300</f>
        <v>0</v>
      </c>
      <c r="M298" s="155">
        <f t="shared" ca="1" si="134"/>
        <v>0</v>
      </c>
      <c r="N298" s="155">
        <f t="shared" ca="1" si="134"/>
        <v>0</v>
      </c>
      <c r="O298" s="155">
        <f t="shared" ref="O298:O306" ca="1" si="135">IF(L298&gt;0,N298*100/L298,0)</f>
        <v>0</v>
      </c>
      <c r="P298" s="155">
        <f t="shared" ref="P298:P306" ca="1" si="136">IF(M298&gt;0,N298*100/M298,0)</f>
        <v>0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2" t="s">
        <v>18</v>
      </c>
      <c r="F299" s="40"/>
      <c r="G299" s="157"/>
      <c r="H299" s="158" t="s">
        <v>12</v>
      </c>
      <c r="I299" s="583"/>
      <c r="J299" s="583"/>
      <c r="K299" s="93"/>
      <c r="L299" s="93">
        <f t="shared" ref="L299:N300" si="137">L302+L305</f>
        <v>0</v>
      </c>
      <c r="M299" s="93">
        <f t="shared" si="137"/>
        <v>0</v>
      </c>
      <c r="N299" s="93">
        <f t="shared" si="137"/>
        <v>0</v>
      </c>
      <c r="O299" s="93">
        <f t="shared" si="135"/>
        <v>0</v>
      </c>
      <c r="P299" s="93">
        <f t="shared" si="136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2" t="s">
        <v>19</v>
      </c>
      <c r="F300" s="40"/>
      <c r="G300" s="157"/>
      <c r="H300" s="158" t="s">
        <v>12</v>
      </c>
      <c r="I300" s="583"/>
      <c r="J300" s="583"/>
      <c r="K300" s="93"/>
      <c r="L300" s="93">
        <f t="shared" ca="1" si="137"/>
        <v>0</v>
      </c>
      <c r="M300" s="93">
        <f t="shared" ca="1" si="137"/>
        <v>0</v>
      </c>
      <c r="N300" s="93">
        <f t="shared" ca="1" si="137"/>
        <v>0</v>
      </c>
      <c r="O300" s="93">
        <f t="shared" ca="1" si="135"/>
        <v>0</v>
      </c>
      <c r="P300" s="93">
        <f t="shared" ca="1" si="136"/>
        <v>0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 hidden="1">
      <c r="A301" s="159"/>
      <c r="B301" s="33"/>
      <c r="C301" s="281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65">
        <f t="shared" ref="L301:N301" ca="1" si="138">L302+L303</f>
        <v>0</v>
      </c>
      <c r="M301" s="465">
        <f t="shared" ca="1" si="138"/>
        <v>0</v>
      </c>
      <c r="N301" s="465">
        <f t="shared" ca="1" si="138"/>
        <v>0</v>
      </c>
      <c r="O301" s="465">
        <f t="shared" ca="1" si="135"/>
        <v>0</v>
      </c>
      <c r="P301" s="465">
        <f t="shared" ca="1" si="136"/>
        <v>0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2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5"/>
        <v>0</v>
      </c>
      <c r="P302" s="93">
        <f t="shared" si="136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2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IFERROR(__xludf.DUMMYFUNCTION("IMPORTRANGE(""https://docs.google.com/spreadsheets/d/1MeEWN-I1oV_STSDYn1IFDPWt_1FKiwhDph83XaGc0o0/edit?usp=sharing"",""งบพรบ!DS27"")"),0)</f>
        <v>0</v>
      </c>
      <c r="M303" s="93">
        <f ca="1">IFERROR(__xludf.DUMMYFUNCTION("IMPORTRANGE(""https://docs.google.com/spreadsheets/d/1MeEWN-I1oV_STSDYn1IFDPWt_1FKiwhDph83XaGc0o0/edit?usp=sharing"",""งบพรบ!DX27"")"),0)</f>
        <v>0</v>
      </c>
      <c r="N303" s="93">
        <f ca="1">IFERROR(__xludf.DUMMYFUNCTION("IMPORTRANGE(""https://docs.google.com/spreadsheets/d/1MeEWN-I1oV_STSDYn1IFDPWt_1FKiwhDph83XaGc0o0/edit?usp=sharing"",""งบพรบ!DZ27"")"),0)</f>
        <v>0</v>
      </c>
      <c r="O303" s="93">
        <f t="shared" ca="1" si="135"/>
        <v>0</v>
      </c>
      <c r="P303" s="93">
        <f t="shared" ca="1" si="136"/>
        <v>0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 hidden="1">
      <c r="A304" s="159"/>
      <c r="B304" s="33"/>
      <c r="C304" s="281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65">
        <f t="shared" ref="L304:N304" ca="1" si="139">L305+L306</f>
        <v>0</v>
      </c>
      <c r="M304" s="465">
        <f t="shared" ca="1" si="139"/>
        <v>0</v>
      </c>
      <c r="N304" s="465">
        <f t="shared" ca="1" si="139"/>
        <v>0</v>
      </c>
      <c r="O304" s="465">
        <f t="shared" ca="1" si="135"/>
        <v>0</v>
      </c>
      <c r="P304" s="465">
        <f t="shared" ca="1" si="136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2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5"/>
        <v>0</v>
      </c>
      <c r="P305" s="93">
        <f t="shared" si="136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2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IFERROR(__xludf.DUMMYFUNCTION("IMPORTRANGE(""https://docs.google.com/spreadsheets/d/1MeEWN-I1oV_STSDYn1IFDPWt_1FKiwhDph83XaGc0o0/edit?usp=sharing"",""งบพรบ!DV27"")"),0)</f>
        <v>0</v>
      </c>
      <c r="M306" s="93">
        <f ca="1">IFERROR(__xludf.DUMMYFUNCTION("IMPORTRANGE(""https://docs.google.com/spreadsheets/d/1MeEWN-I1oV_STSDYn1IFDPWt_1FKiwhDph83XaGc0o0/edit?usp=sharing"",""งบพรบ!DY27"")"),0)</f>
        <v>0</v>
      </c>
      <c r="N306" s="93">
        <f ca="1">IFERROR(__xludf.DUMMYFUNCTION("IMPORTRANGE(""https://docs.google.com/spreadsheets/d/1MeEWN-I1oV_STSDYn1IFDPWt_1FKiwhDph83XaGc0o0/edit?usp=sharing"",""งบพรบ!EA27"")"),0)</f>
        <v>0</v>
      </c>
      <c r="O306" s="93">
        <f t="shared" ca="1" si="135"/>
        <v>0</v>
      </c>
      <c r="P306" s="93">
        <f t="shared" ca="1" si="136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 hidden="1">
      <c r="A307" s="170"/>
      <c r="B307" s="171"/>
      <c r="C307" s="164" t="s">
        <v>16</v>
      </c>
      <c r="D307" s="818" t="s">
        <v>38</v>
      </c>
      <c r="E307" s="173"/>
      <c r="F307" s="173"/>
      <c r="G307" s="174"/>
      <c r="H307" s="726"/>
      <c r="I307" s="269"/>
      <c r="J307" s="269"/>
      <c r="K307" s="465"/>
      <c r="L307" s="465"/>
      <c r="M307" s="465"/>
      <c r="N307" s="465"/>
      <c r="O307" s="465"/>
      <c r="P307" s="465"/>
    </row>
    <row r="308" spans="1:26" ht="18.75" hidden="1">
      <c r="A308" s="170"/>
      <c r="B308" s="171"/>
      <c r="C308" s="171"/>
      <c r="D308" s="415" t="s">
        <v>140</v>
      </c>
      <c r="E308" s="415"/>
      <c r="F308" s="415"/>
      <c r="G308" s="179"/>
      <c r="H308" s="728"/>
      <c r="I308" s="269"/>
      <c r="J308" s="214">
        <v>0</v>
      </c>
      <c r="K308" s="465"/>
      <c r="L308" s="465"/>
      <c r="M308" s="465"/>
      <c r="N308" s="465"/>
      <c r="O308" s="465"/>
      <c r="P308" s="465"/>
    </row>
    <row r="309" spans="1:26" ht="18.75" hidden="1">
      <c r="A309" s="170"/>
      <c r="B309" s="171"/>
      <c r="C309" s="171"/>
      <c r="D309" s="415" t="s">
        <v>141</v>
      </c>
      <c r="E309" s="415"/>
      <c r="F309" s="415"/>
      <c r="G309" s="179"/>
      <c r="H309" s="728" t="s">
        <v>35</v>
      </c>
      <c r="I309" s="269">
        <f ca="1">IFERROR(__xludf.DUMMYFUNCTION("IMPORTRANGE(""https://docs.google.com/spreadsheets/d/1QqKyyYR6Q21VydFLVH3TRQUabQu_ym0Zz7PgGX0-kHA/edit?usp=sharing"",""แผน!ED27"")"),0)</f>
        <v>0</v>
      </c>
      <c r="J309" s="214">
        <v>0</v>
      </c>
      <c r="K309" s="465">
        <f t="shared" ref="K309:K312" ca="1" si="140">IF(I309&gt;0,J309*100/I309,0)</f>
        <v>0</v>
      </c>
      <c r="L309" s="465"/>
      <c r="M309" s="465"/>
      <c r="N309" s="465"/>
      <c r="O309" s="465"/>
      <c r="P309" s="465"/>
    </row>
    <row r="310" spans="1:26" ht="18.75" hidden="1">
      <c r="A310" s="170"/>
      <c r="B310" s="171"/>
      <c r="C310" s="171"/>
      <c r="D310" s="415" t="s">
        <v>142</v>
      </c>
      <c r="E310" s="415"/>
      <c r="F310" s="415"/>
      <c r="G310" s="179"/>
      <c r="H310" s="728" t="s">
        <v>35</v>
      </c>
      <c r="I310" s="269">
        <f ca="1">IFERROR(__xludf.DUMMYFUNCTION("IMPORTRANGE(""https://docs.google.com/spreadsheets/d/1QqKyyYR6Q21VydFLVH3TRQUabQu_ym0Zz7PgGX0-kHA/edit?usp=sharing"",""แผน!ED27"")"),0)</f>
        <v>0</v>
      </c>
      <c r="J310" s="214">
        <v>0</v>
      </c>
      <c r="K310" s="465">
        <f t="shared" ca="1" si="140"/>
        <v>0</v>
      </c>
      <c r="L310" s="465"/>
      <c r="M310" s="465"/>
      <c r="N310" s="465"/>
      <c r="O310" s="465"/>
      <c r="P310" s="465"/>
    </row>
    <row r="311" spans="1:26" ht="18.75" hidden="1">
      <c r="A311" s="170"/>
      <c r="B311" s="171"/>
      <c r="C311" s="171"/>
      <c r="D311" s="415" t="s">
        <v>59</v>
      </c>
      <c r="E311" s="415"/>
      <c r="F311" s="415"/>
      <c r="G311" s="179"/>
      <c r="H311" s="728" t="s">
        <v>35</v>
      </c>
      <c r="I311" s="269">
        <f ca="1">IFERROR(__xludf.DUMMYFUNCTION("IMPORTRANGE(""https://docs.google.com/spreadsheets/d/1QqKyyYR6Q21VydFLVH3TRQUabQu_ym0Zz7PgGX0-kHA/edit?usp=sharing"",""แผน!ED27"")"),0)</f>
        <v>0</v>
      </c>
      <c r="J311" s="214">
        <v>0</v>
      </c>
      <c r="K311" s="465">
        <f t="shared" ca="1" si="140"/>
        <v>0</v>
      </c>
      <c r="L311" s="465"/>
      <c r="M311" s="465"/>
      <c r="N311" s="465"/>
      <c r="O311" s="465"/>
      <c r="P311" s="465"/>
    </row>
    <row r="312" spans="1:26" ht="18.75" hidden="1">
      <c r="A312" s="170"/>
      <c r="B312" s="171"/>
      <c r="C312" s="171"/>
      <c r="D312" s="415" t="s">
        <v>143</v>
      </c>
      <c r="E312" s="415"/>
      <c r="F312" s="415"/>
      <c r="G312" s="179"/>
      <c r="H312" s="728" t="s">
        <v>35</v>
      </c>
      <c r="I312" s="269">
        <f ca="1">IFERROR(__xludf.DUMMYFUNCTION("IMPORTRANGE(""https://docs.google.com/spreadsheets/d/1QqKyyYR6Q21VydFLVH3TRQUabQu_ym0Zz7PgGX0-kHA/edit?usp=sharing"",""แผน!EE27"")"),0)</f>
        <v>0</v>
      </c>
      <c r="J312" s="214">
        <v>0</v>
      </c>
      <c r="K312" s="465">
        <f t="shared" ca="1" si="140"/>
        <v>0</v>
      </c>
      <c r="L312" s="465"/>
      <c r="M312" s="465"/>
      <c r="N312" s="465"/>
      <c r="O312" s="465"/>
      <c r="P312" s="465"/>
    </row>
    <row r="313" spans="1:26" ht="19.5" hidden="1">
      <c r="A313" s="400" t="s">
        <v>144</v>
      </c>
      <c r="B313" s="401"/>
      <c r="C313" s="401"/>
      <c r="D313" s="402"/>
      <c r="E313" s="401"/>
      <c r="F313" s="401"/>
      <c r="G313" s="401"/>
      <c r="H313" s="417"/>
      <c r="I313" s="405"/>
      <c r="J313" s="405"/>
      <c r="K313" s="406"/>
      <c r="L313" s="406"/>
      <c r="M313" s="406"/>
      <c r="N313" s="406"/>
      <c r="O313" s="406"/>
      <c r="P313" s="406"/>
    </row>
    <row r="314" spans="1:26" ht="19.5" hidden="1">
      <c r="A314" s="418"/>
      <c r="B314" s="408" t="s">
        <v>145</v>
      </c>
      <c r="C314" s="419"/>
      <c r="D314" s="420"/>
      <c r="E314" s="409"/>
      <c r="F314" s="409"/>
      <c r="G314" s="410"/>
      <c r="H314" s="411" t="s">
        <v>146</v>
      </c>
      <c r="I314" s="412">
        <f t="shared" ref="I314:J314" ca="1" si="141">I325</f>
        <v>0</v>
      </c>
      <c r="J314" s="412">
        <f t="shared" si="141"/>
        <v>0</v>
      </c>
      <c r="K314" s="413">
        <f ca="1">IF(I314&gt;0,J314*100/I314,0)</f>
        <v>0</v>
      </c>
      <c r="L314" s="414"/>
      <c r="M314" s="414"/>
      <c r="N314" s="414"/>
      <c r="O314" s="414"/>
      <c r="P314" s="414"/>
    </row>
    <row r="315" spans="1:26" ht="19.5" hidden="1">
      <c r="A315" s="147"/>
      <c r="B315" s="148"/>
      <c r="C315" s="149" t="s">
        <v>16</v>
      </c>
      <c r="D315" s="817" t="s">
        <v>17</v>
      </c>
      <c r="E315" s="148"/>
      <c r="F315" s="148"/>
      <c r="G315" s="151"/>
      <c r="H315" s="152" t="s">
        <v>12</v>
      </c>
      <c r="I315" s="388"/>
      <c r="J315" s="388"/>
      <c r="K315" s="154"/>
      <c r="L315" s="155">
        <f t="shared" ref="L315:N315" ca="1" si="142">L316+L317</f>
        <v>0</v>
      </c>
      <c r="M315" s="155">
        <f t="shared" ca="1" si="142"/>
        <v>0</v>
      </c>
      <c r="N315" s="155">
        <f t="shared" ca="1" si="142"/>
        <v>0</v>
      </c>
      <c r="O315" s="155">
        <f t="shared" ref="O315:O323" ca="1" si="143">IF(L315&gt;0,N315*100/L315,0)</f>
        <v>0</v>
      </c>
      <c r="P315" s="155">
        <f t="shared" ref="P315:P323" ca="1" si="144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2" t="s">
        <v>18</v>
      </c>
      <c r="F316" s="40"/>
      <c r="G316" s="157"/>
      <c r="H316" s="158" t="s">
        <v>12</v>
      </c>
      <c r="I316" s="583"/>
      <c r="J316" s="583"/>
      <c r="K316" s="93"/>
      <c r="L316" s="93">
        <f t="shared" ref="L316:N317" si="145">L319+L322</f>
        <v>0</v>
      </c>
      <c r="M316" s="93">
        <f t="shared" si="145"/>
        <v>0</v>
      </c>
      <c r="N316" s="93">
        <f t="shared" si="145"/>
        <v>0</v>
      </c>
      <c r="O316" s="93">
        <f t="shared" si="143"/>
        <v>0</v>
      </c>
      <c r="P316" s="93">
        <f t="shared" si="144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2" t="s">
        <v>19</v>
      </c>
      <c r="F317" s="40"/>
      <c r="G317" s="157"/>
      <c r="H317" s="158" t="s">
        <v>12</v>
      </c>
      <c r="I317" s="583"/>
      <c r="J317" s="583"/>
      <c r="K317" s="93"/>
      <c r="L317" s="93">
        <f t="shared" ca="1" si="145"/>
        <v>0</v>
      </c>
      <c r="M317" s="93">
        <f t="shared" ca="1" si="145"/>
        <v>0</v>
      </c>
      <c r="N317" s="93">
        <f t="shared" ca="1" si="145"/>
        <v>0</v>
      </c>
      <c r="O317" s="93">
        <f t="shared" ca="1" si="143"/>
        <v>0</v>
      </c>
      <c r="P317" s="93">
        <f t="shared" ca="1" si="144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1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65">
        <f t="shared" ref="L318:N318" ca="1" si="146">L319+L320</f>
        <v>0</v>
      </c>
      <c r="M318" s="465">
        <f t="shared" ca="1" si="146"/>
        <v>0</v>
      </c>
      <c r="N318" s="465">
        <f t="shared" ca="1" si="146"/>
        <v>0</v>
      </c>
      <c r="O318" s="465">
        <f t="shared" ca="1" si="143"/>
        <v>0</v>
      </c>
      <c r="P318" s="465">
        <f t="shared" ca="1" si="144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2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3"/>
        <v>0</v>
      </c>
      <c r="P319" s="93">
        <f t="shared" si="144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2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IFERROR(__xludf.DUMMYFUNCTION("IMPORTRANGE(""https://docs.google.com/spreadsheets/d/1MeEWN-I1oV_STSDYn1IFDPWt_1FKiwhDph83XaGc0o0/edit?usp=sharing"",""งบพรบ!EC27"")"),0)</f>
        <v>0</v>
      </c>
      <c r="M320" s="93">
        <f ca="1">IFERROR(__xludf.DUMMYFUNCTION("IMPORTRANGE(""https://docs.google.com/spreadsheets/d/1MeEWN-I1oV_STSDYn1IFDPWt_1FKiwhDph83XaGc0o0/edit?usp=sharing"",""งบพรบ!EH27"")"),0)</f>
        <v>0</v>
      </c>
      <c r="N320" s="93">
        <f ca="1">IFERROR(__xludf.DUMMYFUNCTION("IMPORTRANGE(""https://docs.google.com/spreadsheets/d/1MeEWN-I1oV_STSDYn1IFDPWt_1FKiwhDph83XaGc0o0/edit?usp=sharing"",""งบพรบ!EJ27"")"),0)</f>
        <v>0</v>
      </c>
      <c r="O320" s="93">
        <f t="shared" ca="1" si="143"/>
        <v>0</v>
      </c>
      <c r="P320" s="93">
        <f t="shared" ca="1" si="144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1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65">
        <f t="shared" ref="L321:N321" ca="1" si="147">L322+L323</f>
        <v>0</v>
      </c>
      <c r="M321" s="465">
        <f t="shared" ca="1" si="147"/>
        <v>0</v>
      </c>
      <c r="N321" s="465">
        <f t="shared" ca="1" si="147"/>
        <v>0</v>
      </c>
      <c r="O321" s="465">
        <f t="shared" ca="1" si="143"/>
        <v>0</v>
      </c>
      <c r="P321" s="465">
        <f t="shared" ca="1" si="144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2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3"/>
        <v>0</v>
      </c>
      <c r="P322" s="93">
        <f t="shared" si="144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2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IFERROR(__xludf.DUMMYFUNCTION("IMPORTRANGE(""https://docs.google.com/spreadsheets/d/1MeEWN-I1oV_STSDYn1IFDPWt_1FKiwhDph83XaGc0o0/edit?usp=sharing"",""งบพรบ!EF27"")"),0)</f>
        <v>0</v>
      </c>
      <c r="M323" s="93">
        <f ca="1">IFERROR(__xludf.DUMMYFUNCTION("IMPORTRANGE(""https://docs.google.com/spreadsheets/d/1MeEWN-I1oV_STSDYn1IFDPWt_1FKiwhDph83XaGc0o0/edit?usp=sharing"",""งบพรบ!EI27"")"),0)</f>
        <v>0</v>
      </c>
      <c r="N323" s="93">
        <f ca="1">IFERROR(__xludf.DUMMYFUNCTION("IMPORTRANGE(""https://docs.google.com/spreadsheets/d/1MeEWN-I1oV_STSDYn1IFDPWt_1FKiwhDph83XaGc0o0/edit?usp=sharing"",""งบพรบ!EK27"")"),0)</f>
        <v>0</v>
      </c>
      <c r="O323" s="93">
        <f t="shared" ca="1" si="143"/>
        <v>0</v>
      </c>
      <c r="P323" s="93">
        <f t="shared" ca="1" si="144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18" t="s">
        <v>38</v>
      </c>
      <c r="E324" s="173"/>
      <c r="F324" s="173"/>
      <c r="G324" s="174"/>
      <c r="H324" s="726"/>
      <c r="I324" s="184"/>
      <c r="J324" s="269"/>
      <c r="K324" s="465"/>
      <c r="L324" s="465"/>
      <c r="M324" s="465"/>
      <c r="N324" s="465"/>
      <c r="O324" s="163"/>
      <c r="P324" s="163"/>
    </row>
    <row r="325" spans="1:26" ht="18.75" hidden="1">
      <c r="A325" s="170"/>
      <c r="B325" s="171"/>
      <c r="C325" s="171"/>
      <c r="D325" s="343" t="s">
        <v>147</v>
      </c>
      <c r="E325" s="342"/>
      <c r="F325" s="415"/>
      <c r="G325" s="179"/>
      <c r="H325" s="589" t="s">
        <v>146</v>
      </c>
      <c r="I325" s="269">
        <f ca="1">IFERROR(__xludf.DUMMYFUNCTION("IMPORTRANGE(""https://docs.google.com/spreadsheets/d/1QqKyyYR6Q21VydFLVH3TRQUabQu_ym0Zz7PgGX0-kHA/edit?usp=sharing"",""แผน!EF27"")"),0)</f>
        <v>0</v>
      </c>
      <c r="J325" s="214">
        <v>0</v>
      </c>
      <c r="K325" s="465">
        <f ca="1">IF(I325&gt;0,J325*100/I325,0)</f>
        <v>0</v>
      </c>
      <c r="L325" s="465"/>
      <c r="M325" s="465"/>
      <c r="N325" s="465"/>
      <c r="O325" s="163"/>
      <c r="P325" s="163"/>
    </row>
    <row r="326" spans="1:26" ht="19.5">
      <c r="A326" s="400" t="s">
        <v>148</v>
      </c>
      <c r="B326" s="401"/>
      <c r="C326" s="401"/>
      <c r="D326" s="402"/>
      <c r="E326" s="401"/>
      <c r="F326" s="401"/>
      <c r="G326" s="401"/>
      <c r="H326" s="417"/>
      <c r="I326" s="405"/>
      <c r="J326" s="405"/>
      <c r="K326" s="406"/>
      <c r="L326" s="406"/>
      <c r="M326" s="406"/>
      <c r="N326" s="406"/>
      <c r="O326" s="406"/>
      <c r="P326" s="406"/>
    </row>
    <row r="327" spans="1:26" ht="19.5">
      <c r="A327" s="407"/>
      <c r="B327" s="408" t="s">
        <v>149</v>
      </c>
      <c r="C327" s="420"/>
      <c r="D327" s="409"/>
      <c r="E327" s="409"/>
      <c r="F327" s="409"/>
      <c r="G327" s="410"/>
      <c r="H327" s="411" t="s">
        <v>35</v>
      </c>
      <c r="I327" s="412">
        <f ca="1">IFERROR(__xludf.DUMMYFUNCTION("IMPORTRANGE(""https://docs.google.com/spreadsheets/d/1QqKyyYR6Q21VydFLVH3TRQUabQu_ym0Zz7PgGX0-kHA/edit?usp=sharing"",""แผน!EG27"")"),700)</f>
        <v>700</v>
      </c>
      <c r="J327" s="412">
        <f ca="1">J338+J341+J342+J343</f>
        <v>204</v>
      </c>
      <c r="K327" s="413">
        <f ca="1">IF(I327&gt;0,J327*100/I327,0)</f>
        <v>29.142857142857142</v>
      </c>
      <c r="L327" s="414"/>
      <c r="M327" s="414"/>
      <c r="N327" s="414"/>
      <c r="O327" s="414"/>
      <c r="P327" s="414"/>
    </row>
    <row r="328" spans="1:26" ht="19.5">
      <c r="A328" s="147"/>
      <c r="B328" s="148"/>
      <c r="C328" s="149" t="s">
        <v>16</v>
      </c>
      <c r="D328" s="817" t="s">
        <v>17</v>
      </c>
      <c r="E328" s="148"/>
      <c r="F328" s="148"/>
      <c r="G328" s="151"/>
      <c r="H328" s="152" t="s">
        <v>12</v>
      </c>
      <c r="I328" s="388"/>
      <c r="J328" s="388"/>
      <c r="K328" s="154"/>
      <c r="L328" s="155">
        <f t="shared" ref="L328:N328" ca="1" si="148">L329+L330</f>
        <v>165000</v>
      </c>
      <c r="M328" s="155">
        <f t="shared" ca="1" si="148"/>
        <v>82500</v>
      </c>
      <c r="N328" s="155">
        <f t="shared" ca="1" si="148"/>
        <v>25278</v>
      </c>
      <c r="O328" s="155">
        <f t="shared" ref="O328:O336" ca="1" si="149">IF(L328&gt;0,N328*100/L328,0)</f>
        <v>15.32</v>
      </c>
      <c r="P328" s="155">
        <f t="shared" ref="P328:P336" ca="1" si="150">IF(M328&gt;0,N328*100/M328,0)</f>
        <v>30.64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2" t="s">
        <v>18</v>
      </c>
      <c r="F329" s="40"/>
      <c r="G329" s="157"/>
      <c r="H329" s="158" t="s">
        <v>12</v>
      </c>
      <c r="I329" s="583"/>
      <c r="J329" s="583"/>
      <c r="K329" s="93"/>
      <c r="L329" s="93">
        <f t="shared" ref="L329:N330" si="151">L332+L335</f>
        <v>0</v>
      </c>
      <c r="M329" s="93">
        <f t="shared" si="151"/>
        <v>0</v>
      </c>
      <c r="N329" s="93">
        <f t="shared" si="151"/>
        <v>0</v>
      </c>
      <c r="O329" s="93">
        <f t="shared" si="149"/>
        <v>0</v>
      </c>
      <c r="P329" s="93">
        <f t="shared" si="150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2" t="s">
        <v>19</v>
      </c>
      <c r="F330" s="40"/>
      <c r="G330" s="157"/>
      <c r="H330" s="158" t="s">
        <v>12</v>
      </c>
      <c r="I330" s="583"/>
      <c r="J330" s="583"/>
      <c r="K330" s="93"/>
      <c r="L330" s="93">
        <f t="shared" ca="1" si="151"/>
        <v>165000</v>
      </c>
      <c r="M330" s="93">
        <f t="shared" ca="1" si="151"/>
        <v>82500</v>
      </c>
      <c r="N330" s="93">
        <f t="shared" ca="1" si="151"/>
        <v>25278</v>
      </c>
      <c r="O330" s="93">
        <f t="shared" ca="1" si="149"/>
        <v>15.32</v>
      </c>
      <c r="P330" s="93">
        <f t="shared" ca="1" si="150"/>
        <v>30.64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1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65">
        <f t="shared" ref="L331:N331" ca="1" si="152">L332+L333</f>
        <v>165000</v>
      </c>
      <c r="M331" s="465">
        <f t="shared" ca="1" si="152"/>
        <v>82500</v>
      </c>
      <c r="N331" s="465">
        <f t="shared" ca="1" si="152"/>
        <v>25278</v>
      </c>
      <c r="O331" s="465">
        <f t="shared" ca="1" si="149"/>
        <v>15.32</v>
      </c>
      <c r="P331" s="465">
        <f t="shared" ca="1" si="150"/>
        <v>30.64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2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49"/>
        <v>0</v>
      </c>
      <c r="P332" s="93">
        <f t="shared" si="150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2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IFERROR(__xludf.DUMMYFUNCTION("IMPORTRANGE(""https://docs.google.com/spreadsheets/d/1MeEWN-I1oV_STSDYn1IFDPWt_1FKiwhDph83XaGc0o0/edit?usp=sharing"",""งบพรบ!EM27"")"),165000)</f>
        <v>165000</v>
      </c>
      <c r="M333" s="93">
        <f ca="1">IFERROR(__xludf.DUMMYFUNCTION("IMPORTRANGE(""https://docs.google.com/spreadsheets/d/1MeEWN-I1oV_STSDYn1IFDPWt_1FKiwhDph83XaGc0o0/edit?usp=sharing"",""งบพรบ!ER27"")"),82500)</f>
        <v>82500</v>
      </c>
      <c r="N333" s="93">
        <f ca="1">IFERROR(__xludf.DUMMYFUNCTION("IMPORTRANGE(""https://docs.google.com/spreadsheets/d/1MeEWN-I1oV_STSDYn1IFDPWt_1FKiwhDph83XaGc0o0/edit?usp=sharing"",""งบพรบ!ET27"")"),25278)</f>
        <v>25278</v>
      </c>
      <c r="O333" s="93">
        <f t="shared" ca="1" si="149"/>
        <v>15.32</v>
      </c>
      <c r="P333" s="93">
        <f t="shared" ca="1" si="150"/>
        <v>30.64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1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65">
        <f t="shared" ref="L334:N334" ca="1" si="153">L335+L336</f>
        <v>0</v>
      </c>
      <c r="M334" s="465">
        <f t="shared" ca="1" si="153"/>
        <v>0</v>
      </c>
      <c r="N334" s="465">
        <f t="shared" ca="1" si="153"/>
        <v>0</v>
      </c>
      <c r="O334" s="465">
        <f t="shared" ca="1" si="149"/>
        <v>0</v>
      </c>
      <c r="P334" s="465">
        <f t="shared" ca="1" si="150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2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49"/>
        <v>0</v>
      </c>
      <c r="P335" s="93">
        <f t="shared" si="150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2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IFERROR(__xludf.DUMMYFUNCTION("IMPORTRANGE(""https://docs.google.com/spreadsheets/d/1MeEWN-I1oV_STSDYn1IFDPWt_1FKiwhDph83XaGc0o0/edit?usp=sharing"",""งบพรบ!EP27"")"),0)</f>
        <v>0</v>
      </c>
      <c r="M336" s="93">
        <f ca="1">IFERROR(__xludf.DUMMYFUNCTION("IMPORTRANGE(""https://docs.google.com/spreadsheets/d/1MeEWN-I1oV_STSDYn1IFDPWt_1FKiwhDph83XaGc0o0/edit?usp=sharing"",""งบพรบ!ES27"")"),0)</f>
        <v>0</v>
      </c>
      <c r="N336" s="93">
        <f ca="1">IFERROR(__xludf.DUMMYFUNCTION("IMPORTRANGE(""https://docs.google.com/spreadsheets/d/1MeEWN-I1oV_STSDYn1IFDPWt_1FKiwhDph83XaGc0o0/edit?usp=sharing"",""งบพรบ!EU27"")"),0)</f>
        <v>0</v>
      </c>
      <c r="O336" s="93">
        <f t="shared" ca="1" si="149"/>
        <v>0</v>
      </c>
      <c r="P336" s="93">
        <f t="shared" ca="1" si="150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18" t="s">
        <v>38</v>
      </c>
      <c r="E337" s="173"/>
      <c r="F337" s="173"/>
      <c r="G337" s="174"/>
      <c r="H337" s="726"/>
      <c r="I337" s="184"/>
      <c r="J337" s="269"/>
      <c r="K337" s="465"/>
      <c r="L337" s="465"/>
      <c r="M337" s="465"/>
      <c r="N337" s="465"/>
      <c r="O337" s="163"/>
      <c r="P337" s="163"/>
    </row>
    <row r="338" spans="1:26" ht="18.75">
      <c r="A338" s="283"/>
      <c r="B338" s="33"/>
      <c r="C338" s="280"/>
      <c r="D338" s="415" t="s">
        <v>150</v>
      </c>
      <c r="E338" s="171"/>
      <c r="F338" s="33"/>
      <c r="G338" s="35"/>
      <c r="H338" s="276" t="s">
        <v>35</v>
      </c>
      <c r="I338" s="269">
        <f ca="1">IFERROR(__xludf.DUMMYFUNCTION("IMPORTRANGE(""https://docs.google.com/spreadsheets/d/1QqKyyYR6Q21VydFLVH3TRQUabQu_ym0Zz7PgGX0-kHA/edit?usp=sharing"",""แผน!EG27"")"),700)</f>
        <v>700</v>
      </c>
      <c r="J338" s="269">
        <f ca="1">IFERROR(__xludf.DUMMYFUNCTION("IMPORTRANGE(""https://docs.google.com/spreadsheets/d/1kVcqe37tkHyjCSG3S0O1AXqVkqjo8mSIZil3BcpIysc/edit?usp=sharing"",""ศูนย์!D27"")"),141)</f>
        <v>141</v>
      </c>
      <c r="K338" s="465">
        <f ca="1">IF(I338&gt;0,J338*100/I338,0)</f>
        <v>20.142857142857142</v>
      </c>
      <c r="L338" s="465"/>
      <c r="M338" s="465"/>
      <c r="N338" s="465"/>
      <c r="O338" s="465"/>
      <c r="P338" s="465"/>
    </row>
    <row r="339" spans="1:26" ht="18.75">
      <c r="A339" s="283"/>
      <c r="B339" s="33"/>
      <c r="C339" s="280"/>
      <c r="D339" s="415" t="s">
        <v>151</v>
      </c>
      <c r="E339" s="171"/>
      <c r="F339" s="33"/>
      <c r="G339" s="35"/>
      <c r="H339" s="276"/>
      <c r="I339" s="269"/>
      <c r="J339" s="269"/>
      <c r="K339" s="465"/>
      <c r="L339" s="465"/>
      <c r="M339" s="465"/>
      <c r="N339" s="465"/>
      <c r="O339" s="465"/>
      <c r="P339" s="465"/>
    </row>
    <row r="340" spans="1:26" ht="18.75">
      <c r="A340" s="283"/>
      <c r="B340" s="33"/>
      <c r="C340" s="280"/>
      <c r="D340" s="342"/>
      <c r="E340" s="415" t="s">
        <v>152</v>
      </c>
      <c r="F340" s="33"/>
      <c r="G340" s="35"/>
      <c r="H340" s="276" t="s">
        <v>153</v>
      </c>
      <c r="I340" s="269">
        <f ca="1">IFERROR(__xludf.DUMMYFUNCTION("IMPORTRANGE(""https://docs.google.com/spreadsheets/d/1QqKyyYR6Q21VydFLVH3TRQUabQu_ym0Zz7PgGX0-kHA/edit?usp=sharing"",""แผน!EH27"")"),6)</f>
        <v>6</v>
      </c>
      <c r="J340" s="269">
        <f ca="1">IFERROR(__xludf.DUMMYFUNCTION("IMPORTRANGE(""https://docs.google.com/spreadsheets/d/1kVcqe37tkHyjCSG3S0O1AXqVkqjo8mSIZil3BcpIysc/edit?usp=sharing"",""ศูนย์!E27"")"),0)</f>
        <v>0</v>
      </c>
      <c r="K340" s="465">
        <f ca="1">IF(I340&gt;0,J340*100/I340,0)</f>
        <v>0</v>
      </c>
      <c r="L340" s="465"/>
      <c r="M340" s="465"/>
      <c r="N340" s="465"/>
      <c r="O340" s="465"/>
      <c r="P340" s="465"/>
    </row>
    <row r="341" spans="1:26" ht="18.75">
      <c r="A341" s="283"/>
      <c r="B341" s="33"/>
      <c r="C341" s="280"/>
      <c r="D341" s="342"/>
      <c r="E341" s="415" t="s">
        <v>154</v>
      </c>
      <c r="F341" s="33"/>
      <c r="G341" s="35"/>
      <c r="H341" s="276" t="s">
        <v>35</v>
      </c>
      <c r="I341" s="269"/>
      <c r="J341" s="269">
        <f ca="1">IFERROR(__xludf.DUMMYFUNCTION("IMPORTRANGE(""https://docs.google.com/spreadsheets/d/1kVcqe37tkHyjCSG3S0O1AXqVkqjo8mSIZil3BcpIysc/edit?usp=sharing"",""ศูนย์!F27"")"),63)</f>
        <v>63</v>
      </c>
      <c r="K341" s="465"/>
      <c r="L341" s="465"/>
      <c r="M341" s="465"/>
      <c r="N341" s="465"/>
      <c r="O341" s="465"/>
      <c r="P341" s="465"/>
    </row>
    <row r="342" spans="1:26" ht="18.75">
      <c r="A342" s="283"/>
      <c r="B342" s="33"/>
      <c r="C342" s="280"/>
      <c r="D342" s="415" t="s">
        <v>155</v>
      </c>
      <c r="E342" s="342"/>
      <c r="F342" s="342"/>
      <c r="G342" s="35"/>
      <c r="H342" s="276" t="s">
        <v>35</v>
      </c>
      <c r="I342" s="269"/>
      <c r="J342" s="269">
        <f ca="1">IFERROR(__xludf.DUMMYFUNCTION("IMPORTRANGE(""https://docs.google.com/spreadsheets/d/1kVcqe37tkHyjCSG3S0O1AXqVkqjo8mSIZil3BcpIysc/edit?usp=sharing"",""ศูนย์!G27"")"),0)</f>
        <v>0</v>
      </c>
      <c r="K342" s="465"/>
      <c r="L342" s="465"/>
      <c r="M342" s="465"/>
      <c r="N342" s="465"/>
      <c r="O342" s="465"/>
      <c r="P342" s="465"/>
    </row>
    <row r="343" spans="1:26" ht="18.75">
      <c r="A343" s="283"/>
      <c r="B343" s="33"/>
      <c r="C343" s="280"/>
      <c r="D343" s="415" t="s">
        <v>156</v>
      </c>
      <c r="E343" s="342"/>
      <c r="F343" s="342"/>
      <c r="G343" s="35"/>
      <c r="H343" s="276" t="s">
        <v>35</v>
      </c>
      <c r="I343" s="269"/>
      <c r="J343" s="269">
        <f ca="1">IFERROR(__xludf.DUMMYFUNCTION("IMPORTRANGE(""https://docs.google.com/spreadsheets/d/1kVcqe37tkHyjCSG3S0O1AXqVkqjo8mSIZil3BcpIysc/edit?usp=sharing"",""ศูนย์!H27"")"),0)</f>
        <v>0</v>
      </c>
      <c r="K343" s="465"/>
      <c r="L343" s="465"/>
      <c r="M343" s="465"/>
      <c r="N343" s="465"/>
      <c r="O343" s="465"/>
      <c r="P343" s="465"/>
    </row>
    <row r="344" spans="1:26" ht="19.5">
      <c r="A344" s="407"/>
      <c r="B344" s="408" t="s">
        <v>157</v>
      </c>
      <c r="C344" s="420"/>
      <c r="D344" s="409"/>
      <c r="E344" s="409"/>
      <c r="F344" s="409"/>
      <c r="G344" s="410"/>
      <c r="H344" s="411"/>
      <c r="I344" s="421"/>
      <c r="J344" s="421"/>
      <c r="K344" s="414"/>
      <c r="L344" s="414"/>
      <c r="M344" s="414"/>
      <c r="N344" s="414"/>
      <c r="O344" s="414"/>
      <c r="P344" s="414"/>
    </row>
    <row r="345" spans="1:26" ht="19.5">
      <c r="A345" s="147"/>
      <c r="B345" s="148"/>
      <c r="C345" s="149" t="s">
        <v>16</v>
      </c>
      <c r="D345" s="817" t="s">
        <v>17</v>
      </c>
      <c r="E345" s="148"/>
      <c r="F345" s="148"/>
      <c r="G345" s="151"/>
      <c r="H345" s="152" t="s">
        <v>12</v>
      </c>
      <c r="I345" s="388"/>
      <c r="J345" s="388"/>
      <c r="K345" s="154"/>
      <c r="L345" s="155">
        <f t="shared" ref="L345:N345" ca="1" si="154">L346+L347</f>
        <v>364830</v>
      </c>
      <c r="M345" s="155">
        <f t="shared" ca="1" si="154"/>
        <v>182420</v>
      </c>
      <c r="N345" s="155">
        <f t="shared" ca="1" si="154"/>
        <v>32048.38</v>
      </c>
      <c r="O345" s="155">
        <f t="shared" ref="O345:O353" ca="1" si="155">IF(L345&gt;0,N345*100/L345,0)</f>
        <v>8.7844694789353941</v>
      </c>
      <c r="P345" s="155">
        <f t="shared" ref="P345:P353" ca="1" si="156">IF(M345&gt;0,N345*100/M345,0)</f>
        <v>17.568457405986187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2" t="s">
        <v>18</v>
      </c>
      <c r="F346" s="40"/>
      <c r="G346" s="157"/>
      <c r="H346" s="158" t="s">
        <v>12</v>
      </c>
      <c r="I346" s="583"/>
      <c r="J346" s="583"/>
      <c r="K346" s="93"/>
      <c r="L346" s="93">
        <f t="shared" ref="L346:N347" si="157">L349+L352</f>
        <v>0</v>
      </c>
      <c r="M346" s="93">
        <f t="shared" si="157"/>
        <v>0</v>
      </c>
      <c r="N346" s="93">
        <f t="shared" si="157"/>
        <v>0</v>
      </c>
      <c r="O346" s="93">
        <f t="shared" si="155"/>
        <v>0</v>
      </c>
      <c r="P346" s="93">
        <f t="shared" si="156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2" t="s">
        <v>19</v>
      </c>
      <c r="F347" s="40"/>
      <c r="G347" s="157"/>
      <c r="H347" s="158" t="s">
        <v>12</v>
      </c>
      <c r="I347" s="583"/>
      <c r="J347" s="583"/>
      <c r="K347" s="93"/>
      <c r="L347" s="93">
        <f t="shared" ca="1" si="157"/>
        <v>364830</v>
      </c>
      <c r="M347" s="93">
        <f t="shared" ca="1" si="157"/>
        <v>182420</v>
      </c>
      <c r="N347" s="93">
        <f t="shared" ca="1" si="157"/>
        <v>32048.38</v>
      </c>
      <c r="O347" s="93">
        <f t="shared" ca="1" si="155"/>
        <v>8.7844694789353941</v>
      </c>
      <c r="P347" s="93">
        <f t="shared" ca="1" si="156"/>
        <v>17.568457405986187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1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65">
        <f t="shared" ref="L348:N348" ca="1" si="158">L349+L350</f>
        <v>364830</v>
      </c>
      <c r="M348" s="465">
        <f t="shared" ca="1" si="158"/>
        <v>182420</v>
      </c>
      <c r="N348" s="465">
        <f t="shared" ca="1" si="158"/>
        <v>32048.38</v>
      </c>
      <c r="O348" s="465">
        <f t="shared" ca="1" si="155"/>
        <v>8.7844694789353941</v>
      </c>
      <c r="P348" s="465">
        <f t="shared" ca="1" si="156"/>
        <v>17.568457405986187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2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5"/>
        <v>0</v>
      </c>
      <c r="P349" s="93">
        <f t="shared" si="156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2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IFERROR(__xludf.DUMMYFUNCTION("IMPORTRANGE(""https://docs.google.com/spreadsheets/d/1MeEWN-I1oV_STSDYn1IFDPWt_1FKiwhDph83XaGc0o0/edit?usp=sharing"",""งบพรบ!EW27"")"),364830)</f>
        <v>364830</v>
      </c>
      <c r="M350" s="93">
        <f ca="1">IFERROR(__xludf.DUMMYFUNCTION("IMPORTRANGE(""https://docs.google.com/spreadsheets/d/1MeEWN-I1oV_STSDYn1IFDPWt_1FKiwhDph83XaGc0o0/edit?usp=sharing"",""งบพรบ!FB27"")"),182420)</f>
        <v>182420</v>
      </c>
      <c r="N350" s="93">
        <f ca="1">IFERROR(__xludf.DUMMYFUNCTION("IMPORTRANGE(""https://docs.google.com/spreadsheets/d/1MeEWN-I1oV_STSDYn1IFDPWt_1FKiwhDph83XaGc0o0/edit?usp=sharing"",""งบพรบ!FD27"")"),32048.38)</f>
        <v>32048.38</v>
      </c>
      <c r="O350" s="93">
        <f t="shared" ca="1" si="155"/>
        <v>8.7844694789353941</v>
      </c>
      <c r="P350" s="93">
        <f t="shared" ca="1" si="156"/>
        <v>17.568457405986187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1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65">
        <f t="shared" ref="L351:N351" ca="1" si="159">L352+L353</f>
        <v>0</v>
      </c>
      <c r="M351" s="465">
        <f t="shared" ca="1" si="159"/>
        <v>0</v>
      </c>
      <c r="N351" s="465">
        <f t="shared" ca="1" si="159"/>
        <v>0</v>
      </c>
      <c r="O351" s="465">
        <f t="shared" ca="1" si="155"/>
        <v>0</v>
      </c>
      <c r="P351" s="465">
        <f t="shared" ca="1" si="156"/>
        <v>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2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5"/>
        <v>0</v>
      </c>
      <c r="P352" s="93">
        <f t="shared" si="156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2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IFERROR(__xludf.DUMMYFUNCTION("IMPORTRANGE(""https://docs.google.com/spreadsheets/d/1MeEWN-I1oV_STSDYn1IFDPWt_1FKiwhDph83XaGc0o0/edit?usp=sharing"",""งบพรบ!EZ27"")"),0)</f>
        <v>0</v>
      </c>
      <c r="M353" s="93">
        <f ca="1">IFERROR(__xludf.DUMMYFUNCTION("IMPORTRANGE(""https://docs.google.com/spreadsheets/d/1MeEWN-I1oV_STSDYn1IFDPWt_1FKiwhDph83XaGc0o0/edit?usp=sharing"",""งบพรบ!FC27"")"),0)</f>
        <v>0</v>
      </c>
      <c r="N353" s="93">
        <f ca="1">IFERROR(__xludf.DUMMYFUNCTION("IMPORTRANGE(""https://docs.google.com/spreadsheets/d/1MeEWN-I1oV_STSDYn1IFDPWt_1FKiwhDph83XaGc0o0/edit?usp=sharing"",""งบพรบ!FE27"")"),0)</f>
        <v>0</v>
      </c>
      <c r="O353" s="93">
        <f t="shared" ca="1" si="155"/>
        <v>0</v>
      </c>
      <c r="P353" s="93">
        <f t="shared" ca="1" si="156"/>
        <v>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5"/>
      <c r="B354" s="263"/>
      <c r="C354" s="256"/>
      <c r="D354" s="845" t="s">
        <v>158</v>
      </c>
      <c r="E354" s="256"/>
      <c r="F354" s="256"/>
      <c r="G354" s="258"/>
      <c r="H354" s="423"/>
      <c r="I354" s="260"/>
      <c r="J354" s="260"/>
      <c r="K354" s="261"/>
      <c r="L354" s="261"/>
      <c r="M354" s="261"/>
      <c r="N354" s="261"/>
      <c r="O354" s="261"/>
      <c r="P354" s="261"/>
    </row>
    <row r="355" spans="1:26" ht="19.5">
      <c r="A355" s="424"/>
      <c r="B355" s="425"/>
      <c r="C355" s="426"/>
      <c r="D355" s="846" t="s">
        <v>159</v>
      </c>
      <c r="E355" s="428"/>
      <c r="F355" s="428"/>
      <c r="G355" s="429"/>
      <c r="H355" s="430" t="s">
        <v>35</v>
      </c>
      <c r="I355" s="432">
        <f ca="1">IFERROR(__xludf.DUMMYFUNCTION("IMPORTRANGE(""https://docs.google.com/spreadsheets/d/1QqKyyYR6Q21VydFLVH3TRQUabQu_ym0Zz7PgGX0-kHA/edit?usp=sharing"",""แผน!EP27"")"),59)</f>
        <v>59</v>
      </c>
      <c r="J355" s="432">
        <f ca="1">J362</f>
        <v>0</v>
      </c>
      <c r="K355" s="433">
        <f ca="1">IF(I355&gt;0,J355*100/I355,0)</f>
        <v>0</v>
      </c>
      <c r="L355" s="434"/>
      <c r="M355" s="434"/>
      <c r="N355" s="434"/>
      <c r="O355" s="434"/>
      <c r="P355" s="434"/>
    </row>
    <row r="356" spans="1:26" ht="19.5">
      <c r="A356" s="424"/>
      <c r="B356" s="425"/>
      <c r="C356" s="426"/>
      <c r="D356" s="435" t="s">
        <v>160</v>
      </c>
      <c r="E356" s="428"/>
      <c r="F356" s="428"/>
      <c r="G356" s="429"/>
      <c r="H356" s="436"/>
      <c r="I356" s="437"/>
      <c r="J356" s="437"/>
      <c r="K356" s="434"/>
      <c r="L356" s="434"/>
      <c r="M356" s="434"/>
      <c r="N356" s="434"/>
      <c r="O356" s="434"/>
      <c r="P356" s="434"/>
    </row>
    <row r="357" spans="1:26" ht="19.5">
      <c r="A357" s="170"/>
      <c r="B357" s="171"/>
      <c r="C357" s="164" t="s">
        <v>16</v>
      </c>
      <c r="D357" s="818" t="s">
        <v>38</v>
      </c>
      <c r="E357" s="173"/>
      <c r="F357" s="173"/>
      <c r="G357" s="174"/>
      <c r="H357" s="726"/>
      <c r="I357" s="269"/>
      <c r="J357" s="269"/>
      <c r="K357" s="465"/>
      <c r="L357" s="163"/>
      <c r="M357" s="163"/>
      <c r="N357" s="163"/>
      <c r="O357" s="163"/>
      <c r="P357" s="163"/>
    </row>
    <row r="358" spans="1:26" ht="18.75">
      <c r="A358" s="170"/>
      <c r="B358" s="342"/>
      <c r="C358" s="171"/>
      <c r="D358" s="342"/>
      <c r="E358" s="343" t="s">
        <v>161</v>
      </c>
      <c r="F358" s="342"/>
      <c r="G358" s="179"/>
      <c r="H358" s="185" t="s">
        <v>35</v>
      </c>
      <c r="I358" s="269">
        <v>0</v>
      </c>
      <c r="J358" s="269">
        <f ca="1">IFERROR(__xludf.DUMMYFUNCTION("IMPORTRANGE(""https://docs.google.com/spreadsheets/d/1XWAQStnk-4SwqDmLtmXYiTMKHgktTP8We1SCoS47DrQ/edit?usp=sharing"",""จัดที่ดิน!W27"")"),15)</f>
        <v>15</v>
      </c>
      <c r="K358" s="465">
        <f t="shared" ref="K358:K365" si="160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342"/>
      <c r="C359" s="171"/>
      <c r="D359" s="342"/>
      <c r="E359" s="342"/>
      <c r="F359" s="342"/>
      <c r="G359" s="179"/>
      <c r="H359" s="185" t="s">
        <v>46</v>
      </c>
      <c r="I359" s="269">
        <f ca="1">IFERROR(__xludf.DUMMYFUNCTION("IMPORTRANGE(""https://docs.google.com/spreadsheets/d/1QqKyyYR6Q21VydFLVH3TRQUabQu_ym0Zz7PgGX0-kHA/edit?usp=sharing"",""แผน!EO27"")"),540)</f>
        <v>540</v>
      </c>
      <c r="J359" s="269">
        <f ca="1">IFERROR(__xludf.DUMMYFUNCTION("IMPORTRANGE(""https://docs.google.com/spreadsheets/d/1XWAQStnk-4SwqDmLtmXYiTMKHgktTP8We1SCoS47DrQ/edit?usp=sharing"",""จัดที่ดิน!X27"")"),87.83)</f>
        <v>87.83</v>
      </c>
      <c r="K359" s="465">
        <f t="shared" ca="1" si="160"/>
        <v>16.264814814814816</v>
      </c>
      <c r="L359" s="163"/>
      <c r="M359" s="163"/>
      <c r="N359" s="163"/>
      <c r="O359" s="163"/>
      <c r="P359" s="163"/>
    </row>
    <row r="360" spans="1:26" ht="18.75">
      <c r="A360" s="170"/>
      <c r="B360" s="342"/>
      <c r="C360" s="171"/>
      <c r="D360" s="342"/>
      <c r="E360" s="343" t="s">
        <v>162</v>
      </c>
      <c r="F360" s="342"/>
      <c r="G360" s="179"/>
      <c r="H360" s="728" t="s">
        <v>35</v>
      </c>
      <c r="I360" s="269">
        <f ca="1">IFERROR(__xludf.DUMMYFUNCTION("IMPORTRANGE(""https://docs.google.com/spreadsheets/d/1QqKyyYR6Q21VydFLVH3TRQUabQu_ym0Zz7PgGX0-kHA/edit?usp=sharing"",""แผน!EP27"")"),59)</f>
        <v>59</v>
      </c>
      <c r="J360" s="269">
        <f ca="1">IFERROR(__xludf.DUMMYFUNCTION("IMPORTRANGE(""https://docs.google.com/spreadsheets/d/1XWAQStnk-4SwqDmLtmXYiTMKHgktTP8We1SCoS47DrQ/edit?usp=sharing"",""จัดที่ดิน!Y27"")"),0)</f>
        <v>0</v>
      </c>
      <c r="K360" s="465">
        <f t="shared" ca="1" si="160"/>
        <v>0</v>
      </c>
      <c r="L360" s="163"/>
      <c r="M360" s="163"/>
      <c r="N360" s="163"/>
      <c r="O360" s="163"/>
      <c r="P360" s="163"/>
    </row>
    <row r="361" spans="1:26" ht="18.75">
      <c r="A361" s="170"/>
      <c r="B361" s="342"/>
      <c r="C361" s="171"/>
      <c r="D361" s="342"/>
      <c r="E361" s="342"/>
      <c r="F361" s="342"/>
      <c r="G361" s="179"/>
      <c r="H361" s="728" t="s">
        <v>46</v>
      </c>
      <c r="I361" s="269">
        <v>0</v>
      </c>
      <c r="J361" s="269">
        <f ca="1">IFERROR(__xludf.DUMMYFUNCTION("IMPORTRANGE(""https://docs.google.com/spreadsheets/d/1XWAQStnk-4SwqDmLtmXYiTMKHgktTP8We1SCoS47DrQ/edit?usp=sharing"",""จัดที่ดิน!Z27"")"),0)</f>
        <v>0</v>
      </c>
      <c r="K361" s="465">
        <f t="shared" si="160"/>
        <v>0</v>
      </c>
      <c r="L361" s="163"/>
      <c r="M361" s="163"/>
      <c r="N361" s="163"/>
      <c r="O361" s="163"/>
      <c r="P361" s="163"/>
    </row>
    <row r="362" spans="1:26" ht="18.75">
      <c r="A362" s="170"/>
      <c r="B362" s="342"/>
      <c r="C362" s="171"/>
      <c r="D362" s="342"/>
      <c r="E362" s="343" t="s">
        <v>163</v>
      </c>
      <c r="F362" s="342"/>
      <c r="G362" s="179"/>
      <c r="H362" s="728" t="s">
        <v>35</v>
      </c>
      <c r="I362" s="269">
        <f ca="1">IFERROR(__xludf.DUMMYFUNCTION("IMPORTRANGE(""https://docs.google.com/spreadsheets/d/1QqKyyYR6Q21VydFLVH3TRQUabQu_ym0Zz7PgGX0-kHA/edit?usp=sharing"",""แผน!EP27"")"),59)</f>
        <v>59</v>
      </c>
      <c r="J362" s="269">
        <f ca="1">IFERROR(__xludf.DUMMYFUNCTION("IMPORTRANGE(""https://docs.google.com/spreadsheets/d/1XWAQStnk-4SwqDmLtmXYiTMKHgktTP8We1SCoS47DrQ/edit?usp=sharing"",""จัดที่ดิน!AA27"")"),0)</f>
        <v>0</v>
      </c>
      <c r="K362" s="465">
        <f t="shared" ca="1" si="160"/>
        <v>0</v>
      </c>
      <c r="L362" s="163"/>
      <c r="M362" s="163"/>
      <c r="N362" s="163"/>
      <c r="O362" s="163"/>
      <c r="P362" s="163"/>
    </row>
    <row r="363" spans="1:26" ht="18.75">
      <c r="A363" s="438" t="s">
        <v>164</v>
      </c>
      <c r="B363" s="342"/>
      <c r="C363" s="171"/>
      <c r="D363" s="342"/>
      <c r="E363" s="415"/>
      <c r="F363" s="342"/>
      <c r="G363" s="179"/>
      <c r="H363" s="728" t="s">
        <v>46</v>
      </c>
      <c r="I363" s="269">
        <v>0</v>
      </c>
      <c r="J363" s="269">
        <f ca="1">IFERROR(__xludf.DUMMYFUNCTION("IMPORTRANGE(""https://docs.google.com/spreadsheets/d/1XWAQStnk-4SwqDmLtmXYiTMKHgktTP8We1SCoS47DrQ/edit?usp=sharing"",""จัดที่ดิน!AB27"")"),0)</f>
        <v>0</v>
      </c>
      <c r="K363" s="465">
        <f t="shared" si="160"/>
        <v>0</v>
      </c>
      <c r="L363" s="163"/>
      <c r="M363" s="163"/>
      <c r="N363" s="163"/>
      <c r="O363" s="163"/>
      <c r="P363" s="163"/>
    </row>
    <row r="364" spans="1:26" ht="19.5">
      <c r="A364" s="439"/>
      <c r="B364" s="440"/>
      <c r="C364" s="441"/>
      <c r="D364" s="442" t="s">
        <v>165</v>
      </c>
      <c r="E364" s="443"/>
      <c r="F364" s="443"/>
      <c r="G364" s="444"/>
      <c r="H364" s="445" t="s">
        <v>35</v>
      </c>
      <c r="I364" s="446">
        <f t="shared" ref="I364:J364" ca="1" si="161">I365+I374</f>
        <v>159</v>
      </c>
      <c r="J364" s="446">
        <f t="shared" ca="1" si="161"/>
        <v>0</v>
      </c>
      <c r="K364" s="447">
        <f t="shared" ca="1" si="160"/>
        <v>0</v>
      </c>
      <c r="L364" s="448"/>
      <c r="M364" s="448"/>
      <c r="N364" s="448"/>
      <c r="O364" s="448"/>
      <c r="P364" s="448"/>
      <c r="Q364" s="449"/>
      <c r="R364" s="449"/>
      <c r="S364" s="449"/>
      <c r="T364" s="449"/>
      <c r="U364" s="449"/>
      <c r="V364" s="449"/>
      <c r="W364" s="449"/>
      <c r="X364" s="449"/>
      <c r="Y364" s="449"/>
      <c r="Z364" s="449"/>
    </row>
    <row r="365" spans="1:26" ht="19.5">
      <c r="A365" s="450"/>
      <c r="B365" s="451"/>
      <c r="C365" s="453"/>
      <c r="D365" s="453" t="s">
        <v>166</v>
      </c>
      <c r="E365" s="454"/>
      <c r="F365" s="454"/>
      <c r="G365" s="455"/>
      <c r="H365" s="456" t="s">
        <v>35</v>
      </c>
      <c r="I365" s="458">
        <f ca="1">IFERROR(__xludf.DUMMYFUNCTION("IMPORTRANGE(""https://docs.google.com/spreadsheets/d/1QqKyyYR6Q21VydFLVH3TRQUabQu_ym0Zz7PgGX0-kHA/edit?usp=sharing"",""แผน!EJ27"")"),40)</f>
        <v>40</v>
      </c>
      <c r="J365" s="458">
        <f ca="1">J372</f>
        <v>0</v>
      </c>
      <c r="K365" s="459">
        <f t="shared" ca="1" si="160"/>
        <v>0</v>
      </c>
      <c r="L365" s="460"/>
      <c r="M365" s="460"/>
      <c r="N365" s="460"/>
      <c r="O365" s="460"/>
      <c r="P365" s="460"/>
      <c r="Q365" s="449"/>
      <c r="R365" s="449"/>
      <c r="S365" s="449"/>
      <c r="T365" s="449"/>
      <c r="U365" s="449"/>
      <c r="V365" s="449"/>
      <c r="W365" s="449"/>
      <c r="X365" s="449"/>
      <c r="Y365" s="449"/>
      <c r="Z365" s="449"/>
    </row>
    <row r="366" spans="1:26" ht="19.5">
      <c r="A366" s="450"/>
      <c r="B366" s="451"/>
      <c r="C366" s="453"/>
      <c r="D366" s="461" t="s">
        <v>167</v>
      </c>
      <c r="E366" s="454"/>
      <c r="F366" s="454"/>
      <c r="G366" s="455"/>
      <c r="H366" s="462"/>
      <c r="I366" s="463"/>
      <c r="J366" s="463"/>
      <c r="K366" s="460"/>
      <c r="L366" s="460"/>
      <c r="M366" s="460"/>
      <c r="N366" s="460"/>
      <c r="O366" s="460"/>
      <c r="P366" s="460"/>
      <c r="Q366" s="449"/>
      <c r="R366" s="449"/>
      <c r="S366" s="449"/>
      <c r="T366" s="449"/>
      <c r="U366" s="449"/>
      <c r="V366" s="449"/>
      <c r="W366" s="449"/>
      <c r="X366" s="449"/>
      <c r="Y366" s="449"/>
      <c r="Z366" s="449"/>
    </row>
    <row r="367" spans="1:26" ht="19.5">
      <c r="A367" s="170"/>
      <c r="B367" s="171"/>
      <c r="C367" s="164" t="s">
        <v>16</v>
      </c>
      <c r="D367" s="818" t="s">
        <v>38</v>
      </c>
      <c r="E367" s="173"/>
      <c r="F367" s="173"/>
      <c r="G367" s="174"/>
      <c r="H367" s="726"/>
      <c r="I367" s="269"/>
      <c r="J367" s="269"/>
      <c r="K367" s="465"/>
      <c r="L367" s="163"/>
      <c r="M367" s="163"/>
      <c r="N367" s="163"/>
      <c r="O367" s="163"/>
      <c r="P367" s="163"/>
    </row>
    <row r="368" spans="1:26" ht="18.75">
      <c r="A368" s="170"/>
      <c r="B368" s="342"/>
      <c r="C368" s="171"/>
      <c r="D368" s="342"/>
      <c r="E368" s="343" t="s">
        <v>161</v>
      </c>
      <c r="F368" s="342"/>
      <c r="G368" s="179"/>
      <c r="H368" s="185" t="s">
        <v>35</v>
      </c>
      <c r="I368" s="269">
        <v>0</v>
      </c>
      <c r="J368" s="269">
        <f ca="1">IFERROR(__xludf.DUMMYFUNCTION("IMPORTRANGE(""https://docs.google.com/spreadsheets/d/1XWAQStnk-4SwqDmLtmXYiTMKHgktTP8We1SCoS47DrQ/edit?usp=sharing"",""จัดที่ดิน!E27"")"),12)</f>
        <v>12</v>
      </c>
      <c r="K368" s="465">
        <f t="shared" ref="K368:K374" si="162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342"/>
      <c r="C369" s="171"/>
      <c r="D369" s="342"/>
      <c r="E369" s="342"/>
      <c r="F369" s="342"/>
      <c r="G369" s="179"/>
      <c r="H369" s="185" t="s">
        <v>46</v>
      </c>
      <c r="I369" s="269">
        <f ca="1">IFERROR(__xludf.DUMMYFUNCTION("IMPORTRANGE(""https://docs.google.com/spreadsheets/d/1QqKyyYR6Q21VydFLVH3TRQUabQu_ym0Zz7PgGX0-kHA/edit?usp=sharing"",""แผน!EI27"")"),400)</f>
        <v>400</v>
      </c>
      <c r="J369" s="269">
        <f ca="1">IFERROR(__xludf.DUMMYFUNCTION("IMPORTRANGE(""https://docs.google.com/spreadsheets/d/1XWAQStnk-4SwqDmLtmXYiTMKHgktTP8We1SCoS47DrQ/edit?usp=sharing"",""จัดที่ดิน!F27"")"),41.12)</f>
        <v>41.12</v>
      </c>
      <c r="K369" s="465">
        <f t="shared" ca="1" si="162"/>
        <v>10.28</v>
      </c>
      <c r="L369" s="163"/>
      <c r="M369" s="163"/>
      <c r="N369" s="163"/>
      <c r="O369" s="163"/>
      <c r="P369" s="163"/>
    </row>
    <row r="370" spans="1:26" ht="18.75">
      <c r="A370" s="170"/>
      <c r="B370" s="342"/>
      <c r="C370" s="171"/>
      <c r="D370" s="342"/>
      <c r="E370" s="343" t="s">
        <v>162</v>
      </c>
      <c r="F370" s="342"/>
      <c r="G370" s="179"/>
      <c r="H370" s="728" t="s">
        <v>35</v>
      </c>
      <c r="I370" s="269">
        <f ca="1">IFERROR(__xludf.DUMMYFUNCTION("IMPORTRANGE(""https://docs.google.com/spreadsheets/d/1QqKyyYR6Q21VydFLVH3TRQUabQu_ym0Zz7PgGX0-kHA/edit?usp=sharing"",""แผน!EJ27"")"),40)</f>
        <v>40</v>
      </c>
      <c r="J370" s="269">
        <f ca="1">IFERROR(__xludf.DUMMYFUNCTION("IMPORTRANGE(""https://docs.google.com/spreadsheets/d/1XWAQStnk-4SwqDmLtmXYiTMKHgktTP8We1SCoS47DrQ/edit?usp=sharing"",""จัดที่ดิน!G27"")"),0)</f>
        <v>0</v>
      </c>
      <c r="K370" s="465">
        <f t="shared" ca="1" si="162"/>
        <v>0</v>
      </c>
      <c r="L370" s="163"/>
      <c r="M370" s="163"/>
      <c r="N370" s="163"/>
      <c r="O370" s="163"/>
      <c r="P370" s="163"/>
    </row>
    <row r="371" spans="1:26" ht="18.75">
      <c r="A371" s="170"/>
      <c r="B371" s="342"/>
      <c r="C371" s="171"/>
      <c r="D371" s="342"/>
      <c r="E371" s="342"/>
      <c r="F371" s="342"/>
      <c r="G371" s="179"/>
      <c r="H371" s="728" t="s">
        <v>46</v>
      </c>
      <c r="I371" s="269">
        <v>0</v>
      </c>
      <c r="J371" s="269">
        <f ca="1">IFERROR(__xludf.DUMMYFUNCTION("IMPORTRANGE(""https://docs.google.com/spreadsheets/d/1XWAQStnk-4SwqDmLtmXYiTMKHgktTP8We1SCoS47DrQ/edit?usp=sharing"",""จัดที่ดิน!H27"")"),0)</f>
        <v>0</v>
      </c>
      <c r="K371" s="465">
        <f t="shared" si="162"/>
        <v>0</v>
      </c>
      <c r="L371" s="163"/>
      <c r="M371" s="163"/>
      <c r="N371" s="163"/>
      <c r="O371" s="163"/>
      <c r="P371" s="163"/>
    </row>
    <row r="372" spans="1:26" ht="18.75">
      <c r="A372" s="170"/>
      <c r="B372" s="342"/>
      <c r="C372" s="171"/>
      <c r="D372" s="342"/>
      <c r="E372" s="343" t="s">
        <v>163</v>
      </c>
      <c r="F372" s="342"/>
      <c r="G372" s="179"/>
      <c r="H372" s="728" t="s">
        <v>35</v>
      </c>
      <c r="I372" s="269">
        <f ca="1">IFERROR(__xludf.DUMMYFUNCTION("IMPORTRANGE(""https://docs.google.com/spreadsheets/d/1QqKyyYR6Q21VydFLVH3TRQUabQu_ym0Zz7PgGX0-kHA/edit?usp=sharing"",""แผน!EJ27"")"),40)</f>
        <v>40</v>
      </c>
      <c r="J372" s="269">
        <f ca="1">IFERROR(__xludf.DUMMYFUNCTION("IMPORTRANGE(""https://docs.google.com/spreadsheets/d/1XWAQStnk-4SwqDmLtmXYiTMKHgktTP8We1SCoS47DrQ/edit?usp=sharing"",""จัดที่ดิน!I27"")"),0)</f>
        <v>0</v>
      </c>
      <c r="K372" s="465">
        <f t="shared" ca="1" si="162"/>
        <v>0</v>
      </c>
      <c r="L372" s="163"/>
      <c r="M372" s="163"/>
      <c r="N372" s="163"/>
      <c r="O372" s="163"/>
      <c r="P372" s="163"/>
    </row>
    <row r="373" spans="1:26" ht="18.75">
      <c r="A373" s="438" t="s">
        <v>164</v>
      </c>
      <c r="B373" s="342"/>
      <c r="C373" s="171"/>
      <c r="D373" s="342"/>
      <c r="E373" s="415"/>
      <c r="F373" s="342"/>
      <c r="G373" s="179"/>
      <c r="H373" s="728" t="s">
        <v>46</v>
      </c>
      <c r="I373" s="269">
        <v>0</v>
      </c>
      <c r="J373" s="269">
        <f ca="1">IFERROR(__xludf.DUMMYFUNCTION("IMPORTRANGE(""https://docs.google.com/spreadsheets/d/1XWAQStnk-4SwqDmLtmXYiTMKHgktTP8We1SCoS47DrQ/edit?usp=sharing"",""จัดที่ดิน!J27"")"),0)</f>
        <v>0</v>
      </c>
      <c r="K373" s="465">
        <f t="shared" si="162"/>
        <v>0</v>
      </c>
      <c r="L373" s="163"/>
      <c r="M373" s="163"/>
      <c r="N373" s="163"/>
      <c r="O373" s="163"/>
      <c r="P373" s="163"/>
    </row>
    <row r="374" spans="1:26" ht="19.5">
      <c r="A374" s="450"/>
      <c r="B374" s="451"/>
      <c r="C374" s="453"/>
      <c r="D374" s="453" t="s">
        <v>168</v>
      </c>
      <c r="E374" s="454"/>
      <c r="F374" s="454"/>
      <c r="G374" s="455"/>
      <c r="H374" s="456" t="s">
        <v>35</v>
      </c>
      <c r="I374" s="464">
        <f ca="1">IFERROR(__xludf.DUMMYFUNCTION("IMPORTRANGE(""https://docs.google.com/spreadsheets/d/1QqKyyYR6Q21VydFLVH3TRQUabQu_ym0Zz7PgGX0-kHA/edit?usp=sharing"",""แผน!EU27"")"),119)</f>
        <v>119</v>
      </c>
      <c r="J374" s="458">
        <f ca="1">J381</f>
        <v>0</v>
      </c>
      <c r="K374" s="459">
        <f t="shared" ca="1" si="162"/>
        <v>0</v>
      </c>
      <c r="L374" s="460"/>
      <c r="M374" s="460"/>
      <c r="N374" s="460"/>
      <c r="O374" s="460"/>
      <c r="P374" s="460"/>
      <c r="Q374" s="449"/>
      <c r="R374" s="449"/>
      <c r="S374" s="449"/>
      <c r="T374" s="449"/>
      <c r="U374" s="449"/>
      <c r="V374" s="449"/>
      <c r="W374" s="449"/>
      <c r="X374" s="449"/>
      <c r="Y374" s="449"/>
      <c r="Z374" s="449"/>
    </row>
    <row r="375" spans="1:26" ht="19.5">
      <c r="A375" s="450"/>
      <c r="B375" s="451"/>
      <c r="C375" s="453"/>
      <c r="D375" s="461" t="s">
        <v>169</v>
      </c>
      <c r="E375" s="454"/>
      <c r="F375" s="454"/>
      <c r="G375" s="455"/>
      <c r="H375" s="462"/>
      <c r="I375" s="463"/>
      <c r="J375" s="463"/>
      <c r="K375" s="460"/>
      <c r="L375" s="460"/>
      <c r="M375" s="460"/>
      <c r="N375" s="460"/>
      <c r="O375" s="460"/>
      <c r="P375" s="460"/>
      <c r="Q375" s="449"/>
      <c r="R375" s="449"/>
      <c r="S375" s="449"/>
      <c r="T375" s="449"/>
      <c r="U375" s="449"/>
      <c r="V375" s="449"/>
      <c r="W375" s="449"/>
      <c r="X375" s="449"/>
      <c r="Y375" s="449"/>
      <c r="Z375" s="449"/>
    </row>
    <row r="376" spans="1:26" ht="19.5">
      <c r="A376" s="170"/>
      <c r="B376" s="171"/>
      <c r="C376" s="164" t="s">
        <v>16</v>
      </c>
      <c r="D376" s="818" t="s">
        <v>38</v>
      </c>
      <c r="E376" s="173"/>
      <c r="F376" s="173"/>
      <c r="G376" s="174"/>
      <c r="H376" s="726"/>
      <c r="I376" s="269"/>
      <c r="J376" s="269"/>
      <c r="K376" s="465"/>
      <c r="L376" s="163"/>
      <c r="M376" s="163"/>
      <c r="N376" s="163"/>
      <c r="O376" s="163"/>
      <c r="P376" s="163"/>
    </row>
    <row r="377" spans="1:26" ht="18.75">
      <c r="A377" s="170"/>
      <c r="B377" s="342"/>
      <c r="C377" s="171"/>
      <c r="D377" s="342"/>
      <c r="E377" s="343" t="s">
        <v>161</v>
      </c>
      <c r="F377" s="342"/>
      <c r="G377" s="179"/>
      <c r="H377" s="185" t="s">
        <v>35</v>
      </c>
      <c r="I377" s="269">
        <v>0</v>
      </c>
      <c r="J377" s="269">
        <f ca="1">IFERROR(__xludf.DUMMYFUNCTION("IMPORTRANGE(""https://docs.google.com/spreadsheets/d/1XWAQStnk-4SwqDmLtmXYiTMKHgktTP8We1SCoS47DrQ/edit?usp=sharing"",""จัดที่ดิน!AH27"")"),3)</f>
        <v>3</v>
      </c>
      <c r="K377" s="465">
        <f t="shared" ref="K377:K382" si="163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342"/>
      <c r="C378" s="171"/>
      <c r="D378" s="342"/>
      <c r="E378" s="342"/>
      <c r="F378" s="342"/>
      <c r="G378" s="179"/>
      <c r="H378" s="185" t="s">
        <v>46</v>
      </c>
      <c r="I378" s="269">
        <f ca="1">IFERROR(__xludf.DUMMYFUNCTION("IMPORTRANGE(""https://docs.google.com/spreadsheets/d/1QqKyyYR6Q21VydFLVH3TRQUabQu_ym0Zz7PgGX0-kHA/edit?usp=sharing"",""แผน!ET27"")"),140)</f>
        <v>140</v>
      </c>
      <c r="J378" s="269">
        <f ca="1">IFERROR(__xludf.DUMMYFUNCTION("IMPORTRANGE(""https://docs.google.com/spreadsheets/d/1XWAQStnk-4SwqDmLtmXYiTMKHgktTP8We1SCoS47DrQ/edit?usp=sharing"",""จัดที่ดิน!AI27"")"),46.71)</f>
        <v>46.71</v>
      </c>
      <c r="K378" s="465">
        <f t="shared" ca="1" si="163"/>
        <v>33.364285714285714</v>
      </c>
      <c r="L378" s="163"/>
      <c r="M378" s="163"/>
      <c r="N378" s="163"/>
      <c r="O378" s="163"/>
      <c r="P378" s="163"/>
    </row>
    <row r="379" spans="1:26" ht="18.75">
      <c r="A379" s="170"/>
      <c r="B379" s="342"/>
      <c r="C379" s="171"/>
      <c r="D379" s="342"/>
      <c r="E379" s="343" t="s">
        <v>162</v>
      </c>
      <c r="F379" s="342"/>
      <c r="G379" s="179"/>
      <c r="H379" s="728" t="s">
        <v>35</v>
      </c>
      <c r="I379" s="269">
        <f ca="1">IFERROR(__xludf.DUMMYFUNCTION("IMPORTRANGE(""https://docs.google.com/spreadsheets/d/1QqKyyYR6Q21VydFLVH3TRQUabQu_ym0Zz7PgGX0-kHA/edit?usp=sharing"",""แผน!EU27"")"),119)</f>
        <v>119</v>
      </c>
      <c r="J379" s="269">
        <f ca="1">IFERROR(__xludf.DUMMYFUNCTION("IMPORTRANGE(""https://docs.google.com/spreadsheets/d/1XWAQStnk-4SwqDmLtmXYiTMKHgktTP8We1SCoS47DrQ/edit?usp=sharing"",""จัดที่ดิน!AJ27"")"),0)</f>
        <v>0</v>
      </c>
      <c r="K379" s="465">
        <f t="shared" ca="1" si="163"/>
        <v>0</v>
      </c>
      <c r="L379" s="163"/>
      <c r="M379" s="163"/>
      <c r="N379" s="163"/>
      <c r="O379" s="163"/>
      <c r="P379" s="163"/>
    </row>
    <row r="380" spans="1:26" ht="18.75">
      <c r="A380" s="170"/>
      <c r="B380" s="342"/>
      <c r="C380" s="171"/>
      <c r="D380" s="342"/>
      <c r="E380" s="342"/>
      <c r="F380" s="342"/>
      <c r="G380" s="179"/>
      <c r="H380" s="728" t="s">
        <v>46</v>
      </c>
      <c r="I380" s="269">
        <v>0</v>
      </c>
      <c r="J380" s="269">
        <f ca="1">IFERROR(__xludf.DUMMYFUNCTION("IMPORTRANGE(""https://docs.google.com/spreadsheets/d/1XWAQStnk-4SwqDmLtmXYiTMKHgktTP8We1SCoS47DrQ/edit?usp=sharing"",""จัดที่ดิน!AK27"")"),0)</f>
        <v>0</v>
      </c>
      <c r="K380" s="465">
        <f t="shared" si="163"/>
        <v>0</v>
      </c>
      <c r="L380" s="163"/>
      <c r="M380" s="163"/>
      <c r="N380" s="163"/>
      <c r="O380" s="163"/>
      <c r="P380" s="163"/>
    </row>
    <row r="381" spans="1:26" ht="18.75">
      <c r="A381" s="170"/>
      <c r="B381" s="342"/>
      <c r="C381" s="171"/>
      <c r="D381" s="342"/>
      <c r="E381" s="343" t="s">
        <v>163</v>
      </c>
      <c r="F381" s="342"/>
      <c r="G381" s="179"/>
      <c r="H381" s="728" t="s">
        <v>35</v>
      </c>
      <c r="I381" s="269">
        <f ca="1">IFERROR(__xludf.DUMMYFUNCTION("IMPORTRANGE(""https://docs.google.com/spreadsheets/d/1QqKyyYR6Q21VydFLVH3TRQUabQu_ym0Zz7PgGX0-kHA/edit?usp=sharing"",""แผน!EU27"")"),119)</f>
        <v>119</v>
      </c>
      <c r="J381" s="269">
        <f ca="1">IFERROR(__xludf.DUMMYFUNCTION("IMPORTRANGE(""https://docs.google.com/spreadsheets/d/1XWAQStnk-4SwqDmLtmXYiTMKHgktTP8We1SCoS47DrQ/edit?usp=sharing"",""จัดที่ดิน!AL27"")"),0)</f>
        <v>0</v>
      </c>
      <c r="K381" s="465">
        <f t="shared" ca="1" si="163"/>
        <v>0</v>
      </c>
      <c r="L381" s="163"/>
      <c r="M381" s="163"/>
      <c r="N381" s="163"/>
      <c r="O381" s="163"/>
      <c r="P381" s="163"/>
    </row>
    <row r="382" spans="1:26" ht="18.75">
      <c r="A382" s="438" t="s">
        <v>164</v>
      </c>
      <c r="B382" s="342"/>
      <c r="C382" s="171"/>
      <c r="D382" s="342"/>
      <c r="E382" s="415"/>
      <c r="F382" s="342"/>
      <c r="G382" s="179"/>
      <c r="H382" s="728" t="s">
        <v>46</v>
      </c>
      <c r="I382" s="269">
        <v>0</v>
      </c>
      <c r="J382" s="269">
        <f ca="1">IFERROR(__xludf.DUMMYFUNCTION("IMPORTRANGE(""https://docs.google.com/spreadsheets/d/1XWAQStnk-4SwqDmLtmXYiTMKHgktTP8We1SCoS47DrQ/edit?usp=sharing"",""จัดที่ดิน!AM27"")"),0)</f>
        <v>0</v>
      </c>
      <c r="K382" s="465">
        <f t="shared" si="163"/>
        <v>0</v>
      </c>
      <c r="L382" s="163"/>
      <c r="M382" s="163"/>
      <c r="N382" s="163"/>
      <c r="O382" s="163"/>
      <c r="P382" s="163"/>
    </row>
    <row r="383" spans="1:26" ht="19.5">
      <c r="A383" s="255"/>
      <c r="B383" s="263"/>
      <c r="C383" s="256"/>
      <c r="D383" s="845" t="s">
        <v>170</v>
      </c>
      <c r="E383" s="256"/>
      <c r="F383" s="256"/>
      <c r="G383" s="258"/>
      <c r="H383" s="423"/>
      <c r="I383" s="260"/>
      <c r="J383" s="260"/>
      <c r="K383" s="261"/>
      <c r="L383" s="261"/>
      <c r="M383" s="261"/>
      <c r="N383" s="261"/>
      <c r="O383" s="261"/>
      <c r="P383" s="261"/>
    </row>
    <row r="384" spans="1:26" ht="19.5">
      <c r="A384" s="170"/>
      <c r="B384" s="171"/>
      <c r="C384" s="33" t="s">
        <v>16</v>
      </c>
      <c r="D384" s="818" t="s">
        <v>38</v>
      </c>
      <c r="E384" s="173"/>
      <c r="F384" s="173"/>
      <c r="G384" s="174"/>
      <c r="H384" s="726"/>
      <c r="I384" s="269"/>
      <c r="J384" s="269"/>
      <c r="K384" s="465"/>
      <c r="L384" s="163"/>
      <c r="M384" s="163"/>
      <c r="N384" s="163"/>
      <c r="O384" s="163"/>
      <c r="P384" s="163"/>
    </row>
    <row r="385" spans="1:26" ht="18.75">
      <c r="A385" s="346"/>
      <c r="B385" s="349"/>
      <c r="C385" s="347"/>
      <c r="D385" s="349"/>
      <c r="E385" s="466" t="s">
        <v>163</v>
      </c>
      <c r="F385" s="349"/>
      <c r="G385" s="350"/>
      <c r="H385" s="467" t="s">
        <v>35</v>
      </c>
      <c r="I385" s="468">
        <f ca="1">IFERROR(__xludf.DUMMYFUNCTION("IMPORTRANGE(""https://docs.google.com/spreadsheets/d/1QqKyyYR6Q21VydFLVH3TRQUabQu_ym0Zz7PgGX0-kHA/edit?usp=sharing"",""แผน!EW27"")"),20)</f>
        <v>20</v>
      </c>
      <c r="J385" s="468">
        <f ca="1">IFERROR(__xludf.DUMMYFUNCTION("IMPORTRANGE(""https://docs.google.com/spreadsheets/d/1XWAQStnk-4SwqDmLtmXYiTMKHgktTP8We1SCoS47DrQ/edit?usp=sharing"",""จัดที่ดิน!AP27"")"),0)</f>
        <v>0</v>
      </c>
      <c r="K385" s="469">
        <f ca="1">IF(I385&gt;0,J385*100/I385,0)</f>
        <v>0</v>
      </c>
      <c r="L385" s="353"/>
      <c r="M385" s="353"/>
      <c r="N385" s="353"/>
      <c r="O385" s="353"/>
      <c r="P385" s="353"/>
    </row>
    <row r="386" spans="1:26" ht="19.5" hidden="1">
      <c r="A386" s="470" t="s">
        <v>171</v>
      </c>
      <c r="B386" s="471"/>
      <c r="C386" s="471"/>
      <c r="D386" s="471"/>
      <c r="E386" s="472"/>
      <c r="F386" s="472"/>
      <c r="G386" s="473"/>
      <c r="H386" s="474"/>
      <c r="I386" s="475"/>
      <c r="J386" s="475"/>
      <c r="K386" s="476"/>
      <c r="L386" s="476"/>
      <c r="M386" s="476"/>
      <c r="N386" s="476"/>
      <c r="O386" s="476"/>
      <c r="P386" s="476"/>
    </row>
    <row r="387" spans="1:26" ht="19.5" hidden="1">
      <c r="A387" s="477" t="s">
        <v>172</v>
      </c>
      <c r="B387" s="478"/>
      <c r="C387" s="478"/>
      <c r="D387" s="479"/>
      <c r="E387" s="478"/>
      <c r="F387" s="478"/>
      <c r="G387" s="478"/>
      <c r="H387" s="480"/>
      <c r="I387" s="481"/>
      <c r="J387" s="481"/>
      <c r="K387" s="482"/>
      <c r="L387" s="482"/>
      <c r="M387" s="482"/>
      <c r="N387" s="482"/>
      <c r="O387" s="482"/>
      <c r="P387" s="482"/>
    </row>
    <row r="388" spans="1:26" ht="19.5" hidden="1">
      <c r="A388" s="483"/>
      <c r="B388" s="484" t="s">
        <v>173</v>
      </c>
      <c r="C388" s="485"/>
      <c r="D388" s="486"/>
      <c r="E388" s="486"/>
      <c r="F388" s="486"/>
      <c r="G388" s="487"/>
      <c r="H388" s="488" t="s">
        <v>69</v>
      </c>
      <c r="I388" s="489">
        <f t="shared" ref="I388:J388" si="164">I400</f>
        <v>0</v>
      </c>
      <c r="J388" s="489">
        <f t="shared" si="164"/>
        <v>0</v>
      </c>
      <c r="K388" s="490">
        <f>IF(I388&gt;0,J388*100/I388,0)</f>
        <v>0</v>
      </c>
      <c r="L388" s="491"/>
      <c r="M388" s="491"/>
      <c r="N388" s="491"/>
      <c r="O388" s="491"/>
      <c r="P388" s="491"/>
    </row>
    <row r="389" spans="1:26" ht="19.5" hidden="1">
      <c r="A389" s="147"/>
      <c r="B389" s="148"/>
      <c r="C389" s="149" t="s">
        <v>16</v>
      </c>
      <c r="D389" s="817" t="s">
        <v>17</v>
      </c>
      <c r="E389" s="148"/>
      <c r="F389" s="148"/>
      <c r="G389" s="151"/>
      <c r="H389" s="152" t="s">
        <v>12</v>
      </c>
      <c r="I389" s="388"/>
      <c r="J389" s="388"/>
      <c r="K389" s="154"/>
      <c r="L389" s="155">
        <f t="shared" ref="L389:N389" ca="1" si="165">L390+L391</f>
        <v>0</v>
      </c>
      <c r="M389" s="155">
        <f t="shared" ca="1" si="165"/>
        <v>0</v>
      </c>
      <c r="N389" s="155">
        <f t="shared" ca="1" si="165"/>
        <v>0</v>
      </c>
      <c r="O389" s="155">
        <f t="shared" ref="O389:O397" ca="1" si="166">IF(L389&gt;0,N389*100/L389,0)</f>
        <v>0</v>
      </c>
      <c r="P389" s="155">
        <f t="shared" ref="P389:P397" ca="1" si="167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2" t="s">
        <v>18</v>
      </c>
      <c r="F390" s="40"/>
      <c r="G390" s="157"/>
      <c r="H390" s="158" t="s">
        <v>12</v>
      </c>
      <c r="I390" s="583"/>
      <c r="J390" s="583"/>
      <c r="K390" s="93"/>
      <c r="L390" s="93">
        <f t="shared" ref="L390:N391" si="168">L393+L396</f>
        <v>0</v>
      </c>
      <c r="M390" s="93">
        <f t="shared" si="168"/>
        <v>0</v>
      </c>
      <c r="N390" s="93">
        <f t="shared" si="168"/>
        <v>0</v>
      </c>
      <c r="O390" s="93">
        <f t="shared" si="166"/>
        <v>0</v>
      </c>
      <c r="P390" s="93">
        <f t="shared" si="167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2" t="s">
        <v>19</v>
      </c>
      <c r="F391" s="40"/>
      <c r="G391" s="157"/>
      <c r="H391" s="158" t="s">
        <v>12</v>
      </c>
      <c r="I391" s="583"/>
      <c r="J391" s="583"/>
      <c r="K391" s="93"/>
      <c r="L391" s="93">
        <f t="shared" ca="1" si="168"/>
        <v>0</v>
      </c>
      <c r="M391" s="93">
        <f t="shared" ca="1" si="168"/>
        <v>0</v>
      </c>
      <c r="N391" s="93">
        <f t="shared" ca="1" si="168"/>
        <v>0</v>
      </c>
      <c r="O391" s="93">
        <f t="shared" ca="1" si="166"/>
        <v>0</v>
      </c>
      <c r="P391" s="93">
        <f t="shared" ca="1" si="167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1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65">
        <f t="shared" ref="L392:N392" ca="1" si="169">L393+L394</f>
        <v>0</v>
      </c>
      <c r="M392" s="465">
        <f t="shared" ca="1" si="169"/>
        <v>0</v>
      </c>
      <c r="N392" s="465">
        <f t="shared" ca="1" si="169"/>
        <v>0</v>
      </c>
      <c r="O392" s="465">
        <f t="shared" ca="1" si="166"/>
        <v>0</v>
      </c>
      <c r="P392" s="465">
        <f t="shared" ca="1" si="167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2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6"/>
        <v>0</v>
      </c>
      <c r="P393" s="93">
        <f t="shared" si="167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2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IFERROR(__xludf.DUMMYFUNCTION("IMPORTRANGE(""https://docs.google.com/spreadsheets/d/1MeEWN-I1oV_STSDYn1IFDPWt_1FKiwhDph83XaGc0o0/edit?usp=sharing"",""งบพรบ!FG27"")"),0)</f>
        <v>0</v>
      </c>
      <c r="M394" s="93">
        <f ca="1">IFERROR(__xludf.DUMMYFUNCTION("IMPORTRANGE(""https://docs.google.com/spreadsheets/d/1MeEWN-I1oV_STSDYn1IFDPWt_1FKiwhDph83XaGc0o0/edit?usp=sharing"",""งบพรบ!FL27"")"),0)</f>
        <v>0</v>
      </c>
      <c r="N394" s="93">
        <f ca="1">IFERROR(__xludf.DUMMYFUNCTION("IMPORTRANGE(""https://docs.google.com/spreadsheets/d/1MeEWN-I1oV_STSDYn1IFDPWt_1FKiwhDph83XaGc0o0/edit?usp=sharing"",""งบพรบ!FN27"")"),0)</f>
        <v>0</v>
      </c>
      <c r="O394" s="93">
        <f t="shared" ca="1" si="166"/>
        <v>0</v>
      </c>
      <c r="P394" s="93">
        <f t="shared" ca="1" si="167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1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65">
        <f t="shared" ref="L395:N395" ca="1" si="170">L396+L397</f>
        <v>0</v>
      </c>
      <c r="M395" s="465">
        <f t="shared" ca="1" si="170"/>
        <v>0</v>
      </c>
      <c r="N395" s="465">
        <f t="shared" ca="1" si="170"/>
        <v>0</v>
      </c>
      <c r="O395" s="465">
        <f t="shared" ca="1" si="166"/>
        <v>0</v>
      </c>
      <c r="P395" s="465">
        <f t="shared" ca="1" si="167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2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6"/>
        <v>0</v>
      </c>
      <c r="P396" s="93">
        <f t="shared" si="167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2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IFERROR(__xludf.DUMMYFUNCTION("IMPORTRANGE(""https://docs.google.com/spreadsheets/d/1MeEWN-I1oV_STSDYn1IFDPWt_1FKiwhDph83XaGc0o0/edit?usp=sharing"",""งบพรบ!FJ27"")"),0)</f>
        <v>0</v>
      </c>
      <c r="M397" s="93">
        <f ca="1">IFERROR(__xludf.DUMMYFUNCTION("IMPORTRANGE(""https://docs.google.com/spreadsheets/d/1MeEWN-I1oV_STSDYn1IFDPWt_1FKiwhDph83XaGc0o0/edit?usp=sharing"",""งบพรบ!FM27"")"),0)</f>
        <v>0</v>
      </c>
      <c r="N397" s="93">
        <f ca="1">IFERROR(__xludf.DUMMYFUNCTION("IMPORTRANGE(""https://docs.google.com/spreadsheets/d/1MeEWN-I1oV_STSDYn1IFDPWt_1FKiwhDph83XaGc0o0/edit?usp=sharing"",""งบพรบ!FO27"")"),0)</f>
        <v>0</v>
      </c>
      <c r="O397" s="93">
        <f t="shared" ca="1" si="166"/>
        <v>0</v>
      </c>
      <c r="P397" s="93">
        <f t="shared" ca="1" si="167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18" t="s">
        <v>38</v>
      </c>
      <c r="E398" s="173"/>
      <c r="F398" s="173"/>
      <c r="G398" s="174"/>
      <c r="H398" s="726"/>
      <c r="I398" s="184"/>
      <c r="J398" s="269"/>
      <c r="K398" s="465"/>
      <c r="L398" s="465"/>
      <c r="M398" s="465"/>
      <c r="N398" s="465"/>
      <c r="O398" s="163"/>
      <c r="P398" s="163"/>
    </row>
    <row r="399" spans="1:26" ht="18.75" hidden="1">
      <c r="A399" s="492"/>
      <c r="B399" s="148"/>
      <c r="C399" s="493"/>
      <c r="D399" s="494" t="s">
        <v>174</v>
      </c>
      <c r="E399" s="383"/>
      <c r="F399" s="148"/>
      <c r="G399" s="151"/>
      <c r="H399" s="495" t="s">
        <v>9</v>
      </c>
      <c r="I399" s="269">
        <v>0</v>
      </c>
      <c r="J399" s="214">
        <v>0</v>
      </c>
      <c r="K399" s="465">
        <f t="shared" ref="K399:K401" si="171">IF(I399&gt;0,J399*100/I399,0)</f>
        <v>0</v>
      </c>
      <c r="L399" s="496"/>
      <c r="M399" s="496"/>
      <c r="N399" s="496"/>
      <c r="O399" s="496"/>
      <c r="P399" s="496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3"/>
      <c r="B400" s="33"/>
      <c r="C400" s="280"/>
      <c r="D400" s="415" t="s">
        <v>175</v>
      </c>
      <c r="E400" s="171"/>
      <c r="F400" s="33"/>
      <c r="G400" s="35"/>
      <c r="H400" s="276" t="s">
        <v>69</v>
      </c>
      <c r="I400" s="269">
        <v>0</v>
      </c>
      <c r="J400" s="214">
        <v>0</v>
      </c>
      <c r="K400" s="465">
        <f t="shared" si="171"/>
        <v>0</v>
      </c>
      <c r="L400" s="465"/>
      <c r="M400" s="465"/>
      <c r="N400" s="465"/>
      <c r="O400" s="465"/>
      <c r="P400" s="465"/>
    </row>
    <row r="401" spans="1:26" ht="19.5" hidden="1">
      <c r="A401" s="483"/>
      <c r="B401" s="484" t="s">
        <v>176</v>
      </c>
      <c r="C401" s="485"/>
      <c r="D401" s="486"/>
      <c r="E401" s="486"/>
      <c r="F401" s="486"/>
      <c r="G401" s="487"/>
      <c r="H401" s="488" t="s">
        <v>69</v>
      </c>
      <c r="I401" s="489">
        <f t="shared" ref="I401:J401" si="172">I412</f>
        <v>0</v>
      </c>
      <c r="J401" s="489">
        <f t="shared" si="172"/>
        <v>0</v>
      </c>
      <c r="K401" s="490">
        <f t="shared" si="171"/>
        <v>0</v>
      </c>
      <c r="L401" s="491"/>
      <c r="M401" s="491"/>
      <c r="N401" s="491"/>
      <c r="O401" s="491"/>
      <c r="P401" s="491"/>
    </row>
    <row r="402" spans="1:26" ht="19.5" hidden="1">
      <c r="A402" s="147"/>
      <c r="B402" s="148"/>
      <c r="C402" s="149" t="s">
        <v>16</v>
      </c>
      <c r="D402" s="817" t="s">
        <v>17</v>
      </c>
      <c r="E402" s="148"/>
      <c r="F402" s="148"/>
      <c r="G402" s="151"/>
      <c r="H402" s="152" t="s">
        <v>12</v>
      </c>
      <c r="I402" s="388"/>
      <c r="J402" s="388"/>
      <c r="K402" s="154"/>
      <c r="L402" s="155">
        <f t="shared" ref="L402:N402" ca="1" si="173">L403+L404</f>
        <v>0</v>
      </c>
      <c r="M402" s="155">
        <f t="shared" ca="1" si="173"/>
        <v>0</v>
      </c>
      <c r="N402" s="155">
        <f t="shared" ca="1" si="173"/>
        <v>0</v>
      </c>
      <c r="O402" s="155">
        <f t="shared" ref="O402:O410" ca="1" si="174">IF(L402&gt;0,N402*100/L402,0)</f>
        <v>0</v>
      </c>
      <c r="P402" s="155">
        <f t="shared" ref="P402:P410" ca="1" si="175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2" t="s">
        <v>18</v>
      </c>
      <c r="F403" s="40"/>
      <c r="G403" s="157"/>
      <c r="H403" s="158" t="s">
        <v>12</v>
      </c>
      <c r="I403" s="583"/>
      <c r="J403" s="583"/>
      <c r="K403" s="93"/>
      <c r="L403" s="93">
        <f t="shared" ref="L403:N404" si="176">L406+L409</f>
        <v>0</v>
      </c>
      <c r="M403" s="93">
        <f t="shared" si="176"/>
        <v>0</v>
      </c>
      <c r="N403" s="93">
        <f t="shared" si="176"/>
        <v>0</v>
      </c>
      <c r="O403" s="93">
        <f t="shared" si="174"/>
        <v>0</v>
      </c>
      <c r="P403" s="93">
        <f t="shared" si="175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2" t="s">
        <v>19</v>
      </c>
      <c r="F404" s="40"/>
      <c r="G404" s="157"/>
      <c r="H404" s="158" t="s">
        <v>12</v>
      </c>
      <c r="I404" s="583"/>
      <c r="J404" s="583"/>
      <c r="K404" s="93"/>
      <c r="L404" s="93">
        <f t="shared" ca="1" si="176"/>
        <v>0</v>
      </c>
      <c r="M404" s="93">
        <f t="shared" ca="1" si="176"/>
        <v>0</v>
      </c>
      <c r="N404" s="93">
        <f t="shared" ca="1" si="176"/>
        <v>0</v>
      </c>
      <c r="O404" s="93">
        <f t="shared" ca="1" si="174"/>
        <v>0</v>
      </c>
      <c r="P404" s="93">
        <f t="shared" ca="1" si="175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1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65">
        <f t="shared" ref="L405:N405" ca="1" si="177">L406+L407</f>
        <v>0</v>
      </c>
      <c r="M405" s="465">
        <f t="shared" ca="1" si="177"/>
        <v>0</v>
      </c>
      <c r="N405" s="465">
        <f t="shared" ca="1" si="177"/>
        <v>0</v>
      </c>
      <c r="O405" s="465">
        <f t="shared" ca="1" si="174"/>
        <v>0</v>
      </c>
      <c r="P405" s="465">
        <f t="shared" ca="1" si="175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2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4"/>
        <v>0</v>
      </c>
      <c r="P406" s="93">
        <f t="shared" si="175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2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IFERROR(__xludf.DUMMYFUNCTION("IMPORTRANGE(""https://docs.google.com/spreadsheets/d/1MeEWN-I1oV_STSDYn1IFDPWt_1FKiwhDph83XaGc0o0/edit?usp=sharing"",""งบพรบ!FQ27"")"),0)</f>
        <v>0</v>
      </c>
      <c r="M407" s="93">
        <f ca="1">IFERROR(__xludf.DUMMYFUNCTION("IMPORTRANGE(""https://docs.google.com/spreadsheets/d/1MeEWN-I1oV_STSDYn1IFDPWt_1FKiwhDph83XaGc0o0/edit?usp=sharing"",""งบพรบ!FV27"")"),0)</f>
        <v>0</v>
      </c>
      <c r="N407" s="93">
        <f ca="1">IFERROR(__xludf.DUMMYFUNCTION("IMPORTRANGE(""https://docs.google.com/spreadsheets/d/1MeEWN-I1oV_STSDYn1IFDPWt_1FKiwhDph83XaGc0o0/edit?usp=sharing"",""งบพรบ!FX27"")"),0)</f>
        <v>0</v>
      </c>
      <c r="O407" s="93">
        <f t="shared" ca="1" si="174"/>
        <v>0</v>
      </c>
      <c r="P407" s="93">
        <f t="shared" ca="1" si="175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1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65">
        <f t="shared" ref="L408:N408" ca="1" si="178">L409+L410</f>
        <v>0</v>
      </c>
      <c r="M408" s="465">
        <f t="shared" ca="1" si="178"/>
        <v>0</v>
      </c>
      <c r="N408" s="465">
        <f t="shared" ca="1" si="178"/>
        <v>0</v>
      </c>
      <c r="O408" s="465">
        <f t="shared" ca="1" si="174"/>
        <v>0</v>
      </c>
      <c r="P408" s="465">
        <f t="shared" ca="1" si="175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2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4"/>
        <v>0</v>
      </c>
      <c r="P409" s="93">
        <f t="shared" si="175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2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IFERROR(__xludf.DUMMYFUNCTION("IMPORTRANGE(""https://docs.google.com/spreadsheets/d/1MeEWN-I1oV_STSDYn1IFDPWt_1FKiwhDph83XaGc0o0/edit?usp=sharing"",""งบพรบ!FT27"")"),0)</f>
        <v>0</v>
      </c>
      <c r="M410" s="93">
        <f ca="1">IFERROR(__xludf.DUMMYFUNCTION("IMPORTRANGE(""https://docs.google.com/spreadsheets/d/1MeEWN-I1oV_STSDYn1IFDPWt_1FKiwhDph83XaGc0o0/edit?usp=sharing"",""งบพรบ!FW27"")"),0)</f>
        <v>0</v>
      </c>
      <c r="N410" s="93">
        <f ca="1">IFERROR(__xludf.DUMMYFUNCTION("IMPORTRANGE(""https://docs.google.com/spreadsheets/d/1MeEWN-I1oV_STSDYn1IFDPWt_1FKiwhDph83XaGc0o0/edit?usp=sharing"",""งบพรบ!FY27"")"),0)</f>
        <v>0</v>
      </c>
      <c r="O410" s="93">
        <f t="shared" ca="1" si="174"/>
        <v>0</v>
      </c>
      <c r="P410" s="93">
        <f t="shared" ca="1" si="175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47" t="s">
        <v>38</v>
      </c>
      <c r="E411" s="498"/>
      <c r="F411" s="498"/>
      <c r="G411" s="499"/>
      <c r="H411" s="726"/>
      <c r="I411" s="269"/>
      <c r="J411" s="269"/>
      <c r="K411" s="465"/>
      <c r="L411" s="163"/>
      <c r="M411" s="163"/>
      <c r="N411" s="163"/>
      <c r="O411" s="163"/>
      <c r="P411" s="163"/>
    </row>
    <row r="412" spans="1:26" ht="18.75" hidden="1">
      <c r="A412" s="170"/>
      <c r="B412" s="342"/>
      <c r="C412" s="342"/>
      <c r="D412" s="415" t="s">
        <v>177</v>
      </c>
      <c r="E412" s="342"/>
      <c r="F412" s="342"/>
      <c r="G412" s="179"/>
      <c r="H412" s="500" t="s">
        <v>69</v>
      </c>
      <c r="I412" s="269">
        <v>0</v>
      </c>
      <c r="J412" s="214">
        <v>0</v>
      </c>
      <c r="K412" s="465">
        <f t="shared" ref="K412:K413" si="179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01"/>
      <c r="B413" s="502"/>
      <c r="C413" s="502"/>
      <c r="D413" s="503" t="s">
        <v>178</v>
      </c>
      <c r="E413" s="502"/>
      <c r="F413" s="502"/>
      <c r="G413" s="504"/>
      <c r="H413" s="505" t="s">
        <v>179</v>
      </c>
      <c r="I413" s="506">
        <v>0</v>
      </c>
      <c r="J413" s="507">
        <v>0</v>
      </c>
      <c r="K413" s="508">
        <f t="shared" si="179"/>
        <v>0</v>
      </c>
      <c r="L413" s="509"/>
      <c r="M413" s="509"/>
      <c r="N413" s="509"/>
      <c r="O413" s="509"/>
      <c r="P413" s="509"/>
    </row>
    <row r="414" spans="1:26" ht="19.5">
      <c r="A414" s="510" t="s">
        <v>180</v>
      </c>
      <c r="B414" s="511"/>
      <c r="C414" s="511"/>
      <c r="D414" s="511"/>
      <c r="E414" s="511"/>
      <c r="F414" s="511"/>
      <c r="G414" s="512"/>
      <c r="H414" s="513"/>
      <c r="I414" s="514"/>
      <c r="J414" s="514"/>
      <c r="K414" s="515"/>
      <c r="L414" s="516">
        <f t="shared" ref="L414:N414" ca="1" si="180">L419+L444+L467+L502+L523+L544+L629+L655+L685+L737+L754+L770+L786+L805</f>
        <v>1289879</v>
      </c>
      <c r="M414" s="516">
        <f t="shared" si="180"/>
        <v>0</v>
      </c>
      <c r="N414" s="516">
        <f t="shared" si="180"/>
        <v>0</v>
      </c>
      <c r="O414" s="516">
        <f ca="1">IF(L414&gt;0,N414*100/L414,0)</f>
        <v>0</v>
      </c>
      <c r="P414" s="516">
        <f>IF(M414&gt;0,N414*100/M414,0)</f>
        <v>0</v>
      </c>
    </row>
    <row r="415" spans="1:26" ht="19.5">
      <c r="A415" s="517" t="s">
        <v>181</v>
      </c>
      <c r="B415" s="518"/>
      <c r="C415" s="518"/>
      <c r="D415" s="518"/>
      <c r="E415" s="518"/>
      <c r="F415" s="518"/>
      <c r="G415" s="518"/>
      <c r="H415" s="519"/>
      <c r="I415" s="520"/>
      <c r="J415" s="520"/>
      <c r="K415" s="521"/>
      <c r="L415" s="522"/>
      <c r="M415" s="522"/>
      <c r="N415" s="522"/>
      <c r="O415" s="522"/>
      <c r="P415" s="522"/>
    </row>
    <row r="416" spans="1:26" ht="19.5">
      <c r="A416" s="517" t="s">
        <v>182</v>
      </c>
      <c r="B416" s="518"/>
      <c r="C416" s="518"/>
      <c r="D416" s="518"/>
      <c r="E416" s="518"/>
      <c r="F416" s="518"/>
      <c r="G416" s="523"/>
      <c r="H416" s="524"/>
      <c r="I416" s="525"/>
      <c r="J416" s="525"/>
      <c r="K416" s="522"/>
      <c r="L416" s="522"/>
      <c r="M416" s="522"/>
      <c r="N416" s="522"/>
      <c r="O416" s="522"/>
      <c r="P416" s="522"/>
    </row>
    <row r="417" spans="1:26" ht="39">
      <c r="A417" s="526">
        <v>1</v>
      </c>
      <c r="B417" s="528" t="s">
        <v>183</v>
      </c>
      <c r="C417" s="528"/>
      <c r="D417" s="529"/>
      <c r="E417" s="529"/>
      <c r="F417" s="529"/>
      <c r="G417" s="530"/>
      <c r="H417" s="531" t="s">
        <v>35</v>
      </c>
      <c r="I417" s="532">
        <f t="shared" ref="I417:J418" ca="1" si="181">I433</f>
        <v>50</v>
      </c>
      <c r="J417" s="532">
        <f t="shared" ca="1" si="181"/>
        <v>0</v>
      </c>
      <c r="K417" s="533">
        <f t="shared" ref="K417:K418" ca="1" si="182">IF(I417&gt;0,J417*100/I417,0)</f>
        <v>0</v>
      </c>
      <c r="L417" s="534"/>
      <c r="M417" s="534"/>
      <c r="N417" s="534"/>
      <c r="O417" s="534"/>
      <c r="P417" s="534"/>
    </row>
    <row r="418" spans="1:26" ht="19.5">
      <c r="A418" s="535"/>
      <c r="B418" s="526"/>
      <c r="C418" s="528"/>
      <c r="D418" s="529"/>
      <c r="E418" s="529"/>
      <c r="F418" s="529"/>
      <c r="G418" s="530"/>
      <c r="H418" s="531" t="s">
        <v>49</v>
      </c>
      <c r="I418" s="532">
        <f t="shared" ca="1" si="181"/>
        <v>2</v>
      </c>
      <c r="J418" s="532">
        <f t="shared" si="181"/>
        <v>0</v>
      </c>
      <c r="K418" s="533">
        <f t="shared" ca="1" si="182"/>
        <v>0</v>
      </c>
      <c r="L418" s="534"/>
      <c r="M418" s="534"/>
      <c r="N418" s="534"/>
      <c r="O418" s="534"/>
      <c r="P418" s="534"/>
    </row>
    <row r="419" spans="1:26" ht="19.5">
      <c r="A419" s="147"/>
      <c r="B419" s="148"/>
      <c r="C419" s="148" t="s">
        <v>16</v>
      </c>
      <c r="D419" s="848" t="s">
        <v>17</v>
      </c>
      <c r="E419" s="810"/>
      <c r="F419" s="810"/>
      <c r="G419" s="151"/>
      <c r="H419" s="274" t="s">
        <v>12</v>
      </c>
      <c r="I419" s="388"/>
      <c r="J419" s="388"/>
      <c r="K419" s="154"/>
      <c r="L419" s="155">
        <f t="shared" ref="L419:N419" ca="1" si="183">L420+L421</f>
        <v>161140</v>
      </c>
      <c r="M419" s="155">
        <f t="shared" si="183"/>
        <v>0</v>
      </c>
      <c r="N419" s="155">
        <f t="shared" si="183"/>
        <v>0</v>
      </c>
      <c r="O419" s="155">
        <f t="shared" ref="O419:O424" ca="1" si="184">IF(L419&gt;0,N419*100/L419,0)</f>
        <v>0</v>
      </c>
      <c r="P419" s="155">
        <f t="shared" ref="P419:P424" si="185">IF(M419&gt;0,N419*100/M419,0)</f>
        <v>0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536"/>
      <c r="E420" s="222" t="s">
        <v>184</v>
      </c>
      <c r="F420" s="40"/>
      <c r="G420" s="157"/>
      <c r="H420" s="165" t="s">
        <v>12</v>
      </c>
      <c r="I420" s="583"/>
      <c r="J420" s="583"/>
      <c r="K420" s="93"/>
      <c r="L420" s="93">
        <f t="shared" ref="L420:N421" si="186">L423+L430</f>
        <v>0</v>
      </c>
      <c r="M420" s="93">
        <f t="shared" si="186"/>
        <v>0</v>
      </c>
      <c r="N420" s="93">
        <f t="shared" si="186"/>
        <v>0</v>
      </c>
      <c r="O420" s="93">
        <f t="shared" si="184"/>
        <v>0</v>
      </c>
      <c r="P420" s="93">
        <f t="shared" si="185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536"/>
      <c r="E421" s="222" t="s">
        <v>185</v>
      </c>
      <c r="F421" s="40"/>
      <c r="G421" s="157"/>
      <c r="H421" s="165" t="s">
        <v>12</v>
      </c>
      <c r="I421" s="583"/>
      <c r="J421" s="583"/>
      <c r="K421" s="93"/>
      <c r="L421" s="93">
        <f t="shared" ca="1" si="186"/>
        <v>161140</v>
      </c>
      <c r="M421" s="93">
        <f t="shared" si="186"/>
        <v>0</v>
      </c>
      <c r="N421" s="93">
        <f t="shared" si="186"/>
        <v>0</v>
      </c>
      <c r="O421" s="93">
        <f t="shared" ca="1" si="184"/>
        <v>0</v>
      </c>
      <c r="P421" s="93">
        <f t="shared" si="185"/>
        <v>0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0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65">
        <f t="shared" ref="L422:N422" ca="1" si="187">L423+L424</f>
        <v>161140</v>
      </c>
      <c r="M422" s="465">
        <f t="shared" si="187"/>
        <v>0</v>
      </c>
      <c r="N422" s="465">
        <f t="shared" si="187"/>
        <v>0</v>
      </c>
      <c r="O422" s="465">
        <f t="shared" ca="1" si="184"/>
        <v>0</v>
      </c>
      <c r="P422" s="465">
        <f t="shared" si="185"/>
        <v>0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536"/>
      <c r="E423" s="222" t="s">
        <v>184</v>
      </c>
      <c r="F423" s="40"/>
      <c r="G423" s="157"/>
      <c r="H423" s="165" t="s">
        <v>12</v>
      </c>
      <c r="I423" s="583"/>
      <c r="J423" s="583"/>
      <c r="K423" s="93"/>
      <c r="L423" s="93">
        <v>0</v>
      </c>
      <c r="M423" s="93">
        <v>0</v>
      </c>
      <c r="N423" s="93">
        <v>0</v>
      </c>
      <c r="O423" s="93">
        <f t="shared" si="184"/>
        <v>0</v>
      </c>
      <c r="P423" s="93">
        <f t="shared" si="185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536"/>
      <c r="E424" s="222" t="s">
        <v>185</v>
      </c>
      <c r="F424" s="40"/>
      <c r="G424" s="157"/>
      <c r="H424" s="165" t="s">
        <v>12</v>
      </c>
      <c r="I424" s="583"/>
      <c r="J424" s="583"/>
      <c r="K424" s="93"/>
      <c r="L424" s="93">
        <f ca="1">IFERROR(__xludf.DUMMYFUNCTION("IMPORTRANGE(""https://docs.google.com/spreadsheets/d/1QqKyyYR6Q21VydFLVH3TRQUabQu_ym0Zz7PgGX0-kHA/edit?usp=sharing"",""แผน!EY27"")"),161140)</f>
        <v>161140</v>
      </c>
      <c r="M424" s="93">
        <v>0</v>
      </c>
      <c r="N424" s="93">
        <f>N425+N426+N427+N428</f>
        <v>0</v>
      </c>
      <c r="O424" s="93">
        <f t="shared" ca="1" si="184"/>
        <v>0</v>
      </c>
      <c r="P424" s="93">
        <f t="shared" si="185"/>
        <v>0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37"/>
      <c r="B425" s="538"/>
      <c r="C425" s="727"/>
      <c r="D425" s="727"/>
      <c r="E425" s="727"/>
      <c r="F425" s="727" t="s">
        <v>186</v>
      </c>
      <c r="G425" s="189"/>
      <c r="H425" s="161" t="s">
        <v>12</v>
      </c>
      <c r="I425" s="269"/>
      <c r="J425" s="269"/>
      <c r="K425" s="465"/>
      <c r="L425" s="465"/>
      <c r="M425" s="465"/>
      <c r="N425" s="789">
        <v>0</v>
      </c>
      <c r="O425" s="465"/>
      <c r="P425" s="465"/>
      <c r="Q425" s="541"/>
      <c r="R425" s="541"/>
      <c r="S425" s="541"/>
      <c r="T425" s="541"/>
      <c r="U425" s="541"/>
      <c r="V425" s="541"/>
      <c r="W425" s="541"/>
      <c r="X425" s="541"/>
      <c r="Y425" s="541"/>
      <c r="Z425" s="541"/>
    </row>
    <row r="426" spans="1:26" ht="18.75">
      <c r="A426" s="537"/>
      <c r="B426" s="538"/>
      <c r="C426" s="727"/>
      <c r="D426" s="727"/>
      <c r="E426" s="727"/>
      <c r="F426" s="727" t="s">
        <v>187</v>
      </c>
      <c r="G426" s="189"/>
      <c r="H426" s="161" t="s">
        <v>12</v>
      </c>
      <c r="I426" s="269"/>
      <c r="J426" s="269"/>
      <c r="K426" s="465"/>
      <c r="L426" s="465"/>
      <c r="M426" s="465"/>
      <c r="N426" s="789">
        <v>0</v>
      </c>
      <c r="O426" s="465"/>
      <c r="P426" s="465"/>
      <c r="Q426" s="541"/>
      <c r="R426" s="541"/>
      <c r="S426" s="541"/>
      <c r="T426" s="541"/>
      <c r="U426" s="541"/>
      <c r="V426" s="541"/>
      <c r="W426" s="541"/>
      <c r="X426" s="541"/>
      <c r="Y426" s="541"/>
      <c r="Z426" s="541"/>
    </row>
    <row r="427" spans="1:26" ht="18.75">
      <c r="A427" s="537"/>
      <c r="B427" s="538"/>
      <c r="C427" s="727"/>
      <c r="D427" s="727"/>
      <c r="E427" s="727"/>
      <c r="F427" s="727" t="s">
        <v>188</v>
      </c>
      <c r="G427" s="189"/>
      <c r="H427" s="161" t="s">
        <v>12</v>
      </c>
      <c r="I427" s="269"/>
      <c r="J427" s="269"/>
      <c r="K427" s="465"/>
      <c r="L427" s="465"/>
      <c r="M427" s="465"/>
      <c r="N427" s="789">
        <v>0</v>
      </c>
      <c r="O427" s="465"/>
      <c r="P427" s="465"/>
      <c r="Q427" s="541"/>
      <c r="R427" s="541"/>
      <c r="S427" s="541"/>
      <c r="T427" s="541"/>
      <c r="U427" s="541"/>
      <c r="V427" s="541"/>
      <c r="W427" s="541"/>
      <c r="X427" s="541"/>
      <c r="Y427" s="541"/>
      <c r="Z427" s="541"/>
    </row>
    <row r="428" spans="1:26" ht="18.75">
      <c r="A428" s="283"/>
      <c r="B428" s="280"/>
      <c r="C428" s="33"/>
      <c r="D428" s="33"/>
      <c r="E428" s="33"/>
      <c r="F428" s="281" t="s">
        <v>189</v>
      </c>
      <c r="G428" s="213"/>
      <c r="H428" s="161" t="s">
        <v>12</v>
      </c>
      <c r="I428" s="269"/>
      <c r="J428" s="269"/>
      <c r="K428" s="465"/>
      <c r="L428" s="465"/>
      <c r="M428" s="465"/>
      <c r="N428" s="789">
        <v>0</v>
      </c>
      <c r="O428" s="465"/>
      <c r="P428" s="465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0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65">
        <f t="shared" ref="L429:N429" ca="1" si="188">L430+L431</f>
        <v>0</v>
      </c>
      <c r="M429" s="465">
        <f t="shared" si="188"/>
        <v>0</v>
      </c>
      <c r="N429" s="465">
        <f t="shared" si="188"/>
        <v>0</v>
      </c>
      <c r="O429" s="465">
        <f t="shared" ref="O429:O431" ca="1" si="189">IF(L429&gt;0,N429*100/L429,0)</f>
        <v>0</v>
      </c>
      <c r="P429" s="465">
        <f t="shared" ref="P429:P431" si="190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542"/>
      <c r="C430" s="40"/>
      <c r="D430" s="40"/>
      <c r="E430" s="222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89"/>
        <v>0</v>
      </c>
      <c r="P430" s="93">
        <f t="shared" si="190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542"/>
      <c r="C431" s="40"/>
      <c r="D431" s="40"/>
      <c r="E431" s="222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IFERROR(__xludf.DUMMYFUNCTION("IMPORTRANGE(""https://docs.google.com/spreadsheets/d/1QqKyyYR6Q21VydFLVH3TRQUabQu_ym0Zz7PgGX0-kHA/edit?usp=sharing"",""แผน!FB27"")"),0)</f>
        <v>0</v>
      </c>
      <c r="M431" s="93">
        <v>0</v>
      </c>
      <c r="N431" s="93">
        <v>0</v>
      </c>
      <c r="O431" s="93">
        <f t="shared" ca="1" si="189"/>
        <v>0</v>
      </c>
      <c r="P431" s="93">
        <f t="shared" si="190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382"/>
      <c r="B432" s="383"/>
      <c r="C432" s="148" t="s">
        <v>16</v>
      </c>
      <c r="D432" s="849" t="s">
        <v>38</v>
      </c>
      <c r="E432" s="544"/>
      <c r="F432" s="544"/>
      <c r="G432" s="545"/>
      <c r="H432" s="546"/>
      <c r="I432" s="388"/>
      <c r="J432" s="388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190</v>
      </c>
      <c r="E433" s="342"/>
      <c r="F433" s="342"/>
      <c r="G433" s="179"/>
      <c r="H433" s="196" t="s">
        <v>35</v>
      </c>
      <c r="I433" s="647">
        <f ca="1">I435</f>
        <v>50</v>
      </c>
      <c r="J433" s="647">
        <f ca="1">IF(AND(J435=I435,J437=I437,J439=I439),I437+I439,IF(AND(J435=I437,J437=I437),I437,IF(AND(J435=I439,J439=I439),I439,0)))</f>
        <v>0</v>
      </c>
      <c r="K433" s="195">
        <f t="shared" ref="K433:K435" ca="1" si="191">IF(I433&gt;0,J433*100/I433,0)</f>
        <v>0</v>
      </c>
      <c r="L433" s="465"/>
      <c r="M433" s="465"/>
      <c r="N433" s="465"/>
      <c r="O433" s="465"/>
      <c r="P433" s="465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191</v>
      </c>
      <c r="E434" s="342"/>
      <c r="F434" s="342"/>
      <c r="G434" s="179"/>
      <c r="H434" s="196" t="s">
        <v>49</v>
      </c>
      <c r="I434" s="647">
        <f t="shared" ref="I434:J434" ca="1" si="192">I438+I440</f>
        <v>2</v>
      </c>
      <c r="J434" s="647">
        <f t="shared" si="192"/>
        <v>0</v>
      </c>
      <c r="K434" s="195">
        <f t="shared" ca="1" si="191"/>
        <v>0</v>
      </c>
      <c r="L434" s="465"/>
      <c r="M434" s="465"/>
      <c r="N434" s="465"/>
      <c r="O434" s="465"/>
      <c r="P434" s="465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15" t="s">
        <v>192</v>
      </c>
      <c r="E435" s="342"/>
      <c r="F435" s="342"/>
      <c r="G435" s="179"/>
      <c r="H435" s="589" t="s">
        <v>35</v>
      </c>
      <c r="I435" s="547">
        <f ca="1">IFERROR(__xludf.DUMMYFUNCTION("IMPORTRANGE(""https://docs.google.com/spreadsheets/d/1QqKyyYR6Q21VydFLVH3TRQUabQu_ym0Zz7PgGX0-kHA/edit?usp=sharing"",""แผน!FC27"")"),50)</f>
        <v>50</v>
      </c>
      <c r="J435" s="548">
        <v>0</v>
      </c>
      <c r="K435" s="465">
        <f t="shared" ca="1" si="191"/>
        <v>0</v>
      </c>
      <c r="L435" s="465"/>
      <c r="M435" s="465"/>
      <c r="N435" s="465"/>
      <c r="O435" s="465"/>
      <c r="P435" s="465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15" t="s">
        <v>193</v>
      </c>
      <c r="E436" s="342"/>
      <c r="F436" s="342"/>
      <c r="G436" s="179"/>
      <c r="H436" s="589"/>
      <c r="I436" s="269"/>
      <c r="J436" s="269"/>
      <c r="K436" s="465"/>
      <c r="L436" s="465"/>
      <c r="M436" s="465"/>
      <c r="N436" s="465"/>
      <c r="O436" s="465"/>
      <c r="P436" s="465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15" t="s">
        <v>194</v>
      </c>
      <c r="E437" s="342"/>
      <c r="F437" s="342"/>
      <c r="G437" s="179"/>
      <c r="H437" s="589" t="s">
        <v>35</v>
      </c>
      <c r="I437" s="547">
        <f ca="1">IFERROR(__xludf.DUMMYFUNCTION("IMPORTRANGE(""https://docs.google.com/spreadsheets/d/1QqKyyYR6Q21VydFLVH3TRQUabQu_ym0Zz7PgGX0-kHA/edit?usp=sharing"",""แผน!FD27"")"),30)</f>
        <v>30</v>
      </c>
      <c r="J437" s="548">
        <v>0</v>
      </c>
      <c r="K437" s="465">
        <f t="shared" ref="K437:K443" ca="1" si="193">IF(I437&gt;0,J437*100/I437,0)</f>
        <v>0</v>
      </c>
      <c r="L437" s="465"/>
      <c r="M437" s="465"/>
      <c r="N437" s="465"/>
      <c r="O437" s="465"/>
      <c r="P437" s="465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15" t="s">
        <v>195</v>
      </c>
      <c r="E438" s="342"/>
      <c r="F438" s="342"/>
      <c r="G438" s="179"/>
      <c r="H438" s="589" t="s">
        <v>49</v>
      </c>
      <c r="I438" s="269">
        <f ca="1">IFERROR(__xludf.DUMMYFUNCTION("IMPORTRANGE(""https://docs.google.com/spreadsheets/d/1QqKyyYR6Q21VydFLVH3TRQUabQu_ym0Zz7PgGX0-kHA/edit?usp=sharing"",""แผน!FE27"")"),1)</f>
        <v>1</v>
      </c>
      <c r="J438" s="214">
        <v>0</v>
      </c>
      <c r="K438" s="465">
        <f t="shared" ca="1" si="193"/>
        <v>0</v>
      </c>
      <c r="L438" s="465"/>
      <c r="M438" s="465"/>
      <c r="N438" s="465"/>
      <c r="O438" s="465"/>
      <c r="P438" s="465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15" t="s">
        <v>196</v>
      </c>
      <c r="E439" s="342"/>
      <c r="F439" s="342"/>
      <c r="G439" s="179"/>
      <c r="H439" s="589" t="s">
        <v>35</v>
      </c>
      <c r="I439" s="547">
        <f ca="1">IFERROR(__xludf.DUMMYFUNCTION("IMPORTRANGE(""https://docs.google.com/spreadsheets/d/1QqKyyYR6Q21VydFLVH3TRQUabQu_ym0Zz7PgGX0-kHA/edit?usp=sharing"",""แผน!FF27"")"),20)</f>
        <v>20</v>
      </c>
      <c r="J439" s="548">
        <v>0</v>
      </c>
      <c r="K439" s="465">
        <f t="shared" ca="1" si="193"/>
        <v>0</v>
      </c>
      <c r="L439" s="465"/>
      <c r="M439" s="465"/>
      <c r="N439" s="465"/>
      <c r="O439" s="465"/>
      <c r="P439" s="465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15" t="s">
        <v>197</v>
      </c>
      <c r="E440" s="342"/>
      <c r="F440" s="342"/>
      <c r="G440" s="179"/>
      <c r="H440" s="589" t="s">
        <v>49</v>
      </c>
      <c r="I440" s="269">
        <f ca="1">IFERROR(__xludf.DUMMYFUNCTION("IMPORTRANGE(""https://docs.google.com/spreadsheets/d/1QqKyyYR6Q21VydFLVH3TRQUabQu_ym0Zz7PgGX0-kHA/edit?usp=sharing"",""แผน!FG27"")"),1)</f>
        <v>1</v>
      </c>
      <c r="J440" s="214">
        <v>0</v>
      </c>
      <c r="K440" s="465">
        <f t="shared" ca="1" si="193"/>
        <v>0</v>
      </c>
      <c r="L440" s="465"/>
      <c r="M440" s="465"/>
      <c r="N440" s="465"/>
      <c r="O440" s="465"/>
      <c r="P440" s="465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 hidden="1">
      <c r="A441" s="170"/>
      <c r="B441" s="171"/>
      <c r="C441" s="171"/>
      <c r="D441" s="415" t="s">
        <v>198</v>
      </c>
      <c r="E441" s="342"/>
      <c r="F441" s="342"/>
      <c r="G441" s="179"/>
      <c r="H441" s="589" t="s">
        <v>35</v>
      </c>
      <c r="I441" s="269">
        <f ca="1">IFERROR(__xludf.DUMMYFUNCTION("IMPORTRANGE(""https://docs.google.com/spreadsheets/d/1QqKyyYR6Q21VydFLVH3TRQUabQu_ym0Zz7PgGX0-kHA/edit?usp=sharing"",""แผน!FH27"")"),0)</f>
        <v>0</v>
      </c>
      <c r="J441" s="269">
        <v>0</v>
      </c>
      <c r="K441" s="465">
        <f t="shared" ca="1" si="193"/>
        <v>0</v>
      </c>
      <c r="L441" s="465"/>
      <c r="M441" s="465"/>
      <c r="N441" s="465"/>
      <c r="O441" s="465"/>
      <c r="P441" s="465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49">
        <v>2</v>
      </c>
      <c r="B442" s="550" t="s">
        <v>199</v>
      </c>
      <c r="C442" s="551"/>
      <c r="D442" s="551"/>
      <c r="E442" s="551"/>
      <c r="F442" s="551"/>
      <c r="G442" s="552"/>
      <c r="H442" s="553" t="s">
        <v>35</v>
      </c>
      <c r="I442" s="554">
        <f t="shared" ref="I442:J442" ca="1" si="194">I460</f>
        <v>40</v>
      </c>
      <c r="J442" s="554">
        <f t="shared" si="194"/>
        <v>0</v>
      </c>
      <c r="K442" s="555">
        <f t="shared" ca="1" si="193"/>
        <v>0</v>
      </c>
      <c r="L442" s="556"/>
      <c r="M442" s="556"/>
      <c r="N442" s="556"/>
      <c r="O442" s="556"/>
      <c r="P442" s="556"/>
      <c r="Q442" s="541"/>
      <c r="R442" s="541"/>
      <c r="S442" s="541"/>
      <c r="T442" s="541"/>
      <c r="U442" s="541"/>
      <c r="V442" s="541"/>
      <c r="W442" s="541"/>
      <c r="X442" s="541"/>
      <c r="Y442" s="541"/>
      <c r="Z442" s="541"/>
    </row>
    <row r="443" spans="1:26" ht="19.5">
      <c r="A443" s="557"/>
      <c r="B443" s="558"/>
      <c r="C443" s="559"/>
      <c r="D443" s="559"/>
      <c r="E443" s="559"/>
      <c r="F443" s="559"/>
      <c r="G443" s="560"/>
      <c r="H443" s="531" t="s">
        <v>46</v>
      </c>
      <c r="I443" s="532">
        <f t="shared" ref="I443:J443" ca="1" si="195">I462</f>
        <v>150</v>
      </c>
      <c r="J443" s="532">
        <f t="shared" si="195"/>
        <v>0</v>
      </c>
      <c r="K443" s="533">
        <f t="shared" ca="1" si="193"/>
        <v>0</v>
      </c>
      <c r="L443" s="534"/>
      <c r="M443" s="534"/>
      <c r="N443" s="534"/>
      <c r="O443" s="534"/>
      <c r="P443" s="534"/>
      <c r="Q443" s="541"/>
      <c r="R443" s="541"/>
      <c r="S443" s="541"/>
      <c r="T443" s="541"/>
      <c r="U443" s="541"/>
      <c r="V443" s="541"/>
      <c r="W443" s="541"/>
      <c r="X443" s="541"/>
      <c r="Y443" s="541"/>
      <c r="Z443" s="541"/>
    </row>
    <row r="444" spans="1:26" ht="19.5">
      <c r="A444" s="561"/>
      <c r="B444" s="727"/>
      <c r="C444" s="727" t="s">
        <v>16</v>
      </c>
      <c r="D444" s="811" t="s">
        <v>17</v>
      </c>
      <c r="E444" s="805"/>
      <c r="F444" s="805"/>
      <c r="G444" s="189"/>
      <c r="H444" s="562" t="s">
        <v>12</v>
      </c>
      <c r="I444" s="269"/>
      <c r="J444" s="269"/>
      <c r="K444" s="465"/>
      <c r="L444" s="195">
        <f t="shared" ref="L444:N444" ca="1" si="196">L445+L446</f>
        <v>398000</v>
      </c>
      <c r="M444" s="195">
        <f t="shared" si="196"/>
        <v>0</v>
      </c>
      <c r="N444" s="195">
        <f t="shared" si="196"/>
        <v>0</v>
      </c>
      <c r="O444" s="195">
        <f t="shared" ref="O444:O449" ca="1" si="197">IF(L444&gt;0,N444*100/L444,0)</f>
        <v>0</v>
      </c>
      <c r="P444" s="195">
        <f t="shared" ref="P444:P449" si="198">IF(M444&gt;0,N444*100/M444,0)</f>
        <v>0</v>
      </c>
      <c r="Q444" s="541"/>
      <c r="R444" s="541"/>
      <c r="S444" s="541"/>
      <c r="T444" s="541"/>
      <c r="U444" s="541"/>
      <c r="V444" s="541"/>
      <c r="W444" s="541"/>
      <c r="X444" s="541"/>
      <c r="Y444" s="541"/>
      <c r="Z444" s="541"/>
    </row>
    <row r="445" spans="1:26" ht="18.75" hidden="1">
      <c r="A445" s="563"/>
      <c r="B445" s="723"/>
      <c r="C445" s="723"/>
      <c r="D445" s="684"/>
      <c r="E445" s="723" t="s">
        <v>184</v>
      </c>
      <c r="F445" s="723"/>
      <c r="G445" s="567"/>
      <c r="H445" s="165" t="s">
        <v>12</v>
      </c>
      <c r="I445" s="583"/>
      <c r="J445" s="583"/>
      <c r="K445" s="93"/>
      <c r="L445" s="93">
        <f t="shared" ref="L445:N446" si="199">L448+L455</f>
        <v>0</v>
      </c>
      <c r="M445" s="93">
        <f t="shared" si="199"/>
        <v>0</v>
      </c>
      <c r="N445" s="93">
        <f t="shared" si="199"/>
        <v>0</v>
      </c>
      <c r="O445" s="93">
        <f t="shared" si="197"/>
        <v>0</v>
      </c>
      <c r="P445" s="93">
        <f t="shared" si="198"/>
        <v>0</v>
      </c>
      <c r="Q445" s="568"/>
      <c r="R445" s="568"/>
      <c r="S445" s="568"/>
      <c r="T445" s="568"/>
      <c r="U445" s="568"/>
      <c r="V445" s="568"/>
      <c r="W445" s="568"/>
      <c r="X445" s="568"/>
      <c r="Y445" s="568"/>
      <c r="Z445" s="568"/>
    </row>
    <row r="446" spans="1:26" ht="18.75" hidden="1">
      <c r="A446" s="563"/>
      <c r="B446" s="571"/>
      <c r="C446" s="723"/>
      <c r="D446" s="684"/>
      <c r="E446" s="723" t="s">
        <v>185</v>
      </c>
      <c r="F446" s="723"/>
      <c r="G446" s="567"/>
      <c r="H446" s="165" t="s">
        <v>12</v>
      </c>
      <c r="I446" s="583"/>
      <c r="J446" s="583"/>
      <c r="K446" s="93"/>
      <c r="L446" s="93">
        <f t="shared" ca="1" si="199"/>
        <v>398000</v>
      </c>
      <c r="M446" s="93">
        <f t="shared" si="199"/>
        <v>0</v>
      </c>
      <c r="N446" s="93">
        <f t="shared" si="199"/>
        <v>0</v>
      </c>
      <c r="O446" s="93">
        <f t="shared" ca="1" si="197"/>
        <v>0</v>
      </c>
      <c r="P446" s="93">
        <f t="shared" si="198"/>
        <v>0</v>
      </c>
      <c r="Q446" s="568"/>
      <c r="R446" s="568"/>
      <c r="S446" s="568"/>
      <c r="T446" s="568"/>
      <c r="U446" s="568"/>
      <c r="V446" s="568"/>
      <c r="W446" s="568"/>
      <c r="X446" s="568"/>
      <c r="Y446" s="568"/>
      <c r="Z446" s="568"/>
    </row>
    <row r="447" spans="1:26" ht="18.75">
      <c r="A447" s="561"/>
      <c r="B447" s="538"/>
      <c r="C447" s="727"/>
      <c r="D447" s="570" t="s">
        <v>20</v>
      </c>
      <c r="E447" s="727"/>
      <c r="F447" s="727"/>
      <c r="G447" s="189"/>
      <c r="H447" s="161" t="s">
        <v>12</v>
      </c>
      <c r="I447" s="184"/>
      <c r="J447" s="184"/>
      <c r="K447" s="163"/>
      <c r="L447" s="465">
        <f t="shared" ref="L447:N447" ca="1" si="200">L448+L449</f>
        <v>398000</v>
      </c>
      <c r="M447" s="465">
        <f t="shared" si="200"/>
        <v>0</v>
      </c>
      <c r="N447" s="465">
        <f t="shared" si="200"/>
        <v>0</v>
      </c>
      <c r="O447" s="465">
        <f t="shared" ca="1" si="197"/>
        <v>0</v>
      </c>
      <c r="P447" s="465">
        <f t="shared" si="198"/>
        <v>0</v>
      </c>
      <c r="Q447" s="541"/>
      <c r="R447" s="541"/>
      <c r="S447" s="541"/>
      <c r="T447" s="541"/>
      <c r="U447" s="541"/>
      <c r="V447" s="541"/>
      <c r="W447" s="541"/>
      <c r="X447" s="541"/>
      <c r="Y447" s="541"/>
      <c r="Z447" s="541"/>
    </row>
    <row r="448" spans="1:26" ht="18.75" hidden="1">
      <c r="A448" s="563"/>
      <c r="B448" s="571"/>
      <c r="C448" s="723"/>
      <c r="D448" s="684"/>
      <c r="E448" s="723" t="s">
        <v>184</v>
      </c>
      <c r="F448" s="723"/>
      <c r="G448" s="567"/>
      <c r="H448" s="165" t="s">
        <v>12</v>
      </c>
      <c r="I448" s="583"/>
      <c r="J448" s="583"/>
      <c r="K448" s="93"/>
      <c r="L448" s="93">
        <v>0</v>
      </c>
      <c r="M448" s="93">
        <v>0</v>
      </c>
      <c r="N448" s="93">
        <v>0</v>
      </c>
      <c r="O448" s="93">
        <f t="shared" si="197"/>
        <v>0</v>
      </c>
      <c r="P448" s="93">
        <f t="shared" si="198"/>
        <v>0</v>
      </c>
      <c r="Q448" s="568"/>
      <c r="R448" s="568"/>
      <c r="S448" s="568"/>
      <c r="T448" s="568"/>
      <c r="U448" s="568"/>
      <c r="V448" s="568"/>
      <c r="W448" s="568"/>
      <c r="X448" s="568"/>
      <c r="Y448" s="568"/>
      <c r="Z448" s="568"/>
    </row>
    <row r="449" spans="1:26" ht="18.75" hidden="1">
      <c r="A449" s="563"/>
      <c r="B449" s="571"/>
      <c r="C449" s="723"/>
      <c r="D449" s="684"/>
      <c r="E449" s="723" t="s">
        <v>185</v>
      </c>
      <c r="F449" s="723"/>
      <c r="G449" s="567"/>
      <c r="H449" s="165" t="s">
        <v>12</v>
      </c>
      <c r="I449" s="583"/>
      <c r="J449" s="583"/>
      <c r="K449" s="93"/>
      <c r="L449" s="93">
        <f ca="1">IFERROR(__xludf.DUMMYFUNCTION("IMPORTRANGE(""https://docs.google.com/spreadsheets/d/1QqKyyYR6Q21VydFLVH3TRQUabQu_ym0Zz7PgGX0-kHA/edit?usp=sharing"",""แผน!FJ27"")"),398000)</f>
        <v>398000</v>
      </c>
      <c r="M449" s="93">
        <v>0</v>
      </c>
      <c r="N449" s="93">
        <f>N450+N451+N452+N453</f>
        <v>0</v>
      </c>
      <c r="O449" s="93">
        <f t="shared" ca="1" si="197"/>
        <v>0</v>
      </c>
      <c r="P449" s="93">
        <f t="shared" si="198"/>
        <v>0</v>
      </c>
      <c r="Q449" s="568"/>
      <c r="R449" s="568"/>
      <c r="S449" s="568"/>
      <c r="T449" s="568"/>
      <c r="U449" s="568"/>
      <c r="V449" s="568"/>
      <c r="W449" s="568"/>
      <c r="X449" s="568"/>
      <c r="Y449" s="568"/>
      <c r="Z449" s="568"/>
    </row>
    <row r="450" spans="1:26" ht="18.75">
      <c r="A450" s="537"/>
      <c r="B450" s="538"/>
      <c r="C450" s="727"/>
      <c r="D450" s="727"/>
      <c r="E450" s="727"/>
      <c r="F450" s="727" t="s">
        <v>186</v>
      </c>
      <c r="G450" s="189"/>
      <c r="H450" s="161" t="s">
        <v>12</v>
      </c>
      <c r="I450" s="269"/>
      <c r="J450" s="269"/>
      <c r="K450" s="465"/>
      <c r="L450" s="465"/>
      <c r="M450" s="465"/>
      <c r="N450" s="789">
        <v>0</v>
      </c>
      <c r="O450" s="465"/>
      <c r="P450" s="465"/>
      <c r="Q450" s="541"/>
      <c r="R450" s="541"/>
      <c r="S450" s="541"/>
      <c r="T450" s="541"/>
      <c r="U450" s="541"/>
      <c r="V450" s="541"/>
      <c r="W450" s="541"/>
      <c r="X450" s="541"/>
      <c r="Y450" s="541"/>
      <c r="Z450" s="541"/>
    </row>
    <row r="451" spans="1:26" ht="18.75">
      <c r="A451" s="537"/>
      <c r="B451" s="538"/>
      <c r="C451" s="727"/>
      <c r="D451" s="727"/>
      <c r="E451" s="727"/>
      <c r="F451" s="727" t="s">
        <v>187</v>
      </c>
      <c r="G451" s="189"/>
      <c r="H451" s="161" t="s">
        <v>12</v>
      </c>
      <c r="I451" s="269"/>
      <c r="J451" s="269"/>
      <c r="K451" s="465"/>
      <c r="L451" s="465"/>
      <c r="M451" s="465"/>
      <c r="N451" s="789">
        <v>0</v>
      </c>
      <c r="O451" s="465"/>
      <c r="P451" s="465"/>
      <c r="Q451" s="541"/>
      <c r="R451" s="541"/>
      <c r="S451" s="541"/>
      <c r="T451" s="541"/>
      <c r="U451" s="541"/>
      <c r="V451" s="541"/>
      <c r="W451" s="541"/>
      <c r="X451" s="541"/>
      <c r="Y451" s="541"/>
      <c r="Z451" s="541"/>
    </row>
    <row r="452" spans="1:26" ht="18.75">
      <c r="A452" s="537"/>
      <c r="B452" s="538"/>
      <c r="C452" s="538"/>
      <c r="D452" s="538"/>
      <c r="E452" s="538"/>
      <c r="F452" s="727" t="s">
        <v>188</v>
      </c>
      <c r="G452" s="189"/>
      <c r="H452" s="161" t="s">
        <v>12</v>
      </c>
      <c r="I452" s="269"/>
      <c r="J452" s="269"/>
      <c r="K452" s="465"/>
      <c r="L452" s="465"/>
      <c r="M452" s="465"/>
      <c r="N452" s="789">
        <v>0</v>
      </c>
      <c r="O452" s="465"/>
      <c r="P452" s="465"/>
      <c r="Q452" s="541"/>
      <c r="R452" s="541"/>
      <c r="S452" s="541"/>
      <c r="T452" s="541"/>
      <c r="U452" s="541"/>
      <c r="V452" s="541"/>
      <c r="W452" s="541"/>
      <c r="X452" s="541"/>
      <c r="Y452" s="541"/>
      <c r="Z452" s="541"/>
    </row>
    <row r="453" spans="1:26" ht="18.75">
      <c r="A453" s="537"/>
      <c r="B453" s="538"/>
      <c r="C453" s="538"/>
      <c r="D453" s="538"/>
      <c r="E453" s="538"/>
      <c r="F453" s="727" t="s">
        <v>189</v>
      </c>
      <c r="G453" s="189"/>
      <c r="H453" s="161" t="s">
        <v>12</v>
      </c>
      <c r="I453" s="269"/>
      <c r="J453" s="269"/>
      <c r="K453" s="465"/>
      <c r="L453" s="465"/>
      <c r="M453" s="465"/>
      <c r="N453" s="789">
        <v>0</v>
      </c>
      <c r="O453" s="465"/>
      <c r="P453" s="465"/>
      <c r="Q453" s="541"/>
      <c r="R453" s="541"/>
      <c r="S453" s="541"/>
      <c r="T453" s="541"/>
      <c r="U453" s="541"/>
      <c r="V453" s="541"/>
      <c r="W453" s="541"/>
      <c r="X453" s="541"/>
      <c r="Y453" s="541"/>
      <c r="Z453" s="541"/>
    </row>
    <row r="454" spans="1:26" ht="18.75">
      <c r="A454" s="561"/>
      <c r="B454" s="538"/>
      <c r="C454" s="538"/>
      <c r="D454" s="570" t="s">
        <v>21</v>
      </c>
      <c r="E454" s="538"/>
      <c r="F454" s="727"/>
      <c r="G454" s="189"/>
      <c r="H454" s="168" t="s">
        <v>12</v>
      </c>
      <c r="I454" s="184"/>
      <c r="J454" s="184"/>
      <c r="K454" s="163"/>
      <c r="L454" s="465">
        <f t="shared" ref="L454:N454" ca="1" si="201">L455+L456</f>
        <v>0</v>
      </c>
      <c r="M454" s="465">
        <f t="shared" si="201"/>
        <v>0</v>
      </c>
      <c r="N454" s="465">
        <f t="shared" si="201"/>
        <v>0</v>
      </c>
      <c r="O454" s="465">
        <f t="shared" ref="O454:O456" ca="1" si="202">IF(L454&gt;0,N454*100/L454,0)</f>
        <v>0</v>
      </c>
      <c r="P454" s="465">
        <f t="shared" ref="P454:P456" si="203">IF(M454&gt;0,N454*100/M454,0)</f>
        <v>0</v>
      </c>
      <c r="Q454" s="541"/>
      <c r="R454" s="541"/>
      <c r="S454" s="541"/>
      <c r="T454" s="541"/>
      <c r="U454" s="541"/>
      <c r="V454" s="541"/>
      <c r="W454" s="541"/>
      <c r="X454" s="541"/>
      <c r="Y454" s="541"/>
      <c r="Z454" s="541"/>
    </row>
    <row r="455" spans="1:26" ht="18.75" hidden="1">
      <c r="A455" s="563"/>
      <c r="B455" s="571"/>
      <c r="C455" s="571"/>
      <c r="D455" s="571"/>
      <c r="E455" s="571" t="s">
        <v>18</v>
      </c>
      <c r="F455" s="723"/>
      <c r="G455" s="567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2"/>
        <v>0</v>
      </c>
      <c r="P455" s="93">
        <f t="shared" si="203"/>
        <v>0</v>
      </c>
      <c r="Q455" s="568"/>
      <c r="R455" s="568"/>
      <c r="S455" s="568"/>
      <c r="T455" s="568"/>
      <c r="U455" s="568"/>
      <c r="V455" s="568"/>
      <c r="W455" s="568"/>
      <c r="X455" s="568"/>
      <c r="Y455" s="568"/>
      <c r="Z455" s="568"/>
    </row>
    <row r="456" spans="1:26" ht="18.75" hidden="1">
      <c r="A456" s="563"/>
      <c r="B456" s="571"/>
      <c r="C456" s="571"/>
      <c r="D456" s="571"/>
      <c r="E456" s="571" t="s">
        <v>19</v>
      </c>
      <c r="F456" s="723"/>
      <c r="G456" s="567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IFERROR(__xludf.DUMMYFUNCTION("IMPORTRANGE(""https://docs.google.com/spreadsheets/d/1QqKyyYR6Q21VydFLVH3TRQUabQu_ym0Zz7PgGX0-kHA/edit?usp=sharing"",""แผน!FM27"")"),0)</f>
        <v>0</v>
      </c>
      <c r="M456" s="93">
        <v>0</v>
      </c>
      <c r="N456" s="93">
        <v>0</v>
      </c>
      <c r="O456" s="93">
        <f t="shared" ca="1" si="202"/>
        <v>0</v>
      </c>
      <c r="P456" s="93">
        <f t="shared" si="203"/>
        <v>0</v>
      </c>
      <c r="Q456" s="568"/>
      <c r="R456" s="568"/>
      <c r="S456" s="568"/>
      <c r="T456" s="568"/>
      <c r="U456" s="568"/>
      <c r="V456" s="568"/>
      <c r="W456" s="568"/>
      <c r="X456" s="568"/>
      <c r="Y456" s="568"/>
      <c r="Z456" s="568"/>
    </row>
    <row r="457" spans="1:26" ht="19.5">
      <c r="A457" s="572"/>
      <c r="B457" s="584"/>
      <c r="C457" s="538" t="s">
        <v>16</v>
      </c>
      <c r="D457" s="850" t="s">
        <v>38</v>
      </c>
      <c r="E457" s="575"/>
      <c r="F457" s="725"/>
      <c r="G457" s="577"/>
      <c r="H457" s="726"/>
      <c r="I457" s="269"/>
      <c r="J457" s="269"/>
      <c r="K457" s="465"/>
      <c r="L457" s="465"/>
      <c r="M457" s="465"/>
      <c r="N457" s="465"/>
      <c r="O457" s="465"/>
      <c r="P457" s="465"/>
      <c r="Q457" s="541"/>
      <c r="R457" s="541"/>
      <c r="S457" s="541"/>
      <c r="T457" s="541"/>
      <c r="U457" s="541"/>
      <c r="V457" s="541"/>
      <c r="W457" s="541"/>
      <c r="X457" s="541"/>
      <c r="Y457" s="541"/>
      <c r="Z457" s="541"/>
    </row>
    <row r="458" spans="1:26" ht="18.75" hidden="1">
      <c r="A458" s="578"/>
      <c r="B458" s="580"/>
      <c r="C458" s="580"/>
      <c r="D458" s="580" t="s">
        <v>200</v>
      </c>
      <c r="E458" s="580"/>
      <c r="F458" s="684"/>
      <c r="G458" s="581"/>
      <c r="H458" s="582" t="s">
        <v>35</v>
      </c>
      <c r="I458" s="583">
        <v>0</v>
      </c>
      <c r="J458" s="583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568"/>
      <c r="R458" s="568"/>
      <c r="S458" s="568"/>
      <c r="T458" s="568"/>
      <c r="U458" s="568"/>
      <c r="V458" s="568"/>
      <c r="W458" s="568"/>
      <c r="X458" s="568"/>
      <c r="Y458" s="568"/>
      <c r="Z458" s="568"/>
    </row>
    <row r="459" spans="1:26" ht="18.75" hidden="1">
      <c r="A459" s="578"/>
      <c r="B459" s="580"/>
      <c r="C459" s="580"/>
      <c r="D459" s="580" t="s">
        <v>201</v>
      </c>
      <c r="E459" s="580"/>
      <c r="F459" s="684"/>
      <c r="G459" s="581"/>
      <c r="H459" s="582"/>
      <c r="I459" s="583"/>
      <c r="J459" s="583"/>
      <c r="K459" s="93"/>
      <c r="L459" s="93"/>
      <c r="M459" s="93"/>
      <c r="N459" s="93"/>
      <c r="O459" s="93"/>
      <c r="P459" s="93"/>
      <c r="Q459" s="568"/>
      <c r="R459" s="568"/>
      <c r="S459" s="568"/>
      <c r="T459" s="568"/>
      <c r="U459" s="568"/>
      <c r="V459" s="568"/>
      <c r="W459" s="568"/>
      <c r="X459" s="568"/>
      <c r="Y459" s="568"/>
      <c r="Z459" s="568"/>
    </row>
    <row r="460" spans="1:26" ht="18.75">
      <c r="A460" s="572"/>
      <c r="B460" s="584"/>
      <c r="C460" s="584"/>
      <c r="D460" s="584" t="s">
        <v>202</v>
      </c>
      <c r="E460" s="584"/>
      <c r="F460" s="592"/>
      <c r="G460" s="726"/>
      <c r="H460" s="728" t="s">
        <v>35</v>
      </c>
      <c r="I460" s="269">
        <f ca="1">IFERROR(__xludf.DUMMYFUNCTION("IMPORTRANGE(""https://docs.google.com/spreadsheets/d/1QqKyyYR6Q21VydFLVH3TRQUabQu_ym0Zz7PgGX0-kHA/edit?usp=sharing"",""แผน!FN27"")"),40)</f>
        <v>40</v>
      </c>
      <c r="J460" s="214">
        <v>0</v>
      </c>
      <c r="K460" s="465">
        <f ca="1">IF(I460&gt;0,J460*100/I460,0)</f>
        <v>0</v>
      </c>
      <c r="L460" s="465"/>
      <c r="M460" s="465"/>
      <c r="N460" s="465"/>
      <c r="O460" s="465"/>
      <c r="P460" s="465"/>
      <c r="Q460" s="541"/>
      <c r="R460" s="541"/>
      <c r="S460" s="541"/>
      <c r="T460" s="541"/>
      <c r="U460" s="541"/>
      <c r="V460" s="541"/>
      <c r="W460" s="541"/>
      <c r="X460" s="541"/>
      <c r="Y460" s="541"/>
      <c r="Z460" s="541"/>
    </row>
    <row r="461" spans="1:26" ht="18.75">
      <c r="A461" s="572"/>
      <c r="B461" s="584"/>
      <c r="C461" s="584"/>
      <c r="D461" s="584" t="s">
        <v>203</v>
      </c>
      <c r="E461" s="592"/>
      <c r="F461" s="592"/>
      <c r="G461" s="726"/>
      <c r="H461" s="728"/>
      <c r="I461" s="269"/>
      <c r="J461" s="269"/>
      <c r="K461" s="465"/>
      <c r="L461" s="465"/>
      <c r="M461" s="465"/>
      <c r="N461" s="465"/>
      <c r="O461" s="465"/>
      <c r="P461" s="465"/>
      <c r="Q461" s="541"/>
      <c r="R461" s="541"/>
      <c r="S461" s="541"/>
      <c r="T461" s="541"/>
      <c r="U461" s="541"/>
      <c r="V461" s="541"/>
      <c r="W461" s="541"/>
      <c r="X461" s="541"/>
      <c r="Y461" s="541"/>
      <c r="Z461" s="541"/>
    </row>
    <row r="462" spans="1:26" ht="18.75">
      <c r="A462" s="572"/>
      <c r="B462" s="584"/>
      <c r="C462" s="584"/>
      <c r="D462" s="584" t="s">
        <v>204</v>
      </c>
      <c r="E462" s="592"/>
      <c r="F462" s="592"/>
      <c r="G462" s="726"/>
      <c r="H462" s="728" t="s">
        <v>46</v>
      </c>
      <c r="I462" s="269">
        <f ca="1">IFERROR(__xludf.DUMMYFUNCTION("IMPORTRANGE(""https://docs.google.com/spreadsheets/d/1QqKyyYR6Q21VydFLVH3TRQUabQu_ym0Zz7PgGX0-kHA/edit?usp=sharing"",""แผน!FO27"")"),150)</f>
        <v>150</v>
      </c>
      <c r="J462" s="214">
        <v>0</v>
      </c>
      <c r="K462" s="465">
        <f ca="1">IF(I462&gt;0,J462*100/I462,0)</f>
        <v>0</v>
      </c>
      <c r="L462" s="465"/>
      <c r="M462" s="465"/>
      <c r="N462" s="465"/>
      <c r="O462" s="465"/>
      <c r="P462" s="465"/>
      <c r="Q462" s="541"/>
      <c r="R462" s="541"/>
      <c r="S462" s="541"/>
      <c r="T462" s="541"/>
      <c r="U462" s="541"/>
      <c r="V462" s="541"/>
      <c r="W462" s="541"/>
      <c r="X462" s="541"/>
      <c r="Y462" s="541"/>
      <c r="Z462" s="541"/>
    </row>
    <row r="463" spans="1:26" ht="18.75">
      <c r="A463" s="572"/>
      <c r="B463" s="584"/>
      <c r="C463" s="584"/>
      <c r="D463" s="584" t="s">
        <v>59</v>
      </c>
      <c r="E463" s="592"/>
      <c r="F463" s="727"/>
      <c r="G463" s="189"/>
      <c r="H463" s="728" t="s">
        <v>46</v>
      </c>
      <c r="I463" s="269">
        <f ca="1">IFERROR(__xludf.DUMMYFUNCTION("IMPORTRANGE(""https://docs.google.com/spreadsheets/d/1QqKyyYR6Q21VydFLVH3TRQUabQu_ym0Zz7PgGX0-kHA/edit?usp=sharing"",""แผน!FO27"")"),150)</f>
        <v>150</v>
      </c>
      <c r="J463" s="214">
        <v>0</v>
      </c>
      <c r="K463" s="465"/>
      <c r="L463" s="465"/>
      <c r="M463" s="465"/>
      <c r="N463" s="465"/>
      <c r="O463" s="465"/>
      <c r="P463" s="465"/>
      <c r="Q463" s="541"/>
      <c r="R463" s="541"/>
      <c r="S463" s="541"/>
      <c r="T463" s="541"/>
      <c r="U463" s="541"/>
      <c r="V463" s="541"/>
      <c r="W463" s="541"/>
      <c r="X463" s="541"/>
      <c r="Y463" s="541"/>
      <c r="Z463" s="541"/>
    </row>
    <row r="464" spans="1:26" ht="19.5">
      <c r="A464" s="572"/>
      <c r="B464" s="584"/>
      <c r="C464" s="584"/>
      <c r="D464" s="584"/>
      <c r="E464" s="592"/>
      <c r="F464" s="592"/>
      <c r="G464" s="586"/>
      <c r="H464" s="728" t="s">
        <v>35</v>
      </c>
      <c r="I464" s="269">
        <f ca="1">IFERROR(__xludf.DUMMYFUNCTION("IMPORTRANGE(""https://docs.google.com/spreadsheets/d/1QqKyyYR6Q21VydFLVH3TRQUabQu_ym0Zz7PgGX0-kHA/edit?usp=sharing"",""แผน!FN27"")"),40)</f>
        <v>40</v>
      </c>
      <c r="J464" s="214">
        <v>0</v>
      </c>
      <c r="K464" s="465"/>
      <c r="L464" s="465"/>
      <c r="M464" s="465"/>
      <c r="N464" s="465"/>
      <c r="O464" s="465"/>
      <c r="P464" s="465"/>
      <c r="Q464" s="541"/>
      <c r="R464" s="541"/>
      <c r="S464" s="541"/>
      <c r="T464" s="541"/>
      <c r="U464" s="541"/>
      <c r="V464" s="541"/>
      <c r="W464" s="541"/>
      <c r="X464" s="541"/>
      <c r="Y464" s="541"/>
      <c r="Z464" s="541"/>
    </row>
    <row r="465" spans="1:26" ht="19.5">
      <c r="A465" s="549">
        <v>3</v>
      </c>
      <c r="B465" s="550" t="s">
        <v>205</v>
      </c>
      <c r="C465" s="551"/>
      <c r="D465" s="551"/>
      <c r="E465" s="551"/>
      <c r="F465" s="551"/>
      <c r="G465" s="552"/>
      <c r="H465" s="553" t="s">
        <v>35</v>
      </c>
      <c r="I465" s="554">
        <f ca="1">IFERROR(__xludf.DUMMYFUNCTION("IMPORTRANGE(""https://docs.google.com/spreadsheets/d/1QqKyyYR6Q21VydFLVH3TRQUabQu_ym0Zz7PgGX0-kHA/edit?usp=sharing"",""แผน!FX27"")"),31)</f>
        <v>31</v>
      </c>
      <c r="J465" s="554">
        <f>J485+J489+J492</f>
        <v>0</v>
      </c>
      <c r="K465" s="555">
        <f t="shared" ref="K465:K466" ca="1" si="204">IF(I465&gt;0,J465*100/I465,0)</f>
        <v>0</v>
      </c>
      <c r="L465" s="556"/>
      <c r="M465" s="556"/>
      <c r="N465" s="556"/>
      <c r="O465" s="556"/>
      <c r="P465" s="556"/>
      <c r="Q465" s="541"/>
      <c r="R465" s="541"/>
      <c r="S465" s="541"/>
      <c r="T465" s="541"/>
      <c r="U465" s="541"/>
      <c r="V465" s="541"/>
      <c r="W465" s="541"/>
      <c r="X465" s="541"/>
      <c r="Y465" s="541"/>
      <c r="Z465" s="541"/>
    </row>
    <row r="466" spans="1:26" ht="19.5">
      <c r="A466" s="557"/>
      <c r="B466" s="558"/>
      <c r="C466" s="559"/>
      <c r="D466" s="559"/>
      <c r="E466" s="559"/>
      <c r="F466" s="559"/>
      <c r="G466" s="560"/>
      <c r="H466" s="531" t="s">
        <v>46</v>
      </c>
      <c r="I466" s="532">
        <f ca="1">IFERROR(__xludf.DUMMYFUNCTION("IMPORTRANGE(""https://docs.google.com/spreadsheets/d/1QqKyyYR6Q21VydFLVH3TRQUabQu_ym0Zz7PgGX0-kHA/edit?usp=sharing"",""แผน!FW27"")"),300)</f>
        <v>300</v>
      </c>
      <c r="J466" s="532">
        <f>J483+J487</f>
        <v>0</v>
      </c>
      <c r="K466" s="533">
        <f t="shared" ca="1" si="204"/>
        <v>0</v>
      </c>
      <c r="L466" s="534"/>
      <c r="M466" s="534"/>
      <c r="N466" s="534"/>
      <c r="O466" s="534"/>
      <c r="P466" s="534"/>
      <c r="Q466" s="541"/>
      <c r="R466" s="541"/>
      <c r="S466" s="541"/>
      <c r="T466" s="541"/>
      <c r="U466" s="541"/>
      <c r="V466" s="541"/>
      <c r="W466" s="541"/>
      <c r="X466" s="541"/>
      <c r="Y466" s="541"/>
      <c r="Z466" s="541"/>
    </row>
    <row r="467" spans="1:26" ht="19.5">
      <c r="A467" s="561"/>
      <c r="B467" s="727"/>
      <c r="C467" s="727" t="s">
        <v>16</v>
      </c>
      <c r="D467" s="811" t="s">
        <v>17</v>
      </c>
      <c r="E467" s="805"/>
      <c r="F467" s="805"/>
      <c r="G467" s="189"/>
      <c r="H467" s="562" t="s">
        <v>12</v>
      </c>
      <c r="I467" s="269"/>
      <c r="J467" s="269"/>
      <c r="K467" s="465"/>
      <c r="L467" s="195">
        <f t="shared" ref="L467:N467" ca="1" si="205">L468+L469</f>
        <v>250523</v>
      </c>
      <c r="M467" s="195">
        <f t="shared" si="205"/>
        <v>0</v>
      </c>
      <c r="N467" s="195">
        <f t="shared" si="205"/>
        <v>0</v>
      </c>
      <c r="O467" s="195">
        <f t="shared" ref="O467:O472" ca="1" si="206">IF(L467&gt;0,N467*100/L467,0)</f>
        <v>0</v>
      </c>
      <c r="P467" s="195">
        <f t="shared" ref="P467:P472" si="207">IF(M467&gt;0,N467*100/M467,0)</f>
        <v>0</v>
      </c>
      <c r="Q467" s="541"/>
      <c r="R467" s="541"/>
      <c r="S467" s="541"/>
      <c r="T467" s="541"/>
      <c r="U467" s="541"/>
      <c r="V467" s="541"/>
      <c r="W467" s="541"/>
      <c r="X467" s="541"/>
      <c r="Y467" s="541"/>
      <c r="Z467" s="541"/>
    </row>
    <row r="468" spans="1:26" ht="18.75" hidden="1">
      <c r="A468" s="563"/>
      <c r="B468" s="723"/>
      <c r="C468" s="723"/>
      <c r="D468" s="684"/>
      <c r="E468" s="723" t="s">
        <v>184</v>
      </c>
      <c r="F468" s="723"/>
      <c r="G468" s="567"/>
      <c r="H468" s="165" t="s">
        <v>12</v>
      </c>
      <c r="I468" s="583"/>
      <c r="J468" s="583"/>
      <c r="K468" s="93"/>
      <c r="L468" s="93">
        <f t="shared" ref="L468:N469" si="208">L471+L478</f>
        <v>0</v>
      </c>
      <c r="M468" s="93">
        <f t="shared" si="208"/>
        <v>0</v>
      </c>
      <c r="N468" s="93">
        <f t="shared" si="208"/>
        <v>0</v>
      </c>
      <c r="O468" s="93">
        <f t="shared" si="206"/>
        <v>0</v>
      </c>
      <c r="P468" s="93">
        <f t="shared" si="207"/>
        <v>0</v>
      </c>
      <c r="Q468" s="568"/>
      <c r="R468" s="568"/>
      <c r="S468" s="568"/>
      <c r="T468" s="568"/>
      <c r="U468" s="568"/>
      <c r="V468" s="568"/>
      <c r="W468" s="568"/>
      <c r="X468" s="568"/>
      <c r="Y468" s="568"/>
      <c r="Z468" s="568"/>
    </row>
    <row r="469" spans="1:26" ht="18.75" hidden="1">
      <c r="A469" s="563"/>
      <c r="B469" s="571"/>
      <c r="C469" s="723"/>
      <c r="D469" s="684"/>
      <c r="E469" s="723" t="s">
        <v>185</v>
      </c>
      <c r="F469" s="723"/>
      <c r="G469" s="567"/>
      <c r="H469" s="165" t="s">
        <v>12</v>
      </c>
      <c r="I469" s="583"/>
      <c r="J469" s="583"/>
      <c r="K469" s="93"/>
      <c r="L469" s="93">
        <f t="shared" ca="1" si="208"/>
        <v>250523</v>
      </c>
      <c r="M469" s="93">
        <f t="shared" si="208"/>
        <v>0</v>
      </c>
      <c r="N469" s="93">
        <f t="shared" si="208"/>
        <v>0</v>
      </c>
      <c r="O469" s="93">
        <f t="shared" ca="1" si="206"/>
        <v>0</v>
      </c>
      <c r="P469" s="93">
        <f t="shared" si="207"/>
        <v>0</v>
      </c>
      <c r="Q469" s="568"/>
      <c r="R469" s="568"/>
      <c r="S469" s="568"/>
      <c r="T469" s="568"/>
      <c r="U469" s="568"/>
      <c r="V469" s="568"/>
      <c r="W469" s="568"/>
      <c r="X469" s="568"/>
      <c r="Y469" s="568"/>
      <c r="Z469" s="568"/>
    </row>
    <row r="470" spans="1:26" ht="18.75">
      <c r="A470" s="561"/>
      <c r="B470" s="538"/>
      <c r="C470" s="727"/>
      <c r="D470" s="570" t="s">
        <v>20</v>
      </c>
      <c r="E470" s="727"/>
      <c r="F470" s="727"/>
      <c r="G470" s="189"/>
      <c r="H470" s="161" t="s">
        <v>12</v>
      </c>
      <c r="I470" s="184"/>
      <c r="J470" s="184"/>
      <c r="K470" s="163"/>
      <c r="L470" s="465">
        <f t="shared" ref="L470:N470" ca="1" si="209">L471+L472</f>
        <v>250523</v>
      </c>
      <c r="M470" s="465">
        <f t="shared" si="209"/>
        <v>0</v>
      </c>
      <c r="N470" s="465">
        <f t="shared" si="209"/>
        <v>0</v>
      </c>
      <c r="O470" s="465">
        <f t="shared" ca="1" si="206"/>
        <v>0</v>
      </c>
      <c r="P470" s="465">
        <f t="shared" si="207"/>
        <v>0</v>
      </c>
      <c r="Q470" s="541"/>
      <c r="R470" s="541"/>
      <c r="S470" s="541"/>
      <c r="T470" s="541"/>
      <c r="U470" s="541"/>
      <c r="V470" s="541"/>
      <c r="W470" s="541"/>
      <c r="X470" s="541"/>
      <c r="Y470" s="541"/>
      <c r="Z470" s="541"/>
    </row>
    <row r="471" spans="1:26" ht="18.75" hidden="1">
      <c r="A471" s="563"/>
      <c r="B471" s="571"/>
      <c r="C471" s="723"/>
      <c r="D471" s="684"/>
      <c r="E471" s="723" t="s">
        <v>184</v>
      </c>
      <c r="F471" s="723"/>
      <c r="G471" s="567"/>
      <c r="H471" s="165" t="s">
        <v>12</v>
      </c>
      <c r="I471" s="583"/>
      <c r="J471" s="583"/>
      <c r="K471" s="93"/>
      <c r="L471" s="93">
        <v>0</v>
      </c>
      <c r="M471" s="93">
        <v>0</v>
      </c>
      <c r="N471" s="93">
        <v>0</v>
      </c>
      <c r="O471" s="93">
        <f t="shared" si="206"/>
        <v>0</v>
      </c>
      <c r="P471" s="93">
        <f t="shared" si="207"/>
        <v>0</v>
      </c>
      <c r="Q471" s="568"/>
      <c r="R471" s="568"/>
      <c r="S471" s="568"/>
      <c r="T471" s="568"/>
      <c r="U471" s="568"/>
      <c r="V471" s="568"/>
      <c r="W471" s="568"/>
      <c r="X471" s="568"/>
      <c r="Y471" s="568"/>
      <c r="Z471" s="568"/>
    </row>
    <row r="472" spans="1:26" ht="18.75" hidden="1">
      <c r="A472" s="563"/>
      <c r="B472" s="571"/>
      <c r="C472" s="723"/>
      <c r="D472" s="684"/>
      <c r="E472" s="723" t="s">
        <v>185</v>
      </c>
      <c r="F472" s="723"/>
      <c r="G472" s="567"/>
      <c r="H472" s="165" t="s">
        <v>12</v>
      </c>
      <c r="I472" s="583"/>
      <c r="J472" s="583"/>
      <c r="K472" s="93"/>
      <c r="L472" s="93">
        <f ca="1">IFERROR(__xludf.DUMMYFUNCTION("IMPORTRANGE(""https://docs.google.com/spreadsheets/d/1QqKyyYR6Q21VydFLVH3TRQUabQu_ym0Zz7PgGX0-kHA/edit?usp=sharing"",""แผน!FS27"")"),250523)</f>
        <v>250523</v>
      </c>
      <c r="M472" s="93">
        <v>0</v>
      </c>
      <c r="N472" s="93">
        <f>N473+N474+N475+N476</f>
        <v>0</v>
      </c>
      <c r="O472" s="93">
        <f t="shared" ca="1" si="206"/>
        <v>0</v>
      </c>
      <c r="P472" s="93">
        <f t="shared" si="207"/>
        <v>0</v>
      </c>
      <c r="Q472" s="568"/>
      <c r="R472" s="568"/>
      <c r="S472" s="568"/>
      <c r="T472" s="568"/>
      <c r="U472" s="568"/>
      <c r="V472" s="568"/>
      <c r="W472" s="568"/>
      <c r="X472" s="568"/>
      <c r="Y472" s="568"/>
      <c r="Z472" s="568"/>
    </row>
    <row r="473" spans="1:26" ht="18.75">
      <c r="A473" s="537"/>
      <c r="B473" s="538"/>
      <c r="C473" s="727"/>
      <c r="D473" s="727"/>
      <c r="E473" s="727"/>
      <c r="F473" s="727" t="s">
        <v>186</v>
      </c>
      <c r="G473" s="189"/>
      <c r="H473" s="161" t="s">
        <v>12</v>
      </c>
      <c r="I473" s="269"/>
      <c r="J473" s="269"/>
      <c r="K473" s="465"/>
      <c r="L473" s="465"/>
      <c r="M473" s="465"/>
      <c r="N473" s="789">
        <v>0</v>
      </c>
      <c r="O473" s="465"/>
      <c r="P473" s="465"/>
      <c r="Q473" s="541"/>
      <c r="R473" s="541"/>
      <c r="S473" s="541"/>
      <c r="T473" s="541"/>
      <c r="U473" s="541"/>
      <c r="V473" s="541"/>
      <c r="W473" s="541"/>
      <c r="X473" s="541"/>
      <c r="Y473" s="541"/>
      <c r="Z473" s="541"/>
    </row>
    <row r="474" spans="1:26" ht="18.75">
      <c r="A474" s="537"/>
      <c r="B474" s="538"/>
      <c r="C474" s="727"/>
      <c r="D474" s="727"/>
      <c r="E474" s="727"/>
      <c r="F474" s="727" t="s">
        <v>187</v>
      </c>
      <c r="G474" s="189"/>
      <c r="H474" s="161" t="s">
        <v>12</v>
      </c>
      <c r="I474" s="269"/>
      <c r="J474" s="269"/>
      <c r="K474" s="465"/>
      <c r="L474" s="465"/>
      <c r="M474" s="465"/>
      <c r="N474" s="789">
        <v>0</v>
      </c>
      <c r="O474" s="465"/>
      <c r="P474" s="465"/>
      <c r="Q474" s="541"/>
      <c r="R474" s="541"/>
      <c r="S474" s="541"/>
      <c r="T474" s="541"/>
      <c r="U474" s="541"/>
      <c r="V474" s="541"/>
      <c r="W474" s="541"/>
      <c r="X474" s="541"/>
      <c r="Y474" s="541"/>
      <c r="Z474" s="541"/>
    </row>
    <row r="475" spans="1:26" ht="18.75">
      <c r="A475" s="537"/>
      <c r="B475" s="538"/>
      <c r="C475" s="538"/>
      <c r="D475" s="538"/>
      <c r="E475" s="538"/>
      <c r="F475" s="727" t="s">
        <v>188</v>
      </c>
      <c r="G475" s="189"/>
      <c r="H475" s="161" t="s">
        <v>12</v>
      </c>
      <c r="I475" s="269"/>
      <c r="J475" s="269"/>
      <c r="K475" s="465"/>
      <c r="L475" s="465"/>
      <c r="M475" s="465"/>
      <c r="N475" s="789">
        <v>0</v>
      </c>
      <c r="O475" s="465"/>
      <c r="P475" s="465"/>
      <c r="Q475" s="541"/>
      <c r="R475" s="541"/>
      <c r="S475" s="541"/>
      <c r="T475" s="541"/>
      <c r="U475" s="541"/>
      <c r="V475" s="541"/>
      <c r="W475" s="541"/>
      <c r="X475" s="541"/>
      <c r="Y475" s="541"/>
      <c r="Z475" s="541"/>
    </row>
    <row r="476" spans="1:26" ht="18.75">
      <c r="A476" s="537"/>
      <c r="B476" s="538"/>
      <c r="C476" s="538"/>
      <c r="D476" s="538"/>
      <c r="E476" s="538"/>
      <c r="F476" s="727" t="s">
        <v>189</v>
      </c>
      <c r="G476" s="189"/>
      <c r="H476" s="161" t="s">
        <v>12</v>
      </c>
      <c r="I476" s="269"/>
      <c r="J476" s="269"/>
      <c r="K476" s="465"/>
      <c r="L476" s="465"/>
      <c r="M476" s="465"/>
      <c r="N476" s="789">
        <v>0</v>
      </c>
      <c r="O476" s="465"/>
      <c r="P476" s="465"/>
      <c r="Q476" s="541"/>
      <c r="R476" s="541"/>
      <c r="S476" s="541"/>
      <c r="T476" s="541"/>
      <c r="U476" s="541"/>
      <c r="V476" s="541"/>
      <c r="W476" s="541"/>
      <c r="X476" s="541"/>
      <c r="Y476" s="541"/>
      <c r="Z476" s="541"/>
    </row>
    <row r="477" spans="1:26" ht="18.75">
      <c r="A477" s="561"/>
      <c r="B477" s="538"/>
      <c r="C477" s="538"/>
      <c r="D477" s="570" t="s">
        <v>21</v>
      </c>
      <c r="E477" s="538"/>
      <c r="F477" s="538"/>
      <c r="G477" s="189"/>
      <c r="H477" s="168" t="s">
        <v>12</v>
      </c>
      <c r="I477" s="184"/>
      <c r="J477" s="184"/>
      <c r="K477" s="163"/>
      <c r="L477" s="465">
        <f t="shared" ref="L477:N477" ca="1" si="210">L478+L479</f>
        <v>0</v>
      </c>
      <c r="M477" s="465">
        <f t="shared" si="210"/>
        <v>0</v>
      </c>
      <c r="N477" s="465">
        <f t="shared" si="210"/>
        <v>0</v>
      </c>
      <c r="O477" s="465">
        <f t="shared" ref="O477:O479" ca="1" si="211">IF(L477&gt;0,N477*100/L477,0)</f>
        <v>0</v>
      </c>
      <c r="P477" s="465">
        <f t="shared" ref="P477:P479" si="212">IF(M477&gt;0,N477*100/M477,0)</f>
        <v>0</v>
      </c>
      <c r="Q477" s="541"/>
      <c r="R477" s="541"/>
      <c r="S477" s="541"/>
      <c r="T477" s="541"/>
      <c r="U477" s="541"/>
      <c r="V477" s="541"/>
      <c r="W477" s="541"/>
      <c r="X477" s="541"/>
      <c r="Y477" s="541"/>
      <c r="Z477" s="541"/>
    </row>
    <row r="478" spans="1:26" ht="18.75" hidden="1">
      <c r="A478" s="563"/>
      <c r="B478" s="571"/>
      <c r="C478" s="571"/>
      <c r="D478" s="571"/>
      <c r="E478" s="571" t="s">
        <v>18</v>
      </c>
      <c r="F478" s="571"/>
      <c r="G478" s="567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1"/>
        <v>0</v>
      </c>
      <c r="P478" s="93">
        <f t="shared" si="212"/>
        <v>0</v>
      </c>
      <c r="Q478" s="568"/>
      <c r="R478" s="568"/>
      <c r="S478" s="568"/>
      <c r="T478" s="568"/>
      <c r="U478" s="568"/>
      <c r="V478" s="568"/>
      <c r="W478" s="568"/>
      <c r="X478" s="568"/>
      <c r="Y478" s="568"/>
      <c r="Z478" s="568"/>
    </row>
    <row r="479" spans="1:26" ht="18.75" hidden="1">
      <c r="A479" s="563"/>
      <c r="B479" s="571"/>
      <c r="C479" s="571"/>
      <c r="D479" s="571"/>
      <c r="E479" s="571" t="s">
        <v>19</v>
      </c>
      <c r="F479" s="571"/>
      <c r="G479" s="567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IFERROR(__xludf.DUMMYFUNCTION("IMPORTRANGE(""https://docs.google.com/spreadsheets/d/1QqKyyYR6Q21VydFLVH3TRQUabQu_ym0Zz7PgGX0-kHA/edit?usp=sharing"",""แผน!FV27"")"),0)</f>
        <v>0</v>
      </c>
      <c r="M479" s="93">
        <v>0</v>
      </c>
      <c r="N479" s="93">
        <v>0</v>
      </c>
      <c r="O479" s="93">
        <f t="shared" ca="1" si="211"/>
        <v>0</v>
      </c>
      <c r="P479" s="93">
        <f t="shared" si="212"/>
        <v>0</v>
      </c>
      <c r="Q479" s="568"/>
      <c r="R479" s="568"/>
      <c r="S479" s="568"/>
      <c r="T479" s="568"/>
      <c r="U479" s="568"/>
      <c r="V479" s="568"/>
      <c r="W479" s="568"/>
      <c r="X479" s="568"/>
      <c r="Y479" s="568"/>
      <c r="Z479" s="568"/>
    </row>
    <row r="480" spans="1:26" ht="19.5">
      <c r="A480" s="572"/>
      <c r="B480" s="584"/>
      <c r="C480" s="538" t="s">
        <v>16</v>
      </c>
      <c r="D480" s="851" t="s">
        <v>38</v>
      </c>
      <c r="E480" s="575"/>
      <c r="F480" s="725"/>
      <c r="G480" s="577"/>
      <c r="H480" s="726"/>
      <c r="I480" s="269"/>
      <c r="J480" s="269"/>
      <c r="K480" s="465"/>
      <c r="L480" s="465"/>
      <c r="M480" s="465"/>
      <c r="N480" s="465"/>
      <c r="O480" s="465"/>
      <c r="P480" s="465"/>
      <c r="Q480" s="541"/>
      <c r="R480" s="541"/>
      <c r="S480" s="541"/>
      <c r="T480" s="541"/>
      <c r="U480" s="541"/>
      <c r="V480" s="541"/>
      <c r="W480" s="541"/>
      <c r="X480" s="541"/>
      <c r="Y480" s="541"/>
      <c r="Z480" s="541"/>
    </row>
    <row r="481" spans="1:26" ht="19.5">
      <c r="A481" s="572"/>
      <c r="B481" s="584"/>
      <c r="C481" s="584"/>
      <c r="D481" s="591" t="s">
        <v>206</v>
      </c>
      <c r="E481" s="584"/>
      <c r="F481" s="584"/>
      <c r="G481" s="726"/>
      <c r="H481" s="189"/>
      <c r="I481" s="269"/>
      <c r="J481" s="269"/>
      <c r="K481" s="465"/>
      <c r="L481" s="465"/>
      <c r="M481" s="465"/>
      <c r="N481" s="465"/>
      <c r="O481" s="465"/>
      <c r="P481" s="465"/>
      <c r="Q481" s="541"/>
      <c r="R481" s="541"/>
      <c r="S481" s="541"/>
      <c r="T481" s="541"/>
      <c r="U481" s="541"/>
      <c r="V481" s="541"/>
      <c r="W481" s="541"/>
      <c r="X481" s="541"/>
      <c r="Y481" s="541"/>
      <c r="Z481" s="541"/>
    </row>
    <row r="482" spans="1:26" ht="18.75">
      <c r="A482" s="572"/>
      <c r="B482" s="584"/>
      <c r="C482" s="584"/>
      <c r="D482" s="584"/>
      <c r="E482" s="584" t="s">
        <v>207</v>
      </c>
      <c r="F482" s="584"/>
      <c r="G482" s="726"/>
      <c r="H482" s="189"/>
      <c r="I482" s="269"/>
      <c r="J482" s="269"/>
      <c r="K482" s="465"/>
      <c r="L482" s="465"/>
      <c r="M482" s="465"/>
      <c r="N482" s="465"/>
      <c r="O482" s="465"/>
      <c r="P482" s="465"/>
      <c r="Q482" s="541"/>
      <c r="R482" s="541"/>
      <c r="S482" s="541"/>
      <c r="T482" s="541"/>
      <c r="U482" s="541"/>
      <c r="V482" s="541"/>
      <c r="W482" s="541"/>
      <c r="X482" s="541"/>
      <c r="Y482" s="541"/>
      <c r="Z482" s="541"/>
    </row>
    <row r="483" spans="1:26" ht="18.75">
      <c r="A483" s="572"/>
      <c r="B483" s="584"/>
      <c r="C483" s="584"/>
      <c r="D483" s="584"/>
      <c r="E483" s="584"/>
      <c r="F483" s="584" t="s">
        <v>208</v>
      </c>
      <c r="G483" s="726"/>
      <c r="H483" s="589" t="s">
        <v>46</v>
      </c>
      <c r="I483" s="269">
        <f ca="1">IFERROR(__xludf.DUMMYFUNCTION("IMPORTRANGE(""https://docs.google.com/spreadsheets/d/1QqKyyYR6Q21VydFLVH3TRQUabQu_ym0Zz7PgGX0-kHA/edit?usp=sharing"",""แผน!FY27"")"),270)</f>
        <v>270</v>
      </c>
      <c r="J483" s="214">
        <v>0</v>
      </c>
      <c r="K483" s="465">
        <f ca="1">IF(I483&gt;0,J483*100/I483,0)</f>
        <v>0</v>
      </c>
      <c r="L483" s="465"/>
      <c r="M483" s="465"/>
      <c r="N483" s="465"/>
      <c r="O483" s="465"/>
      <c r="P483" s="465"/>
      <c r="Q483" s="541"/>
      <c r="R483" s="541"/>
      <c r="S483" s="541"/>
      <c r="T483" s="541"/>
      <c r="U483" s="541"/>
      <c r="V483" s="541"/>
      <c r="W483" s="541"/>
      <c r="X483" s="541"/>
      <c r="Y483" s="541"/>
      <c r="Z483" s="541"/>
    </row>
    <row r="484" spans="1:26" ht="18.75">
      <c r="A484" s="572"/>
      <c r="B484" s="584"/>
      <c r="C484" s="584"/>
      <c r="D484" s="584"/>
      <c r="E484" s="584"/>
      <c r="F484" s="584" t="s">
        <v>209</v>
      </c>
      <c r="G484" s="726"/>
      <c r="H484" s="589" t="s">
        <v>35</v>
      </c>
      <c r="I484" s="269"/>
      <c r="J484" s="214">
        <v>0</v>
      </c>
      <c r="K484" s="465"/>
      <c r="L484" s="465"/>
      <c r="M484" s="465"/>
      <c r="N484" s="465"/>
      <c r="O484" s="465"/>
      <c r="P484" s="465"/>
      <c r="Q484" s="541"/>
      <c r="R484" s="541"/>
      <c r="S484" s="541"/>
      <c r="T484" s="541"/>
      <c r="U484" s="541"/>
      <c r="V484" s="541"/>
      <c r="W484" s="541"/>
      <c r="X484" s="541"/>
      <c r="Y484" s="541"/>
      <c r="Z484" s="541"/>
    </row>
    <row r="485" spans="1:26" ht="18.75">
      <c r="A485" s="572"/>
      <c r="B485" s="584"/>
      <c r="C485" s="584"/>
      <c r="D485" s="584"/>
      <c r="E485" s="584"/>
      <c r="F485" s="584" t="s">
        <v>210</v>
      </c>
      <c r="G485" s="726"/>
      <c r="H485" s="589" t="s">
        <v>35</v>
      </c>
      <c r="I485" s="269">
        <f ca="1">IFERROR(__xludf.DUMMYFUNCTION("IMPORTRANGE(""https://docs.google.com/spreadsheets/d/1QqKyyYR6Q21VydFLVH3TRQUabQu_ym0Zz7PgGX0-kHA/edit?usp=sharing"",""แผน!FZ27"")"),27)</f>
        <v>27</v>
      </c>
      <c r="J485" s="214">
        <v>0</v>
      </c>
      <c r="K485" s="465">
        <f ca="1">IF(I485&gt;0,J485*100/I485,0)</f>
        <v>0</v>
      </c>
      <c r="L485" s="465"/>
      <c r="M485" s="465"/>
      <c r="N485" s="465"/>
      <c r="O485" s="465"/>
      <c r="P485" s="465"/>
      <c r="Q485" s="541"/>
      <c r="R485" s="541"/>
      <c r="S485" s="541"/>
      <c r="T485" s="541"/>
      <c r="U485" s="541"/>
      <c r="V485" s="541"/>
      <c r="W485" s="541"/>
      <c r="X485" s="541"/>
      <c r="Y485" s="541"/>
      <c r="Z485" s="541"/>
    </row>
    <row r="486" spans="1:26" ht="18.75">
      <c r="A486" s="572"/>
      <c r="B486" s="584"/>
      <c r="C486" s="584"/>
      <c r="D486" s="584"/>
      <c r="E486" s="584" t="s">
        <v>62</v>
      </c>
      <c r="F486" s="584"/>
      <c r="G486" s="726"/>
      <c r="H486" s="589"/>
      <c r="I486" s="269"/>
      <c r="J486" s="269"/>
      <c r="K486" s="465"/>
      <c r="L486" s="465"/>
      <c r="M486" s="465"/>
      <c r="N486" s="465"/>
      <c r="O486" s="465"/>
      <c r="P486" s="465"/>
      <c r="Q486" s="541"/>
      <c r="R486" s="541"/>
      <c r="S486" s="541"/>
      <c r="T486" s="541"/>
      <c r="U486" s="541"/>
      <c r="V486" s="541"/>
      <c r="W486" s="541"/>
      <c r="X486" s="541"/>
      <c r="Y486" s="541"/>
      <c r="Z486" s="541"/>
    </row>
    <row r="487" spans="1:26" ht="18.75">
      <c r="A487" s="572"/>
      <c r="B487" s="584"/>
      <c r="C487" s="584"/>
      <c r="D487" s="584"/>
      <c r="E487" s="584"/>
      <c r="F487" s="584" t="s">
        <v>208</v>
      </c>
      <c r="G487" s="726"/>
      <c r="H487" s="589" t="s">
        <v>46</v>
      </c>
      <c r="I487" s="269">
        <f ca="1">IFERROR(__xludf.DUMMYFUNCTION("IMPORTRANGE(""https://docs.google.com/spreadsheets/d/1QqKyyYR6Q21VydFLVH3TRQUabQu_ym0Zz7PgGX0-kHA/edit?usp=sharing"",""แผน!GA27"")"),30)</f>
        <v>30</v>
      </c>
      <c r="J487" s="214">
        <v>0</v>
      </c>
      <c r="K487" s="465">
        <f ca="1">IF(I487&gt;0,J487*100/I487,0)</f>
        <v>0</v>
      </c>
      <c r="L487" s="465"/>
      <c r="M487" s="465"/>
      <c r="N487" s="465"/>
      <c r="O487" s="465"/>
      <c r="P487" s="465"/>
      <c r="Q487" s="541"/>
      <c r="R487" s="541"/>
      <c r="S487" s="541"/>
      <c r="T487" s="541"/>
      <c r="U487" s="541"/>
      <c r="V487" s="541"/>
      <c r="W487" s="541"/>
      <c r="X487" s="541"/>
      <c r="Y487" s="541"/>
      <c r="Z487" s="541"/>
    </row>
    <row r="488" spans="1:26" ht="18.75">
      <c r="A488" s="572"/>
      <c r="B488" s="584"/>
      <c r="C488" s="584"/>
      <c r="D488" s="584"/>
      <c r="E488" s="584"/>
      <c r="F488" s="584" t="s">
        <v>211</v>
      </c>
      <c r="G488" s="726"/>
      <c r="H488" s="589" t="s">
        <v>35</v>
      </c>
      <c r="I488" s="269"/>
      <c r="J488" s="214">
        <v>0</v>
      </c>
      <c r="K488" s="465"/>
      <c r="L488" s="465"/>
      <c r="M488" s="465"/>
      <c r="N488" s="465"/>
      <c r="O488" s="465"/>
      <c r="P488" s="465"/>
      <c r="Q488" s="541"/>
      <c r="R488" s="541"/>
      <c r="S488" s="541"/>
      <c r="T488" s="541"/>
      <c r="U488" s="541"/>
      <c r="V488" s="541"/>
      <c r="W488" s="541"/>
      <c r="X488" s="541"/>
      <c r="Y488" s="541"/>
      <c r="Z488" s="541"/>
    </row>
    <row r="489" spans="1:26" ht="18.75">
      <c r="A489" s="572"/>
      <c r="B489" s="584"/>
      <c r="C489" s="584"/>
      <c r="D489" s="584"/>
      <c r="E489" s="584"/>
      <c r="F489" s="584" t="s">
        <v>212</v>
      </c>
      <c r="G489" s="726"/>
      <c r="H489" s="589" t="s">
        <v>35</v>
      </c>
      <c r="I489" s="269">
        <f ca="1">IFERROR(__xludf.DUMMYFUNCTION("IMPORTRANGE(""https://docs.google.com/spreadsheets/d/1QqKyyYR6Q21VydFLVH3TRQUabQu_ym0Zz7PgGX0-kHA/edit?usp=sharing"",""แผน!GB27"")"),3)</f>
        <v>3</v>
      </c>
      <c r="J489" s="214">
        <v>0</v>
      </c>
      <c r="K489" s="465">
        <f ca="1">IF(I489&gt;0,J489*100/I489,0)</f>
        <v>0</v>
      </c>
      <c r="L489" s="465"/>
      <c r="M489" s="465"/>
      <c r="N489" s="465"/>
      <c r="O489" s="465"/>
      <c r="P489" s="465"/>
      <c r="Q489" s="541"/>
      <c r="R489" s="541"/>
      <c r="S489" s="541"/>
      <c r="T489" s="541"/>
      <c r="U489" s="541"/>
      <c r="V489" s="541"/>
      <c r="W489" s="541"/>
      <c r="X489" s="541"/>
      <c r="Y489" s="541"/>
      <c r="Z489" s="541"/>
    </row>
    <row r="490" spans="1:26" ht="18.75">
      <c r="A490" s="572"/>
      <c r="B490" s="584"/>
      <c r="C490" s="584"/>
      <c r="D490" s="584"/>
      <c r="E490" s="584" t="s">
        <v>63</v>
      </c>
      <c r="F490" s="592"/>
      <c r="G490" s="726"/>
      <c r="H490" s="589"/>
      <c r="I490" s="269"/>
      <c r="J490" s="269"/>
      <c r="K490" s="465"/>
      <c r="L490" s="465"/>
      <c r="M490" s="465"/>
      <c r="N490" s="465"/>
      <c r="O490" s="465"/>
      <c r="P490" s="465"/>
      <c r="Q490" s="541"/>
      <c r="R490" s="541"/>
      <c r="S490" s="541"/>
      <c r="T490" s="541"/>
      <c r="U490" s="541"/>
      <c r="V490" s="541"/>
      <c r="W490" s="541"/>
      <c r="X490" s="541"/>
      <c r="Y490" s="541"/>
      <c r="Z490" s="541"/>
    </row>
    <row r="491" spans="1:26" ht="18.75">
      <c r="A491" s="572"/>
      <c r="B491" s="584"/>
      <c r="C491" s="584"/>
      <c r="D491" s="584"/>
      <c r="E491" s="584"/>
      <c r="F491" s="584" t="s">
        <v>213</v>
      </c>
      <c r="G491" s="726"/>
      <c r="H491" s="589" t="s">
        <v>35</v>
      </c>
      <c r="I491" s="269"/>
      <c r="J491" s="214">
        <v>0</v>
      </c>
      <c r="K491" s="465"/>
      <c r="L491" s="465"/>
      <c r="M491" s="465"/>
      <c r="N491" s="465"/>
      <c r="O491" s="465"/>
      <c r="P491" s="465"/>
      <c r="Q491" s="541"/>
      <c r="R491" s="541"/>
      <c r="S491" s="541"/>
      <c r="T491" s="541"/>
      <c r="U491" s="541"/>
      <c r="V491" s="541"/>
      <c r="W491" s="541"/>
      <c r="X491" s="541"/>
      <c r="Y491" s="541"/>
      <c r="Z491" s="541"/>
    </row>
    <row r="492" spans="1:26" ht="18.75">
      <c r="A492" s="572"/>
      <c r="B492" s="584"/>
      <c r="C492" s="584"/>
      <c r="D492" s="584"/>
      <c r="E492" s="584"/>
      <c r="F492" s="584" t="s">
        <v>214</v>
      </c>
      <c r="G492" s="726"/>
      <c r="H492" s="589" t="s">
        <v>35</v>
      </c>
      <c r="I492" s="269">
        <f ca="1">IFERROR(__xludf.DUMMYFUNCTION("IMPORTRANGE(""https://docs.google.com/spreadsheets/d/1QqKyyYR6Q21VydFLVH3TRQUabQu_ym0Zz7PgGX0-kHA/edit?usp=sharing"",""แผน!GC27"")"),1)</f>
        <v>1</v>
      </c>
      <c r="J492" s="214">
        <v>0</v>
      </c>
      <c r="K492" s="465">
        <f ca="1">IF(I492&gt;0,J492*100/I492,0)</f>
        <v>0</v>
      </c>
      <c r="L492" s="465"/>
      <c r="M492" s="465"/>
      <c r="N492" s="465"/>
      <c r="O492" s="465"/>
      <c r="P492" s="465"/>
      <c r="Q492" s="541"/>
      <c r="R492" s="541"/>
      <c r="S492" s="541"/>
      <c r="T492" s="541"/>
      <c r="U492" s="541"/>
      <c r="V492" s="541"/>
      <c r="W492" s="541"/>
      <c r="X492" s="541"/>
      <c r="Y492" s="541"/>
      <c r="Z492" s="541"/>
    </row>
    <row r="493" spans="1:26" ht="19.5">
      <c r="A493" s="572"/>
      <c r="B493" s="584"/>
      <c r="C493" s="584"/>
      <c r="D493" s="591" t="s">
        <v>59</v>
      </c>
      <c r="E493" s="584"/>
      <c r="F493" s="592"/>
      <c r="G493" s="726"/>
      <c r="H493" s="189"/>
      <c r="I493" s="269"/>
      <c r="J493" s="269"/>
      <c r="K493" s="465"/>
      <c r="L493" s="465"/>
      <c r="M493" s="465"/>
      <c r="N493" s="465"/>
      <c r="O493" s="465"/>
      <c r="P493" s="465"/>
      <c r="Q493" s="541"/>
      <c r="R493" s="541"/>
      <c r="S493" s="541"/>
      <c r="T493" s="541"/>
      <c r="U493" s="541"/>
      <c r="V493" s="541"/>
      <c r="W493" s="541"/>
      <c r="X493" s="541"/>
      <c r="Y493" s="541"/>
      <c r="Z493" s="541"/>
    </row>
    <row r="494" spans="1:26" ht="18.75">
      <c r="A494" s="572"/>
      <c r="B494" s="584"/>
      <c r="C494" s="584"/>
      <c r="D494" s="584"/>
      <c r="E494" s="584" t="s">
        <v>207</v>
      </c>
      <c r="F494" s="592"/>
      <c r="G494" s="726"/>
      <c r="H494" s="189"/>
      <c r="I494" s="269"/>
      <c r="J494" s="269"/>
      <c r="K494" s="465"/>
      <c r="L494" s="465"/>
      <c r="M494" s="465"/>
      <c r="N494" s="465"/>
      <c r="O494" s="465"/>
      <c r="P494" s="465"/>
      <c r="Q494" s="541"/>
      <c r="R494" s="541"/>
      <c r="S494" s="541"/>
      <c r="T494" s="541"/>
      <c r="U494" s="541"/>
      <c r="V494" s="541"/>
      <c r="W494" s="541"/>
      <c r="X494" s="541"/>
      <c r="Y494" s="541"/>
      <c r="Z494" s="541"/>
    </row>
    <row r="495" spans="1:26" ht="18.75">
      <c r="A495" s="572"/>
      <c r="B495" s="584"/>
      <c r="C495" s="584"/>
      <c r="D495" s="584"/>
      <c r="E495" s="584"/>
      <c r="F495" s="592" t="s">
        <v>215</v>
      </c>
      <c r="G495" s="726"/>
      <c r="H495" s="589" t="s">
        <v>46</v>
      </c>
      <c r="I495" s="269">
        <f ca="1">IFERROR(__xludf.DUMMYFUNCTION("IMPORTRANGE(""https://docs.google.com/spreadsheets/d/1QqKyyYR6Q21VydFLVH3TRQUabQu_ym0Zz7PgGX0-kHA/edit?usp=sharing"",""แผน!FY27"")"),270)</f>
        <v>270</v>
      </c>
      <c r="J495" s="214">
        <v>0</v>
      </c>
      <c r="K495" s="465">
        <f ca="1">IF(I495&gt;0,J495*100/I495,0)</f>
        <v>0</v>
      </c>
      <c r="L495" s="465"/>
      <c r="M495" s="465"/>
      <c r="N495" s="465"/>
      <c r="O495" s="465"/>
      <c r="P495" s="465"/>
      <c r="Q495" s="541"/>
      <c r="R495" s="541"/>
      <c r="S495" s="541"/>
      <c r="T495" s="541"/>
      <c r="U495" s="541"/>
      <c r="V495" s="541"/>
      <c r="W495" s="541"/>
      <c r="X495" s="541"/>
      <c r="Y495" s="541"/>
      <c r="Z495" s="541"/>
    </row>
    <row r="496" spans="1:26" ht="18.75">
      <c r="A496" s="572"/>
      <c r="B496" s="584"/>
      <c r="C496" s="584"/>
      <c r="D496" s="584"/>
      <c r="E496" s="584"/>
      <c r="F496" s="592" t="s">
        <v>216</v>
      </c>
      <c r="G496" s="726"/>
      <c r="H496" s="589" t="s">
        <v>46</v>
      </c>
      <c r="I496" s="269"/>
      <c r="J496" s="214">
        <v>0</v>
      </c>
      <c r="K496" s="465"/>
      <c r="L496" s="465"/>
      <c r="M496" s="465"/>
      <c r="N496" s="465"/>
      <c r="O496" s="465"/>
      <c r="P496" s="465"/>
      <c r="Q496" s="541"/>
      <c r="R496" s="541"/>
      <c r="S496" s="541"/>
      <c r="T496" s="541"/>
      <c r="U496" s="541"/>
      <c r="V496" s="541"/>
      <c r="W496" s="541"/>
      <c r="X496" s="541"/>
      <c r="Y496" s="541"/>
      <c r="Z496" s="541"/>
    </row>
    <row r="497" spans="1:26" ht="18.75">
      <c r="A497" s="572"/>
      <c r="B497" s="584"/>
      <c r="C497" s="584"/>
      <c r="D497" s="584"/>
      <c r="E497" s="584" t="s">
        <v>62</v>
      </c>
      <c r="F497" s="592"/>
      <c r="G497" s="726"/>
      <c r="H497" s="189"/>
      <c r="I497" s="269"/>
      <c r="J497" s="269"/>
      <c r="K497" s="465"/>
      <c r="L497" s="465"/>
      <c r="M497" s="465"/>
      <c r="N497" s="465"/>
      <c r="O497" s="465"/>
      <c r="P497" s="465"/>
      <c r="Q497" s="541"/>
      <c r="R497" s="541"/>
      <c r="S497" s="541"/>
      <c r="T497" s="541"/>
      <c r="U497" s="541"/>
      <c r="V497" s="541"/>
      <c r="W497" s="541"/>
      <c r="X497" s="541"/>
      <c r="Y497" s="541"/>
      <c r="Z497" s="541"/>
    </row>
    <row r="498" spans="1:26" ht="18.75">
      <c r="A498" s="572"/>
      <c r="B498" s="584"/>
      <c r="C498" s="584"/>
      <c r="D498" s="584"/>
      <c r="E498" s="592"/>
      <c r="F498" s="592" t="s">
        <v>217</v>
      </c>
      <c r="G498" s="726"/>
      <c r="H498" s="589" t="s">
        <v>46</v>
      </c>
      <c r="I498" s="269">
        <f ca="1">IFERROR(__xludf.DUMMYFUNCTION("IMPORTRANGE(""https://docs.google.com/spreadsheets/d/1QqKyyYR6Q21VydFLVH3TRQUabQu_ym0Zz7PgGX0-kHA/edit?usp=sharing"",""แผน!GA27"")"),30)</f>
        <v>30</v>
      </c>
      <c r="J498" s="214">
        <v>0</v>
      </c>
      <c r="K498" s="465">
        <f ca="1">IF(I498&gt;0,J498*100/I498,0)</f>
        <v>0</v>
      </c>
      <c r="L498" s="465"/>
      <c r="M498" s="465"/>
      <c r="N498" s="465"/>
      <c r="O498" s="465"/>
      <c r="P498" s="465"/>
      <c r="Q498" s="541"/>
      <c r="R498" s="541"/>
      <c r="S498" s="541"/>
      <c r="T498" s="541"/>
      <c r="U498" s="541"/>
      <c r="V498" s="541"/>
      <c r="W498" s="541"/>
      <c r="X498" s="541"/>
      <c r="Y498" s="541"/>
      <c r="Z498" s="541"/>
    </row>
    <row r="499" spans="1:26" ht="18.75">
      <c r="A499" s="572"/>
      <c r="B499" s="584"/>
      <c r="C499" s="584"/>
      <c r="D499" s="584"/>
      <c r="E499" s="592"/>
      <c r="F499" s="592" t="s">
        <v>218</v>
      </c>
      <c r="G499" s="726"/>
      <c r="H499" s="589" t="s">
        <v>46</v>
      </c>
      <c r="I499" s="269"/>
      <c r="J499" s="214">
        <v>0</v>
      </c>
      <c r="K499" s="465"/>
      <c r="L499" s="465"/>
      <c r="M499" s="465"/>
      <c r="N499" s="465"/>
      <c r="O499" s="465"/>
      <c r="P499" s="465"/>
      <c r="Q499" s="541"/>
      <c r="R499" s="541"/>
      <c r="S499" s="541"/>
      <c r="T499" s="541"/>
      <c r="U499" s="541"/>
      <c r="V499" s="541"/>
      <c r="W499" s="541"/>
      <c r="X499" s="541"/>
      <c r="Y499" s="541"/>
      <c r="Z499" s="541"/>
    </row>
    <row r="500" spans="1:26" ht="19.5" hidden="1">
      <c r="A500" s="593">
        <v>4</v>
      </c>
      <c r="B500" s="594" t="s">
        <v>219</v>
      </c>
      <c r="C500" s="595"/>
      <c r="D500" s="596"/>
      <c r="E500" s="596"/>
      <c r="F500" s="596"/>
      <c r="G500" s="597"/>
      <c r="H500" s="598" t="s">
        <v>109</v>
      </c>
      <c r="I500" s="599"/>
      <c r="J500" s="599">
        <f t="shared" ref="J500:J501" si="213">J516</f>
        <v>0</v>
      </c>
      <c r="K500" s="600">
        <f t="shared" ref="K500:K501" si="214">IF(I500&gt;0,J500*100/I500,0)</f>
        <v>0</v>
      </c>
      <c r="L500" s="601"/>
      <c r="M500" s="601"/>
      <c r="N500" s="601"/>
      <c r="O500" s="601"/>
      <c r="P500" s="601"/>
      <c r="Q500" s="568"/>
      <c r="R500" s="568"/>
      <c r="S500" s="568"/>
      <c r="T500" s="568"/>
      <c r="U500" s="568"/>
      <c r="V500" s="568"/>
      <c r="W500" s="568"/>
      <c r="X500" s="568"/>
      <c r="Y500" s="568"/>
      <c r="Z500" s="568"/>
    </row>
    <row r="501" spans="1:26" ht="19.5" hidden="1">
      <c r="A501" s="602"/>
      <c r="B501" s="604" t="s">
        <v>220</v>
      </c>
      <c r="C501" s="604"/>
      <c r="D501" s="605"/>
      <c r="E501" s="605"/>
      <c r="F501" s="605"/>
      <c r="G501" s="606"/>
      <c r="H501" s="607" t="s">
        <v>35</v>
      </c>
      <c r="I501" s="608"/>
      <c r="J501" s="608">
        <f t="shared" si="213"/>
        <v>0</v>
      </c>
      <c r="K501" s="609">
        <f t="shared" si="214"/>
        <v>0</v>
      </c>
      <c r="L501" s="610"/>
      <c r="M501" s="610"/>
      <c r="N501" s="610"/>
      <c r="O501" s="610"/>
      <c r="P501" s="610"/>
      <c r="Q501" s="568"/>
      <c r="R501" s="568"/>
      <c r="S501" s="568"/>
      <c r="T501" s="568"/>
      <c r="U501" s="568"/>
      <c r="V501" s="568"/>
      <c r="W501" s="568"/>
      <c r="X501" s="568"/>
      <c r="Y501" s="568"/>
      <c r="Z501" s="568"/>
    </row>
    <row r="502" spans="1:26" ht="19.5" hidden="1">
      <c r="A502" s="563"/>
      <c r="B502" s="723"/>
      <c r="C502" s="723" t="s">
        <v>16</v>
      </c>
      <c r="D502" s="812" t="s">
        <v>17</v>
      </c>
      <c r="E502" s="805"/>
      <c r="F502" s="805"/>
      <c r="G502" s="567"/>
      <c r="H502" s="612" t="s">
        <v>12</v>
      </c>
      <c r="I502" s="583"/>
      <c r="J502" s="583"/>
      <c r="K502" s="93"/>
      <c r="L502" s="613">
        <f t="shared" ref="L502:N502" si="215">L503+L504</f>
        <v>0</v>
      </c>
      <c r="M502" s="613">
        <f t="shared" si="215"/>
        <v>0</v>
      </c>
      <c r="N502" s="613">
        <f t="shared" si="215"/>
        <v>0</v>
      </c>
      <c r="O502" s="613">
        <f t="shared" ref="O502:O507" si="216">IF(L502&gt;0,N502*100/L502,0)</f>
        <v>0</v>
      </c>
      <c r="P502" s="613">
        <f t="shared" ref="P502:P507" si="217">IF(M502&gt;0,N502*100/M502,0)</f>
        <v>0</v>
      </c>
      <c r="Q502" s="568"/>
      <c r="R502" s="568"/>
      <c r="S502" s="568"/>
      <c r="T502" s="568"/>
      <c r="U502" s="568"/>
      <c r="V502" s="568"/>
      <c r="W502" s="568"/>
      <c r="X502" s="568"/>
      <c r="Y502" s="568"/>
      <c r="Z502" s="568"/>
    </row>
    <row r="503" spans="1:26" ht="18.75" hidden="1">
      <c r="A503" s="563"/>
      <c r="B503" s="723"/>
      <c r="C503" s="723"/>
      <c r="D503" s="684"/>
      <c r="E503" s="723" t="s">
        <v>184</v>
      </c>
      <c r="F503" s="723"/>
      <c r="G503" s="567"/>
      <c r="H503" s="165" t="s">
        <v>12</v>
      </c>
      <c r="I503" s="583"/>
      <c r="J503" s="583"/>
      <c r="K503" s="93"/>
      <c r="L503" s="93">
        <f t="shared" ref="L503:N504" si="218">L506+L513</f>
        <v>0</v>
      </c>
      <c r="M503" s="93">
        <f t="shared" si="218"/>
        <v>0</v>
      </c>
      <c r="N503" s="93">
        <f t="shared" si="218"/>
        <v>0</v>
      </c>
      <c r="O503" s="93">
        <f t="shared" si="216"/>
        <v>0</v>
      </c>
      <c r="P503" s="93">
        <f t="shared" si="217"/>
        <v>0</v>
      </c>
      <c r="Q503" s="568"/>
      <c r="R503" s="568"/>
      <c r="S503" s="568"/>
      <c r="T503" s="568"/>
      <c r="U503" s="568"/>
      <c r="V503" s="568"/>
      <c r="W503" s="568"/>
      <c r="X503" s="568"/>
      <c r="Y503" s="568"/>
      <c r="Z503" s="568"/>
    </row>
    <row r="504" spans="1:26" ht="18.75" hidden="1">
      <c r="A504" s="563"/>
      <c r="B504" s="571"/>
      <c r="C504" s="723"/>
      <c r="D504" s="684"/>
      <c r="E504" s="723" t="s">
        <v>185</v>
      </c>
      <c r="F504" s="723"/>
      <c r="G504" s="567"/>
      <c r="H504" s="165" t="s">
        <v>12</v>
      </c>
      <c r="I504" s="583"/>
      <c r="J504" s="583"/>
      <c r="K504" s="93"/>
      <c r="L504" s="93">
        <f t="shared" si="218"/>
        <v>0</v>
      </c>
      <c r="M504" s="93">
        <f t="shared" si="218"/>
        <v>0</v>
      </c>
      <c r="N504" s="93">
        <f t="shared" si="218"/>
        <v>0</v>
      </c>
      <c r="O504" s="93">
        <f t="shared" si="216"/>
        <v>0</v>
      </c>
      <c r="P504" s="93">
        <f t="shared" si="217"/>
        <v>0</v>
      </c>
      <c r="Q504" s="568"/>
      <c r="R504" s="568"/>
      <c r="S504" s="568"/>
      <c r="T504" s="568"/>
      <c r="U504" s="568"/>
      <c r="V504" s="568"/>
      <c r="W504" s="568"/>
      <c r="X504" s="568"/>
      <c r="Y504" s="568"/>
      <c r="Z504" s="568"/>
    </row>
    <row r="505" spans="1:26" ht="18.75" hidden="1">
      <c r="A505" s="563"/>
      <c r="B505" s="571"/>
      <c r="C505" s="723"/>
      <c r="D505" s="614" t="s">
        <v>20</v>
      </c>
      <c r="E505" s="723"/>
      <c r="F505" s="723"/>
      <c r="G505" s="567"/>
      <c r="H505" s="165" t="s">
        <v>12</v>
      </c>
      <c r="I505" s="166"/>
      <c r="J505" s="166"/>
      <c r="K505" s="167"/>
      <c r="L505" s="93">
        <f t="shared" ref="L505:N505" si="219">L506+L507</f>
        <v>0</v>
      </c>
      <c r="M505" s="93">
        <f t="shared" si="219"/>
        <v>0</v>
      </c>
      <c r="N505" s="93">
        <f t="shared" si="219"/>
        <v>0</v>
      </c>
      <c r="O505" s="93">
        <f t="shared" si="216"/>
        <v>0</v>
      </c>
      <c r="P505" s="93">
        <f t="shared" si="217"/>
        <v>0</v>
      </c>
      <c r="Q505" s="568"/>
      <c r="R505" s="568"/>
      <c r="S505" s="568"/>
      <c r="T505" s="568"/>
      <c r="U505" s="568"/>
      <c r="V505" s="568"/>
      <c r="W505" s="568"/>
      <c r="X505" s="568"/>
      <c r="Y505" s="568"/>
      <c r="Z505" s="568"/>
    </row>
    <row r="506" spans="1:26" ht="18.75" hidden="1">
      <c r="A506" s="563"/>
      <c r="B506" s="571"/>
      <c r="C506" s="723"/>
      <c r="D506" s="684"/>
      <c r="E506" s="723" t="s">
        <v>184</v>
      </c>
      <c r="F506" s="723"/>
      <c r="G506" s="567"/>
      <c r="H506" s="165" t="s">
        <v>12</v>
      </c>
      <c r="I506" s="583"/>
      <c r="J506" s="583"/>
      <c r="K506" s="93"/>
      <c r="L506" s="93">
        <v>0</v>
      </c>
      <c r="M506" s="93">
        <v>0</v>
      </c>
      <c r="N506" s="93">
        <v>0</v>
      </c>
      <c r="O506" s="93">
        <f t="shared" si="216"/>
        <v>0</v>
      </c>
      <c r="P506" s="93">
        <f t="shared" si="217"/>
        <v>0</v>
      </c>
      <c r="Q506" s="568"/>
      <c r="R506" s="568"/>
      <c r="S506" s="568"/>
      <c r="T506" s="568"/>
      <c r="U506" s="568"/>
      <c r="V506" s="568"/>
      <c r="W506" s="568"/>
      <c r="X506" s="568"/>
      <c r="Y506" s="568"/>
      <c r="Z506" s="568"/>
    </row>
    <row r="507" spans="1:26" ht="18.75" hidden="1">
      <c r="A507" s="563"/>
      <c r="B507" s="571"/>
      <c r="C507" s="723"/>
      <c r="D507" s="684"/>
      <c r="E507" s="723" t="s">
        <v>185</v>
      </c>
      <c r="F507" s="723"/>
      <c r="G507" s="567"/>
      <c r="H507" s="165" t="s">
        <v>12</v>
      </c>
      <c r="I507" s="583"/>
      <c r="J507" s="583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6"/>
        <v>0</v>
      </c>
      <c r="P507" s="93">
        <f t="shared" si="217"/>
        <v>0</v>
      </c>
      <c r="Q507" s="568"/>
      <c r="R507" s="568"/>
      <c r="S507" s="568"/>
      <c r="T507" s="568"/>
      <c r="U507" s="568"/>
      <c r="V507" s="568"/>
      <c r="W507" s="568"/>
      <c r="X507" s="568"/>
      <c r="Y507" s="568"/>
      <c r="Z507" s="568"/>
    </row>
    <row r="508" spans="1:26" ht="18.75" hidden="1">
      <c r="A508" s="615"/>
      <c r="B508" s="571"/>
      <c r="C508" s="723"/>
      <c r="D508" s="723"/>
      <c r="E508" s="723"/>
      <c r="F508" s="723" t="s">
        <v>186</v>
      </c>
      <c r="G508" s="567"/>
      <c r="H508" s="165" t="s">
        <v>12</v>
      </c>
      <c r="I508" s="583"/>
      <c r="J508" s="583"/>
      <c r="K508" s="93"/>
      <c r="L508" s="93"/>
      <c r="M508" s="93"/>
      <c r="N508" s="93">
        <v>0</v>
      </c>
      <c r="O508" s="93"/>
      <c r="P508" s="93"/>
      <c r="Q508" s="568"/>
      <c r="R508" s="568"/>
      <c r="S508" s="568"/>
      <c r="T508" s="568"/>
      <c r="U508" s="568"/>
      <c r="V508" s="568"/>
      <c r="W508" s="568"/>
      <c r="X508" s="568"/>
      <c r="Y508" s="568"/>
      <c r="Z508" s="568"/>
    </row>
    <row r="509" spans="1:26" ht="18.75" hidden="1">
      <c r="A509" s="615"/>
      <c r="B509" s="571"/>
      <c r="C509" s="723"/>
      <c r="D509" s="723"/>
      <c r="E509" s="723"/>
      <c r="F509" s="723" t="s">
        <v>187</v>
      </c>
      <c r="G509" s="567"/>
      <c r="H509" s="165" t="s">
        <v>12</v>
      </c>
      <c r="I509" s="583"/>
      <c r="J509" s="583"/>
      <c r="K509" s="93"/>
      <c r="L509" s="93"/>
      <c r="M509" s="93"/>
      <c r="N509" s="93">
        <v>0</v>
      </c>
      <c r="O509" s="93"/>
      <c r="P509" s="93"/>
      <c r="Q509" s="568"/>
      <c r="R509" s="568"/>
      <c r="S509" s="568"/>
      <c r="T509" s="568"/>
      <c r="U509" s="568"/>
      <c r="V509" s="568"/>
      <c r="W509" s="568"/>
      <c r="X509" s="568"/>
      <c r="Y509" s="568"/>
      <c r="Z509" s="568"/>
    </row>
    <row r="510" spans="1:26" ht="18.75" hidden="1">
      <c r="A510" s="615"/>
      <c r="B510" s="571"/>
      <c r="C510" s="571"/>
      <c r="D510" s="571"/>
      <c r="E510" s="723"/>
      <c r="F510" s="723" t="s">
        <v>188</v>
      </c>
      <c r="G510" s="567"/>
      <c r="H510" s="165" t="s">
        <v>12</v>
      </c>
      <c r="I510" s="583"/>
      <c r="J510" s="583"/>
      <c r="K510" s="93"/>
      <c r="L510" s="93"/>
      <c r="M510" s="93"/>
      <c r="N510" s="93">
        <v>0</v>
      </c>
      <c r="O510" s="93"/>
      <c r="P510" s="93"/>
      <c r="Q510" s="568"/>
      <c r="R510" s="568"/>
      <c r="S510" s="568"/>
      <c r="T510" s="568"/>
      <c r="U510" s="568"/>
      <c r="V510" s="568"/>
      <c r="W510" s="568"/>
      <c r="X510" s="568"/>
      <c r="Y510" s="568"/>
      <c r="Z510" s="568"/>
    </row>
    <row r="511" spans="1:26" ht="18.75" hidden="1">
      <c r="A511" s="615"/>
      <c r="B511" s="571"/>
      <c r="C511" s="571"/>
      <c r="D511" s="571"/>
      <c r="E511" s="723"/>
      <c r="F511" s="723" t="s">
        <v>189</v>
      </c>
      <c r="G511" s="567"/>
      <c r="H511" s="165" t="s">
        <v>12</v>
      </c>
      <c r="I511" s="583"/>
      <c r="J511" s="583"/>
      <c r="K511" s="93"/>
      <c r="L511" s="93"/>
      <c r="M511" s="93"/>
      <c r="N511" s="93">
        <v>0</v>
      </c>
      <c r="O511" s="93"/>
      <c r="P511" s="93"/>
      <c r="Q511" s="568"/>
      <c r="R511" s="568"/>
      <c r="S511" s="568"/>
      <c r="T511" s="568"/>
      <c r="U511" s="568"/>
      <c r="V511" s="568"/>
      <c r="W511" s="568"/>
      <c r="X511" s="568"/>
      <c r="Y511" s="568"/>
      <c r="Z511" s="568"/>
    </row>
    <row r="512" spans="1:26" ht="18.75" hidden="1">
      <c r="A512" s="563"/>
      <c r="B512" s="571"/>
      <c r="C512" s="571"/>
      <c r="D512" s="614" t="s">
        <v>21</v>
      </c>
      <c r="E512" s="571"/>
      <c r="F512" s="723"/>
      <c r="G512" s="567"/>
      <c r="H512" s="169" t="s">
        <v>12</v>
      </c>
      <c r="I512" s="166"/>
      <c r="J512" s="166"/>
      <c r="K512" s="167"/>
      <c r="L512" s="93">
        <f t="shared" ref="L512:N512" si="220">L513+L514</f>
        <v>0</v>
      </c>
      <c r="M512" s="93">
        <f t="shared" si="220"/>
        <v>0</v>
      </c>
      <c r="N512" s="93">
        <f t="shared" si="220"/>
        <v>0</v>
      </c>
      <c r="O512" s="93">
        <f t="shared" ref="O512:O514" si="221">IF(L512&gt;0,N512*100/L512,0)</f>
        <v>0</v>
      </c>
      <c r="P512" s="93">
        <f t="shared" ref="P512:P514" si="222">IF(M512&gt;0,N512*100/M512,0)</f>
        <v>0</v>
      </c>
      <c r="Q512" s="568"/>
      <c r="R512" s="568"/>
      <c r="S512" s="568"/>
      <c r="T512" s="568"/>
      <c r="U512" s="568"/>
      <c r="V512" s="568"/>
      <c r="W512" s="568"/>
      <c r="X512" s="568"/>
      <c r="Y512" s="568"/>
      <c r="Z512" s="568"/>
    </row>
    <row r="513" spans="1:26" ht="18.75" hidden="1">
      <c r="A513" s="563"/>
      <c r="B513" s="571"/>
      <c r="C513" s="571"/>
      <c r="D513" s="571"/>
      <c r="E513" s="571" t="s">
        <v>18</v>
      </c>
      <c r="F513" s="723"/>
      <c r="G513" s="567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1"/>
        <v>0</v>
      </c>
      <c r="P513" s="93">
        <f t="shared" si="222"/>
        <v>0</v>
      </c>
      <c r="Q513" s="568"/>
      <c r="R513" s="568"/>
      <c r="S513" s="568"/>
      <c r="T513" s="568"/>
      <c r="U513" s="568"/>
      <c r="V513" s="568"/>
      <c r="W513" s="568"/>
      <c r="X513" s="568"/>
      <c r="Y513" s="568"/>
      <c r="Z513" s="568"/>
    </row>
    <row r="514" spans="1:26" ht="18.75" hidden="1">
      <c r="A514" s="563"/>
      <c r="B514" s="571"/>
      <c r="C514" s="571"/>
      <c r="D514" s="723"/>
      <c r="E514" s="571" t="s">
        <v>19</v>
      </c>
      <c r="F514" s="723"/>
      <c r="G514" s="567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1"/>
        <v>0</v>
      </c>
      <c r="P514" s="93">
        <f t="shared" si="222"/>
        <v>0</v>
      </c>
      <c r="Q514" s="568"/>
      <c r="R514" s="568"/>
      <c r="S514" s="568"/>
      <c r="T514" s="568"/>
      <c r="U514" s="568"/>
      <c r="V514" s="568"/>
      <c r="W514" s="568"/>
      <c r="X514" s="568"/>
      <c r="Y514" s="568"/>
      <c r="Z514" s="568"/>
    </row>
    <row r="515" spans="1:26" ht="19.5" hidden="1">
      <c r="A515" s="578"/>
      <c r="B515" s="580"/>
      <c r="C515" s="571" t="s">
        <v>16</v>
      </c>
      <c r="D515" s="852" t="s">
        <v>38</v>
      </c>
      <c r="E515" s="617"/>
      <c r="F515" s="617"/>
      <c r="G515" s="618"/>
      <c r="H515" s="581"/>
      <c r="I515" s="166"/>
      <c r="J515" s="166"/>
      <c r="K515" s="167"/>
      <c r="L515" s="167"/>
      <c r="M515" s="167"/>
      <c r="N515" s="167"/>
      <c r="O515" s="167"/>
      <c r="P515" s="167"/>
      <c r="Q515" s="568"/>
      <c r="R515" s="568"/>
      <c r="S515" s="568"/>
      <c r="T515" s="568"/>
      <c r="U515" s="568"/>
      <c r="V515" s="568"/>
      <c r="W515" s="568"/>
      <c r="X515" s="568"/>
      <c r="Y515" s="568"/>
      <c r="Z515" s="568"/>
    </row>
    <row r="516" spans="1:26" ht="18.75" hidden="1">
      <c r="A516" s="578"/>
      <c r="B516" s="580"/>
      <c r="C516" s="580"/>
      <c r="D516" s="580" t="s">
        <v>221</v>
      </c>
      <c r="E516" s="684"/>
      <c r="F516" s="684"/>
      <c r="G516" s="581"/>
      <c r="H516" s="619" t="s">
        <v>109</v>
      </c>
      <c r="I516" s="583"/>
      <c r="J516" s="583">
        <v>0</v>
      </c>
      <c r="K516" s="167">
        <f t="shared" ref="K516:K517" si="223">IF(I516&gt;0,J516*100/I516,0)</f>
        <v>0</v>
      </c>
      <c r="L516" s="167"/>
      <c r="M516" s="167"/>
      <c r="N516" s="167"/>
      <c r="O516" s="167"/>
      <c r="P516" s="167"/>
      <c r="Q516" s="568"/>
      <c r="R516" s="568"/>
      <c r="S516" s="568"/>
      <c r="T516" s="568"/>
      <c r="U516" s="568"/>
      <c r="V516" s="568"/>
      <c r="W516" s="568"/>
      <c r="X516" s="568"/>
      <c r="Y516" s="568"/>
      <c r="Z516" s="568"/>
    </row>
    <row r="517" spans="1:26" ht="19.5" hidden="1">
      <c r="A517" s="578"/>
      <c r="B517" s="580"/>
      <c r="C517" s="580"/>
      <c r="D517" s="580" t="s">
        <v>222</v>
      </c>
      <c r="E517" s="684"/>
      <c r="F517" s="684"/>
      <c r="G517" s="581"/>
      <c r="H517" s="620" t="s">
        <v>35</v>
      </c>
      <c r="I517" s="621"/>
      <c r="J517" s="621">
        <f>J518+J519</f>
        <v>0</v>
      </c>
      <c r="K517" s="622">
        <f t="shared" si="223"/>
        <v>0</v>
      </c>
      <c r="L517" s="167"/>
      <c r="M517" s="167"/>
      <c r="N517" s="167"/>
      <c r="O517" s="167"/>
      <c r="P517" s="167"/>
      <c r="Q517" s="568"/>
      <c r="R517" s="568"/>
      <c r="S517" s="568"/>
      <c r="T517" s="568"/>
      <c r="U517" s="568"/>
      <c r="V517" s="568"/>
      <c r="W517" s="568"/>
      <c r="X517" s="568"/>
      <c r="Y517" s="568"/>
      <c r="Z517" s="568"/>
    </row>
    <row r="518" spans="1:26" ht="18.75" hidden="1">
      <c r="A518" s="578"/>
      <c r="B518" s="580"/>
      <c r="C518" s="580"/>
      <c r="D518" s="580"/>
      <c r="E518" s="580" t="s">
        <v>223</v>
      </c>
      <c r="F518" s="684"/>
      <c r="G518" s="581"/>
      <c r="H518" s="582" t="s">
        <v>35</v>
      </c>
      <c r="I518" s="583"/>
      <c r="J518" s="583"/>
      <c r="K518" s="167"/>
      <c r="L518" s="167"/>
      <c r="M518" s="167"/>
      <c r="N518" s="167"/>
      <c r="O518" s="167"/>
      <c r="P518" s="167"/>
      <c r="Q518" s="568"/>
      <c r="R518" s="568"/>
      <c r="S518" s="568"/>
      <c r="T518" s="568"/>
      <c r="U518" s="568"/>
      <c r="V518" s="568"/>
      <c r="W518" s="568"/>
      <c r="X518" s="568"/>
      <c r="Y518" s="568"/>
      <c r="Z518" s="568"/>
    </row>
    <row r="519" spans="1:26" ht="18.75" hidden="1">
      <c r="A519" s="578"/>
      <c r="B519" s="580"/>
      <c r="C519" s="580"/>
      <c r="D519" s="580"/>
      <c r="E519" s="580" t="s">
        <v>224</v>
      </c>
      <c r="F519" s="684"/>
      <c r="G519" s="581"/>
      <c r="H519" s="619" t="s">
        <v>35</v>
      </c>
      <c r="I519" s="583"/>
      <c r="J519" s="583"/>
      <c r="K519" s="167"/>
      <c r="L519" s="167"/>
      <c r="M519" s="167"/>
      <c r="N519" s="167"/>
      <c r="O519" s="167"/>
      <c r="P519" s="167"/>
      <c r="Q519" s="568"/>
      <c r="R519" s="568"/>
      <c r="S519" s="568"/>
      <c r="T519" s="568"/>
      <c r="U519" s="568"/>
      <c r="V519" s="568"/>
      <c r="W519" s="568"/>
      <c r="X519" s="568"/>
      <c r="Y519" s="568"/>
      <c r="Z519" s="568"/>
    </row>
    <row r="520" spans="1:26" ht="19.5">
      <c r="A520" s="623" t="s">
        <v>137</v>
      </c>
      <c r="B520" s="624"/>
      <c r="C520" s="624"/>
      <c r="D520" s="625"/>
      <c r="E520" s="625"/>
      <c r="F520" s="625"/>
      <c r="G520" s="626"/>
      <c r="H520" s="627"/>
      <c r="I520" s="628"/>
      <c r="J520" s="628"/>
      <c r="K520" s="629"/>
      <c r="L520" s="629"/>
      <c r="M520" s="629"/>
      <c r="N520" s="629"/>
      <c r="O520" s="629"/>
      <c r="P520" s="629"/>
    </row>
    <row r="521" spans="1:26" ht="19.5" hidden="1">
      <c r="A521" s="630">
        <v>5</v>
      </c>
      <c r="B521" s="631" t="s">
        <v>225</v>
      </c>
      <c r="C521" s="632"/>
      <c r="D521" s="633"/>
      <c r="E521" s="633"/>
      <c r="F521" s="633"/>
      <c r="G521" s="633"/>
      <c r="H521" s="634"/>
      <c r="I521" s="635"/>
      <c r="J521" s="635"/>
      <c r="K521" s="636"/>
      <c r="L521" s="636"/>
      <c r="M521" s="636"/>
      <c r="N521" s="636"/>
      <c r="O521" s="636"/>
      <c r="P521" s="636"/>
      <c r="Q521" s="541"/>
      <c r="R521" s="541"/>
      <c r="S521" s="541"/>
      <c r="T521" s="541"/>
      <c r="U521" s="541"/>
      <c r="V521" s="541"/>
      <c r="W521" s="541"/>
      <c r="X521" s="541"/>
      <c r="Y521" s="541"/>
      <c r="Z521" s="541"/>
    </row>
    <row r="522" spans="1:26" ht="19.5" hidden="1">
      <c r="A522" s="637"/>
      <c r="B522" s="638" t="s">
        <v>226</v>
      </c>
      <c r="C522" s="639"/>
      <c r="D522" s="639"/>
      <c r="E522" s="639"/>
      <c r="F522" s="639"/>
      <c r="G522" s="640"/>
      <c r="H522" s="641" t="s">
        <v>35</v>
      </c>
      <c r="I522" s="672">
        <f t="shared" ref="I522:J522" ca="1" si="224">I537</f>
        <v>0</v>
      </c>
      <c r="J522" s="672">
        <f t="shared" ca="1" si="224"/>
        <v>0</v>
      </c>
      <c r="K522" s="643">
        <f ca="1">IF(I522&gt;0,J522*100/I522,0)</f>
        <v>0</v>
      </c>
      <c r="L522" s="644"/>
      <c r="M522" s="644"/>
      <c r="N522" s="644"/>
      <c r="O522" s="644"/>
      <c r="P522" s="644"/>
      <c r="Q522" s="541"/>
      <c r="R522" s="541"/>
      <c r="S522" s="541"/>
      <c r="T522" s="541"/>
      <c r="U522" s="541"/>
      <c r="V522" s="541"/>
      <c r="W522" s="541"/>
      <c r="X522" s="541"/>
      <c r="Y522" s="541"/>
      <c r="Z522" s="541"/>
    </row>
    <row r="523" spans="1:26" ht="19.5" hidden="1">
      <c r="A523" s="561"/>
      <c r="B523" s="727"/>
      <c r="C523" s="727" t="s">
        <v>16</v>
      </c>
      <c r="D523" s="811" t="s">
        <v>17</v>
      </c>
      <c r="E523" s="805"/>
      <c r="F523" s="805"/>
      <c r="G523" s="189"/>
      <c r="H523" s="562" t="s">
        <v>12</v>
      </c>
      <c r="I523" s="269"/>
      <c r="J523" s="269"/>
      <c r="K523" s="465"/>
      <c r="L523" s="195">
        <f t="shared" ref="L523:N523" ca="1" si="225">L524+L525</f>
        <v>0</v>
      </c>
      <c r="M523" s="195">
        <f t="shared" si="225"/>
        <v>0</v>
      </c>
      <c r="N523" s="195">
        <f t="shared" si="225"/>
        <v>0</v>
      </c>
      <c r="O523" s="195">
        <f t="shared" ref="O523:O528" ca="1" si="226">IF(L523&gt;0,N523*100/L523,0)</f>
        <v>0</v>
      </c>
      <c r="P523" s="195">
        <f t="shared" ref="P523:P528" si="227">IF(M523&gt;0,N523*100/M523,0)</f>
        <v>0</v>
      </c>
      <c r="Q523" s="541"/>
      <c r="R523" s="541"/>
      <c r="S523" s="541"/>
      <c r="T523" s="541"/>
      <c r="U523" s="541"/>
      <c r="V523" s="541"/>
      <c r="W523" s="541"/>
      <c r="X523" s="541"/>
      <c r="Y523" s="541"/>
      <c r="Z523" s="541"/>
    </row>
    <row r="524" spans="1:26" ht="18.75" hidden="1">
      <c r="A524" s="563"/>
      <c r="B524" s="723"/>
      <c r="C524" s="723"/>
      <c r="D524" s="684"/>
      <c r="E524" s="723" t="s">
        <v>184</v>
      </c>
      <c r="F524" s="723"/>
      <c r="G524" s="567"/>
      <c r="H524" s="165" t="s">
        <v>12</v>
      </c>
      <c r="I524" s="583"/>
      <c r="J524" s="583"/>
      <c r="K524" s="93"/>
      <c r="L524" s="93">
        <f t="shared" ref="L524:N525" si="228">L527+L534</f>
        <v>0</v>
      </c>
      <c r="M524" s="93">
        <f t="shared" si="228"/>
        <v>0</v>
      </c>
      <c r="N524" s="93">
        <f t="shared" si="228"/>
        <v>0</v>
      </c>
      <c r="O524" s="93">
        <f t="shared" si="226"/>
        <v>0</v>
      </c>
      <c r="P524" s="93">
        <f t="shared" si="227"/>
        <v>0</v>
      </c>
      <c r="Q524" s="568"/>
      <c r="R524" s="568"/>
      <c r="S524" s="568"/>
      <c r="T524" s="568"/>
      <c r="U524" s="568"/>
      <c r="V524" s="568"/>
      <c r="W524" s="568"/>
      <c r="X524" s="568"/>
      <c r="Y524" s="568"/>
      <c r="Z524" s="568"/>
    </row>
    <row r="525" spans="1:26" ht="18.75" hidden="1">
      <c r="A525" s="563"/>
      <c r="B525" s="571"/>
      <c r="C525" s="723"/>
      <c r="D525" s="684"/>
      <c r="E525" s="723" t="s">
        <v>185</v>
      </c>
      <c r="F525" s="723"/>
      <c r="G525" s="567"/>
      <c r="H525" s="165" t="s">
        <v>12</v>
      </c>
      <c r="I525" s="583"/>
      <c r="J525" s="583"/>
      <c r="K525" s="93"/>
      <c r="L525" s="93">
        <f t="shared" ca="1" si="228"/>
        <v>0</v>
      </c>
      <c r="M525" s="93">
        <f t="shared" si="228"/>
        <v>0</v>
      </c>
      <c r="N525" s="93">
        <f t="shared" si="228"/>
        <v>0</v>
      </c>
      <c r="O525" s="93">
        <f t="shared" ca="1" si="226"/>
        <v>0</v>
      </c>
      <c r="P525" s="93">
        <f t="shared" si="227"/>
        <v>0</v>
      </c>
      <c r="Q525" s="568"/>
      <c r="R525" s="568"/>
      <c r="S525" s="568"/>
      <c r="T525" s="568"/>
      <c r="U525" s="568"/>
      <c r="V525" s="568"/>
      <c r="W525" s="568"/>
      <c r="X525" s="568"/>
      <c r="Y525" s="568"/>
      <c r="Z525" s="568"/>
    </row>
    <row r="526" spans="1:26" ht="18.75" hidden="1">
      <c r="A526" s="561"/>
      <c r="B526" s="538"/>
      <c r="C526" s="727"/>
      <c r="D526" s="570" t="s">
        <v>20</v>
      </c>
      <c r="E526" s="727"/>
      <c r="F526" s="727"/>
      <c r="G526" s="189"/>
      <c r="H526" s="161" t="s">
        <v>12</v>
      </c>
      <c r="I526" s="184"/>
      <c r="J526" s="184"/>
      <c r="K526" s="163"/>
      <c r="L526" s="465">
        <f t="shared" ref="L526:N526" ca="1" si="229">L527+L528</f>
        <v>0</v>
      </c>
      <c r="M526" s="465">
        <f t="shared" si="229"/>
        <v>0</v>
      </c>
      <c r="N526" s="465">
        <f t="shared" si="229"/>
        <v>0</v>
      </c>
      <c r="O526" s="465">
        <f t="shared" ca="1" si="226"/>
        <v>0</v>
      </c>
      <c r="P526" s="465">
        <f t="shared" si="227"/>
        <v>0</v>
      </c>
      <c r="Q526" s="541"/>
      <c r="R526" s="541"/>
      <c r="S526" s="541"/>
      <c r="T526" s="541"/>
      <c r="U526" s="541"/>
      <c r="V526" s="541"/>
      <c r="W526" s="541"/>
      <c r="X526" s="541"/>
      <c r="Y526" s="541"/>
      <c r="Z526" s="541"/>
    </row>
    <row r="527" spans="1:26" ht="18.75" hidden="1">
      <c r="A527" s="563"/>
      <c r="B527" s="571"/>
      <c r="C527" s="723"/>
      <c r="D527" s="684"/>
      <c r="E527" s="723" t="s">
        <v>184</v>
      </c>
      <c r="F527" s="723"/>
      <c r="G527" s="567"/>
      <c r="H527" s="165" t="s">
        <v>12</v>
      </c>
      <c r="I527" s="583"/>
      <c r="J527" s="583"/>
      <c r="K527" s="93"/>
      <c r="L527" s="93">
        <v>0</v>
      </c>
      <c r="M527" s="93">
        <v>0</v>
      </c>
      <c r="N527" s="93">
        <v>0</v>
      </c>
      <c r="O527" s="93">
        <f t="shared" si="226"/>
        <v>0</v>
      </c>
      <c r="P527" s="93">
        <f t="shared" si="227"/>
        <v>0</v>
      </c>
      <c r="Q527" s="568"/>
      <c r="R527" s="568"/>
      <c r="S527" s="568"/>
      <c r="T527" s="568"/>
      <c r="U527" s="568"/>
      <c r="V527" s="568"/>
      <c r="W527" s="568"/>
      <c r="X527" s="568"/>
      <c r="Y527" s="568"/>
      <c r="Z527" s="568"/>
    </row>
    <row r="528" spans="1:26" ht="18.75" hidden="1">
      <c r="A528" s="563"/>
      <c r="B528" s="571"/>
      <c r="C528" s="723"/>
      <c r="D528" s="684"/>
      <c r="E528" s="723" t="s">
        <v>185</v>
      </c>
      <c r="F528" s="723"/>
      <c r="G528" s="567"/>
      <c r="H528" s="165" t="s">
        <v>12</v>
      </c>
      <c r="I528" s="583"/>
      <c r="J528" s="583"/>
      <c r="K528" s="93"/>
      <c r="L528" s="93">
        <f ca="1">IFERROR(__xludf.DUMMYFUNCTION("IMPORTRANGE(""https://docs.google.com/spreadsheets/d/1QqKyyYR6Q21VydFLVH3TRQUabQu_ym0Zz7PgGX0-kHA/edit?usp=sharing"",""แผน!GQ27"")"),0)</f>
        <v>0</v>
      </c>
      <c r="M528" s="93">
        <v>0</v>
      </c>
      <c r="N528" s="93">
        <f>N529+N530+N531+N532</f>
        <v>0</v>
      </c>
      <c r="O528" s="93">
        <f t="shared" ca="1" si="226"/>
        <v>0</v>
      </c>
      <c r="P528" s="93">
        <f t="shared" si="227"/>
        <v>0</v>
      </c>
      <c r="Q528" s="568"/>
      <c r="R528" s="568"/>
      <c r="S528" s="568"/>
      <c r="T528" s="568"/>
      <c r="U528" s="568"/>
      <c r="V528" s="568"/>
      <c r="W528" s="568"/>
      <c r="X528" s="568"/>
      <c r="Y528" s="568"/>
      <c r="Z528" s="568"/>
    </row>
    <row r="529" spans="1:26" ht="18.75" hidden="1">
      <c r="A529" s="537"/>
      <c r="B529" s="538"/>
      <c r="C529" s="727"/>
      <c r="D529" s="727"/>
      <c r="E529" s="727"/>
      <c r="F529" s="727" t="s">
        <v>186</v>
      </c>
      <c r="G529" s="189"/>
      <c r="H529" s="161" t="s">
        <v>12</v>
      </c>
      <c r="I529" s="269"/>
      <c r="J529" s="269"/>
      <c r="K529" s="465"/>
      <c r="L529" s="465"/>
      <c r="M529" s="465"/>
      <c r="N529" s="789">
        <v>0</v>
      </c>
      <c r="O529" s="465"/>
      <c r="P529" s="465"/>
      <c r="Q529" s="541"/>
      <c r="R529" s="541"/>
      <c r="S529" s="541"/>
      <c r="T529" s="541"/>
      <c r="U529" s="541"/>
      <c r="V529" s="541"/>
      <c r="W529" s="541"/>
      <c r="X529" s="541"/>
      <c r="Y529" s="541"/>
      <c r="Z529" s="541"/>
    </row>
    <row r="530" spans="1:26" ht="18.75" hidden="1">
      <c r="A530" s="537"/>
      <c r="B530" s="538"/>
      <c r="C530" s="727"/>
      <c r="D530" s="727"/>
      <c r="E530" s="727"/>
      <c r="F530" s="727" t="s">
        <v>187</v>
      </c>
      <c r="G530" s="189"/>
      <c r="H530" s="161" t="s">
        <v>12</v>
      </c>
      <c r="I530" s="269"/>
      <c r="J530" s="269"/>
      <c r="K530" s="465"/>
      <c r="L530" s="465"/>
      <c r="M530" s="465"/>
      <c r="N530" s="789">
        <v>0</v>
      </c>
      <c r="O530" s="465"/>
      <c r="P530" s="465"/>
      <c r="Q530" s="541"/>
      <c r="R530" s="541"/>
      <c r="S530" s="541"/>
      <c r="T530" s="541"/>
      <c r="U530" s="541"/>
      <c r="V530" s="541"/>
      <c r="W530" s="541"/>
      <c r="X530" s="541"/>
      <c r="Y530" s="541"/>
      <c r="Z530" s="541"/>
    </row>
    <row r="531" spans="1:26" ht="18.75" hidden="1">
      <c r="A531" s="537"/>
      <c r="B531" s="538"/>
      <c r="C531" s="727"/>
      <c r="D531" s="727"/>
      <c r="E531" s="727"/>
      <c r="F531" s="727" t="s">
        <v>188</v>
      </c>
      <c r="G531" s="189"/>
      <c r="H531" s="161" t="s">
        <v>12</v>
      </c>
      <c r="I531" s="269"/>
      <c r="J531" s="269"/>
      <c r="K531" s="465"/>
      <c r="L531" s="465"/>
      <c r="M531" s="465"/>
      <c r="N531" s="789">
        <v>0</v>
      </c>
      <c r="O531" s="465"/>
      <c r="P531" s="465"/>
      <c r="Q531" s="541"/>
      <c r="R531" s="541"/>
      <c r="S531" s="541"/>
      <c r="T531" s="541"/>
      <c r="U531" s="541"/>
      <c r="V531" s="541"/>
      <c r="W531" s="541"/>
      <c r="X531" s="541"/>
      <c r="Y531" s="541"/>
      <c r="Z531" s="541"/>
    </row>
    <row r="532" spans="1:26" ht="18.75" hidden="1">
      <c r="A532" s="537"/>
      <c r="B532" s="538"/>
      <c r="C532" s="727"/>
      <c r="D532" s="727"/>
      <c r="E532" s="727"/>
      <c r="F532" s="727" t="s">
        <v>189</v>
      </c>
      <c r="G532" s="189"/>
      <c r="H532" s="161" t="s">
        <v>12</v>
      </c>
      <c r="I532" s="269"/>
      <c r="J532" s="269"/>
      <c r="K532" s="465"/>
      <c r="L532" s="465"/>
      <c r="M532" s="465"/>
      <c r="N532" s="789">
        <v>0</v>
      </c>
      <c r="O532" s="465"/>
      <c r="P532" s="465"/>
      <c r="Q532" s="541"/>
      <c r="R532" s="541"/>
      <c r="S532" s="541"/>
      <c r="T532" s="541"/>
      <c r="U532" s="541"/>
      <c r="V532" s="541"/>
      <c r="W532" s="541"/>
      <c r="X532" s="541"/>
      <c r="Y532" s="541"/>
      <c r="Z532" s="541"/>
    </row>
    <row r="533" spans="1:26" ht="18.75" hidden="1">
      <c r="A533" s="561"/>
      <c r="B533" s="538"/>
      <c r="C533" s="727"/>
      <c r="D533" s="570" t="s">
        <v>21</v>
      </c>
      <c r="E533" s="727"/>
      <c r="F533" s="727"/>
      <c r="G533" s="189"/>
      <c r="H533" s="168" t="s">
        <v>12</v>
      </c>
      <c r="I533" s="184"/>
      <c r="J533" s="184"/>
      <c r="K533" s="163"/>
      <c r="L533" s="465">
        <f t="shared" ref="L533:N533" ca="1" si="230">L534+L535</f>
        <v>0</v>
      </c>
      <c r="M533" s="465">
        <f t="shared" si="230"/>
        <v>0</v>
      </c>
      <c r="N533" s="465">
        <f t="shared" si="230"/>
        <v>0</v>
      </c>
      <c r="O533" s="465">
        <f t="shared" ref="O533:O535" ca="1" si="231">IF(L533&gt;0,N533*100/L533,0)</f>
        <v>0</v>
      </c>
      <c r="P533" s="465">
        <f t="shared" ref="P533:P535" si="232">IF(M533&gt;0,N533*100/M533,0)</f>
        <v>0</v>
      </c>
      <c r="Q533" s="541"/>
      <c r="R533" s="541"/>
      <c r="S533" s="541"/>
      <c r="T533" s="541"/>
      <c r="U533" s="541"/>
      <c r="V533" s="541"/>
      <c r="W533" s="541"/>
      <c r="X533" s="541"/>
      <c r="Y533" s="541"/>
      <c r="Z533" s="541"/>
    </row>
    <row r="534" spans="1:26" ht="18.75" hidden="1">
      <c r="A534" s="563"/>
      <c r="B534" s="571"/>
      <c r="C534" s="723"/>
      <c r="D534" s="723"/>
      <c r="E534" s="723" t="s">
        <v>18</v>
      </c>
      <c r="F534" s="723"/>
      <c r="G534" s="567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1"/>
        <v>0</v>
      </c>
      <c r="P534" s="93">
        <f t="shared" si="232"/>
        <v>0</v>
      </c>
      <c r="Q534" s="568"/>
      <c r="R534" s="568"/>
      <c r="S534" s="568"/>
      <c r="T534" s="568"/>
      <c r="U534" s="568"/>
      <c r="V534" s="568"/>
      <c r="W534" s="568"/>
      <c r="X534" s="568"/>
      <c r="Y534" s="568"/>
      <c r="Z534" s="568"/>
    </row>
    <row r="535" spans="1:26" ht="18.75" hidden="1">
      <c r="A535" s="563"/>
      <c r="B535" s="571"/>
      <c r="C535" s="723"/>
      <c r="D535" s="723"/>
      <c r="E535" s="723" t="s">
        <v>19</v>
      </c>
      <c r="F535" s="723"/>
      <c r="G535" s="567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IFERROR(__xludf.DUMMYFUNCTION("IMPORTRANGE(""https://docs.google.com/spreadsheets/d/1QqKyyYR6Q21VydFLVH3TRQUabQu_ym0Zz7PgGX0-kHA/edit?usp=sharing"",""แผน!GT27"")"),0)</f>
        <v>0</v>
      </c>
      <c r="M535" s="93">
        <v>0</v>
      </c>
      <c r="N535" s="93">
        <v>0</v>
      </c>
      <c r="O535" s="93">
        <f t="shared" ca="1" si="231"/>
        <v>0</v>
      </c>
      <c r="P535" s="93">
        <f t="shared" si="232"/>
        <v>0</v>
      </c>
      <c r="Q535" s="568"/>
      <c r="R535" s="568"/>
      <c r="S535" s="568"/>
      <c r="T535" s="568"/>
      <c r="U535" s="568"/>
      <c r="V535" s="568"/>
      <c r="W535" s="568"/>
      <c r="X535" s="568"/>
      <c r="Y535" s="568"/>
      <c r="Z535" s="568"/>
    </row>
    <row r="536" spans="1:26" ht="19.5" hidden="1">
      <c r="A536" s="572"/>
      <c r="B536" s="584"/>
      <c r="C536" s="727" t="s">
        <v>16</v>
      </c>
      <c r="D536" s="853" t="s">
        <v>38</v>
      </c>
      <c r="E536" s="725"/>
      <c r="F536" s="725"/>
      <c r="G536" s="577"/>
      <c r="H536" s="726"/>
      <c r="I536" s="184"/>
      <c r="J536" s="184"/>
      <c r="K536" s="163"/>
      <c r="L536" s="163"/>
      <c r="M536" s="163"/>
      <c r="N536" s="163"/>
      <c r="O536" s="163"/>
      <c r="P536" s="163"/>
      <c r="Q536" s="541"/>
      <c r="R536" s="541"/>
      <c r="S536" s="541"/>
      <c r="T536" s="541"/>
      <c r="U536" s="541"/>
      <c r="V536" s="541"/>
      <c r="W536" s="541"/>
      <c r="X536" s="541"/>
      <c r="Y536" s="541"/>
      <c r="Z536" s="541"/>
    </row>
    <row r="537" spans="1:26" ht="19.5" hidden="1">
      <c r="A537" s="537"/>
      <c r="B537" s="538"/>
      <c r="C537" s="727"/>
      <c r="D537" s="727" t="s">
        <v>227</v>
      </c>
      <c r="E537" s="727"/>
      <c r="F537" s="727"/>
      <c r="G537" s="189"/>
      <c r="H537" s="589" t="s">
        <v>35</v>
      </c>
      <c r="I537" s="647">
        <f ca="1">IFERROR(__xludf.DUMMYFUNCTION("IMPORTRANGE(""https://docs.google.com/spreadsheets/d/1QqKyyYR6Q21VydFLVH3TRQUabQu_ym0Zz7PgGX0-kHA/edit?usp=sharing"",""แผน!GU27"")"),0)</f>
        <v>0</v>
      </c>
      <c r="J537" s="647">
        <f ca="1">IF(AND(J538=I538,J539=I539,J540=I540,J541=I541),I537,0)</f>
        <v>0</v>
      </c>
      <c r="K537" s="465">
        <f t="shared" ref="K537:K543" ca="1" si="233">IF(I537&gt;0,J537*100/I537,0)</f>
        <v>0</v>
      </c>
      <c r="L537" s="465"/>
      <c r="M537" s="465"/>
      <c r="N537" s="465"/>
      <c r="O537" s="465"/>
      <c r="P537" s="465"/>
      <c r="Q537" s="648"/>
      <c r="R537" s="648"/>
      <c r="S537" s="648"/>
      <c r="T537" s="648"/>
      <c r="U537" s="648"/>
      <c r="V537" s="648"/>
      <c r="W537" s="648"/>
      <c r="X537" s="648"/>
      <c r="Y537" s="648"/>
      <c r="Z537" s="648"/>
    </row>
    <row r="538" spans="1:26" ht="18.75" hidden="1">
      <c r="A538" s="537"/>
      <c r="B538" s="538"/>
      <c r="C538" s="727"/>
      <c r="D538" s="727"/>
      <c r="E538" s="727" t="s">
        <v>228</v>
      </c>
      <c r="F538" s="727"/>
      <c r="G538" s="189"/>
      <c r="H538" s="589" t="s">
        <v>35</v>
      </c>
      <c r="I538" s="269">
        <f ca="1">IFERROR(__xludf.DUMMYFUNCTION("IMPORTRANGE(""https://docs.google.com/spreadsheets/d/1QqKyyYR6Q21VydFLVH3TRQUabQu_ym0Zz7PgGX0-kHA/edit?usp=sharing"",""แผน!GV27"")"),0)</f>
        <v>0</v>
      </c>
      <c r="J538" s="214">
        <v>0</v>
      </c>
      <c r="K538" s="465">
        <f t="shared" ca="1" si="233"/>
        <v>0</v>
      </c>
      <c r="L538" s="465"/>
      <c r="M538" s="465"/>
      <c r="N538" s="465"/>
      <c r="O538" s="465"/>
      <c r="P538" s="465"/>
      <c r="Q538" s="648"/>
      <c r="R538" s="648"/>
      <c r="S538" s="648"/>
      <c r="T538" s="648"/>
      <c r="U538" s="648"/>
      <c r="V538" s="648"/>
      <c r="W538" s="648"/>
      <c r="X538" s="648"/>
      <c r="Y538" s="648"/>
      <c r="Z538" s="648"/>
    </row>
    <row r="539" spans="1:26" ht="18.75" hidden="1">
      <c r="A539" s="537"/>
      <c r="B539" s="538"/>
      <c r="C539" s="727"/>
      <c r="D539" s="727"/>
      <c r="E539" s="727" t="s">
        <v>229</v>
      </c>
      <c r="F539" s="727"/>
      <c r="G539" s="189"/>
      <c r="H539" s="589" t="s">
        <v>35</v>
      </c>
      <c r="I539" s="269">
        <f ca="1">IFERROR(__xludf.DUMMYFUNCTION("IMPORTRANGE(""https://docs.google.com/spreadsheets/d/1QqKyyYR6Q21VydFLVH3TRQUabQu_ym0Zz7PgGX0-kHA/edit?usp=sharing"",""แผน!GW27"")"),0)</f>
        <v>0</v>
      </c>
      <c r="J539" s="214">
        <v>0</v>
      </c>
      <c r="K539" s="465">
        <f t="shared" ca="1" si="233"/>
        <v>0</v>
      </c>
      <c r="L539" s="465"/>
      <c r="M539" s="465"/>
      <c r="N539" s="465"/>
      <c r="O539" s="465"/>
      <c r="P539" s="465"/>
      <c r="Q539" s="648"/>
      <c r="R539" s="648"/>
      <c r="S539" s="648"/>
      <c r="T539" s="648"/>
      <c r="U539" s="648"/>
      <c r="V539" s="648"/>
      <c r="W539" s="648"/>
      <c r="X539" s="648"/>
      <c r="Y539" s="648"/>
      <c r="Z539" s="648"/>
    </row>
    <row r="540" spans="1:26" ht="18.75" hidden="1">
      <c r="A540" s="537"/>
      <c r="B540" s="538"/>
      <c r="C540" s="727"/>
      <c r="D540" s="727"/>
      <c r="E540" s="727" t="s">
        <v>230</v>
      </c>
      <c r="F540" s="727"/>
      <c r="G540" s="189"/>
      <c r="H540" s="589" t="s">
        <v>35</v>
      </c>
      <c r="I540" s="269">
        <f ca="1">IFERROR(__xludf.DUMMYFUNCTION("IMPORTRANGE(""https://docs.google.com/spreadsheets/d/1QqKyyYR6Q21VydFLVH3TRQUabQu_ym0Zz7PgGX0-kHA/edit?usp=sharing"",""แผน!GX27"")"),0)</f>
        <v>0</v>
      </c>
      <c r="J540" s="214">
        <v>0</v>
      </c>
      <c r="K540" s="465">
        <f t="shared" ca="1" si="233"/>
        <v>0</v>
      </c>
      <c r="L540" s="465"/>
      <c r="M540" s="465"/>
      <c r="N540" s="465"/>
      <c r="O540" s="465"/>
      <c r="P540" s="465"/>
      <c r="Q540" s="648"/>
      <c r="R540" s="648"/>
      <c r="S540" s="648"/>
      <c r="T540" s="648"/>
      <c r="U540" s="648"/>
      <c r="V540" s="648"/>
      <c r="W540" s="648"/>
      <c r="X540" s="648"/>
      <c r="Y540" s="648"/>
      <c r="Z540" s="648"/>
    </row>
    <row r="541" spans="1:26" ht="18.75" hidden="1">
      <c r="A541" s="537"/>
      <c r="B541" s="538"/>
      <c r="C541" s="727"/>
      <c r="D541" s="727"/>
      <c r="E541" s="733" t="s">
        <v>231</v>
      </c>
      <c r="F541" s="727"/>
      <c r="G541" s="189"/>
      <c r="H541" s="589" t="s">
        <v>35</v>
      </c>
      <c r="I541" s="269">
        <f ca="1">IFERROR(__xludf.DUMMYFUNCTION("IMPORTRANGE(""https://docs.google.com/spreadsheets/d/1QqKyyYR6Q21VydFLVH3TRQUabQu_ym0Zz7PgGX0-kHA/edit?usp=sharing"",""แผน!GY27"")"),0)</f>
        <v>0</v>
      </c>
      <c r="J541" s="214">
        <v>0</v>
      </c>
      <c r="K541" s="465">
        <f t="shared" ca="1" si="233"/>
        <v>0</v>
      </c>
      <c r="L541" s="465"/>
      <c r="M541" s="465"/>
      <c r="N541" s="465"/>
      <c r="O541" s="465"/>
      <c r="P541" s="465"/>
      <c r="Q541" s="648"/>
      <c r="R541" s="648"/>
      <c r="S541" s="648"/>
      <c r="T541" s="648"/>
      <c r="U541" s="648"/>
      <c r="V541" s="648"/>
      <c r="W541" s="648"/>
      <c r="X541" s="648"/>
      <c r="Y541" s="648"/>
      <c r="Z541" s="648"/>
    </row>
    <row r="542" spans="1:26" ht="18.75" hidden="1">
      <c r="A542" s="537"/>
      <c r="B542" s="538"/>
      <c r="C542" s="727"/>
      <c r="D542" s="727" t="s">
        <v>59</v>
      </c>
      <c r="E542" s="727"/>
      <c r="F542" s="727"/>
      <c r="G542" s="189"/>
      <c r="H542" s="589" t="s">
        <v>35</v>
      </c>
      <c r="I542" s="269">
        <f ca="1">IFERROR(__xludf.DUMMYFUNCTION("IMPORTRANGE(""https://docs.google.com/spreadsheets/d/1QqKyyYR6Q21VydFLVH3TRQUabQu_ym0Zz7PgGX0-kHA/edit?usp=sharing"",""แผน!GZ27"")"),0)</f>
        <v>0</v>
      </c>
      <c r="J542" s="214">
        <v>0</v>
      </c>
      <c r="K542" s="465">
        <f t="shared" ca="1" si="233"/>
        <v>0</v>
      </c>
      <c r="L542" s="465"/>
      <c r="M542" s="465"/>
      <c r="N542" s="465"/>
      <c r="O542" s="465"/>
      <c r="P542" s="465"/>
      <c r="Q542" s="648"/>
      <c r="R542" s="648"/>
      <c r="S542" s="648"/>
      <c r="T542" s="648"/>
      <c r="U542" s="648"/>
      <c r="V542" s="648"/>
      <c r="W542" s="648"/>
      <c r="X542" s="648"/>
      <c r="Y542" s="648"/>
      <c r="Z542" s="648"/>
    </row>
    <row r="543" spans="1:26" ht="19.5">
      <c r="A543" s="630">
        <v>6</v>
      </c>
      <c r="B543" s="651" t="s">
        <v>232</v>
      </c>
      <c r="C543" s="633"/>
      <c r="D543" s="633"/>
      <c r="E543" s="633"/>
      <c r="F543" s="633"/>
      <c r="G543" s="634"/>
      <c r="H543" s="652" t="s">
        <v>46</v>
      </c>
      <c r="I543" s="653">
        <f t="shared" ref="I543:J543" ca="1" si="234">I559</f>
        <v>25487</v>
      </c>
      <c r="J543" s="653">
        <f t="shared" si="234"/>
        <v>0</v>
      </c>
      <c r="K543" s="654">
        <f t="shared" ca="1" si="233"/>
        <v>0</v>
      </c>
      <c r="L543" s="636"/>
      <c r="M543" s="636"/>
      <c r="N543" s="636"/>
      <c r="O543" s="636"/>
      <c r="P543" s="636"/>
      <c r="Q543" s="541"/>
      <c r="R543" s="541"/>
      <c r="S543" s="541"/>
      <c r="T543" s="541"/>
      <c r="U543" s="541"/>
      <c r="V543" s="541"/>
      <c r="W543" s="541"/>
      <c r="X543" s="541"/>
      <c r="Y543" s="541"/>
      <c r="Z543" s="541"/>
    </row>
    <row r="544" spans="1:26" ht="19.5">
      <c r="A544" s="655"/>
      <c r="B544" s="656"/>
      <c r="C544" s="656" t="s">
        <v>16</v>
      </c>
      <c r="D544" s="854" t="s">
        <v>17</v>
      </c>
      <c r="E544" s="810"/>
      <c r="F544" s="810"/>
      <c r="G544" s="657"/>
      <c r="H544" s="274" t="s">
        <v>12</v>
      </c>
      <c r="I544" s="388"/>
      <c r="J544" s="388"/>
      <c r="K544" s="154"/>
      <c r="L544" s="155">
        <f t="shared" ref="L544:N544" ca="1" si="235">L545+L546</f>
        <v>421616</v>
      </c>
      <c r="M544" s="155">
        <f t="shared" si="235"/>
        <v>0</v>
      </c>
      <c r="N544" s="155">
        <f t="shared" si="235"/>
        <v>0</v>
      </c>
      <c r="O544" s="155">
        <f t="shared" ref="O544:O549" ca="1" si="236">IF(L544&gt;0,N544*100/L544,0)</f>
        <v>0</v>
      </c>
      <c r="P544" s="155">
        <f t="shared" ref="P544:P549" si="237">IF(M544&gt;0,N544*100/M544,0)</f>
        <v>0</v>
      </c>
      <c r="Q544" s="541"/>
      <c r="R544" s="541"/>
      <c r="S544" s="541"/>
      <c r="T544" s="541"/>
      <c r="U544" s="541"/>
      <c r="V544" s="541"/>
      <c r="W544" s="541"/>
      <c r="X544" s="541"/>
      <c r="Y544" s="541"/>
      <c r="Z544" s="541"/>
    </row>
    <row r="545" spans="1:26" ht="18.75" hidden="1">
      <c r="A545" s="563"/>
      <c r="B545" s="723"/>
      <c r="C545" s="723"/>
      <c r="D545" s="723"/>
      <c r="E545" s="723" t="s">
        <v>184</v>
      </c>
      <c r="F545" s="723"/>
      <c r="G545" s="567"/>
      <c r="H545" s="165" t="s">
        <v>12</v>
      </c>
      <c r="I545" s="583"/>
      <c r="J545" s="583"/>
      <c r="K545" s="93"/>
      <c r="L545" s="93">
        <f t="shared" ref="L545:L546" si="238">L548+L556</f>
        <v>0</v>
      </c>
      <c r="M545" s="93">
        <f t="shared" ref="M545:N546" si="239">M548+M555</f>
        <v>0</v>
      </c>
      <c r="N545" s="93">
        <f t="shared" si="239"/>
        <v>0</v>
      </c>
      <c r="O545" s="93">
        <f t="shared" si="236"/>
        <v>0</v>
      </c>
      <c r="P545" s="93">
        <f t="shared" si="237"/>
        <v>0</v>
      </c>
      <c r="Q545" s="568"/>
      <c r="R545" s="568"/>
      <c r="S545" s="568"/>
      <c r="T545" s="568"/>
      <c r="U545" s="568"/>
      <c r="V545" s="568"/>
      <c r="W545" s="568"/>
      <c r="X545" s="568"/>
      <c r="Y545" s="568"/>
      <c r="Z545" s="568"/>
    </row>
    <row r="546" spans="1:26" ht="18.75" hidden="1">
      <c r="A546" s="563"/>
      <c r="B546" s="571"/>
      <c r="C546" s="723"/>
      <c r="D546" s="723"/>
      <c r="E546" s="723" t="s">
        <v>185</v>
      </c>
      <c r="F546" s="723"/>
      <c r="G546" s="567"/>
      <c r="H546" s="165" t="s">
        <v>12</v>
      </c>
      <c r="I546" s="583"/>
      <c r="J546" s="583"/>
      <c r="K546" s="93"/>
      <c r="L546" s="93">
        <f t="shared" ca="1" si="238"/>
        <v>421616</v>
      </c>
      <c r="M546" s="93">
        <f t="shared" si="239"/>
        <v>0</v>
      </c>
      <c r="N546" s="93">
        <f t="shared" si="239"/>
        <v>0</v>
      </c>
      <c r="O546" s="93">
        <f t="shared" ca="1" si="236"/>
        <v>0</v>
      </c>
      <c r="P546" s="93">
        <f t="shared" si="237"/>
        <v>0</v>
      </c>
      <c r="Q546" s="568"/>
      <c r="R546" s="568"/>
      <c r="S546" s="568"/>
      <c r="T546" s="568"/>
      <c r="U546" s="568"/>
      <c r="V546" s="568"/>
      <c r="W546" s="568"/>
      <c r="X546" s="568"/>
      <c r="Y546" s="568"/>
      <c r="Z546" s="568"/>
    </row>
    <row r="547" spans="1:26" ht="18.75">
      <c r="A547" s="561"/>
      <c r="B547" s="538"/>
      <c r="C547" s="727"/>
      <c r="D547" s="570" t="s">
        <v>20</v>
      </c>
      <c r="E547" s="727"/>
      <c r="F547" s="727"/>
      <c r="G547" s="189"/>
      <c r="H547" s="161" t="s">
        <v>12</v>
      </c>
      <c r="I547" s="184"/>
      <c r="J547" s="184"/>
      <c r="K547" s="163"/>
      <c r="L547" s="465">
        <f t="shared" ref="L547:N547" ca="1" si="240">L548+L549</f>
        <v>421616</v>
      </c>
      <c r="M547" s="465">
        <f t="shared" si="240"/>
        <v>0</v>
      </c>
      <c r="N547" s="465">
        <f t="shared" si="240"/>
        <v>0</v>
      </c>
      <c r="O547" s="465">
        <f t="shared" ca="1" si="236"/>
        <v>0</v>
      </c>
      <c r="P547" s="465">
        <f t="shared" si="237"/>
        <v>0</v>
      </c>
      <c r="Q547" s="541"/>
      <c r="R547" s="541"/>
      <c r="S547" s="541"/>
      <c r="T547" s="541"/>
      <c r="U547" s="541"/>
      <c r="V547" s="541"/>
      <c r="W547" s="541"/>
      <c r="X547" s="541"/>
      <c r="Y547" s="541"/>
      <c r="Z547" s="541"/>
    </row>
    <row r="548" spans="1:26" ht="18.75" hidden="1">
      <c r="A548" s="563"/>
      <c r="B548" s="571"/>
      <c r="C548" s="723"/>
      <c r="D548" s="684"/>
      <c r="E548" s="723" t="s">
        <v>184</v>
      </c>
      <c r="F548" s="723"/>
      <c r="G548" s="567"/>
      <c r="H548" s="165" t="s">
        <v>12</v>
      </c>
      <c r="I548" s="583"/>
      <c r="J548" s="583"/>
      <c r="K548" s="93"/>
      <c r="L548" s="93">
        <v>0</v>
      </c>
      <c r="M548" s="93">
        <v>0</v>
      </c>
      <c r="N548" s="93">
        <v>0</v>
      </c>
      <c r="O548" s="93">
        <f t="shared" si="236"/>
        <v>0</v>
      </c>
      <c r="P548" s="93">
        <f t="shared" si="237"/>
        <v>0</v>
      </c>
      <c r="Q548" s="568"/>
      <c r="R548" s="568"/>
      <c r="S548" s="568"/>
      <c r="T548" s="568"/>
      <c r="U548" s="568"/>
      <c r="V548" s="568"/>
      <c r="W548" s="568"/>
      <c r="X548" s="568"/>
      <c r="Y548" s="568"/>
      <c r="Z548" s="568"/>
    </row>
    <row r="549" spans="1:26" ht="18.75" hidden="1">
      <c r="A549" s="563"/>
      <c r="B549" s="571"/>
      <c r="C549" s="723"/>
      <c r="D549" s="684"/>
      <c r="E549" s="723" t="s">
        <v>185</v>
      </c>
      <c r="F549" s="723"/>
      <c r="G549" s="567"/>
      <c r="H549" s="165" t="s">
        <v>12</v>
      </c>
      <c r="I549" s="583"/>
      <c r="J549" s="583"/>
      <c r="K549" s="93"/>
      <c r="L549" s="93">
        <f ca="1">IFERROR(__xludf.DUMMYFUNCTION("IMPORTRANGE(""https://docs.google.com/spreadsheets/d/1QqKyyYR6Q21VydFLVH3TRQUabQu_ym0Zz7PgGX0-kHA/edit?usp=sharing"",""แผน!HB27"")"),421616)</f>
        <v>421616</v>
      </c>
      <c r="M549" s="93">
        <v>0</v>
      </c>
      <c r="N549" s="93">
        <f>N550+N551+N552+N553+N554</f>
        <v>0</v>
      </c>
      <c r="O549" s="93">
        <f t="shared" ca="1" si="236"/>
        <v>0</v>
      </c>
      <c r="P549" s="93">
        <f t="shared" si="237"/>
        <v>0</v>
      </c>
      <c r="Q549" s="568"/>
      <c r="R549" s="568"/>
      <c r="S549" s="568"/>
      <c r="T549" s="568"/>
      <c r="U549" s="568"/>
      <c r="V549" s="568"/>
      <c r="W549" s="568"/>
      <c r="X549" s="568"/>
      <c r="Y549" s="568"/>
      <c r="Z549" s="568"/>
    </row>
    <row r="550" spans="1:26" ht="18.75">
      <c r="A550" s="537"/>
      <c r="B550" s="538"/>
      <c r="C550" s="727"/>
      <c r="D550" s="727"/>
      <c r="E550" s="727"/>
      <c r="F550" s="727" t="s">
        <v>186</v>
      </c>
      <c r="G550" s="189"/>
      <c r="H550" s="161" t="s">
        <v>12</v>
      </c>
      <c r="I550" s="269"/>
      <c r="J550" s="269"/>
      <c r="K550" s="465"/>
      <c r="L550" s="465"/>
      <c r="M550" s="465"/>
      <c r="N550" s="789">
        <v>0</v>
      </c>
      <c r="O550" s="465"/>
      <c r="P550" s="465"/>
      <c r="Q550" s="541"/>
      <c r="R550" s="541"/>
      <c r="S550" s="541"/>
      <c r="T550" s="541"/>
      <c r="U550" s="541"/>
      <c r="V550" s="541"/>
      <c r="W550" s="541"/>
      <c r="X550" s="541"/>
      <c r="Y550" s="541"/>
      <c r="Z550" s="541"/>
    </row>
    <row r="551" spans="1:26" ht="18.75">
      <c r="A551" s="537"/>
      <c r="B551" s="538"/>
      <c r="C551" s="538"/>
      <c r="D551" s="538"/>
      <c r="E551" s="727"/>
      <c r="F551" s="727" t="s">
        <v>187</v>
      </c>
      <c r="G551" s="189"/>
      <c r="H551" s="161" t="s">
        <v>12</v>
      </c>
      <c r="I551" s="269"/>
      <c r="J551" s="269"/>
      <c r="K551" s="465"/>
      <c r="L551" s="465"/>
      <c r="M551" s="465"/>
      <c r="N551" s="789">
        <v>0</v>
      </c>
      <c r="O551" s="465"/>
      <c r="P551" s="465"/>
      <c r="Q551" s="541"/>
      <c r="R551" s="541"/>
      <c r="S551" s="541"/>
      <c r="T551" s="541"/>
      <c r="U551" s="541"/>
      <c r="V551" s="541"/>
      <c r="W551" s="541"/>
      <c r="X551" s="541"/>
      <c r="Y551" s="541"/>
      <c r="Z551" s="541"/>
    </row>
    <row r="552" spans="1:26" ht="18.75">
      <c r="A552" s="537"/>
      <c r="B552" s="538"/>
      <c r="C552" s="727"/>
      <c r="D552" s="727"/>
      <c r="E552" s="727"/>
      <c r="F552" s="727" t="s">
        <v>188</v>
      </c>
      <c r="G552" s="189"/>
      <c r="H552" s="161" t="s">
        <v>12</v>
      </c>
      <c r="I552" s="269"/>
      <c r="J552" s="269"/>
      <c r="K552" s="465"/>
      <c r="L552" s="465"/>
      <c r="M552" s="465"/>
      <c r="N552" s="789">
        <v>0</v>
      </c>
      <c r="O552" s="465"/>
      <c r="P552" s="465"/>
      <c r="Q552" s="541"/>
      <c r="R552" s="541"/>
      <c r="S552" s="541"/>
      <c r="T552" s="541"/>
      <c r="U552" s="541"/>
      <c r="V552" s="541"/>
      <c r="W552" s="541"/>
      <c r="X552" s="541"/>
      <c r="Y552" s="541"/>
      <c r="Z552" s="541"/>
    </row>
    <row r="553" spans="1:26" ht="18.75">
      <c r="A553" s="537"/>
      <c r="B553" s="538"/>
      <c r="C553" s="538"/>
      <c r="D553" s="538"/>
      <c r="E553" s="727"/>
      <c r="F553" s="727" t="s">
        <v>189</v>
      </c>
      <c r="G553" s="189"/>
      <c r="H553" s="161" t="s">
        <v>12</v>
      </c>
      <c r="I553" s="269"/>
      <c r="J553" s="269"/>
      <c r="K553" s="465"/>
      <c r="L553" s="465"/>
      <c r="M553" s="465"/>
      <c r="N553" s="789">
        <v>0</v>
      </c>
      <c r="O553" s="465"/>
      <c r="P553" s="465"/>
      <c r="Q553" s="541"/>
      <c r="R553" s="541"/>
      <c r="S553" s="541"/>
      <c r="T553" s="541"/>
      <c r="U553" s="541"/>
      <c r="V553" s="541"/>
      <c r="W553" s="541"/>
      <c r="X553" s="541"/>
      <c r="Y553" s="541"/>
      <c r="Z553" s="541"/>
    </row>
    <row r="554" spans="1:26" ht="18.75">
      <c r="A554" s="537"/>
      <c r="B554" s="538"/>
      <c r="C554" s="538"/>
      <c r="D554" s="538"/>
      <c r="E554" s="727"/>
      <c r="F554" s="727" t="s">
        <v>233</v>
      </c>
      <c r="G554" s="189"/>
      <c r="H554" s="161" t="s">
        <v>12</v>
      </c>
      <c r="I554" s="269"/>
      <c r="J554" s="269"/>
      <c r="K554" s="465"/>
      <c r="L554" s="465"/>
      <c r="M554" s="465"/>
      <c r="N554" s="789">
        <v>0</v>
      </c>
      <c r="O554" s="465"/>
      <c r="P554" s="465"/>
      <c r="Q554" s="541"/>
      <c r="R554" s="541"/>
      <c r="S554" s="541"/>
      <c r="T554" s="541"/>
      <c r="U554" s="541"/>
      <c r="V554" s="541"/>
      <c r="W554" s="541"/>
      <c r="X554" s="541"/>
      <c r="Y554" s="541"/>
      <c r="Z554" s="541"/>
    </row>
    <row r="555" spans="1:26" ht="18.75">
      <c r="A555" s="561"/>
      <c r="B555" s="538"/>
      <c r="C555" s="538"/>
      <c r="D555" s="570" t="s">
        <v>21</v>
      </c>
      <c r="E555" s="727"/>
      <c r="F555" s="727"/>
      <c r="G555" s="189"/>
      <c r="H555" s="168" t="s">
        <v>12</v>
      </c>
      <c r="I555" s="184"/>
      <c r="J555" s="184"/>
      <c r="K555" s="163"/>
      <c r="L555" s="465">
        <f t="shared" ref="L555:N555" ca="1" si="241">L556+L557</f>
        <v>0</v>
      </c>
      <c r="M555" s="465">
        <f t="shared" si="241"/>
        <v>0</v>
      </c>
      <c r="N555" s="465">
        <f t="shared" si="241"/>
        <v>0</v>
      </c>
      <c r="O555" s="465">
        <f t="shared" ref="O555:O557" ca="1" si="242">IF(L555&gt;0,N555*100/L555,0)</f>
        <v>0</v>
      </c>
      <c r="P555" s="465">
        <f t="shared" ref="P555:P557" si="243">IF(M555&gt;0,N555*100/M555,0)</f>
        <v>0</v>
      </c>
      <c r="Q555" s="541"/>
      <c r="R555" s="541"/>
      <c r="S555" s="541"/>
      <c r="T555" s="541"/>
      <c r="U555" s="541"/>
      <c r="V555" s="541"/>
      <c r="W555" s="541"/>
      <c r="X555" s="541"/>
      <c r="Y555" s="541"/>
      <c r="Z555" s="541"/>
    </row>
    <row r="556" spans="1:26" ht="18.75" hidden="1">
      <c r="A556" s="563"/>
      <c r="B556" s="571"/>
      <c r="C556" s="571"/>
      <c r="D556" s="723"/>
      <c r="E556" s="723" t="s">
        <v>18</v>
      </c>
      <c r="F556" s="723"/>
      <c r="G556" s="567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2"/>
        <v>0</v>
      </c>
      <c r="P556" s="93">
        <f t="shared" si="243"/>
        <v>0</v>
      </c>
      <c r="Q556" s="568"/>
      <c r="R556" s="568"/>
      <c r="S556" s="568"/>
      <c r="T556" s="568"/>
      <c r="U556" s="568"/>
      <c r="V556" s="568"/>
      <c r="W556" s="568"/>
      <c r="X556" s="568"/>
      <c r="Y556" s="568"/>
      <c r="Z556" s="568"/>
    </row>
    <row r="557" spans="1:26" ht="18.75" hidden="1">
      <c r="A557" s="563"/>
      <c r="B557" s="571"/>
      <c r="C557" s="571"/>
      <c r="D557" s="723"/>
      <c r="E557" s="723" t="s">
        <v>19</v>
      </c>
      <c r="F557" s="723"/>
      <c r="G557" s="567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IFERROR(__xludf.DUMMYFUNCTION("IMPORTRANGE(""https://docs.google.com/spreadsheets/d/1QqKyyYR6Q21VydFLVH3TRQUabQu_ym0Zz7PgGX0-kHA/edit?usp=sharing"",""แผน!HF27"")"),0)</f>
        <v>0</v>
      </c>
      <c r="M557" s="93">
        <v>0</v>
      </c>
      <c r="N557" s="93">
        <v>0</v>
      </c>
      <c r="O557" s="93">
        <f t="shared" ca="1" si="242"/>
        <v>0</v>
      </c>
      <c r="P557" s="93">
        <f t="shared" si="243"/>
        <v>0</v>
      </c>
      <c r="Q557" s="568"/>
      <c r="R557" s="568"/>
      <c r="S557" s="568"/>
      <c r="T557" s="568"/>
      <c r="U557" s="568"/>
      <c r="V557" s="568"/>
      <c r="W557" s="568"/>
      <c r="X557" s="568"/>
      <c r="Y557" s="568"/>
      <c r="Z557" s="568"/>
    </row>
    <row r="558" spans="1:26" ht="19.5">
      <c r="A558" s="572"/>
      <c r="B558" s="584"/>
      <c r="C558" s="538" t="s">
        <v>16</v>
      </c>
      <c r="D558" s="853" t="s">
        <v>38</v>
      </c>
      <c r="E558" s="725"/>
      <c r="F558" s="725"/>
      <c r="G558" s="577"/>
      <c r="H558" s="726"/>
      <c r="I558" s="184"/>
      <c r="J558" s="184"/>
      <c r="K558" s="163"/>
      <c r="L558" s="163"/>
      <c r="M558" s="163"/>
      <c r="N558" s="163"/>
      <c r="O558" s="163"/>
      <c r="P558" s="163"/>
      <c r="Q558" s="541"/>
      <c r="R558" s="541"/>
      <c r="S558" s="541"/>
      <c r="T558" s="541"/>
      <c r="U558" s="541"/>
      <c r="V558" s="541"/>
      <c r="W558" s="541"/>
      <c r="X558" s="541"/>
      <c r="Y558" s="541"/>
      <c r="Z558" s="541"/>
    </row>
    <row r="559" spans="1:26" ht="19.5">
      <c r="A559" s="658"/>
      <c r="B559" s="659" t="s">
        <v>234</v>
      </c>
      <c r="C559" s="660"/>
      <c r="D559" s="660"/>
      <c r="E559" s="639"/>
      <c r="F559" s="639"/>
      <c r="G559" s="640"/>
      <c r="H559" s="661" t="s">
        <v>46</v>
      </c>
      <c r="I559" s="672">
        <f t="shared" ref="I559:J559" ca="1" si="244">I576</f>
        <v>25487</v>
      </c>
      <c r="J559" s="672">
        <f t="shared" si="244"/>
        <v>0</v>
      </c>
      <c r="K559" s="643">
        <f t="shared" ref="K559:K561" ca="1" si="245">IF(I559&gt;0,J559*100/I559,0)</f>
        <v>0</v>
      </c>
      <c r="L559" s="644"/>
      <c r="M559" s="644"/>
      <c r="N559" s="644"/>
      <c r="O559" s="644"/>
      <c r="P559" s="644"/>
      <c r="Q559" s="541"/>
      <c r="R559" s="541"/>
      <c r="S559" s="541"/>
      <c r="T559" s="541"/>
      <c r="U559" s="541"/>
      <c r="V559" s="541"/>
      <c r="W559" s="541"/>
      <c r="X559" s="541"/>
      <c r="Y559" s="541"/>
      <c r="Z559" s="541"/>
    </row>
    <row r="560" spans="1:26" ht="19.5">
      <c r="A560" s="572"/>
      <c r="B560" s="584"/>
      <c r="C560" s="591" t="s">
        <v>235</v>
      </c>
      <c r="D560" s="584"/>
      <c r="E560" s="592"/>
      <c r="F560" s="592"/>
      <c r="G560" s="726"/>
      <c r="H560" s="731" t="s">
        <v>46</v>
      </c>
      <c r="I560" s="193">
        <f ca="1">IFERROR(__xludf.DUMMYFUNCTION("IMPORTRANGE(""https://docs.google.com/spreadsheets/d/1QqKyyYR6Q21VydFLVH3TRQUabQu_ym0Zz7PgGX0-kHA/edit?usp=sharing"",""แผน!HH27"")"),25487)</f>
        <v>25487</v>
      </c>
      <c r="J560" s="193">
        <f t="shared" ref="J560:J561" si="246">J562+J564+J566</f>
        <v>0</v>
      </c>
      <c r="K560" s="379">
        <f t="shared" ca="1" si="245"/>
        <v>0</v>
      </c>
      <c r="L560" s="163"/>
      <c r="M560" s="163"/>
      <c r="N560" s="163"/>
      <c r="O560" s="163"/>
      <c r="P560" s="163"/>
      <c r="Q560" s="541"/>
      <c r="R560" s="541"/>
      <c r="S560" s="541"/>
      <c r="T560" s="541"/>
      <c r="U560" s="541"/>
      <c r="V560" s="541"/>
      <c r="W560" s="541"/>
      <c r="X560" s="541"/>
      <c r="Y560" s="541"/>
      <c r="Z560" s="541"/>
    </row>
    <row r="561" spans="1:26" ht="19.5">
      <c r="A561" s="572"/>
      <c r="B561" s="584"/>
      <c r="C561" s="584"/>
      <c r="D561" s="592"/>
      <c r="E561" s="592"/>
      <c r="F561" s="592"/>
      <c r="G561" s="726"/>
      <c r="H561" s="731" t="s">
        <v>34</v>
      </c>
      <c r="I561" s="193">
        <f ca="1">IFERROR(__xludf.DUMMYFUNCTION("IMPORTRANGE(""https://docs.google.com/spreadsheets/d/1QqKyyYR6Q21VydFLVH3TRQUabQu_ym0Zz7PgGX0-kHA/edit?usp=sharing"",""แผน!HG27"")"),3299)</f>
        <v>3299</v>
      </c>
      <c r="J561" s="193">
        <f t="shared" si="246"/>
        <v>0</v>
      </c>
      <c r="K561" s="379">
        <f t="shared" ca="1" si="245"/>
        <v>0</v>
      </c>
      <c r="L561" s="163"/>
      <c r="M561" s="163"/>
      <c r="N561" s="163"/>
      <c r="O561" s="163"/>
      <c r="P561" s="163"/>
      <c r="Q561" s="541"/>
      <c r="R561" s="541"/>
      <c r="S561" s="541"/>
      <c r="T561" s="541"/>
      <c r="U561" s="541"/>
      <c r="V561" s="541"/>
      <c r="W561" s="541"/>
      <c r="X561" s="541"/>
      <c r="Y561" s="541"/>
      <c r="Z561" s="541"/>
    </row>
    <row r="562" spans="1:26" ht="18.75">
      <c r="A562" s="572"/>
      <c r="B562" s="584"/>
      <c r="C562" s="584"/>
      <c r="D562" s="592" t="s">
        <v>236</v>
      </c>
      <c r="E562" s="592"/>
      <c r="F562" s="592"/>
      <c r="G562" s="726"/>
      <c r="H562" s="728" t="s">
        <v>46</v>
      </c>
      <c r="I562" s="184"/>
      <c r="J562" s="214">
        <v>0</v>
      </c>
      <c r="K562" s="163"/>
      <c r="L562" s="163"/>
      <c r="M562" s="163"/>
      <c r="N562" s="163"/>
      <c r="O562" s="163"/>
      <c r="P562" s="163"/>
      <c r="Q562" s="541"/>
      <c r="R562" s="541"/>
      <c r="S562" s="541"/>
      <c r="T562" s="541"/>
      <c r="U562" s="541"/>
      <c r="V562" s="541"/>
      <c r="W562" s="541"/>
      <c r="X562" s="541"/>
      <c r="Y562" s="541"/>
      <c r="Z562" s="541"/>
    </row>
    <row r="563" spans="1:26" ht="18.75">
      <c r="A563" s="572"/>
      <c r="B563" s="584"/>
      <c r="C563" s="584"/>
      <c r="D563" s="584"/>
      <c r="E563" s="592"/>
      <c r="F563" s="592"/>
      <c r="G563" s="726"/>
      <c r="H563" s="728" t="s">
        <v>34</v>
      </c>
      <c r="I563" s="184"/>
      <c r="J563" s="214">
        <v>0</v>
      </c>
      <c r="K563" s="163"/>
      <c r="L563" s="163"/>
      <c r="M563" s="163"/>
      <c r="N563" s="163"/>
      <c r="O563" s="163"/>
      <c r="P563" s="163"/>
      <c r="Q563" s="541"/>
      <c r="R563" s="541"/>
      <c r="S563" s="541"/>
      <c r="T563" s="541"/>
      <c r="U563" s="541"/>
      <c r="V563" s="541"/>
      <c r="W563" s="541"/>
      <c r="X563" s="541"/>
      <c r="Y563" s="541"/>
      <c r="Z563" s="541"/>
    </row>
    <row r="564" spans="1:26" ht="18.75">
      <c r="A564" s="572"/>
      <c r="B564" s="584"/>
      <c r="C564" s="584"/>
      <c r="D564" s="592" t="s">
        <v>237</v>
      </c>
      <c r="E564" s="592"/>
      <c r="F564" s="592"/>
      <c r="G564" s="726"/>
      <c r="H564" s="728" t="s">
        <v>46</v>
      </c>
      <c r="I564" s="184"/>
      <c r="J564" s="214">
        <v>0</v>
      </c>
      <c r="K564" s="163"/>
      <c r="L564" s="163"/>
      <c r="M564" s="163"/>
      <c r="N564" s="163"/>
      <c r="O564" s="163"/>
      <c r="P564" s="163"/>
      <c r="Q564" s="541"/>
      <c r="R564" s="541"/>
      <c r="S564" s="541"/>
      <c r="T564" s="541"/>
      <c r="U564" s="541"/>
      <c r="V564" s="541"/>
      <c r="W564" s="541"/>
      <c r="X564" s="541"/>
      <c r="Y564" s="541"/>
      <c r="Z564" s="541"/>
    </row>
    <row r="565" spans="1:26" ht="18.75">
      <c r="A565" s="572"/>
      <c r="B565" s="584"/>
      <c r="C565" s="584"/>
      <c r="D565" s="592"/>
      <c r="E565" s="592"/>
      <c r="F565" s="592"/>
      <c r="G565" s="726"/>
      <c r="H565" s="728" t="s">
        <v>34</v>
      </c>
      <c r="I565" s="184"/>
      <c r="J565" s="214">
        <v>0</v>
      </c>
      <c r="K565" s="163"/>
      <c r="L565" s="163"/>
      <c r="M565" s="163"/>
      <c r="N565" s="163"/>
      <c r="O565" s="163"/>
      <c r="P565" s="163"/>
      <c r="Q565" s="541"/>
      <c r="R565" s="541"/>
      <c r="S565" s="541"/>
      <c r="T565" s="541"/>
      <c r="U565" s="541"/>
      <c r="V565" s="541"/>
      <c r="W565" s="541"/>
      <c r="X565" s="541"/>
      <c r="Y565" s="541"/>
      <c r="Z565" s="541"/>
    </row>
    <row r="566" spans="1:26" ht="18.75">
      <c r="A566" s="572"/>
      <c r="B566" s="584"/>
      <c r="C566" s="584"/>
      <c r="D566" s="592" t="s">
        <v>238</v>
      </c>
      <c r="E566" s="592"/>
      <c r="F566" s="592"/>
      <c r="G566" s="726"/>
      <c r="H566" s="728" t="s">
        <v>46</v>
      </c>
      <c r="I566" s="184"/>
      <c r="J566" s="214">
        <v>0</v>
      </c>
      <c r="K566" s="163"/>
      <c r="L566" s="163"/>
      <c r="M566" s="163"/>
      <c r="N566" s="163"/>
      <c r="O566" s="163"/>
      <c r="P566" s="163"/>
      <c r="Q566" s="541"/>
      <c r="R566" s="541"/>
      <c r="S566" s="541"/>
      <c r="T566" s="541"/>
      <c r="U566" s="541"/>
      <c r="V566" s="541"/>
      <c r="W566" s="541"/>
      <c r="X566" s="541"/>
      <c r="Y566" s="541"/>
      <c r="Z566" s="541"/>
    </row>
    <row r="567" spans="1:26" ht="18.75">
      <c r="A567" s="572"/>
      <c r="B567" s="584"/>
      <c r="C567" s="584"/>
      <c r="D567" s="592"/>
      <c r="E567" s="592"/>
      <c r="F567" s="592"/>
      <c r="G567" s="726"/>
      <c r="H567" s="728" t="s">
        <v>34</v>
      </c>
      <c r="I567" s="184"/>
      <c r="J567" s="214">
        <v>0</v>
      </c>
      <c r="K567" s="163"/>
      <c r="L567" s="163"/>
      <c r="M567" s="163"/>
      <c r="N567" s="163"/>
      <c r="O567" s="163"/>
      <c r="P567" s="163"/>
      <c r="Q567" s="541"/>
      <c r="R567" s="541"/>
      <c r="S567" s="541"/>
      <c r="T567" s="541"/>
      <c r="U567" s="541"/>
      <c r="V567" s="541"/>
      <c r="W567" s="541"/>
      <c r="X567" s="541"/>
      <c r="Y567" s="541"/>
      <c r="Z567" s="541"/>
    </row>
    <row r="568" spans="1:26" ht="19.5">
      <c r="A568" s="572"/>
      <c r="B568" s="584"/>
      <c r="C568" s="591" t="s">
        <v>239</v>
      </c>
      <c r="D568" s="592"/>
      <c r="E568" s="592"/>
      <c r="F568" s="592"/>
      <c r="G568" s="726"/>
      <c r="H568" s="731" t="s">
        <v>46</v>
      </c>
      <c r="I568" s="193">
        <f ca="1">IFERROR(__xludf.DUMMYFUNCTION("IMPORTRANGE(""https://docs.google.com/spreadsheets/d/1QqKyyYR6Q21VydFLVH3TRQUabQu_ym0Zz7PgGX0-kHA/edit?usp=sharing"",""แผน!HH27"")"),25487)</f>
        <v>25487</v>
      </c>
      <c r="J568" s="647">
        <f t="shared" ref="J568:J569" si="247">J570+J572+J574</f>
        <v>0</v>
      </c>
      <c r="K568" s="379">
        <f t="shared" ref="K568:K569" ca="1" si="248">IF(I568&gt;0,J568*100/I568,0)</f>
        <v>0</v>
      </c>
      <c r="L568" s="163"/>
      <c r="M568" s="163"/>
      <c r="N568" s="163"/>
      <c r="O568" s="163"/>
      <c r="P568" s="163"/>
      <c r="Q568" s="541"/>
      <c r="R568" s="541"/>
      <c r="S568" s="541"/>
      <c r="T568" s="541"/>
      <c r="U568" s="541"/>
      <c r="V568" s="541"/>
      <c r="W568" s="541"/>
      <c r="X568" s="541"/>
      <c r="Y568" s="541"/>
      <c r="Z568" s="541"/>
    </row>
    <row r="569" spans="1:26" ht="19.5">
      <c r="A569" s="572"/>
      <c r="B569" s="584"/>
      <c r="C569" s="584"/>
      <c r="D569" s="584"/>
      <c r="E569" s="592"/>
      <c r="F569" s="592"/>
      <c r="G569" s="726"/>
      <c r="H569" s="731" t="s">
        <v>34</v>
      </c>
      <c r="I569" s="193">
        <f ca="1">IFERROR(__xludf.DUMMYFUNCTION("IMPORTRANGE(""https://docs.google.com/spreadsheets/d/1QqKyyYR6Q21VydFLVH3TRQUabQu_ym0Zz7PgGX0-kHA/edit?usp=sharing"",""แผน!HG27"")"),3299)</f>
        <v>3299</v>
      </c>
      <c r="J569" s="647">
        <f t="shared" si="247"/>
        <v>0</v>
      </c>
      <c r="K569" s="379">
        <f t="shared" ca="1" si="248"/>
        <v>0</v>
      </c>
      <c r="L569" s="163"/>
      <c r="M569" s="163"/>
      <c r="N569" s="163"/>
      <c r="O569" s="163"/>
      <c r="P569" s="163"/>
      <c r="Q569" s="541"/>
      <c r="R569" s="541"/>
      <c r="S569" s="541"/>
      <c r="T569" s="541"/>
      <c r="U569" s="541"/>
      <c r="V569" s="541"/>
      <c r="W569" s="541"/>
      <c r="X569" s="541"/>
      <c r="Y569" s="541"/>
      <c r="Z569" s="541"/>
    </row>
    <row r="570" spans="1:26" ht="18.75">
      <c r="A570" s="572"/>
      <c r="B570" s="584"/>
      <c r="C570" s="584"/>
      <c r="D570" s="592" t="s">
        <v>240</v>
      </c>
      <c r="E570" s="584"/>
      <c r="F570" s="592"/>
      <c r="G570" s="726"/>
      <c r="H570" s="728" t="s">
        <v>46</v>
      </c>
      <c r="I570" s="184"/>
      <c r="J570" s="214">
        <v>0</v>
      </c>
      <c r="K570" s="163"/>
      <c r="L570" s="163"/>
      <c r="M570" s="163"/>
      <c r="N570" s="163"/>
      <c r="O570" s="163"/>
      <c r="P570" s="163"/>
      <c r="Q570" s="541"/>
      <c r="R570" s="541"/>
      <c r="S570" s="541"/>
      <c r="T570" s="541"/>
      <c r="U570" s="541"/>
      <c r="V570" s="541"/>
      <c r="W570" s="541"/>
      <c r="X570" s="541"/>
      <c r="Y570" s="541"/>
      <c r="Z570" s="541"/>
    </row>
    <row r="571" spans="1:26" ht="18.75">
      <c r="A571" s="572"/>
      <c r="B571" s="584"/>
      <c r="C571" s="584"/>
      <c r="D571" s="584"/>
      <c r="E571" s="592"/>
      <c r="F571" s="592"/>
      <c r="G571" s="726"/>
      <c r="H571" s="728" t="s">
        <v>34</v>
      </c>
      <c r="I571" s="184"/>
      <c r="J571" s="214">
        <v>0</v>
      </c>
      <c r="K571" s="163"/>
      <c r="L571" s="163"/>
      <c r="M571" s="163"/>
      <c r="N571" s="163"/>
      <c r="O571" s="163"/>
      <c r="P571" s="163"/>
      <c r="Q571" s="541"/>
      <c r="R571" s="541"/>
      <c r="S571" s="541"/>
      <c r="T571" s="541"/>
      <c r="U571" s="541"/>
      <c r="V571" s="541"/>
      <c r="W571" s="541"/>
      <c r="X571" s="541"/>
      <c r="Y571" s="541"/>
      <c r="Z571" s="541"/>
    </row>
    <row r="572" spans="1:26" ht="18.75">
      <c r="A572" s="572"/>
      <c r="B572" s="584"/>
      <c r="C572" s="584"/>
      <c r="D572" s="592" t="s">
        <v>241</v>
      </c>
      <c r="E572" s="592"/>
      <c r="F572" s="592"/>
      <c r="G572" s="726"/>
      <c r="H572" s="728" t="s">
        <v>46</v>
      </c>
      <c r="I572" s="184"/>
      <c r="J572" s="214">
        <v>0</v>
      </c>
      <c r="K572" s="163"/>
      <c r="L572" s="163"/>
      <c r="M572" s="163"/>
      <c r="N572" s="163"/>
      <c r="O572" s="163"/>
      <c r="P572" s="163"/>
      <c r="Q572" s="541"/>
      <c r="R572" s="541"/>
      <c r="S572" s="541"/>
      <c r="T572" s="541"/>
      <c r="U572" s="541"/>
      <c r="V572" s="541"/>
      <c r="W572" s="541"/>
      <c r="X572" s="541"/>
      <c r="Y572" s="541"/>
      <c r="Z572" s="541"/>
    </row>
    <row r="573" spans="1:26" ht="18.75">
      <c r="A573" s="572"/>
      <c r="B573" s="584"/>
      <c r="C573" s="584"/>
      <c r="D573" s="592"/>
      <c r="E573" s="592"/>
      <c r="F573" s="592"/>
      <c r="G573" s="726"/>
      <c r="H573" s="728" t="s">
        <v>34</v>
      </c>
      <c r="I573" s="184"/>
      <c r="J573" s="214">
        <v>0</v>
      </c>
      <c r="K573" s="163"/>
      <c r="L573" s="163"/>
      <c r="M573" s="163"/>
      <c r="N573" s="163"/>
      <c r="O573" s="163"/>
      <c r="P573" s="163"/>
      <c r="Q573" s="541"/>
      <c r="R573" s="541"/>
      <c r="S573" s="541"/>
      <c r="T573" s="541"/>
      <c r="U573" s="541"/>
      <c r="V573" s="541"/>
      <c r="W573" s="541"/>
      <c r="X573" s="541"/>
      <c r="Y573" s="541"/>
      <c r="Z573" s="541"/>
    </row>
    <row r="574" spans="1:26" ht="18.75">
      <c r="A574" s="572"/>
      <c r="B574" s="584"/>
      <c r="C574" s="584"/>
      <c r="D574" s="592" t="s">
        <v>242</v>
      </c>
      <c r="E574" s="592"/>
      <c r="F574" s="592"/>
      <c r="G574" s="726"/>
      <c r="H574" s="728" t="s">
        <v>46</v>
      </c>
      <c r="I574" s="184"/>
      <c r="J574" s="214">
        <v>0</v>
      </c>
      <c r="K574" s="163"/>
      <c r="L574" s="163"/>
      <c r="M574" s="163"/>
      <c r="N574" s="163"/>
      <c r="O574" s="163"/>
      <c r="P574" s="163"/>
      <c r="Q574" s="541"/>
      <c r="R574" s="541"/>
      <c r="S574" s="541"/>
      <c r="T574" s="541"/>
      <c r="U574" s="541"/>
      <c r="V574" s="541"/>
      <c r="W574" s="541"/>
      <c r="X574" s="541"/>
      <c r="Y574" s="541"/>
      <c r="Z574" s="541"/>
    </row>
    <row r="575" spans="1:26" ht="18.75">
      <c r="A575" s="572"/>
      <c r="B575" s="584"/>
      <c r="C575" s="584"/>
      <c r="D575" s="584"/>
      <c r="E575" s="592"/>
      <c r="F575" s="592"/>
      <c r="G575" s="726"/>
      <c r="H575" s="728" t="s">
        <v>34</v>
      </c>
      <c r="I575" s="184"/>
      <c r="J575" s="214">
        <v>0</v>
      </c>
      <c r="K575" s="163"/>
      <c r="L575" s="163"/>
      <c r="M575" s="163"/>
      <c r="N575" s="163"/>
      <c r="O575" s="163"/>
      <c r="P575" s="163"/>
      <c r="Q575" s="541"/>
      <c r="R575" s="541"/>
      <c r="S575" s="541"/>
      <c r="T575" s="541"/>
      <c r="U575" s="541"/>
      <c r="V575" s="541"/>
      <c r="W575" s="541"/>
      <c r="X575" s="541"/>
      <c r="Y575" s="541"/>
      <c r="Z575" s="541"/>
    </row>
    <row r="576" spans="1:26" ht="19.5">
      <c r="A576" s="572"/>
      <c r="B576" s="584"/>
      <c r="C576" s="591" t="s">
        <v>243</v>
      </c>
      <c r="D576" s="584"/>
      <c r="E576" s="584"/>
      <c r="F576" s="592"/>
      <c r="G576" s="726"/>
      <c r="H576" s="731" t="s">
        <v>46</v>
      </c>
      <c r="I576" s="193">
        <f ca="1">IFERROR(__xludf.DUMMYFUNCTION("IMPORTRANGE(""https://docs.google.com/spreadsheets/d/1QqKyyYR6Q21VydFLVH3TRQUabQu_ym0Zz7PgGX0-kHA/edit?usp=sharing"",""แผน!HH27"")"),25487)</f>
        <v>25487</v>
      </c>
      <c r="J576" s="647">
        <f t="shared" ref="J576:J577" si="249">J578+J580+J582+J588+J590</f>
        <v>0</v>
      </c>
      <c r="K576" s="379">
        <f t="shared" ref="K576:K577" ca="1" si="250">IF(I576&gt;0,J576*100/I576,0)</f>
        <v>0</v>
      </c>
      <c r="L576" s="163"/>
      <c r="M576" s="163"/>
      <c r="N576" s="163"/>
      <c r="O576" s="163"/>
      <c r="P576" s="163"/>
      <c r="Q576" s="541"/>
      <c r="R576" s="541"/>
      <c r="S576" s="541"/>
      <c r="T576" s="541"/>
      <c r="U576" s="541"/>
      <c r="V576" s="541"/>
      <c r="W576" s="541"/>
      <c r="X576" s="541"/>
      <c r="Y576" s="541"/>
      <c r="Z576" s="541"/>
    </row>
    <row r="577" spans="1:26" ht="19.5">
      <c r="A577" s="572"/>
      <c r="B577" s="584"/>
      <c r="C577" s="584"/>
      <c r="D577" s="584"/>
      <c r="E577" s="592"/>
      <c r="F577" s="592"/>
      <c r="G577" s="726"/>
      <c r="H577" s="731" t="s">
        <v>34</v>
      </c>
      <c r="I577" s="193">
        <f ca="1">IFERROR(__xludf.DUMMYFUNCTION("IMPORTRANGE(""https://docs.google.com/spreadsheets/d/1QqKyyYR6Q21VydFLVH3TRQUabQu_ym0Zz7PgGX0-kHA/edit?usp=sharing"",""แผน!HG27"")"),3299)</f>
        <v>3299</v>
      </c>
      <c r="J577" s="647">
        <f t="shared" si="249"/>
        <v>0</v>
      </c>
      <c r="K577" s="379">
        <f t="shared" ca="1" si="250"/>
        <v>0</v>
      </c>
      <c r="L577" s="163"/>
      <c r="M577" s="163"/>
      <c r="N577" s="163"/>
      <c r="O577" s="163"/>
      <c r="P577" s="163"/>
      <c r="Q577" s="541"/>
      <c r="R577" s="541"/>
      <c r="S577" s="541"/>
      <c r="T577" s="541"/>
      <c r="U577" s="541"/>
      <c r="V577" s="541"/>
      <c r="W577" s="541"/>
      <c r="X577" s="541"/>
      <c r="Y577" s="541"/>
      <c r="Z577" s="541"/>
    </row>
    <row r="578" spans="1:26" ht="18.75">
      <c r="A578" s="572"/>
      <c r="B578" s="584"/>
      <c r="C578" s="584"/>
      <c r="D578" s="592" t="s">
        <v>244</v>
      </c>
      <c r="E578" s="592"/>
      <c r="F578" s="592"/>
      <c r="G578" s="726"/>
      <c r="H578" s="728" t="s">
        <v>46</v>
      </c>
      <c r="I578" s="184"/>
      <c r="J578" s="214">
        <v>0</v>
      </c>
      <c r="K578" s="163"/>
      <c r="L578" s="163"/>
      <c r="M578" s="163"/>
      <c r="N578" s="163"/>
      <c r="O578" s="163"/>
      <c r="P578" s="163"/>
      <c r="Q578" s="541"/>
      <c r="R578" s="541"/>
      <c r="S578" s="541"/>
      <c r="T578" s="541"/>
      <c r="U578" s="541"/>
      <c r="V578" s="541"/>
      <c r="W578" s="541"/>
      <c r="X578" s="541"/>
      <c r="Y578" s="541"/>
      <c r="Z578" s="541"/>
    </row>
    <row r="579" spans="1:26" ht="18.75">
      <c r="A579" s="572"/>
      <c r="B579" s="584"/>
      <c r="C579" s="584"/>
      <c r="D579" s="584"/>
      <c r="E579" s="592"/>
      <c r="F579" s="592"/>
      <c r="G579" s="726"/>
      <c r="H579" s="728" t="s">
        <v>34</v>
      </c>
      <c r="I579" s="184"/>
      <c r="J579" s="214">
        <v>0</v>
      </c>
      <c r="K579" s="163"/>
      <c r="L579" s="163"/>
      <c r="M579" s="163"/>
      <c r="N579" s="163"/>
      <c r="O579" s="163"/>
      <c r="P579" s="163"/>
      <c r="Q579" s="541"/>
      <c r="R579" s="541"/>
      <c r="S579" s="541"/>
      <c r="T579" s="541"/>
      <c r="U579" s="541"/>
      <c r="V579" s="541"/>
      <c r="W579" s="541"/>
      <c r="X579" s="541"/>
      <c r="Y579" s="541"/>
      <c r="Z579" s="541"/>
    </row>
    <row r="580" spans="1:26" ht="18.75">
      <c r="A580" s="572"/>
      <c r="B580" s="584"/>
      <c r="C580" s="584"/>
      <c r="D580" s="592" t="s">
        <v>245</v>
      </c>
      <c r="E580" s="592"/>
      <c r="F580" s="592"/>
      <c r="G580" s="726"/>
      <c r="H580" s="728" t="s">
        <v>46</v>
      </c>
      <c r="I580" s="184"/>
      <c r="J580" s="214">
        <v>0</v>
      </c>
      <c r="K580" s="163"/>
      <c r="L580" s="163"/>
      <c r="M580" s="163"/>
      <c r="N580" s="163"/>
      <c r="O580" s="163"/>
      <c r="P580" s="163"/>
      <c r="Q580" s="541"/>
      <c r="R580" s="541"/>
      <c r="S580" s="541"/>
      <c r="T580" s="541"/>
      <c r="U580" s="541"/>
      <c r="V580" s="541"/>
      <c r="W580" s="541"/>
      <c r="X580" s="541"/>
      <c r="Y580" s="541"/>
      <c r="Z580" s="541"/>
    </row>
    <row r="581" spans="1:26" ht="18.75">
      <c r="A581" s="572"/>
      <c r="B581" s="584"/>
      <c r="C581" s="584"/>
      <c r="D581" s="584"/>
      <c r="E581" s="592"/>
      <c r="F581" s="592"/>
      <c r="G581" s="726"/>
      <c r="H581" s="728" t="s">
        <v>34</v>
      </c>
      <c r="I581" s="184"/>
      <c r="J581" s="214">
        <v>0</v>
      </c>
      <c r="K581" s="163"/>
      <c r="L581" s="163"/>
      <c r="M581" s="163"/>
      <c r="N581" s="163"/>
      <c r="O581" s="163"/>
      <c r="P581" s="163"/>
      <c r="Q581" s="541"/>
      <c r="R581" s="541"/>
      <c r="S581" s="541"/>
      <c r="T581" s="541"/>
      <c r="U581" s="541"/>
      <c r="V581" s="541"/>
      <c r="W581" s="541"/>
      <c r="X581" s="541"/>
      <c r="Y581" s="541"/>
      <c r="Z581" s="541"/>
    </row>
    <row r="582" spans="1:26" ht="19.5">
      <c r="A582" s="572"/>
      <c r="B582" s="584"/>
      <c r="C582" s="584"/>
      <c r="D582" s="592" t="s">
        <v>246</v>
      </c>
      <c r="E582" s="592"/>
      <c r="F582" s="592"/>
      <c r="G582" s="726"/>
      <c r="H582" s="728" t="s">
        <v>46</v>
      </c>
      <c r="I582" s="184"/>
      <c r="J582" s="647">
        <f t="shared" ref="J582:J583" si="251">J584+J586</f>
        <v>0</v>
      </c>
      <c r="K582" s="379"/>
      <c r="L582" s="163"/>
      <c r="M582" s="163"/>
      <c r="N582" s="163"/>
      <c r="O582" s="163"/>
      <c r="P582" s="163"/>
      <c r="Q582" s="541"/>
      <c r="R582" s="541"/>
      <c r="S582" s="541"/>
      <c r="T582" s="541"/>
      <c r="U582" s="541"/>
      <c r="V582" s="541"/>
      <c r="W582" s="541"/>
      <c r="X582" s="541"/>
      <c r="Y582" s="541"/>
      <c r="Z582" s="541"/>
    </row>
    <row r="583" spans="1:26" ht="19.5">
      <c r="A583" s="572"/>
      <c r="B583" s="584"/>
      <c r="C583" s="584"/>
      <c r="D583" s="584"/>
      <c r="E583" s="592"/>
      <c r="F583" s="592"/>
      <c r="G583" s="726"/>
      <c r="H583" s="728" t="s">
        <v>34</v>
      </c>
      <c r="I583" s="184"/>
      <c r="J583" s="647">
        <f t="shared" si="251"/>
        <v>0</v>
      </c>
      <c r="K583" s="379"/>
      <c r="L583" s="163"/>
      <c r="M583" s="163"/>
      <c r="N583" s="163"/>
      <c r="O583" s="163"/>
      <c r="P583" s="163"/>
      <c r="Q583" s="541"/>
      <c r="R583" s="541"/>
      <c r="S583" s="541"/>
      <c r="T583" s="541"/>
      <c r="U583" s="541"/>
      <c r="V583" s="541"/>
      <c r="W583" s="541"/>
      <c r="X583" s="541"/>
      <c r="Y583" s="541"/>
      <c r="Z583" s="541"/>
    </row>
    <row r="584" spans="1:26" ht="18.75">
      <c r="A584" s="572"/>
      <c r="B584" s="584"/>
      <c r="C584" s="584"/>
      <c r="D584" s="584"/>
      <c r="E584" s="592" t="s">
        <v>247</v>
      </c>
      <c r="F584" s="592"/>
      <c r="G584" s="726"/>
      <c r="H584" s="728" t="s">
        <v>46</v>
      </c>
      <c r="I584" s="184"/>
      <c r="J584" s="214">
        <v>0</v>
      </c>
      <c r="K584" s="163"/>
      <c r="L584" s="163"/>
      <c r="M584" s="163"/>
      <c r="N584" s="163"/>
      <c r="O584" s="163"/>
      <c r="P584" s="163"/>
      <c r="Q584" s="541"/>
      <c r="R584" s="541"/>
      <c r="S584" s="541"/>
      <c r="T584" s="541"/>
      <c r="U584" s="541"/>
      <c r="V584" s="541"/>
      <c r="W584" s="541"/>
      <c r="X584" s="541"/>
      <c r="Y584" s="541"/>
      <c r="Z584" s="541"/>
    </row>
    <row r="585" spans="1:26" ht="18.75">
      <c r="A585" s="572"/>
      <c r="B585" s="584"/>
      <c r="C585" s="584"/>
      <c r="D585" s="584"/>
      <c r="E585" s="592"/>
      <c r="F585" s="592"/>
      <c r="G585" s="726"/>
      <c r="H585" s="728" t="s">
        <v>34</v>
      </c>
      <c r="I585" s="184"/>
      <c r="J585" s="214">
        <v>0</v>
      </c>
      <c r="K585" s="163"/>
      <c r="L585" s="163"/>
      <c r="M585" s="163"/>
      <c r="N585" s="163"/>
      <c r="O585" s="163"/>
      <c r="P585" s="163"/>
      <c r="Q585" s="541"/>
      <c r="R585" s="541"/>
      <c r="S585" s="541"/>
      <c r="T585" s="541"/>
      <c r="U585" s="541"/>
      <c r="V585" s="541"/>
      <c r="W585" s="541"/>
      <c r="X585" s="541"/>
      <c r="Y585" s="541"/>
      <c r="Z585" s="541"/>
    </row>
    <row r="586" spans="1:26" ht="18.75">
      <c r="A586" s="572"/>
      <c r="B586" s="584"/>
      <c r="C586" s="584"/>
      <c r="D586" s="584"/>
      <c r="E586" s="592" t="s">
        <v>248</v>
      </c>
      <c r="F586" s="592"/>
      <c r="G586" s="726"/>
      <c r="H586" s="728" t="s">
        <v>46</v>
      </c>
      <c r="I586" s="184"/>
      <c r="J586" s="214">
        <v>0</v>
      </c>
      <c r="K586" s="163"/>
      <c r="L586" s="163"/>
      <c r="M586" s="163"/>
      <c r="N586" s="163"/>
      <c r="O586" s="163"/>
      <c r="P586" s="163"/>
      <c r="Q586" s="541"/>
      <c r="R586" s="541"/>
      <c r="S586" s="541"/>
      <c r="T586" s="541"/>
      <c r="U586" s="541"/>
      <c r="V586" s="541"/>
      <c r="W586" s="541"/>
      <c r="X586" s="541"/>
      <c r="Y586" s="541"/>
      <c r="Z586" s="541"/>
    </row>
    <row r="587" spans="1:26" ht="18.75">
      <c r="A587" s="572"/>
      <c r="B587" s="584"/>
      <c r="C587" s="584"/>
      <c r="D587" s="584"/>
      <c r="E587" s="584"/>
      <c r="F587" s="592"/>
      <c r="G587" s="726"/>
      <c r="H587" s="728" t="s">
        <v>34</v>
      </c>
      <c r="I587" s="184"/>
      <c r="J587" s="214">
        <v>0</v>
      </c>
      <c r="K587" s="163"/>
      <c r="L587" s="163"/>
      <c r="M587" s="163"/>
      <c r="N587" s="163"/>
      <c r="O587" s="163"/>
      <c r="P587" s="163"/>
      <c r="Q587" s="541"/>
      <c r="R587" s="541"/>
      <c r="S587" s="541"/>
      <c r="T587" s="541"/>
      <c r="U587" s="541"/>
      <c r="V587" s="541"/>
      <c r="W587" s="541"/>
      <c r="X587" s="541"/>
      <c r="Y587" s="541"/>
      <c r="Z587" s="541"/>
    </row>
    <row r="588" spans="1:26" ht="18.75">
      <c r="A588" s="572"/>
      <c r="B588" s="584"/>
      <c r="C588" s="584"/>
      <c r="D588" s="592" t="s">
        <v>249</v>
      </c>
      <c r="E588" s="592"/>
      <c r="F588" s="592"/>
      <c r="G588" s="726"/>
      <c r="H588" s="728" t="s">
        <v>46</v>
      </c>
      <c r="I588" s="184"/>
      <c r="J588" s="214">
        <v>0</v>
      </c>
      <c r="K588" s="163"/>
      <c r="L588" s="163"/>
      <c r="M588" s="163"/>
      <c r="N588" s="163"/>
      <c r="O588" s="163"/>
      <c r="P588" s="163"/>
      <c r="Q588" s="541"/>
      <c r="R588" s="541"/>
      <c r="S588" s="541"/>
      <c r="T588" s="541"/>
      <c r="U588" s="541"/>
      <c r="V588" s="541"/>
      <c r="W588" s="541"/>
      <c r="X588" s="541"/>
      <c r="Y588" s="541"/>
      <c r="Z588" s="541"/>
    </row>
    <row r="589" spans="1:26" ht="18.75">
      <c r="A589" s="572"/>
      <c r="B589" s="584"/>
      <c r="C589" s="584"/>
      <c r="D589" s="584"/>
      <c r="E589" s="584"/>
      <c r="F589" s="592"/>
      <c r="G589" s="726"/>
      <c r="H589" s="728" t="s">
        <v>34</v>
      </c>
      <c r="I589" s="184"/>
      <c r="J589" s="214">
        <v>0</v>
      </c>
      <c r="K589" s="163"/>
      <c r="L589" s="163"/>
      <c r="M589" s="163"/>
      <c r="N589" s="163"/>
      <c r="O589" s="163"/>
      <c r="P589" s="163"/>
      <c r="Q589" s="541"/>
      <c r="R589" s="541"/>
      <c r="S589" s="541"/>
      <c r="T589" s="541"/>
      <c r="U589" s="541"/>
      <c r="V589" s="541"/>
      <c r="W589" s="541"/>
      <c r="X589" s="541"/>
      <c r="Y589" s="541"/>
      <c r="Z589" s="541"/>
    </row>
    <row r="590" spans="1:26" ht="18.75">
      <c r="A590" s="572"/>
      <c r="B590" s="584"/>
      <c r="C590" s="584"/>
      <c r="D590" s="592" t="s">
        <v>250</v>
      </c>
      <c r="E590" s="592"/>
      <c r="F590" s="592"/>
      <c r="G590" s="726"/>
      <c r="H590" s="728" t="s">
        <v>46</v>
      </c>
      <c r="I590" s="184"/>
      <c r="J590" s="214">
        <v>0</v>
      </c>
      <c r="K590" s="163"/>
      <c r="L590" s="163"/>
      <c r="M590" s="163"/>
      <c r="N590" s="163"/>
      <c r="O590" s="163"/>
      <c r="P590" s="163"/>
      <c r="Q590" s="541"/>
      <c r="R590" s="541"/>
      <c r="S590" s="541"/>
      <c r="T590" s="541"/>
      <c r="U590" s="541"/>
      <c r="V590" s="541"/>
      <c r="W590" s="541"/>
      <c r="X590" s="541"/>
      <c r="Y590" s="541"/>
      <c r="Z590" s="541"/>
    </row>
    <row r="591" spans="1:26" ht="18.75">
      <c r="A591" s="662"/>
      <c r="B591" s="663"/>
      <c r="C591" s="663"/>
      <c r="D591" s="663"/>
      <c r="E591" s="541"/>
      <c r="F591" s="541"/>
      <c r="G591" s="664"/>
      <c r="H591" s="665" t="s">
        <v>34</v>
      </c>
      <c r="I591" s="666"/>
      <c r="J591" s="667">
        <v>0</v>
      </c>
      <c r="K591" s="668"/>
      <c r="L591" s="668"/>
      <c r="M591" s="668"/>
      <c r="N591" s="668"/>
      <c r="O591" s="668"/>
      <c r="P591" s="668"/>
      <c r="Q591" s="541"/>
      <c r="R591" s="541"/>
      <c r="S591" s="541"/>
      <c r="T591" s="541"/>
      <c r="U591" s="541"/>
      <c r="V591" s="541"/>
      <c r="W591" s="541"/>
      <c r="X591" s="541"/>
      <c r="Y591" s="541"/>
      <c r="Z591" s="541"/>
    </row>
    <row r="592" spans="1:26" ht="19.5">
      <c r="A592" s="658"/>
      <c r="B592" s="659" t="s">
        <v>251</v>
      </c>
      <c r="C592" s="660"/>
      <c r="D592" s="660"/>
      <c r="E592" s="639"/>
      <c r="F592" s="639"/>
      <c r="G592" s="640"/>
      <c r="H592" s="661" t="s">
        <v>46</v>
      </c>
      <c r="I592" s="672">
        <f t="shared" ref="I592:J592" ca="1" si="252">I593</f>
        <v>1284</v>
      </c>
      <c r="J592" s="672">
        <f t="shared" si="252"/>
        <v>0</v>
      </c>
      <c r="K592" s="643">
        <f t="shared" ref="K592:K594" ca="1" si="253">IF(I592&gt;0,J592*100/I592,0)</f>
        <v>0</v>
      </c>
      <c r="L592" s="644"/>
      <c r="M592" s="644"/>
      <c r="N592" s="644"/>
      <c r="O592" s="644"/>
      <c r="P592" s="644"/>
      <c r="Q592" s="541"/>
      <c r="R592" s="541"/>
      <c r="S592" s="541"/>
      <c r="T592" s="541"/>
      <c r="U592" s="541"/>
      <c r="V592" s="541"/>
      <c r="W592" s="541"/>
      <c r="X592" s="541"/>
      <c r="Y592" s="541"/>
      <c r="Z592" s="541"/>
    </row>
    <row r="593" spans="1:26" ht="19.5">
      <c r="A593" s="572"/>
      <c r="B593" s="584"/>
      <c r="C593" s="591" t="s">
        <v>252</v>
      </c>
      <c r="D593" s="584"/>
      <c r="E593" s="584"/>
      <c r="F593" s="592"/>
      <c r="G593" s="726"/>
      <c r="H593" s="731" t="s">
        <v>46</v>
      </c>
      <c r="I593" s="193">
        <f ca="1">IFERROR(__xludf.DUMMYFUNCTION("IMPORTRANGE(""https://docs.google.com/spreadsheets/d/1QqKyyYR6Q21VydFLVH3TRQUabQu_ym0Zz7PgGX0-kHA/edit?usp=sharing"",""แผน!HJ27"")"),1284)</f>
        <v>1284</v>
      </c>
      <c r="J593" s="193">
        <f t="shared" ref="J593:J594" si="254">J595+J603+J609</f>
        <v>0</v>
      </c>
      <c r="K593" s="379">
        <f t="shared" ca="1" si="253"/>
        <v>0</v>
      </c>
      <c r="L593" s="163"/>
      <c r="M593" s="163"/>
      <c r="N593" s="163"/>
      <c r="O593" s="163"/>
      <c r="P593" s="163"/>
      <c r="Q593" s="541"/>
      <c r="R593" s="541"/>
      <c r="S593" s="541"/>
      <c r="T593" s="541"/>
      <c r="U593" s="541"/>
      <c r="V593" s="541"/>
      <c r="W593" s="541"/>
      <c r="X593" s="541"/>
      <c r="Y593" s="541"/>
      <c r="Z593" s="541"/>
    </row>
    <row r="594" spans="1:26" ht="19.5">
      <c r="A594" s="572"/>
      <c r="B594" s="584"/>
      <c r="C594" s="584"/>
      <c r="D594" s="584"/>
      <c r="E594" s="592"/>
      <c r="F594" s="592"/>
      <c r="G594" s="726"/>
      <c r="H594" s="731" t="s">
        <v>34</v>
      </c>
      <c r="I594" s="193">
        <f ca="1">IFERROR(__xludf.DUMMYFUNCTION("IMPORTRANGE(""https://docs.google.com/spreadsheets/d/1QqKyyYR6Q21VydFLVH3TRQUabQu_ym0Zz7PgGX0-kHA/edit?usp=sharing"",""แผน!HI27"")"),413)</f>
        <v>413</v>
      </c>
      <c r="J594" s="193">
        <f t="shared" si="254"/>
        <v>0</v>
      </c>
      <c r="K594" s="379">
        <f t="shared" ca="1" si="253"/>
        <v>0</v>
      </c>
      <c r="L594" s="163"/>
      <c r="M594" s="163"/>
      <c r="N594" s="163"/>
      <c r="O594" s="163"/>
      <c r="P594" s="163"/>
      <c r="Q594" s="541"/>
      <c r="R594" s="541"/>
      <c r="S594" s="541"/>
      <c r="T594" s="541"/>
      <c r="U594" s="541"/>
      <c r="V594" s="541"/>
      <c r="W594" s="541"/>
      <c r="X594" s="541"/>
      <c r="Y594" s="541"/>
      <c r="Z594" s="541"/>
    </row>
    <row r="595" spans="1:26" ht="18.75">
      <c r="A595" s="572"/>
      <c r="B595" s="584"/>
      <c r="C595" s="584" t="s">
        <v>253</v>
      </c>
      <c r="D595" s="584"/>
      <c r="E595" s="584"/>
      <c r="F595" s="592"/>
      <c r="G595" s="726"/>
      <c r="H595" s="728" t="s">
        <v>46</v>
      </c>
      <c r="I595" s="184"/>
      <c r="J595" s="184">
        <f t="shared" ref="J595:J596" si="255">J597+J599</f>
        <v>0</v>
      </c>
      <c r="K595" s="163"/>
      <c r="L595" s="163"/>
      <c r="M595" s="163"/>
      <c r="N595" s="163"/>
      <c r="O595" s="163"/>
      <c r="P595" s="163"/>
      <c r="Q595" s="541"/>
      <c r="R595" s="541"/>
      <c r="S595" s="541"/>
      <c r="T595" s="541"/>
      <c r="U595" s="541"/>
      <c r="V595" s="541"/>
      <c r="W595" s="541"/>
      <c r="X595" s="541"/>
      <c r="Y595" s="541"/>
      <c r="Z595" s="541"/>
    </row>
    <row r="596" spans="1:26" ht="18.75">
      <c r="A596" s="572"/>
      <c r="B596" s="584"/>
      <c r="C596" s="584"/>
      <c r="D596" s="584"/>
      <c r="E596" s="592"/>
      <c r="F596" s="592"/>
      <c r="G596" s="726"/>
      <c r="H596" s="728" t="s">
        <v>34</v>
      </c>
      <c r="I596" s="184"/>
      <c r="J596" s="184">
        <f t="shared" si="255"/>
        <v>0</v>
      </c>
      <c r="K596" s="163"/>
      <c r="L596" s="163"/>
      <c r="M596" s="163"/>
      <c r="N596" s="163"/>
      <c r="O596" s="163"/>
      <c r="P596" s="163"/>
      <c r="Q596" s="541"/>
      <c r="R596" s="541"/>
      <c r="S596" s="541"/>
      <c r="T596" s="541"/>
      <c r="U596" s="541"/>
      <c r="V596" s="541"/>
      <c r="W596" s="541"/>
      <c r="X596" s="541"/>
      <c r="Y596" s="541"/>
      <c r="Z596" s="541"/>
    </row>
    <row r="597" spans="1:26" ht="18.75">
      <c r="A597" s="572"/>
      <c r="B597" s="584"/>
      <c r="C597" s="584"/>
      <c r="D597" s="710" t="s">
        <v>254</v>
      </c>
      <c r="E597" s="592"/>
      <c r="F597" s="592"/>
      <c r="G597" s="726"/>
      <c r="H597" s="728" t="s">
        <v>46</v>
      </c>
      <c r="I597" s="184"/>
      <c r="J597" s="214">
        <v>0</v>
      </c>
      <c r="K597" s="163"/>
      <c r="L597" s="163"/>
      <c r="M597" s="163"/>
      <c r="N597" s="163"/>
      <c r="O597" s="163"/>
      <c r="P597" s="163"/>
      <c r="Q597" s="541"/>
      <c r="R597" s="541"/>
      <c r="S597" s="541"/>
      <c r="T597" s="541"/>
      <c r="U597" s="541"/>
      <c r="V597" s="541"/>
      <c r="W597" s="541"/>
      <c r="X597" s="541"/>
      <c r="Y597" s="541"/>
      <c r="Z597" s="541"/>
    </row>
    <row r="598" spans="1:26" ht="18.75">
      <c r="A598" s="572"/>
      <c r="B598" s="584"/>
      <c r="C598" s="584"/>
      <c r="D598" s="584"/>
      <c r="E598" s="592"/>
      <c r="F598" s="592"/>
      <c r="G598" s="726"/>
      <c r="H598" s="728" t="s">
        <v>34</v>
      </c>
      <c r="I598" s="269"/>
      <c r="J598" s="214">
        <v>0</v>
      </c>
      <c r="K598" s="163"/>
      <c r="L598" s="163"/>
      <c r="M598" s="163"/>
      <c r="N598" s="163"/>
      <c r="O598" s="163"/>
      <c r="P598" s="163"/>
      <c r="Q598" s="541"/>
      <c r="R598" s="541"/>
      <c r="S598" s="541"/>
      <c r="T598" s="541"/>
      <c r="U598" s="541"/>
      <c r="V598" s="541"/>
      <c r="W598" s="541"/>
      <c r="X598" s="541"/>
      <c r="Y598" s="541"/>
      <c r="Z598" s="541"/>
    </row>
    <row r="599" spans="1:26" ht="18.75">
      <c r="A599" s="572"/>
      <c r="B599" s="584"/>
      <c r="C599" s="584"/>
      <c r="D599" s="710" t="s">
        <v>255</v>
      </c>
      <c r="E599" s="592"/>
      <c r="F599" s="592"/>
      <c r="G599" s="726"/>
      <c r="H599" s="728" t="s">
        <v>46</v>
      </c>
      <c r="I599" s="269"/>
      <c r="J599" s="214">
        <v>0</v>
      </c>
      <c r="K599" s="163"/>
      <c r="L599" s="163"/>
      <c r="M599" s="163"/>
      <c r="N599" s="163"/>
      <c r="O599" s="163"/>
      <c r="P599" s="163"/>
      <c r="Q599" s="541"/>
      <c r="R599" s="541"/>
      <c r="S599" s="541"/>
      <c r="T599" s="541"/>
      <c r="U599" s="541"/>
      <c r="V599" s="541"/>
      <c r="W599" s="541"/>
      <c r="X599" s="541"/>
      <c r="Y599" s="541"/>
      <c r="Z599" s="541"/>
    </row>
    <row r="600" spans="1:26" ht="18.75">
      <c r="A600" s="572"/>
      <c r="B600" s="584"/>
      <c r="C600" s="584"/>
      <c r="D600" s="584"/>
      <c r="E600" s="592"/>
      <c r="F600" s="592"/>
      <c r="G600" s="726"/>
      <c r="H600" s="728" t="s">
        <v>34</v>
      </c>
      <c r="I600" s="269"/>
      <c r="J600" s="214">
        <v>0</v>
      </c>
      <c r="K600" s="163"/>
      <c r="L600" s="163"/>
      <c r="M600" s="163"/>
      <c r="N600" s="163"/>
      <c r="O600" s="163"/>
      <c r="P600" s="163"/>
      <c r="Q600" s="541"/>
      <c r="R600" s="541"/>
      <c r="S600" s="541"/>
      <c r="T600" s="541"/>
      <c r="U600" s="541"/>
      <c r="V600" s="541"/>
      <c r="W600" s="541"/>
      <c r="X600" s="541"/>
      <c r="Y600" s="541"/>
      <c r="Z600" s="541"/>
    </row>
    <row r="601" spans="1:26" ht="18.75">
      <c r="A601" s="572"/>
      <c r="B601" s="584"/>
      <c r="C601" s="584"/>
      <c r="D601" s="710" t="s">
        <v>256</v>
      </c>
      <c r="E601" s="592"/>
      <c r="F601" s="592"/>
      <c r="G601" s="726"/>
      <c r="H601" s="728" t="s">
        <v>46</v>
      </c>
      <c r="I601" s="269"/>
      <c r="J601" s="214">
        <v>0</v>
      </c>
      <c r="K601" s="163"/>
      <c r="L601" s="163"/>
      <c r="M601" s="163"/>
      <c r="N601" s="163"/>
      <c r="O601" s="163"/>
      <c r="P601" s="163"/>
      <c r="Q601" s="541"/>
      <c r="R601" s="541"/>
      <c r="S601" s="541"/>
      <c r="T601" s="541"/>
      <c r="U601" s="541"/>
      <c r="V601" s="541"/>
      <c r="W601" s="541"/>
      <c r="X601" s="541"/>
      <c r="Y601" s="541"/>
      <c r="Z601" s="541"/>
    </row>
    <row r="602" spans="1:26" ht="18.75">
      <c r="A602" s="572"/>
      <c r="B602" s="584"/>
      <c r="C602" s="584"/>
      <c r="D602" s="584"/>
      <c r="E602" s="592"/>
      <c r="F602" s="592"/>
      <c r="G602" s="726"/>
      <c r="H602" s="728" t="s">
        <v>34</v>
      </c>
      <c r="I602" s="269"/>
      <c r="J602" s="214">
        <v>0</v>
      </c>
      <c r="K602" s="163"/>
      <c r="L602" s="163"/>
      <c r="M602" s="163"/>
      <c r="N602" s="163"/>
      <c r="O602" s="163"/>
      <c r="P602" s="163"/>
      <c r="Q602" s="541"/>
      <c r="R602" s="541"/>
      <c r="S602" s="541"/>
      <c r="T602" s="541"/>
      <c r="U602" s="541"/>
      <c r="V602" s="541"/>
      <c r="W602" s="541"/>
      <c r="X602" s="541"/>
      <c r="Y602" s="541"/>
      <c r="Z602" s="541"/>
    </row>
    <row r="603" spans="1:26" ht="18.75">
      <c r="A603" s="572"/>
      <c r="B603" s="584"/>
      <c r="C603" s="669" t="s">
        <v>257</v>
      </c>
      <c r="D603" s="584"/>
      <c r="E603" s="584"/>
      <c r="F603" s="592"/>
      <c r="G603" s="726"/>
      <c r="H603" s="728" t="s">
        <v>46</v>
      </c>
      <c r="I603" s="269"/>
      <c r="J603" s="269">
        <f t="shared" ref="J603:J604" si="256">J605+J607</f>
        <v>0</v>
      </c>
      <c r="K603" s="163"/>
      <c r="L603" s="163"/>
      <c r="M603" s="163"/>
      <c r="N603" s="163"/>
      <c r="O603" s="163"/>
      <c r="P603" s="163"/>
      <c r="Q603" s="541"/>
      <c r="R603" s="541"/>
      <c r="S603" s="541"/>
      <c r="T603" s="541"/>
      <c r="U603" s="541"/>
      <c r="V603" s="541"/>
      <c r="W603" s="541"/>
      <c r="X603" s="541"/>
      <c r="Y603" s="541"/>
      <c r="Z603" s="541"/>
    </row>
    <row r="604" spans="1:26" ht="18.75">
      <c r="A604" s="572"/>
      <c r="B604" s="584"/>
      <c r="C604" s="584"/>
      <c r="D604" s="584"/>
      <c r="E604" s="592"/>
      <c r="F604" s="592"/>
      <c r="G604" s="726"/>
      <c r="H604" s="728" t="s">
        <v>34</v>
      </c>
      <c r="I604" s="269"/>
      <c r="J604" s="269">
        <f t="shared" si="256"/>
        <v>0</v>
      </c>
      <c r="K604" s="163"/>
      <c r="L604" s="163"/>
      <c r="M604" s="163"/>
      <c r="N604" s="163"/>
      <c r="O604" s="163"/>
      <c r="P604" s="163"/>
      <c r="Q604" s="541"/>
      <c r="R604" s="541"/>
      <c r="S604" s="541"/>
      <c r="T604" s="541"/>
      <c r="U604" s="541"/>
      <c r="V604" s="541"/>
      <c r="W604" s="541"/>
      <c r="X604" s="541"/>
      <c r="Y604" s="541"/>
      <c r="Z604" s="541"/>
    </row>
    <row r="605" spans="1:26" ht="18.75">
      <c r="A605" s="572"/>
      <c r="B605" s="584"/>
      <c r="C605" s="584"/>
      <c r="D605" s="669" t="s">
        <v>258</v>
      </c>
      <c r="E605" s="592"/>
      <c r="F605" s="592"/>
      <c r="G605" s="726"/>
      <c r="H605" s="728" t="s">
        <v>46</v>
      </c>
      <c r="I605" s="269"/>
      <c r="J605" s="214">
        <v>0</v>
      </c>
      <c r="K605" s="163"/>
      <c r="L605" s="163"/>
      <c r="M605" s="163"/>
      <c r="N605" s="163"/>
      <c r="O605" s="163"/>
      <c r="P605" s="163"/>
      <c r="Q605" s="541"/>
      <c r="R605" s="541"/>
      <c r="S605" s="541"/>
      <c r="T605" s="541"/>
      <c r="U605" s="541"/>
      <c r="V605" s="541"/>
      <c r="W605" s="541"/>
      <c r="X605" s="541"/>
      <c r="Y605" s="541"/>
      <c r="Z605" s="541"/>
    </row>
    <row r="606" spans="1:26" ht="18.75">
      <c r="A606" s="572"/>
      <c r="B606" s="584"/>
      <c r="C606" s="584"/>
      <c r="D606" s="584"/>
      <c r="E606" s="584"/>
      <c r="F606" s="592"/>
      <c r="G606" s="726"/>
      <c r="H606" s="728" t="s">
        <v>34</v>
      </c>
      <c r="I606" s="269"/>
      <c r="J606" s="214">
        <v>0</v>
      </c>
      <c r="K606" s="163"/>
      <c r="L606" s="163"/>
      <c r="M606" s="163"/>
      <c r="N606" s="163"/>
      <c r="O606" s="163"/>
      <c r="P606" s="163"/>
      <c r="Q606" s="541"/>
      <c r="R606" s="541"/>
      <c r="S606" s="541"/>
      <c r="T606" s="541"/>
      <c r="U606" s="541"/>
      <c r="V606" s="541"/>
      <c r="W606" s="541"/>
      <c r="X606" s="541"/>
      <c r="Y606" s="541"/>
      <c r="Z606" s="541"/>
    </row>
    <row r="607" spans="1:26" ht="18.75">
      <c r="A607" s="572"/>
      <c r="B607" s="584"/>
      <c r="C607" s="584"/>
      <c r="D607" s="669" t="s">
        <v>259</v>
      </c>
      <c r="E607" s="584"/>
      <c r="F607" s="592"/>
      <c r="G607" s="726"/>
      <c r="H607" s="728" t="s">
        <v>46</v>
      </c>
      <c r="I607" s="269"/>
      <c r="J607" s="214">
        <v>0</v>
      </c>
      <c r="K607" s="163"/>
      <c r="L607" s="163"/>
      <c r="M607" s="163"/>
      <c r="N607" s="163"/>
      <c r="O607" s="163"/>
      <c r="P607" s="163"/>
      <c r="Q607" s="541"/>
      <c r="R607" s="541"/>
      <c r="S607" s="541"/>
      <c r="T607" s="541"/>
      <c r="U607" s="541"/>
      <c r="V607" s="541"/>
      <c r="W607" s="541"/>
      <c r="X607" s="541"/>
      <c r="Y607" s="541"/>
      <c r="Z607" s="541"/>
    </row>
    <row r="608" spans="1:26" ht="18.75">
      <c r="A608" s="572"/>
      <c r="B608" s="584"/>
      <c r="C608" s="584"/>
      <c r="D608" s="584"/>
      <c r="E608" s="592"/>
      <c r="F608" s="592"/>
      <c r="G608" s="726"/>
      <c r="H608" s="728" t="s">
        <v>34</v>
      </c>
      <c r="I608" s="269"/>
      <c r="J608" s="214">
        <v>0</v>
      </c>
      <c r="K608" s="163"/>
      <c r="L608" s="163"/>
      <c r="M608" s="163"/>
      <c r="N608" s="163"/>
      <c r="O608" s="163"/>
      <c r="P608" s="163"/>
      <c r="Q608" s="541"/>
      <c r="R608" s="541"/>
      <c r="S608" s="541"/>
      <c r="T608" s="541"/>
      <c r="U608" s="541"/>
      <c r="V608" s="541"/>
      <c r="W608" s="541"/>
      <c r="X608" s="541"/>
      <c r="Y608" s="541"/>
      <c r="Z608" s="541"/>
    </row>
    <row r="609" spans="1:26" ht="18.75">
      <c r="A609" s="572"/>
      <c r="B609" s="584"/>
      <c r="C609" s="584" t="s">
        <v>260</v>
      </c>
      <c r="D609" s="584"/>
      <c r="E609" s="584"/>
      <c r="F609" s="592"/>
      <c r="G609" s="726"/>
      <c r="H609" s="728" t="s">
        <v>46</v>
      </c>
      <c r="I609" s="269"/>
      <c r="J609" s="214">
        <v>0</v>
      </c>
      <c r="K609" s="163"/>
      <c r="L609" s="163"/>
      <c r="M609" s="163"/>
      <c r="N609" s="163"/>
      <c r="O609" s="163"/>
      <c r="P609" s="163"/>
      <c r="Q609" s="541"/>
      <c r="R609" s="541"/>
      <c r="S609" s="541"/>
      <c r="T609" s="541"/>
      <c r="U609" s="541"/>
      <c r="V609" s="541"/>
      <c r="W609" s="541"/>
      <c r="X609" s="541"/>
      <c r="Y609" s="541"/>
      <c r="Z609" s="541"/>
    </row>
    <row r="610" spans="1:26" ht="18.75">
      <c r="A610" s="572"/>
      <c r="B610" s="584"/>
      <c r="C610" s="584"/>
      <c r="D610" s="584"/>
      <c r="E610" s="592"/>
      <c r="F610" s="592"/>
      <c r="G610" s="726"/>
      <c r="H610" s="728" t="s">
        <v>34</v>
      </c>
      <c r="I610" s="269"/>
      <c r="J610" s="214">
        <v>0</v>
      </c>
      <c r="K610" s="163"/>
      <c r="L610" s="163"/>
      <c r="M610" s="163"/>
      <c r="N610" s="163"/>
      <c r="O610" s="163"/>
      <c r="P610" s="163"/>
      <c r="Q610" s="541"/>
      <c r="R610" s="541"/>
      <c r="S610" s="541"/>
      <c r="T610" s="541"/>
      <c r="U610" s="541"/>
      <c r="V610" s="541"/>
      <c r="W610" s="541"/>
      <c r="X610" s="541"/>
      <c r="Y610" s="541"/>
      <c r="Z610" s="541"/>
    </row>
    <row r="611" spans="1:26" ht="19.5">
      <c r="A611" s="658"/>
      <c r="B611" s="670" t="s">
        <v>261</v>
      </c>
      <c r="C611" s="660"/>
      <c r="D611" s="660"/>
      <c r="E611" s="639"/>
      <c r="F611" s="639"/>
      <c r="G611" s="640"/>
      <c r="H611" s="671" t="s">
        <v>46</v>
      </c>
      <c r="I611" s="672">
        <v>0</v>
      </c>
      <c r="J611" s="672">
        <f>J614+J616</f>
        <v>0</v>
      </c>
      <c r="K611" s="643">
        <f t="shared" ref="K611:K613" si="257">IF(I611&gt;0,J611*100/I611,0)</f>
        <v>0</v>
      </c>
      <c r="L611" s="644"/>
      <c r="M611" s="644"/>
      <c r="N611" s="644"/>
      <c r="O611" s="644"/>
      <c r="P611" s="644"/>
      <c r="Q611" s="541"/>
      <c r="R611" s="541"/>
      <c r="S611" s="541"/>
      <c r="T611" s="541"/>
      <c r="U611" s="541"/>
      <c r="V611" s="541"/>
      <c r="W611" s="541"/>
      <c r="X611" s="541"/>
      <c r="Y611" s="541"/>
      <c r="Z611" s="541"/>
    </row>
    <row r="612" spans="1:26" ht="19.5" hidden="1">
      <c r="A612" s="673"/>
      <c r="B612" s="683"/>
      <c r="C612" s="675" t="s">
        <v>262</v>
      </c>
      <c r="D612" s="683"/>
      <c r="E612" s="683"/>
      <c r="F612" s="676"/>
      <c r="G612" s="677"/>
      <c r="H612" s="678" t="s">
        <v>46</v>
      </c>
      <c r="I612" s="680">
        <v>0</v>
      </c>
      <c r="J612" s="680">
        <f t="shared" ref="J612:J613" si="258">J614+J616</f>
        <v>0</v>
      </c>
      <c r="K612" s="681">
        <f t="shared" si="257"/>
        <v>0</v>
      </c>
      <c r="L612" s="682"/>
      <c r="M612" s="682"/>
      <c r="N612" s="682"/>
      <c r="O612" s="682"/>
      <c r="P612" s="682"/>
      <c r="Q612" s="568"/>
      <c r="R612" s="568"/>
      <c r="S612" s="568"/>
      <c r="T612" s="568"/>
      <c r="U612" s="568"/>
      <c r="V612" s="568"/>
      <c r="W612" s="568"/>
      <c r="X612" s="568"/>
      <c r="Y612" s="568"/>
      <c r="Z612" s="568"/>
    </row>
    <row r="613" spans="1:26" ht="19.5" hidden="1">
      <c r="A613" s="673"/>
      <c r="B613" s="683"/>
      <c r="C613" s="683" t="s">
        <v>263</v>
      </c>
      <c r="D613" s="683"/>
      <c r="E613" s="683"/>
      <c r="F613" s="676"/>
      <c r="G613" s="677"/>
      <c r="H613" s="678" t="s">
        <v>34</v>
      </c>
      <c r="I613" s="680">
        <v>0</v>
      </c>
      <c r="J613" s="680">
        <f t="shared" si="258"/>
        <v>0</v>
      </c>
      <c r="K613" s="681">
        <f t="shared" si="257"/>
        <v>0</v>
      </c>
      <c r="L613" s="682"/>
      <c r="M613" s="682"/>
      <c r="N613" s="682"/>
      <c r="O613" s="682"/>
      <c r="P613" s="682"/>
      <c r="Q613" s="568"/>
      <c r="R613" s="568"/>
      <c r="S613" s="568"/>
      <c r="T613" s="568"/>
      <c r="U613" s="568"/>
      <c r="V613" s="568"/>
      <c r="W613" s="568"/>
      <c r="X613" s="568"/>
      <c r="Y613" s="568"/>
      <c r="Z613" s="568"/>
    </row>
    <row r="614" spans="1:26" ht="18.75" hidden="1">
      <c r="A614" s="578"/>
      <c r="B614" s="580"/>
      <c r="C614" s="580"/>
      <c r="D614" s="684" t="s">
        <v>264</v>
      </c>
      <c r="E614" s="580"/>
      <c r="F614" s="684"/>
      <c r="G614" s="581"/>
      <c r="H614" s="582" t="s">
        <v>46</v>
      </c>
      <c r="I614" s="583"/>
      <c r="J614" s="583">
        <v>0</v>
      </c>
      <c r="K614" s="167"/>
      <c r="L614" s="167"/>
      <c r="M614" s="167"/>
      <c r="N614" s="167"/>
      <c r="O614" s="167"/>
      <c r="P614" s="167"/>
      <c r="Q614" s="568"/>
      <c r="R614" s="568"/>
      <c r="S614" s="568"/>
      <c r="T614" s="568"/>
      <c r="U614" s="568"/>
      <c r="V614" s="568"/>
      <c r="W614" s="568"/>
      <c r="X614" s="568"/>
      <c r="Y614" s="568"/>
      <c r="Z614" s="568"/>
    </row>
    <row r="615" spans="1:26" ht="18.75" hidden="1">
      <c r="A615" s="578"/>
      <c r="B615" s="580"/>
      <c r="C615" s="580"/>
      <c r="D615" s="580"/>
      <c r="E615" s="580"/>
      <c r="F615" s="684"/>
      <c r="G615" s="581"/>
      <c r="H615" s="582" t="s">
        <v>34</v>
      </c>
      <c r="I615" s="583"/>
      <c r="J615" s="583">
        <v>0</v>
      </c>
      <c r="K615" s="167"/>
      <c r="L615" s="167"/>
      <c r="M615" s="167"/>
      <c r="N615" s="167"/>
      <c r="O615" s="167"/>
      <c r="P615" s="167"/>
      <c r="Q615" s="568"/>
      <c r="R615" s="568"/>
      <c r="S615" s="568"/>
      <c r="T615" s="568"/>
      <c r="U615" s="568"/>
      <c r="V615" s="568"/>
      <c r="W615" s="568"/>
      <c r="X615" s="568"/>
      <c r="Y615" s="568"/>
      <c r="Z615" s="568"/>
    </row>
    <row r="616" spans="1:26" ht="18.75" hidden="1">
      <c r="A616" s="578"/>
      <c r="B616" s="580"/>
      <c r="C616" s="580"/>
      <c r="D616" s="685" t="s">
        <v>264</v>
      </c>
      <c r="E616" s="684"/>
      <c r="F616" s="684"/>
      <c r="G616" s="581"/>
      <c r="H616" s="582" t="s">
        <v>46</v>
      </c>
      <c r="I616" s="583"/>
      <c r="J616" s="583">
        <v>0</v>
      </c>
      <c r="K616" s="167"/>
      <c r="L616" s="167"/>
      <c r="M616" s="167"/>
      <c r="N616" s="167"/>
      <c r="O616" s="167"/>
      <c r="P616" s="167"/>
      <c r="Q616" s="568"/>
      <c r="R616" s="568"/>
      <c r="S616" s="568"/>
      <c r="T616" s="568"/>
      <c r="U616" s="568"/>
      <c r="V616" s="568"/>
      <c r="W616" s="568"/>
      <c r="X616" s="568"/>
      <c r="Y616" s="568"/>
      <c r="Z616" s="568"/>
    </row>
    <row r="617" spans="1:26" ht="18.75" hidden="1">
      <c r="A617" s="578"/>
      <c r="B617" s="580"/>
      <c r="C617" s="580"/>
      <c r="D617" s="580"/>
      <c r="E617" s="684"/>
      <c r="F617" s="684"/>
      <c r="G617" s="581"/>
      <c r="H617" s="582" t="s">
        <v>34</v>
      </c>
      <c r="I617" s="583"/>
      <c r="J617" s="583">
        <v>0</v>
      </c>
      <c r="K617" s="167"/>
      <c r="L617" s="167"/>
      <c r="M617" s="167"/>
      <c r="N617" s="167"/>
      <c r="O617" s="167"/>
      <c r="P617" s="167"/>
      <c r="Q617" s="568"/>
      <c r="R617" s="568"/>
      <c r="S617" s="568"/>
      <c r="T617" s="568"/>
      <c r="U617" s="568"/>
      <c r="V617" s="568"/>
      <c r="W617" s="568"/>
      <c r="X617" s="568"/>
      <c r="Y617" s="568"/>
      <c r="Z617" s="568"/>
    </row>
    <row r="618" spans="1:26" ht="18.75" hidden="1">
      <c r="A618" s="578"/>
      <c r="B618" s="580"/>
      <c r="C618" s="580"/>
      <c r="D618" s="685" t="s">
        <v>265</v>
      </c>
      <c r="E618" s="684"/>
      <c r="F618" s="684"/>
      <c r="G618" s="581"/>
      <c r="H618" s="582" t="s">
        <v>46</v>
      </c>
      <c r="I618" s="583"/>
      <c r="J618" s="583">
        <v>0</v>
      </c>
      <c r="K618" s="167"/>
      <c r="L618" s="167"/>
      <c r="M618" s="167"/>
      <c r="N618" s="167"/>
      <c r="O618" s="167"/>
      <c r="P618" s="167"/>
      <c r="Q618" s="568"/>
      <c r="R618" s="568"/>
      <c r="S618" s="568"/>
      <c r="T618" s="568"/>
      <c r="U618" s="568"/>
      <c r="V618" s="568"/>
      <c r="W618" s="568"/>
      <c r="X618" s="568"/>
      <c r="Y618" s="568"/>
      <c r="Z618" s="568"/>
    </row>
    <row r="619" spans="1:26" ht="18.75" hidden="1">
      <c r="A619" s="578"/>
      <c r="B619" s="580"/>
      <c r="C619" s="580"/>
      <c r="D619" s="580"/>
      <c r="E619" s="684"/>
      <c r="F619" s="684"/>
      <c r="G619" s="581"/>
      <c r="H619" s="582" t="s">
        <v>34</v>
      </c>
      <c r="I619" s="583"/>
      <c r="J619" s="583">
        <v>0</v>
      </c>
      <c r="K619" s="167"/>
      <c r="L619" s="167"/>
      <c r="M619" s="167"/>
      <c r="N619" s="167"/>
      <c r="O619" s="167"/>
      <c r="P619" s="167"/>
      <c r="Q619" s="568"/>
      <c r="R619" s="568"/>
      <c r="S619" s="568"/>
      <c r="T619" s="568"/>
      <c r="U619" s="568"/>
      <c r="V619" s="568"/>
      <c r="W619" s="568"/>
      <c r="X619" s="568"/>
      <c r="Y619" s="568"/>
      <c r="Z619" s="568"/>
    </row>
    <row r="620" spans="1:26" ht="19.5">
      <c r="A620" s="686"/>
      <c r="B620" s="695"/>
      <c r="C620" s="688" t="s">
        <v>266</v>
      </c>
      <c r="D620" s="695"/>
      <c r="E620" s="695"/>
      <c r="F620" s="689"/>
      <c r="G620" s="690"/>
      <c r="H620" s="691" t="s">
        <v>46</v>
      </c>
      <c r="I620" s="692">
        <f ca="1">IFERROR(__xludf.DUMMYFUNCTION("IMPORTRANGE(""https://docs.google.com/spreadsheets/d/1QqKyyYR6Q21VydFLVH3TRQUabQu_ym0Zz7PgGX0-kHA/edit?usp=sharing"",""แผน!HL27"")"),0)</f>
        <v>0</v>
      </c>
      <c r="J620" s="692">
        <f t="shared" ref="J620:J621" si="259">J622+J624+J626</f>
        <v>0</v>
      </c>
      <c r="K620" s="693">
        <f t="shared" ref="K620:K621" ca="1" si="260">IF(I620&gt;0,J620*100/I620,0)</f>
        <v>0</v>
      </c>
      <c r="L620" s="694"/>
      <c r="M620" s="694"/>
      <c r="N620" s="694"/>
      <c r="O620" s="694"/>
      <c r="P620" s="694"/>
      <c r="Q620" s="541"/>
      <c r="R620" s="541"/>
      <c r="S620" s="541"/>
      <c r="T620" s="541"/>
      <c r="U620" s="541"/>
      <c r="V620" s="541"/>
      <c r="W620" s="541"/>
      <c r="X620" s="541"/>
      <c r="Y620" s="541"/>
      <c r="Z620" s="541"/>
    </row>
    <row r="621" spans="1:26" ht="19.5">
      <c r="A621" s="686"/>
      <c r="B621" s="695"/>
      <c r="C621" s="695" t="s">
        <v>267</v>
      </c>
      <c r="D621" s="695"/>
      <c r="E621" s="695"/>
      <c r="F621" s="689"/>
      <c r="G621" s="690"/>
      <c r="H621" s="691" t="s">
        <v>34</v>
      </c>
      <c r="I621" s="692">
        <f ca="1">IFERROR(__xludf.DUMMYFUNCTION("IMPORTRANGE(""https://docs.google.com/spreadsheets/d/1QqKyyYR6Q21VydFLVH3TRQUabQu_ym0Zz7PgGX0-kHA/edit?usp=sharing"",""แผน!HK27"")"),0)</f>
        <v>0</v>
      </c>
      <c r="J621" s="692">
        <f t="shared" si="259"/>
        <v>0</v>
      </c>
      <c r="K621" s="693">
        <f t="shared" ca="1" si="260"/>
        <v>0</v>
      </c>
      <c r="L621" s="694"/>
      <c r="M621" s="694"/>
      <c r="N621" s="694"/>
      <c r="O621" s="694"/>
      <c r="P621" s="694"/>
      <c r="Q621" s="541"/>
      <c r="R621" s="541"/>
      <c r="S621" s="541"/>
      <c r="T621" s="541"/>
      <c r="U621" s="541"/>
      <c r="V621" s="541"/>
      <c r="W621" s="541"/>
      <c r="X621" s="541"/>
      <c r="Y621" s="541"/>
      <c r="Z621" s="541"/>
    </row>
    <row r="622" spans="1:26" ht="18.75">
      <c r="A622" s="572"/>
      <c r="B622" s="584"/>
      <c r="C622" s="584"/>
      <c r="D622" s="710" t="s">
        <v>268</v>
      </c>
      <c r="E622" s="592"/>
      <c r="F622" s="592"/>
      <c r="G622" s="726"/>
      <c r="H622" s="728" t="s">
        <v>46</v>
      </c>
      <c r="I622" s="269"/>
      <c r="J622" s="214">
        <v>0</v>
      </c>
      <c r="K622" s="163"/>
      <c r="L622" s="163"/>
      <c r="M622" s="163"/>
      <c r="N622" s="163"/>
      <c r="O622" s="163"/>
      <c r="P622" s="163"/>
      <c r="Q622" s="541"/>
      <c r="R622" s="541"/>
      <c r="S622" s="541"/>
      <c r="T622" s="541"/>
      <c r="U622" s="541"/>
      <c r="V622" s="541"/>
      <c r="W622" s="541"/>
      <c r="X622" s="541"/>
      <c r="Y622" s="541"/>
      <c r="Z622" s="541"/>
    </row>
    <row r="623" spans="1:26" ht="18.75">
      <c r="A623" s="572"/>
      <c r="B623" s="584"/>
      <c r="C623" s="584"/>
      <c r="D623" s="584"/>
      <c r="E623" s="592"/>
      <c r="F623" s="592"/>
      <c r="G623" s="726"/>
      <c r="H623" s="728" t="s">
        <v>34</v>
      </c>
      <c r="I623" s="269"/>
      <c r="J623" s="214">
        <v>0</v>
      </c>
      <c r="K623" s="163"/>
      <c r="L623" s="163"/>
      <c r="M623" s="163"/>
      <c r="N623" s="163"/>
      <c r="O623" s="163"/>
      <c r="P623" s="163"/>
      <c r="Q623" s="541"/>
      <c r="R623" s="541"/>
      <c r="S623" s="541"/>
      <c r="T623" s="541"/>
      <c r="U623" s="541"/>
      <c r="V623" s="541"/>
      <c r="W623" s="541"/>
      <c r="X623" s="541"/>
      <c r="Y623" s="541"/>
      <c r="Z623" s="541"/>
    </row>
    <row r="624" spans="1:26" ht="18.75">
      <c r="A624" s="572"/>
      <c r="B624" s="584"/>
      <c r="C624" s="584"/>
      <c r="D624" s="710" t="s">
        <v>264</v>
      </c>
      <c r="E624" s="592"/>
      <c r="F624" s="592"/>
      <c r="G624" s="726"/>
      <c r="H624" s="728" t="s">
        <v>46</v>
      </c>
      <c r="I624" s="269"/>
      <c r="J624" s="214">
        <v>0</v>
      </c>
      <c r="K624" s="163"/>
      <c r="L624" s="163"/>
      <c r="M624" s="163"/>
      <c r="N624" s="163"/>
      <c r="O624" s="163"/>
      <c r="P624" s="163"/>
      <c r="Q624" s="541"/>
      <c r="R624" s="541"/>
      <c r="S624" s="541"/>
      <c r="T624" s="541"/>
      <c r="U624" s="541"/>
      <c r="V624" s="541"/>
      <c r="W624" s="541"/>
      <c r="X624" s="541"/>
      <c r="Y624" s="541"/>
      <c r="Z624" s="541"/>
    </row>
    <row r="625" spans="1:26" ht="18.75">
      <c r="A625" s="572"/>
      <c r="B625" s="584"/>
      <c r="C625" s="584"/>
      <c r="D625" s="584"/>
      <c r="E625" s="592"/>
      <c r="F625" s="592"/>
      <c r="G625" s="726"/>
      <c r="H625" s="728" t="s">
        <v>34</v>
      </c>
      <c r="I625" s="269"/>
      <c r="J625" s="214">
        <v>0</v>
      </c>
      <c r="K625" s="163"/>
      <c r="L625" s="163"/>
      <c r="M625" s="163"/>
      <c r="N625" s="163"/>
      <c r="O625" s="163"/>
      <c r="P625" s="163"/>
      <c r="Q625" s="541"/>
      <c r="R625" s="541"/>
      <c r="S625" s="541"/>
      <c r="T625" s="541"/>
      <c r="U625" s="541"/>
      <c r="V625" s="541"/>
      <c r="W625" s="541"/>
      <c r="X625" s="541"/>
      <c r="Y625" s="541"/>
      <c r="Z625" s="541"/>
    </row>
    <row r="626" spans="1:26" ht="18.75">
      <c r="A626" s="572"/>
      <c r="B626" s="584"/>
      <c r="C626" s="584"/>
      <c r="D626" s="710" t="s">
        <v>269</v>
      </c>
      <c r="E626" s="592"/>
      <c r="F626" s="592"/>
      <c r="G626" s="726"/>
      <c r="H626" s="728" t="s">
        <v>46</v>
      </c>
      <c r="I626" s="269"/>
      <c r="J626" s="214">
        <v>0</v>
      </c>
      <c r="K626" s="163"/>
      <c r="L626" s="163"/>
      <c r="M626" s="163"/>
      <c r="N626" s="163"/>
      <c r="O626" s="163"/>
      <c r="P626" s="163"/>
      <c r="Q626" s="541"/>
      <c r="R626" s="541"/>
      <c r="S626" s="541"/>
      <c r="T626" s="541"/>
      <c r="U626" s="541"/>
      <c r="V626" s="541"/>
      <c r="W626" s="541"/>
      <c r="X626" s="541"/>
      <c r="Y626" s="541"/>
      <c r="Z626" s="541"/>
    </row>
    <row r="627" spans="1:26" ht="18.75">
      <c r="A627" s="696"/>
      <c r="B627" s="697"/>
      <c r="C627" s="697"/>
      <c r="D627" s="697"/>
      <c r="E627" s="698"/>
      <c r="F627" s="698"/>
      <c r="G627" s="699"/>
      <c r="H627" s="390" t="s">
        <v>34</v>
      </c>
      <c r="I627" s="468"/>
      <c r="J627" s="392">
        <v>0</v>
      </c>
      <c r="K627" s="353"/>
      <c r="L627" s="353"/>
      <c r="M627" s="353"/>
      <c r="N627" s="353"/>
      <c r="O627" s="353"/>
      <c r="P627" s="353"/>
      <c r="Q627" s="541"/>
      <c r="R627" s="541"/>
      <c r="S627" s="541"/>
      <c r="T627" s="541"/>
      <c r="U627" s="541"/>
      <c r="V627" s="541"/>
      <c r="W627" s="541"/>
      <c r="X627" s="541"/>
      <c r="Y627" s="541"/>
      <c r="Z627" s="541"/>
    </row>
    <row r="628" spans="1:26" ht="19.5" hidden="1">
      <c r="A628" s="700">
        <v>7</v>
      </c>
      <c r="B628" s="701" t="s">
        <v>270</v>
      </c>
      <c r="C628" s="702"/>
      <c r="D628" s="702"/>
      <c r="E628" s="702"/>
      <c r="F628" s="702"/>
      <c r="G628" s="703"/>
      <c r="H628" s="704" t="s">
        <v>35</v>
      </c>
      <c r="I628" s="705">
        <f t="shared" ref="I628:J628" ca="1" si="261">I651</f>
        <v>0</v>
      </c>
      <c r="J628" s="705">
        <f t="shared" ca="1" si="261"/>
        <v>0</v>
      </c>
      <c r="K628" s="706">
        <f ca="1">IF(I628&gt;0,J628*100/I628,0)</f>
        <v>0</v>
      </c>
      <c r="L628" s="707"/>
      <c r="M628" s="707"/>
      <c r="N628" s="707"/>
      <c r="O628" s="707"/>
      <c r="P628" s="707"/>
      <c r="Q628" s="541"/>
      <c r="R628" s="541"/>
      <c r="S628" s="541"/>
      <c r="T628" s="541"/>
      <c r="U628" s="541"/>
      <c r="V628" s="541"/>
      <c r="W628" s="541"/>
      <c r="X628" s="541"/>
      <c r="Y628" s="541"/>
      <c r="Z628" s="541"/>
    </row>
    <row r="629" spans="1:26" ht="19.5" hidden="1">
      <c r="A629" s="561"/>
      <c r="B629" s="727"/>
      <c r="C629" s="727" t="s">
        <v>16</v>
      </c>
      <c r="D629" s="811" t="s">
        <v>17</v>
      </c>
      <c r="E629" s="805"/>
      <c r="F629" s="805"/>
      <c r="G629" s="189"/>
      <c r="H629" s="562" t="s">
        <v>12</v>
      </c>
      <c r="I629" s="269"/>
      <c r="J629" s="269"/>
      <c r="K629" s="465"/>
      <c r="L629" s="195">
        <f t="shared" ref="L629:N629" ca="1" si="262">L630+L631</f>
        <v>0</v>
      </c>
      <c r="M629" s="195">
        <f t="shared" si="262"/>
        <v>0</v>
      </c>
      <c r="N629" s="195">
        <f t="shared" si="262"/>
        <v>0</v>
      </c>
      <c r="O629" s="195">
        <f t="shared" ref="O629:O634" ca="1" si="263">IF(L629&gt;0,N629*100/L629,0)</f>
        <v>0</v>
      </c>
      <c r="P629" s="195">
        <f t="shared" ref="P629:P634" si="264">IF(M629&gt;0,N629*100/M629,0)</f>
        <v>0</v>
      </c>
      <c r="Q629" s="541"/>
      <c r="R629" s="541"/>
      <c r="S629" s="541"/>
      <c r="T629" s="541"/>
      <c r="U629" s="541"/>
      <c r="V629" s="541"/>
      <c r="W629" s="541"/>
      <c r="X629" s="541"/>
      <c r="Y629" s="541"/>
      <c r="Z629" s="541"/>
    </row>
    <row r="630" spans="1:26" ht="18.75" hidden="1">
      <c r="A630" s="563"/>
      <c r="B630" s="723"/>
      <c r="C630" s="723"/>
      <c r="D630" s="684"/>
      <c r="E630" s="723" t="s">
        <v>184</v>
      </c>
      <c r="F630" s="723"/>
      <c r="G630" s="567"/>
      <c r="H630" s="165" t="s">
        <v>12</v>
      </c>
      <c r="I630" s="583"/>
      <c r="J630" s="583"/>
      <c r="K630" s="93"/>
      <c r="L630" s="93">
        <f t="shared" ref="L630:N631" si="265">L633+L640</f>
        <v>0</v>
      </c>
      <c r="M630" s="93">
        <f t="shared" si="265"/>
        <v>0</v>
      </c>
      <c r="N630" s="93">
        <f t="shared" si="265"/>
        <v>0</v>
      </c>
      <c r="O630" s="93">
        <f t="shared" si="263"/>
        <v>0</v>
      </c>
      <c r="P630" s="93">
        <f t="shared" si="264"/>
        <v>0</v>
      </c>
      <c r="Q630" s="568"/>
      <c r="R630" s="568"/>
      <c r="S630" s="568"/>
      <c r="T630" s="568"/>
      <c r="U630" s="568"/>
      <c r="V630" s="568"/>
      <c r="W630" s="568"/>
      <c r="X630" s="568"/>
      <c r="Y630" s="568"/>
      <c r="Z630" s="568"/>
    </row>
    <row r="631" spans="1:26" ht="18.75" hidden="1">
      <c r="A631" s="563"/>
      <c r="B631" s="571"/>
      <c r="C631" s="723"/>
      <c r="D631" s="684"/>
      <c r="E631" s="723" t="s">
        <v>185</v>
      </c>
      <c r="F631" s="723"/>
      <c r="G631" s="567"/>
      <c r="H631" s="165" t="s">
        <v>12</v>
      </c>
      <c r="I631" s="583"/>
      <c r="J631" s="583"/>
      <c r="K631" s="93"/>
      <c r="L631" s="93">
        <f t="shared" ca="1" si="265"/>
        <v>0</v>
      </c>
      <c r="M631" s="93">
        <f t="shared" si="265"/>
        <v>0</v>
      </c>
      <c r="N631" s="93">
        <f t="shared" si="265"/>
        <v>0</v>
      </c>
      <c r="O631" s="93">
        <f t="shared" ca="1" si="263"/>
        <v>0</v>
      </c>
      <c r="P631" s="93">
        <f t="shared" si="264"/>
        <v>0</v>
      </c>
      <c r="Q631" s="568"/>
      <c r="R631" s="568"/>
      <c r="S631" s="568"/>
      <c r="T631" s="568"/>
      <c r="U631" s="568"/>
      <c r="V631" s="568"/>
      <c r="W631" s="568"/>
      <c r="X631" s="568"/>
      <c r="Y631" s="568"/>
      <c r="Z631" s="568"/>
    </row>
    <row r="632" spans="1:26" ht="18.75" hidden="1">
      <c r="A632" s="561"/>
      <c r="B632" s="538"/>
      <c r="C632" s="727"/>
      <c r="D632" s="570" t="s">
        <v>20</v>
      </c>
      <c r="E632" s="727"/>
      <c r="F632" s="727"/>
      <c r="G632" s="189"/>
      <c r="H632" s="161" t="s">
        <v>12</v>
      </c>
      <c r="I632" s="184"/>
      <c r="J632" s="184"/>
      <c r="K632" s="163"/>
      <c r="L632" s="465">
        <f t="shared" ref="L632:N632" ca="1" si="266">L633+L634</f>
        <v>0</v>
      </c>
      <c r="M632" s="465">
        <f t="shared" si="266"/>
        <v>0</v>
      </c>
      <c r="N632" s="465">
        <f t="shared" si="266"/>
        <v>0</v>
      </c>
      <c r="O632" s="465">
        <f t="shared" ca="1" si="263"/>
        <v>0</v>
      </c>
      <c r="P632" s="465">
        <f t="shared" si="264"/>
        <v>0</v>
      </c>
      <c r="Q632" s="541"/>
      <c r="R632" s="541"/>
      <c r="S632" s="541"/>
      <c r="T632" s="541"/>
      <c r="U632" s="541"/>
      <c r="V632" s="541"/>
      <c r="W632" s="541"/>
      <c r="X632" s="541"/>
      <c r="Y632" s="541"/>
      <c r="Z632" s="541"/>
    </row>
    <row r="633" spans="1:26" ht="18.75" hidden="1">
      <c r="A633" s="563"/>
      <c r="B633" s="571"/>
      <c r="C633" s="723"/>
      <c r="D633" s="684"/>
      <c r="E633" s="723" t="s">
        <v>184</v>
      </c>
      <c r="F633" s="723"/>
      <c r="G633" s="567"/>
      <c r="H633" s="165" t="s">
        <v>12</v>
      </c>
      <c r="I633" s="583"/>
      <c r="J633" s="583"/>
      <c r="K633" s="93"/>
      <c r="L633" s="93">
        <v>0</v>
      </c>
      <c r="M633" s="93">
        <v>0</v>
      </c>
      <c r="N633" s="93">
        <v>0</v>
      </c>
      <c r="O633" s="93">
        <f t="shared" si="263"/>
        <v>0</v>
      </c>
      <c r="P633" s="93">
        <f t="shared" si="264"/>
        <v>0</v>
      </c>
      <c r="Q633" s="568"/>
      <c r="R633" s="568"/>
      <c r="S633" s="568"/>
      <c r="T633" s="568"/>
      <c r="U633" s="568"/>
      <c r="V633" s="568"/>
      <c r="W633" s="568"/>
      <c r="X633" s="568"/>
      <c r="Y633" s="568"/>
      <c r="Z633" s="568"/>
    </row>
    <row r="634" spans="1:26" ht="18.75" hidden="1">
      <c r="A634" s="563"/>
      <c r="B634" s="571"/>
      <c r="C634" s="723"/>
      <c r="D634" s="684"/>
      <c r="E634" s="723" t="s">
        <v>185</v>
      </c>
      <c r="F634" s="723"/>
      <c r="G634" s="567"/>
      <c r="H634" s="165" t="s">
        <v>12</v>
      </c>
      <c r="I634" s="583"/>
      <c r="J634" s="583"/>
      <c r="K634" s="93"/>
      <c r="L634" s="93">
        <f ca="1">IFERROR(__xludf.DUMMYFUNCTION("IMPORTRANGE(""https://docs.google.com/spreadsheets/d/1QqKyyYR6Q21VydFLVH3TRQUabQu_ym0Zz7PgGX0-kHA/edit?usp=sharing"",""แผน!HN27"")"),0)</f>
        <v>0</v>
      </c>
      <c r="M634" s="93">
        <v>0</v>
      </c>
      <c r="N634" s="93">
        <f>N635+N636+N637+N638</f>
        <v>0</v>
      </c>
      <c r="O634" s="93">
        <f t="shared" ca="1" si="263"/>
        <v>0</v>
      </c>
      <c r="P634" s="93">
        <f t="shared" si="264"/>
        <v>0</v>
      </c>
      <c r="Q634" s="568"/>
      <c r="R634" s="568"/>
      <c r="S634" s="568"/>
      <c r="T634" s="568"/>
      <c r="U634" s="568"/>
      <c r="V634" s="568"/>
      <c r="W634" s="568"/>
      <c r="X634" s="568"/>
      <c r="Y634" s="568"/>
      <c r="Z634" s="568"/>
    </row>
    <row r="635" spans="1:26" ht="18.75" hidden="1">
      <c r="A635" s="537"/>
      <c r="B635" s="538"/>
      <c r="C635" s="727"/>
      <c r="D635" s="727"/>
      <c r="E635" s="727"/>
      <c r="F635" s="727" t="s">
        <v>186</v>
      </c>
      <c r="G635" s="189"/>
      <c r="H635" s="161" t="s">
        <v>12</v>
      </c>
      <c r="I635" s="269"/>
      <c r="J635" s="269"/>
      <c r="K635" s="465"/>
      <c r="L635" s="465"/>
      <c r="M635" s="465"/>
      <c r="N635" s="789">
        <v>0</v>
      </c>
      <c r="O635" s="465"/>
      <c r="P635" s="465"/>
      <c r="Q635" s="541"/>
      <c r="R635" s="541"/>
      <c r="S635" s="541"/>
      <c r="T635" s="541"/>
      <c r="U635" s="541"/>
      <c r="V635" s="541"/>
      <c r="W635" s="541"/>
      <c r="X635" s="541"/>
      <c r="Y635" s="541"/>
      <c r="Z635" s="541"/>
    </row>
    <row r="636" spans="1:26" ht="18.75" hidden="1">
      <c r="A636" s="537"/>
      <c r="B636" s="538"/>
      <c r="C636" s="727"/>
      <c r="D636" s="727"/>
      <c r="E636" s="727"/>
      <c r="F636" s="727" t="s">
        <v>187</v>
      </c>
      <c r="G636" s="189"/>
      <c r="H636" s="161" t="s">
        <v>12</v>
      </c>
      <c r="I636" s="269"/>
      <c r="J636" s="269"/>
      <c r="K636" s="465"/>
      <c r="L636" s="465"/>
      <c r="M636" s="465"/>
      <c r="N636" s="789">
        <v>0</v>
      </c>
      <c r="O636" s="465"/>
      <c r="P636" s="465"/>
      <c r="Q636" s="541"/>
      <c r="R636" s="541"/>
      <c r="S636" s="541"/>
      <c r="T636" s="541"/>
      <c r="U636" s="541"/>
      <c r="V636" s="541"/>
      <c r="W636" s="541"/>
      <c r="X636" s="541"/>
      <c r="Y636" s="541"/>
      <c r="Z636" s="541"/>
    </row>
    <row r="637" spans="1:26" ht="18.75" hidden="1">
      <c r="A637" s="537"/>
      <c r="B637" s="538"/>
      <c r="C637" s="727"/>
      <c r="D637" s="727"/>
      <c r="E637" s="727"/>
      <c r="F637" s="727" t="s">
        <v>188</v>
      </c>
      <c r="G637" s="189"/>
      <c r="H637" s="161" t="s">
        <v>12</v>
      </c>
      <c r="I637" s="269"/>
      <c r="J637" s="269"/>
      <c r="K637" s="465"/>
      <c r="L637" s="465"/>
      <c r="M637" s="465"/>
      <c r="N637" s="789">
        <v>0</v>
      </c>
      <c r="O637" s="465"/>
      <c r="P637" s="465"/>
      <c r="Q637" s="541"/>
      <c r="R637" s="541"/>
      <c r="S637" s="541"/>
      <c r="T637" s="541"/>
      <c r="U637" s="541"/>
      <c r="V637" s="541"/>
      <c r="W637" s="541"/>
      <c r="X637" s="541"/>
      <c r="Y637" s="541"/>
      <c r="Z637" s="541"/>
    </row>
    <row r="638" spans="1:26" ht="18.75" hidden="1">
      <c r="A638" s="537"/>
      <c r="B638" s="538"/>
      <c r="C638" s="727"/>
      <c r="D638" s="727"/>
      <c r="E638" s="727"/>
      <c r="F638" s="727" t="s">
        <v>189</v>
      </c>
      <c r="G638" s="189"/>
      <c r="H638" s="161" t="s">
        <v>12</v>
      </c>
      <c r="I638" s="269"/>
      <c r="J638" s="269"/>
      <c r="K638" s="465"/>
      <c r="L638" s="465"/>
      <c r="M638" s="465"/>
      <c r="N638" s="789">
        <v>0</v>
      </c>
      <c r="O638" s="465"/>
      <c r="P638" s="465"/>
      <c r="Q638" s="541"/>
      <c r="R638" s="541"/>
      <c r="S638" s="541"/>
      <c r="T638" s="541"/>
      <c r="U638" s="541"/>
      <c r="V638" s="541"/>
      <c r="W638" s="541"/>
      <c r="X638" s="541"/>
      <c r="Y638" s="541"/>
      <c r="Z638" s="541"/>
    </row>
    <row r="639" spans="1:26" ht="18.75" hidden="1">
      <c r="A639" s="561"/>
      <c r="B639" s="538"/>
      <c r="C639" s="727"/>
      <c r="D639" s="570" t="s">
        <v>21</v>
      </c>
      <c r="E639" s="727"/>
      <c r="F639" s="727"/>
      <c r="G639" s="189"/>
      <c r="H639" s="168" t="s">
        <v>12</v>
      </c>
      <c r="I639" s="184"/>
      <c r="J639" s="184"/>
      <c r="K639" s="163"/>
      <c r="L639" s="465">
        <f t="shared" ref="L639:N639" ca="1" si="267">L640+L641</f>
        <v>0</v>
      </c>
      <c r="M639" s="465">
        <f t="shared" si="267"/>
        <v>0</v>
      </c>
      <c r="N639" s="465">
        <f t="shared" si="267"/>
        <v>0</v>
      </c>
      <c r="O639" s="465">
        <f t="shared" ref="O639:O641" ca="1" si="268">IF(L639&gt;0,N639*100/L639,0)</f>
        <v>0</v>
      </c>
      <c r="P639" s="465">
        <f t="shared" ref="P639:P641" si="269">IF(M639&gt;0,N639*100/M639,0)</f>
        <v>0</v>
      </c>
      <c r="Q639" s="541"/>
      <c r="R639" s="541"/>
      <c r="S639" s="541"/>
      <c r="T639" s="541"/>
      <c r="U639" s="541"/>
      <c r="V639" s="541"/>
      <c r="W639" s="541"/>
      <c r="X639" s="541"/>
      <c r="Y639" s="541"/>
      <c r="Z639" s="541"/>
    </row>
    <row r="640" spans="1:26" ht="18.75" hidden="1">
      <c r="A640" s="563"/>
      <c r="B640" s="571"/>
      <c r="C640" s="723"/>
      <c r="D640" s="723"/>
      <c r="E640" s="723" t="s">
        <v>18</v>
      </c>
      <c r="F640" s="723"/>
      <c r="G640" s="567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8"/>
        <v>0</v>
      </c>
      <c r="P640" s="93">
        <f t="shared" si="269"/>
        <v>0</v>
      </c>
      <c r="Q640" s="568"/>
      <c r="R640" s="568"/>
      <c r="S640" s="568"/>
      <c r="T640" s="568"/>
      <c r="U640" s="568"/>
      <c r="V640" s="568"/>
      <c r="W640" s="568"/>
      <c r="X640" s="568"/>
      <c r="Y640" s="568"/>
      <c r="Z640" s="568"/>
    </row>
    <row r="641" spans="1:26" ht="18.75" hidden="1">
      <c r="A641" s="563"/>
      <c r="B641" s="571"/>
      <c r="C641" s="723"/>
      <c r="D641" s="723"/>
      <c r="E641" s="723" t="s">
        <v>19</v>
      </c>
      <c r="F641" s="723"/>
      <c r="G641" s="567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IFERROR(__xludf.DUMMYFUNCTION("IMPORTRANGE(""https://docs.google.com/spreadsheets/d/1QqKyyYR6Q21VydFLVH3TRQUabQu_ym0Zz7PgGX0-kHA/edit?usp=sharing"",""แผน!HQ27"")"),0)</f>
        <v>0</v>
      </c>
      <c r="M641" s="93">
        <v>0</v>
      </c>
      <c r="N641" s="93">
        <v>0</v>
      </c>
      <c r="O641" s="93">
        <f t="shared" ca="1" si="268"/>
        <v>0</v>
      </c>
      <c r="P641" s="93">
        <f t="shared" si="269"/>
        <v>0</v>
      </c>
      <c r="Q641" s="568"/>
      <c r="R641" s="568"/>
      <c r="S641" s="568"/>
      <c r="T641" s="568"/>
      <c r="U641" s="568"/>
      <c r="V641" s="568"/>
      <c r="W641" s="568"/>
      <c r="X641" s="568"/>
      <c r="Y641" s="568"/>
      <c r="Z641" s="568"/>
    </row>
    <row r="642" spans="1:26" ht="19.5" hidden="1">
      <c r="A642" s="572"/>
      <c r="B642" s="584"/>
      <c r="C642" s="727" t="s">
        <v>16</v>
      </c>
      <c r="D642" s="853" t="s">
        <v>38</v>
      </c>
      <c r="E642" s="725"/>
      <c r="F642" s="725"/>
      <c r="G642" s="577"/>
      <c r="H642" s="726"/>
      <c r="I642" s="184"/>
      <c r="J642" s="184"/>
      <c r="K642" s="163"/>
      <c r="L642" s="163"/>
      <c r="M642" s="163"/>
      <c r="N642" s="163"/>
      <c r="O642" s="163"/>
      <c r="P642" s="163"/>
      <c r="Q642" s="541"/>
      <c r="R642" s="541"/>
      <c r="S642" s="541"/>
      <c r="T642" s="541"/>
      <c r="U642" s="541"/>
      <c r="V642" s="541"/>
      <c r="W642" s="541"/>
      <c r="X642" s="541"/>
      <c r="Y642" s="541"/>
      <c r="Z642" s="541"/>
    </row>
    <row r="643" spans="1:26" ht="18.75" hidden="1">
      <c r="A643" s="708"/>
      <c r="B643" s="538"/>
      <c r="C643" s="727"/>
      <c r="D643" s="592"/>
      <c r="E643" s="710" t="s">
        <v>271</v>
      </c>
      <c r="F643" s="592"/>
      <c r="G643" s="726"/>
      <c r="H643" s="728" t="s">
        <v>272</v>
      </c>
      <c r="I643" s="269">
        <f ca="1">IFERROR(__xludf.DUMMYFUNCTION("IMPORTRANGE(""https://docs.google.com/spreadsheets/d/1QqKyyYR6Q21VydFLVH3TRQUabQu_ym0Zz7PgGX0-kHA/edit?usp=sharing"",""แผน!HR27"")"),0)</f>
        <v>0</v>
      </c>
      <c r="J643" s="214">
        <v>0</v>
      </c>
      <c r="K643" s="163">
        <f t="shared" ref="K643:K652" ca="1" si="270">IF(I643&gt;0,J643*100/I643,0)</f>
        <v>0</v>
      </c>
      <c r="L643" s="163"/>
      <c r="M643" s="163"/>
      <c r="N643" s="465"/>
      <c r="O643" s="163"/>
      <c r="P643" s="163"/>
      <c r="Q643" s="541"/>
      <c r="R643" s="541"/>
      <c r="S643" s="541"/>
      <c r="T643" s="541"/>
      <c r="U643" s="541"/>
      <c r="V643" s="541"/>
      <c r="W643" s="541"/>
      <c r="X643" s="541"/>
      <c r="Y643" s="541"/>
      <c r="Z643" s="541"/>
    </row>
    <row r="644" spans="1:26" ht="18.75" hidden="1">
      <c r="A644" s="708"/>
      <c r="B644" s="538"/>
      <c r="C644" s="727"/>
      <c r="D644" s="592"/>
      <c r="E644" s="710" t="s">
        <v>273</v>
      </c>
      <c r="F644" s="592"/>
      <c r="G644" s="726"/>
      <c r="H644" s="728" t="s">
        <v>274</v>
      </c>
      <c r="I644" s="269">
        <f ca="1">IFERROR(__xludf.DUMMYFUNCTION("IMPORTRANGE(""https://docs.google.com/spreadsheets/d/1QqKyyYR6Q21VydFLVH3TRQUabQu_ym0Zz7PgGX0-kHA/edit?usp=sharing"",""แผน!HR27"")"),0)</f>
        <v>0</v>
      </c>
      <c r="J644" s="214">
        <v>0</v>
      </c>
      <c r="K644" s="163">
        <f t="shared" ca="1" si="270"/>
        <v>0</v>
      </c>
      <c r="L644" s="163"/>
      <c r="M644" s="163"/>
      <c r="N644" s="465"/>
      <c r="O644" s="163"/>
      <c r="P644" s="163"/>
      <c r="Q644" s="541"/>
      <c r="R644" s="541"/>
      <c r="S644" s="541"/>
      <c r="T644" s="541"/>
      <c r="U644" s="541"/>
      <c r="V644" s="541"/>
      <c r="W644" s="541"/>
      <c r="X644" s="541"/>
      <c r="Y644" s="541"/>
      <c r="Z644" s="541"/>
    </row>
    <row r="645" spans="1:26" ht="18.75" hidden="1">
      <c r="A645" s="708"/>
      <c r="B645" s="538"/>
      <c r="C645" s="727"/>
      <c r="D645" s="592"/>
      <c r="E645" s="710" t="s">
        <v>275</v>
      </c>
      <c r="F645" s="592"/>
      <c r="G645" s="726"/>
      <c r="H645" s="728" t="s">
        <v>34</v>
      </c>
      <c r="I645" s="269">
        <v>0</v>
      </c>
      <c r="J645" s="269">
        <f ca="1">IFERROR(__xludf.DUMMYFUNCTION("IMPORTRANGE(""https://docs.google.com/spreadsheets/d/1XWAQStnk-4SwqDmLtmXYiTMKHgktTP8We1SCoS47DrQ/edit?usp=sharing"",""จัดที่ดิน!AS27"")"),0)</f>
        <v>0</v>
      </c>
      <c r="K645" s="163">
        <f t="shared" si="270"/>
        <v>0</v>
      </c>
      <c r="L645" s="163"/>
      <c r="M645" s="163"/>
      <c r="N645" s="465"/>
      <c r="O645" s="163"/>
      <c r="P645" s="163"/>
      <c r="Q645" s="541"/>
      <c r="R645" s="541"/>
      <c r="S645" s="541"/>
      <c r="T645" s="541"/>
      <c r="U645" s="541"/>
      <c r="V645" s="541"/>
      <c r="W645" s="541"/>
      <c r="X645" s="541"/>
      <c r="Y645" s="541"/>
      <c r="Z645" s="541"/>
    </row>
    <row r="646" spans="1:26" ht="18.75" hidden="1">
      <c r="A646" s="708"/>
      <c r="B646" s="538"/>
      <c r="C646" s="727"/>
      <c r="D646" s="592"/>
      <c r="E646" s="592"/>
      <c r="F646" s="592"/>
      <c r="G646" s="726"/>
      <c r="H646" s="728" t="s">
        <v>46</v>
      </c>
      <c r="I646" s="269">
        <v>0</v>
      </c>
      <c r="J646" s="269">
        <f ca="1">IFERROR(__xludf.DUMMYFUNCTION("IMPORTRANGE(""https://docs.google.com/spreadsheets/d/1XWAQStnk-4SwqDmLtmXYiTMKHgktTP8We1SCoS47DrQ/edit?usp=sharing"",""จัดที่ดิน!AT27"")"),0)</f>
        <v>0</v>
      </c>
      <c r="K646" s="465">
        <f t="shared" si="270"/>
        <v>0</v>
      </c>
      <c r="L646" s="163"/>
      <c r="M646" s="163"/>
      <c r="N646" s="465"/>
      <c r="O646" s="163"/>
      <c r="P646" s="163"/>
      <c r="Q646" s="541"/>
      <c r="R646" s="541"/>
      <c r="S646" s="541"/>
      <c r="T646" s="541"/>
      <c r="U646" s="541"/>
      <c r="V646" s="541"/>
      <c r="W646" s="541"/>
      <c r="X646" s="541"/>
      <c r="Y646" s="541"/>
      <c r="Z646" s="541"/>
    </row>
    <row r="647" spans="1:26" ht="18.75" hidden="1">
      <c r="A647" s="708"/>
      <c r="B647" s="538"/>
      <c r="C647" s="727"/>
      <c r="D647" s="592"/>
      <c r="E647" s="710" t="s">
        <v>162</v>
      </c>
      <c r="F647" s="592"/>
      <c r="G647" s="726"/>
      <c r="H647" s="728" t="s">
        <v>35</v>
      </c>
      <c r="I647" s="269">
        <f ca="1">IFERROR(__xludf.DUMMYFUNCTION("IMPORTRANGE(""https://docs.google.com/spreadsheets/d/1QqKyyYR6Q21VydFLVH3TRQUabQu_ym0Zz7PgGX0-kHA/edit?usp=sharing"",""แผน!HS27"")"),0)</f>
        <v>0</v>
      </c>
      <c r="J647" s="269">
        <f ca="1">IFERROR(__xludf.DUMMYFUNCTION("IMPORTRANGE(""https://docs.google.com/spreadsheets/d/1XWAQStnk-4SwqDmLtmXYiTMKHgktTP8We1SCoS47DrQ/edit?usp=sharing"",""จัดที่ดิน!AU27"")"),0)</f>
        <v>0</v>
      </c>
      <c r="K647" s="163">
        <f t="shared" ca="1" si="270"/>
        <v>0</v>
      </c>
      <c r="L647" s="163"/>
      <c r="M647" s="163"/>
      <c r="N647" s="163"/>
      <c r="O647" s="163"/>
      <c r="P647" s="163"/>
      <c r="Q647" s="541"/>
      <c r="R647" s="541"/>
      <c r="S647" s="541"/>
      <c r="T647" s="541"/>
      <c r="U647" s="541"/>
      <c r="V647" s="541"/>
      <c r="W647" s="541"/>
      <c r="X647" s="541"/>
      <c r="Y647" s="541"/>
      <c r="Z647" s="541"/>
    </row>
    <row r="648" spans="1:26" ht="18.75" hidden="1">
      <c r="A648" s="708"/>
      <c r="B648" s="538"/>
      <c r="C648" s="727"/>
      <c r="D648" s="592"/>
      <c r="E648" s="592"/>
      <c r="F648" s="592"/>
      <c r="G648" s="726"/>
      <c r="H648" s="728" t="s">
        <v>46</v>
      </c>
      <c r="I648" s="269">
        <v>0</v>
      </c>
      <c r="J648" s="269">
        <f ca="1">IFERROR(__xludf.DUMMYFUNCTION("IMPORTRANGE(""https://docs.google.com/spreadsheets/d/1XWAQStnk-4SwqDmLtmXYiTMKHgktTP8We1SCoS47DrQ/edit?usp=sharing"",""จัดที่ดิน!AV27"")"),0)</f>
        <v>0</v>
      </c>
      <c r="K648" s="465">
        <f t="shared" si="270"/>
        <v>0</v>
      </c>
      <c r="L648" s="163"/>
      <c r="M648" s="163"/>
      <c r="N648" s="163"/>
      <c r="O648" s="163"/>
      <c r="P648" s="163"/>
      <c r="Q648" s="541"/>
      <c r="R648" s="541"/>
      <c r="S648" s="541"/>
      <c r="T648" s="541"/>
      <c r="U648" s="541"/>
      <c r="V648" s="541"/>
      <c r="W648" s="541"/>
      <c r="X648" s="541"/>
      <c r="Y648" s="541"/>
      <c r="Z648" s="541"/>
    </row>
    <row r="649" spans="1:26" ht="18.75" hidden="1">
      <c r="A649" s="708"/>
      <c r="B649" s="538"/>
      <c r="C649" s="727"/>
      <c r="D649" s="592"/>
      <c r="E649" s="710" t="s">
        <v>276</v>
      </c>
      <c r="F649" s="592"/>
      <c r="G649" s="726"/>
      <c r="H649" s="728" t="s">
        <v>35</v>
      </c>
      <c r="I649" s="269">
        <f ca="1">IFERROR(__xludf.DUMMYFUNCTION("IMPORTRANGE(""https://docs.google.com/spreadsheets/d/1QqKyyYR6Q21VydFLVH3TRQUabQu_ym0Zz7PgGX0-kHA/edit?usp=sharing"",""แผน!HS27"")"),0)</f>
        <v>0</v>
      </c>
      <c r="J649" s="269">
        <f ca="1">IFERROR(__xludf.DUMMYFUNCTION("IMPORTRANGE(""https://docs.google.com/spreadsheets/d/1XWAQStnk-4SwqDmLtmXYiTMKHgktTP8We1SCoS47DrQ/edit?usp=sharing"",""จัดที่ดิน!AW27"")"),0)</f>
        <v>0</v>
      </c>
      <c r="K649" s="163">
        <f t="shared" ca="1" si="270"/>
        <v>0</v>
      </c>
      <c r="L649" s="163"/>
      <c r="M649" s="163"/>
      <c r="N649" s="163"/>
      <c r="O649" s="163"/>
      <c r="P649" s="163"/>
      <c r="Q649" s="541"/>
      <c r="R649" s="541"/>
      <c r="S649" s="541"/>
      <c r="T649" s="541"/>
      <c r="U649" s="541"/>
      <c r="V649" s="541"/>
      <c r="W649" s="541"/>
      <c r="X649" s="541"/>
      <c r="Y649" s="541"/>
      <c r="Z649" s="541"/>
    </row>
    <row r="650" spans="1:26" ht="18.75" hidden="1">
      <c r="A650" s="708"/>
      <c r="B650" s="538"/>
      <c r="C650" s="727"/>
      <c r="D650" s="592"/>
      <c r="E650" s="592"/>
      <c r="F650" s="592"/>
      <c r="G650" s="726"/>
      <c r="H650" s="728" t="s">
        <v>46</v>
      </c>
      <c r="I650" s="269">
        <v>0</v>
      </c>
      <c r="J650" s="269">
        <f ca="1">IFERROR(__xludf.DUMMYFUNCTION("IMPORTRANGE(""https://docs.google.com/spreadsheets/d/1XWAQStnk-4SwqDmLtmXYiTMKHgktTP8We1SCoS47DrQ/edit?usp=sharing"",""จัดที่ดิน!AX27"")"),0)</f>
        <v>0</v>
      </c>
      <c r="K650" s="465">
        <f t="shared" si="270"/>
        <v>0</v>
      </c>
      <c r="L650" s="163"/>
      <c r="M650" s="163"/>
      <c r="N650" s="163"/>
      <c r="O650" s="163"/>
      <c r="P650" s="163"/>
      <c r="Q650" s="541"/>
      <c r="R650" s="541"/>
      <c r="S650" s="541"/>
      <c r="T650" s="541"/>
      <c r="U650" s="541"/>
      <c r="V650" s="541"/>
      <c r="W650" s="541"/>
      <c r="X650" s="541"/>
      <c r="Y650" s="541"/>
      <c r="Z650" s="541"/>
    </row>
    <row r="651" spans="1:26" ht="18.75" hidden="1">
      <c r="A651" s="708"/>
      <c r="B651" s="538"/>
      <c r="C651" s="727"/>
      <c r="D651" s="592"/>
      <c r="E651" s="710" t="s">
        <v>277</v>
      </c>
      <c r="F651" s="592"/>
      <c r="G651" s="726"/>
      <c r="H651" s="728" t="s">
        <v>35</v>
      </c>
      <c r="I651" s="269">
        <f ca="1">IFERROR(__xludf.DUMMYFUNCTION("IMPORTRANGE(""https://docs.google.com/spreadsheets/d/1QqKyyYR6Q21VydFLVH3TRQUabQu_ym0Zz7PgGX0-kHA/edit?usp=sharing"",""แผน!HS27"")"),0)</f>
        <v>0</v>
      </c>
      <c r="J651" s="269">
        <f ca="1">IFERROR(__xludf.DUMMYFUNCTION("IMPORTRANGE(""https://docs.google.com/spreadsheets/d/1XWAQStnk-4SwqDmLtmXYiTMKHgktTP8We1SCoS47DrQ/edit?usp=sharing"",""จัดที่ดิน!AY27"")"),0)</f>
        <v>0</v>
      </c>
      <c r="K651" s="163">
        <f t="shared" ca="1" si="270"/>
        <v>0</v>
      </c>
      <c r="L651" s="163"/>
      <c r="M651" s="163"/>
      <c r="N651" s="163"/>
      <c r="O651" s="163"/>
      <c r="P651" s="163"/>
      <c r="Q651" s="541"/>
      <c r="R651" s="541"/>
      <c r="S651" s="541"/>
      <c r="T651" s="541"/>
      <c r="U651" s="541"/>
      <c r="V651" s="541"/>
      <c r="W651" s="541"/>
      <c r="X651" s="541"/>
      <c r="Y651" s="541"/>
      <c r="Z651" s="541"/>
    </row>
    <row r="652" spans="1:26" ht="18.75" hidden="1">
      <c r="A652" s="711"/>
      <c r="B652" s="712"/>
      <c r="C652" s="713"/>
      <c r="D652" s="698"/>
      <c r="E652" s="698"/>
      <c r="F652" s="698"/>
      <c r="G652" s="699"/>
      <c r="H652" s="467" t="s">
        <v>46</v>
      </c>
      <c r="I652" s="468">
        <v>0</v>
      </c>
      <c r="J652" s="468">
        <f ca="1">IFERROR(__xludf.DUMMYFUNCTION("IMPORTRANGE(""https://docs.google.com/spreadsheets/d/1XWAQStnk-4SwqDmLtmXYiTMKHgktTP8We1SCoS47DrQ/edit?usp=sharing"",""จัดที่ดิน!AZ27"")"),0)</f>
        <v>0</v>
      </c>
      <c r="K652" s="469">
        <f t="shared" si="270"/>
        <v>0</v>
      </c>
      <c r="L652" s="353"/>
      <c r="M652" s="353"/>
      <c r="N652" s="353"/>
      <c r="O652" s="353"/>
      <c r="P652" s="353"/>
      <c r="Q652" s="541"/>
      <c r="R652" s="541"/>
      <c r="S652" s="541"/>
      <c r="T652" s="541"/>
      <c r="U652" s="541"/>
      <c r="V652" s="541"/>
      <c r="W652" s="541"/>
      <c r="X652" s="541"/>
      <c r="Y652" s="541"/>
      <c r="Z652" s="541"/>
    </row>
    <row r="653" spans="1:26" ht="19.5">
      <c r="A653" s="714">
        <v>8</v>
      </c>
      <c r="B653" s="701" t="s">
        <v>278</v>
      </c>
      <c r="C653" s="702"/>
      <c r="D653" s="702"/>
      <c r="E653" s="702"/>
      <c r="F653" s="702"/>
      <c r="G653" s="703"/>
      <c r="H653" s="703"/>
      <c r="I653" s="715"/>
      <c r="J653" s="715"/>
      <c r="K653" s="707"/>
      <c r="L653" s="707"/>
      <c r="M653" s="707"/>
      <c r="N653" s="707"/>
      <c r="O653" s="707"/>
      <c r="P653" s="707"/>
      <c r="Q653" s="541"/>
      <c r="R653" s="541"/>
      <c r="S653" s="541"/>
      <c r="T653" s="541"/>
      <c r="U653" s="541"/>
      <c r="V653" s="541"/>
      <c r="W653" s="541"/>
      <c r="X653" s="541"/>
      <c r="Y653" s="541"/>
      <c r="Z653" s="541"/>
    </row>
    <row r="654" spans="1:26" ht="19.5">
      <c r="A654" s="639"/>
      <c r="B654" s="638" t="s">
        <v>279</v>
      </c>
      <c r="C654" s="639"/>
      <c r="D654" s="639"/>
      <c r="E654" s="639"/>
      <c r="F654" s="639"/>
      <c r="G654" s="640"/>
      <c r="H654" s="671" t="s">
        <v>46</v>
      </c>
      <c r="I654" s="672">
        <f t="shared" ref="I654:J654" ca="1" si="271">I669</f>
        <v>200</v>
      </c>
      <c r="J654" s="672">
        <f t="shared" si="271"/>
        <v>0</v>
      </c>
      <c r="K654" s="643">
        <f ca="1">IF(I654&gt;0,J654*100/I654,0)</f>
        <v>0</v>
      </c>
      <c r="L654" s="644"/>
      <c r="M654" s="644"/>
      <c r="N654" s="644"/>
      <c r="O654" s="644"/>
      <c r="P654" s="644"/>
      <c r="Q654" s="541"/>
      <c r="R654" s="541"/>
      <c r="S654" s="541"/>
      <c r="T654" s="541"/>
      <c r="U654" s="541"/>
      <c r="V654" s="541"/>
      <c r="W654" s="541"/>
      <c r="X654" s="541"/>
      <c r="Y654" s="541"/>
      <c r="Z654" s="541"/>
    </row>
    <row r="655" spans="1:26" ht="19.5">
      <c r="A655" s="561"/>
      <c r="B655" s="727"/>
      <c r="C655" s="727" t="s">
        <v>16</v>
      </c>
      <c r="D655" s="811" t="s">
        <v>17</v>
      </c>
      <c r="E655" s="805"/>
      <c r="F655" s="805"/>
      <c r="G655" s="189"/>
      <c r="H655" s="562" t="s">
        <v>12</v>
      </c>
      <c r="I655" s="269"/>
      <c r="J655" s="269"/>
      <c r="K655" s="465"/>
      <c r="L655" s="195">
        <f t="shared" ref="L655:N655" ca="1" si="272">L656+L657</f>
        <v>18400</v>
      </c>
      <c r="M655" s="195">
        <f t="shared" si="272"/>
        <v>0</v>
      </c>
      <c r="N655" s="195">
        <f t="shared" si="272"/>
        <v>0</v>
      </c>
      <c r="O655" s="195">
        <f t="shared" ref="O655:O660" ca="1" si="273">IF(L655&gt;0,N655*100/L655,0)</f>
        <v>0</v>
      </c>
      <c r="P655" s="195">
        <f t="shared" ref="P655:P660" si="274">IF(M655&gt;0,N655*100/M655,0)</f>
        <v>0</v>
      </c>
      <c r="Q655" s="541"/>
      <c r="R655" s="541"/>
      <c r="S655" s="541"/>
      <c r="T655" s="541"/>
      <c r="U655" s="541"/>
      <c r="V655" s="541"/>
      <c r="W655" s="541"/>
      <c r="X655" s="541"/>
      <c r="Y655" s="541"/>
      <c r="Z655" s="541"/>
    </row>
    <row r="656" spans="1:26" ht="18.75" hidden="1">
      <c r="A656" s="563"/>
      <c r="B656" s="723"/>
      <c r="C656" s="723"/>
      <c r="D656" s="684"/>
      <c r="E656" s="723" t="s">
        <v>184</v>
      </c>
      <c r="F656" s="723"/>
      <c r="G656" s="567"/>
      <c r="H656" s="165" t="s">
        <v>12</v>
      </c>
      <c r="I656" s="583"/>
      <c r="J656" s="583"/>
      <c r="K656" s="93"/>
      <c r="L656" s="93">
        <f t="shared" ref="L656:N657" si="275">L659+L666</f>
        <v>0</v>
      </c>
      <c r="M656" s="93">
        <f t="shared" si="275"/>
        <v>0</v>
      </c>
      <c r="N656" s="93">
        <f t="shared" si="275"/>
        <v>0</v>
      </c>
      <c r="O656" s="93">
        <f t="shared" si="273"/>
        <v>0</v>
      </c>
      <c r="P656" s="93">
        <f t="shared" si="274"/>
        <v>0</v>
      </c>
      <c r="Q656" s="568"/>
      <c r="R656" s="568"/>
      <c r="S656" s="568"/>
      <c r="T656" s="568"/>
      <c r="U656" s="568"/>
      <c r="V656" s="568"/>
      <c r="W656" s="568"/>
      <c r="X656" s="568"/>
      <c r="Y656" s="568"/>
      <c r="Z656" s="568"/>
    </row>
    <row r="657" spans="1:26" ht="18.75" hidden="1">
      <c r="A657" s="563"/>
      <c r="B657" s="571"/>
      <c r="C657" s="723"/>
      <c r="D657" s="684"/>
      <c r="E657" s="723" t="s">
        <v>185</v>
      </c>
      <c r="F657" s="723"/>
      <c r="G657" s="567"/>
      <c r="H657" s="165" t="s">
        <v>12</v>
      </c>
      <c r="I657" s="583"/>
      <c r="J657" s="583"/>
      <c r="K657" s="93"/>
      <c r="L657" s="93">
        <f t="shared" ca="1" si="275"/>
        <v>18400</v>
      </c>
      <c r="M657" s="93">
        <f t="shared" si="275"/>
        <v>0</v>
      </c>
      <c r="N657" s="93">
        <f t="shared" si="275"/>
        <v>0</v>
      </c>
      <c r="O657" s="93">
        <f t="shared" ca="1" si="273"/>
        <v>0</v>
      </c>
      <c r="P657" s="93">
        <f t="shared" si="274"/>
        <v>0</v>
      </c>
      <c r="Q657" s="568"/>
      <c r="R657" s="568"/>
      <c r="S657" s="568"/>
      <c r="T657" s="568"/>
      <c r="U657" s="568"/>
      <c r="V657" s="568"/>
      <c r="W657" s="568"/>
      <c r="X657" s="568"/>
      <c r="Y657" s="568"/>
      <c r="Z657" s="568"/>
    </row>
    <row r="658" spans="1:26" ht="18.75">
      <c r="A658" s="561"/>
      <c r="B658" s="538"/>
      <c r="C658" s="727"/>
      <c r="D658" s="570" t="s">
        <v>20</v>
      </c>
      <c r="E658" s="727"/>
      <c r="F658" s="727"/>
      <c r="G658" s="189"/>
      <c r="H658" s="161" t="s">
        <v>12</v>
      </c>
      <c r="I658" s="184"/>
      <c r="J658" s="184"/>
      <c r="K658" s="163"/>
      <c r="L658" s="465">
        <f t="shared" ref="L658:N658" ca="1" si="276">L659+L660</f>
        <v>18400</v>
      </c>
      <c r="M658" s="465">
        <f t="shared" si="276"/>
        <v>0</v>
      </c>
      <c r="N658" s="465">
        <f t="shared" si="276"/>
        <v>0</v>
      </c>
      <c r="O658" s="465">
        <f t="shared" ca="1" si="273"/>
        <v>0</v>
      </c>
      <c r="P658" s="465">
        <f t="shared" si="274"/>
        <v>0</v>
      </c>
      <c r="Q658" s="541"/>
      <c r="R658" s="541"/>
      <c r="S658" s="541"/>
      <c r="T658" s="541"/>
      <c r="U658" s="541"/>
      <c r="V658" s="541"/>
      <c r="W658" s="541"/>
      <c r="X658" s="541"/>
      <c r="Y658" s="541"/>
      <c r="Z658" s="541"/>
    </row>
    <row r="659" spans="1:26" ht="18.75" hidden="1">
      <c r="A659" s="563"/>
      <c r="B659" s="571"/>
      <c r="C659" s="723"/>
      <c r="D659" s="684"/>
      <c r="E659" s="723" t="s">
        <v>184</v>
      </c>
      <c r="F659" s="723"/>
      <c r="G659" s="567"/>
      <c r="H659" s="165" t="s">
        <v>12</v>
      </c>
      <c r="I659" s="583"/>
      <c r="J659" s="583"/>
      <c r="K659" s="93"/>
      <c r="L659" s="93">
        <v>0</v>
      </c>
      <c r="M659" s="93">
        <v>0</v>
      </c>
      <c r="N659" s="93">
        <v>0</v>
      </c>
      <c r="O659" s="93">
        <f t="shared" si="273"/>
        <v>0</v>
      </c>
      <c r="P659" s="93">
        <f t="shared" si="274"/>
        <v>0</v>
      </c>
      <c r="Q659" s="568"/>
      <c r="R659" s="568"/>
      <c r="S659" s="568"/>
      <c r="T659" s="568"/>
      <c r="U659" s="568"/>
      <c r="V659" s="568"/>
      <c r="W659" s="568"/>
      <c r="X659" s="568"/>
      <c r="Y659" s="568"/>
      <c r="Z659" s="568"/>
    </row>
    <row r="660" spans="1:26" ht="18.75" hidden="1">
      <c r="A660" s="563"/>
      <c r="B660" s="571"/>
      <c r="C660" s="723"/>
      <c r="D660" s="684"/>
      <c r="E660" s="723" t="s">
        <v>185</v>
      </c>
      <c r="F660" s="723"/>
      <c r="G660" s="567"/>
      <c r="H660" s="165" t="s">
        <v>12</v>
      </c>
      <c r="I660" s="583"/>
      <c r="J660" s="583"/>
      <c r="K660" s="93"/>
      <c r="L660" s="93">
        <f ca="1">IFERROR(__xludf.DUMMYFUNCTION("IMPORTRANGE(""https://docs.google.com/spreadsheets/d/1QqKyyYR6Q21VydFLVH3TRQUabQu_ym0Zz7PgGX0-kHA/edit?usp=sharing"",""แผน!HV27"")"),18400)</f>
        <v>18400</v>
      </c>
      <c r="M660" s="93">
        <v>0</v>
      </c>
      <c r="N660" s="93">
        <f>N661+N662+N663+N664</f>
        <v>0</v>
      </c>
      <c r="O660" s="93">
        <f t="shared" ca="1" si="273"/>
        <v>0</v>
      </c>
      <c r="P660" s="93">
        <f t="shared" si="274"/>
        <v>0</v>
      </c>
      <c r="Q660" s="568"/>
      <c r="R660" s="568"/>
      <c r="S660" s="568"/>
      <c r="T660" s="568"/>
      <c r="U660" s="568"/>
      <c r="V660" s="568"/>
      <c r="W660" s="568"/>
      <c r="X660" s="568"/>
      <c r="Y660" s="568"/>
      <c r="Z660" s="568"/>
    </row>
    <row r="661" spans="1:26" ht="18.75">
      <c r="A661" s="537"/>
      <c r="B661" s="538"/>
      <c r="C661" s="727"/>
      <c r="D661" s="727"/>
      <c r="E661" s="727"/>
      <c r="F661" s="727" t="s">
        <v>186</v>
      </c>
      <c r="G661" s="189"/>
      <c r="H661" s="161" t="s">
        <v>12</v>
      </c>
      <c r="I661" s="269"/>
      <c r="J661" s="269"/>
      <c r="K661" s="465"/>
      <c r="L661" s="465"/>
      <c r="M661" s="465"/>
      <c r="N661" s="789">
        <v>0</v>
      </c>
      <c r="O661" s="465"/>
      <c r="P661" s="465"/>
      <c r="Q661" s="541"/>
      <c r="R661" s="541"/>
      <c r="S661" s="541"/>
      <c r="T661" s="541"/>
      <c r="U661" s="541"/>
      <c r="V661" s="541"/>
      <c r="W661" s="541"/>
      <c r="X661" s="541"/>
      <c r="Y661" s="541"/>
      <c r="Z661" s="541"/>
    </row>
    <row r="662" spans="1:26" ht="18.75">
      <c r="A662" s="537"/>
      <c r="B662" s="538"/>
      <c r="C662" s="727"/>
      <c r="D662" s="727"/>
      <c r="E662" s="727"/>
      <c r="F662" s="727" t="s">
        <v>187</v>
      </c>
      <c r="G662" s="189"/>
      <c r="H662" s="161" t="s">
        <v>12</v>
      </c>
      <c r="I662" s="269"/>
      <c r="J662" s="269"/>
      <c r="K662" s="465"/>
      <c r="L662" s="465"/>
      <c r="M662" s="465"/>
      <c r="N662" s="789">
        <v>0</v>
      </c>
      <c r="O662" s="465"/>
      <c r="P662" s="465"/>
      <c r="Q662" s="541"/>
      <c r="R662" s="541"/>
      <c r="S662" s="541"/>
      <c r="T662" s="541"/>
      <c r="U662" s="541"/>
      <c r="V662" s="541"/>
      <c r="W662" s="541"/>
      <c r="X662" s="541"/>
      <c r="Y662" s="541"/>
      <c r="Z662" s="541"/>
    </row>
    <row r="663" spans="1:26" ht="18.75">
      <c r="A663" s="537"/>
      <c r="B663" s="538"/>
      <c r="C663" s="538"/>
      <c r="D663" s="727"/>
      <c r="E663" s="727"/>
      <c r="F663" s="727" t="s">
        <v>188</v>
      </c>
      <c r="G663" s="189"/>
      <c r="H663" s="161" t="s">
        <v>12</v>
      </c>
      <c r="I663" s="269"/>
      <c r="J663" s="269"/>
      <c r="K663" s="465"/>
      <c r="L663" s="465"/>
      <c r="M663" s="465"/>
      <c r="N663" s="789">
        <v>0</v>
      </c>
      <c r="O663" s="465"/>
      <c r="P663" s="465"/>
      <c r="Q663" s="541"/>
      <c r="R663" s="541"/>
      <c r="S663" s="541"/>
      <c r="T663" s="541"/>
      <c r="U663" s="541"/>
      <c r="V663" s="541"/>
      <c r="W663" s="541"/>
      <c r="X663" s="541"/>
      <c r="Y663" s="541"/>
      <c r="Z663" s="541"/>
    </row>
    <row r="664" spans="1:26" ht="18.75">
      <c r="A664" s="537"/>
      <c r="B664" s="538"/>
      <c r="C664" s="538"/>
      <c r="D664" s="538"/>
      <c r="E664" s="727"/>
      <c r="F664" s="727" t="s">
        <v>189</v>
      </c>
      <c r="G664" s="189"/>
      <c r="H664" s="161" t="s">
        <v>12</v>
      </c>
      <c r="I664" s="269"/>
      <c r="J664" s="269"/>
      <c r="K664" s="465"/>
      <c r="L664" s="465"/>
      <c r="M664" s="465"/>
      <c r="N664" s="789">
        <v>0</v>
      </c>
      <c r="O664" s="465"/>
      <c r="P664" s="465"/>
      <c r="Q664" s="541"/>
      <c r="R664" s="541"/>
      <c r="S664" s="541"/>
      <c r="T664" s="541"/>
      <c r="U664" s="541"/>
      <c r="V664" s="541"/>
      <c r="W664" s="541"/>
      <c r="X664" s="541"/>
      <c r="Y664" s="541"/>
      <c r="Z664" s="541"/>
    </row>
    <row r="665" spans="1:26" ht="18.75">
      <c r="A665" s="561"/>
      <c r="B665" s="538"/>
      <c r="C665" s="538"/>
      <c r="D665" s="570" t="s">
        <v>21</v>
      </c>
      <c r="E665" s="727"/>
      <c r="F665" s="727"/>
      <c r="G665" s="189"/>
      <c r="H665" s="168" t="s">
        <v>12</v>
      </c>
      <c r="I665" s="184"/>
      <c r="J665" s="184"/>
      <c r="K665" s="163"/>
      <c r="L665" s="465">
        <f t="shared" ref="L665:N665" si="277">L666+L667</f>
        <v>0</v>
      </c>
      <c r="M665" s="465">
        <f t="shared" si="277"/>
        <v>0</v>
      </c>
      <c r="N665" s="465">
        <f t="shared" si="277"/>
        <v>0</v>
      </c>
      <c r="O665" s="465">
        <f t="shared" ref="O665:O667" si="278">IF(L665&gt;0,N665*100/L665,0)</f>
        <v>0</v>
      </c>
      <c r="P665" s="465">
        <f t="shared" ref="P665:P667" si="279">IF(M665&gt;0,N665*100/M665,0)</f>
        <v>0</v>
      </c>
      <c r="Q665" s="541"/>
      <c r="R665" s="541"/>
      <c r="S665" s="541"/>
      <c r="T665" s="541"/>
      <c r="U665" s="541"/>
      <c r="V665" s="541"/>
      <c r="W665" s="541"/>
      <c r="X665" s="541"/>
      <c r="Y665" s="541"/>
      <c r="Z665" s="541"/>
    </row>
    <row r="666" spans="1:26" ht="18.75" hidden="1">
      <c r="A666" s="563"/>
      <c r="B666" s="571"/>
      <c r="C666" s="571"/>
      <c r="D666" s="571"/>
      <c r="E666" s="723" t="s">
        <v>18</v>
      </c>
      <c r="F666" s="723"/>
      <c r="G666" s="567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8"/>
        <v>0</v>
      </c>
      <c r="P666" s="93">
        <f t="shared" si="279"/>
        <v>0</v>
      </c>
      <c r="Q666" s="568"/>
      <c r="R666" s="568"/>
      <c r="S666" s="568"/>
      <c r="T666" s="568"/>
      <c r="U666" s="568"/>
      <c r="V666" s="568"/>
      <c r="W666" s="568"/>
      <c r="X666" s="568"/>
      <c r="Y666" s="568"/>
      <c r="Z666" s="568"/>
    </row>
    <row r="667" spans="1:26" ht="18.75" hidden="1">
      <c r="A667" s="563"/>
      <c r="B667" s="571"/>
      <c r="C667" s="571"/>
      <c r="D667" s="571"/>
      <c r="E667" s="723" t="s">
        <v>19</v>
      </c>
      <c r="F667" s="723"/>
      <c r="G667" s="567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8"/>
        <v>0</v>
      </c>
      <c r="P667" s="93">
        <f t="shared" si="279"/>
        <v>0</v>
      </c>
      <c r="Q667" s="568"/>
      <c r="R667" s="568"/>
      <c r="S667" s="568"/>
      <c r="T667" s="568"/>
      <c r="U667" s="568"/>
      <c r="V667" s="568"/>
      <c r="W667" s="568"/>
      <c r="X667" s="568"/>
      <c r="Y667" s="568"/>
      <c r="Z667" s="568"/>
    </row>
    <row r="668" spans="1:26" ht="19.5">
      <c r="A668" s="572"/>
      <c r="B668" s="584"/>
      <c r="C668" s="538" t="s">
        <v>16</v>
      </c>
      <c r="D668" s="850" t="s">
        <v>38</v>
      </c>
      <c r="E668" s="725"/>
      <c r="F668" s="725"/>
      <c r="G668" s="577"/>
      <c r="H668" s="726"/>
      <c r="I668" s="184"/>
      <c r="J668" s="184"/>
      <c r="K668" s="163"/>
      <c r="L668" s="163"/>
      <c r="M668" s="163"/>
      <c r="N668" s="163"/>
      <c r="O668" s="163"/>
      <c r="P668" s="163"/>
      <c r="Q668" s="541"/>
      <c r="R668" s="541"/>
      <c r="S668" s="541"/>
      <c r="T668" s="541"/>
      <c r="U668" s="541"/>
      <c r="V668" s="541"/>
      <c r="W668" s="541"/>
      <c r="X668" s="541"/>
      <c r="Y668" s="541"/>
      <c r="Z668" s="541"/>
    </row>
    <row r="669" spans="1:26" ht="19.5">
      <c r="A669" s="572"/>
      <c r="B669" s="584"/>
      <c r="C669" s="584"/>
      <c r="D669" s="584" t="s">
        <v>280</v>
      </c>
      <c r="E669" s="592"/>
      <c r="F669" s="592"/>
      <c r="G669" s="726"/>
      <c r="H669" s="731" t="s">
        <v>46</v>
      </c>
      <c r="I669" s="647">
        <f ca="1">IFERROR(__xludf.DUMMYFUNCTION("IMPORTRANGE(""https://docs.google.com/spreadsheets/d/1QqKyyYR6Q21VydFLVH3TRQUabQu_ym0Zz7PgGX0-kHA/edit?usp=sharing"",""แผน!IA27"")"),200)</f>
        <v>200</v>
      </c>
      <c r="J669" s="647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41"/>
      <c r="R669" s="541"/>
      <c r="S669" s="541"/>
      <c r="T669" s="541"/>
      <c r="U669" s="541"/>
      <c r="V669" s="541"/>
      <c r="W669" s="541"/>
      <c r="X669" s="541"/>
      <c r="Y669" s="541"/>
      <c r="Z669" s="541"/>
    </row>
    <row r="670" spans="1:26" ht="18.75">
      <c r="A670" s="572"/>
      <c r="B670" s="584"/>
      <c r="C670" s="584"/>
      <c r="D670" s="584"/>
      <c r="E670" s="592" t="s">
        <v>281</v>
      </c>
      <c r="F670" s="592"/>
      <c r="G670" s="726"/>
      <c r="H670" s="728" t="s">
        <v>69</v>
      </c>
      <c r="I670" s="269">
        <f ca="1">IFERROR(__xludf.DUMMYFUNCTION("IMPORTRANGE(""https://docs.google.com/spreadsheets/d/1QqKyyYR6Q21VydFLVH3TRQUabQu_ym0Zz7PgGX0-kHA/edit?usp=sharing"",""แผน!HZ27"")"),4)</f>
        <v>4</v>
      </c>
      <c r="J670" s="214">
        <v>0</v>
      </c>
      <c r="K670" s="465">
        <f ca="1">IF(I670&gt;0,(J670*100)/I670,0)</f>
        <v>0</v>
      </c>
      <c r="L670" s="163"/>
      <c r="M670" s="163"/>
      <c r="N670" s="163"/>
      <c r="O670" s="163"/>
      <c r="P670" s="163"/>
      <c r="Q670" s="541"/>
      <c r="R670" s="541"/>
      <c r="S670" s="541"/>
      <c r="T670" s="541"/>
      <c r="U670" s="541"/>
      <c r="V670" s="541"/>
      <c r="W670" s="541"/>
      <c r="X670" s="541"/>
      <c r="Y670" s="541"/>
      <c r="Z670" s="541"/>
    </row>
    <row r="671" spans="1:26" ht="18.75">
      <c r="A671" s="572"/>
      <c r="B671" s="584"/>
      <c r="C671" s="584"/>
      <c r="D671" s="584"/>
      <c r="E671" s="592" t="s">
        <v>282</v>
      </c>
      <c r="F671" s="592"/>
      <c r="G671" s="726"/>
      <c r="H671" s="728" t="s">
        <v>69</v>
      </c>
      <c r="I671" s="269">
        <f ca="1">IFERROR(__xludf.DUMMYFUNCTION("IMPORTRANGE(""https://docs.google.com/spreadsheets/d/1QqKyyYR6Q21VydFLVH3TRQUabQu_ym0Zz7PgGX0-kHA/edit?usp=sharing"",""แผน!HZ27"")"),4)</f>
        <v>4</v>
      </c>
      <c r="J671" s="214">
        <v>0</v>
      </c>
      <c r="K671" s="465">
        <f ca="1">IF(I$671&gt;0,J671*100/I$671,0)</f>
        <v>0</v>
      </c>
      <c r="L671" s="163"/>
      <c r="M671" s="163"/>
      <c r="N671" s="163"/>
      <c r="O671" s="163"/>
      <c r="P671" s="163"/>
      <c r="Q671" s="541"/>
      <c r="R671" s="541"/>
      <c r="S671" s="541"/>
      <c r="T671" s="541"/>
      <c r="U671" s="541"/>
      <c r="V671" s="541"/>
      <c r="W671" s="541"/>
      <c r="X671" s="541"/>
      <c r="Y671" s="541"/>
      <c r="Z671" s="541"/>
    </row>
    <row r="672" spans="1:26" ht="18.75">
      <c r="A672" s="572"/>
      <c r="B672" s="584"/>
      <c r="C672" s="584"/>
      <c r="D672" s="584"/>
      <c r="E672" s="592" t="s">
        <v>283</v>
      </c>
      <c r="F672" s="592"/>
      <c r="G672" s="726"/>
      <c r="H672" s="728" t="s">
        <v>46</v>
      </c>
      <c r="I672" s="269"/>
      <c r="J672" s="214">
        <v>0</v>
      </c>
      <c r="K672" s="465">
        <f t="shared" ref="K672:K675" ca="1" si="280">IF(I$669&gt;0,J672*100/I$669,0)</f>
        <v>0</v>
      </c>
      <c r="L672" s="163"/>
      <c r="M672" s="163"/>
      <c r="N672" s="163"/>
      <c r="O672" s="163"/>
      <c r="P672" s="163"/>
      <c r="Q672" s="541"/>
      <c r="R672" s="541"/>
      <c r="S672" s="541"/>
      <c r="T672" s="541"/>
      <c r="U672" s="541"/>
      <c r="V672" s="541"/>
      <c r="W672" s="541"/>
      <c r="X672" s="541"/>
      <c r="Y672" s="541"/>
      <c r="Z672" s="541"/>
    </row>
    <row r="673" spans="1:26" ht="18.75">
      <c r="A673" s="572"/>
      <c r="B673" s="584"/>
      <c r="C673" s="584"/>
      <c r="D673" s="584"/>
      <c r="E673" s="592" t="s">
        <v>284</v>
      </c>
      <c r="F673" s="592"/>
      <c r="G673" s="726"/>
      <c r="H673" s="728" t="s">
        <v>46</v>
      </c>
      <c r="I673" s="269"/>
      <c r="J673" s="214">
        <v>0</v>
      </c>
      <c r="K673" s="465">
        <f t="shared" ca="1" si="280"/>
        <v>0</v>
      </c>
      <c r="L673" s="163"/>
      <c r="M673" s="163"/>
      <c r="N673" s="163"/>
      <c r="O673" s="163"/>
      <c r="P673" s="163"/>
      <c r="Q673" s="541"/>
      <c r="R673" s="541"/>
      <c r="S673" s="541"/>
      <c r="T673" s="541"/>
      <c r="U673" s="541"/>
      <c r="V673" s="541"/>
      <c r="W673" s="541"/>
      <c r="X673" s="541"/>
      <c r="Y673" s="541"/>
      <c r="Z673" s="541"/>
    </row>
    <row r="674" spans="1:26" ht="18.75">
      <c r="A674" s="572"/>
      <c r="B674" s="584"/>
      <c r="C674" s="584"/>
      <c r="D674" s="584"/>
      <c r="E674" s="592" t="s">
        <v>285</v>
      </c>
      <c r="F674" s="592"/>
      <c r="G674" s="726"/>
      <c r="H674" s="728" t="s">
        <v>46</v>
      </c>
      <c r="I674" s="269"/>
      <c r="J674" s="214">
        <v>0</v>
      </c>
      <c r="K674" s="465">
        <f t="shared" ca="1" si="280"/>
        <v>0</v>
      </c>
      <c r="L674" s="163"/>
      <c r="M674" s="163"/>
      <c r="N674" s="163"/>
      <c r="O674" s="163"/>
      <c r="P674" s="163"/>
      <c r="Q674" s="541"/>
      <c r="R674" s="541"/>
      <c r="S674" s="541"/>
      <c r="T674" s="541"/>
      <c r="U674" s="541"/>
      <c r="V674" s="541"/>
      <c r="W674" s="541"/>
      <c r="X674" s="541"/>
      <c r="Y674" s="541"/>
      <c r="Z674" s="541"/>
    </row>
    <row r="675" spans="1:26" ht="19.5">
      <c r="A675" s="572"/>
      <c r="B675" s="584"/>
      <c r="C675" s="584"/>
      <c r="D675" s="584"/>
      <c r="E675" s="592" t="s">
        <v>286</v>
      </c>
      <c r="F675" s="592"/>
      <c r="G675" s="726"/>
      <c r="H675" s="728" t="s">
        <v>46</v>
      </c>
      <c r="I675" s="269"/>
      <c r="J675" s="647">
        <f>J676+J677</f>
        <v>0</v>
      </c>
      <c r="K675" s="195">
        <f t="shared" ca="1" si="280"/>
        <v>0</v>
      </c>
      <c r="L675" s="163"/>
      <c r="M675" s="163"/>
      <c r="N675" s="163"/>
      <c r="O675" s="163"/>
      <c r="P675" s="163"/>
      <c r="Q675" s="541"/>
      <c r="R675" s="541"/>
      <c r="S675" s="541"/>
      <c r="T675" s="541"/>
      <c r="U675" s="541"/>
      <c r="V675" s="541"/>
      <c r="W675" s="541"/>
      <c r="X675" s="541"/>
      <c r="Y675" s="541"/>
      <c r="Z675" s="541"/>
    </row>
    <row r="676" spans="1:26" ht="18.75">
      <c r="A676" s="572"/>
      <c r="B676" s="584"/>
      <c r="C676" s="584"/>
      <c r="D676" s="584"/>
      <c r="E676" s="592"/>
      <c r="F676" s="592" t="s">
        <v>287</v>
      </c>
      <c r="G676" s="726"/>
      <c r="H676" s="728" t="s">
        <v>46</v>
      </c>
      <c r="I676" s="269"/>
      <c r="J676" s="214">
        <v>0</v>
      </c>
      <c r="K676" s="465"/>
      <c r="L676" s="163"/>
      <c r="M676" s="163"/>
      <c r="N676" s="163"/>
      <c r="O676" s="163"/>
      <c r="P676" s="163"/>
      <c r="Q676" s="541"/>
      <c r="R676" s="541"/>
      <c r="S676" s="541"/>
      <c r="T676" s="541"/>
      <c r="U676" s="541"/>
      <c r="V676" s="541"/>
      <c r="W676" s="541"/>
      <c r="X676" s="541"/>
      <c r="Y676" s="541"/>
      <c r="Z676" s="541"/>
    </row>
    <row r="677" spans="1:26" ht="18.75">
      <c r="A677" s="572"/>
      <c r="B677" s="584"/>
      <c r="C677" s="584"/>
      <c r="D677" s="584"/>
      <c r="E677" s="592"/>
      <c r="F677" s="592" t="s">
        <v>288</v>
      </c>
      <c r="G677" s="726"/>
      <c r="H677" s="728" t="s">
        <v>46</v>
      </c>
      <c r="I677" s="269"/>
      <c r="J677" s="214">
        <v>0</v>
      </c>
      <c r="K677" s="465"/>
      <c r="L677" s="163"/>
      <c r="M677" s="163"/>
      <c r="N677" s="163"/>
      <c r="O677" s="163"/>
      <c r="P677" s="163"/>
      <c r="Q677" s="541"/>
      <c r="R677" s="541"/>
      <c r="S677" s="541"/>
      <c r="T677" s="541"/>
      <c r="U677" s="541"/>
      <c r="V677" s="541"/>
      <c r="W677" s="541"/>
      <c r="X677" s="541"/>
      <c r="Y677" s="541"/>
      <c r="Z677" s="541"/>
    </row>
    <row r="678" spans="1:26" ht="19.5">
      <c r="A678" s="572"/>
      <c r="B678" s="584"/>
      <c r="C678" s="584"/>
      <c r="D678" s="584" t="s">
        <v>289</v>
      </c>
      <c r="E678" s="592"/>
      <c r="F678" s="592"/>
      <c r="G678" s="726"/>
      <c r="H678" s="728" t="s">
        <v>46</v>
      </c>
      <c r="I678" s="647">
        <f ca="1">IFERROR(__xludf.DUMMYFUNCTION("IMPORTRANGE(""https://docs.google.com/spreadsheets/d/1QqKyyYR6Q21VydFLVH3TRQUabQu_ym0Zz7PgGX0-kHA/edit?usp=sharing"",""แผน!IB27"")"),0)</f>
        <v>0</v>
      </c>
      <c r="J678" s="647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41"/>
      <c r="R678" s="541"/>
      <c r="S678" s="541"/>
      <c r="T678" s="541"/>
      <c r="U678" s="541"/>
      <c r="V678" s="541"/>
      <c r="W678" s="541"/>
      <c r="X678" s="541"/>
      <c r="Y678" s="541"/>
      <c r="Z678" s="541"/>
    </row>
    <row r="679" spans="1:26" ht="18.75">
      <c r="A679" s="572"/>
      <c r="B679" s="584"/>
      <c r="C679" s="584"/>
      <c r="D679" s="584"/>
      <c r="E679" s="592" t="s">
        <v>290</v>
      </c>
      <c r="F679" s="592"/>
      <c r="G679" s="726"/>
      <c r="H679" s="728" t="s">
        <v>46</v>
      </c>
      <c r="I679" s="269"/>
      <c r="J679" s="269">
        <f>J680+J681</f>
        <v>0</v>
      </c>
      <c r="K679" s="465"/>
      <c r="L679" s="163"/>
      <c r="M679" s="163"/>
      <c r="N679" s="163"/>
      <c r="O679" s="163"/>
      <c r="P679" s="163"/>
      <c r="Q679" s="541"/>
      <c r="R679" s="541"/>
      <c r="S679" s="541"/>
      <c r="T679" s="541"/>
      <c r="U679" s="541"/>
      <c r="V679" s="541"/>
      <c r="W679" s="541"/>
      <c r="X679" s="541"/>
      <c r="Y679" s="541"/>
      <c r="Z679" s="541"/>
    </row>
    <row r="680" spans="1:26" ht="18.75">
      <c r="A680" s="572"/>
      <c r="B680" s="584"/>
      <c r="C680" s="584"/>
      <c r="D680" s="584"/>
      <c r="E680" s="592"/>
      <c r="F680" s="592" t="s">
        <v>287</v>
      </c>
      <c r="G680" s="726"/>
      <c r="H680" s="728" t="s">
        <v>46</v>
      </c>
      <c r="I680" s="269"/>
      <c r="J680" s="214">
        <v>0</v>
      </c>
      <c r="K680" s="465"/>
      <c r="L680" s="163"/>
      <c r="M680" s="163"/>
      <c r="N680" s="163"/>
      <c r="O680" s="163"/>
      <c r="P680" s="163"/>
      <c r="Q680" s="541"/>
      <c r="R680" s="541"/>
      <c r="S680" s="541"/>
      <c r="T680" s="541"/>
      <c r="U680" s="541"/>
      <c r="V680" s="541"/>
      <c r="W680" s="541"/>
      <c r="X680" s="541"/>
      <c r="Y680" s="541"/>
      <c r="Z680" s="541"/>
    </row>
    <row r="681" spans="1:26" ht="18.75">
      <c r="A681" s="572"/>
      <c r="B681" s="584"/>
      <c r="C681" s="584"/>
      <c r="D681" s="584"/>
      <c r="E681" s="592"/>
      <c r="F681" s="592" t="s">
        <v>288</v>
      </c>
      <c r="G681" s="726"/>
      <c r="H681" s="728" t="s">
        <v>46</v>
      </c>
      <c r="I681" s="269"/>
      <c r="J681" s="214">
        <v>0</v>
      </c>
      <c r="K681" s="465"/>
      <c r="L681" s="163"/>
      <c r="M681" s="163"/>
      <c r="N681" s="163"/>
      <c r="O681" s="163"/>
      <c r="P681" s="163"/>
      <c r="Q681" s="541"/>
      <c r="R681" s="541"/>
      <c r="S681" s="541"/>
      <c r="T681" s="541"/>
      <c r="U681" s="541"/>
      <c r="V681" s="541"/>
      <c r="W681" s="541"/>
      <c r="X681" s="541"/>
      <c r="Y681" s="541"/>
      <c r="Z681" s="541"/>
    </row>
    <row r="682" spans="1:26" ht="18.75">
      <c r="A682" s="572"/>
      <c r="B682" s="584"/>
      <c r="C682" s="584"/>
      <c r="D682" s="584"/>
      <c r="E682" s="592" t="s">
        <v>291</v>
      </c>
      <c r="F682" s="592"/>
      <c r="G682" s="726"/>
      <c r="H682" s="728" t="s">
        <v>46</v>
      </c>
      <c r="I682" s="269"/>
      <c r="J682" s="214">
        <v>0</v>
      </c>
      <c r="K682" s="465"/>
      <c r="L682" s="163"/>
      <c r="M682" s="163"/>
      <c r="N682" s="163"/>
      <c r="O682" s="163"/>
      <c r="P682" s="163"/>
      <c r="Q682" s="541"/>
      <c r="R682" s="541"/>
      <c r="S682" s="541"/>
      <c r="T682" s="541"/>
      <c r="U682" s="541"/>
      <c r="V682" s="541"/>
      <c r="W682" s="541"/>
      <c r="X682" s="541"/>
      <c r="Y682" s="541"/>
      <c r="Z682" s="541"/>
    </row>
    <row r="683" spans="1:26" ht="18.75">
      <c r="A683" s="572"/>
      <c r="B683" s="584"/>
      <c r="C683" s="584"/>
      <c r="D683" s="584"/>
      <c r="E683" s="592"/>
      <c r="F683" s="592" t="s">
        <v>292</v>
      </c>
      <c r="G683" s="726"/>
      <c r="H683" s="728" t="s">
        <v>46</v>
      </c>
      <c r="I683" s="269"/>
      <c r="J683" s="214">
        <v>0</v>
      </c>
      <c r="K683" s="465"/>
      <c r="L683" s="163"/>
      <c r="M683" s="163"/>
      <c r="N683" s="163"/>
      <c r="O683" s="163"/>
      <c r="P683" s="163"/>
      <c r="Q683" s="541"/>
      <c r="R683" s="541"/>
      <c r="S683" s="541"/>
      <c r="T683" s="541"/>
      <c r="U683" s="541"/>
      <c r="V683" s="541"/>
      <c r="W683" s="541"/>
      <c r="X683" s="541"/>
      <c r="Y683" s="541"/>
      <c r="Z683" s="541"/>
    </row>
    <row r="684" spans="1:26" ht="19.5">
      <c r="A684" s="717"/>
      <c r="B684" s="718" t="s">
        <v>293</v>
      </c>
      <c r="C684" s="717"/>
      <c r="D684" s="717"/>
      <c r="E684" s="717"/>
      <c r="F684" s="717"/>
      <c r="G684" s="719"/>
      <c r="H684" s="719"/>
      <c r="I684" s="720"/>
      <c r="J684" s="720"/>
      <c r="K684" s="721"/>
      <c r="L684" s="721"/>
      <c r="M684" s="721"/>
      <c r="N684" s="721"/>
      <c r="O684" s="721"/>
      <c r="P684" s="721"/>
      <c r="Q684" s="541"/>
      <c r="R684" s="541"/>
      <c r="S684" s="541"/>
      <c r="T684" s="541"/>
      <c r="U684" s="541"/>
      <c r="V684" s="541"/>
      <c r="W684" s="541"/>
      <c r="X684" s="541"/>
      <c r="Y684" s="541"/>
      <c r="Z684" s="541"/>
    </row>
    <row r="685" spans="1:26" ht="19.5">
      <c r="A685" s="561"/>
      <c r="B685" s="727"/>
      <c r="C685" s="727" t="s">
        <v>16</v>
      </c>
      <c r="D685" s="811" t="s">
        <v>17</v>
      </c>
      <c r="E685" s="805"/>
      <c r="F685" s="805"/>
      <c r="G685" s="189"/>
      <c r="H685" s="562" t="s">
        <v>12</v>
      </c>
      <c r="I685" s="269"/>
      <c r="J685" s="269"/>
      <c r="K685" s="465"/>
      <c r="L685" s="195">
        <f t="shared" ref="L685:N685" ca="1" si="281">L686+L687</f>
        <v>40200</v>
      </c>
      <c r="M685" s="195">
        <f t="shared" si="281"/>
        <v>0</v>
      </c>
      <c r="N685" s="195">
        <f t="shared" si="281"/>
        <v>0</v>
      </c>
      <c r="O685" s="195">
        <f t="shared" ref="O685:O688" ca="1" si="282">IF(L685&gt;0,N685*100/L685,0)</f>
        <v>0</v>
      </c>
      <c r="P685" s="195">
        <f t="shared" ref="P685:P688" si="283">IF(M685&gt;0,N685*100/M685,0)</f>
        <v>0</v>
      </c>
      <c r="Q685" s="541"/>
      <c r="R685" s="541"/>
      <c r="S685" s="541"/>
      <c r="T685" s="541"/>
      <c r="U685" s="541"/>
      <c r="V685" s="541"/>
      <c r="W685" s="541"/>
      <c r="X685" s="541"/>
      <c r="Y685" s="541"/>
      <c r="Z685" s="541"/>
    </row>
    <row r="686" spans="1:26" ht="18.75" hidden="1">
      <c r="A686" s="563"/>
      <c r="B686" s="723"/>
      <c r="C686" s="723"/>
      <c r="D686" s="684"/>
      <c r="E686" s="723" t="s">
        <v>184</v>
      </c>
      <c r="F686" s="723"/>
      <c r="G686" s="567"/>
      <c r="H686" s="165" t="s">
        <v>12</v>
      </c>
      <c r="I686" s="583"/>
      <c r="J686" s="583"/>
      <c r="K686" s="93"/>
      <c r="L686" s="93">
        <f t="shared" ref="L686:N687" si="284">L689+L696</f>
        <v>0</v>
      </c>
      <c r="M686" s="93">
        <f t="shared" si="284"/>
        <v>0</v>
      </c>
      <c r="N686" s="93">
        <f t="shared" si="284"/>
        <v>0</v>
      </c>
      <c r="O686" s="93">
        <f t="shared" si="282"/>
        <v>0</v>
      </c>
      <c r="P686" s="93">
        <f t="shared" si="283"/>
        <v>0</v>
      </c>
      <c r="Q686" s="568"/>
      <c r="R686" s="568"/>
      <c r="S686" s="568"/>
      <c r="T686" s="568"/>
      <c r="U686" s="568"/>
      <c r="V686" s="568"/>
      <c r="W686" s="568"/>
      <c r="X686" s="568"/>
      <c r="Y686" s="568"/>
      <c r="Z686" s="568"/>
    </row>
    <row r="687" spans="1:26" ht="18.75" hidden="1">
      <c r="A687" s="563"/>
      <c r="B687" s="571"/>
      <c r="C687" s="723"/>
      <c r="D687" s="684"/>
      <c r="E687" s="723" t="s">
        <v>185</v>
      </c>
      <c r="F687" s="723"/>
      <c r="G687" s="567"/>
      <c r="H687" s="165" t="s">
        <v>12</v>
      </c>
      <c r="I687" s="583"/>
      <c r="J687" s="583"/>
      <c r="K687" s="93"/>
      <c r="L687" s="93">
        <f t="shared" ca="1" si="284"/>
        <v>40200</v>
      </c>
      <c r="M687" s="93">
        <f t="shared" si="284"/>
        <v>0</v>
      </c>
      <c r="N687" s="93">
        <f t="shared" si="284"/>
        <v>0</v>
      </c>
      <c r="O687" s="93">
        <f t="shared" ca="1" si="282"/>
        <v>0</v>
      </c>
      <c r="P687" s="93">
        <f t="shared" si="283"/>
        <v>0</v>
      </c>
      <c r="Q687" s="568"/>
      <c r="R687" s="568"/>
      <c r="S687" s="568"/>
      <c r="T687" s="568"/>
      <c r="U687" s="568"/>
      <c r="V687" s="568"/>
      <c r="W687" s="568"/>
      <c r="X687" s="568"/>
      <c r="Y687" s="568"/>
      <c r="Z687" s="568"/>
    </row>
    <row r="688" spans="1:26" ht="18.75">
      <c r="A688" s="561"/>
      <c r="B688" s="538"/>
      <c r="C688" s="727"/>
      <c r="D688" s="570" t="s">
        <v>20</v>
      </c>
      <c r="E688" s="727"/>
      <c r="F688" s="727"/>
      <c r="G688" s="189"/>
      <c r="H688" s="161" t="s">
        <v>12</v>
      </c>
      <c r="I688" s="184"/>
      <c r="J688" s="184"/>
      <c r="K688" s="163"/>
      <c r="L688" s="465">
        <f t="shared" ref="L688:N688" ca="1" si="285">L689+L690</f>
        <v>40200</v>
      </c>
      <c r="M688" s="465">
        <f t="shared" si="285"/>
        <v>0</v>
      </c>
      <c r="N688" s="465">
        <f t="shared" si="285"/>
        <v>0</v>
      </c>
      <c r="O688" s="465">
        <f t="shared" ca="1" si="282"/>
        <v>0</v>
      </c>
      <c r="P688" s="465">
        <f t="shared" si="283"/>
        <v>0</v>
      </c>
      <c r="Q688" s="541"/>
      <c r="R688" s="541"/>
      <c r="S688" s="541"/>
      <c r="T688" s="541"/>
      <c r="U688" s="541"/>
      <c r="V688" s="541"/>
      <c r="W688" s="541"/>
      <c r="X688" s="541"/>
      <c r="Y688" s="541"/>
      <c r="Z688" s="541"/>
    </row>
    <row r="689" spans="1:26" ht="18.75" hidden="1">
      <c r="A689" s="563"/>
      <c r="B689" s="571"/>
      <c r="C689" s="723"/>
      <c r="D689" s="684"/>
      <c r="E689" s="723" t="s">
        <v>184</v>
      </c>
      <c r="F689" s="723"/>
      <c r="G689" s="567"/>
      <c r="H689" s="165" t="s">
        <v>12</v>
      </c>
      <c r="I689" s="583"/>
      <c r="J689" s="583"/>
      <c r="K689" s="93"/>
      <c r="L689" s="93">
        <v>0</v>
      </c>
      <c r="M689" s="93">
        <v>0</v>
      </c>
      <c r="N689" s="93">
        <v>0</v>
      </c>
      <c r="O689" s="93"/>
      <c r="P689" s="93"/>
      <c r="Q689" s="568"/>
      <c r="R689" s="568"/>
      <c r="S689" s="568"/>
      <c r="T689" s="568"/>
      <c r="U689" s="568"/>
      <c r="V689" s="568"/>
      <c r="W689" s="568"/>
      <c r="X689" s="568"/>
      <c r="Y689" s="568"/>
      <c r="Z689" s="568"/>
    </row>
    <row r="690" spans="1:26" ht="18.75" hidden="1">
      <c r="A690" s="563"/>
      <c r="B690" s="571"/>
      <c r="C690" s="723"/>
      <c r="D690" s="684"/>
      <c r="E690" s="723" t="s">
        <v>185</v>
      </c>
      <c r="F690" s="723"/>
      <c r="G690" s="567"/>
      <c r="H690" s="165" t="s">
        <v>12</v>
      </c>
      <c r="I690" s="583"/>
      <c r="J690" s="583"/>
      <c r="K690" s="93"/>
      <c r="L690" s="93">
        <f ca="1">IFERROR(__xludf.DUMMYFUNCTION("IMPORTRANGE(""https://docs.google.com/spreadsheets/d/1QqKyyYR6Q21VydFLVH3TRQUabQu_ym0Zz7PgGX0-kHA/edit?usp=sharing"",""แผน!HW27"")"),40200)</f>
        <v>40200</v>
      </c>
      <c r="M690" s="93">
        <v>0</v>
      </c>
      <c r="N690" s="93">
        <f>N691+N692+N693+N694</f>
        <v>0</v>
      </c>
      <c r="O690" s="93">
        <f ca="1">IF(L690&gt;0,N690*100/L690,0)</f>
        <v>0</v>
      </c>
      <c r="P690" s="93">
        <f>IF(M690&gt;0,N690*100/M690,0)</f>
        <v>0</v>
      </c>
      <c r="Q690" s="568"/>
      <c r="R690" s="568"/>
      <c r="S690" s="568"/>
      <c r="T690" s="568"/>
      <c r="U690" s="568"/>
      <c r="V690" s="568"/>
      <c r="W690" s="568"/>
      <c r="X690" s="568"/>
      <c r="Y690" s="568"/>
      <c r="Z690" s="568"/>
    </row>
    <row r="691" spans="1:26" ht="18.75">
      <c r="A691" s="537"/>
      <c r="B691" s="538"/>
      <c r="C691" s="727"/>
      <c r="D691" s="727"/>
      <c r="E691" s="727"/>
      <c r="F691" s="727" t="s">
        <v>186</v>
      </c>
      <c r="G691" s="189"/>
      <c r="H691" s="161" t="s">
        <v>12</v>
      </c>
      <c r="I691" s="269"/>
      <c r="J691" s="269"/>
      <c r="K691" s="465"/>
      <c r="L691" s="465"/>
      <c r="M691" s="465"/>
      <c r="N691" s="789">
        <v>0</v>
      </c>
      <c r="O691" s="465"/>
      <c r="P691" s="465"/>
      <c r="Q691" s="541"/>
      <c r="R691" s="541"/>
      <c r="S691" s="541"/>
      <c r="T691" s="541"/>
      <c r="U691" s="541"/>
      <c r="V691" s="541"/>
      <c r="W691" s="541"/>
      <c r="X691" s="541"/>
      <c r="Y691" s="541"/>
      <c r="Z691" s="541"/>
    </row>
    <row r="692" spans="1:26" ht="18.75">
      <c r="A692" s="537"/>
      <c r="B692" s="538"/>
      <c r="C692" s="727"/>
      <c r="D692" s="727"/>
      <c r="E692" s="727"/>
      <c r="F692" s="727" t="s">
        <v>187</v>
      </c>
      <c r="G692" s="189"/>
      <c r="H692" s="161" t="s">
        <v>12</v>
      </c>
      <c r="I692" s="269"/>
      <c r="J692" s="269"/>
      <c r="K692" s="465"/>
      <c r="L692" s="465"/>
      <c r="M692" s="465"/>
      <c r="N692" s="789">
        <v>0</v>
      </c>
      <c r="O692" s="465"/>
      <c r="P692" s="465"/>
      <c r="Q692" s="541"/>
      <c r="R692" s="541"/>
      <c r="S692" s="541"/>
      <c r="T692" s="541"/>
      <c r="U692" s="541"/>
      <c r="V692" s="541"/>
      <c r="W692" s="541"/>
      <c r="X692" s="541"/>
      <c r="Y692" s="541"/>
      <c r="Z692" s="541"/>
    </row>
    <row r="693" spans="1:26" ht="18.75">
      <c r="A693" s="537"/>
      <c r="B693" s="538"/>
      <c r="C693" s="727"/>
      <c r="D693" s="727"/>
      <c r="E693" s="727"/>
      <c r="F693" s="727" t="s">
        <v>188</v>
      </c>
      <c r="G693" s="189"/>
      <c r="H693" s="161" t="s">
        <v>12</v>
      </c>
      <c r="I693" s="269"/>
      <c r="J693" s="269"/>
      <c r="K693" s="465"/>
      <c r="L693" s="465"/>
      <c r="M693" s="465"/>
      <c r="N693" s="789">
        <v>0</v>
      </c>
      <c r="O693" s="465"/>
      <c r="P693" s="465"/>
      <c r="Q693" s="541"/>
      <c r="R693" s="541"/>
      <c r="S693" s="541"/>
      <c r="T693" s="541"/>
      <c r="U693" s="541"/>
      <c r="V693" s="541"/>
      <c r="W693" s="541"/>
      <c r="X693" s="541"/>
      <c r="Y693" s="541"/>
      <c r="Z693" s="541"/>
    </row>
    <row r="694" spans="1:26" ht="18.75">
      <c r="A694" s="537"/>
      <c r="B694" s="538"/>
      <c r="C694" s="727"/>
      <c r="D694" s="727"/>
      <c r="E694" s="727"/>
      <c r="F694" s="727" t="s">
        <v>189</v>
      </c>
      <c r="G694" s="189"/>
      <c r="H694" s="161" t="s">
        <v>12</v>
      </c>
      <c r="I694" s="269"/>
      <c r="J694" s="269"/>
      <c r="K694" s="465"/>
      <c r="L694" s="465"/>
      <c r="M694" s="465"/>
      <c r="N694" s="789">
        <v>0</v>
      </c>
      <c r="O694" s="465"/>
      <c r="P694" s="465"/>
      <c r="Q694" s="541"/>
      <c r="R694" s="541"/>
      <c r="S694" s="541"/>
      <c r="T694" s="541"/>
      <c r="U694" s="541"/>
      <c r="V694" s="541"/>
      <c r="W694" s="541"/>
      <c r="X694" s="541"/>
      <c r="Y694" s="541"/>
      <c r="Z694" s="541"/>
    </row>
    <row r="695" spans="1:26" ht="18.75">
      <c r="A695" s="561"/>
      <c r="B695" s="538"/>
      <c r="C695" s="727"/>
      <c r="D695" s="570" t="s">
        <v>21</v>
      </c>
      <c r="E695" s="727"/>
      <c r="F695" s="727"/>
      <c r="G695" s="189"/>
      <c r="H695" s="168" t="s">
        <v>12</v>
      </c>
      <c r="I695" s="184"/>
      <c r="J695" s="184"/>
      <c r="K695" s="163"/>
      <c r="L695" s="465">
        <f t="shared" ref="L695:N695" si="286">L696+L697</f>
        <v>0</v>
      </c>
      <c r="M695" s="465">
        <f t="shared" si="286"/>
        <v>0</v>
      </c>
      <c r="N695" s="465">
        <f t="shared" si="286"/>
        <v>0</v>
      </c>
      <c r="O695" s="465">
        <f t="shared" ref="O695:O697" si="287">IF(L695&gt;0,N695*100/L695,0)</f>
        <v>0</v>
      </c>
      <c r="P695" s="465">
        <f t="shared" ref="P695:P697" si="288">IF(M695&gt;0,N695*100/M695,0)</f>
        <v>0</v>
      </c>
      <c r="Q695" s="541"/>
      <c r="R695" s="541"/>
      <c r="S695" s="541"/>
      <c r="T695" s="541"/>
      <c r="U695" s="541"/>
      <c r="V695" s="541"/>
      <c r="W695" s="541"/>
      <c r="X695" s="541"/>
      <c r="Y695" s="541"/>
      <c r="Z695" s="541"/>
    </row>
    <row r="696" spans="1:26" ht="18.75" hidden="1">
      <c r="A696" s="563"/>
      <c r="B696" s="571"/>
      <c r="C696" s="723"/>
      <c r="D696" s="723"/>
      <c r="E696" s="723" t="s">
        <v>18</v>
      </c>
      <c r="F696" s="723"/>
      <c r="G696" s="567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7"/>
        <v>0</v>
      </c>
      <c r="P696" s="93">
        <f t="shared" si="288"/>
        <v>0</v>
      </c>
      <c r="Q696" s="568"/>
      <c r="R696" s="568"/>
      <c r="S696" s="568"/>
      <c r="T696" s="568"/>
      <c r="U696" s="568"/>
      <c r="V696" s="568"/>
      <c r="W696" s="568"/>
      <c r="X696" s="568"/>
      <c r="Y696" s="568"/>
      <c r="Z696" s="568"/>
    </row>
    <row r="697" spans="1:26" ht="18.75" hidden="1">
      <c r="A697" s="563"/>
      <c r="B697" s="571"/>
      <c r="C697" s="723"/>
      <c r="D697" s="723"/>
      <c r="E697" s="723" t="s">
        <v>19</v>
      </c>
      <c r="F697" s="723"/>
      <c r="G697" s="567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7"/>
        <v>0</v>
      </c>
      <c r="P697" s="93">
        <f t="shared" si="288"/>
        <v>0</v>
      </c>
      <c r="Q697" s="568"/>
      <c r="R697" s="568"/>
      <c r="S697" s="568"/>
      <c r="T697" s="568"/>
      <c r="U697" s="568"/>
      <c r="V697" s="568"/>
      <c r="W697" s="568"/>
      <c r="X697" s="568"/>
      <c r="Y697" s="568"/>
      <c r="Z697" s="568"/>
    </row>
    <row r="698" spans="1:26" ht="19.5">
      <c r="A698" s="572"/>
      <c r="B698" s="584"/>
      <c r="C698" s="727" t="s">
        <v>16</v>
      </c>
      <c r="D698" s="855" t="s">
        <v>38</v>
      </c>
      <c r="E698" s="725"/>
      <c r="F698" s="725"/>
      <c r="G698" s="577"/>
      <c r="H698" s="726"/>
      <c r="I698" s="184"/>
      <c r="J698" s="184"/>
      <c r="K698" s="163"/>
      <c r="L698" s="163"/>
      <c r="M698" s="163"/>
      <c r="N698" s="163"/>
      <c r="O698" s="163"/>
      <c r="P698" s="163"/>
      <c r="Q698" s="541"/>
      <c r="R698" s="541"/>
      <c r="S698" s="541"/>
      <c r="T698" s="541"/>
      <c r="U698" s="541"/>
      <c r="V698" s="541"/>
      <c r="W698" s="541"/>
      <c r="X698" s="541"/>
      <c r="Y698" s="541"/>
      <c r="Z698" s="541"/>
    </row>
    <row r="699" spans="1:26" ht="18.75">
      <c r="A699" s="708"/>
      <c r="B699" s="727"/>
      <c r="C699" s="727"/>
      <c r="D699" s="727" t="s">
        <v>294</v>
      </c>
      <c r="E699" s="727"/>
      <c r="F699" s="727"/>
      <c r="G699" s="189"/>
      <c r="H699" s="728" t="s">
        <v>46</v>
      </c>
      <c r="I699" s="729">
        <f ca="1">IFERROR(__xludf.DUMMYFUNCTION("IMPORTRANGE(""https://docs.google.com/spreadsheets/d/1QqKyyYR6Q21VydFLVH3TRQUabQu_ym0Zz7PgGX0-kHA/edit?usp=sharing"",""แผน!IC27"")"),0)</f>
        <v>0</v>
      </c>
      <c r="J699" s="269">
        <f ca="1">IFERROR(__xludf.DUMMYFUNCTION("IMPORTRANGE(""https://docs.google.com/spreadsheets/d/1XWAQStnk-4SwqDmLtmXYiTMKHgktTP8We1SCoS47DrQ/edit?usp=sharing"",""จัดที่ดิน!BB27"")"),0)</f>
        <v>0</v>
      </c>
      <c r="K699" s="465">
        <f t="shared" ref="K699:K701" ca="1" si="289">IF(I699&gt;0,J699*100/I699,0)</f>
        <v>0</v>
      </c>
      <c r="L699" s="465"/>
      <c r="M699" s="189"/>
      <c r="N699" s="730"/>
      <c r="O699" s="465"/>
      <c r="P699" s="465"/>
      <c r="Q699" s="541"/>
      <c r="R699" s="541"/>
      <c r="S699" s="541"/>
      <c r="T699" s="541"/>
      <c r="U699" s="541"/>
      <c r="V699" s="541"/>
      <c r="W699" s="541"/>
      <c r="X699" s="541"/>
      <c r="Y699" s="541"/>
      <c r="Z699" s="541"/>
    </row>
    <row r="700" spans="1:26" ht="18.75">
      <c r="A700" s="708"/>
      <c r="B700" s="727"/>
      <c r="C700" s="727"/>
      <c r="D700" s="727" t="s">
        <v>295</v>
      </c>
      <c r="E700" s="727"/>
      <c r="F700" s="727"/>
      <c r="G700" s="189"/>
      <c r="H700" s="728" t="s">
        <v>35</v>
      </c>
      <c r="I700" s="729">
        <f ca="1">IFERROR(__xludf.DUMMYFUNCTION("IMPORTRANGE(""https://docs.google.com/spreadsheets/d/1QqKyyYR6Q21VydFLVH3TRQUabQu_ym0Zz7PgGX0-kHA/edit?usp=sharing"",""แผน!ID27"")"),30)</f>
        <v>30</v>
      </c>
      <c r="J700" s="269">
        <f ca="1">IFERROR(__xludf.DUMMYFUNCTION("IMPORTRANGE(""https://docs.google.com/spreadsheets/d/1XWAQStnk-4SwqDmLtmXYiTMKHgktTP8We1SCoS47DrQ/edit?usp=sharing"",""จัดที่ดิน!BD27"")"),0)</f>
        <v>0</v>
      </c>
      <c r="K700" s="465">
        <f t="shared" ca="1" si="289"/>
        <v>0</v>
      </c>
      <c r="L700" s="465"/>
      <c r="M700" s="189"/>
      <c r="N700" s="730"/>
      <c r="O700" s="465"/>
      <c r="P700" s="465"/>
      <c r="Q700" s="541"/>
      <c r="R700" s="541"/>
      <c r="S700" s="541"/>
      <c r="T700" s="541"/>
      <c r="U700" s="541"/>
      <c r="V700" s="541"/>
      <c r="W700" s="541"/>
      <c r="X700" s="541"/>
      <c r="Y700" s="541"/>
      <c r="Z700" s="541"/>
    </row>
    <row r="701" spans="1:26" ht="19.5">
      <c r="A701" s="708"/>
      <c r="B701" s="727"/>
      <c r="C701" s="727"/>
      <c r="D701" s="727" t="s">
        <v>296</v>
      </c>
      <c r="E701" s="727"/>
      <c r="F701" s="727"/>
      <c r="G701" s="189"/>
      <c r="H701" s="731" t="s">
        <v>46</v>
      </c>
      <c r="I701" s="732">
        <f ca="1">IFERROR(__xludf.DUMMYFUNCTION("IMPORTRANGE(""https://docs.google.com/spreadsheets/d/1QqKyyYR6Q21VydFLVH3TRQUabQu_ym0Zz7PgGX0-kHA/edit?usp=sharing"",""แผน!IE27"")"),200)</f>
        <v>200</v>
      </c>
      <c r="J701" s="647">
        <f>J704+J707</f>
        <v>0</v>
      </c>
      <c r="K701" s="195">
        <f t="shared" ca="1" si="289"/>
        <v>0</v>
      </c>
      <c r="L701" s="465"/>
      <c r="M701" s="189"/>
      <c r="N701" s="730"/>
      <c r="O701" s="465"/>
      <c r="P701" s="465"/>
      <c r="Q701" s="541"/>
      <c r="R701" s="541"/>
      <c r="S701" s="541"/>
      <c r="T701" s="541"/>
      <c r="U701" s="541"/>
      <c r="V701" s="541"/>
      <c r="W701" s="541"/>
      <c r="X701" s="541"/>
      <c r="Y701" s="541"/>
      <c r="Z701" s="541"/>
    </row>
    <row r="702" spans="1:26" ht="18.75">
      <c r="A702" s="708"/>
      <c r="B702" s="727"/>
      <c r="C702" s="727"/>
      <c r="D702" s="727"/>
      <c r="E702" s="727" t="s">
        <v>297</v>
      </c>
      <c r="F702" s="727"/>
      <c r="G702" s="189"/>
      <c r="H702" s="728" t="s">
        <v>35</v>
      </c>
      <c r="I702" s="729"/>
      <c r="J702" s="214">
        <v>0</v>
      </c>
      <c r="K702" s="465"/>
      <c r="L702" s="465"/>
      <c r="M702" s="189"/>
      <c r="N702" s="730"/>
      <c r="O702" s="465"/>
      <c r="P702" s="465"/>
      <c r="Q702" s="541"/>
      <c r="R702" s="541"/>
      <c r="S702" s="541"/>
      <c r="T702" s="541"/>
      <c r="U702" s="541"/>
      <c r="V702" s="541"/>
      <c r="W702" s="541"/>
      <c r="X702" s="541"/>
      <c r="Y702" s="541"/>
      <c r="Z702" s="541"/>
    </row>
    <row r="703" spans="1:26" ht="18.75">
      <c r="A703" s="708"/>
      <c r="B703" s="727"/>
      <c r="C703" s="727"/>
      <c r="D703" s="727"/>
      <c r="E703" s="727"/>
      <c r="F703" s="727"/>
      <c r="G703" s="189"/>
      <c r="H703" s="728" t="s">
        <v>34</v>
      </c>
      <c r="I703" s="729"/>
      <c r="J703" s="214">
        <v>0</v>
      </c>
      <c r="K703" s="465"/>
      <c r="L703" s="465"/>
      <c r="M703" s="189"/>
      <c r="N703" s="730"/>
      <c r="O703" s="465"/>
      <c r="P703" s="465"/>
      <c r="Q703" s="541"/>
      <c r="R703" s="541"/>
      <c r="S703" s="541"/>
      <c r="T703" s="541"/>
      <c r="U703" s="541"/>
      <c r="V703" s="541"/>
      <c r="W703" s="541"/>
      <c r="X703" s="541"/>
      <c r="Y703" s="541"/>
      <c r="Z703" s="541"/>
    </row>
    <row r="704" spans="1:26" ht="18.75">
      <c r="A704" s="708"/>
      <c r="B704" s="727"/>
      <c r="C704" s="727"/>
      <c r="D704" s="727"/>
      <c r="E704" s="727"/>
      <c r="F704" s="727"/>
      <c r="G704" s="189"/>
      <c r="H704" s="728" t="s">
        <v>46</v>
      </c>
      <c r="I704" s="729">
        <f ca="1">IFERROR(__xludf.DUMMYFUNCTION("IMPORTRANGE(""https://docs.google.com/spreadsheets/d/1QqKyyYR6Q21VydFLVH3TRQUabQu_ym0Zz7PgGX0-kHA/edit?usp=sharing"",""แผน!IF27"")"),200)</f>
        <v>200</v>
      </c>
      <c r="J704" s="214">
        <v>0</v>
      </c>
      <c r="K704" s="465"/>
      <c r="L704" s="465"/>
      <c r="M704" s="189"/>
      <c r="N704" s="730"/>
      <c r="O704" s="465"/>
      <c r="P704" s="465"/>
      <c r="Q704" s="541"/>
      <c r="R704" s="541"/>
      <c r="S704" s="541"/>
      <c r="T704" s="541"/>
      <c r="U704" s="541"/>
      <c r="V704" s="541"/>
      <c r="W704" s="541"/>
      <c r="X704" s="541"/>
      <c r="Y704" s="541"/>
      <c r="Z704" s="541"/>
    </row>
    <row r="705" spans="1:26" ht="18.75">
      <c r="A705" s="708"/>
      <c r="B705" s="727"/>
      <c r="C705" s="727"/>
      <c r="D705" s="727"/>
      <c r="E705" s="727" t="s">
        <v>298</v>
      </c>
      <c r="F705" s="727"/>
      <c r="G705" s="189"/>
      <c r="H705" s="728" t="s">
        <v>35</v>
      </c>
      <c r="I705" s="729"/>
      <c r="J705" s="214">
        <v>0</v>
      </c>
      <c r="K705" s="465"/>
      <c r="L705" s="465"/>
      <c r="M705" s="189"/>
      <c r="N705" s="730"/>
      <c r="O705" s="465"/>
      <c r="P705" s="465"/>
      <c r="Q705" s="541"/>
      <c r="R705" s="541"/>
      <c r="S705" s="541"/>
      <c r="T705" s="541"/>
      <c r="U705" s="541"/>
      <c r="V705" s="541"/>
      <c r="W705" s="541"/>
      <c r="X705" s="541"/>
      <c r="Y705" s="541"/>
      <c r="Z705" s="541"/>
    </row>
    <row r="706" spans="1:26" ht="18.75">
      <c r="A706" s="708"/>
      <c r="B706" s="727"/>
      <c r="C706" s="727"/>
      <c r="D706" s="727"/>
      <c r="E706" s="727"/>
      <c r="F706" s="727"/>
      <c r="G706" s="189"/>
      <c r="H706" s="728" t="s">
        <v>34</v>
      </c>
      <c r="I706" s="729"/>
      <c r="J706" s="214">
        <v>0</v>
      </c>
      <c r="K706" s="465"/>
      <c r="L706" s="465"/>
      <c r="M706" s="189"/>
      <c r="N706" s="730"/>
      <c r="O706" s="465"/>
      <c r="P706" s="465"/>
      <c r="Q706" s="541"/>
      <c r="R706" s="541"/>
      <c r="S706" s="541"/>
      <c r="T706" s="541"/>
      <c r="U706" s="541"/>
      <c r="V706" s="541"/>
      <c r="W706" s="541"/>
      <c r="X706" s="541"/>
      <c r="Y706" s="541"/>
      <c r="Z706" s="541"/>
    </row>
    <row r="707" spans="1:26" ht="18.75">
      <c r="A707" s="708"/>
      <c r="B707" s="727"/>
      <c r="C707" s="727"/>
      <c r="D707" s="727"/>
      <c r="E707" s="727"/>
      <c r="F707" s="727"/>
      <c r="G707" s="189"/>
      <c r="H707" s="728" t="s">
        <v>46</v>
      </c>
      <c r="I707" s="729">
        <f ca="1">IFERROR(__xludf.DUMMYFUNCTION("IMPORTRANGE(""https://docs.google.com/spreadsheets/d/1QqKyyYR6Q21VydFLVH3TRQUabQu_ym0Zz7PgGX0-kHA/edit?usp=sharing"",""แผน!IG27"")"),0)</f>
        <v>0</v>
      </c>
      <c r="J707" s="214">
        <v>0</v>
      </c>
      <c r="K707" s="465"/>
      <c r="L707" s="465"/>
      <c r="M707" s="189"/>
      <c r="N707" s="730"/>
      <c r="O707" s="465"/>
      <c r="P707" s="465"/>
      <c r="Q707" s="541"/>
      <c r="R707" s="541"/>
      <c r="S707" s="541"/>
      <c r="T707" s="541"/>
      <c r="U707" s="541"/>
      <c r="V707" s="541"/>
      <c r="W707" s="541"/>
      <c r="X707" s="541"/>
      <c r="Y707" s="541"/>
      <c r="Z707" s="541"/>
    </row>
    <row r="708" spans="1:26" ht="19.5">
      <c r="A708" s="708"/>
      <c r="B708" s="727"/>
      <c r="C708" s="727"/>
      <c r="D708" s="733" t="s">
        <v>299</v>
      </c>
      <c r="E708" s="727"/>
      <c r="F708" s="727"/>
      <c r="G708" s="189"/>
      <c r="H708" s="731" t="s">
        <v>46</v>
      </c>
      <c r="I708" s="732">
        <f ca="1">IFERROR(__xludf.DUMMYFUNCTION("IMPORTRANGE(""https://docs.google.com/spreadsheets/d/1QqKyyYR6Q21VydFLVH3TRQUabQu_ym0Zz7PgGX0-kHA/edit?usp=sharing"",""แผน!IH27"")"),100)</f>
        <v>100</v>
      </c>
      <c r="J708" s="647">
        <f>J714+J717</f>
        <v>0</v>
      </c>
      <c r="K708" s="195">
        <f ca="1">IF(I708&gt;0,J708*100/I708,0)</f>
        <v>0</v>
      </c>
      <c r="L708" s="465"/>
      <c r="M708" s="189"/>
      <c r="N708" s="730"/>
      <c r="O708" s="465"/>
      <c r="P708" s="465"/>
      <c r="Q708" s="541"/>
      <c r="R708" s="541"/>
      <c r="S708" s="541"/>
      <c r="T708" s="541"/>
      <c r="U708" s="541"/>
      <c r="V708" s="541"/>
      <c r="W708" s="541"/>
      <c r="X708" s="541"/>
      <c r="Y708" s="541"/>
      <c r="Z708" s="541"/>
    </row>
    <row r="709" spans="1:26" ht="18.75">
      <c r="A709" s="708"/>
      <c r="B709" s="727"/>
      <c r="C709" s="727"/>
      <c r="D709" s="727"/>
      <c r="E709" s="727" t="s">
        <v>300</v>
      </c>
      <c r="F709" s="727"/>
      <c r="G709" s="189"/>
      <c r="H709" s="728" t="s">
        <v>34</v>
      </c>
      <c r="I709" s="729"/>
      <c r="J709" s="214">
        <v>0</v>
      </c>
      <c r="K709" s="465"/>
      <c r="L709" s="730"/>
      <c r="M709" s="189"/>
      <c r="N709" s="730"/>
      <c r="O709" s="465"/>
      <c r="P709" s="465"/>
      <c r="Q709" s="541"/>
      <c r="R709" s="541"/>
      <c r="S709" s="541"/>
      <c r="T709" s="541"/>
      <c r="U709" s="541"/>
      <c r="V709" s="541"/>
      <c r="W709" s="541"/>
      <c r="X709" s="541"/>
      <c r="Y709" s="541"/>
      <c r="Z709" s="541"/>
    </row>
    <row r="710" spans="1:26" ht="18.75">
      <c r="A710" s="708"/>
      <c r="B710" s="727"/>
      <c r="C710" s="727"/>
      <c r="D710" s="727"/>
      <c r="E710" s="727"/>
      <c r="F710" s="727"/>
      <c r="G710" s="189"/>
      <c r="H710" s="728" t="s">
        <v>46</v>
      </c>
      <c r="I710" s="729"/>
      <c r="J710" s="214">
        <v>0</v>
      </c>
      <c r="K710" s="465"/>
      <c r="L710" s="730"/>
      <c r="M710" s="189"/>
      <c r="N710" s="730"/>
      <c r="O710" s="465"/>
      <c r="P710" s="465"/>
      <c r="Q710" s="541"/>
      <c r="R710" s="541"/>
      <c r="S710" s="541"/>
      <c r="T710" s="541"/>
      <c r="U710" s="541"/>
      <c r="V710" s="541"/>
      <c r="W710" s="541"/>
      <c r="X710" s="541"/>
      <c r="Y710" s="541"/>
      <c r="Z710" s="541"/>
    </row>
    <row r="711" spans="1:26" ht="18.75">
      <c r="A711" s="708"/>
      <c r="B711" s="727"/>
      <c r="C711" s="727"/>
      <c r="D711" s="727"/>
      <c r="E711" s="727" t="s">
        <v>301</v>
      </c>
      <c r="F711" s="727"/>
      <c r="G711" s="189"/>
      <c r="H711" s="726"/>
      <c r="I711" s="729"/>
      <c r="J711" s="269"/>
      <c r="K711" s="465"/>
      <c r="L711" s="730"/>
      <c r="M711" s="189"/>
      <c r="N711" s="730"/>
      <c r="O711" s="465"/>
      <c r="P711" s="465"/>
      <c r="Q711" s="541"/>
      <c r="R711" s="541"/>
      <c r="S711" s="541"/>
      <c r="T711" s="541"/>
      <c r="U711" s="541"/>
      <c r="V711" s="541"/>
      <c r="W711" s="541"/>
      <c r="X711" s="541"/>
      <c r="Y711" s="541"/>
      <c r="Z711" s="541"/>
    </row>
    <row r="712" spans="1:26" ht="18.75">
      <c r="A712" s="708"/>
      <c r="B712" s="727"/>
      <c r="C712" s="727"/>
      <c r="D712" s="727"/>
      <c r="E712" s="727"/>
      <c r="F712" s="727" t="s">
        <v>302</v>
      </c>
      <c r="G712" s="189"/>
      <c r="H712" s="728" t="s">
        <v>35</v>
      </c>
      <c r="I712" s="729"/>
      <c r="J712" s="214">
        <v>0</v>
      </c>
      <c r="K712" s="465"/>
      <c r="L712" s="730"/>
      <c r="M712" s="189"/>
      <c r="N712" s="730"/>
      <c r="O712" s="465"/>
      <c r="P712" s="465"/>
      <c r="Q712" s="541"/>
      <c r="R712" s="541"/>
      <c r="S712" s="541"/>
      <c r="T712" s="541"/>
      <c r="U712" s="541"/>
      <c r="V712" s="541"/>
      <c r="W712" s="541"/>
      <c r="X712" s="541"/>
      <c r="Y712" s="541"/>
      <c r="Z712" s="541"/>
    </row>
    <row r="713" spans="1:26" ht="18.75">
      <c r="A713" s="708"/>
      <c r="B713" s="727"/>
      <c r="C713" s="727"/>
      <c r="D713" s="727"/>
      <c r="E713" s="727"/>
      <c r="F713" s="727"/>
      <c r="G713" s="189"/>
      <c r="H713" s="728" t="s">
        <v>34</v>
      </c>
      <c r="I713" s="729"/>
      <c r="J713" s="214">
        <v>0</v>
      </c>
      <c r="K713" s="465"/>
      <c r="L713" s="730"/>
      <c r="M713" s="189"/>
      <c r="N713" s="730"/>
      <c r="O713" s="465"/>
      <c r="P713" s="465"/>
      <c r="Q713" s="541"/>
      <c r="R713" s="541"/>
      <c r="S713" s="541"/>
      <c r="T713" s="541"/>
      <c r="U713" s="541"/>
      <c r="V713" s="541"/>
      <c r="W713" s="541"/>
      <c r="X713" s="541"/>
      <c r="Y713" s="541"/>
      <c r="Z713" s="541"/>
    </row>
    <row r="714" spans="1:26" ht="18.75">
      <c r="A714" s="708"/>
      <c r="B714" s="727"/>
      <c r="C714" s="727"/>
      <c r="D714" s="727"/>
      <c r="E714" s="727"/>
      <c r="F714" s="727"/>
      <c r="G714" s="189"/>
      <c r="H714" s="728" t="s">
        <v>46</v>
      </c>
      <c r="I714" s="729"/>
      <c r="J714" s="214">
        <v>0</v>
      </c>
      <c r="K714" s="465"/>
      <c r="L714" s="730"/>
      <c r="M714" s="189"/>
      <c r="N714" s="730"/>
      <c r="O714" s="465"/>
      <c r="P714" s="465"/>
      <c r="Q714" s="541"/>
      <c r="R714" s="541"/>
      <c r="S714" s="541"/>
      <c r="T714" s="541"/>
      <c r="U714" s="541"/>
      <c r="V714" s="541"/>
      <c r="W714" s="541"/>
      <c r="X714" s="541"/>
      <c r="Y714" s="541"/>
      <c r="Z714" s="541"/>
    </row>
    <row r="715" spans="1:26" ht="18.75">
      <c r="A715" s="708"/>
      <c r="B715" s="727"/>
      <c r="C715" s="727"/>
      <c r="D715" s="727"/>
      <c r="E715" s="727"/>
      <c r="F715" s="727" t="s">
        <v>303</v>
      </c>
      <c r="G715" s="189"/>
      <c r="H715" s="728" t="s">
        <v>35</v>
      </c>
      <c r="I715" s="729"/>
      <c r="J715" s="214">
        <v>0</v>
      </c>
      <c r="K715" s="465"/>
      <c r="L715" s="730"/>
      <c r="M715" s="189"/>
      <c r="N715" s="730"/>
      <c r="O715" s="465"/>
      <c r="P715" s="465"/>
      <c r="Q715" s="541"/>
      <c r="R715" s="541"/>
      <c r="S715" s="541"/>
      <c r="T715" s="541"/>
      <c r="U715" s="541"/>
      <c r="V715" s="541"/>
      <c r="W715" s="541"/>
      <c r="X715" s="541"/>
      <c r="Y715" s="541"/>
      <c r="Z715" s="541"/>
    </row>
    <row r="716" spans="1:26" ht="18.75">
      <c r="A716" s="708"/>
      <c r="B716" s="727"/>
      <c r="C716" s="727"/>
      <c r="D716" s="727"/>
      <c r="E716" s="727"/>
      <c r="F716" s="727"/>
      <c r="G716" s="189"/>
      <c r="H716" s="728" t="s">
        <v>34</v>
      </c>
      <c r="I716" s="729"/>
      <c r="J716" s="214">
        <v>0</v>
      </c>
      <c r="K716" s="465"/>
      <c r="L716" s="730"/>
      <c r="M716" s="189"/>
      <c r="N716" s="730"/>
      <c r="O716" s="465"/>
      <c r="P716" s="465"/>
      <c r="Q716" s="541"/>
      <c r="R716" s="541"/>
      <c r="S716" s="541"/>
      <c r="T716" s="541"/>
      <c r="U716" s="541"/>
      <c r="V716" s="541"/>
      <c r="W716" s="541"/>
      <c r="X716" s="541"/>
      <c r="Y716" s="541"/>
      <c r="Z716" s="541"/>
    </row>
    <row r="717" spans="1:26" ht="18.75">
      <c r="A717" s="708"/>
      <c r="B717" s="727"/>
      <c r="C717" s="727"/>
      <c r="D717" s="727"/>
      <c r="E717" s="727"/>
      <c r="F717" s="727"/>
      <c r="G717" s="189"/>
      <c r="H717" s="728" t="s">
        <v>46</v>
      </c>
      <c r="I717" s="729"/>
      <c r="J717" s="214">
        <v>0</v>
      </c>
      <c r="K717" s="465"/>
      <c r="L717" s="730"/>
      <c r="M717" s="189"/>
      <c r="N717" s="730"/>
      <c r="O717" s="465"/>
      <c r="P717" s="465"/>
      <c r="Q717" s="541"/>
      <c r="R717" s="541"/>
      <c r="S717" s="541"/>
      <c r="T717" s="541"/>
      <c r="U717" s="541"/>
      <c r="V717" s="541"/>
      <c r="W717" s="541"/>
      <c r="X717" s="541"/>
      <c r="Y717" s="541"/>
      <c r="Z717" s="541"/>
    </row>
    <row r="718" spans="1:26" ht="18.75">
      <c r="A718" s="708"/>
      <c r="B718" s="727"/>
      <c r="C718" s="727"/>
      <c r="D718" s="727" t="s">
        <v>304</v>
      </c>
      <c r="E718" s="727"/>
      <c r="F718" s="727"/>
      <c r="G718" s="189"/>
      <c r="H718" s="728" t="s">
        <v>35</v>
      </c>
      <c r="I718" s="729"/>
      <c r="J718" s="269">
        <f ca="1">IFERROR(__xludf.DUMMYFUNCTION("IMPORTRANGE(""https://docs.google.com/spreadsheets/d/1XWAQStnk-4SwqDmLtmXYiTMKHgktTP8We1SCoS47DrQ/edit?usp=sharing"",""จัดที่ดิน!BF27"")"),0)</f>
        <v>0</v>
      </c>
      <c r="K718" s="465"/>
      <c r="L718" s="465"/>
      <c r="M718" s="189"/>
      <c r="N718" s="730"/>
      <c r="O718" s="465"/>
      <c r="P718" s="465"/>
      <c r="Q718" s="541"/>
      <c r="R718" s="541"/>
      <c r="S718" s="541"/>
      <c r="T718" s="541"/>
      <c r="U718" s="541"/>
      <c r="V718" s="541"/>
      <c r="W718" s="541"/>
      <c r="X718" s="541"/>
      <c r="Y718" s="541"/>
      <c r="Z718" s="541"/>
    </row>
    <row r="719" spans="1:26" ht="18.75">
      <c r="A719" s="708"/>
      <c r="B719" s="727"/>
      <c r="C719" s="727"/>
      <c r="D719" s="727"/>
      <c r="E719" s="727"/>
      <c r="F719" s="727"/>
      <c r="G719" s="189"/>
      <c r="H719" s="728" t="s">
        <v>34</v>
      </c>
      <c r="I719" s="729"/>
      <c r="J719" s="269">
        <f ca="1">IFERROR(__xludf.DUMMYFUNCTION("IMPORTRANGE(""https://docs.google.com/spreadsheets/d/1XWAQStnk-4SwqDmLtmXYiTMKHgktTP8We1SCoS47DrQ/edit?usp=sharing"",""จัดที่ดิน!BG27"")"),0)</f>
        <v>0</v>
      </c>
      <c r="K719" s="465"/>
      <c r="L719" s="730"/>
      <c r="M719" s="189"/>
      <c r="N719" s="730"/>
      <c r="O719" s="465"/>
      <c r="P719" s="465"/>
      <c r="Q719" s="541"/>
      <c r="R719" s="541"/>
      <c r="S719" s="541"/>
      <c r="T719" s="541"/>
      <c r="U719" s="541"/>
      <c r="V719" s="541"/>
      <c r="W719" s="541"/>
      <c r="X719" s="541"/>
      <c r="Y719" s="541"/>
      <c r="Z719" s="541"/>
    </row>
    <row r="720" spans="1:26" ht="18.75">
      <c r="A720" s="708"/>
      <c r="B720" s="727"/>
      <c r="C720" s="727"/>
      <c r="D720" s="727"/>
      <c r="E720" s="727"/>
      <c r="F720" s="727"/>
      <c r="G720" s="189"/>
      <c r="H720" s="728" t="s">
        <v>46</v>
      </c>
      <c r="I720" s="729">
        <f ca="1">IFERROR(__xludf.DUMMYFUNCTION("IMPORTRANGE(""https://docs.google.com/spreadsheets/d/1QqKyyYR6Q21VydFLVH3TRQUabQu_ym0Zz7PgGX0-kHA/edit?usp=sharing"",""แผน!II27"")"),400)</f>
        <v>400</v>
      </c>
      <c r="J720" s="269">
        <f ca="1">IFERROR(__xludf.DUMMYFUNCTION("IMPORTRANGE(""https://docs.google.com/spreadsheets/d/1XWAQStnk-4SwqDmLtmXYiTMKHgktTP8We1SCoS47DrQ/edit?usp=sharing"",""จัดที่ดิน!BH27"")"),0)</f>
        <v>0</v>
      </c>
      <c r="K720" s="465">
        <f t="shared" ref="K720:K723" ca="1" si="290">IF(I720&gt;0,J720*100/I720,0)</f>
        <v>0</v>
      </c>
      <c r="L720" s="730"/>
      <c r="M720" s="189"/>
      <c r="N720" s="730"/>
      <c r="O720" s="465"/>
      <c r="P720" s="465"/>
      <c r="Q720" s="541"/>
      <c r="R720" s="541"/>
      <c r="S720" s="541"/>
      <c r="T720" s="541"/>
      <c r="U720" s="541"/>
      <c r="V720" s="541"/>
      <c r="W720" s="541"/>
      <c r="X720" s="541"/>
      <c r="Y720" s="541"/>
      <c r="Z720" s="541"/>
    </row>
    <row r="721" spans="1:26" ht="19.5">
      <c r="A721" s="708"/>
      <c r="B721" s="727"/>
      <c r="C721" s="727"/>
      <c r="D721" s="727" t="s">
        <v>305</v>
      </c>
      <c r="E721" s="727"/>
      <c r="F721" s="727"/>
      <c r="G721" s="189"/>
      <c r="H721" s="731" t="s">
        <v>35</v>
      </c>
      <c r="I721" s="732">
        <f ca="1">IFERROR(__xludf.DUMMYFUNCTION("IMPORTRANGE(""https://docs.google.com/spreadsheets/d/1QqKyyYR6Q21VydFLVH3TRQUabQu_ym0Zz7PgGX0-kHA/edit?usp=sharing"",""แผน!IJ27"")"),30)</f>
        <v>30</v>
      </c>
      <c r="J721" s="647">
        <f ca="1">J723+J726</f>
        <v>0</v>
      </c>
      <c r="K721" s="195">
        <f t="shared" ca="1" si="290"/>
        <v>0</v>
      </c>
      <c r="L721" s="730"/>
      <c r="M721" s="189"/>
      <c r="N721" s="730"/>
      <c r="O721" s="465"/>
      <c r="P721" s="465"/>
      <c r="Q721" s="541"/>
      <c r="R721" s="541"/>
      <c r="S721" s="541"/>
      <c r="T721" s="541"/>
      <c r="U721" s="541"/>
      <c r="V721" s="541"/>
      <c r="W721" s="541"/>
      <c r="X721" s="541"/>
      <c r="Y721" s="541"/>
      <c r="Z721" s="541"/>
    </row>
    <row r="722" spans="1:26" ht="19.5">
      <c r="A722" s="708"/>
      <c r="B722" s="727"/>
      <c r="C722" s="727"/>
      <c r="D722" s="727"/>
      <c r="E722" s="727"/>
      <c r="F722" s="727"/>
      <c r="G722" s="189"/>
      <c r="H722" s="731" t="s">
        <v>46</v>
      </c>
      <c r="I722" s="732">
        <f ca="1">IFERROR(__xludf.DUMMYFUNCTION("IMPORTRANGE(""https://docs.google.com/spreadsheets/d/1QqKyyYR6Q21VydFLVH3TRQUabQu_ym0Zz7PgGX0-kHA/edit?usp=sharing"",""แผน!IK27"")"),300)</f>
        <v>300</v>
      </c>
      <c r="J722" s="647">
        <f ca="1">J725+J728</f>
        <v>0</v>
      </c>
      <c r="K722" s="195">
        <f t="shared" ca="1" si="290"/>
        <v>0</v>
      </c>
      <c r="L722" s="465"/>
      <c r="M722" s="189"/>
      <c r="N722" s="730"/>
      <c r="O722" s="465"/>
      <c r="P722" s="465"/>
      <c r="Q722" s="541"/>
      <c r="R722" s="541"/>
      <c r="S722" s="541"/>
      <c r="T722" s="541"/>
      <c r="U722" s="541"/>
      <c r="V722" s="541"/>
      <c r="W722" s="541"/>
      <c r="X722" s="541"/>
      <c r="Y722" s="541"/>
      <c r="Z722" s="541"/>
    </row>
    <row r="723" spans="1:26" ht="18.75">
      <c r="A723" s="708"/>
      <c r="B723" s="727"/>
      <c r="C723" s="727"/>
      <c r="D723" s="727"/>
      <c r="E723" s="727" t="s">
        <v>306</v>
      </c>
      <c r="F723" s="727"/>
      <c r="G723" s="189"/>
      <c r="H723" s="728" t="s">
        <v>35</v>
      </c>
      <c r="I723" s="729">
        <f ca="1">IFERROR(__xludf.DUMMYFUNCTION("IMPORTRANGE(""https://docs.google.com/spreadsheets/d/1QqKyyYR6Q21VydFLVH3TRQUabQu_ym0Zz7PgGX0-kHA/edit?usp=sharing"",""แผน!IL27"")"),20)</f>
        <v>20</v>
      </c>
      <c r="J723" s="269">
        <f ca="1">IFERROR(__xludf.DUMMYFUNCTION("IMPORTRANGE(""https://docs.google.com/spreadsheets/d/1XWAQStnk-4SwqDmLtmXYiTMKHgktTP8We1SCoS47DrQ/edit?usp=sharing"",""จัดที่ดิน!BM27"")"),0)</f>
        <v>0</v>
      </c>
      <c r="K723" s="465">
        <f t="shared" ca="1" si="290"/>
        <v>0</v>
      </c>
      <c r="L723" s="465"/>
      <c r="M723" s="189"/>
      <c r="N723" s="730"/>
      <c r="O723" s="465"/>
      <c r="P723" s="465"/>
      <c r="Q723" s="541"/>
      <c r="R723" s="541"/>
      <c r="S723" s="541"/>
      <c r="T723" s="541"/>
      <c r="U723" s="541"/>
      <c r="V723" s="541"/>
      <c r="W723" s="541"/>
      <c r="X723" s="541"/>
      <c r="Y723" s="541"/>
      <c r="Z723" s="541"/>
    </row>
    <row r="724" spans="1:26" ht="18.75">
      <c r="A724" s="708"/>
      <c r="B724" s="727"/>
      <c r="C724" s="727"/>
      <c r="D724" s="727"/>
      <c r="E724" s="727"/>
      <c r="F724" s="727"/>
      <c r="G724" s="189"/>
      <c r="H724" s="728" t="s">
        <v>34</v>
      </c>
      <c r="I724" s="729"/>
      <c r="J724" s="269">
        <f ca="1">IFERROR(__xludf.DUMMYFUNCTION("IMPORTRANGE(""https://docs.google.com/spreadsheets/d/1XWAQStnk-4SwqDmLtmXYiTMKHgktTP8We1SCoS47DrQ/edit?usp=sharing"",""จัดที่ดิน!BN27"")"),0)</f>
        <v>0</v>
      </c>
      <c r="K724" s="465"/>
      <c r="L724" s="730"/>
      <c r="M724" s="189"/>
      <c r="N724" s="730"/>
      <c r="O724" s="465"/>
      <c r="P724" s="465"/>
      <c r="Q724" s="541"/>
      <c r="R724" s="541"/>
      <c r="S724" s="541"/>
      <c r="T724" s="541"/>
      <c r="U724" s="541"/>
      <c r="V724" s="541"/>
      <c r="W724" s="541"/>
      <c r="X724" s="541"/>
      <c r="Y724" s="541"/>
      <c r="Z724" s="541"/>
    </row>
    <row r="725" spans="1:26" ht="18.75">
      <c r="A725" s="708"/>
      <c r="B725" s="727"/>
      <c r="C725" s="727"/>
      <c r="D725" s="727"/>
      <c r="E725" s="727"/>
      <c r="F725" s="727"/>
      <c r="G725" s="189"/>
      <c r="H725" s="728" t="s">
        <v>46</v>
      </c>
      <c r="I725" s="729">
        <f ca="1">IFERROR(__xludf.DUMMYFUNCTION("IMPORTRANGE(""https://docs.google.com/spreadsheets/d/1QqKyyYR6Q21VydFLVH3TRQUabQu_ym0Zz7PgGX0-kHA/edit?usp=sharing"",""แผน!IM27"")"),200)</f>
        <v>200</v>
      </c>
      <c r="J725" s="269">
        <f ca="1">IFERROR(__xludf.DUMMYFUNCTION("IMPORTRANGE(""https://docs.google.com/spreadsheets/d/1XWAQStnk-4SwqDmLtmXYiTMKHgktTP8We1SCoS47DrQ/edit?usp=sharing"",""จัดที่ดิน!BO27"")"),0)</f>
        <v>0</v>
      </c>
      <c r="K725" s="465">
        <f t="shared" ref="K725:K726" ca="1" si="291">IF(I725&gt;0,J725*100/I725,0)</f>
        <v>0</v>
      </c>
      <c r="L725" s="730"/>
      <c r="M725" s="189"/>
      <c r="N725" s="730"/>
      <c r="O725" s="465"/>
      <c r="P725" s="465"/>
      <c r="Q725" s="541"/>
      <c r="R725" s="541"/>
      <c r="S725" s="541"/>
      <c r="T725" s="541"/>
      <c r="U725" s="541"/>
      <c r="V725" s="541"/>
      <c r="W725" s="541"/>
      <c r="X725" s="541"/>
      <c r="Y725" s="541"/>
      <c r="Z725" s="541"/>
    </row>
    <row r="726" spans="1:26" ht="18.75">
      <c r="A726" s="708"/>
      <c r="B726" s="727"/>
      <c r="C726" s="727"/>
      <c r="D726" s="727"/>
      <c r="E726" s="727" t="s">
        <v>307</v>
      </c>
      <c r="F726" s="727"/>
      <c r="G726" s="189"/>
      <c r="H726" s="728" t="s">
        <v>35</v>
      </c>
      <c r="I726" s="729">
        <f ca="1">IFERROR(__xludf.DUMMYFUNCTION("IMPORTRANGE(""https://docs.google.com/spreadsheets/d/1QqKyyYR6Q21VydFLVH3TRQUabQu_ym0Zz7PgGX0-kHA/edit?usp=sharing"",""แผน!IN27"")"),10)</f>
        <v>10</v>
      </c>
      <c r="J726" s="269">
        <f ca="1">IFERROR(__xludf.DUMMYFUNCTION("IMPORTRANGE(""https://docs.google.com/spreadsheets/d/1XWAQStnk-4SwqDmLtmXYiTMKHgktTP8We1SCoS47DrQ/edit?usp=sharing"",""จัดที่ดิน!BR27"")"),0)</f>
        <v>0</v>
      </c>
      <c r="K726" s="465">
        <f t="shared" ca="1" si="291"/>
        <v>0</v>
      </c>
      <c r="L726" s="465"/>
      <c r="M726" s="189"/>
      <c r="N726" s="730"/>
      <c r="O726" s="465"/>
      <c r="P726" s="465"/>
      <c r="Q726" s="541"/>
      <c r="R726" s="541"/>
      <c r="S726" s="541"/>
      <c r="T726" s="541"/>
      <c r="U726" s="541"/>
      <c r="V726" s="541"/>
      <c r="W726" s="541"/>
      <c r="X726" s="541"/>
      <c r="Y726" s="541"/>
      <c r="Z726" s="541"/>
    </row>
    <row r="727" spans="1:26" ht="18.75">
      <c r="A727" s="708"/>
      <c r="B727" s="727"/>
      <c r="C727" s="727"/>
      <c r="D727" s="727"/>
      <c r="E727" s="727"/>
      <c r="F727" s="727"/>
      <c r="G727" s="189"/>
      <c r="H727" s="728" t="s">
        <v>34</v>
      </c>
      <c r="I727" s="729"/>
      <c r="J727" s="269">
        <f ca="1">IFERROR(__xludf.DUMMYFUNCTION("IMPORTRANGE(""https://docs.google.com/spreadsheets/d/1XWAQStnk-4SwqDmLtmXYiTMKHgktTP8We1SCoS47DrQ/edit?usp=sharing"",""จัดที่ดิน!BS27"")"),0)</f>
        <v>0</v>
      </c>
      <c r="K727" s="465"/>
      <c r="L727" s="730"/>
      <c r="M727" s="189"/>
      <c r="N727" s="730"/>
      <c r="O727" s="465"/>
      <c r="P727" s="465"/>
      <c r="Q727" s="541"/>
      <c r="R727" s="541"/>
      <c r="S727" s="541"/>
      <c r="T727" s="541"/>
      <c r="U727" s="541"/>
      <c r="V727" s="541"/>
      <c r="W727" s="541"/>
      <c r="X727" s="541"/>
      <c r="Y727" s="541"/>
      <c r="Z727" s="541"/>
    </row>
    <row r="728" spans="1:26" ht="18.75">
      <c r="A728" s="708"/>
      <c r="B728" s="727"/>
      <c r="C728" s="727"/>
      <c r="D728" s="727"/>
      <c r="E728" s="727"/>
      <c r="F728" s="727"/>
      <c r="G728" s="189"/>
      <c r="H728" s="728" t="s">
        <v>46</v>
      </c>
      <c r="I728" s="729">
        <f ca="1">IFERROR(__xludf.DUMMYFUNCTION("IMPORTRANGE(""https://docs.google.com/spreadsheets/d/1QqKyyYR6Q21VydFLVH3TRQUabQu_ym0Zz7PgGX0-kHA/edit?usp=sharing"",""แผน!IO27"")"),100)</f>
        <v>100</v>
      </c>
      <c r="J728" s="269">
        <f ca="1">IFERROR(__xludf.DUMMYFUNCTION("IMPORTRANGE(""https://docs.google.com/spreadsheets/d/1XWAQStnk-4SwqDmLtmXYiTMKHgktTP8We1SCoS47DrQ/edit?usp=sharing"",""จัดที่ดิน!BT27"")"),0)</f>
        <v>0</v>
      </c>
      <c r="K728" s="465">
        <f t="shared" ref="K728:K729" ca="1" si="292">IF(I728&gt;0,J728*100/I728,0)</f>
        <v>0</v>
      </c>
      <c r="L728" s="730"/>
      <c r="M728" s="189"/>
      <c r="N728" s="730"/>
      <c r="O728" s="465"/>
      <c r="P728" s="465"/>
      <c r="Q728" s="541"/>
      <c r="R728" s="541"/>
      <c r="S728" s="541"/>
      <c r="T728" s="541"/>
      <c r="U728" s="541"/>
      <c r="V728" s="541"/>
      <c r="W728" s="541"/>
      <c r="X728" s="541"/>
      <c r="Y728" s="541"/>
      <c r="Z728" s="541"/>
    </row>
    <row r="729" spans="1:26" ht="19.5">
      <c r="A729" s="708"/>
      <c r="B729" s="727"/>
      <c r="C729" s="727"/>
      <c r="D729" s="727" t="s">
        <v>308</v>
      </c>
      <c r="E729" s="727"/>
      <c r="F729" s="727"/>
      <c r="G729" s="189"/>
      <c r="H729" s="731" t="s">
        <v>46</v>
      </c>
      <c r="I729" s="732">
        <f ca="1">IFERROR(__xludf.DUMMYFUNCTION("IMPORTRANGE(""https://docs.google.com/spreadsheets/d/1QqKyyYR6Q21VydFLVH3TRQUabQu_ym0Zz7PgGX0-kHA/edit?usp=sharing"",""แผน!IP27"")"),40)</f>
        <v>40</v>
      </c>
      <c r="J729" s="647">
        <f>J732+J735</f>
        <v>0</v>
      </c>
      <c r="K729" s="195">
        <f t="shared" ca="1" si="292"/>
        <v>0</v>
      </c>
      <c r="L729" s="465"/>
      <c r="M729" s="189"/>
      <c r="N729" s="730"/>
      <c r="O729" s="465"/>
      <c r="P729" s="465"/>
      <c r="Q729" s="541"/>
      <c r="R729" s="541"/>
      <c r="S729" s="541"/>
      <c r="T729" s="541"/>
      <c r="U729" s="541"/>
      <c r="V729" s="541"/>
      <c r="W729" s="541"/>
      <c r="X729" s="541"/>
      <c r="Y729" s="541"/>
      <c r="Z729" s="541"/>
    </row>
    <row r="730" spans="1:26" ht="18.75">
      <c r="A730" s="708"/>
      <c r="B730" s="727"/>
      <c r="C730" s="727"/>
      <c r="D730" s="727"/>
      <c r="E730" s="727" t="s">
        <v>309</v>
      </c>
      <c r="F730" s="727"/>
      <c r="G730" s="189"/>
      <c r="H730" s="728" t="s">
        <v>35</v>
      </c>
      <c r="I730" s="729"/>
      <c r="J730" s="214">
        <v>0</v>
      </c>
      <c r="K730" s="465"/>
      <c r="L730" s="730"/>
      <c r="M730" s="465"/>
      <c r="N730" s="730"/>
      <c r="O730" s="465"/>
      <c r="P730" s="465"/>
      <c r="Q730" s="541"/>
      <c r="R730" s="541"/>
      <c r="S730" s="541"/>
      <c r="T730" s="541"/>
      <c r="U730" s="541"/>
      <c r="V730" s="541"/>
      <c r="W730" s="541"/>
      <c r="X730" s="541"/>
      <c r="Y730" s="541"/>
      <c r="Z730" s="541"/>
    </row>
    <row r="731" spans="1:26" ht="18.75">
      <c r="A731" s="708"/>
      <c r="B731" s="727"/>
      <c r="C731" s="727"/>
      <c r="D731" s="727"/>
      <c r="E731" s="727"/>
      <c r="F731" s="727"/>
      <c r="G731" s="189"/>
      <c r="H731" s="728" t="s">
        <v>34</v>
      </c>
      <c r="I731" s="729"/>
      <c r="J731" s="214">
        <v>0</v>
      </c>
      <c r="K731" s="465"/>
      <c r="L731" s="730"/>
      <c r="M731" s="465"/>
      <c r="N731" s="730"/>
      <c r="O731" s="465"/>
      <c r="P731" s="465"/>
      <c r="Q731" s="541"/>
      <c r="R731" s="541"/>
      <c r="S731" s="541"/>
      <c r="T731" s="541"/>
      <c r="U731" s="541"/>
      <c r="V731" s="541"/>
      <c r="W731" s="541"/>
      <c r="X731" s="541"/>
      <c r="Y731" s="541"/>
      <c r="Z731" s="541"/>
    </row>
    <row r="732" spans="1:26" ht="18.75">
      <c r="A732" s="708"/>
      <c r="B732" s="727"/>
      <c r="C732" s="727"/>
      <c r="D732" s="727"/>
      <c r="E732" s="727"/>
      <c r="F732" s="727"/>
      <c r="G732" s="189"/>
      <c r="H732" s="728" t="s">
        <v>46</v>
      </c>
      <c r="I732" s="729"/>
      <c r="J732" s="214">
        <v>0</v>
      </c>
      <c r="K732" s="465"/>
      <c r="L732" s="730"/>
      <c r="M732" s="465"/>
      <c r="N732" s="730"/>
      <c r="O732" s="465"/>
      <c r="P732" s="465"/>
      <c r="Q732" s="541"/>
      <c r="R732" s="541"/>
      <c r="S732" s="541"/>
      <c r="T732" s="541"/>
      <c r="U732" s="541"/>
      <c r="V732" s="541"/>
      <c r="W732" s="541"/>
      <c r="X732" s="541"/>
      <c r="Y732" s="541"/>
      <c r="Z732" s="541"/>
    </row>
    <row r="733" spans="1:26" ht="18.75">
      <c r="A733" s="708"/>
      <c r="B733" s="727"/>
      <c r="C733" s="727"/>
      <c r="D733" s="727"/>
      <c r="E733" s="727" t="s">
        <v>310</v>
      </c>
      <c r="F733" s="727"/>
      <c r="G733" s="189"/>
      <c r="H733" s="728" t="s">
        <v>35</v>
      </c>
      <c r="I733" s="729"/>
      <c r="J733" s="214">
        <v>0</v>
      </c>
      <c r="K733" s="465"/>
      <c r="L733" s="730"/>
      <c r="M733" s="465"/>
      <c r="N733" s="730"/>
      <c r="O733" s="465"/>
      <c r="P733" s="465"/>
      <c r="Q733" s="541"/>
      <c r="R733" s="541"/>
      <c r="S733" s="541"/>
      <c r="T733" s="541"/>
      <c r="U733" s="541"/>
      <c r="V733" s="541"/>
      <c r="W733" s="541"/>
      <c r="X733" s="541"/>
      <c r="Y733" s="541"/>
      <c r="Z733" s="541"/>
    </row>
    <row r="734" spans="1:26" ht="18.75">
      <c r="A734" s="708"/>
      <c r="B734" s="727"/>
      <c r="C734" s="727"/>
      <c r="D734" s="727"/>
      <c r="E734" s="727"/>
      <c r="F734" s="727"/>
      <c r="G734" s="189"/>
      <c r="H734" s="728" t="s">
        <v>34</v>
      </c>
      <c r="I734" s="729"/>
      <c r="J734" s="214">
        <v>0</v>
      </c>
      <c r="K734" s="465"/>
      <c r="L734" s="730"/>
      <c r="M734" s="465"/>
      <c r="N734" s="730"/>
      <c r="O734" s="465"/>
      <c r="P734" s="465"/>
      <c r="Q734" s="541"/>
      <c r="R734" s="541"/>
      <c r="S734" s="541"/>
      <c r="T734" s="541"/>
      <c r="U734" s="541"/>
      <c r="V734" s="541"/>
      <c r="W734" s="541"/>
      <c r="X734" s="541"/>
      <c r="Y734" s="541"/>
      <c r="Z734" s="541"/>
    </row>
    <row r="735" spans="1:26" ht="19.5">
      <c r="A735" s="734"/>
      <c r="B735" s="735" t="s">
        <v>311</v>
      </c>
      <c r="C735" s="698"/>
      <c r="D735" s="698"/>
      <c r="E735" s="698"/>
      <c r="F735" s="698"/>
      <c r="G735" s="699"/>
      <c r="H735" s="390" t="s">
        <v>46</v>
      </c>
      <c r="I735" s="736"/>
      <c r="J735" s="392">
        <v>0</v>
      </c>
      <c r="K735" s="469"/>
      <c r="L735" s="737"/>
      <c r="M735" s="469"/>
      <c r="N735" s="737"/>
      <c r="O735" s="469"/>
      <c r="P735" s="469"/>
      <c r="Q735" s="541"/>
      <c r="R735" s="541"/>
      <c r="S735" s="541"/>
      <c r="T735" s="541"/>
      <c r="U735" s="541"/>
      <c r="V735" s="541"/>
      <c r="W735" s="541"/>
      <c r="X735" s="541"/>
      <c r="Y735" s="541"/>
      <c r="Z735" s="541"/>
    </row>
    <row r="736" spans="1:26" ht="19.5" hidden="1">
      <c r="A736" s="738">
        <v>9</v>
      </c>
      <c r="B736" s="739" t="s">
        <v>312</v>
      </c>
      <c r="C736" s="740"/>
      <c r="D736" s="740"/>
      <c r="E736" s="740"/>
      <c r="F736" s="740"/>
      <c r="G736" s="741"/>
      <c r="H736" s="742" t="s">
        <v>46</v>
      </c>
      <c r="I736" s="743"/>
      <c r="J736" s="743">
        <f>J751</f>
        <v>0</v>
      </c>
      <c r="K736" s="744">
        <f>IF(I736&gt;0,J736*100/I736,0)</f>
        <v>0</v>
      </c>
      <c r="L736" s="745"/>
      <c r="M736" s="745"/>
      <c r="N736" s="745"/>
      <c r="O736" s="745"/>
      <c r="P736" s="745"/>
      <c r="Q736" s="568"/>
      <c r="R736" s="568"/>
      <c r="S736" s="568"/>
      <c r="T736" s="568"/>
      <c r="U736" s="568"/>
      <c r="V736" s="568"/>
      <c r="W736" s="568"/>
      <c r="X736" s="568"/>
      <c r="Y736" s="568"/>
      <c r="Z736" s="568"/>
    </row>
    <row r="737" spans="1:26" ht="19.5" hidden="1">
      <c r="A737" s="563"/>
      <c r="B737" s="723"/>
      <c r="C737" s="723" t="s">
        <v>16</v>
      </c>
      <c r="D737" s="812" t="s">
        <v>17</v>
      </c>
      <c r="E737" s="805"/>
      <c r="F737" s="805"/>
      <c r="G737" s="567"/>
      <c r="H737" s="612" t="s">
        <v>12</v>
      </c>
      <c r="I737" s="583"/>
      <c r="J737" s="583"/>
      <c r="K737" s="93"/>
      <c r="L737" s="613">
        <f t="shared" ref="L737:N737" si="293">L738+L739</f>
        <v>0</v>
      </c>
      <c r="M737" s="613">
        <f t="shared" si="293"/>
        <v>0</v>
      </c>
      <c r="N737" s="613">
        <f t="shared" si="293"/>
        <v>0</v>
      </c>
      <c r="O737" s="613">
        <f t="shared" ref="O737:O742" si="294">IF(L737&gt;0,N737*100/L737,0)</f>
        <v>0</v>
      </c>
      <c r="P737" s="613">
        <f t="shared" ref="P737:P742" si="295">IF(M737&gt;0,N737*100/M737,0)</f>
        <v>0</v>
      </c>
      <c r="Q737" s="568"/>
      <c r="R737" s="568"/>
      <c r="S737" s="568"/>
      <c r="T737" s="568"/>
      <c r="U737" s="568"/>
      <c r="V737" s="568"/>
      <c r="W737" s="568"/>
      <c r="X737" s="568"/>
      <c r="Y737" s="568"/>
      <c r="Z737" s="568"/>
    </row>
    <row r="738" spans="1:26" ht="18.75" hidden="1">
      <c r="A738" s="563"/>
      <c r="B738" s="723"/>
      <c r="C738" s="723"/>
      <c r="D738" s="684"/>
      <c r="E738" s="723" t="s">
        <v>184</v>
      </c>
      <c r="F738" s="723"/>
      <c r="G738" s="567"/>
      <c r="H738" s="165" t="s">
        <v>12</v>
      </c>
      <c r="I738" s="583"/>
      <c r="J738" s="583"/>
      <c r="K738" s="93"/>
      <c r="L738" s="93">
        <f t="shared" ref="L738:N739" si="296">L741+L748</f>
        <v>0</v>
      </c>
      <c r="M738" s="93">
        <f t="shared" si="296"/>
        <v>0</v>
      </c>
      <c r="N738" s="93">
        <f t="shared" si="296"/>
        <v>0</v>
      </c>
      <c r="O738" s="93">
        <f t="shared" si="294"/>
        <v>0</v>
      </c>
      <c r="P738" s="93">
        <f t="shared" si="295"/>
        <v>0</v>
      </c>
      <c r="Q738" s="568"/>
      <c r="R738" s="568"/>
      <c r="S738" s="568"/>
      <c r="T738" s="568"/>
      <c r="U738" s="568"/>
      <c r="V738" s="568"/>
      <c r="W738" s="568"/>
      <c r="X738" s="568"/>
      <c r="Y738" s="568"/>
      <c r="Z738" s="568"/>
    </row>
    <row r="739" spans="1:26" ht="18.75" hidden="1">
      <c r="A739" s="563"/>
      <c r="B739" s="571"/>
      <c r="C739" s="723"/>
      <c r="D739" s="684"/>
      <c r="E739" s="723" t="s">
        <v>185</v>
      </c>
      <c r="F739" s="723"/>
      <c r="G739" s="567"/>
      <c r="H739" s="165" t="s">
        <v>12</v>
      </c>
      <c r="I739" s="583"/>
      <c r="J739" s="583"/>
      <c r="K739" s="93"/>
      <c r="L739" s="93">
        <f t="shared" si="296"/>
        <v>0</v>
      </c>
      <c r="M739" s="93">
        <f t="shared" si="296"/>
        <v>0</v>
      </c>
      <c r="N739" s="93">
        <f t="shared" si="296"/>
        <v>0</v>
      </c>
      <c r="O739" s="93">
        <f t="shared" si="294"/>
        <v>0</v>
      </c>
      <c r="P739" s="93">
        <f t="shared" si="295"/>
        <v>0</v>
      </c>
      <c r="Q739" s="568"/>
      <c r="R739" s="568"/>
      <c r="S739" s="568"/>
      <c r="T739" s="568"/>
      <c r="U739" s="568"/>
      <c r="V739" s="568"/>
      <c r="W739" s="568"/>
      <c r="X739" s="568"/>
      <c r="Y739" s="568"/>
      <c r="Z739" s="568"/>
    </row>
    <row r="740" spans="1:26" ht="19.5" hidden="1">
      <c r="A740" s="563"/>
      <c r="B740" s="571"/>
      <c r="C740" s="723"/>
      <c r="D740" s="611" t="s">
        <v>20</v>
      </c>
      <c r="E740" s="723"/>
      <c r="F740" s="723"/>
      <c r="G740" s="567"/>
      <c r="H740" s="612" t="s">
        <v>12</v>
      </c>
      <c r="I740" s="166"/>
      <c r="J740" s="166"/>
      <c r="K740" s="167"/>
      <c r="L740" s="613">
        <f t="shared" ref="L740:N740" si="297">L741+L742</f>
        <v>0</v>
      </c>
      <c r="M740" s="613">
        <f t="shared" si="297"/>
        <v>0</v>
      </c>
      <c r="N740" s="613">
        <f t="shared" si="297"/>
        <v>0</v>
      </c>
      <c r="O740" s="613">
        <f t="shared" si="294"/>
        <v>0</v>
      </c>
      <c r="P740" s="613">
        <f t="shared" si="295"/>
        <v>0</v>
      </c>
      <c r="Q740" s="568"/>
      <c r="R740" s="568"/>
      <c r="S740" s="568"/>
      <c r="T740" s="568"/>
      <c r="U740" s="568"/>
      <c r="V740" s="568"/>
      <c r="W740" s="568"/>
      <c r="X740" s="568"/>
      <c r="Y740" s="568"/>
      <c r="Z740" s="568"/>
    </row>
    <row r="741" spans="1:26" ht="18.75" hidden="1">
      <c r="A741" s="563"/>
      <c r="B741" s="571"/>
      <c r="C741" s="723"/>
      <c r="D741" s="684"/>
      <c r="E741" s="723" t="s">
        <v>184</v>
      </c>
      <c r="F741" s="723"/>
      <c r="G741" s="567"/>
      <c r="H741" s="165" t="s">
        <v>12</v>
      </c>
      <c r="I741" s="583"/>
      <c r="J741" s="583"/>
      <c r="K741" s="93"/>
      <c r="L741" s="93">
        <v>0</v>
      </c>
      <c r="M741" s="93">
        <v>0</v>
      </c>
      <c r="N741" s="93">
        <v>0</v>
      </c>
      <c r="O741" s="93">
        <f t="shared" si="294"/>
        <v>0</v>
      </c>
      <c r="P741" s="93">
        <f t="shared" si="295"/>
        <v>0</v>
      </c>
      <c r="Q741" s="568"/>
      <c r="R741" s="568"/>
      <c r="S741" s="568"/>
      <c r="T741" s="568"/>
      <c r="U741" s="568"/>
      <c r="V741" s="568"/>
      <c r="W741" s="568"/>
      <c r="X741" s="568"/>
      <c r="Y741" s="568"/>
      <c r="Z741" s="568"/>
    </row>
    <row r="742" spans="1:26" ht="18.75" hidden="1">
      <c r="A742" s="563"/>
      <c r="B742" s="571"/>
      <c r="C742" s="723"/>
      <c r="D742" s="684"/>
      <c r="E742" s="723" t="s">
        <v>185</v>
      </c>
      <c r="F742" s="723"/>
      <c r="G742" s="567"/>
      <c r="H742" s="165" t="s">
        <v>12</v>
      </c>
      <c r="I742" s="583"/>
      <c r="J742" s="583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4"/>
        <v>0</v>
      </c>
      <c r="P742" s="93">
        <f t="shared" si="295"/>
        <v>0</v>
      </c>
      <c r="Q742" s="568"/>
      <c r="R742" s="568"/>
      <c r="S742" s="568"/>
      <c r="T742" s="568"/>
      <c r="U742" s="568"/>
      <c r="V742" s="568"/>
      <c r="W742" s="568"/>
      <c r="X742" s="568"/>
      <c r="Y742" s="568"/>
      <c r="Z742" s="568"/>
    </row>
    <row r="743" spans="1:26" ht="18.75" hidden="1">
      <c r="A743" s="615"/>
      <c r="B743" s="571"/>
      <c r="C743" s="723"/>
      <c r="D743" s="723"/>
      <c r="E743" s="723"/>
      <c r="F743" s="723" t="s">
        <v>186</v>
      </c>
      <c r="G743" s="567"/>
      <c r="H743" s="165" t="s">
        <v>12</v>
      </c>
      <c r="I743" s="583"/>
      <c r="J743" s="583"/>
      <c r="K743" s="93"/>
      <c r="L743" s="93"/>
      <c r="M743" s="93"/>
      <c r="N743" s="93"/>
      <c r="O743" s="93"/>
      <c r="P743" s="93"/>
      <c r="Q743" s="568"/>
      <c r="R743" s="568"/>
      <c r="S743" s="568"/>
      <c r="T743" s="568"/>
      <c r="U743" s="568"/>
      <c r="V743" s="568"/>
      <c r="W743" s="568"/>
      <c r="X743" s="568"/>
      <c r="Y743" s="568"/>
      <c r="Z743" s="568"/>
    </row>
    <row r="744" spans="1:26" ht="18.75" hidden="1">
      <c r="A744" s="615"/>
      <c r="B744" s="571"/>
      <c r="C744" s="723"/>
      <c r="D744" s="723"/>
      <c r="E744" s="723"/>
      <c r="F744" s="723" t="s">
        <v>187</v>
      </c>
      <c r="G744" s="567"/>
      <c r="H744" s="165" t="s">
        <v>12</v>
      </c>
      <c r="I744" s="583"/>
      <c r="J744" s="583"/>
      <c r="K744" s="93"/>
      <c r="L744" s="93"/>
      <c r="M744" s="93"/>
      <c r="N744" s="93"/>
      <c r="O744" s="93"/>
      <c r="P744" s="93"/>
      <c r="Q744" s="568"/>
      <c r="R744" s="568"/>
      <c r="S744" s="568"/>
      <c r="T744" s="568"/>
      <c r="U744" s="568"/>
      <c r="V744" s="568"/>
      <c r="W744" s="568"/>
      <c r="X744" s="568"/>
      <c r="Y744" s="568"/>
      <c r="Z744" s="568"/>
    </row>
    <row r="745" spans="1:26" ht="18.75" hidden="1">
      <c r="A745" s="615"/>
      <c r="B745" s="571"/>
      <c r="C745" s="723"/>
      <c r="D745" s="723"/>
      <c r="E745" s="723"/>
      <c r="F745" s="723" t="s">
        <v>188</v>
      </c>
      <c r="G745" s="567"/>
      <c r="H745" s="165" t="s">
        <v>12</v>
      </c>
      <c r="I745" s="583"/>
      <c r="J745" s="583"/>
      <c r="K745" s="93"/>
      <c r="L745" s="93"/>
      <c r="M745" s="93"/>
      <c r="N745" s="93"/>
      <c r="O745" s="93"/>
      <c r="P745" s="93"/>
      <c r="Q745" s="568"/>
      <c r="R745" s="568"/>
      <c r="S745" s="568"/>
      <c r="T745" s="568"/>
      <c r="U745" s="568"/>
      <c r="V745" s="568"/>
      <c r="W745" s="568"/>
      <c r="X745" s="568"/>
      <c r="Y745" s="568"/>
      <c r="Z745" s="568"/>
    </row>
    <row r="746" spans="1:26" ht="18.75" hidden="1">
      <c r="A746" s="615"/>
      <c r="B746" s="571"/>
      <c r="C746" s="723"/>
      <c r="D746" s="723"/>
      <c r="E746" s="723"/>
      <c r="F746" s="723" t="s">
        <v>189</v>
      </c>
      <c r="G746" s="567"/>
      <c r="H746" s="165" t="s">
        <v>12</v>
      </c>
      <c r="I746" s="583"/>
      <c r="J746" s="583"/>
      <c r="K746" s="93"/>
      <c r="L746" s="93"/>
      <c r="M746" s="93"/>
      <c r="N746" s="93"/>
      <c r="O746" s="93"/>
      <c r="P746" s="93"/>
      <c r="Q746" s="568"/>
      <c r="R746" s="568"/>
      <c r="S746" s="568"/>
      <c r="T746" s="568"/>
      <c r="U746" s="568"/>
      <c r="V746" s="568"/>
      <c r="W746" s="568"/>
      <c r="X746" s="568"/>
      <c r="Y746" s="568"/>
      <c r="Z746" s="568"/>
    </row>
    <row r="747" spans="1:26" ht="19.5" hidden="1">
      <c r="A747" s="563"/>
      <c r="B747" s="571"/>
      <c r="C747" s="723"/>
      <c r="D747" s="611" t="s">
        <v>21</v>
      </c>
      <c r="E747" s="723"/>
      <c r="F747" s="723"/>
      <c r="G747" s="567"/>
      <c r="H747" s="747" t="s">
        <v>12</v>
      </c>
      <c r="I747" s="166"/>
      <c r="J747" s="166"/>
      <c r="K747" s="167"/>
      <c r="L747" s="613">
        <f t="shared" ref="L747:N747" si="298">L748+L749</f>
        <v>0</v>
      </c>
      <c r="M747" s="613">
        <f t="shared" si="298"/>
        <v>0</v>
      </c>
      <c r="N747" s="613">
        <f t="shared" si="298"/>
        <v>0</v>
      </c>
      <c r="O747" s="613">
        <f t="shared" ref="O747:O749" si="299">IF(L747&gt;0,N747*100/L747,0)</f>
        <v>0</v>
      </c>
      <c r="P747" s="613">
        <f t="shared" ref="P747:P749" si="300">IF(M747&gt;0,N747*100/M747,0)</f>
        <v>0</v>
      </c>
      <c r="Q747" s="568"/>
      <c r="R747" s="568"/>
      <c r="S747" s="568"/>
      <c r="T747" s="568"/>
      <c r="U747" s="568"/>
      <c r="V747" s="568"/>
      <c r="W747" s="568"/>
      <c r="X747" s="568"/>
      <c r="Y747" s="568"/>
      <c r="Z747" s="568"/>
    </row>
    <row r="748" spans="1:26" ht="18.75" hidden="1">
      <c r="A748" s="563"/>
      <c r="B748" s="571"/>
      <c r="C748" s="723"/>
      <c r="D748" s="723"/>
      <c r="E748" s="723" t="s">
        <v>18</v>
      </c>
      <c r="F748" s="723"/>
      <c r="G748" s="567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299"/>
        <v>0</v>
      </c>
      <c r="P748" s="93">
        <f t="shared" si="300"/>
        <v>0</v>
      </c>
      <c r="Q748" s="568"/>
      <c r="R748" s="568"/>
      <c r="S748" s="568"/>
      <c r="T748" s="568"/>
      <c r="U748" s="568"/>
      <c r="V748" s="568"/>
      <c r="W748" s="568"/>
      <c r="X748" s="568"/>
      <c r="Y748" s="568"/>
      <c r="Z748" s="568"/>
    </row>
    <row r="749" spans="1:26" ht="18.75" hidden="1">
      <c r="A749" s="563"/>
      <c r="B749" s="571"/>
      <c r="C749" s="723"/>
      <c r="D749" s="723"/>
      <c r="E749" s="723" t="s">
        <v>19</v>
      </c>
      <c r="F749" s="723"/>
      <c r="G749" s="567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299"/>
        <v>0</v>
      </c>
      <c r="P749" s="93">
        <f t="shared" si="300"/>
        <v>0</v>
      </c>
      <c r="Q749" s="568"/>
      <c r="R749" s="568"/>
      <c r="S749" s="568"/>
      <c r="T749" s="568"/>
      <c r="U749" s="568"/>
      <c r="V749" s="568"/>
      <c r="W749" s="568"/>
      <c r="X749" s="568"/>
      <c r="Y749" s="568"/>
      <c r="Z749" s="568"/>
    </row>
    <row r="750" spans="1:26" ht="19.5" hidden="1">
      <c r="A750" s="578"/>
      <c r="B750" s="580"/>
      <c r="C750" s="723" t="s">
        <v>16</v>
      </c>
      <c r="D750" s="856" t="s">
        <v>38</v>
      </c>
      <c r="E750" s="617"/>
      <c r="F750" s="617"/>
      <c r="G750" s="618"/>
      <c r="H750" s="581"/>
      <c r="I750" s="166"/>
      <c r="J750" s="166"/>
      <c r="K750" s="167"/>
      <c r="L750" s="167"/>
      <c r="M750" s="167"/>
      <c r="N750" s="167"/>
      <c r="O750" s="167"/>
      <c r="P750" s="167"/>
      <c r="Q750" s="568"/>
      <c r="R750" s="568"/>
      <c r="S750" s="568"/>
      <c r="T750" s="568"/>
      <c r="U750" s="568"/>
      <c r="V750" s="568"/>
      <c r="W750" s="568"/>
      <c r="X750" s="568"/>
      <c r="Y750" s="568"/>
      <c r="Z750" s="568"/>
    </row>
    <row r="751" spans="1:26" ht="18.75" hidden="1">
      <c r="A751" s="615"/>
      <c r="B751" s="571"/>
      <c r="C751" s="723"/>
      <c r="D751" s="723"/>
      <c r="E751" s="723" t="s">
        <v>313</v>
      </c>
      <c r="F751" s="723"/>
      <c r="G751" s="567"/>
      <c r="H751" s="165" t="s">
        <v>46</v>
      </c>
      <c r="I751" s="583"/>
      <c r="J751" s="583"/>
      <c r="K751" s="93"/>
      <c r="L751" s="93"/>
      <c r="M751" s="93"/>
      <c r="N751" s="93"/>
      <c r="O751" s="93"/>
      <c r="P751" s="93"/>
      <c r="Q751" s="568"/>
      <c r="R751" s="568"/>
      <c r="S751" s="568"/>
      <c r="T751" s="568"/>
      <c r="U751" s="568"/>
      <c r="V751" s="568"/>
      <c r="W751" s="568"/>
      <c r="X751" s="568"/>
      <c r="Y751" s="568"/>
      <c r="Z751" s="568"/>
    </row>
    <row r="752" spans="1:26" ht="18.75" hidden="1">
      <c r="A752" s="615"/>
      <c r="B752" s="571"/>
      <c r="C752" s="723"/>
      <c r="D752" s="723"/>
      <c r="E752" s="723"/>
      <c r="F752" s="723"/>
      <c r="G752" s="567"/>
      <c r="H752" s="165" t="s">
        <v>314</v>
      </c>
      <c r="I752" s="583"/>
      <c r="J752" s="583"/>
      <c r="K752" s="93"/>
      <c r="L752" s="93"/>
      <c r="M752" s="93"/>
      <c r="N752" s="93"/>
      <c r="O752" s="93"/>
      <c r="P752" s="93"/>
      <c r="Q752" s="568"/>
      <c r="R752" s="568"/>
      <c r="S752" s="568"/>
      <c r="T752" s="568"/>
      <c r="U752" s="568"/>
      <c r="V752" s="568"/>
      <c r="W752" s="568"/>
      <c r="X752" s="568"/>
      <c r="Y752" s="568"/>
      <c r="Z752" s="568"/>
    </row>
    <row r="753" spans="1:26" ht="19.5" hidden="1">
      <c r="A753" s="749">
        <v>10</v>
      </c>
      <c r="B753" s="750" t="s">
        <v>315</v>
      </c>
      <c r="C753" s="751"/>
      <c r="D753" s="751"/>
      <c r="E753" s="751"/>
      <c r="F753" s="751"/>
      <c r="G753" s="752"/>
      <c r="H753" s="753" t="s">
        <v>46</v>
      </c>
      <c r="I753" s="754"/>
      <c r="J753" s="754">
        <f>J768</f>
        <v>0</v>
      </c>
      <c r="K753" s="755">
        <f>IF(I753&gt;0,J753*100/I753,0)</f>
        <v>0</v>
      </c>
      <c r="L753" s="756"/>
      <c r="M753" s="756"/>
      <c r="N753" s="756"/>
      <c r="O753" s="756"/>
      <c r="P753" s="756"/>
      <c r="Q753" s="568"/>
      <c r="R753" s="568"/>
      <c r="S753" s="568"/>
      <c r="T753" s="568"/>
      <c r="U753" s="568"/>
      <c r="V753" s="568"/>
      <c r="W753" s="568"/>
      <c r="X753" s="568"/>
      <c r="Y753" s="568"/>
      <c r="Z753" s="568"/>
    </row>
    <row r="754" spans="1:26" ht="19.5" hidden="1">
      <c r="A754" s="563"/>
      <c r="B754" s="723"/>
      <c r="C754" s="723" t="s">
        <v>16</v>
      </c>
      <c r="D754" s="812" t="s">
        <v>17</v>
      </c>
      <c r="E754" s="805"/>
      <c r="F754" s="805"/>
      <c r="G754" s="567"/>
      <c r="H754" s="612" t="s">
        <v>12</v>
      </c>
      <c r="I754" s="583"/>
      <c r="J754" s="583"/>
      <c r="K754" s="93"/>
      <c r="L754" s="613">
        <f t="shared" ref="L754:N754" si="301">L755+L756</f>
        <v>0</v>
      </c>
      <c r="M754" s="613">
        <f t="shared" si="301"/>
        <v>0</v>
      </c>
      <c r="N754" s="613">
        <f t="shared" si="301"/>
        <v>0</v>
      </c>
      <c r="O754" s="613">
        <f t="shared" ref="O754:O759" si="302">IF(L754&gt;0,N754*100/L754,0)</f>
        <v>0</v>
      </c>
      <c r="P754" s="613">
        <f t="shared" ref="P754:P759" si="303">IF(M754&gt;0,N754*100/M754,0)</f>
        <v>0</v>
      </c>
      <c r="Q754" s="568"/>
      <c r="R754" s="568"/>
      <c r="S754" s="568"/>
      <c r="T754" s="568"/>
      <c r="U754" s="568"/>
      <c r="V754" s="568"/>
      <c r="W754" s="568"/>
      <c r="X754" s="568"/>
      <c r="Y754" s="568"/>
      <c r="Z754" s="568"/>
    </row>
    <row r="755" spans="1:26" ht="18.75" hidden="1">
      <c r="A755" s="563"/>
      <c r="B755" s="723"/>
      <c r="C755" s="723"/>
      <c r="D755" s="684"/>
      <c r="E755" s="723" t="s">
        <v>184</v>
      </c>
      <c r="F755" s="723"/>
      <c r="G755" s="567"/>
      <c r="H755" s="165" t="s">
        <v>12</v>
      </c>
      <c r="I755" s="583"/>
      <c r="J755" s="583"/>
      <c r="K755" s="93"/>
      <c r="L755" s="93">
        <f t="shared" ref="L755:N756" si="304">L758+L765</f>
        <v>0</v>
      </c>
      <c r="M755" s="93">
        <f t="shared" si="304"/>
        <v>0</v>
      </c>
      <c r="N755" s="93">
        <f t="shared" si="304"/>
        <v>0</v>
      </c>
      <c r="O755" s="93">
        <f t="shared" si="302"/>
        <v>0</v>
      </c>
      <c r="P755" s="93">
        <f t="shared" si="303"/>
        <v>0</v>
      </c>
      <c r="Q755" s="568"/>
      <c r="R755" s="568"/>
      <c r="S755" s="568"/>
      <c r="T755" s="568"/>
      <c r="U755" s="568"/>
      <c r="V755" s="568"/>
      <c r="W755" s="568"/>
      <c r="X755" s="568"/>
      <c r="Y755" s="568"/>
      <c r="Z755" s="568"/>
    </row>
    <row r="756" spans="1:26" ht="18.75" hidden="1">
      <c r="A756" s="563"/>
      <c r="B756" s="571"/>
      <c r="C756" s="723"/>
      <c r="D756" s="684"/>
      <c r="E756" s="723" t="s">
        <v>185</v>
      </c>
      <c r="F756" s="723"/>
      <c r="G756" s="567"/>
      <c r="H756" s="165" t="s">
        <v>12</v>
      </c>
      <c r="I756" s="583"/>
      <c r="J756" s="583"/>
      <c r="K756" s="93"/>
      <c r="L756" s="93">
        <f t="shared" si="304"/>
        <v>0</v>
      </c>
      <c r="M756" s="93">
        <f t="shared" si="304"/>
        <v>0</v>
      </c>
      <c r="N756" s="93">
        <f t="shared" si="304"/>
        <v>0</v>
      </c>
      <c r="O756" s="93">
        <f t="shared" si="302"/>
        <v>0</v>
      </c>
      <c r="P756" s="93">
        <f t="shared" si="303"/>
        <v>0</v>
      </c>
      <c r="Q756" s="568"/>
      <c r="R756" s="568"/>
      <c r="S756" s="568"/>
      <c r="T756" s="568"/>
      <c r="U756" s="568"/>
      <c r="V756" s="568"/>
      <c r="W756" s="568"/>
      <c r="X756" s="568"/>
      <c r="Y756" s="568"/>
      <c r="Z756" s="568"/>
    </row>
    <row r="757" spans="1:26" ht="19.5" hidden="1">
      <c r="A757" s="563"/>
      <c r="B757" s="571"/>
      <c r="C757" s="723"/>
      <c r="D757" s="611" t="s">
        <v>20</v>
      </c>
      <c r="E757" s="723"/>
      <c r="F757" s="723"/>
      <c r="G757" s="567"/>
      <c r="H757" s="612" t="s">
        <v>12</v>
      </c>
      <c r="I757" s="166"/>
      <c r="J757" s="166"/>
      <c r="K757" s="167"/>
      <c r="L757" s="613">
        <f t="shared" ref="L757:N757" si="305">L758+L759</f>
        <v>0</v>
      </c>
      <c r="M757" s="613">
        <f t="shared" si="305"/>
        <v>0</v>
      </c>
      <c r="N757" s="613">
        <f t="shared" si="305"/>
        <v>0</v>
      </c>
      <c r="O757" s="613">
        <f t="shared" si="302"/>
        <v>0</v>
      </c>
      <c r="P757" s="613">
        <f t="shared" si="303"/>
        <v>0</v>
      </c>
      <c r="Q757" s="568"/>
      <c r="R757" s="568"/>
      <c r="S757" s="568"/>
      <c r="T757" s="568"/>
      <c r="U757" s="568"/>
      <c r="V757" s="568"/>
      <c r="W757" s="568"/>
      <c r="X757" s="568"/>
      <c r="Y757" s="568"/>
      <c r="Z757" s="568"/>
    </row>
    <row r="758" spans="1:26" ht="18.75" hidden="1">
      <c r="A758" s="563"/>
      <c r="B758" s="571"/>
      <c r="C758" s="723"/>
      <c r="D758" s="684"/>
      <c r="E758" s="723" t="s">
        <v>184</v>
      </c>
      <c r="F758" s="723"/>
      <c r="G758" s="567"/>
      <c r="H758" s="165" t="s">
        <v>12</v>
      </c>
      <c r="I758" s="583"/>
      <c r="J758" s="583"/>
      <c r="K758" s="93"/>
      <c r="L758" s="93">
        <v>0</v>
      </c>
      <c r="M758" s="93">
        <v>0</v>
      </c>
      <c r="N758" s="93">
        <v>0</v>
      </c>
      <c r="O758" s="93">
        <f t="shared" si="302"/>
        <v>0</v>
      </c>
      <c r="P758" s="93">
        <f t="shared" si="303"/>
        <v>0</v>
      </c>
      <c r="Q758" s="568"/>
      <c r="R758" s="568"/>
      <c r="S758" s="568"/>
      <c r="T758" s="568"/>
      <c r="U758" s="568"/>
      <c r="V758" s="568"/>
      <c r="W758" s="568"/>
      <c r="X758" s="568"/>
      <c r="Y758" s="568"/>
      <c r="Z758" s="568"/>
    </row>
    <row r="759" spans="1:26" ht="18.75" hidden="1">
      <c r="A759" s="563"/>
      <c r="B759" s="571"/>
      <c r="C759" s="723"/>
      <c r="D759" s="684"/>
      <c r="E759" s="723" t="s">
        <v>185</v>
      </c>
      <c r="F759" s="723"/>
      <c r="G759" s="567"/>
      <c r="H759" s="165" t="s">
        <v>12</v>
      </c>
      <c r="I759" s="583"/>
      <c r="J759" s="583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2"/>
        <v>0</v>
      </c>
      <c r="P759" s="93">
        <f t="shared" si="303"/>
        <v>0</v>
      </c>
      <c r="Q759" s="568"/>
      <c r="R759" s="568"/>
      <c r="S759" s="568"/>
      <c r="T759" s="568"/>
      <c r="U759" s="568"/>
      <c r="V759" s="568"/>
      <c r="W759" s="568"/>
      <c r="X759" s="568"/>
      <c r="Y759" s="568"/>
      <c r="Z759" s="568"/>
    </row>
    <row r="760" spans="1:26" ht="18.75" hidden="1">
      <c r="A760" s="615"/>
      <c r="B760" s="571"/>
      <c r="C760" s="723"/>
      <c r="D760" s="723"/>
      <c r="E760" s="723"/>
      <c r="F760" s="723" t="s">
        <v>186</v>
      </c>
      <c r="G760" s="567"/>
      <c r="H760" s="165" t="s">
        <v>12</v>
      </c>
      <c r="I760" s="583"/>
      <c r="J760" s="583"/>
      <c r="K760" s="93"/>
      <c r="L760" s="93"/>
      <c r="M760" s="93"/>
      <c r="N760" s="93"/>
      <c r="O760" s="93"/>
      <c r="P760" s="93"/>
      <c r="Q760" s="568"/>
      <c r="R760" s="568"/>
      <c r="S760" s="568"/>
      <c r="T760" s="568"/>
      <c r="U760" s="568"/>
      <c r="V760" s="568"/>
      <c r="W760" s="568"/>
      <c r="X760" s="568"/>
      <c r="Y760" s="568"/>
      <c r="Z760" s="568"/>
    </row>
    <row r="761" spans="1:26" ht="18.75" hidden="1">
      <c r="A761" s="615"/>
      <c r="B761" s="571"/>
      <c r="C761" s="723"/>
      <c r="D761" s="723"/>
      <c r="E761" s="723"/>
      <c r="F761" s="723" t="s">
        <v>187</v>
      </c>
      <c r="G761" s="567"/>
      <c r="H761" s="165" t="s">
        <v>12</v>
      </c>
      <c r="I761" s="583"/>
      <c r="J761" s="583"/>
      <c r="K761" s="93"/>
      <c r="L761" s="93"/>
      <c r="M761" s="93"/>
      <c r="N761" s="93"/>
      <c r="O761" s="93"/>
      <c r="P761" s="93"/>
      <c r="Q761" s="568"/>
      <c r="R761" s="568"/>
      <c r="S761" s="568"/>
      <c r="T761" s="568"/>
      <c r="U761" s="568"/>
      <c r="V761" s="568"/>
      <c r="W761" s="568"/>
      <c r="X761" s="568"/>
      <c r="Y761" s="568"/>
      <c r="Z761" s="568"/>
    </row>
    <row r="762" spans="1:26" ht="18.75" hidden="1">
      <c r="A762" s="615"/>
      <c r="B762" s="571"/>
      <c r="C762" s="723"/>
      <c r="D762" s="723"/>
      <c r="E762" s="723"/>
      <c r="F762" s="723" t="s">
        <v>188</v>
      </c>
      <c r="G762" s="567"/>
      <c r="H762" s="165" t="s">
        <v>12</v>
      </c>
      <c r="I762" s="583"/>
      <c r="J762" s="583"/>
      <c r="K762" s="93"/>
      <c r="L762" s="93"/>
      <c r="M762" s="93"/>
      <c r="N762" s="93"/>
      <c r="O762" s="93"/>
      <c r="P762" s="93"/>
      <c r="Q762" s="568"/>
      <c r="R762" s="568"/>
      <c r="S762" s="568"/>
      <c r="T762" s="568"/>
      <c r="U762" s="568"/>
      <c r="V762" s="568"/>
      <c r="W762" s="568"/>
      <c r="X762" s="568"/>
      <c r="Y762" s="568"/>
      <c r="Z762" s="568"/>
    </row>
    <row r="763" spans="1:26" ht="18.75" hidden="1">
      <c r="A763" s="615"/>
      <c r="B763" s="571"/>
      <c r="C763" s="723"/>
      <c r="D763" s="723"/>
      <c r="E763" s="723"/>
      <c r="F763" s="723" t="s">
        <v>189</v>
      </c>
      <c r="G763" s="567"/>
      <c r="H763" s="165" t="s">
        <v>12</v>
      </c>
      <c r="I763" s="583"/>
      <c r="J763" s="583"/>
      <c r="K763" s="93"/>
      <c r="L763" s="93"/>
      <c r="M763" s="93"/>
      <c r="N763" s="93"/>
      <c r="O763" s="93"/>
      <c r="P763" s="93"/>
      <c r="Q763" s="568"/>
      <c r="R763" s="568"/>
      <c r="S763" s="568"/>
      <c r="T763" s="568"/>
      <c r="U763" s="568"/>
      <c r="V763" s="568"/>
      <c r="W763" s="568"/>
      <c r="X763" s="568"/>
      <c r="Y763" s="568"/>
      <c r="Z763" s="568"/>
    </row>
    <row r="764" spans="1:26" ht="19.5" hidden="1">
      <c r="A764" s="563"/>
      <c r="B764" s="571"/>
      <c r="C764" s="723"/>
      <c r="D764" s="611" t="s">
        <v>21</v>
      </c>
      <c r="E764" s="723"/>
      <c r="F764" s="723"/>
      <c r="G764" s="567"/>
      <c r="H764" s="747" t="s">
        <v>12</v>
      </c>
      <c r="I764" s="166"/>
      <c r="J764" s="166"/>
      <c r="K764" s="167"/>
      <c r="L764" s="613">
        <f t="shared" ref="L764:N764" si="306">L765+L766</f>
        <v>0</v>
      </c>
      <c r="M764" s="613">
        <f t="shared" si="306"/>
        <v>0</v>
      </c>
      <c r="N764" s="613">
        <f t="shared" si="306"/>
        <v>0</v>
      </c>
      <c r="O764" s="613">
        <f t="shared" ref="O764:O766" si="307">IF(L764&gt;0,N764*100/L764,0)</f>
        <v>0</v>
      </c>
      <c r="P764" s="613">
        <f t="shared" ref="P764:P766" si="308">IF(M764&gt;0,N764*100/M764,0)</f>
        <v>0</v>
      </c>
      <c r="Q764" s="568"/>
      <c r="R764" s="568"/>
      <c r="S764" s="568"/>
      <c r="T764" s="568"/>
      <c r="U764" s="568"/>
      <c r="V764" s="568"/>
      <c r="W764" s="568"/>
      <c r="X764" s="568"/>
      <c r="Y764" s="568"/>
      <c r="Z764" s="568"/>
    </row>
    <row r="765" spans="1:26" ht="18.75" hidden="1">
      <c r="A765" s="563"/>
      <c r="B765" s="571"/>
      <c r="C765" s="723"/>
      <c r="D765" s="723"/>
      <c r="E765" s="723" t="s">
        <v>18</v>
      </c>
      <c r="F765" s="723"/>
      <c r="G765" s="567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7"/>
        <v>0</v>
      </c>
      <c r="P765" s="93">
        <f t="shared" si="308"/>
        <v>0</v>
      </c>
      <c r="Q765" s="568"/>
      <c r="R765" s="568"/>
      <c r="S765" s="568"/>
      <c r="T765" s="568"/>
      <c r="U765" s="568"/>
      <c r="V765" s="568"/>
      <c r="W765" s="568"/>
      <c r="X765" s="568"/>
      <c r="Y765" s="568"/>
      <c r="Z765" s="568"/>
    </row>
    <row r="766" spans="1:26" ht="18.75" hidden="1">
      <c r="A766" s="563"/>
      <c r="B766" s="571"/>
      <c r="C766" s="723"/>
      <c r="D766" s="723"/>
      <c r="E766" s="723" t="s">
        <v>19</v>
      </c>
      <c r="F766" s="723"/>
      <c r="G766" s="567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7"/>
        <v>0</v>
      </c>
      <c r="P766" s="93">
        <f t="shared" si="308"/>
        <v>0</v>
      </c>
      <c r="Q766" s="568"/>
      <c r="R766" s="568"/>
      <c r="S766" s="568"/>
      <c r="T766" s="568"/>
      <c r="U766" s="568"/>
      <c r="V766" s="568"/>
      <c r="W766" s="568"/>
      <c r="X766" s="568"/>
      <c r="Y766" s="568"/>
      <c r="Z766" s="568"/>
    </row>
    <row r="767" spans="1:26" ht="19.5" hidden="1">
      <c r="A767" s="578"/>
      <c r="B767" s="580"/>
      <c r="C767" s="723" t="s">
        <v>16</v>
      </c>
      <c r="D767" s="856" t="s">
        <v>38</v>
      </c>
      <c r="E767" s="617"/>
      <c r="F767" s="617"/>
      <c r="G767" s="618"/>
      <c r="H767" s="581"/>
      <c r="I767" s="166"/>
      <c r="J767" s="166"/>
      <c r="K767" s="167"/>
      <c r="L767" s="167"/>
      <c r="M767" s="167"/>
      <c r="N767" s="167"/>
      <c r="O767" s="167"/>
      <c r="P767" s="167"/>
      <c r="Q767" s="568"/>
      <c r="R767" s="568"/>
      <c r="S767" s="568"/>
      <c r="T767" s="568"/>
      <c r="U767" s="568"/>
      <c r="V767" s="568"/>
      <c r="W767" s="568"/>
      <c r="X767" s="568"/>
      <c r="Y767" s="568"/>
      <c r="Z767" s="568"/>
    </row>
    <row r="768" spans="1:26" ht="18.75" hidden="1">
      <c r="A768" s="615"/>
      <c r="B768" s="571"/>
      <c r="C768" s="723"/>
      <c r="D768" s="723"/>
      <c r="E768" s="723" t="s">
        <v>316</v>
      </c>
      <c r="F768" s="723"/>
      <c r="G768" s="567"/>
      <c r="H768" s="165" t="s">
        <v>46</v>
      </c>
      <c r="I768" s="583"/>
      <c r="J768" s="583"/>
      <c r="K768" s="93"/>
      <c r="L768" s="93"/>
      <c r="M768" s="93"/>
      <c r="N768" s="93"/>
      <c r="O768" s="93"/>
      <c r="P768" s="93"/>
      <c r="Q768" s="568"/>
      <c r="R768" s="568"/>
      <c r="S768" s="568"/>
      <c r="T768" s="568"/>
      <c r="U768" s="568"/>
      <c r="V768" s="568"/>
      <c r="W768" s="568"/>
      <c r="X768" s="568"/>
      <c r="Y768" s="568"/>
      <c r="Z768" s="568"/>
    </row>
    <row r="769" spans="1:26" ht="19.5" hidden="1">
      <c r="A769" s="757">
        <v>11</v>
      </c>
      <c r="B769" s="758" t="s">
        <v>317</v>
      </c>
      <c r="C769" s="759"/>
      <c r="D769" s="759"/>
      <c r="E769" s="759"/>
      <c r="F769" s="759"/>
      <c r="G769" s="760"/>
      <c r="H769" s="761" t="s">
        <v>46</v>
      </c>
      <c r="I769" s="762"/>
      <c r="J769" s="762">
        <f>J784</f>
        <v>0</v>
      </c>
      <c r="K769" s="763">
        <f>IF(I769&gt;0,J769*100/I769,0)</f>
        <v>0</v>
      </c>
      <c r="L769" s="764"/>
      <c r="M769" s="764"/>
      <c r="N769" s="764"/>
      <c r="O769" s="764"/>
      <c r="P769" s="764"/>
      <c r="Q769" s="568"/>
      <c r="R769" s="568"/>
      <c r="S769" s="568"/>
      <c r="T769" s="568"/>
      <c r="U769" s="568"/>
      <c r="V769" s="568"/>
      <c r="W769" s="568"/>
      <c r="X769" s="568"/>
      <c r="Y769" s="568"/>
      <c r="Z769" s="568"/>
    </row>
    <row r="770" spans="1:26" ht="19.5" hidden="1">
      <c r="A770" s="563"/>
      <c r="B770" s="723"/>
      <c r="C770" s="723" t="s">
        <v>16</v>
      </c>
      <c r="D770" s="812" t="s">
        <v>17</v>
      </c>
      <c r="E770" s="805"/>
      <c r="F770" s="805"/>
      <c r="G770" s="567"/>
      <c r="H770" s="612" t="s">
        <v>12</v>
      </c>
      <c r="I770" s="583"/>
      <c r="J770" s="583"/>
      <c r="K770" s="93"/>
      <c r="L770" s="613">
        <f t="shared" ref="L770:N770" si="309">L771+L772</f>
        <v>0</v>
      </c>
      <c r="M770" s="613">
        <f t="shared" si="309"/>
        <v>0</v>
      </c>
      <c r="N770" s="613">
        <f t="shared" si="309"/>
        <v>0</v>
      </c>
      <c r="O770" s="613">
        <f t="shared" ref="O770:O775" si="310">IF(L770&gt;0,N770*100/L770,0)</f>
        <v>0</v>
      </c>
      <c r="P770" s="613">
        <f t="shared" ref="P770:P775" si="311">IF(M770&gt;0,N770*100/M770,0)</f>
        <v>0</v>
      </c>
      <c r="Q770" s="568"/>
      <c r="R770" s="568"/>
      <c r="S770" s="568"/>
      <c r="T770" s="568"/>
      <c r="U770" s="568"/>
      <c r="V770" s="568"/>
      <c r="W770" s="568"/>
      <c r="X770" s="568"/>
      <c r="Y770" s="568"/>
      <c r="Z770" s="568"/>
    </row>
    <row r="771" spans="1:26" ht="18.75" hidden="1">
      <c r="A771" s="563"/>
      <c r="B771" s="723"/>
      <c r="C771" s="723"/>
      <c r="D771" s="684"/>
      <c r="E771" s="723" t="s">
        <v>184</v>
      </c>
      <c r="F771" s="723"/>
      <c r="G771" s="567"/>
      <c r="H771" s="165" t="s">
        <v>12</v>
      </c>
      <c r="I771" s="583"/>
      <c r="J771" s="583"/>
      <c r="K771" s="93"/>
      <c r="L771" s="93">
        <f t="shared" ref="L771:N772" si="312">L774+L781</f>
        <v>0</v>
      </c>
      <c r="M771" s="93">
        <f t="shared" si="312"/>
        <v>0</v>
      </c>
      <c r="N771" s="93">
        <f t="shared" si="312"/>
        <v>0</v>
      </c>
      <c r="O771" s="93">
        <f t="shared" si="310"/>
        <v>0</v>
      </c>
      <c r="P771" s="93">
        <f t="shared" si="311"/>
        <v>0</v>
      </c>
      <c r="Q771" s="568"/>
      <c r="R771" s="568"/>
      <c r="S771" s="568"/>
      <c r="T771" s="568"/>
      <c r="U771" s="568"/>
      <c r="V771" s="568"/>
      <c r="W771" s="568"/>
      <c r="X771" s="568"/>
      <c r="Y771" s="568"/>
      <c r="Z771" s="568"/>
    </row>
    <row r="772" spans="1:26" ht="18.75" hidden="1">
      <c r="A772" s="563"/>
      <c r="B772" s="571"/>
      <c r="C772" s="723"/>
      <c r="D772" s="684"/>
      <c r="E772" s="723" t="s">
        <v>185</v>
      </c>
      <c r="F772" s="723"/>
      <c r="G772" s="567"/>
      <c r="H772" s="165" t="s">
        <v>12</v>
      </c>
      <c r="I772" s="583"/>
      <c r="J772" s="583"/>
      <c r="K772" s="93"/>
      <c r="L772" s="93">
        <f t="shared" si="312"/>
        <v>0</v>
      </c>
      <c r="M772" s="93">
        <f t="shared" si="312"/>
        <v>0</v>
      </c>
      <c r="N772" s="93">
        <f t="shared" si="312"/>
        <v>0</v>
      </c>
      <c r="O772" s="93">
        <f t="shared" si="310"/>
        <v>0</v>
      </c>
      <c r="P772" s="93">
        <f t="shared" si="311"/>
        <v>0</v>
      </c>
      <c r="Q772" s="568"/>
      <c r="R772" s="568"/>
      <c r="S772" s="568"/>
      <c r="T772" s="568"/>
      <c r="U772" s="568"/>
      <c r="V772" s="568"/>
      <c r="W772" s="568"/>
      <c r="X772" s="568"/>
      <c r="Y772" s="568"/>
      <c r="Z772" s="568"/>
    </row>
    <row r="773" spans="1:26" ht="19.5" hidden="1">
      <c r="A773" s="563"/>
      <c r="B773" s="571"/>
      <c r="C773" s="723"/>
      <c r="D773" s="611" t="s">
        <v>20</v>
      </c>
      <c r="E773" s="723"/>
      <c r="F773" s="723"/>
      <c r="G773" s="567"/>
      <c r="H773" s="612" t="s">
        <v>12</v>
      </c>
      <c r="I773" s="166"/>
      <c r="J773" s="166"/>
      <c r="K773" s="167"/>
      <c r="L773" s="613">
        <f t="shared" ref="L773:N773" si="313">L774+L775</f>
        <v>0</v>
      </c>
      <c r="M773" s="613">
        <f t="shared" si="313"/>
        <v>0</v>
      </c>
      <c r="N773" s="613">
        <f t="shared" si="313"/>
        <v>0</v>
      </c>
      <c r="O773" s="613">
        <f t="shared" si="310"/>
        <v>0</v>
      </c>
      <c r="P773" s="613">
        <f t="shared" si="311"/>
        <v>0</v>
      </c>
      <c r="Q773" s="568"/>
      <c r="R773" s="568"/>
      <c r="S773" s="568"/>
      <c r="T773" s="568"/>
      <c r="U773" s="568"/>
      <c r="V773" s="568"/>
      <c r="W773" s="568"/>
      <c r="X773" s="568"/>
      <c r="Y773" s="568"/>
      <c r="Z773" s="568"/>
    </row>
    <row r="774" spans="1:26" ht="18.75" hidden="1">
      <c r="A774" s="563"/>
      <c r="B774" s="571"/>
      <c r="C774" s="723"/>
      <c r="D774" s="684"/>
      <c r="E774" s="723" t="s">
        <v>184</v>
      </c>
      <c r="F774" s="723"/>
      <c r="G774" s="567"/>
      <c r="H774" s="165" t="s">
        <v>12</v>
      </c>
      <c r="I774" s="583"/>
      <c r="J774" s="583"/>
      <c r="K774" s="93"/>
      <c r="L774" s="93">
        <v>0</v>
      </c>
      <c r="M774" s="93">
        <v>0</v>
      </c>
      <c r="N774" s="93">
        <v>0</v>
      </c>
      <c r="O774" s="93">
        <f t="shared" si="310"/>
        <v>0</v>
      </c>
      <c r="P774" s="93">
        <f t="shared" si="311"/>
        <v>0</v>
      </c>
      <c r="Q774" s="568"/>
      <c r="R774" s="568"/>
      <c r="S774" s="568"/>
      <c r="T774" s="568"/>
      <c r="U774" s="568"/>
      <c r="V774" s="568"/>
      <c r="W774" s="568"/>
      <c r="X774" s="568"/>
      <c r="Y774" s="568"/>
      <c r="Z774" s="568"/>
    </row>
    <row r="775" spans="1:26" ht="18.75" hidden="1">
      <c r="A775" s="563"/>
      <c r="B775" s="571"/>
      <c r="C775" s="723"/>
      <c r="D775" s="684"/>
      <c r="E775" s="723" t="s">
        <v>185</v>
      </c>
      <c r="F775" s="723"/>
      <c r="G775" s="567"/>
      <c r="H775" s="165" t="s">
        <v>12</v>
      </c>
      <c r="I775" s="583"/>
      <c r="J775" s="583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0"/>
        <v>0</v>
      </c>
      <c r="P775" s="93">
        <f t="shared" si="311"/>
        <v>0</v>
      </c>
      <c r="Q775" s="568"/>
      <c r="R775" s="568"/>
      <c r="S775" s="568"/>
      <c r="T775" s="568"/>
      <c r="U775" s="568"/>
      <c r="V775" s="568"/>
      <c r="W775" s="568"/>
      <c r="X775" s="568"/>
      <c r="Y775" s="568"/>
      <c r="Z775" s="568"/>
    </row>
    <row r="776" spans="1:26" ht="18.75" hidden="1">
      <c r="A776" s="615"/>
      <c r="B776" s="571"/>
      <c r="C776" s="723"/>
      <c r="D776" s="723"/>
      <c r="E776" s="723"/>
      <c r="F776" s="723" t="s">
        <v>186</v>
      </c>
      <c r="G776" s="567"/>
      <c r="H776" s="165" t="s">
        <v>12</v>
      </c>
      <c r="I776" s="583"/>
      <c r="J776" s="583"/>
      <c r="K776" s="93"/>
      <c r="L776" s="93"/>
      <c r="M776" s="93"/>
      <c r="N776" s="93"/>
      <c r="O776" s="93"/>
      <c r="P776" s="93"/>
      <c r="Q776" s="568"/>
      <c r="R776" s="568"/>
      <c r="S776" s="568"/>
      <c r="T776" s="568"/>
      <c r="U776" s="568"/>
      <c r="V776" s="568"/>
      <c r="W776" s="568"/>
      <c r="X776" s="568"/>
      <c r="Y776" s="568"/>
      <c r="Z776" s="568"/>
    </row>
    <row r="777" spans="1:26" ht="18.75" hidden="1">
      <c r="A777" s="615"/>
      <c r="B777" s="571"/>
      <c r="C777" s="723"/>
      <c r="D777" s="723"/>
      <c r="E777" s="723"/>
      <c r="F777" s="723" t="s">
        <v>187</v>
      </c>
      <c r="G777" s="567"/>
      <c r="H777" s="165" t="s">
        <v>12</v>
      </c>
      <c r="I777" s="583"/>
      <c r="J777" s="583"/>
      <c r="K777" s="93"/>
      <c r="L777" s="93"/>
      <c r="M777" s="93"/>
      <c r="N777" s="93"/>
      <c r="O777" s="93"/>
      <c r="P777" s="93"/>
      <c r="Q777" s="568"/>
      <c r="R777" s="568"/>
      <c r="S777" s="568"/>
      <c r="T777" s="568"/>
      <c r="U777" s="568"/>
      <c r="V777" s="568"/>
      <c r="W777" s="568"/>
      <c r="X777" s="568"/>
      <c r="Y777" s="568"/>
      <c r="Z777" s="568"/>
    </row>
    <row r="778" spans="1:26" ht="18.75" hidden="1">
      <c r="A778" s="615"/>
      <c r="B778" s="571"/>
      <c r="C778" s="723"/>
      <c r="D778" s="723"/>
      <c r="E778" s="723"/>
      <c r="F778" s="723" t="s">
        <v>188</v>
      </c>
      <c r="G778" s="567"/>
      <c r="H778" s="165" t="s">
        <v>12</v>
      </c>
      <c r="I778" s="583"/>
      <c r="J778" s="583"/>
      <c r="K778" s="93"/>
      <c r="L778" s="93"/>
      <c r="M778" s="93"/>
      <c r="N778" s="93"/>
      <c r="O778" s="93"/>
      <c r="P778" s="93"/>
      <c r="Q778" s="568"/>
      <c r="R778" s="568"/>
      <c r="S778" s="568"/>
      <c r="T778" s="568"/>
      <c r="U778" s="568"/>
      <c r="V778" s="568"/>
      <c r="W778" s="568"/>
      <c r="X778" s="568"/>
      <c r="Y778" s="568"/>
      <c r="Z778" s="568"/>
    </row>
    <row r="779" spans="1:26" ht="18.75" hidden="1">
      <c r="A779" s="615"/>
      <c r="B779" s="571"/>
      <c r="C779" s="723"/>
      <c r="D779" s="723"/>
      <c r="E779" s="723"/>
      <c r="F779" s="723" t="s">
        <v>189</v>
      </c>
      <c r="G779" s="567"/>
      <c r="H779" s="165" t="s">
        <v>12</v>
      </c>
      <c r="I779" s="583"/>
      <c r="J779" s="583"/>
      <c r="K779" s="93"/>
      <c r="L779" s="93"/>
      <c r="M779" s="93"/>
      <c r="N779" s="93"/>
      <c r="O779" s="93"/>
      <c r="P779" s="93"/>
      <c r="Q779" s="568"/>
      <c r="R779" s="568"/>
      <c r="S779" s="568"/>
      <c r="T779" s="568"/>
      <c r="U779" s="568"/>
      <c r="V779" s="568"/>
      <c r="W779" s="568"/>
      <c r="X779" s="568"/>
      <c r="Y779" s="568"/>
      <c r="Z779" s="568"/>
    </row>
    <row r="780" spans="1:26" ht="19.5" hidden="1">
      <c r="A780" s="563"/>
      <c r="B780" s="571"/>
      <c r="C780" s="723"/>
      <c r="D780" s="611" t="s">
        <v>21</v>
      </c>
      <c r="E780" s="723"/>
      <c r="F780" s="723"/>
      <c r="G780" s="567"/>
      <c r="H780" s="747" t="s">
        <v>12</v>
      </c>
      <c r="I780" s="166"/>
      <c r="J780" s="166"/>
      <c r="K780" s="167"/>
      <c r="L780" s="613">
        <f t="shared" ref="L780:N780" si="314">L781+L782</f>
        <v>0</v>
      </c>
      <c r="M780" s="613">
        <f t="shared" si="314"/>
        <v>0</v>
      </c>
      <c r="N780" s="613">
        <f t="shared" si="314"/>
        <v>0</v>
      </c>
      <c r="O780" s="613">
        <f t="shared" ref="O780:O782" si="315">IF(L780&gt;0,N780*100/L780,0)</f>
        <v>0</v>
      </c>
      <c r="P780" s="613">
        <f t="shared" ref="P780:P782" si="316">IF(M780&gt;0,N780*100/M780,0)</f>
        <v>0</v>
      </c>
      <c r="Q780" s="568"/>
      <c r="R780" s="568"/>
      <c r="S780" s="568"/>
      <c r="T780" s="568"/>
      <c r="U780" s="568"/>
      <c r="V780" s="568"/>
      <c r="W780" s="568"/>
      <c r="X780" s="568"/>
      <c r="Y780" s="568"/>
      <c r="Z780" s="568"/>
    </row>
    <row r="781" spans="1:26" ht="18.75" hidden="1">
      <c r="A781" s="563"/>
      <c r="B781" s="571"/>
      <c r="C781" s="723"/>
      <c r="D781" s="723"/>
      <c r="E781" s="723" t="s">
        <v>18</v>
      </c>
      <c r="F781" s="723"/>
      <c r="G781" s="567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5"/>
        <v>0</v>
      </c>
      <c r="P781" s="93">
        <f t="shared" si="316"/>
        <v>0</v>
      </c>
      <c r="Q781" s="568"/>
      <c r="R781" s="568"/>
      <c r="S781" s="568"/>
      <c r="T781" s="568"/>
      <c r="U781" s="568"/>
      <c r="V781" s="568"/>
      <c r="W781" s="568"/>
      <c r="X781" s="568"/>
      <c r="Y781" s="568"/>
      <c r="Z781" s="568"/>
    </row>
    <row r="782" spans="1:26" ht="18.75" hidden="1">
      <c r="A782" s="563"/>
      <c r="B782" s="571"/>
      <c r="C782" s="723"/>
      <c r="D782" s="723"/>
      <c r="E782" s="723" t="s">
        <v>19</v>
      </c>
      <c r="F782" s="723"/>
      <c r="G782" s="567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5"/>
        <v>0</v>
      </c>
      <c r="P782" s="93">
        <f t="shared" si="316"/>
        <v>0</v>
      </c>
      <c r="Q782" s="568"/>
      <c r="R782" s="568"/>
      <c r="S782" s="568"/>
      <c r="T782" s="568"/>
      <c r="U782" s="568"/>
      <c r="V782" s="568"/>
      <c r="W782" s="568"/>
      <c r="X782" s="568"/>
      <c r="Y782" s="568"/>
      <c r="Z782" s="568"/>
    </row>
    <row r="783" spans="1:26" ht="19.5" hidden="1">
      <c r="A783" s="578"/>
      <c r="B783" s="580"/>
      <c r="C783" s="723" t="s">
        <v>16</v>
      </c>
      <c r="D783" s="856" t="s">
        <v>38</v>
      </c>
      <c r="E783" s="617"/>
      <c r="F783" s="617"/>
      <c r="G783" s="618"/>
      <c r="H783" s="765"/>
      <c r="I783" s="166"/>
      <c r="J783" s="166"/>
      <c r="K783" s="167"/>
      <c r="L783" s="167"/>
      <c r="M783" s="167"/>
      <c r="N783" s="167"/>
      <c r="O783" s="167"/>
      <c r="P783" s="167"/>
      <c r="Q783" s="568"/>
      <c r="R783" s="568"/>
      <c r="S783" s="568"/>
      <c r="T783" s="568"/>
      <c r="U783" s="568"/>
      <c r="V783" s="568"/>
      <c r="W783" s="568"/>
      <c r="X783" s="568"/>
      <c r="Y783" s="568"/>
      <c r="Z783" s="568"/>
    </row>
    <row r="784" spans="1:26" ht="18.75" hidden="1">
      <c r="A784" s="615"/>
      <c r="B784" s="571"/>
      <c r="C784" s="723"/>
      <c r="D784" s="723"/>
      <c r="E784" s="723" t="s">
        <v>318</v>
      </c>
      <c r="F784" s="723"/>
      <c r="G784" s="567"/>
      <c r="H784" s="165" t="s">
        <v>46</v>
      </c>
      <c r="I784" s="583"/>
      <c r="J784" s="583"/>
      <c r="K784" s="93"/>
      <c r="L784" s="93"/>
      <c r="M784" s="93"/>
      <c r="N784" s="93"/>
      <c r="O784" s="93"/>
      <c r="P784" s="93"/>
      <c r="Q784" s="568"/>
      <c r="R784" s="568"/>
      <c r="S784" s="568"/>
      <c r="T784" s="568"/>
      <c r="U784" s="568"/>
      <c r="V784" s="568"/>
      <c r="W784" s="568"/>
      <c r="X784" s="568"/>
      <c r="Y784" s="568"/>
      <c r="Z784" s="568"/>
    </row>
    <row r="785" spans="1:26" ht="19.5" hidden="1">
      <c r="A785" s="766">
        <v>12</v>
      </c>
      <c r="B785" s="767" t="s">
        <v>319</v>
      </c>
      <c r="C785" s="768"/>
      <c r="D785" s="768"/>
      <c r="E785" s="768"/>
      <c r="F785" s="768"/>
      <c r="G785" s="769"/>
      <c r="H785" s="770" t="s">
        <v>46</v>
      </c>
      <c r="I785" s="860">
        <f t="shared" ref="I785:J785" ca="1" si="317">I800</f>
        <v>0</v>
      </c>
      <c r="J785" s="771">
        <f t="shared" ca="1" si="317"/>
        <v>0</v>
      </c>
      <c r="K785" s="772">
        <f ca="1">IF(I785&gt;0,J785*100/I785,0)</f>
        <v>0</v>
      </c>
      <c r="L785" s="773"/>
      <c r="M785" s="773"/>
      <c r="N785" s="773"/>
      <c r="O785" s="773"/>
      <c r="P785" s="773"/>
      <c r="Q785" s="541"/>
      <c r="R785" s="541"/>
      <c r="S785" s="541"/>
      <c r="T785" s="541"/>
      <c r="U785" s="541"/>
      <c r="V785" s="541"/>
      <c r="W785" s="541"/>
      <c r="X785" s="541"/>
      <c r="Y785" s="541"/>
      <c r="Z785" s="541"/>
    </row>
    <row r="786" spans="1:26" ht="19.5" hidden="1">
      <c r="A786" s="561"/>
      <c r="B786" s="538"/>
      <c r="C786" s="727" t="s">
        <v>16</v>
      </c>
      <c r="D786" s="811" t="s">
        <v>17</v>
      </c>
      <c r="E786" s="805"/>
      <c r="F786" s="805"/>
      <c r="G786" s="189"/>
      <c r="H786" s="562" t="s">
        <v>12</v>
      </c>
      <c r="I786" s="269"/>
      <c r="J786" s="269"/>
      <c r="K786" s="465"/>
      <c r="L786" s="195">
        <f t="shared" ref="L786:N786" ca="1" si="318">L787+L788</f>
        <v>0</v>
      </c>
      <c r="M786" s="195">
        <f t="shared" si="318"/>
        <v>0</v>
      </c>
      <c r="N786" s="195">
        <f t="shared" si="318"/>
        <v>0</v>
      </c>
      <c r="O786" s="195">
        <f t="shared" ref="O786:O791" ca="1" si="319">IF(L786&gt;0,N786*100/L786,0)</f>
        <v>0</v>
      </c>
      <c r="P786" s="195">
        <f t="shared" ref="P786:P791" si="320">IF(M786&gt;0,N786*100/M786,0)</f>
        <v>0</v>
      </c>
      <c r="Q786" s="541"/>
      <c r="R786" s="541"/>
      <c r="S786" s="541"/>
      <c r="T786" s="541"/>
      <c r="U786" s="541"/>
      <c r="V786" s="541"/>
      <c r="W786" s="541"/>
      <c r="X786" s="541"/>
      <c r="Y786" s="541"/>
      <c r="Z786" s="541"/>
    </row>
    <row r="787" spans="1:26" ht="18.75" hidden="1">
      <c r="A787" s="563"/>
      <c r="B787" s="571"/>
      <c r="C787" s="723"/>
      <c r="D787" s="684"/>
      <c r="E787" s="723" t="s">
        <v>184</v>
      </c>
      <c r="F787" s="723"/>
      <c r="G787" s="567"/>
      <c r="H787" s="165" t="s">
        <v>12</v>
      </c>
      <c r="I787" s="583"/>
      <c r="J787" s="583"/>
      <c r="K787" s="93"/>
      <c r="L787" s="93">
        <f t="shared" ref="L787:N788" si="321">L790+L797</f>
        <v>0</v>
      </c>
      <c r="M787" s="93">
        <f t="shared" si="321"/>
        <v>0</v>
      </c>
      <c r="N787" s="93">
        <f t="shared" si="321"/>
        <v>0</v>
      </c>
      <c r="O787" s="93">
        <f t="shared" si="319"/>
        <v>0</v>
      </c>
      <c r="P787" s="93">
        <f t="shared" si="320"/>
        <v>0</v>
      </c>
      <c r="Q787" s="568"/>
      <c r="R787" s="568"/>
      <c r="S787" s="568"/>
      <c r="T787" s="568"/>
      <c r="U787" s="568"/>
      <c r="V787" s="568"/>
      <c r="W787" s="568"/>
      <c r="X787" s="568"/>
      <c r="Y787" s="568"/>
      <c r="Z787" s="568"/>
    </row>
    <row r="788" spans="1:26" ht="18.75" hidden="1">
      <c r="A788" s="563"/>
      <c r="B788" s="571"/>
      <c r="C788" s="571"/>
      <c r="D788" s="580"/>
      <c r="E788" s="723" t="s">
        <v>185</v>
      </c>
      <c r="F788" s="723"/>
      <c r="G788" s="567"/>
      <c r="H788" s="165" t="s">
        <v>12</v>
      </c>
      <c r="I788" s="583"/>
      <c r="J788" s="583"/>
      <c r="K788" s="93"/>
      <c r="L788" s="93">
        <f t="shared" ca="1" si="321"/>
        <v>0</v>
      </c>
      <c r="M788" s="93">
        <f t="shared" si="321"/>
        <v>0</v>
      </c>
      <c r="N788" s="93">
        <f t="shared" si="321"/>
        <v>0</v>
      </c>
      <c r="O788" s="93">
        <f t="shared" ca="1" si="319"/>
        <v>0</v>
      </c>
      <c r="P788" s="93">
        <f t="shared" si="320"/>
        <v>0</v>
      </c>
      <c r="Q788" s="568"/>
      <c r="R788" s="568"/>
      <c r="S788" s="568"/>
      <c r="T788" s="568"/>
      <c r="U788" s="568"/>
      <c r="V788" s="568"/>
      <c r="W788" s="568"/>
      <c r="X788" s="568"/>
      <c r="Y788" s="568"/>
      <c r="Z788" s="568"/>
    </row>
    <row r="789" spans="1:26" ht="18.75" hidden="1">
      <c r="A789" s="561"/>
      <c r="B789" s="538"/>
      <c r="C789" s="538"/>
      <c r="D789" s="570" t="s">
        <v>20</v>
      </c>
      <c r="E789" s="727"/>
      <c r="F789" s="727"/>
      <c r="G789" s="189"/>
      <c r="H789" s="161" t="s">
        <v>12</v>
      </c>
      <c r="I789" s="184"/>
      <c r="J789" s="184"/>
      <c r="K789" s="163"/>
      <c r="L789" s="465">
        <f t="shared" ref="L789:N789" ca="1" si="322">L790+L791</f>
        <v>0</v>
      </c>
      <c r="M789" s="465">
        <f t="shared" si="322"/>
        <v>0</v>
      </c>
      <c r="N789" s="465">
        <f t="shared" si="322"/>
        <v>0</v>
      </c>
      <c r="O789" s="465">
        <f t="shared" ca="1" si="319"/>
        <v>0</v>
      </c>
      <c r="P789" s="465">
        <f t="shared" si="320"/>
        <v>0</v>
      </c>
      <c r="Q789" s="541"/>
      <c r="R789" s="541"/>
      <c r="S789" s="541"/>
      <c r="T789" s="541"/>
      <c r="U789" s="541"/>
      <c r="V789" s="541"/>
      <c r="W789" s="541"/>
      <c r="X789" s="541"/>
      <c r="Y789" s="541"/>
      <c r="Z789" s="541"/>
    </row>
    <row r="790" spans="1:26" ht="18.75" hidden="1">
      <c r="A790" s="563"/>
      <c r="B790" s="571"/>
      <c r="C790" s="571"/>
      <c r="D790" s="580"/>
      <c r="E790" s="723" t="s">
        <v>184</v>
      </c>
      <c r="F790" s="723"/>
      <c r="G790" s="567"/>
      <c r="H790" s="165" t="s">
        <v>12</v>
      </c>
      <c r="I790" s="583"/>
      <c r="J790" s="583"/>
      <c r="K790" s="93"/>
      <c r="L790" s="93">
        <v>0</v>
      </c>
      <c r="M790" s="93">
        <v>0</v>
      </c>
      <c r="N790" s="93">
        <v>0</v>
      </c>
      <c r="O790" s="93">
        <f t="shared" si="319"/>
        <v>0</v>
      </c>
      <c r="P790" s="93">
        <f t="shared" si="320"/>
        <v>0</v>
      </c>
      <c r="Q790" s="568"/>
      <c r="R790" s="568"/>
      <c r="S790" s="568"/>
      <c r="T790" s="568"/>
      <c r="U790" s="568"/>
      <c r="V790" s="568"/>
      <c r="W790" s="568"/>
      <c r="X790" s="568"/>
      <c r="Y790" s="568"/>
      <c r="Z790" s="568"/>
    </row>
    <row r="791" spans="1:26" ht="18.75" hidden="1">
      <c r="A791" s="563"/>
      <c r="B791" s="571"/>
      <c r="C791" s="571"/>
      <c r="D791" s="580"/>
      <c r="E791" s="723" t="s">
        <v>185</v>
      </c>
      <c r="F791" s="723"/>
      <c r="G791" s="567"/>
      <c r="H791" s="165" t="s">
        <v>12</v>
      </c>
      <c r="I791" s="583"/>
      <c r="J791" s="583"/>
      <c r="K791" s="93"/>
      <c r="L791" s="93">
        <f ca="1">IFERROR(__xludf.DUMMYFUNCTION("IMPORTRANGE(""https://docs.google.com/spreadsheets/d/1QqKyyYR6Q21VydFLVH3TRQUabQu_ym0Zz7PgGX0-kHA/edit?usp=sharing"",""แผน!JJ27"")"),0)</f>
        <v>0</v>
      </c>
      <c r="M791" s="93">
        <v>0</v>
      </c>
      <c r="N791" s="93">
        <f>N792+N793+N794+N795</f>
        <v>0</v>
      </c>
      <c r="O791" s="93">
        <f t="shared" ca="1" si="319"/>
        <v>0</v>
      </c>
      <c r="P791" s="93">
        <f t="shared" si="320"/>
        <v>0</v>
      </c>
      <c r="Q791" s="568"/>
      <c r="R791" s="568"/>
      <c r="S791" s="568"/>
      <c r="T791" s="568"/>
      <c r="U791" s="568"/>
      <c r="V791" s="568"/>
      <c r="W791" s="568"/>
      <c r="X791" s="568"/>
      <c r="Y791" s="568"/>
      <c r="Z791" s="568"/>
    </row>
    <row r="792" spans="1:26" ht="18.75" hidden="1">
      <c r="A792" s="537"/>
      <c r="B792" s="538"/>
      <c r="C792" s="727"/>
      <c r="D792" s="727"/>
      <c r="E792" s="727"/>
      <c r="F792" s="727" t="s">
        <v>186</v>
      </c>
      <c r="G792" s="189"/>
      <c r="H792" s="161" t="s">
        <v>12</v>
      </c>
      <c r="I792" s="269"/>
      <c r="J792" s="269"/>
      <c r="K792" s="465"/>
      <c r="L792" s="465"/>
      <c r="M792" s="465"/>
      <c r="N792" s="789">
        <v>0</v>
      </c>
      <c r="O792" s="465"/>
      <c r="P792" s="465"/>
      <c r="Q792" s="541"/>
      <c r="R792" s="541"/>
      <c r="S792" s="541"/>
      <c r="T792" s="541"/>
      <c r="U792" s="541"/>
      <c r="V792" s="541"/>
      <c r="W792" s="541"/>
      <c r="X792" s="541"/>
      <c r="Y792" s="541"/>
      <c r="Z792" s="541"/>
    </row>
    <row r="793" spans="1:26" ht="18.75" hidden="1">
      <c r="A793" s="537"/>
      <c r="B793" s="538"/>
      <c r="C793" s="727"/>
      <c r="D793" s="727"/>
      <c r="E793" s="727"/>
      <c r="F793" s="727" t="s">
        <v>187</v>
      </c>
      <c r="G793" s="189"/>
      <c r="H793" s="161" t="s">
        <v>12</v>
      </c>
      <c r="I793" s="269"/>
      <c r="J793" s="269"/>
      <c r="K793" s="465"/>
      <c r="L793" s="465"/>
      <c r="M793" s="465"/>
      <c r="N793" s="789">
        <v>0</v>
      </c>
      <c r="O793" s="465"/>
      <c r="P793" s="465"/>
      <c r="Q793" s="541"/>
      <c r="R793" s="541"/>
      <c r="S793" s="541"/>
      <c r="T793" s="541"/>
      <c r="U793" s="541"/>
      <c r="V793" s="541"/>
      <c r="W793" s="541"/>
      <c r="X793" s="541"/>
      <c r="Y793" s="541"/>
      <c r="Z793" s="541"/>
    </row>
    <row r="794" spans="1:26" ht="18.75" hidden="1">
      <c r="A794" s="537"/>
      <c r="B794" s="538"/>
      <c r="C794" s="727"/>
      <c r="D794" s="727"/>
      <c r="E794" s="727"/>
      <c r="F794" s="727" t="s">
        <v>188</v>
      </c>
      <c r="G794" s="189"/>
      <c r="H794" s="161" t="s">
        <v>12</v>
      </c>
      <c r="I794" s="269"/>
      <c r="J794" s="269"/>
      <c r="K794" s="465"/>
      <c r="L794" s="465"/>
      <c r="M794" s="465"/>
      <c r="N794" s="789">
        <v>0</v>
      </c>
      <c r="O794" s="465"/>
      <c r="P794" s="465"/>
      <c r="Q794" s="541"/>
      <c r="R794" s="541"/>
      <c r="S794" s="541"/>
      <c r="T794" s="541"/>
      <c r="U794" s="541"/>
      <c r="V794" s="541"/>
      <c r="W794" s="541"/>
      <c r="X794" s="541"/>
      <c r="Y794" s="541"/>
      <c r="Z794" s="541"/>
    </row>
    <row r="795" spans="1:26" ht="18.75" hidden="1">
      <c r="A795" s="537"/>
      <c r="B795" s="538"/>
      <c r="C795" s="727"/>
      <c r="D795" s="727"/>
      <c r="E795" s="727"/>
      <c r="F795" s="727" t="s">
        <v>189</v>
      </c>
      <c r="G795" s="189"/>
      <c r="H795" s="161" t="s">
        <v>12</v>
      </c>
      <c r="I795" s="269"/>
      <c r="J795" s="269"/>
      <c r="K795" s="465"/>
      <c r="L795" s="465"/>
      <c r="M795" s="465"/>
      <c r="N795" s="789">
        <v>0</v>
      </c>
      <c r="O795" s="465"/>
      <c r="P795" s="465"/>
      <c r="Q795" s="541"/>
      <c r="R795" s="541"/>
      <c r="S795" s="541"/>
      <c r="T795" s="541"/>
      <c r="U795" s="541"/>
      <c r="V795" s="541"/>
      <c r="W795" s="541"/>
      <c r="X795" s="541"/>
      <c r="Y795" s="541"/>
      <c r="Z795" s="541"/>
    </row>
    <row r="796" spans="1:26" ht="18.75" hidden="1">
      <c r="A796" s="561"/>
      <c r="B796" s="538"/>
      <c r="C796" s="727"/>
      <c r="D796" s="570" t="s">
        <v>21</v>
      </c>
      <c r="E796" s="727"/>
      <c r="F796" s="727"/>
      <c r="G796" s="189"/>
      <c r="H796" s="168" t="s">
        <v>12</v>
      </c>
      <c r="I796" s="184"/>
      <c r="J796" s="184"/>
      <c r="K796" s="163"/>
      <c r="L796" s="465">
        <f t="shared" ref="L796:N796" si="323">L797+L798</f>
        <v>0</v>
      </c>
      <c r="M796" s="465">
        <f t="shared" si="323"/>
        <v>0</v>
      </c>
      <c r="N796" s="465">
        <f t="shared" si="323"/>
        <v>0</v>
      </c>
      <c r="O796" s="465">
        <f t="shared" ref="O796:O798" si="324">IF(L796&gt;0,N796*100/L796,0)</f>
        <v>0</v>
      </c>
      <c r="P796" s="465">
        <f t="shared" ref="P796:P798" si="325">IF(M796&gt;0,N796*100/M796,0)</f>
        <v>0</v>
      </c>
      <c r="Q796" s="541"/>
      <c r="R796" s="541"/>
      <c r="S796" s="541"/>
      <c r="T796" s="541"/>
      <c r="U796" s="541"/>
      <c r="V796" s="541"/>
      <c r="W796" s="541"/>
      <c r="X796" s="541"/>
      <c r="Y796" s="541"/>
      <c r="Z796" s="541"/>
    </row>
    <row r="797" spans="1:26" ht="18.75" hidden="1">
      <c r="A797" s="563"/>
      <c r="B797" s="571"/>
      <c r="C797" s="723"/>
      <c r="D797" s="723"/>
      <c r="E797" s="723" t="s">
        <v>18</v>
      </c>
      <c r="F797" s="723"/>
      <c r="G797" s="567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4"/>
        <v>0</v>
      </c>
      <c r="P797" s="93">
        <f t="shared" si="325"/>
        <v>0</v>
      </c>
      <c r="Q797" s="568"/>
      <c r="R797" s="568"/>
      <c r="S797" s="568"/>
      <c r="T797" s="568"/>
      <c r="U797" s="568"/>
      <c r="V797" s="568"/>
      <c r="W797" s="568"/>
      <c r="X797" s="568"/>
      <c r="Y797" s="568"/>
      <c r="Z797" s="568"/>
    </row>
    <row r="798" spans="1:26" ht="18.75" hidden="1">
      <c r="A798" s="563"/>
      <c r="B798" s="571"/>
      <c r="C798" s="723"/>
      <c r="D798" s="723"/>
      <c r="E798" s="723" t="s">
        <v>19</v>
      </c>
      <c r="F798" s="723"/>
      <c r="G798" s="567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4"/>
        <v>0</v>
      </c>
      <c r="P798" s="93">
        <f t="shared" si="325"/>
        <v>0</v>
      </c>
      <c r="Q798" s="568"/>
      <c r="R798" s="568"/>
      <c r="S798" s="568"/>
      <c r="T798" s="568"/>
      <c r="U798" s="568"/>
      <c r="V798" s="568"/>
      <c r="W798" s="568"/>
      <c r="X798" s="568"/>
      <c r="Y798" s="568"/>
      <c r="Z798" s="568"/>
    </row>
    <row r="799" spans="1:26" ht="19.5" hidden="1">
      <c r="A799" s="572"/>
      <c r="B799" s="584"/>
      <c r="C799" s="727" t="s">
        <v>16</v>
      </c>
      <c r="D799" s="855" t="s">
        <v>38</v>
      </c>
      <c r="E799" s="725"/>
      <c r="F799" s="725"/>
      <c r="G799" s="577"/>
      <c r="H799" s="774"/>
      <c r="I799" s="184"/>
      <c r="J799" s="184"/>
      <c r="K799" s="163"/>
      <c r="L799" s="163"/>
      <c r="M799" s="163"/>
      <c r="N799" s="163"/>
      <c r="O799" s="163"/>
      <c r="P799" s="163"/>
      <c r="Q799" s="541"/>
      <c r="R799" s="541"/>
      <c r="S799" s="541"/>
      <c r="T799" s="541"/>
      <c r="U799" s="541"/>
      <c r="V799" s="541"/>
      <c r="W799" s="541"/>
      <c r="X799" s="541"/>
      <c r="Y799" s="541"/>
      <c r="Z799" s="541"/>
    </row>
    <row r="800" spans="1:26" ht="18.75" hidden="1">
      <c r="A800" s="572"/>
      <c r="B800" s="584"/>
      <c r="C800" s="584"/>
      <c r="D800" s="584"/>
      <c r="E800" s="592"/>
      <c r="F800" s="592" t="s">
        <v>320</v>
      </c>
      <c r="G800" s="726"/>
      <c r="H800" s="185" t="s">
        <v>46</v>
      </c>
      <c r="I800" s="184">
        <f ca="1">IFERROR(__xludf.DUMMYFUNCTION("IMPORTRANGE(""https://docs.google.com/spreadsheets/d/1QqKyyYR6Q21VydFLVH3TRQUabQu_ym0Zz7PgGX0-kHA/edit?usp=sharing"",""แผน!JN27"")"),0)</f>
        <v>0</v>
      </c>
      <c r="J800" s="184">
        <f ca="1">IFERROR(__xludf.DUMMYFUNCTION("IMPORTRANGE(""https://docs.google.com/spreadsheets/d/1MaWodYyGHDf7siQLGxnXhG4mBNTNIuy296niS2xXulU/edit?usp=sharing"",""RTK!H27"")"),0)</f>
        <v>0</v>
      </c>
      <c r="K800" s="465">
        <f ca="1">IF(I800&gt;0,J800*100/I800,0)</f>
        <v>0</v>
      </c>
      <c r="L800" s="465"/>
      <c r="M800" s="465"/>
      <c r="N800" s="465"/>
      <c r="O800" s="163"/>
      <c r="P800" s="163"/>
      <c r="Q800" s="541"/>
      <c r="R800" s="541"/>
      <c r="S800" s="541"/>
      <c r="T800" s="541"/>
      <c r="U800" s="541"/>
      <c r="V800" s="541"/>
      <c r="W800" s="541"/>
      <c r="X800" s="541"/>
      <c r="Y800" s="541"/>
      <c r="Z800" s="541"/>
    </row>
    <row r="801" spans="1:26" ht="18.75" hidden="1">
      <c r="A801" s="572"/>
      <c r="B801" s="584"/>
      <c r="C801" s="584"/>
      <c r="D801" s="584"/>
      <c r="E801" s="592"/>
      <c r="F801" s="592"/>
      <c r="G801" s="726"/>
      <c r="H801" s="161" t="s">
        <v>34</v>
      </c>
      <c r="I801" s="184"/>
      <c r="J801" s="269">
        <f ca="1">IFERROR(__xludf.DUMMYFUNCTION("IMPORTRANGE(""https://docs.google.com/spreadsheets/d/1MaWodYyGHDf7siQLGxnXhG4mBNTNIuy296niS2xXulU/edit?usp=sharing"",""RTK!I27"")"),0)</f>
        <v>0</v>
      </c>
      <c r="K801" s="465"/>
      <c r="L801" s="465"/>
      <c r="M801" s="465"/>
      <c r="N801" s="465"/>
      <c r="O801" s="163"/>
      <c r="P801" s="163"/>
      <c r="Q801" s="541"/>
      <c r="R801" s="541"/>
      <c r="S801" s="541"/>
      <c r="T801" s="541"/>
      <c r="U801" s="541"/>
      <c r="V801" s="541"/>
      <c r="W801" s="541"/>
      <c r="X801" s="541"/>
      <c r="Y801" s="541"/>
      <c r="Z801" s="541"/>
    </row>
    <row r="802" spans="1:26" ht="18.75" hidden="1">
      <c r="A802" s="578"/>
      <c r="B802" s="580"/>
      <c r="C802" s="580"/>
      <c r="D802" s="580"/>
      <c r="E802" s="684"/>
      <c r="F802" s="684" t="s">
        <v>321</v>
      </c>
      <c r="G802" s="581"/>
      <c r="H802" s="619" t="s">
        <v>46</v>
      </c>
      <c r="I802" s="166"/>
      <c r="J802" s="583"/>
      <c r="K802" s="167">
        <f>IF(I802&gt;0,J802*100/I802,0)</f>
        <v>0</v>
      </c>
      <c r="L802" s="167"/>
      <c r="M802" s="167"/>
      <c r="N802" s="167"/>
      <c r="O802" s="167"/>
      <c r="P802" s="167"/>
      <c r="Q802" s="568"/>
      <c r="R802" s="568"/>
      <c r="S802" s="568"/>
      <c r="T802" s="568"/>
      <c r="U802" s="568"/>
      <c r="V802" s="568"/>
      <c r="W802" s="568"/>
      <c r="X802" s="568"/>
      <c r="Y802" s="568"/>
      <c r="Z802" s="568"/>
    </row>
    <row r="803" spans="1:26" ht="18.75" hidden="1">
      <c r="A803" s="578"/>
      <c r="B803" s="580"/>
      <c r="C803" s="580"/>
      <c r="D803" s="580"/>
      <c r="E803" s="684"/>
      <c r="F803" s="684"/>
      <c r="G803" s="581"/>
      <c r="H803" s="619" t="s">
        <v>34</v>
      </c>
      <c r="I803" s="166"/>
      <c r="J803" s="583"/>
      <c r="K803" s="167"/>
      <c r="L803" s="167"/>
      <c r="M803" s="167"/>
      <c r="N803" s="167"/>
      <c r="O803" s="167"/>
      <c r="P803" s="167"/>
      <c r="Q803" s="568"/>
      <c r="R803" s="568"/>
      <c r="S803" s="568"/>
      <c r="T803" s="568"/>
      <c r="U803" s="568"/>
      <c r="V803" s="568"/>
      <c r="W803" s="568"/>
      <c r="X803" s="568"/>
      <c r="Y803" s="568"/>
      <c r="Z803" s="568"/>
    </row>
    <row r="804" spans="1:26" ht="19.5" hidden="1">
      <c r="A804" s="757">
        <v>13</v>
      </c>
      <c r="B804" s="758" t="s">
        <v>322</v>
      </c>
      <c r="C804" s="759"/>
      <c r="D804" s="775"/>
      <c r="E804" s="759"/>
      <c r="F804" s="759"/>
      <c r="G804" s="760"/>
      <c r="H804" s="761" t="s">
        <v>46</v>
      </c>
      <c r="I804" s="762"/>
      <c r="J804" s="762">
        <f>J819</f>
        <v>0</v>
      </c>
      <c r="K804" s="763">
        <f>IF(I804&gt;0,J804*100/I804,0)</f>
        <v>0</v>
      </c>
      <c r="L804" s="764"/>
      <c r="M804" s="764"/>
      <c r="N804" s="764"/>
      <c r="O804" s="764"/>
      <c r="P804" s="764"/>
      <c r="Q804" s="568"/>
      <c r="R804" s="568"/>
      <c r="S804" s="568"/>
      <c r="T804" s="568"/>
      <c r="U804" s="568"/>
      <c r="V804" s="568"/>
      <c r="W804" s="568"/>
      <c r="X804" s="568"/>
      <c r="Y804" s="568"/>
      <c r="Z804" s="568"/>
    </row>
    <row r="805" spans="1:26" ht="19.5" hidden="1">
      <c r="A805" s="563"/>
      <c r="B805" s="723"/>
      <c r="C805" s="723" t="s">
        <v>16</v>
      </c>
      <c r="D805" s="812" t="s">
        <v>17</v>
      </c>
      <c r="E805" s="805"/>
      <c r="F805" s="805"/>
      <c r="G805" s="567"/>
      <c r="H805" s="612" t="s">
        <v>12</v>
      </c>
      <c r="I805" s="583"/>
      <c r="J805" s="583"/>
      <c r="K805" s="93"/>
      <c r="L805" s="613">
        <f t="shared" ref="L805:N805" si="326">L806+L807</f>
        <v>0</v>
      </c>
      <c r="M805" s="613">
        <f t="shared" si="326"/>
        <v>0</v>
      </c>
      <c r="N805" s="613">
        <f t="shared" si="326"/>
        <v>0</v>
      </c>
      <c r="O805" s="613">
        <f t="shared" ref="O805:O810" si="327">IF(L805&gt;0,N805*100/L805,0)</f>
        <v>0</v>
      </c>
      <c r="P805" s="613">
        <f t="shared" ref="P805:P810" si="328">IF(M805&gt;0,N805*100/M805,0)</f>
        <v>0</v>
      </c>
      <c r="Q805" s="568"/>
      <c r="R805" s="568"/>
      <c r="S805" s="568"/>
      <c r="T805" s="568"/>
      <c r="U805" s="568"/>
      <c r="V805" s="568"/>
      <c r="W805" s="568"/>
      <c r="X805" s="568"/>
      <c r="Y805" s="568"/>
      <c r="Z805" s="568"/>
    </row>
    <row r="806" spans="1:26" ht="18.75" hidden="1">
      <c r="A806" s="563"/>
      <c r="B806" s="723"/>
      <c r="C806" s="723"/>
      <c r="D806" s="580"/>
      <c r="E806" s="723" t="s">
        <v>184</v>
      </c>
      <c r="F806" s="723"/>
      <c r="G806" s="567"/>
      <c r="H806" s="165" t="s">
        <v>12</v>
      </c>
      <c r="I806" s="583"/>
      <c r="J806" s="583"/>
      <c r="K806" s="93"/>
      <c r="L806" s="93">
        <f t="shared" ref="L806:N807" si="329">L809+L816</f>
        <v>0</v>
      </c>
      <c r="M806" s="93">
        <f t="shared" si="329"/>
        <v>0</v>
      </c>
      <c r="N806" s="93">
        <f t="shared" si="329"/>
        <v>0</v>
      </c>
      <c r="O806" s="93">
        <f t="shared" si="327"/>
        <v>0</v>
      </c>
      <c r="P806" s="93">
        <f t="shared" si="328"/>
        <v>0</v>
      </c>
      <c r="Q806" s="568"/>
      <c r="R806" s="568"/>
      <c r="S806" s="568"/>
      <c r="T806" s="568"/>
      <c r="U806" s="568"/>
      <c r="V806" s="568"/>
      <c r="W806" s="568"/>
      <c r="X806" s="568"/>
      <c r="Y806" s="568"/>
      <c r="Z806" s="568"/>
    </row>
    <row r="807" spans="1:26" ht="18.75" hidden="1">
      <c r="A807" s="563"/>
      <c r="B807" s="723"/>
      <c r="C807" s="723"/>
      <c r="D807" s="580"/>
      <c r="E807" s="723" t="s">
        <v>185</v>
      </c>
      <c r="F807" s="723"/>
      <c r="G807" s="567"/>
      <c r="H807" s="165" t="s">
        <v>12</v>
      </c>
      <c r="I807" s="583"/>
      <c r="J807" s="583"/>
      <c r="K807" s="93"/>
      <c r="L807" s="93">
        <f t="shared" si="329"/>
        <v>0</v>
      </c>
      <c r="M807" s="93">
        <f t="shared" si="329"/>
        <v>0</v>
      </c>
      <c r="N807" s="93">
        <f t="shared" si="329"/>
        <v>0</v>
      </c>
      <c r="O807" s="93">
        <f t="shared" si="327"/>
        <v>0</v>
      </c>
      <c r="P807" s="93">
        <f t="shared" si="328"/>
        <v>0</v>
      </c>
      <c r="Q807" s="568"/>
      <c r="R807" s="568"/>
      <c r="S807" s="568"/>
      <c r="T807" s="568"/>
      <c r="U807" s="568"/>
      <c r="V807" s="568"/>
      <c r="W807" s="568"/>
      <c r="X807" s="568"/>
      <c r="Y807" s="568"/>
      <c r="Z807" s="568"/>
    </row>
    <row r="808" spans="1:26" ht="19.5" hidden="1">
      <c r="A808" s="563"/>
      <c r="B808" s="571"/>
      <c r="C808" s="723"/>
      <c r="D808" s="857" t="s">
        <v>20</v>
      </c>
      <c r="E808" s="805"/>
      <c r="F808" s="805"/>
      <c r="G808" s="567"/>
      <c r="H808" s="612" t="s">
        <v>12</v>
      </c>
      <c r="I808" s="166"/>
      <c r="J808" s="166"/>
      <c r="K808" s="167"/>
      <c r="L808" s="613">
        <f t="shared" ref="L808:N808" si="330">L809+L810</f>
        <v>0</v>
      </c>
      <c r="M808" s="613">
        <f t="shared" si="330"/>
        <v>0</v>
      </c>
      <c r="N808" s="613">
        <f t="shared" si="330"/>
        <v>0</v>
      </c>
      <c r="O808" s="613">
        <f t="shared" si="327"/>
        <v>0</v>
      </c>
      <c r="P808" s="613">
        <f t="shared" si="328"/>
        <v>0</v>
      </c>
      <c r="Q808" s="568"/>
      <c r="R808" s="568"/>
      <c r="S808" s="568"/>
      <c r="T808" s="568"/>
      <c r="U808" s="568"/>
      <c r="V808" s="568"/>
      <c r="W808" s="568"/>
      <c r="X808" s="568"/>
      <c r="Y808" s="568"/>
      <c r="Z808" s="568"/>
    </row>
    <row r="809" spans="1:26" ht="18.75" hidden="1">
      <c r="A809" s="563"/>
      <c r="B809" s="723"/>
      <c r="C809" s="723"/>
      <c r="D809" s="580"/>
      <c r="E809" s="723" t="s">
        <v>184</v>
      </c>
      <c r="F809" s="723"/>
      <c r="G809" s="567"/>
      <c r="H809" s="165" t="s">
        <v>12</v>
      </c>
      <c r="I809" s="583"/>
      <c r="J809" s="583"/>
      <c r="K809" s="93"/>
      <c r="L809" s="93">
        <v>0</v>
      </c>
      <c r="M809" s="93">
        <v>0</v>
      </c>
      <c r="N809" s="93">
        <v>0</v>
      </c>
      <c r="O809" s="93">
        <f t="shared" si="327"/>
        <v>0</v>
      </c>
      <c r="P809" s="93">
        <f t="shared" si="328"/>
        <v>0</v>
      </c>
      <c r="Q809" s="568"/>
      <c r="R809" s="568"/>
      <c r="S809" s="568"/>
      <c r="T809" s="568"/>
      <c r="U809" s="568"/>
      <c r="V809" s="568"/>
      <c r="W809" s="568"/>
      <c r="X809" s="568"/>
      <c r="Y809" s="568"/>
      <c r="Z809" s="568"/>
    </row>
    <row r="810" spans="1:26" ht="18.75" hidden="1">
      <c r="A810" s="563"/>
      <c r="B810" s="723"/>
      <c r="C810" s="723"/>
      <c r="D810" s="580"/>
      <c r="E810" s="723" t="s">
        <v>185</v>
      </c>
      <c r="F810" s="723"/>
      <c r="G810" s="567"/>
      <c r="H810" s="165" t="s">
        <v>12</v>
      </c>
      <c r="I810" s="583"/>
      <c r="J810" s="583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7"/>
        <v>0</v>
      </c>
      <c r="P810" s="93">
        <f t="shared" si="328"/>
        <v>0</v>
      </c>
      <c r="Q810" s="568"/>
      <c r="R810" s="568"/>
      <c r="S810" s="568"/>
      <c r="T810" s="568"/>
      <c r="U810" s="568"/>
      <c r="V810" s="568"/>
      <c r="W810" s="568"/>
      <c r="X810" s="568"/>
      <c r="Y810" s="568"/>
      <c r="Z810" s="568"/>
    </row>
    <row r="811" spans="1:26" ht="18.75" hidden="1">
      <c r="A811" s="615"/>
      <c r="B811" s="571"/>
      <c r="C811" s="723"/>
      <c r="D811" s="571"/>
      <c r="E811" s="723"/>
      <c r="F811" s="723" t="s">
        <v>186</v>
      </c>
      <c r="G811" s="567"/>
      <c r="H811" s="165" t="s">
        <v>12</v>
      </c>
      <c r="I811" s="583"/>
      <c r="J811" s="583"/>
      <c r="K811" s="93"/>
      <c r="L811" s="93"/>
      <c r="M811" s="93"/>
      <c r="N811" s="93"/>
      <c r="O811" s="93"/>
      <c r="P811" s="93"/>
      <c r="Q811" s="568"/>
      <c r="R811" s="568"/>
      <c r="S811" s="568"/>
      <c r="T811" s="568"/>
      <c r="U811" s="568"/>
      <c r="V811" s="568"/>
      <c r="W811" s="568"/>
      <c r="X811" s="568"/>
      <c r="Y811" s="568"/>
      <c r="Z811" s="568"/>
    </row>
    <row r="812" spans="1:26" ht="18.75" hidden="1">
      <c r="A812" s="615"/>
      <c r="B812" s="571"/>
      <c r="C812" s="723"/>
      <c r="D812" s="571"/>
      <c r="E812" s="723"/>
      <c r="F812" s="723" t="s">
        <v>187</v>
      </c>
      <c r="G812" s="567"/>
      <c r="H812" s="165" t="s">
        <v>12</v>
      </c>
      <c r="I812" s="583"/>
      <c r="J812" s="583"/>
      <c r="K812" s="93"/>
      <c r="L812" s="93"/>
      <c r="M812" s="93"/>
      <c r="N812" s="93"/>
      <c r="O812" s="93"/>
      <c r="P812" s="93"/>
      <c r="Q812" s="568"/>
      <c r="R812" s="568"/>
      <c r="S812" s="568"/>
      <c r="T812" s="568"/>
      <c r="U812" s="568"/>
      <c r="V812" s="568"/>
      <c r="W812" s="568"/>
      <c r="X812" s="568"/>
      <c r="Y812" s="568"/>
      <c r="Z812" s="568"/>
    </row>
    <row r="813" spans="1:26" ht="18.75" hidden="1">
      <c r="A813" s="615"/>
      <c r="B813" s="571"/>
      <c r="C813" s="723"/>
      <c r="D813" s="571"/>
      <c r="E813" s="723"/>
      <c r="F813" s="723" t="s">
        <v>188</v>
      </c>
      <c r="G813" s="567"/>
      <c r="H813" s="165" t="s">
        <v>12</v>
      </c>
      <c r="I813" s="583"/>
      <c r="J813" s="583"/>
      <c r="K813" s="93"/>
      <c r="L813" s="93"/>
      <c r="M813" s="93"/>
      <c r="N813" s="93"/>
      <c r="O813" s="93"/>
      <c r="P813" s="93"/>
      <c r="Q813" s="568"/>
      <c r="R813" s="568"/>
      <c r="S813" s="568"/>
      <c r="T813" s="568"/>
      <c r="U813" s="568"/>
      <c r="V813" s="568"/>
      <c r="W813" s="568"/>
      <c r="X813" s="568"/>
      <c r="Y813" s="568"/>
      <c r="Z813" s="568"/>
    </row>
    <row r="814" spans="1:26" ht="18.75" hidden="1">
      <c r="A814" s="615"/>
      <c r="B814" s="571"/>
      <c r="C814" s="723"/>
      <c r="D814" s="571"/>
      <c r="E814" s="723"/>
      <c r="F814" s="723" t="s">
        <v>189</v>
      </c>
      <c r="G814" s="567"/>
      <c r="H814" s="165" t="s">
        <v>12</v>
      </c>
      <c r="I814" s="583"/>
      <c r="J814" s="583"/>
      <c r="K814" s="93"/>
      <c r="L814" s="93"/>
      <c r="M814" s="93"/>
      <c r="N814" s="93"/>
      <c r="O814" s="93"/>
      <c r="P814" s="93"/>
      <c r="Q814" s="568"/>
      <c r="R814" s="568"/>
      <c r="S814" s="568"/>
      <c r="T814" s="568"/>
      <c r="U814" s="568"/>
      <c r="V814" s="568"/>
      <c r="W814" s="568"/>
      <c r="X814" s="568"/>
      <c r="Y814" s="568"/>
      <c r="Z814" s="568"/>
    </row>
    <row r="815" spans="1:26" ht="19.5" hidden="1">
      <c r="A815" s="563"/>
      <c r="B815" s="571"/>
      <c r="C815" s="723"/>
      <c r="D815" s="857" t="s">
        <v>21</v>
      </c>
      <c r="E815" s="805"/>
      <c r="F815" s="805"/>
      <c r="G815" s="567"/>
      <c r="H815" s="747" t="s">
        <v>12</v>
      </c>
      <c r="I815" s="166"/>
      <c r="J815" s="166"/>
      <c r="K815" s="167"/>
      <c r="L815" s="613">
        <f t="shared" ref="L815:N815" si="331">L816+L817</f>
        <v>0</v>
      </c>
      <c r="M815" s="613">
        <f t="shared" si="331"/>
        <v>0</v>
      </c>
      <c r="N815" s="613">
        <f t="shared" si="331"/>
        <v>0</v>
      </c>
      <c r="O815" s="613">
        <f t="shared" ref="O815:O817" si="332">IF(L815&gt;0,N815*100/L815,0)</f>
        <v>0</v>
      </c>
      <c r="P815" s="613">
        <f t="shared" ref="P815:P817" si="333">IF(M815&gt;0,N815*100/M815,0)</f>
        <v>0</v>
      </c>
      <c r="Q815" s="568"/>
      <c r="R815" s="568"/>
      <c r="S815" s="568"/>
      <c r="T815" s="568"/>
      <c r="U815" s="568"/>
      <c r="V815" s="568"/>
      <c r="W815" s="568"/>
      <c r="X815" s="568"/>
      <c r="Y815" s="568"/>
      <c r="Z815" s="568"/>
    </row>
    <row r="816" spans="1:26" ht="18.75" hidden="1">
      <c r="A816" s="563"/>
      <c r="B816" s="571"/>
      <c r="C816" s="723"/>
      <c r="D816" s="571"/>
      <c r="E816" s="723" t="s">
        <v>18</v>
      </c>
      <c r="F816" s="723"/>
      <c r="G816" s="567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2"/>
        <v>0</v>
      </c>
      <c r="P816" s="93">
        <f t="shared" si="333"/>
        <v>0</v>
      </c>
      <c r="Q816" s="568"/>
      <c r="R816" s="568"/>
      <c r="S816" s="568"/>
      <c r="T816" s="568"/>
      <c r="U816" s="568"/>
      <c r="V816" s="568"/>
      <c r="W816" s="568"/>
      <c r="X816" s="568"/>
      <c r="Y816" s="568"/>
      <c r="Z816" s="568"/>
    </row>
    <row r="817" spans="1:26" ht="18.75" hidden="1">
      <c r="A817" s="563"/>
      <c r="B817" s="571"/>
      <c r="C817" s="723"/>
      <c r="D817" s="571"/>
      <c r="E817" s="723" t="s">
        <v>19</v>
      </c>
      <c r="F817" s="723"/>
      <c r="G817" s="567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2"/>
        <v>0</v>
      </c>
      <c r="P817" s="93">
        <f t="shared" si="333"/>
        <v>0</v>
      </c>
      <c r="Q817" s="568"/>
      <c r="R817" s="568"/>
      <c r="S817" s="568"/>
      <c r="T817" s="568"/>
      <c r="U817" s="568"/>
      <c r="V817" s="568"/>
      <c r="W817" s="568"/>
      <c r="X817" s="568"/>
      <c r="Y817" s="568"/>
      <c r="Z817" s="568"/>
    </row>
    <row r="818" spans="1:26" ht="19.5" hidden="1">
      <c r="A818" s="578"/>
      <c r="B818" s="580"/>
      <c r="C818" s="723" t="s">
        <v>16</v>
      </c>
      <c r="D818" s="858" t="s">
        <v>38</v>
      </c>
      <c r="E818" s="617"/>
      <c r="F818" s="617"/>
      <c r="G818" s="618"/>
      <c r="H818" s="581"/>
      <c r="I818" s="166"/>
      <c r="J818" s="166"/>
      <c r="K818" s="167"/>
      <c r="L818" s="167"/>
      <c r="M818" s="167"/>
      <c r="N818" s="167"/>
      <c r="O818" s="167"/>
      <c r="P818" s="167"/>
      <c r="Q818" s="568"/>
      <c r="R818" s="568"/>
      <c r="S818" s="568"/>
      <c r="T818" s="568"/>
      <c r="U818" s="568"/>
      <c r="V818" s="568"/>
      <c r="W818" s="568"/>
      <c r="X818" s="568"/>
      <c r="Y818" s="568"/>
      <c r="Z818" s="568"/>
    </row>
    <row r="819" spans="1:26" ht="19.5" hidden="1" thickBot="1">
      <c r="A819" s="777"/>
      <c r="B819" s="778"/>
      <c r="C819" s="780"/>
      <c r="D819" s="778"/>
      <c r="E819" s="780" t="s">
        <v>323</v>
      </c>
      <c r="F819" s="780"/>
      <c r="G819" s="781"/>
      <c r="H819" s="782" t="s">
        <v>46</v>
      </c>
      <c r="I819" s="783"/>
      <c r="J819" s="783"/>
      <c r="K819" s="784"/>
      <c r="L819" s="784"/>
      <c r="M819" s="784"/>
      <c r="N819" s="784"/>
      <c r="O819" s="784"/>
      <c r="P819" s="784"/>
      <c r="Q819" s="568"/>
      <c r="R819" s="568"/>
      <c r="S819" s="568"/>
      <c r="T819" s="568"/>
      <c r="U819" s="568"/>
      <c r="V819" s="568"/>
      <c r="W819" s="568"/>
      <c r="X819" s="568"/>
      <c r="Y819" s="568"/>
      <c r="Z819" s="568"/>
    </row>
    <row r="820" spans="1:26" ht="19.5">
      <c r="A820" s="785" t="s">
        <v>332</v>
      </c>
      <c r="B820" s="786"/>
      <c r="C820" s="786"/>
      <c r="D820" s="787"/>
      <c r="E820" s="786"/>
      <c r="F820" s="786"/>
      <c r="G820" s="788"/>
      <c r="H820" s="788"/>
      <c r="I820" s="214"/>
      <c r="J820" s="214"/>
      <c r="K820" s="789"/>
      <c r="L820" s="789"/>
      <c r="M820" s="789"/>
      <c r="N820" s="789"/>
      <c r="O820" s="789"/>
      <c r="P820" s="789"/>
      <c r="Q820" s="541"/>
      <c r="R820" s="541"/>
      <c r="S820" s="541"/>
      <c r="T820" s="541"/>
      <c r="U820" s="541"/>
      <c r="V820" s="541"/>
      <c r="W820" s="541"/>
      <c r="X820" s="541"/>
      <c r="Y820" s="541"/>
      <c r="Z820" s="541"/>
    </row>
    <row r="821" spans="1:26" ht="18.75">
      <c r="A821" s="708"/>
      <c r="B821" s="727" t="s">
        <v>325</v>
      </c>
      <c r="C821" s="727"/>
      <c r="D821" s="538"/>
      <c r="E821" s="727"/>
      <c r="F821" s="727"/>
      <c r="G821" s="189"/>
      <c r="H821" s="589" t="s">
        <v>12</v>
      </c>
      <c r="I821" s="269">
        <f ca="1">IFERROR(__xludf.DUMMYFUNCTION("IMPORTRANGE(""https://docs.google.com/spreadsheets/d/19vJNZY_5yjcGF2XGBMNZRCAIB0Kwfpjp8YEOfu-bneM/edit?usp=sharing"",""งานกองทุน!D27"")"),6570000)</f>
        <v>6570000</v>
      </c>
      <c r="J821" s="269">
        <f ca="1">IFERROR(__xludf.DUMMYFUNCTION("IMPORTRANGE(""https://docs.google.com/spreadsheets/d/19vJNZY_5yjcGF2XGBMNZRCAIB0Kwfpjp8YEOfu-bneM/edit?usp=sharing"",""งานกองทุน!F27"")"),120000)</f>
        <v>120000</v>
      </c>
      <c r="K821" s="465">
        <f t="shared" ref="K821:K828" ca="1" si="334">IF(I821&gt;0,J821*100/I821,0)</f>
        <v>1.8264840182648401</v>
      </c>
      <c r="L821" s="465"/>
      <c r="M821" s="465"/>
      <c r="N821" s="465"/>
      <c r="O821" s="465"/>
      <c r="P821" s="465"/>
      <c r="Q821" s="541"/>
      <c r="R821" s="541"/>
      <c r="S821" s="541"/>
      <c r="T821" s="541"/>
      <c r="U821" s="541"/>
      <c r="V821" s="541"/>
      <c r="W821" s="541"/>
      <c r="X821" s="541"/>
      <c r="Y821" s="541"/>
      <c r="Z821" s="541"/>
    </row>
    <row r="822" spans="1:26" ht="18.75">
      <c r="A822" s="708"/>
      <c r="B822" s="727"/>
      <c r="C822" s="727"/>
      <c r="D822" s="538"/>
      <c r="E822" s="727"/>
      <c r="F822" s="727"/>
      <c r="G822" s="189"/>
      <c r="H822" s="589" t="s">
        <v>35</v>
      </c>
      <c r="I822" s="269">
        <f ca="1">IFERROR(__xludf.DUMMYFUNCTION("IMPORTRANGE(""https://docs.google.com/spreadsheets/d/19vJNZY_5yjcGF2XGBMNZRCAIB0Kwfpjp8YEOfu-bneM/edit?usp=sharing"",""งานกองทุน!C27"")"),216)</f>
        <v>216</v>
      </c>
      <c r="J822" s="269">
        <f ca="1">IFERROR(__xludf.DUMMYFUNCTION("IMPORTRANGE(""https://docs.google.com/spreadsheets/d/19vJNZY_5yjcGF2XGBMNZRCAIB0Kwfpjp8YEOfu-bneM/edit?usp=sharing"",""งานกองทุน!E27"")"),4)</f>
        <v>4</v>
      </c>
      <c r="K822" s="465">
        <f t="shared" ca="1" si="334"/>
        <v>1.8518518518518519</v>
      </c>
      <c r="L822" s="465"/>
      <c r="M822" s="465"/>
      <c r="N822" s="465"/>
      <c r="O822" s="465"/>
      <c r="P822" s="465"/>
      <c r="Q822" s="541"/>
      <c r="R822" s="541"/>
      <c r="S822" s="541"/>
      <c r="T822" s="541"/>
      <c r="U822" s="541"/>
      <c r="V822" s="541"/>
      <c r="W822" s="541"/>
      <c r="X822" s="541"/>
      <c r="Y822" s="541"/>
      <c r="Z822" s="541"/>
    </row>
    <row r="823" spans="1:26" ht="18.75">
      <c r="A823" s="708"/>
      <c r="B823" s="727" t="s">
        <v>326</v>
      </c>
      <c r="C823" s="727"/>
      <c r="D823" s="538"/>
      <c r="E823" s="727"/>
      <c r="F823" s="727"/>
      <c r="G823" s="189"/>
      <c r="H823" s="589" t="s">
        <v>12</v>
      </c>
      <c r="I823" s="269">
        <f ca="1">IFERROR(__xludf.DUMMYFUNCTION("IMPORTRANGE(""https://docs.google.com/spreadsheets/d/19vJNZY_5yjcGF2XGBMNZRCAIB0Kwfpjp8YEOfu-bneM/edit?usp=sharing"",""งานกองทุน!I27"")"),5571824.18)</f>
        <v>5571824.1799999997</v>
      </c>
      <c r="J823" s="269">
        <f ca="1">IFERROR(__xludf.DUMMYFUNCTION("IMPORTRANGE(""https://docs.google.com/spreadsheets/d/19vJNZY_5yjcGF2XGBMNZRCAIB0Kwfpjp8YEOfu-bneM/edit?usp=sharing"",""งานกองทุน!K27"")"),38672.99)</f>
        <v>38672.99</v>
      </c>
      <c r="K823" s="465">
        <f t="shared" ca="1" si="334"/>
        <v>0.69408130534370172</v>
      </c>
      <c r="L823" s="465"/>
      <c r="M823" s="465"/>
      <c r="N823" s="465"/>
      <c r="O823" s="465"/>
      <c r="P823" s="465"/>
      <c r="Q823" s="541"/>
      <c r="R823" s="541"/>
      <c r="S823" s="541"/>
      <c r="T823" s="541"/>
      <c r="U823" s="541"/>
      <c r="V823" s="541"/>
      <c r="W823" s="541"/>
      <c r="X823" s="541"/>
      <c r="Y823" s="541"/>
      <c r="Z823" s="541"/>
    </row>
    <row r="824" spans="1:26" ht="18.75">
      <c r="A824" s="708"/>
      <c r="B824" s="727"/>
      <c r="C824" s="727"/>
      <c r="D824" s="538"/>
      <c r="E824" s="727"/>
      <c r="F824" s="727"/>
      <c r="G824" s="189"/>
      <c r="H824" s="589" t="s">
        <v>35</v>
      </c>
      <c r="I824" s="269">
        <f ca="1">IFERROR(__xludf.DUMMYFUNCTION("IMPORTRANGE(""https://docs.google.com/spreadsheets/d/19vJNZY_5yjcGF2XGBMNZRCAIB0Kwfpjp8YEOfu-bneM/edit?usp=sharing"",""งานกองทุน!H27"")"),221)</f>
        <v>221</v>
      </c>
      <c r="J824" s="269">
        <f ca="1">IFERROR(__xludf.DUMMYFUNCTION("IMPORTRANGE(""https://docs.google.com/spreadsheets/d/19vJNZY_5yjcGF2XGBMNZRCAIB0Kwfpjp8YEOfu-bneM/edit?usp=sharing"",""งานกองทุน!J27"")"),11)</f>
        <v>11</v>
      </c>
      <c r="K824" s="465">
        <f t="shared" ca="1" si="334"/>
        <v>4.9773755656108598</v>
      </c>
      <c r="L824" s="465"/>
      <c r="M824" s="465"/>
      <c r="N824" s="465"/>
      <c r="O824" s="465"/>
      <c r="P824" s="465"/>
      <c r="Q824" s="541"/>
      <c r="R824" s="541"/>
      <c r="S824" s="541"/>
      <c r="T824" s="541"/>
      <c r="U824" s="541"/>
      <c r="V824" s="541"/>
      <c r="W824" s="541"/>
      <c r="X824" s="541"/>
      <c r="Y824" s="541"/>
      <c r="Z824" s="541"/>
    </row>
    <row r="825" spans="1:26" ht="18.75">
      <c r="A825" s="708"/>
      <c r="B825" s="727" t="s">
        <v>327</v>
      </c>
      <c r="C825" s="727"/>
      <c r="D825" s="538"/>
      <c r="E825" s="727"/>
      <c r="F825" s="727"/>
      <c r="G825" s="189"/>
      <c r="H825" s="589" t="s">
        <v>12</v>
      </c>
      <c r="I825" s="269">
        <f ca="1">IFERROR(__xludf.DUMMYFUNCTION("IMPORTRANGE(""https://docs.google.com/spreadsheets/d/19vJNZY_5yjcGF2XGBMNZRCAIB0Kwfpjp8YEOfu-bneM/edit?usp=sharing"",""งานกองทุน!N27"")"),3559249.29)</f>
        <v>3559249.29</v>
      </c>
      <c r="J825" s="269">
        <f ca="1">IFERROR(__xludf.DUMMYFUNCTION("IMPORTRANGE(""https://docs.google.com/spreadsheets/d/19vJNZY_5yjcGF2XGBMNZRCAIB0Kwfpjp8YEOfu-bneM/edit?usp=sharing"",""งานกองทุน!P27"")"),9368.9)</f>
        <v>9368.9</v>
      </c>
      <c r="K825" s="465">
        <f t="shared" ca="1" si="334"/>
        <v>0.26322685590814571</v>
      </c>
      <c r="L825" s="465"/>
      <c r="M825" s="465"/>
      <c r="N825" s="465"/>
      <c r="O825" s="465"/>
      <c r="P825" s="465"/>
      <c r="Q825" s="541"/>
      <c r="R825" s="541"/>
      <c r="S825" s="541"/>
      <c r="T825" s="541"/>
      <c r="U825" s="541"/>
      <c r="V825" s="541"/>
      <c r="W825" s="541"/>
      <c r="X825" s="541"/>
      <c r="Y825" s="541"/>
      <c r="Z825" s="541"/>
    </row>
    <row r="826" spans="1:26" ht="18.75">
      <c r="A826" s="708"/>
      <c r="B826" s="727"/>
      <c r="C826" s="727"/>
      <c r="D826" s="538"/>
      <c r="E826" s="727"/>
      <c r="F826" s="727"/>
      <c r="G826" s="189"/>
      <c r="H826" s="589" t="s">
        <v>35</v>
      </c>
      <c r="I826" s="269">
        <f ca="1">IFERROR(__xludf.DUMMYFUNCTION("IMPORTRANGE(""https://docs.google.com/spreadsheets/d/19vJNZY_5yjcGF2XGBMNZRCAIB0Kwfpjp8YEOfu-bneM/edit?usp=sharing"",""งานกองทุน!M27"")"),451)</f>
        <v>451</v>
      </c>
      <c r="J826" s="269">
        <f ca="1">IFERROR(__xludf.DUMMYFUNCTION("IMPORTRANGE(""https://docs.google.com/spreadsheets/d/19vJNZY_5yjcGF2XGBMNZRCAIB0Kwfpjp8YEOfu-bneM/edit?usp=sharing"",""งานกองทุน!O27"")"),12)</f>
        <v>12</v>
      </c>
      <c r="K826" s="465">
        <f t="shared" ca="1" si="334"/>
        <v>2.6607538802660753</v>
      </c>
      <c r="L826" s="465"/>
      <c r="M826" s="465"/>
      <c r="N826" s="465"/>
      <c r="O826" s="465"/>
      <c r="P826" s="465"/>
      <c r="Q826" s="541"/>
      <c r="R826" s="541"/>
      <c r="S826" s="541"/>
      <c r="T826" s="541"/>
      <c r="U826" s="541"/>
      <c r="V826" s="541"/>
      <c r="W826" s="541"/>
      <c r="X826" s="541"/>
      <c r="Y826" s="541"/>
      <c r="Z826" s="541"/>
    </row>
    <row r="827" spans="1:26" ht="18.75">
      <c r="A827" s="708"/>
      <c r="B827" s="727" t="s">
        <v>328</v>
      </c>
      <c r="C827" s="727"/>
      <c r="D827" s="538"/>
      <c r="E827" s="727"/>
      <c r="F827" s="727"/>
      <c r="G827" s="189"/>
      <c r="H827" s="589" t="s">
        <v>12</v>
      </c>
      <c r="I827" s="269">
        <f ca="1">IFERROR(__xludf.DUMMYFUNCTION("IMPORTRANGE(""https://docs.google.com/spreadsheets/d/19vJNZY_5yjcGF2XGBMNZRCAIB0Kwfpjp8YEOfu-bneM/edit?usp=sharing"",""งานกองทุน!S27"")"),9900000)</f>
        <v>9900000</v>
      </c>
      <c r="J827" s="269">
        <f ca="1">IFERROR(__xludf.DUMMYFUNCTION("IMPORTRANGE(""https://docs.google.com/spreadsheets/d/19vJNZY_5yjcGF2XGBMNZRCAIB0Kwfpjp8YEOfu-bneM/edit?usp=sharing"",""งานกองทุน!U27"")"),0)</f>
        <v>0</v>
      </c>
      <c r="K827" s="465">
        <f t="shared" ca="1" si="334"/>
        <v>0</v>
      </c>
      <c r="L827" s="465"/>
      <c r="M827" s="465"/>
      <c r="N827" s="465"/>
      <c r="O827" s="465"/>
      <c r="P827" s="465"/>
      <c r="Q827" s="541"/>
      <c r="R827" s="541"/>
      <c r="S827" s="541"/>
      <c r="T827" s="541"/>
      <c r="U827" s="541"/>
      <c r="V827" s="541"/>
      <c r="W827" s="541"/>
      <c r="X827" s="541"/>
      <c r="Y827" s="541"/>
      <c r="Z827" s="541"/>
    </row>
    <row r="828" spans="1:26" ht="18.75">
      <c r="A828" s="711"/>
      <c r="B828" s="713"/>
      <c r="C828" s="713"/>
      <c r="D828" s="712"/>
      <c r="E828" s="713"/>
      <c r="F828" s="713"/>
      <c r="G828" s="790"/>
      <c r="H828" s="791" t="s">
        <v>35</v>
      </c>
      <c r="I828" s="468">
        <f ca="1">IFERROR(__xludf.DUMMYFUNCTION("IMPORTRANGE(""https://docs.google.com/spreadsheets/d/19vJNZY_5yjcGF2XGBMNZRCAIB0Kwfpjp8YEOfu-bneM/edit?usp=sharing"",""งานกองทุน!R27"")"),396)</f>
        <v>396</v>
      </c>
      <c r="J828" s="468">
        <f ca="1">IFERROR(__xludf.DUMMYFUNCTION("IMPORTRANGE(""https://docs.google.com/spreadsheets/d/19vJNZY_5yjcGF2XGBMNZRCAIB0Kwfpjp8YEOfu-bneM/edit?usp=sharing"",""งานกองทุน!T27"")"),14)</f>
        <v>14</v>
      </c>
      <c r="K828" s="469">
        <f t="shared" ca="1" si="334"/>
        <v>3.5353535353535355</v>
      </c>
      <c r="L828" s="469"/>
      <c r="M828" s="469"/>
      <c r="N828" s="469"/>
      <c r="O828" s="469"/>
      <c r="P828" s="469"/>
      <c r="Q828" s="541"/>
      <c r="R828" s="541"/>
      <c r="S828" s="541"/>
      <c r="T828" s="541"/>
      <c r="U828" s="541"/>
      <c r="V828" s="541"/>
      <c r="W828" s="541"/>
      <c r="X828" s="541"/>
      <c r="Y828" s="541"/>
      <c r="Z828" s="541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2" fitToHeight="0" pageOrder="overThenDown" orientation="portrait" cellComments="atEnd" r:id="rId1"/>
  <headerFooter>
    <oddFooter>&amp;Cหน้า &amp;P/&amp;N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F8CD57-72CC-43C1-B158-DF8EBB4B2BB3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activeCell="S28" sqref="S28"/>
      <selection pane="bottomLeft" activeCell="S28" sqref="S28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9" width="16.85546875" bestFit="1" customWidth="1"/>
    <col min="10" max="10" width="14.42578125" bestFit="1" customWidth="1"/>
    <col min="11" max="11" width="12.5703125" customWidth="1"/>
    <col min="12" max="13" width="21.28515625" bestFit="1" customWidth="1"/>
    <col min="14" max="14" width="18.7109375" bestFit="1" customWidth="1"/>
    <col min="15" max="15" width="20.140625" bestFit="1" customWidth="1"/>
    <col min="16" max="16" width="22" bestFit="1" customWidth="1"/>
  </cols>
  <sheetData>
    <row r="1" spans="1:26" ht="19.5">
      <c r="A1" s="792" t="s">
        <v>0</v>
      </c>
      <c r="B1" s="793"/>
      <c r="C1" s="793"/>
      <c r="D1" s="793"/>
      <c r="E1" s="793"/>
      <c r="F1" s="793"/>
      <c r="G1" s="793"/>
      <c r="H1" s="793"/>
      <c r="I1" s="793"/>
      <c r="J1" s="793"/>
      <c r="K1" s="793"/>
      <c r="L1" s="793"/>
      <c r="M1" s="793"/>
      <c r="N1" s="793"/>
      <c r="O1" s="793"/>
      <c r="P1" s="793"/>
    </row>
    <row r="2" spans="1:26" ht="19.5">
      <c r="A2" s="792" t="s">
        <v>352</v>
      </c>
      <c r="B2" s="793"/>
      <c r="C2" s="793"/>
      <c r="D2" s="793"/>
      <c r="E2" s="793"/>
      <c r="F2" s="793"/>
      <c r="G2" s="793"/>
      <c r="H2" s="793"/>
      <c r="I2" s="793"/>
      <c r="J2" s="793"/>
      <c r="K2" s="793"/>
      <c r="L2" s="793"/>
      <c r="M2" s="793"/>
      <c r="N2" s="793"/>
      <c r="O2" s="793"/>
      <c r="P2" s="793"/>
    </row>
    <row r="3" spans="1:26" ht="19.5">
      <c r="A3" s="792" t="s">
        <v>355</v>
      </c>
      <c r="B3" s="793"/>
      <c r="C3" s="793"/>
      <c r="D3" s="793"/>
      <c r="E3" s="793"/>
      <c r="F3" s="793"/>
      <c r="G3" s="793"/>
      <c r="H3" s="793"/>
      <c r="I3" s="793"/>
      <c r="J3" s="793"/>
      <c r="K3" s="793"/>
      <c r="L3" s="793"/>
      <c r="M3" s="793"/>
      <c r="N3" s="793"/>
      <c r="O3" s="793"/>
      <c r="P3" s="793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00" t="s">
        <v>2</v>
      </c>
      <c r="B5" s="793"/>
      <c r="C5" s="793"/>
      <c r="D5" s="793"/>
      <c r="E5" s="793"/>
      <c r="F5" s="793"/>
      <c r="G5" s="801"/>
      <c r="H5" s="794" t="s">
        <v>3</v>
      </c>
      <c r="I5" s="796" t="s">
        <v>4</v>
      </c>
      <c r="J5" s="797"/>
      <c r="K5" s="795"/>
      <c r="L5" s="798" t="s">
        <v>5</v>
      </c>
      <c r="M5" s="795"/>
      <c r="N5" s="799" t="s">
        <v>6</v>
      </c>
      <c r="O5" s="797"/>
      <c r="P5" s="795"/>
    </row>
    <row r="6" spans="1:26" ht="19.5">
      <c r="A6" s="802"/>
      <c r="B6" s="797"/>
      <c r="C6" s="797"/>
      <c r="D6" s="797"/>
      <c r="E6" s="797"/>
      <c r="F6" s="797"/>
      <c r="G6" s="795"/>
      <c r="H6" s="795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03" t="s">
        <v>15</v>
      </c>
      <c r="B7" s="797"/>
      <c r="C7" s="797"/>
      <c r="D7" s="797"/>
      <c r="E7" s="797"/>
      <c r="F7" s="797"/>
      <c r="G7" s="795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6447644</v>
      </c>
      <c r="M8" s="22">
        <f t="shared" ca="1" si="0"/>
        <v>2559355</v>
      </c>
      <c r="N8" s="22">
        <f t="shared" ca="1" si="0"/>
        <v>820966.76</v>
      </c>
      <c r="O8" s="22">
        <f t="shared" ref="O8:O16" ca="1" si="1">IF(L8&gt;0,N8*100/L8,0)</f>
        <v>12.732817754826414</v>
      </c>
      <c r="P8" s="22">
        <f t="shared" ref="P8:P16" ca="1" si="2">IF(M8&gt;0,N8*100/M8,0)</f>
        <v>32.07709598707487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6447644</v>
      </c>
      <c r="M10" s="30">
        <f t="shared" ca="1" si="3"/>
        <v>2559355</v>
      </c>
      <c r="N10" s="30">
        <f t="shared" ca="1" si="3"/>
        <v>820966.76</v>
      </c>
      <c r="O10" s="30">
        <f t="shared" ca="1" si="1"/>
        <v>12.732817754826414</v>
      </c>
      <c r="P10" s="30">
        <f t="shared" ca="1" si="2"/>
        <v>32.07709598707487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589" t="s">
        <v>12</v>
      </c>
      <c r="I11" s="269"/>
      <c r="J11" s="269"/>
      <c r="K11" s="465"/>
      <c r="L11" s="465">
        <f t="shared" ref="L11:N11" ca="1" si="4">L12+L13</f>
        <v>6104544</v>
      </c>
      <c r="M11" s="465">
        <f t="shared" ca="1" si="4"/>
        <v>2216255</v>
      </c>
      <c r="N11" s="465">
        <f t="shared" ca="1" si="4"/>
        <v>575716.76</v>
      </c>
      <c r="O11" s="465">
        <f t="shared" ca="1" si="1"/>
        <v>9.4309543841440089</v>
      </c>
      <c r="P11" s="465">
        <f t="shared" ca="1" si="2"/>
        <v>25.977008963318752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2" t="s">
        <v>18</v>
      </c>
      <c r="F12" s="40"/>
      <c r="G12" s="42"/>
      <c r="H12" s="43" t="s">
        <v>12</v>
      </c>
      <c r="I12" s="583"/>
      <c r="J12" s="583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2" t="s">
        <v>19</v>
      </c>
      <c r="F13" s="40"/>
      <c r="G13" s="42"/>
      <c r="H13" s="43" t="s">
        <v>12</v>
      </c>
      <c r="I13" s="583"/>
      <c r="J13" s="583"/>
      <c r="K13" s="93"/>
      <c r="L13" s="93">
        <f t="shared" ca="1" si="5"/>
        <v>6104544</v>
      </c>
      <c r="M13" s="93">
        <f t="shared" ca="1" si="5"/>
        <v>2216255</v>
      </c>
      <c r="N13" s="93">
        <f t="shared" ca="1" si="5"/>
        <v>575716.76</v>
      </c>
      <c r="O13" s="93">
        <f t="shared" ca="1" si="1"/>
        <v>9.4309543841440089</v>
      </c>
      <c r="P13" s="93">
        <f t="shared" ca="1" si="2"/>
        <v>25.977008963318752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589" t="s">
        <v>12</v>
      </c>
      <c r="I14" s="269"/>
      <c r="J14" s="269"/>
      <c r="K14" s="465"/>
      <c r="L14" s="465">
        <f t="shared" ref="L14:N14" ca="1" si="6">L15+L16</f>
        <v>343100</v>
      </c>
      <c r="M14" s="465">
        <f t="shared" ca="1" si="6"/>
        <v>343100</v>
      </c>
      <c r="N14" s="465">
        <f t="shared" ca="1" si="6"/>
        <v>245250</v>
      </c>
      <c r="O14" s="465">
        <f t="shared" ca="1" si="1"/>
        <v>71.480617895657247</v>
      </c>
      <c r="P14" s="465">
        <f t="shared" ca="1" si="2"/>
        <v>71.480617895657247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2" t="s">
        <v>18</v>
      </c>
      <c r="F15" s="40"/>
      <c r="G15" s="42"/>
      <c r="H15" s="43" t="s">
        <v>12</v>
      </c>
      <c r="I15" s="583"/>
      <c r="J15" s="583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343100</v>
      </c>
      <c r="M16" s="52">
        <f t="shared" ca="1" si="7"/>
        <v>343100</v>
      </c>
      <c r="N16" s="52">
        <f t="shared" ca="1" si="7"/>
        <v>245250</v>
      </c>
      <c r="O16" s="52">
        <f t="shared" ca="1" si="1"/>
        <v>71.480617895657247</v>
      </c>
      <c r="P16" s="52">
        <f t="shared" ca="1" si="2"/>
        <v>71.480617895657247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03" t="s">
        <v>22</v>
      </c>
      <c r="B17" s="797"/>
      <c r="C17" s="797"/>
      <c r="D17" s="797"/>
      <c r="E17" s="797"/>
      <c r="F17" s="797"/>
      <c r="G17" s="795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4393145</v>
      </c>
      <c r="M18" s="22">
        <f t="shared" ca="1" si="8"/>
        <v>2559355</v>
      </c>
      <c r="N18" s="22">
        <f t="shared" ca="1" si="8"/>
        <v>820966.76</v>
      </c>
      <c r="O18" s="22">
        <f t="shared" ref="O18:O26" ca="1" si="9">IF(L18&gt;0,N18*100/L18,0)</f>
        <v>18.687449651673234</v>
      </c>
      <c r="P18" s="22">
        <f t="shared" ref="P18:P26" ca="1" si="10">IF(M18&gt;0,N18*100/M18,0)</f>
        <v>32.07709598707487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4393145</v>
      </c>
      <c r="M20" s="30">
        <f t="shared" ca="1" si="11"/>
        <v>2559355</v>
      </c>
      <c r="N20" s="30">
        <f t="shared" ca="1" si="11"/>
        <v>820966.76</v>
      </c>
      <c r="O20" s="30">
        <f t="shared" ca="1" si="9"/>
        <v>18.687449651673234</v>
      </c>
      <c r="P20" s="30">
        <f t="shared" ca="1" si="10"/>
        <v>32.07709598707487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589" t="s">
        <v>12</v>
      </c>
      <c r="I21" s="269"/>
      <c r="J21" s="269"/>
      <c r="K21" s="465"/>
      <c r="L21" s="465">
        <f t="shared" ref="L21:N21" ca="1" si="12">L22+L23</f>
        <v>4050045</v>
      </c>
      <c r="M21" s="465">
        <f t="shared" ca="1" si="12"/>
        <v>2216255</v>
      </c>
      <c r="N21" s="465">
        <f t="shared" ca="1" si="12"/>
        <v>575716.76</v>
      </c>
      <c r="O21" s="465">
        <f t="shared" ca="1" si="9"/>
        <v>14.215070696745345</v>
      </c>
      <c r="P21" s="465">
        <f t="shared" ca="1" si="10"/>
        <v>25.977008963318752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2" t="s">
        <v>18</v>
      </c>
      <c r="F22" s="40"/>
      <c r="G22" s="42"/>
      <c r="H22" s="43" t="s">
        <v>12</v>
      </c>
      <c r="I22" s="583"/>
      <c r="J22" s="583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2" t="s">
        <v>19</v>
      </c>
      <c r="F23" s="40"/>
      <c r="G23" s="42"/>
      <c r="H23" s="43" t="s">
        <v>12</v>
      </c>
      <c r="I23" s="583"/>
      <c r="J23" s="583"/>
      <c r="K23" s="93"/>
      <c r="L23" s="93">
        <f t="shared" ca="1" si="13"/>
        <v>4050045</v>
      </c>
      <c r="M23" s="93">
        <f t="shared" ca="1" si="13"/>
        <v>2216255</v>
      </c>
      <c r="N23" s="93">
        <f t="shared" ca="1" si="13"/>
        <v>575716.76</v>
      </c>
      <c r="O23" s="93">
        <f t="shared" ca="1" si="9"/>
        <v>14.215070696745345</v>
      </c>
      <c r="P23" s="93">
        <f t="shared" ca="1" si="10"/>
        <v>25.977008963318752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589" t="s">
        <v>12</v>
      </c>
      <c r="I24" s="269"/>
      <c r="J24" s="269"/>
      <c r="K24" s="465"/>
      <c r="L24" s="465">
        <f t="shared" ref="L24:N24" ca="1" si="14">L25+L26</f>
        <v>343100</v>
      </c>
      <c r="M24" s="465">
        <f t="shared" ca="1" si="14"/>
        <v>343100</v>
      </c>
      <c r="N24" s="465">
        <f t="shared" ca="1" si="14"/>
        <v>245250</v>
      </c>
      <c r="O24" s="465">
        <f t="shared" ca="1" si="9"/>
        <v>71.480617895657247</v>
      </c>
      <c r="P24" s="465">
        <f t="shared" ca="1" si="10"/>
        <v>71.480617895657247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2" t="s">
        <v>18</v>
      </c>
      <c r="F25" s="40"/>
      <c r="G25" s="42"/>
      <c r="H25" s="43" t="s">
        <v>12</v>
      </c>
      <c r="I25" s="583"/>
      <c r="J25" s="583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343100</v>
      </c>
      <c r="M26" s="52">
        <f t="shared" ca="1" si="15"/>
        <v>343100</v>
      </c>
      <c r="N26" s="52">
        <f t="shared" ca="1" si="15"/>
        <v>245250</v>
      </c>
      <c r="O26" s="52">
        <f t="shared" ca="1" si="9"/>
        <v>71.480617895657247</v>
      </c>
      <c r="P26" s="52">
        <f t="shared" ca="1" si="10"/>
        <v>71.480617895657247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03" t="s">
        <v>23</v>
      </c>
      <c r="B27" s="797"/>
      <c r="C27" s="797"/>
      <c r="D27" s="797"/>
      <c r="E27" s="797"/>
      <c r="F27" s="797"/>
      <c r="G27" s="795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2054499</v>
      </c>
      <c r="M28" s="22">
        <f t="shared" si="16"/>
        <v>0</v>
      </c>
      <c r="N28" s="22">
        <f t="shared" si="16"/>
        <v>0</v>
      </c>
      <c r="O28" s="22">
        <f t="shared" ref="O28:O37" ca="1" si="17">IF(L28&gt;0,N28*100/L28,0)</f>
        <v>0</v>
      </c>
      <c r="P28" s="22">
        <f t="shared" ref="P28:P37" si="18">IF(M28&gt;0,N28*100/M28,0)</f>
        <v>0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2054499</v>
      </c>
      <c r="M30" s="30">
        <f t="shared" si="19"/>
        <v>0</v>
      </c>
      <c r="N30" s="30">
        <f t="shared" si="19"/>
        <v>0</v>
      </c>
      <c r="O30" s="30">
        <f t="shared" ca="1" si="17"/>
        <v>0</v>
      </c>
      <c r="P30" s="30">
        <f t="shared" si="18"/>
        <v>0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589" t="s">
        <v>12</v>
      </c>
      <c r="I31" s="269"/>
      <c r="J31" s="269"/>
      <c r="K31" s="465"/>
      <c r="L31" s="465">
        <f t="shared" ref="L31:N31" ca="1" si="20">L32+L33</f>
        <v>2054499</v>
      </c>
      <c r="M31" s="465">
        <f t="shared" si="20"/>
        <v>0</v>
      </c>
      <c r="N31" s="465">
        <f t="shared" si="20"/>
        <v>0</v>
      </c>
      <c r="O31" s="465">
        <f t="shared" ca="1" si="17"/>
        <v>0</v>
      </c>
      <c r="P31" s="465">
        <f t="shared" si="18"/>
        <v>0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2" t="s">
        <v>18</v>
      </c>
      <c r="F32" s="40"/>
      <c r="G32" s="42"/>
      <c r="H32" s="43" t="s">
        <v>12</v>
      </c>
      <c r="I32" s="583"/>
      <c r="J32" s="583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2" t="s">
        <v>19</v>
      </c>
      <c r="F33" s="40"/>
      <c r="G33" s="42"/>
      <c r="H33" s="43" t="s">
        <v>12</v>
      </c>
      <c r="I33" s="583"/>
      <c r="J33" s="583"/>
      <c r="K33" s="93"/>
      <c r="L33" s="93">
        <f t="shared" ca="1" si="21"/>
        <v>2054499</v>
      </c>
      <c r="M33" s="93">
        <f t="shared" si="21"/>
        <v>0</v>
      </c>
      <c r="N33" s="93">
        <f t="shared" si="21"/>
        <v>0</v>
      </c>
      <c r="O33" s="93">
        <f t="shared" ca="1" si="17"/>
        <v>0</v>
      </c>
      <c r="P33" s="93">
        <f t="shared" si="18"/>
        <v>0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589" t="s">
        <v>12</v>
      </c>
      <c r="I34" s="269"/>
      <c r="J34" s="269"/>
      <c r="K34" s="465"/>
      <c r="L34" s="465">
        <f t="shared" ref="L34:N34" ca="1" si="22">L35+L36</f>
        <v>0</v>
      </c>
      <c r="M34" s="465">
        <f t="shared" si="22"/>
        <v>0</v>
      </c>
      <c r="N34" s="465">
        <f t="shared" si="22"/>
        <v>0</v>
      </c>
      <c r="O34" s="465">
        <f t="shared" ca="1" si="17"/>
        <v>0</v>
      </c>
      <c r="P34" s="465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2" t="s">
        <v>18</v>
      </c>
      <c r="F35" s="40"/>
      <c r="G35" s="42"/>
      <c r="H35" s="43" t="s">
        <v>12</v>
      </c>
      <c r="I35" s="583"/>
      <c r="J35" s="583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53" t="s">
        <v>24</v>
      </c>
      <c r="B37" s="54"/>
      <c r="C37" s="54"/>
      <c r="D37" s="54"/>
      <c r="E37" s="54"/>
      <c r="F37" s="54"/>
      <c r="G37" s="55"/>
      <c r="H37" s="56"/>
      <c r="I37" s="392"/>
      <c r="J37" s="392"/>
      <c r="K37" s="58"/>
      <c r="L37" s="59">
        <f t="shared" ref="L37:N37" ca="1" si="24">L41+L53+L66+L88+L119+L132+L149+L165+L181+L261+L277+L298+L315+L328+L345+L389+L402</f>
        <v>4393145</v>
      </c>
      <c r="M37" s="59">
        <f t="shared" ca="1" si="24"/>
        <v>2559355</v>
      </c>
      <c r="N37" s="59">
        <f t="shared" ca="1" si="24"/>
        <v>820966.76</v>
      </c>
      <c r="O37" s="59">
        <f t="shared" ca="1" si="17"/>
        <v>18.687449651673234</v>
      </c>
      <c r="P37" s="59">
        <f t="shared" ca="1" si="18"/>
        <v>32.07709598707487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04" t="s">
        <v>27</v>
      </c>
      <c r="C40" s="805"/>
      <c r="D40" s="805"/>
      <c r="E40" s="805"/>
      <c r="F40" s="805"/>
      <c r="G40" s="806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15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548300</v>
      </c>
      <c r="M41" s="85">
        <f t="shared" ca="1" si="25"/>
        <v>276850</v>
      </c>
      <c r="N41" s="85">
        <f t="shared" ca="1" si="25"/>
        <v>144394</v>
      </c>
      <c r="O41" s="85">
        <f t="shared" ref="O41:O49" ca="1" si="26">IF(L41&gt;0,N41*100/L41,0)</f>
        <v>26.334853182564288</v>
      </c>
      <c r="P41" s="85">
        <f t="shared" ref="P41:P49" ca="1" si="27">IF(M41&gt;0,N41*100/M41,0)</f>
        <v>52.156041177532963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548300</v>
      </c>
      <c r="M43" s="92">
        <f t="shared" ca="1" si="28"/>
        <v>276850</v>
      </c>
      <c r="N43" s="92">
        <f t="shared" ca="1" si="28"/>
        <v>144394</v>
      </c>
      <c r="O43" s="92">
        <f t="shared" ca="1" si="26"/>
        <v>26.334853182564288</v>
      </c>
      <c r="P43" s="92">
        <f t="shared" ca="1" si="27"/>
        <v>52.156041177532963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589" t="s">
        <v>12</v>
      </c>
      <c r="I44" s="269"/>
      <c r="J44" s="269"/>
      <c r="K44" s="465"/>
      <c r="L44" s="465">
        <f t="shared" ref="L44:N44" ca="1" si="29">L45+L46</f>
        <v>548300</v>
      </c>
      <c r="M44" s="465">
        <f t="shared" ca="1" si="29"/>
        <v>276850</v>
      </c>
      <c r="N44" s="465">
        <f t="shared" ca="1" si="29"/>
        <v>144394</v>
      </c>
      <c r="O44" s="465">
        <f t="shared" ca="1" si="26"/>
        <v>26.334853182564288</v>
      </c>
      <c r="P44" s="465">
        <f t="shared" ca="1" si="27"/>
        <v>52.156041177532963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2" t="s">
        <v>18</v>
      </c>
      <c r="F45" s="40"/>
      <c r="G45" s="42"/>
      <c r="H45" s="43" t="s">
        <v>12</v>
      </c>
      <c r="I45" s="583"/>
      <c r="J45" s="583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2" t="s">
        <v>19</v>
      </c>
      <c r="F46" s="40"/>
      <c r="G46" s="42"/>
      <c r="H46" s="43" t="s">
        <v>12</v>
      </c>
      <c r="I46" s="583"/>
      <c r="J46" s="583"/>
      <c r="K46" s="93"/>
      <c r="L46" s="93">
        <f ca="1">IFERROR(__xludf.DUMMYFUNCTION("IMPORTRANGE(""https://docs.google.com/spreadsheets/d/1MeEWN-I1oV_STSDYn1IFDPWt_1FKiwhDph83XaGc0o0/edit?usp=sharing"",""งบพรบ!M28"")"),548300)</f>
        <v>548300</v>
      </c>
      <c r="M46" s="93">
        <f ca="1">IFERROR(__xludf.DUMMYFUNCTION("IMPORTRANGE(""https://docs.google.com/spreadsheets/d/1MeEWN-I1oV_STSDYn1IFDPWt_1FKiwhDph83XaGc0o0/edit?usp=sharing"",""งบพรบ!R28"")"),276850)</f>
        <v>276850</v>
      </c>
      <c r="N46" s="93">
        <f ca="1">IFERROR(__xludf.DUMMYFUNCTION("IMPORTRANGE(""https://docs.google.com/spreadsheets/d/1MeEWN-I1oV_STSDYn1IFDPWt_1FKiwhDph83XaGc0o0/edit?usp=sharing"",""งบพรบ!T28"")"),144394)</f>
        <v>144394</v>
      </c>
      <c r="O46" s="93">
        <f t="shared" ca="1" si="26"/>
        <v>26.334853182564288</v>
      </c>
      <c r="P46" s="93">
        <f t="shared" ca="1" si="27"/>
        <v>52.156041177532963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589" t="s">
        <v>12</v>
      </c>
      <c r="I47" s="269"/>
      <c r="J47" s="269"/>
      <c r="K47" s="465"/>
      <c r="L47" s="465">
        <f t="shared" ref="L47:N47" ca="1" si="30">L48+L49</f>
        <v>0</v>
      </c>
      <c r="M47" s="465">
        <f t="shared" ca="1" si="30"/>
        <v>0</v>
      </c>
      <c r="N47" s="465">
        <f t="shared" ca="1" si="30"/>
        <v>0</v>
      </c>
      <c r="O47" s="465">
        <f t="shared" ca="1" si="26"/>
        <v>0</v>
      </c>
      <c r="P47" s="465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2" t="s">
        <v>18</v>
      </c>
      <c r="F48" s="40"/>
      <c r="G48" s="42"/>
      <c r="H48" s="43" t="s">
        <v>12</v>
      </c>
      <c r="I48" s="583"/>
      <c r="J48" s="583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IFERROR(__xludf.DUMMYFUNCTION("IMPORTRANGE(""https://docs.google.com/spreadsheets/d/1MeEWN-I1oV_STSDYn1IFDPWt_1FKiwhDph83XaGc0o0/edit?usp=sharing"",""งบพรบ!P28"")"),0)</f>
        <v>0</v>
      </c>
      <c r="M49" s="52">
        <f ca="1">IFERROR(__xludf.DUMMYFUNCTION("IMPORTRANGE(""https://docs.google.com/spreadsheets/d/1MeEWN-I1oV_STSDYn1IFDPWt_1FKiwhDph83XaGc0o0/edit?usp=sharing"",""งบพรบ!S28"")"),0)</f>
        <v>0</v>
      </c>
      <c r="N49" s="52">
        <f ca="1">IFERROR(__xludf.DUMMYFUNCTION("IMPORTRANGE(""https://docs.google.com/spreadsheets/d/1MeEWN-I1oV_STSDYn1IFDPWt_1FKiwhDph83XaGc0o0/edit?usp=sharing"",""งบพรบ!U28"")"),0)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07" t="s">
        <v>28</v>
      </c>
      <c r="B50" s="797"/>
      <c r="C50" s="797"/>
      <c r="D50" s="797"/>
      <c r="E50" s="797"/>
      <c r="F50" s="797"/>
      <c r="G50" s="795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08" t="s">
        <v>29</v>
      </c>
      <c r="C51" s="805"/>
      <c r="D51" s="805"/>
      <c r="E51" s="805"/>
      <c r="F51" s="805"/>
      <c r="G51" s="806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16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753200</v>
      </c>
      <c r="M53" s="116">
        <f t="shared" ca="1" si="31"/>
        <v>406600</v>
      </c>
      <c r="N53" s="116">
        <f t="shared" ca="1" si="31"/>
        <v>148204.64000000001</v>
      </c>
      <c r="O53" s="116">
        <f t="shared" ref="O53:O61" ca="1" si="32">IF(L53&gt;0,N53*100/L53,0)</f>
        <v>19.676664896441849</v>
      </c>
      <c r="P53" s="116">
        <f t="shared" ref="P53:P61" ca="1" si="33">IF(M53&gt;0,N53*100/M53,0)</f>
        <v>36.449739301524843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753200</v>
      </c>
      <c r="M55" s="123">
        <f t="shared" ca="1" si="34"/>
        <v>406600</v>
      </c>
      <c r="N55" s="123">
        <f t="shared" ca="1" si="34"/>
        <v>148204.64000000001</v>
      </c>
      <c r="O55" s="123">
        <f t="shared" ca="1" si="32"/>
        <v>19.676664896441849</v>
      </c>
      <c r="P55" s="123">
        <f t="shared" ca="1" si="33"/>
        <v>36.449739301524843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589" t="s">
        <v>12</v>
      </c>
      <c r="I56" s="269"/>
      <c r="J56" s="269"/>
      <c r="K56" s="465"/>
      <c r="L56" s="465">
        <f t="shared" ref="L56:N56" ca="1" si="35">L57+L58</f>
        <v>753200</v>
      </c>
      <c r="M56" s="465">
        <f t="shared" ca="1" si="35"/>
        <v>406600</v>
      </c>
      <c r="N56" s="465">
        <f t="shared" ca="1" si="35"/>
        <v>148204.64000000001</v>
      </c>
      <c r="O56" s="465">
        <f t="shared" ca="1" si="32"/>
        <v>19.676664896441849</v>
      </c>
      <c r="P56" s="465">
        <f t="shared" ca="1" si="33"/>
        <v>36.449739301524843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2" t="s">
        <v>18</v>
      </c>
      <c r="F57" s="40"/>
      <c r="G57" s="42"/>
      <c r="H57" s="43" t="s">
        <v>12</v>
      </c>
      <c r="I57" s="583"/>
      <c r="J57" s="583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2" t="s">
        <v>19</v>
      </c>
      <c r="F58" s="40"/>
      <c r="G58" s="42"/>
      <c r="H58" s="43" t="s">
        <v>12</v>
      </c>
      <c r="I58" s="583"/>
      <c r="J58" s="583"/>
      <c r="K58" s="93"/>
      <c r="L58" s="93">
        <f ca="1">IFERROR(__xludf.DUMMYFUNCTION("IMPORTRANGE(""https://docs.google.com/spreadsheets/d/1MeEWN-I1oV_STSDYn1IFDPWt_1FKiwhDph83XaGc0o0/edit?usp=sharing"",""งบพรบ!W28"")"),753200)</f>
        <v>753200</v>
      </c>
      <c r="M58" s="93">
        <f ca="1">IFERROR(__xludf.DUMMYFUNCTION("IMPORTRANGE(""https://docs.google.com/spreadsheets/d/1MeEWN-I1oV_STSDYn1IFDPWt_1FKiwhDph83XaGc0o0/edit?usp=sharing"",""งบพรบ!AB28"")"),406600)</f>
        <v>406600</v>
      </c>
      <c r="N58" s="93">
        <f ca="1">IFERROR(__xludf.DUMMYFUNCTION("IMPORTRANGE(""https://docs.google.com/spreadsheets/d/1MeEWN-I1oV_STSDYn1IFDPWt_1FKiwhDph83XaGc0o0/edit?usp=sharing"",""งบพรบ!AD28"")"),148204.64)</f>
        <v>148204.64000000001</v>
      </c>
      <c r="O58" s="93">
        <f t="shared" ca="1" si="32"/>
        <v>19.676664896441849</v>
      </c>
      <c r="P58" s="93">
        <f t="shared" ca="1" si="33"/>
        <v>36.449739301524843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589" t="s">
        <v>12</v>
      </c>
      <c r="I59" s="269"/>
      <c r="J59" s="269"/>
      <c r="K59" s="465"/>
      <c r="L59" s="465">
        <f t="shared" ref="L59:N59" ca="1" si="36">L60+L61</f>
        <v>0</v>
      </c>
      <c r="M59" s="465">
        <f t="shared" ca="1" si="36"/>
        <v>0</v>
      </c>
      <c r="N59" s="465">
        <f t="shared" ca="1" si="36"/>
        <v>0</v>
      </c>
      <c r="O59" s="465">
        <f t="shared" ca="1" si="32"/>
        <v>0</v>
      </c>
      <c r="P59" s="465">
        <f t="shared" ca="1" si="33"/>
        <v>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2" t="s">
        <v>18</v>
      </c>
      <c r="F60" s="40"/>
      <c r="G60" s="42"/>
      <c r="H60" s="43" t="s">
        <v>12</v>
      </c>
      <c r="I60" s="583"/>
      <c r="J60" s="583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IFERROR(__xludf.DUMMYFUNCTION("IMPORTRANGE(""https://docs.google.com/spreadsheets/d/1MeEWN-I1oV_STSDYn1IFDPWt_1FKiwhDph83XaGc0o0/edit?usp=sharing"",""งบพรบ!Z28"")"),0)</f>
        <v>0</v>
      </c>
      <c r="M61" s="52">
        <f ca="1">IFERROR(__xludf.DUMMYFUNCTION("IMPORTRANGE(""https://docs.google.com/spreadsheets/d/1MeEWN-I1oV_STSDYn1IFDPWt_1FKiwhDph83XaGc0o0/edit?usp=sharing"",""งบพรบ!AC28"")"),0)</f>
        <v>0</v>
      </c>
      <c r="N61" s="52">
        <f ca="1">IFERROR(__xludf.DUMMYFUNCTION("IMPORTRANGE(""https://docs.google.com/spreadsheets/d/1MeEWN-I1oV_STSDYn1IFDPWt_1FKiwhDph83XaGc0o0/edit?usp=sharing"",""งบพรบ!AE28"")"),0)</f>
        <v>0</v>
      </c>
      <c r="O61" s="52">
        <f t="shared" ca="1" si="32"/>
        <v>0</v>
      </c>
      <c r="P61" s="52">
        <f t="shared" ca="1" si="33"/>
        <v>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>
      <c r="A64" s="138"/>
      <c r="B64" s="208" t="s">
        <v>33</v>
      </c>
      <c r="C64" s="140"/>
      <c r="D64" s="141"/>
      <c r="E64" s="140"/>
      <c r="F64" s="140"/>
      <c r="G64" s="142"/>
      <c r="H64" s="143" t="s">
        <v>34</v>
      </c>
      <c r="I64" s="144">
        <f t="shared" ref="I64:J65" ca="1" si="37">I76</f>
        <v>2</v>
      </c>
      <c r="J64" s="144">
        <f t="shared" si="37"/>
        <v>0</v>
      </c>
      <c r="K64" s="145">
        <f t="shared" ref="K64:K65" ca="1" si="38">IF(I64&gt;0,J64*100/I64,0)</f>
        <v>0</v>
      </c>
      <c r="L64" s="146"/>
      <c r="M64" s="146"/>
      <c r="N64" s="146"/>
      <c r="O64" s="146"/>
      <c r="P64" s="146"/>
    </row>
    <row r="65" spans="1:26" ht="19.5">
      <c r="A65" s="138"/>
      <c r="B65" s="140"/>
      <c r="C65" s="140"/>
      <c r="D65" s="141"/>
      <c r="E65" s="140"/>
      <c r="F65" s="140"/>
      <c r="G65" s="142"/>
      <c r="H65" s="143" t="s">
        <v>35</v>
      </c>
      <c r="I65" s="144">
        <f t="shared" ca="1" si="37"/>
        <v>105</v>
      </c>
      <c r="J65" s="144">
        <f t="shared" si="37"/>
        <v>0</v>
      </c>
      <c r="K65" s="145">
        <f t="shared" ca="1" si="38"/>
        <v>0</v>
      </c>
      <c r="L65" s="146"/>
      <c r="M65" s="146"/>
      <c r="N65" s="146"/>
      <c r="O65" s="146"/>
      <c r="P65" s="146"/>
    </row>
    <row r="66" spans="1:26" ht="19.5">
      <c r="A66" s="147"/>
      <c r="B66" s="148"/>
      <c r="C66" s="149" t="s">
        <v>16</v>
      </c>
      <c r="D66" s="817" t="s">
        <v>17</v>
      </c>
      <c r="E66" s="148"/>
      <c r="F66" s="148"/>
      <c r="G66" s="151"/>
      <c r="H66" s="152" t="s">
        <v>12</v>
      </c>
      <c r="I66" s="388"/>
      <c r="J66" s="388"/>
      <c r="K66" s="154"/>
      <c r="L66" s="155">
        <f t="shared" ref="L66:N66" ca="1" si="39">L67+L68</f>
        <v>1493400</v>
      </c>
      <c r="M66" s="155">
        <f t="shared" ca="1" si="39"/>
        <v>727700</v>
      </c>
      <c r="N66" s="155">
        <f t="shared" ca="1" si="39"/>
        <v>144896.13</v>
      </c>
      <c r="O66" s="155">
        <f t="shared" ref="O66:O74" ca="1" si="40">IF(L66&gt;0,N66*100/L66,0)</f>
        <v>9.7024327038971467</v>
      </c>
      <c r="P66" s="155">
        <f t="shared" ref="P66:P74" ca="1" si="41">IF(M66&gt;0,N66*100/M66,0)</f>
        <v>19.911519857083963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2" t="s">
        <v>18</v>
      </c>
      <c r="F67" s="40"/>
      <c r="G67" s="157"/>
      <c r="H67" s="158" t="s">
        <v>12</v>
      </c>
      <c r="I67" s="583"/>
      <c r="J67" s="583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2" t="s">
        <v>19</v>
      </c>
      <c r="F68" s="40"/>
      <c r="G68" s="157"/>
      <c r="H68" s="158" t="s">
        <v>12</v>
      </c>
      <c r="I68" s="583"/>
      <c r="J68" s="583"/>
      <c r="K68" s="93"/>
      <c r="L68" s="93">
        <f t="shared" ca="1" si="42"/>
        <v>1493400</v>
      </c>
      <c r="M68" s="93">
        <f t="shared" ca="1" si="42"/>
        <v>727700</v>
      </c>
      <c r="N68" s="93">
        <f t="shared" ca="1" si="42"/>
        <v>144896.13</v>
      </c>
      <c r="O68" s="93">
        <f t="shared" ca="1" si="40"/>
        <v>9.7024327038971467</v>
      </c>
      <c r="P68" s="93">
        <f t="shared" ca="1" si="41"/>
        <v>19.911519857083963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>
      <c r="A69" s="159"/>
      <c r="B69" s="33"/>
      <c r="C69" s="281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65">
        <f t="shared" ref="L69:N69" ca="1" si="43">L70+L71</f>
        <v>1493400</v>
      </c>
      <c r="M69" s="465">
        <f t="shared" ca="1" si="43"/>
        <v>727700</v>
      </c>
      <c r="N69" s="465">
        <f t="shared" ca="1" si="43"/>
        <v>144896.13</v>
      </c>
      <c r="O69" s="465">
        <f t="shared" ca="1" si="40"/>
        <v>9.7024327038971467</v>
      </c>
      <c r="P69" s="465">
        <f t="shared" ca="1" si="41"/>
        <v>19.911519857083963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2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2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IFERROR(__xludf.DUMMYFUNCTION("IMPORTRANGE(""https://docs.google.com/spreadsheets/d/1MeEWN-I1oV_STSDYn1IFDPWt_1FKiwhDph83XaGc0o0/edit?usp=sharing"",""งบพรบ!AG28"")"),1493400)</f>
        <v>1493400</v>
      </c>
      <c r="M71" s="93">
        <f ca="1">IFERROR(__xludf.DUMMYFUNCTION("IMPORTRANGE(""https://docs.google.com/spreadsheets/d/1MeEWN-I1oV_STSDYn1IFDPWt_1FKiwhDph83XaGc0o0/edit?usp=sharing"",""งบพรบ!AL28"")"),727700)</f>
        <v>727700</v>
      </c>
      <c r="N71" s="93">
        <f ca="1">IFERROR(__xludf.DUMMYFUNCTION("IMPORTRANGE(""https://docs.google.com/spreadsheets/d/1MeEWN-I1oV_STSDYn1IFDPWt_1FKiwhDph83XaGc0o0/edit?usp=sharing"",""งบพรบ!AN28"")"),144896.13)</f>
        <v>144896.13</v>
      </c>
      <c r="O71" s="93">
        <f t="shared" ca="1" si="40"/>
        <v>9.7024327038971467</v>
      </c>
      <c r="P71" s="93">
        <f t="shared" ca="1" si="41"/>
        <v>19.911519857083963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>
      <c r="A72" s="159"/>
      <c r="B72" s="33"/>
      <c r="C72" s="281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65">
        <f t="shared" ref="L72:N72" ca="1" si="44">L73+L74</f>
        <v>0</v>
      </c>
      <c r="M72" s="465">
        <f t="shared" ca="1" si="44"/>
        <v>0</v>
      </c>
      <c r="N72" s="465">
        <f t="shared" ca="1" si="44"/>
        <v>0</v>
      </c>
      <c r="O72" s="465">
        <f t="shared" ca="1" si="40"/>
        <v>0</v>
      </c>
      <c r="P72" s="465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2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2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IFERROR(__xludf.DUMMYFUNCTION("IMPORTRANGE(""https://docs.google.com/spreadsheets/d/1MeEWN-I1oV_STSDYn1IFDPWt_1FKiwhDph83XaGc0o0/edit?usp=sharing"",""งบพรบ!AJ28"")"),0)</f>
        <v>0</v>
      </c>
      <c r="M74" s="93">
        <f ca="1">IFERROR(__xludf.DUMMYFUNCTION("IMPORTRANGE(""https://docs.google.com/spreadsheets/d/1MeEWN-I1oV_STSDYn1IFDPWt_1FKiwhDph83XaGc0o0/edit?usp=sharing"",""งบพรบ!AM28"")"),0)</f>
        <v>0</v>
      </c>
      <c r="N74" s="93">
        <f ca="1">IFERROR(__xludf.DUMMYFUNCTION("IMPORTRANGE(""https://docs.google.com/spreadsheets/d/1MeEWN-I1oV_STSDYn1IFDPWt_1FKiwhDph83XaGc0o0/edit?usp=sharing"",""งบพรบ!AO28"")"),0)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>
      <c r="A75" s="170"/>
      <c r="B75" s="171"/>
      <c r="C75" s="164" t="s">
        <v>16</v>
      </c>
      <c r="D75" s="818" t="s">
        <v>38</v>
      </c>
      <c r="E75" s="173"/>
      <c r="F75" s="173"/>
      <c r="G75" s="174"/>
      <c r="H75" s="726"/>
      <c r="I75" s="184"/>
      <c r="J75" s="184"/>
      <c r="K75" s="163"/>
      <c r="L75" s="163"/>
      <c r="M75" s="163"/>
      <c r="N75" s="163"/>
      <c r="O75" s="163"/>
      <c r="P75" s="163"/>
    </row>
    <row r="76" spans="1:26" ht="19.5">
      <c r="A76" s="170"/>
      <c r="B76" s="171"/>
      <c r="C76" s="171"/>
      <c r="D76" s="343" t="s">
        <v>39</v>
      </c>
      <c r="E76" s="415"/>
      <c r="F76" s="342"/>
      <c r="G76" s="179"/>
      <c r="H76" s="180" t="s">
        <v>34</v>
      </c>
      <c r="I76" s="269">
        <f t="shared" ref="I76:J77" ca="1" si="45">I78+I80+I82</f>
        <v>2</v>
      </c>
      <c r="J76" s="269">
        <f t="shared" si="45"/>
        <v>0</v>
      </c>
      <c r="K76" s="163">
        <f t="shared" ref="K76:K84" ca="1" si="46">IF(I76&gt;0,J76*100/I76,0)</f>
        <v>0</v>
      </c>
      <c r="L76" s="163"/>
      <c r="M76" s="163"/>
      <c r="N76" s="163"/>
      <c r="O76" s="163"/>
      <c r="P76" s="163"/>
    </row>
    <row r="77" spans="1:26" ht="19.5">
      <c r="A77" s="170"/>
      <c r="B77" s="171"/>
      <c r="C77" s="171"/>
      <c r="D77" s="171"/>
      <c r="E77" s="342"/>
      <c r="F77" s="342"/>
      <c r="G77" s="179"/>
      <c r="H77" s="180" t="s">
        <v>35</v>
      </c>
      <c r="I77" s="269">
        <f t="shared" ca="1" si="45"/>
        <v>105</v>
      </c>
      <c r="J77" s="269">
        <f t="shared" si="45"/>
        <v>0</v>
      </c>
      <c r="K77" s="163">
        <f t="shared" ca="1" si="46"/>
        <v>0</v>
      </c>
      <c r="L77" s="163"/>
      <c r="M77" s="163"/>
      <c r="N77" s="163"/>
      <c r="O77" s="163"/>
      <c r="P77" s="163"/>
    </row>
    <row r="78" spans="1:26" ht="18.75">
      <c r="A78" s="170"/>
      <c r="B78" s="171"/>
      <c r="C78" s="171"/>
      <c r="D78" s="171"/>
      <c r="E78" s="415" t="s">
        <v>40</v>
      </c>
      <c r="F78" s="415"/>
      <c r="G78" s="179"/>
      <c r="H78" s="728" t="s">
        <v>34</v>
      </c>
      <c r="I78" s="184">
        <f ca="1">IFERROR(__xludf.DUMMYFUNCTION("IMPORTRANGE(""https://docs.google.com/spreadsheets/d/1QqKyyYR6Q21VydFLVH3TRQUabQu_ym0Zz7PgGX0-kHA/edit?usp=sharing"",""แผน!H28"")"),1)</f>
        <v>1</v>
      </c>
      <c r="J78" s="214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>
      <c r="A79" s="170"/>
      <c r="B79" s="171"/>
      <c r="C79" s="171"/>
      <c r="D79" s="171"/>
      <c r="E79" s="342"/>
      <c r="F79" s="342"/>
      <c r="G79" s="179"/>
      <c r="H79" s="728" t="s">
        <v>35</v>
      </c>
      <c r="I79" s="184">
        <f ca="1">IFERROR(__xludf.DUMMYFUNCTION("IMPORTRANGE(""https://docs.google.com/spreadsheets/d/1QqKyyYR6Q21VydFLVH3TRQUabQu_ym0Zz7PgGX0-kHA/edit?usp=sharing"",""แผน!I28"")"),30)</f>
        <v>30</v>
      </c>
      <c r="J79" s="214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>
      <c r="A80" s="170"/>
      <c r="B80" s="171"/>
      <c r="C80" s="171"/>
      <c r="D80" s="171"/>
      <c r="E80" s="415" t="s">
        <v>41</v>
      </c>
      <c r="F80" s="415"/>
      <c r="G80" s="179"/>
      <c r="H80" s="728" t="s">
        <v>34</v>
      </c>
      <c r="I80" s="184">
        <f ca="1">IFERROR(__xludf.DUMMYFUNCTION("IMPORTRANGE(""https://docs.google.com/spreadsheets/d/1QqKyyYR6Q21VydFLVH3TRQUabQu_ym0Zz7PgGX0-kHA/edit?usp=sharing"",""แผน!F28"")"),0)</f>
        <v>0</v>
      </c>
      <c r="J80" s="214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>
      <c r="A81" s="170"/>
      <c r="B81" s="171"/>
      <c r="C81" s="171"/>
      <c r="D81" s="171"/>
      <c r="E81" s="342"/>
      <c r="F81" s="342"/>
      <c r="G81" s="179"/>
      <c r="H81" s="728" t="s">
        <v>35</v>
      </c>
      <c r="I81" s="184">
        <f ca="1">IFERROR(__xludf.DUMMYFUNCTION("IMPORTRANGE(""https://docs.google.com/spreadsheets/d/1QqKyyYR6Q21VydFLVH3TRQUabQu_ym0Zz7PgGX0-kHA/edit?usp=sharing"",""แผน!G28"")"),0)</f>
        <v>0</v>
      </c>
      <c r="J81" s="214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>
      <c r="A82" s="170"/>
      <c r="B82" s="171"/>
      <c r="C82" s="171"/>
      <c r="D82" s="171"/>
      <c r="E82" s="415" t="s">
        <v>42</v>
      </c>
      <c r="F82" s="415"/>
      <c r="G82" s="179"/>
      <c r="H82" s="728" t="s">
        <v>34</v>
      </c>
      <c r="I82" s="184">
        <f ca="1">IFERROR(__xludf.DUMMYFUNCTION("IMPORTRANGE(""https://docs.google.com/spreadsheets/d/1QqKyyYR6Q21VydFLVH3TRQUabQu_ym0Zz7PgGX0-kHA/edit?usp=sharing"",""แผน!D28"")"),1)</f>
        <v>1</v>
      </c>
      <c r="J82" s="214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>
      <c r="A83" s="170"/>
      <c r="B83" s="171"/>
      <c r="C83" s="171"/>
      <c r="D83" s="171"/>
      <c r="E83" s="342"/>
      <c r="F83" s="342"/>
      <c r="G83" s="179"/>
      <c r="H83" s="728" t="s">
        <v>35</v>
      </c>
      <c r="I83" s="184">
        <f ca="1">IFERROR(__xludf.DUMMYFUNCTION("IMPORTRANGE(""https://docs.google.com/spreadsheets/d/1QqKyyYR6Q21VydFLVH3TRQUabQu_ym0Zz7PgGX0-kHA/edit?usp=sharing"",""แผน!E28"")"),75)</f>
        <v>75</v>
      </c>
      <c r="J83" s="214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>
      <c r="A84" s="170"/>
      <c r="B84" s="171"/>
      <c r="C84" s="171"/>
      <c r="D84" s="343" t="s">
        <v>43</v>
      </c>
      <c r="E84" s="415"/>
      <c r="F84" s="342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IFERROR(__xludf.DUMMYFUNCTION("IMPORTRANGE(""https://docs.google.com/spreadsheets/d/1QqKyyYR6Q21VydFLVH3TRQUabQu_ym0Zz7PgGX0-kHA/edit?usp=sharing"",""แผน!J28"")"),2)</f>
        <v>2</v>
      </c>
      <c r="J84" s="214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8" t="s">
        <v>45</v>
      </c>
      <c r="C86" s="140"/>
      <c r="D86" s="141"/>
      <c r="E86" s="140"/>
      <c r="F86" s="140"/>
      <c r="G86" s="142"/>
      <c r="H86" s="143" t="s">
        <v>46</v>
      </c>
      <c r="I86" s="144">
        <f t="shared" ref="I86:J87" ca="1" si="47">I98</f>
        <v>90</v>
      </c>
      <c r="J86" s="144">
        <f t="shared" si="47"/>
        <v>0</v>
      </c>
      <c r="K86" s="145">
        <f t="shared" ref="K86:K87" ca="1" si="48">IF(I86&gt;0,J86*100/I86,0)</f>
        <v>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143" t="s">
        <v>35</v>
      </c>
      <c r="I87" s="144">
        <f t="shared" ca="1" si="47"/>
        <v>30</v>
      </c>
      <c r="J87" s="144">
        <f t="shared" si="47"/>
        <v>0</v>
      </c>
      <c r="K87" s="145">
        <f t="shared" ca="1" si="48"/>
        <v>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17" t="s">
        <v>17</v>
      </c>
      <c r="E88" s="148"/>
      <c r="F88" s="148"/>
      <c r="G88" s="151"/>
      <c r="H88" s="152" t="s">
        <v>12</v>
      </c>
      <c r="I88" s="388"/>
      <c r="J88" s="388"/>
      <c r="K88" s="154"/>
      <c r="L88" s="155">
        <f t="shared" ref="L88:N88" ca="1" si="49">L89+L90</f>
        <v>136720</v>
      </c>
      <c r="M88" s="155">
        <f t="shared" ca="1" si="49"/>
        <v>65520</v>
      </c>
      <c r="N88" s="155">
        <f t="shared" ca="1" si="49"/>
        <v>0</v>
      </c>
      <c r="O88" s="155">
        <f t="shared" ref="O88:O96" ca="1" si="50">IF(L88&gt;0,N88*100/L88,0)</f>
        <v>0</v>
      </c>
      <c r="P88" s="155">
        <f t="shared" ref="P88:P96" ca="1" si="51">IF(M88&gt;0,N88*100/M88,0)</f>
        <v>0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2" t="s">
        <v>18</v>
      </c>
      <c r="F89" s="40"/>
      <c r="G89" s="157"/>
      <c r="H89" s="158" t="s">
        <v>12</v>
      </c>
      <c r="I89" s="583"/>
      <c r="J89" s="583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2" t="s">
        <v>19</v>
      </c>
      <c r="F90" s="40"/>
      <c r="G90" s="157"/>
      <c r="H90" s="158" t="s">
        <v>12</v>
      </c>
      <c r="I90" s="583"/>
      <c r="J90" s="583"/>
      <c r="K90" s="93"/>
      <c r="L90" s="93">
        <f t="shared" ca="1" si="52"/>
        <v>136720</v>
      </c>
      <c r="M90" s="93">
        <f t="shared" ca="1" si="52"/>
        <v>65520</v>
      </c>
      <c r="N90" s="93">
        <f t="shared" ca="1" si="52"/>
        <v>0</v>
      </c>
      <c r="O90" s="93">
        <f t="shared" ca="1" si="50"/>
        <v>0</v>
      </c>
      <c r="P90" s="93">
        <f t="shared" ca="1" si="51"/>
        <v>0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1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65">
        <f t="shared" ref="L91:N91" ca="1" si="53">L92+L93</f>
        <v>136720</v>
      </c>
      <c r="M91" s="465">
        <f t="shared" ca="1" si="53"/>
        <v>65520</v>
      </c>
      <c r="N91" s="465">
        <f t="shared" ca="1" si="53"/>
        <v>0</v>
      </c>
      <c r="O91" s="465">
        <f t="shared" ca="1" si="50"/>
        <v>0</v>
      </c>
      <c r="P91" s="465">
        <f t="shared" ca="1" si="51"/>
        <v>0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2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2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IFERROR(__xludf.DUMMYFUNCTION("IMPORTRANGE(""https://docs.google.com/spreadsheets/d/1MeEWN-I1oV_STSDYn1IFDPWt_1FKiwhDph83XaGc0o0/edit?usp=sharing"",""งบพรบ!AQ28"")"),136720)</f>
        <v>136720</v>
      </c>
      <c r="M93" s="93">
        <f ca="1">IFERROR(__xludf.DUMMYFUNCTION("IMPORTRANGE(""https://docs.google.com/spreadsheets/d/1MeEWN-I1oV_STSDYn1IFDPWt_1FKiwhDph83XaGc0o0/edit?usp=sharing"",""งบพรบ!AV28"")"),65520)</f>
        <v>65520</v>
      </c>
      <c r="N93" s="93">
        <f ca="1">IFERROR(__xludf.DUMMYFUNCTION("IMPORTRANGE(""https://docs.google.com/spreadsheets/d/1MeEWN-I1oV_STSDYn1IFDPWt_1FKiwhDph83XaGc0o0/edit?usp=sharing"",""งบพรบ!AX28"")"),0)</f>
        <v>0</v>
      </c>
      <c r="O93" s="93">
        <f t="shared" ca="1" si="50"/>
        <v>0</v>
      </c>
      <c r="P93" s="93">
        <f t="shared" ca="1" si="51"/>
        <v>0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1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65">
        <f t="shared" ref="L94:N94" ca="1" si="54">L95+L96</f>
        <v>0</v>
      </c>
      <c r="M94" s="465">
        <f t="shared" ca="1" si="54"/>
        <v>0</v>
      </c>
      <c r="N94" s="465">
        <f t="shared" ca="1" si="54"/>
        <v>0</v>
      </c>
      <c r="O94" s="465">
        <f t="shared" ca="1" si="50"/>
        <v>0</v>
      </c>
      <c r="P94" s="465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2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2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IFERROR(__xludf.DUMMYFUNCTION("IMPORTRANGE(""https://docs.google.com/spreadsheets/d/1MeEWN-I1oV_STSDYn1IFDPWt_1FKiwhDph83XaGc0o0/edit?usp=sharing"",""งบพรบ!AT28"")"),0)</f>
        <v>0</v>
      </c>
      <c r="M96" s="93">
        <f ca="1">IFERROR(__xludf.DUMMYFUNCTION("IMPORTRANGE(""https://docs.google.com/spreadsheets/d/1MeEWN-I1oV_STSDYn1IFDPWt_1FKiwhDph83XaGc0o0/edit?usp=sharing"",""งบพรบ!AW28"")"),0)</f>
        <v>0</v>
      </c>
      <c r="N96" s="93">
        <f ca="1">IFERROR(__xludf.DUMMYFUNCTION("IMPORTRANGE(""https://docs.google.com/spreadsheets/d/1MeEWN-I1oV_STSDYn1IFDPWt_1FKiwhDph83XaGc0o0/edit?usp=sharing"",""งบพรบ!AY28"")"),0)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18" t="s">
        <v>38</v>
      </c>
      <c r="E97" s="173"/>
      <c r="F97" s="173"/>
      <c r="G97" s="174"/>
      <c r="H97" s="726"/>
      <c r="I97" s="184"/>
      <c r="J97" s="269"/>
      <c r="K97" s="465"/>
      <c r="L97" s="465"/>
      <c r="M97" s="465"/>
      <c r="N97" s="465"/>
      <c r="O97" s="163"/>
      <c r="P97" s="163"/>
    </row>
    <row r="98" spans="1:16" ht="18.75">
      <c r="A98" s="170"/>
      <c r="B98" s="171"/>
      <c r="C98" s="171"/>
      <c r="D98" s="415" t="s">
        <v>47</v>
      </c>
      <c r="E98" s="415"/>
      <c r="F98" s="342"/>
      <c r="G98" s="179"/>
      <c r="H98" s="589" t="s">
        <v>46</v>
      </c>
      <c r="I98" s="269">
        <f ca="1">IFERROR(__xludf.DUMMYFUNCTION("IMPORTRANGE(""https://docs.google.com/spreadsheets/d/1QqKyyYR6Q21VydFLVH3TRQUabQu_ym0Zz7PgGX0-kHA/edit?usp=sharing"",""แผน!K28"")"),90)</f>
        <v>90</v>
      </c>
      <c r="J98" s="269">
        <f>J102</f>
        <v>0</v>
      </c>
      <c r="K98" s="465">
        <f t="shared" ref="K98:K100" ca="1" si="55">IF(I98&gt;0,J98*100/I98,0)</f>
        <v>0</v>
      </c>
      <c r="L98" s="465"/>
      <c r="M98" s="465"/>
      <c r="N98" s="465"/>
      <c r="O98" s="163"/>
      <c r="P98" s="163"/>
    </row>
    <row r="99" spans="1:16" ht="18.75">
      <c r="A99" s="170"/>
      <c r="B99" s="171"/>
      <c r="C99" s="171"/>
      <c r="D99" s="415" t="s">
        <v>48</v>
      </c>
      <c r="E99" s="415"/>
      <c r="F99" s="342"/>
      <c r="G99" s="179"/>
      <c r="H99" s="589" t="s">
        <v>35</v>
      </c>
      <c r="I99" s="269">
        <f ca="1">IFERROR(__xludf.DUMMYFUNCTION("IMPORTRANGE(""https://docs.google.com/spreadsheets/d/1QqKyyYR6Q21VydFLVH3TRQUabQu_ym0Zz7PgGX0-kHA/edit?usp=sharing"",""แผน!L28"")"),30)</f>
        <v>30</v>
      </c>
      <c r="J99" s="269">
        <f>J104</f>
        <v>0</v>
      </c>
      <c r="K99" s="465">
        <f t="shared" ca="1" si="55"/>
        <v>0</v>
      </c>
      <c r="L99" s="465"/>
      <c r="M99" s="465"/>
      <c r="N99" s="465"/>
      <c r="O99" s="163"/>
      <c r="P99" s="163"/>
    </row>
    <row r="100" spans="1:16" ht="18.75">
      <c r="A100" s="170"/>
      <c r="B100" s="171"/>
      <c r="C100" s="171"/>
      <c r="D100" s="171"/>
      <c r="E100" s="342"/>
      <c r="F100" s="342"/>
      <c r="G100" s="179"/>
      <c r="H100" s="589" t="s">
        <v>49</v>
      </c>
      <c r="I100" s="269">
        <f ca="1">IFERROR(__xludf.DUMMYFUNCTION("IMPORTRANGE(""https://docs.google.com/spreadsheets/d/1QqKyyYR6Q21VydFLVH3TRQUabQu_ym0Zz7PgGX0-kHA/edit?usp=sharing"",""แผน!M28"")"),2)</f>
        <v>2</v>
      </c>
      <c r="J100" s="269">
        <f>J107+J110</f>
        <v>0</v>
      </c>
      <c r="K100" s="465">
        <f t="shared" ca="1" si="55"/>
        <v>0</v>
      </c>
      <c r="L100" s="465"/>
      <c r="M100" s="465"/>
      <c r="N100" s="465"/>
      <c r="O100" s="163"/>
      <c r="P100" s="163"/>
    </row>
    <row r="101" spans="1:16" ht="19.5">
      <c r="A101" s="170"/>
      <c r="B101" s="171"/>
      <c r="C101" s="171"/>
      <c r="D101" s="342"/>
      <c r="E101" s="191" t="s">
        <v>50</v>
      </c>
      <c r="F101" s="342"/>
      <c r="G101" s="179"/>
      <c r="H101" s="589"/>
      <c r="I101" s="269"/>
      <c r="J101" s="269"/>
      <c r="K101" s="465"/>
      <c r="L101" s="465"/>
      <c r="M101" s="465"/>
      <c r="N101" s="465"/>
      <c r="O101" s="163"/>
      <c r="P101" s="163"/>
    </row>
    <row r="102" spans="1:16" ht="18.75">
      <c r="A102" s="170"/>
      <c r="B102" s="171"/>
      <c r="C102" s="171"/>
      <c r="D102" s="342"/>
      <c r="E102" s="592" t="s">
        <v>47</v>
      </c>
      <c r="F102" s="342"/>
      <c r="G102" s="179"/>
      <c r="H102" s="589" t="s">
        <v>46</v>
      </c>
      <c r="I102" s="269">
        <f ca="1">IFERROR(__xludf.DUMMYFUNCTION("IMPORTRANGE(""https://docs.google.com/spreadsheets/d/1QqKyyYR6Q21VydFLVH3TRQUabQu_ym0Zz7PgGX0-kHA/edit?usp=sharing"",""แผน!N28"")"),90)</f>
        <v>90</v>
      </c>
      <c r="J102" s="214">
        <v>0</v>
      </c>
      <c r="K102" s="465">
        <f t="shared" ref="K102:K104" ca="1" si="56">IF(I102&gt;0,J102*100/I102,0)</f>
        <v>0</v>
      </c>
      <c r="L102" s="465"/>
      <c r="M102" s="465"/>
      <c r="N102" s="465"/>
      <c r="O102" s="163"/>
      <c r="P102" s="163"/>
    </row>
    <row r="103" spans="1:16" ht="19.5">
      <c r="A103" s="170"/>
      <c r="B103" s="171"/>
      <c r="C103" s="171"/>
      <c r="D103" s="342"/>
      <c r="E103" s="415" t="s">
        <v>51</v>
      </c>
      <c r="F103" s="342"/>
      <c r="G103" s="179"/>
      <c r="H103" s="589" t="s">
        <v>35</v>
      </c>
      <c r="I103" s="269">
        <f ca="1">IFERROR(__xludf.DUMMYFUNCTION("IMPORTRANGE(""https://docs.google.com/spreadsheets/d/1QqKyyYR6Q21VydFLVH3TRQUabQu_ym0Zz7PgGX0-kHA/edit?usp=sharing"",""แผน!O28"")"),30)</f>
        <v>30</v>
      </c>
      <c r="J103" s="214">
        <v>0</v>
      </c>
      <c r="K103" s="465">
        <f t="shared" ca="1" si="56"/>
        <v>0</v>
      </c>
      <c r="L103" s="465"/>
      <c r="M103" s="465"/>
      <c r="N103" s="465"/>
      <c r="O103" s="163"/>
      <c r="P103" s="163"/>
    </row>
    <row r="104" spans="1:16" ht="18.75">
      <c r="A104" s="170"/>
      <c r="B104" s="171"/>
      <c r="C104" s="171"/>
      <c r="D104" s="342"/>
      <c r="E104" s="188" t="s">
        <v>52</v>
      </c>
      <c r="F104" s="342"/>
      <c r="G104" s="179"/>
      <c r="H104" s="589" t="s">
        <v>35</v>
      </c>
      <c r="I104" s="269">
        <f ca="1">IFERROR(__xludf.DUMMYFUNCTION("IMPORTRANGE(""https://docs.google.com/spreadsheets/d/1QqKyyYR6Q21VydFLVH3TRQUabQu_ym0Zz7PgGX0-kHA/edit?usp=sharing"",""แผน!O28"")"),30)</f>
        <v>30</v>
      </c>
      <c r="J104" s="214">
        <v>0</v>
      </c>
      <c r="K104" s="465">
        <f t="shared" ca="1" si="56"/>
        <v>0</v>
      </c>
      <c r="L104" s="465"/>
      <c r="M104" s="465"/>
      <c r="N104" s="465"/>
      <c r="O104" s="163"/>
      <c r="P104" s="163"/>
    </row>
    <row r="105" spans="1:16" ht="19.5">
      <c r="A105" s="170"/>
      <c r="B105" s="171"/>
      <c r="C105" s="171"/>
      <c r="D105" s="342"/>
      <c r="E105" s="191" t="s">
        <v>53</v>
      </c>
      <c r="F105" s="342"/>
      <c r="G105" s="179"/>
      <c r="H105" s="189"/>
      <c r="I105" s="269"/>
      <c r="J105" s="269"/>
      <c r="K105" s="465"/>
      <c r="L105" s="465"/>
      <c r="M105" s="465"/>
      <c r="N105" s="465"/>
      <c r="O105" s="163"/>
      <c r="P105" s="163"/>
    </row>
    <row r="106" spans="1:16" ht="19.5">
      <c r="A106" s="170"/>
      <c r="B106" s="171"/>
      <c r="C106" s="171"/>
      <c r="D106" s="342"/>
      <c r="E106" s="415" t="s">
        <v>54</v>
      </c>
      <c r="F106" s="342"/>
      <c r="G106" s="179"/>
      <c r="H106" s="589" t="s">
        <v>49</v>
      </c>
      <c r="I106" s="269">
        <f ca="1">IFERROR(__xludf.DUMMYFUNCTION("IMPORTRANGE(""https://docs.google.com/spreadsheets/d/1QqKyyYR6Q21VydFLVH3TRQUabQu_ym0Zz7PgGX0-kHA/edit?usp=sharing"",""แผน!P28"")"),1)</f>
        <v>1</v>
      </c>
      <c r="J106" s="214">
        <v>0</v>
      </c>
      <c r="K106" s="465">
        <f t="shared" ref="K106:K107" ca="1" si="57">IF(I106&gt;0,J106*100/I106,0)</f>
        <v>0</v>
      </c>
      <c r="L106" s="465"/>
      <c r="M106" s="465"/>
      <c r="N106" s="465"/>
      <c r="O106" s="163"/>
      <c r="P106" s="163"/>
    </row>
    <row r="107" spans="1:16" ht="18.75">
      <c r="A107" s="170"/>
      <c r="B107" s="171"/>
      <c r="C107" s="171"/>
      <c r="D107" s="342"/>
      <c r="E107" s="188" t="s">
        <v>55</v>
      </c>
      <c r="F107" s="342"/>
      <c r="G107" s="179"/>
      <c r="H107" s="589" t="s">
        <v>49</v>
      </c>
      <c r="I107" s="269">
        <f ca="1">IFERROR(__xludf.DUMMYFUNCTION("IMPORTRANGE(""https://docs.google.com/spreadsheets/d/1QqKyyYR6Q21VydFLVH3TRQUabQu_ym0Zz7PgGX0-kHA/edit?usp=sharing"",""แผน!P28"")"),1)</f>
        <v>1</v>
      </c>
      <c r="J107" s="214">
        <v>0</v>
      </c>
      <c r="K107" s="465">
        <f t="shared" ca="1" si="57"/>
        <v>0</v>
      </c>
      <c r="L107" s="465"/>
      <c r="M107" s="465"/>
      <c r="N107" s="465"/>
      <c r="O107" s="163"/>
      <c r="P107" s="163"/>
    </row>
    <row r="108" spans="1:16" ht="19.5">
      <c r="A108" s="170"/>
      <c r="B108" s="171"/>
      <c r="C108" s="171"/>
      <c r="D108" s="342"/>
      <c r="E108" s="191" t="s">
        <v>56</v>
      </c>
      <c r="F108" s="342"/>
      <c r="G108" s="179"/>
      <c r="H108" s="189"/>
      <c r="I108" s="269"/>
      <c r="J108" s="269"/>
      <c r="K108" s="465"/>
      <c r="L108" s="465"/>
      <c r="M108" s="465"/>
      <c r="N108" s="465"/>
      <c r="O108" s="163"/>
      <c r="P108" s="163"/>
    </row>
    <row r="109" spans="1:16" ht="19.5">
      <c r="A109" s="170"/>
      <c r="B109" s="171"/>
      <c r="C109" s="171"/>
      <c r="D109" s="342"/>
      <c r="E109" s="415" t="s">
        <v>57</v>
      </c>
      <c r="F109" s="342"/>
      <c r="G109" s="179"/>
      <c r="H109" s="589" t="s">
        <v>49</v>
      </c>
      <c r="I109" s="269">
        <f ca="1">IFERROR(__xludf.DUMMYFUNCTION("IMPORTRANGE(""https://docs.google.com/spreadsheets/d/1QqKyyYR6Q21VydFLVH3TRQUabQu_ym0Zz7PgGX0-kHA/edit?usp=sharing"",""แผน!Q28"")"),1)</f>
        <v>1</v>
      </c>
      <c r="J109" s="214">
        <v>0</v>
      </c>
      <c r="K109" s="465">
        <f t="shared" ref="K109:K116" ca="1" si="58">IF(I109&gt;0,J109*100/I109,0)</f>
        <v>0</v>
      </c>
      <c r="L109" s="465"/>
      <c r="M109" s="465"/>
      <c r="N109" s="465"/>
      <c r="O109" s="163"/>
      <c r="P109" s="163"/>
    </row>
    <row r="110" spans="1:16" ht="18.75">
      <c r="A110" s="170"/>
      <c r="B110" s="171"/>
      <c r="C110" s="171"/>
      <c r="D110" s="342"/>
      <c r="E110" s="190" t="s">
        <v>58</v>
      </c>
      <c r="F110" s="342"/>
      <c r="G110" s="179"/>
      <c r="H110" s="589" t="s">
        <v>49</v>
      </c>
      <c r="I110" s="269">
        <f ca="1">IFERROR(__xludf.DUMMYFUNCTION("IMPORTRANGE(""https://docs.google.com/spreadsheets/d/1QqKyyYR6Q21VydFLVH3TRQUabQu_ym0Zz7PgGX0-kHA/edit?usp=sharing"",""แผน!Q28"")"),1)</f>
        <v>1</v>
      </c>
      <c r="J110" s="214">
        <v>0</v>
      </c>
      <c r="K110" s="465">
        <f t="shared" ca="1" si="58"/>
        <v>0</v>
      </c>
      <c r="L110" s="465"/>
      <c r="M110" s="465"/>
      <c r="N110" s="465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342"/>
      <c r="G111" s="179"/>
      <c r="H111" s="731" t="s">
        <v>35</v>
      </c>
      <c r="I111" s="193">
        <f ca="1">IFERROR(__xludf.DUMMYFUNCTION("IMPORTRANGE(""https://docs.google.com/spreadsheets/d/1QqKyyYR6Q21VydFLVH3TRQUabQu_ym0Zz7PgGX0-kHA/edit?usp=sharing"",""แผน!R28"")"),30)</f>
        <v>30</v>
      </c>
      <c r="J111" s="647">
        <f>J114</f>
        <v>0</v>
      </c>
      <c r="K111" s="195">
        <f t="shared" ca="1" si="58"/>
        <v>0</v>
      </c>
      <c r="L111" s="465"/>
      <c r="M111" s="465"/>
      <c r="N111" s="465"/>
      <c r="O111" s="163"/>
      <c r="P111" s="163"/>
    </row>
    <row r="112" spans="1:16" ht="19.5">
      <c r="A112" s="170"/>
      <c r="B112" s="171"/>
      <c r="C112" s="171"/>
      <c r="D112" s="171"/>
      <c r="E112" s="342"/>
      <c r="F112" s="342"/>
      <c r="G112" s="179"/>
      <c r="H112" s="196" t="s">
        <v>49</v>
      </c>
      <c r="I112" s="193">
        <f t="shared" ref="I112:J112" ca="1" si="59">I115+I116</f>
        <v>2</v>
      </c>
      <c r="J112" s="647">
        <f t="shared" si="59"/>
        <v>0</v>
      </c>
      <c r="K112" s="195">
        <f t="shared" ca="1" si="58"/>
        <v>0</v>
      </c>
      <c r="L112" s="465"/>
      <c r="M112" s="465"/>
      <c r="N112" s="465"/>
      <c r="O112" s="163"/>
      <c r="P112" s="163"/>
    </row>
    <row r="113" spans="1:26" ht="19.5">
      <c r="A113" s="170"/>
      <c r="B113" s="171"/>
      <c r="C113" s="171"/>
      <c r="D113" s="171"/>
      <c r="E113" s="494" t="s">
        <v>60</v>
      </c>
      <c r="F113" s="342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IFERROR(__xludf.DUMMYFUNCTION("IMPORTRANGE(""https://docs.google.com/spreadsheets/d/1QqKyyYR6Q21VydFLVH3TRQUabQu_ym0Zz7PgGX0-kHA/edit?usp=sharing"",""แผน!R28"")"),30)</f>
        <v>30</v>
      </c>
      <c r="J113" s="214">
        <v>0</v>
      </c>
      <c r="K113" s="465">
        <f t="shared" ca="1" si="58"/>
        <v>0</v>
      </c>
      <c r="L113" s="465"/>
      <c r="M113" s="465"/>
      <c r="N113" s="465"/>
      <c r="O113" s="163"/>
      <c r="P113" s="163"/>
    </row>
    <row r="114" spans="1:26" ht="19.5">
      <c r="A114" s="170"/>
      <c r="B114" s="171"/>
      <c r="C114" s="171"/>
      <c r="D114" s="171"/>
      <c r="E114" s="415" t="s">
        <v>61</v>
      </c>
      <c r="F114" s="342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IFERROR(__xludf.DUMMYFUNCTION("IMPORTRANGE(""https://docs.google.com/spreadsheets/d/1QqKyyYR6Q21VydFLVH3TRQUabQu_ym0Zz7PgGX0-kHA/edit?usp=sharing"",""แผน!R28"")"),30)</f>
        <v>30</v>
      </c>
      <c r="J114" s="214">
        <v>0</v>
      </c>
      <c r="K114" s="465">
        <f t="shared" ca="1" si="58"/>
        <v>0</v>
      </c>
      <c r="L114" s="465"/>
      <c r="M114" s="465"/>
      <c r="N114" s="465"/>
      <c r="O114" s="163"/>
      <c r="P114" s="163"/>
    </row>
    <row r="115" spans="1:26" ht="18.75">
      <c r="A115" s="170"/>
      <c r="B115" s="171"/>
      <c r="C115" s="171"/>
      <c r="D115" s="171"/>
      <c r="E115" s="415" t="s">
        <v>62</v>
      </c>
      <c r="F115" s="342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IFERROR(__xludf.DUMMYFUNCTION("IMPORTRANGE(""https://docs.google.com/spreadsheets/d/1QqKyyYR6Q21VydFLVH3TRQUabQu_ym0Zz7PgGX0-kHA/edit?usp=sharing"",""แผน!S28"")"),1)</f>
        <v>1</v>
      </c>
      <c r="J115" s="214">
        <v>0</v>
      </c>
      <c r="K115" s="465">
        <f t="shared" ca="1" si="58"/>
        <v>0</v>
      </c>
      <c r="L115" s="465"/>
      <c r="M115" s="465"/>
      <c r="N115" s="465"/>
      <c r="O115" s="163"/>
      <c r="P115" s="163"/>
    </row>
    <row r="116" spans="1:26" ht="18.75">
      <c r="A116" s="170"/>
      <c r="B116" s="171"/>
      <c r="C116" s="171"/>
      <c r="D116" s="171"/>
      <c r="E116" s="415" t="s">
        <v>63</v>
      </c>
      <c r="F116" s="342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IFERROR(__xludf.DUMMYFUNCTION("IMPORTRANGE(""https://docs.google.com/spreadsheets/d/1QqKyyYR6Q21VydFLVH3TRQUabQu_ym0Zz7PgGX0-kHA/edit?usp=sharing"",""แผน!T28"")"),1)</f>
        <v>1</v>
      </c>
      <c r="J116" s="214">
        <v>0</v>
      </c>
      <c r="K116" s="465">
        <f t="shared" ca="1" si="58"/>
        <v>0</v>
      </c>
      <c r="L116" s="465"/>
      <c r="M116" s="465"/>
      <c r="N116" s="465"/>
      <c r="O116" s="163"/>
      <c r="P116" s="163"/>
    </row>
    <row r="117" spans="1:26" ht="19.5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>
      <c r="A118" s="138"/>
      <c r="B118" s="208" t="s">
        <v>65</v>
      </c>
      <c r="C118" s="204"/>
      <c r="D118" s="141"/>
      <c r="E118" s="140"/>
      <c r="F118" s="140"/>
      <c r="G118" s="142"/>
      <c r="H118" s="143"/>
      <c r="I118" s="205"/>
      <c r="J118" s="205"/>
      <c r="K118" s="146"/>
      <c r="L118" s="146"/>
      <c r="M118" s="146"/>
      <c r="N118" s="146"/>
      <c r="O118" s="146"/>
      <c r="P118" s="146"/>
    </row>
    <row r="119" spans="1:26" ht="19.5">
      <c r="A119" s="147"/>
      <c r="B119" s="148"/>
      <c r="C119" s="149" t="s">
        <v>16</v>
      </c>
      <c r="D119" s="817" t="s">
        <v>17</v>
      </c>
      <c r="E119" s="148"/>
      <c r="F119" s="148"/>
      <c r="G119" s="151"/>
      <c r="H119" s="152" t="s">
        <v>12</v>
      </c>
      <c r="I119" s="388"/>
      <c r="J119" s="388"/>
      <c r="K119" s="154"/>
      <c r="L119" s="155">
        <f t="shared" ref="L119:N119" ca="1" si="60">L120+L121</f>
        <v>245300</v>
      </c>
      <c r="M119" s="155">
        <f t="shared" ca="1" si="60"/>
        <v>245300</v>
      </c>
      <c r="N119" s="155">
        <f t="shared" ca="1" si="60"/>
        <v>245250</v>
      </c>
      <c r="O119" s="155">
        <f t="shared" ref="O119:O127" ca="1" si="61">IF(L119&gt;0,N119*100/L119,0)</f>
        <v>99.979616795760293</v>
      </c>
      <c r="P119" s="155">
        <f t="shared" ref="P119:P127" ca="1" si="62">IF(M119&gt;0,N119*100/M119,0)</f>
        <v>99.979616795760293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2" t="s">
        <v>18</v>
      </c>
      <c r="F120" s="40"/>
      <c r="G120" s="157"/>
      <c r="H120" s="158" t="s">
        <v>12</v>
      </c>
      <c r="I120" s="583"/>
      <c r="J120" s="583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2" t="s">
        <v>19</v>
      </c>
      <c r="F121" s="40"/>
      <c r="G121" s="157"/>
      <c r="H121" s="158" t="s">
        <v>12</v>
      </c>
      <c r="I121" s="583"/>
      <c r="J121" s="583"/>
      <c r="K121" s="93"/>
      <c r="L121" s="93">
        <f t="shared" ca="1" si="63"/>
        <v>245300</v>
      </c>
      <c r="M121" s="93">
        <f t="shared" ca="1" si="63"/>
        <v>245300</v>
      </c>
      <c r="N121" s="93">
        <f t="shared" ca="1" si="63"/>
        <v>245250</v>
      </c>
      <c r="O121" s="93">
        <f t="shared" ca="1" si="61"/>
        <v>99.979616795760293</v>
      </c>
      <c r="P121" s="93">
        <f t="shared" ca="1" si="62"/>
        <v>99.979616795760293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>
      <c r="A122" s="159"/>
      <c r="B122" s="33"/>
      <c r="C122" s="281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65">
        <f t="shared" ref="L122:N122" ca="1" si="64">L123+L124</f>
        <v>0</v>
      </c>
      <c r="M122" s="465">
        <f t="shared" ca="1" si="64"/>
        <v>0</v>
      </c>
      <c r="N122" s="465">
        <f t="shared" ca="1" si="64"/>
        <v>0</v>
      </c>
      <c r="O122" s="465">
        <f t="shared" ca="1" si="61"/>
        <v>0</v>
      </c>
      <c r="P122" s="465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2"/>
      <c r="D123" s="40"/>
      <c r="E123" s="222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2"/>
      <c r="D124" s="40"/>
      <c r="E124" s="222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IFERROR(__xludf.DUMMYFUNCTION("IMPORTRANGE(""https://docs.google.com/spreadsheets/d/1MeEWN-I1oV_STSDYn1IFDPWt_1FKiwhDph83XaGc0o0/edit?usp=sharing"",""งบพรบ!BA28"")"),0)</f>
        <v>0</v>
      </c>
      <c r="M124" s="93">
        <f ca="1">IFERROR(__xludf.DUMMYFUNCTION("IMPORTRANGE(""https://docs.google.com/spreadsheets/d/1MeEWN-I1oV_STSDYn1IFDPWt_1FKiwhDph83XaGc0o0/edit?usp=sharing"",""งบพรบ!BF28"")"),0)</f>
        <v>0</v>
      </c>
      <c r="N124" s="93">
        <f ca="1">IFERROR(__xludf.DUMMYFUNCTION("IMPORTRANGE(""https://docs.google.com/spreadsheets/d/1MeEWN-I1oV_STSDYn1IFDPWt_1FKiwhDph83XaGc0o0/edit?usp=sharing"",""งบพรบ!BH28"")"),0)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>
      <c r="A125" s="159"/>
      <c r="B125" s="33"/>
      <c r="C125" s="281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65">
        <f t="shared" ref="L125:N125" ca="1" si="65">L126+L127</f>
        <v>245300</v>
      </c>
      <c r="M125" s="465">
        <f t="shared" ca="1" si="65"/>
        <v>245300</v>
      </c>
      <c r="N125" s="465">
        <f t="shared" ca="1" si="65"/>
        <v>245250</v>
      </c>
      <c r="O125" s="465">
        <f t="shared" ca="1" si="61"/>
        <v>99.979616795760293</v>
      </c>
      <c r="P125" s="465">
        <f t="shared" ca="1" si="62"/>
        <v>99.979616795760293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2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2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IFERROR(__xludf.DUMMYFUNCTION("IMPORTRANGE(""https://docs.google.com/spreadsheets/d/1MeEWN-I1oV_STSDYn1IFDPWt_1FKiwhDph83XaGc0o0/edit?usp=sharing"",""งบพรบ!BD28"")"),245300)</f>
        <v>245300</v>
      </c>
      <c r="M127" s="93">
        <f ca="1">IFERROR(__xludf.DUMMYFUNCTION("IMPORTRANGE(""https://docs.google.com/spreadsheets/d/1MeEWN-I1oV_STSDYn1IFDPWt_1FKiwhDph83XaGc0o0/edit?usp=sharing"",""งบพรบ!BG28"")"),245300)</f>
        <v>245300</v>
      </c>
      <c r="N127" s="93">
        <f ca="1">IFERROR(__xludf.DUMMYFUNCTION("IMPORTRANGE(""https://docs.google.com/spreadsheets/d/1MeEWN-I1oV_STSDYn1IFDPWt_1FKiwhDph83XaGc0o0/edit?usp=sharing"",""งบพรบ!BI28"")"),245250)</f>
        <v>245250</v>
      </c>
      <c r="O127" s="93">
        <f t="shared" ca="1" si="61"/>
        <v>99.979616795760293</v>
      </c>
      <c r="P127" s="93">
        <f t="shared" ca="1" si="62"/>
        <v>99.979616795760293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66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8" t="s">
        <v>67</v>
      </c>
      <c r="C129" s="204"/>
      <c r="D129" s="141"/>
      <c r="E129" s="140"/>
      <c r="F129" s="140"/>
      <c r="G129" s="140"/>
      <c r="H129" s="207"/>
      <c r="I129" s="205"/>
      <c r="J129" s="205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8"/>
      <c r="C130" s="209" t="s">
        <v>68</v>
      </c>
      <c r="D130" s="141"/>
      <c r="E130" s="140"/>
      <c r="F130" s="140"/>
      <c r="G130" s="142"/>
      <c r="H130" s="143" t="s">
        <v>69</v>
      </c>
      <c r="I130" s="144">
        <f t="shared" ref="I130:J130" ca="1" si="66">I146</f>
        <v>0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8"/>
      <c r="C131" s="209" t="s">
        <v>70</v>
      </c>
      <c r="D131" s="141"/>
      <c r="E131" s="140"/>
      <c r="F131" s="140"/>
      <c r="G131" s="142"/>
      <c r="H131" s="143" t="s">
        <v>35</v>
      </c>
      <c r="I131" s="144">
        <f t="shared" ref="I131:J131" ca="1" si="68">I143</f>
        <v>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817" t="s">
        <v>17</v>
      </c>
      <c r="E132" s="148"/>
      <c r="F132" s="148"/>
      <c r="G132" s="151"/>
      <c r="H132" s="152" t="s">
        <v>12</v>
      </c>
      <c r="I132" s="388"/>
      <c r="J132" s="388"/>
      <c r="K132" s="154"/>
      <c r="L132" s="155">
        <f t="shared" ref="L132:N132" ca="1" si="69">L133+L134</f>
        <v>0</v>
      </c>
      <c r="M132" s="155">
        <f t="shared" ca="1" si="69"/>
        <v>0</v>
      </c>
      <c r="N132" s="155">
        <f t="shared" ca="1" si="69"/>
        <v>0</v>
      </c>
      <c r="O132" s="155">
        <f t="shared" ref="O132:O140" ca="1" si="70">IF(L132&gt;0,N132*100/L132,0)</f>
        <v>0</v>
      </c>
      <c r="P132" s="155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2" t="s">
        <v>18</v>
      </c>
      <c r="F133" s="40"/>
      <c r="G133" s="157"/>
      <c r="H133" s="158" t="s">
        <v>12</v>
      </c>
      <c r="I133" s="583"/>
      <c r="J133" s="583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2" t="s">
        <v>19</v>
      </c>
      <c r="F134" s="40"/>
      <c r="G134" s="157"/>
      <c r="H134" s="158" t="s">
        <v>12</v>
      </c>
      <c r="I134" s="583"/>
      <c r="J134" s="583"/>
      <c r="K134" s="93"/>
      <c r="L134" s="93">
        <f t="shared" ca="1" si="72"/>
        <v>0</v>
      </c>
      <c r="M134" s="93">
        <f t="shared" ca="1" si="72"/>
        <v>0</v>
      </c>
      <c r="N134" s="93">
        <f t="shared" ca="1" si="72"/>
        <v>0</v>
      </c>
      <c r="O134" s="93">
        <f t="shared" ca="1" si="70"/>
        <v>0</v>
      </c>
      <c r="P134" s="93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1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65">
        <f t="shared" ref="L135:N135" ca="1" si="73">L136+L137</f>
        <v>0</v>
      </c>
      <c r="M135" s="465">
        <f t="shared" ca="1" si="73"/>
        <v>0</v>
      </c>
      <c r="N135" s="465">
        <f t="shared" ca="1" si="73"/>
        <v>0</v>
      </c>
      <c r="O135" s="465">
        <f t="shared" ca="1" si="70"/>
        <v>0</v>
      </c>
      <c r="P135" s="465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2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2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IFERROR(__xludf.DUMMYFUNCTION("IMPORTRANGE(""https://docs.google.com/spreadsheets/d/1MeEWN-I1oV_STSDYn1IFDPWt_1FKiwhDph83XaGc0o0/edit?usp=sharing"",""งบพรบ!BK28"")"),0)</f>
        <v>0</v>
      </c>
      <c r="M137" s="93">
        <f ca="1">IFERROR(__xludf.DUMMYFUNCTION("IMPORTRANGE(""https://docs.google.com/spreadsheets/d/1MeEWN-I1oV_STSDYn1IFDPWt_1FKiwhDph83XaGc0o0/edit?usp=sharing"",""งบพรบ!BP28"")"),0)</f>
        <v>0</v>
      </c>
      <c r="N137" s="93">
        <f ca="1">IFERROR(__xludf.DUMMYFUNCTION("IMPORTRANGE(""https://docs.google.com/spreadsheets/d/1MeEWN-I1oV_STSDYn1IFDPWt_1FKiwhDph83XaGc0o0/edit?usp=sharing"",""งบพรบ!BR28"")"),0)</f>
        <v>0</v>
      </c>
      <c r="O137" s="93">
        <f t="shared" ca="1" si="70"/>
        <v>0</v>
      </c>
      <c r="P137" s="93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1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65">
        <f t="shared" ref="L138:N138" ca="1" si="74">L139+L140</f>
        <v>0</v>
      </c>
      <c r="M138" s="465">
        <f t="shared" ca="1" si="74"/>
        <v>0</v>
      </c>
      <c r="N138" s="465">
        <f t="shared" ca="1" si="74"/>
        <v>0</v>
      </c>
      <c r="O138" s="465">
        <f t="shared" ca="1" si="70"/>
        <v>0</v>
      </c>
      <c r="P138" s="465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2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2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IFERROR(__xludf.DUMMYFUNCTION("IMPORTRANGE(""https://docs.google.com/spreadsheets/d/1MeEWN-I1oV_STSDYn1IFDPWt_1FKiwhDph83XaGc0o0/edit?usp=sharing"",""งบพรบ!BN28"")"),0)</f>
        <v>0</v>
      </c>
      <c r="M140" s="93">
        <f ca="1">IFERROR(__xludf.DUMMYFUNCTION("IMPORTRANGE(""https://docs.google.com/spreadsheets/d/1MeEWN-I1oV_STSDYn1IFDPWt_1FKiwhDph83XaGc0o0/edit?usp=sharing"",""งบพรบ!BQ28"")"),0)</f>
        <v>0</v>
      </c>
      <c r="N140" s="93">
        <f ca="1">IFERROR(__xludf.DUMMYFUNCTION("IMPORTRANGE(""https://docs.google.com/spreadsheets/d/1MeEWN-I1oV_STSDYn1IFDPWt_1FKiwhDph83XaGc0o0/edit?usp=sharing"",""งบพรบ!BS28"")"),0)</f>
        <v>0</v>
      </c>
      <c r="O140" s="93">
        <f t="shared" ca="1" si="70"/>
        <v>0</v>
      </c>
      <c r="P140" s="93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818" t="s">
        <v>38</v>
      </c>
      <c r="E141" s="173"/>
      <c r="F141" s="173"/>
      <c r="G141" s="174"/>
      <c r="H141" s="168"/>
      <c r="I141" s="269"/>
      <c r="J141" s="269"/>
      <c r="K141" s="465"/>
      <c r="L141" s="465"/>
      <c r="M141" s="465"/>
      <c r="N141" s="465"/>
      <c r="O141" s="465"/>
      <c r="P141" s="465"/>
    </row>
    <row r="142" spans="1:26" ht="19.5" hidden="1">
      <c r="A142" s="159"/>
      <c r="B142" s="33"/>
      <c r="C142" s="210"/>
      <c r="D142" s="281" t="s">
        <v>71</v>
      </c>
      <c r="E142" s="34"/>
      <c r="F142" s="33"/>
      <c r="G142" s="213"/>
      <c r="H142" s="168"/>
      <c r="I142" s="269"/>
      <c r="J142" s="214">
        <v>0</v>
      </c>
      <c r="K142" s="465"/>
      <c r="L142" s="465"/>
      <c r="M142" s="465"/>
      <c r="N142" s="465"/>
      <c r="O142" s="465"/>
      <c r="P142" s="465"/>
    </row>
    <row r="143" spans="1:26" ht="19.5" hidden="1">
      <c r="A143" s="159"/>
      <c r="B143" s="33"/>
      <c r="C143" s="210"/>
      <c r="D143" s="281" t="s">
        <v>72</v>
      </c>
      <c r="E143" s="34"/>
      <c r="F143" s="33"/>
      <c r="G143" s="213"/>
      <c r="H143" s="168" t="s">
        <v>35</v>
      </c>
      <c r="I143" s="269">
        <f ca="1">I145</f>
        <v>0</v>
      </c>
      <c r="J143" s="269">
        <f ca="1">IF(AND(J144&gt;=I144,J145&gt;=I145),J145,0)</f>
        <v>0</v>
      </c>
      <c r="K143" s="465">
        <f t="shared" ref="K143:K146" ca="1" si="75">IF(I143&gt;0,J143*100/I143,0)</f>
        <v>0</v>
      </c>
      <c r="L143" s="465"/>
      <c r="M143" s="465"/>
      <c r="N143" s="465"/>
      <c r="O143" s="465"/>
      <c r="P143" s="465"/>
    </row>
    <row r="144" spans="1:26" ht="19.5" hidden="1">
      <c r="A144" s="159"/>
      <c r="B144" s="33"/>
      <c r="C144" s="210"/>
      <c r="D144" s="342"/>
      <c r="E144" s="281" t="s">
        <v>73</v>
      </c>
      <c r="F144" s="33"/>
      <c r="G144" s="213"/>
      <c r="H144" s="168" t="s">
        <v>35</v>
      </c>
      <c r="I144" s="269">
        <f ca="1">IFERROR(__xludf.DUMMYFUNCTION("IMPORTRANGE(""https://docs.google.com/spreadsheets/d/1QqKyyYR6Q21VydFLVH3TRQUabQu_ym0Zz7PgGX0-kHA/edit?usp=sharing"",""แผน!U28"")"),0)</f>
        <v>0</v>
      </c>
      <c r="J144" s="214">
        <v>0</v>
      </c>
      <c r="K144" s="465">
        <f t="shared" ca="1" si="75"/>
        <v>0</v>
      </c>
      <c r="L144" s="465"/>
      <c r="M144" s="465"/>
      <c r="N144" s="465"/>
      <c r="O144" s="465"/>
      <c r="P144" s="465"/>
    </row>
    <row r="145" spans="1:26" ht="19.5" hidden="1">
      <c r="A145" s="159"/>
      <c r="B145" s="33"/>
      <c r="C145" s="210"/>
      <c r="D145" s="342"/>
      <c r="E145" s="281" t="s">
        <v>74</v>
      </c>
      <c r="F145" s="33"/>
      <c r="G145" s="213"/>
      <c r="H145" s="168" t="s">
        <v>35</v>
      </c>
      <c r="I145" s="269">
        <f ca="1">IFERROR(__xludf.DUMMYFUNCTION("IMPORTRANGE(""https://docs.google.com/spreadsheets/d/1QqKyyYR6Q21VydFLVH3TRQUabQu_ym0Zz7PgGX0-kHA/edit?usp=sharing"",""แผน!V28"")"),0)</f>
        <v>0</v>
      </c>
      <c r="J145" s="214">
        <v>0</v>
      </c>
      <c r="K145" s="465">
        <f t="shared" ca="1" si="75"/>
        <v>0</v>
      </c>
      <c r="L145" s="465"/>
      <c r="M145" s="465"/>
      <c r="N145" s="465"/>
      <c r="O145" s="465"/>
      <c r="P145" s="465"/>
    </row>
    <row r="146" spans="1:26" ht="19.5" hidden="1">
      <c r="A146" s="159"/>
      <c r="B146" s="33"/>
      <c r="C146" s="210"/>
      <c r="D146" s="281" t="s">
        <v>75</v>
      </c>
      <c r="E146" s="34"/>
      <c r="F146" s="33"/>
      <c r="G146" s="213"/>
      <c r="H146" s="168" t="s">
        <v>69</v>
      </c>
      <c r="I146" s="269">
        <f ca="1">IFERROR(__xludf.DUMMYFUNCTION("IMPORTRANGE(""https://docs.google.com/spreadsheets/d/1QqKyyYR6Q21VydFLVH3TRQUabQu_ym0Zz7PgGX0-kHA/edit?usp=sharing"",""แผน!W28"")"),0)</f>
        <v>0</v>
      </c>
      <c r="J146" s="214">
        <v>0</v>
      </c>
      <c r="K146" s="465">
        <f t="shared" ca="1" si="75"/>
        <v>0</v>
      </c>
      <c r="L146" s="465"/>
      <c r="M146" s="465"/>
      <c r="N146" s="465"/>
      <c r="O146" s="465"/>
      <c r="P146" s="465"/>
    </row>
    <row r="147" spans="1:26" ht="19.5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>
      <c r="A148" s="216"/>
      <c r="B148" s="208" t="s">
        <v>77</v>
      </c>
      <c r="C148" s="208"/>
      <c r="D148" s="208"/>
      <c r="E148" s="819"/>
      <c r="F148" s="218"/>
      <c r="G148" s="219"/>
      <c r="H148" s="220" t="s">
        <v>35</v>
      </c>
      <c r="I148" s="144">
        <f t="shared" ref="I148:J148" ca="1" si="76">I159</f>
        <v>20</v>
      </c>
      <c r="J148" s="144">
        <f t="shared" si="76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1"/>
      <c r="R148" s="221"/>
      <c r="S148" s="221"/>
      <c r="T148" s="221"/>
      <c r="U148" s="221"/>
      <c r="V148" s="221"/>
      <c r="W148" s="221"/>
      <c r="X148" s="221"/>
      <c r="Y148" s="221"/>
      <c r="Z148" s="221"/>
    </row>
    <row r="149" spans="1:26" ht="19.5">
      <c r="A149" s="147"/>
      <c r="B149" s="148"/>
      <c r="C149" s="149" t="s">
        <v>16</v>
      </c>
      <c r="D149" s="817" t="s">
        <v>17</v>
      </c>
      <c r="E149" s="148"/>
      <c r="F149" s="148"/>
      <c r="G149" s="151"/>
      <c r="H149" s="152" t="s">
        <v>12</v>
      </c>
      <c r="I149" s="388"/>
      <c r="J149" s="388"/>
      <c r="K149" s="154"/>
      <c r="L149" s="155">
        <f t="shared" ref="L149:N149" ca="1" si="77">L150+L151</f>
        <v>10000</v>
      </c>
      <c r="M149" s="155">
        <f t="shared" ca="1" si="77"/>
        <v>166000</v>
      </c>
      <c r="N149" s="155">
        <f t="shared" ca="1" si="77"/>
        <v>17200</v>
      </c>
      <c r="O149" s="155">
        <f t="shared" ref="O149:O157" ca="1" si="78">IF(L149&gt;0,N149*100/L149,0)</f>
        <v>172</v>
      </c>
      <c r="P149" s="155">
        <f t="shared" ref="P149:P157" ca="1" si="79">IF(M149&gt;0,N149*100/M149,0)</f>
        <v>10.361445783132529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2" t="s">
        <v>18</v>
      </c>
      <c r="F150" s="40"/>
      <c r="G150" s="157"/>
      <c r="H150" s="158" t="s">
        <v>12</v>
      </c>
      <c r="I150" s="583"/>
      <c r="J150" s="583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2" t="s">
        <v>19</v>
      </c>
      <c r="F151" s="40"/>
      <c r="G151" s="157"/>
      <c r="H151" s="158" t="s">
        <v>12</v>
      </c>
      <c r="I151" s="583"/>
      <c r="J151" s="583"/>
      <c r="K151" s="93"/>
      <c r="L151" s="93">
        <f t="shared" ca="1" si="80"/>
        <v>10000</v>
      </c>
      <c r="M151" s="93">
        <f t="shared" ca="1" si="80"/>
        <v>166000</v>
      </c>
      <c r="N151" s="93">
        <f t="shared" ca="1" si="80"/>
        <v>17200</v>
      </c>
      <c r="O151" s="93">
        <f t="shared" ca="1" si="78"/>
        <v>172</v>
      </c>
      <c r="P151" s="93">
        <f t="shared" ca="1" si="79"/>
        <v>10.361445783132529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>
      <c r="A152" s="159"/>
      <c r="B152" s="33"/>
      <c r="C152" s="281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65">
        <f t="shared" ref="L152:N152" ca="1" si="81">L153+L154</f>
        <v>10000</v>
      </c>
      <c r="M152" s="465">
        <f t="shared" ca="1" si="81"/>
        <v>166000</v>
      </c>
      <c r="N152" s="465">
        <f t="shared" ca="1" si="81"/>
        <v>17200</v>
      </c>
      <c r="O152" s="465">
        <f t="shared" ca="1" si="78"/>
        <v>172</v>
      </c>
      <c r="P152" s="465">
        <f t="shared" ca="1" si="79"/>
        <v>10.361445783132529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2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2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IFERROR(__xludf.DUMMYFUNCTION("IMPORTRANGE(""https://docs.google.com/spreadsheets/d/1MeEWN-I1oV_STSDYn1IFDPWt_1FKiwhDph83XaGc0o0/edit?usp=sharing"",""งบพรบ!BU28"")"),10000)</f>
        <v>10000</v>
      </c>
      <c r="M154" s="93">
        <f ca="1">IFERROR(__xludf.DUMMYFUNCTION("IMPORTRANGE(""https://docs.google.com/spreadsheets/d/1MeEWN-I1oV_STSDYn1IFDPWt_1FKiwhDph83XaGc0o0/edit?usp=sharing"",""งบพรบ!BZ28"")"),166000)</f>
        <v>166000</v>
      </c>
      <c r="N154" s="93">
        <f ca="1">IFERROR(__xludf.DUMMYFUNCTION("IMPORTRANGE(""https://docs.google.com/spreadsheets/d/1MeEWN-I1oV_STSDYn1IFDPWt_1FKiwhDph83XaGc0o0/edit?usp=sharing"",""งบพรบ!CB28"")"),17200)</f>
        <v>17200</v>
      </c>
      <c r="O154" s="93">
        <f t="shared" ca="1" si="78"/>
        <v>172</v>
      </c>
      <c r="P154" s="93">
        <f t="shared" ca="1" si="79"/>
        <v>10.361445783132529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>
      <c r="A155" s="159"/>
      <c r="B155" s="33"/>
      <c r="C155" s="281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65">
        <f t="shared" ref="L155:N155" ca="1" si="82">L156+L157</f>
        <v>0</v>
      </c>
      <c r="M155" s="465">
        <f t="shared" ca="1" si="82"/>
        <v>0</v>
      </c>
      <c r="N155" s="465">
        <f t="shared" ca="1" si="82"/>
        <v>0</v>
      </c>
      <c r="O155" s="465">
        <f t="shared" ca="1" si="78"/>
        <v>0</v>
      </c>
      <c r="P155" s="465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2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2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IFERROR(__xludf.DUMMYFUNCTION("IMPORTRANGE(""https://docs.google.com/spreadsheets/d/1MeEWN-I1oV_STSDYn1IFDPWt_1FKiwhDph83XaGc0o0/edit?usp=sharing"",""งบพรบ!BX28"")"),0)</f>
        <v>0</v>
      </c>
      <c r="M157" s="93">
        <f ca="1">IFERROR(__xludf.DUMMYFUNCTION("IMPORTRANGE(""https://docs.google.com/spreadsheets/d/1MeEWN-I1oV_STSDYn1IFDPWt_1FKiwhDph83XaGc0o0/edit?usp=sharing"",""งบพรบ!CA28"")"),0)</f>
        <v>0</v>
      </c>
      <c r="N157" s="93">
        <f ca="1">IFERROR(__xludf.DUMMYFUNCTION("IMPORTRANGE(""https://docs.google.com/spreadsheets/d/1MeEWN-I1oV_STSDYn1IFDPWt_1FKiwhDph83XaGc0o0/edit?usp=sharing"",""งบพรบ!CC28"")"),0)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>
      <c r="A158" s="170"/>
      <c r="B158" s="171"/>
      <c r="C158" s="164" t="s">
        <v>16</v>
      </c>
      <c r="D158" s="818" t="s">
        <v>38</v>
      </c>
      <c r="E158" s="173"/>
      <c r="F158" s="173"/>
      <c r="G158" s="174"/>
      <c r="H158" s="168"/>
      <c r="I158" s="269"/>
      <c r="J158" s="269"/>
      <c r="K158" s="465"/>
      <c r="L158" s="465"/>
      <c r="M158" s="465"/>
      <c r="N158" s="465"/>
      <c r="O158" s="465"/>
      <c r="P158" s="465"/>
    </row>
    <row r="159" spans="1:26" ht="19.5">
      <c r="A159" s="159"/>
      <c r="B159" s="33"/>
      <c r="C159" s="210"/>
      <c r="D159" s="281" t="s">
        <v>78</v>
      </c>
      <c r="E159" s="34"/>
      <c r="F159" s="33"/>
      <c r="G159" s="213"/>
      <c r="H159" s="168" t="s">
        <v>35</v>
      </c>
      <c r="I159" s="269">
        <f ca="1">IFERROR(__xludf.DUMMYFUNCTION("IMPORTRANGE(""https://docs.google.com/spreadsheets/d/1QqKyyYR6Q21VydFLVH3TRQUabQu_ym0Zz7PgGX0-kHA/edit?usp=sharing"",""แผน!X28"")"),20)</f>
        <v>20</v>
      </c>
      <c r="J159" s="214">
        <v>0</v>
      </c>
      <c r="K159" s="465">
        <f ca="1">IF(I159&gt;0,J159*100/I159,0)</f>
        <v>0</v>
      </c>
      <c r="L159" s="465"/>
      <c r="M159" s="465"/>
      <c r="N159" s="465"/>
      <c r="O159" s="465"/>
      <c r="P159" s="465"/>
    </row>
    <row r="160" spans="1:26" ht="19.5" hidden="1">
      <c r="A160" s="156"/>
      <c r="B160" s="40"/>
      <c r="C160" s="164"/>
      <c r="D160" s="222" t="s">
        <v>79</v>
      </c>
      <c r="E160" s="223"/>
      <c r="F160" s="40"/>
      <c r="G160" s="157"/>
      <c r="H160" s="169" t="s">
        <v>35</v>
      </c>
      <c r="I160" s="583"/>
      <c r="J160" s="583"/>
      <c r="K160" s="93"/>
      <c r="L160" s="93"/>
      <c r="M160" s="93"/>
      <c r="N160" s="93"/>
      <c r="O160" s="93"/>
      <c r="P160" s="93"/>
      <c r="Q160" s="224"/>
      <c r="R160" s="224"/>
      <c r="S160" s="224"/>
      <c r="T160" s="224"/>
      <c r="U160" s="224"/>
      <c r="V160" s="224"/>
      <c r="W160" s="224"/>
      <c r="X160" s="224"/>
      <c r="Y160" s="224"/>
      <c r="Z160" s="224"/>
    </row>
    <row r="161" spans="1:26" ht="19.5" hidden="1">
      <c r="A161" s="225"/>
      <c r="B161" s="226"/>
      <c r="C161" s="227"/>
      <c r="D161" s="228" t="s">
        <v>80</v>
      </c>
      <c r="E161" s="820"/>
      <c r="F161" s="226"/>
      <c r="G161" s="230"/>
      <c r="H161" s="231" t="s">
        <v>35</v>
      </c>
      <c r="I161" s="232"/>
      <c r="J161" s="232"/>
      <c r="K161" s="233"/>
      <c r="L161" s="233"/>
      <c r="M161" s="233"/>
      <c r="N161" s="233"/>
      <c r="O161" s="233"/>
      <c r="P161" s="233"/>
      <c r="Q161" s="224"/>
      <c r="R161" s="224"/>
      <c r="S161" s="224"/>
      <c r="T161" s="224"/>
      <c r="U161" s="224"/>
      <c r="V161" s="224"/>
      <c r="W161" s="224"/>
      <c r="X161" s="224"/>
      <c r="Y161" s="224"/>
      <c r="Z161" s="224"/>
    </row>
    <row r="162" spans="1:26" ht="19.5">
      <c r="A162" s="234" t="s">
        <v>81</v>
      </c>
      <c r="B162" s="235"/>
      <c r="C162" s="235"/>
      <c r="D162" s="235"/>
      <c r="E162" s="236"/>
      <c r="F162" s="236"/>
      <c r="G162" s="237"/>
      <c r="H162" s="238"/>
      <c r="I162" s="239"/>
      <c r="J162" s="239"/>
      <c r="K162" s="240"/>
      <c r="L162" s="240"/>
      <c r="M162" s="240"/>
      <c r="N162" s="240"/>
      <c r="O162" s="240"/>
      <c r="P162" s="240"/>
    </row>
    <row r="163" spans="1:26" ht="19.5">
      <c r="A163" s="241" t="s">
        <v>82</v>
      </c>
      <c r="B163" s="242"/>
      <c r="C163" s="242"/>
      <c r="D163" s="243"/>
      <c r="E163" s="243"/>
      <c r="F163" s="243"/>
      <c r="G163" s="244"/>
      <c r="H163" s="245"/>
      <c r="I163" s="246"/>
      <c r="J163" s="246"/>
      <c r="K163" s="247"/>
      <c r="L163" s="247"/>
      <c r="M163" s="247"/>
      <c r="N163" s="247"/>
      <c r="O163" s="247"/>
      <c r="P163" s="247"/>
    </row>
    <row r="164" spans="1:26" ht="19.5">
      <c r="A164" s="248"/>
      <c r="B164" s="249" t="s">
        <v>83</v>
      </c>
      <c r="C164" s="250"/>
      <c r="D164" s="173"/>
      <c r="E164" s="173"/>
      <c r="F164" s="173"/>
      <c r="G164" s="174"/>
      <c r="H164" s="251" t="s">
        <v>35</v>
      </c>
      <c r="I164" s="252">
        <f t="shared" ref="I164:J164" ca="1" si="83">I174+I177</f>
        <v>11</v>
      </c>
      <c r="J164" s="252">
        <f t="shared" si="83"/>
        <v>0</v>
      </c>
      <c r="K164" s="253">
        <f ca="1">IF(I164&gt;0,J164*100/I164,0)</f>
        <v>0</v>
      </c>
      <c r="L164" s="254"/>
      <c r="M164" s="254"/>
      <c r="N164" s="254"/>
      <c r="O164" s="254"/>
      <c r="P164" s="254"/>
    </row>
    <row r="165" spans="1:26" ht="19.5">
      <c r="A165" s="147"/>
      <c r="B165" s="148"/>
      <c r="C165" s="149" t="s">
        <v>16</v>
      </c>
      <c r="D165" s="817" t="s">
        <v>17</v>
      </c>
      <c r="E165" s="148"/>
      <c r="F165" s="148"/>
      <c r="G165" s="151"/>
      <c r="H165" s="152" t="s">
        <v>12</v>
      </c>
      <c r="I165" s="388"/>
      <c r="J165" s="388"/>
      <c r="K165" s="154"/>
      <c r="L165" s="155">
        <f t="shared" ref="L165:N165" ca="1" si="84">L166+L167</f>
        <v>22055</v>
      </c>
      <c r="M165" s="155">
        <f t="shared" ca="1" si="84"/>
        <v>22055</v>
      </c>
      <c r="N165" s="155">
        <f t="shared" ca="1" si="84"/>
        <v>22055</v>
      </c>
      <c r="O165" s="155">
        <f t="shared" ref="O165:O173" ca="1" si="85">IF(L165&gt;0,N165*100/L165,0)</f>
        <v>100</v>
      </c>
      <c r="P165" s="155">
        <f t="shared" ref="P165:P173" ca="1" si="86">IF(M165&gt;0,N165*100/M165,0)</f>
        <v>100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2" t="s">
        <v>18</v>
      </c>
      <c r="F166" s="40"/>
      <c r="G166" s="157"/>
      <c r="H166" s="158" t="s">
        <v>12</v>
      </c>
      <c r="I166" s="583"/>
      <c r="J166" s="583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2" t="s">
        <v>19</v>
      </c>
      <c r="F167" s="40"/>
      <c r="G167" s="157"/>
      <c r="H167" s="158" t="s">
        <v>12</v>
      </c>
      <c r="I167" s="583"/>
      <c r="J167" s="583"/>
      <c r="K167" s="93"/>
      <c r="L167" s="93">
        <f t="shared" ca="1" si="87"/>
        <v>22055</v>
      </c>
      <c r="M167" s="93">
        <f t="shared" ca="1" si="87"/>
        <v>22055</v>
      </c>
      <c r="N167" s="93">
        <f t="shared" ca="1" si="87"/>
        <v>22055</v>
      </c>
      <c r="O167" s="93">
        <f t="shared" ca="1" si="85"/>
        <v>100</v>
      </c>
      <c r="P167" s="93">
        <f t="shared" ca="1" si="86"/>
        <v>100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1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65">
        <f t="shared" ref="L168:N168" ca="1" si="88">L169+L170</f>
        <v>22055</v>
      </c>
      <c r="M168" s="465">
        <f t="shared" ca="1" si="88"/>
        <v>22055</v>
      </c>
      <c r="N168" s="465">
        <f t="shared" ca="1" si="88"/>
        <v>22055</v>
      </c>
      <c r="O168" s="465">
        <f t="shared" ca="1" si="85"/>
        <v>100</v>
      </c>
      <c r="P168" s="465">
        <f t="shared" ca="1" si="86"/>
        <v>100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2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2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IFERROR(__xludf.DUMMYFUNCTION("IMPORTRANGE(""https://docs.google.com/spreadsheets/d/1MeEWN-I1oV_STSDYn1IFDPWt_1FKiwhDph83XaGc0o0/edit?usp=sharing"",""งบพรบ!CE28"")"),22055)</f>
        <v>22055</v>
      </c>
      <c r="M170" s="93">
        <f ca="1">IFERROR(__xludf.DUMMYFUNCTION("IMPORTRANGE(""https://docs.google.com/spreadsheets/d/1MeEWN-I1oV_STSDYn1IFDPWt_1FKiwhDph83XaGc0o0/edit?usp=sharing"",""งบพรบ!CJ28"")"),22055)</f>
        <v>22055</v>
      </c>
      <c r="N170" s="93">
        <f ca="1">IFERROR(__xludf.DUMMYFUNCTION("IMPORTRANGE(""https://docs.google.com/spreadsheets/d/1MeEWN-I1oV_STSDYn1IFDPWt_1FKiwhDph83XaGc0o0/edit?usp=sharing"",""งบพรบ!CL28"")"),22055)</f>
        <v>22055</v>
      </c>
      <c r="O170" s="93">
        <f t="shared" ca="1" si="85"/>
        <v>100</v>
      </c>
      <c r="P170" s="93">
        <f t="shared" ca="1" si="86"/>
        <v>100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1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65">
        <f t="shared" ref="L171:N171" ca="1" si="89">L172+L173</f>
        <v>0</v>
      </c>
      <c r="M171" s="465">
        <f t="shared" ca="1" si="89"/>
        <v>0</v>
      </c>
      <c r="N171" s="465">
        <f t="shared" ca="1" si="89"/>
        <v>0</v>
      </c>
      <c r="O171" s="465">
        <f t="shared" ca="1" si="85"/>
        <v>0</v>
      </c>
      <c r="P171" s="465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2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2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IFERROR(__xludf.DUMMYFUNCTION("IMPORTRANGE(""https://docs.google.com/spreadsheets/d/1MeEWN-I1oV_STSDYn1IFDPWt_1FKiwhDph83XaGc0o0/edit?usp=sharing"",""งบพรบ!CH28"")"),0)</f>
        <v>0</v>
      </c>
      <c r="M173" s="93">
        <f ca="1">IFERROR(__xludf.DUMMYFUNCTION("IMPORTRANGE(""https://docs.google.com/spreadsheets/d/1MeEWN-I1oV_STSDYn1IFDPWt_1FKiwhDph83XaGc0o0/edit?usp=sharing"",""งบพรบ!CK28"")"),0)</f>
        <v>0</v>
      </c>
      <c r="N173" s="93">
        <f ca="1">IFERROR(__xludf.DUMMYFUNCTION("IMPORTRANGE(""https://docs.google.com/spreadsheets/d/1MeEWN-I1oV_STSDYn1IFDPWt_1FKiwhDph83XaGc0o0/edit?usp=sharing"",""งบพรบ!CM28"")"),0)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5"/>
      <c r="B174" s="256"/>
      <c r="C174" s="257" t="s">
        <v>84</v>
      </c>
      <c r="D174" s="256"/>
      <c r="E174" s="256"/>
      <c r="F174" s="256"/>
      <c r="G174" s="258"/>
      <c r="H174" s="259" t="s">
        <v>35</v>
      </c>
      <c r="I174" s="260">
        <f t="shared" ref="I174:J174" ca="1" si="90">I176</f>
        <v>11</v>
      </c>
      <c r="J174" s="260">
        <f t="shared" si="90"/>
        <v>0</v>
      </c>
      <c r="K174" s="261">
        <f ca="1">IF(I174&gt;0,J174*100/I174,0)</f>
        <v>0</v>
      </c>
      <c r="L174" s="261"/>
      <c r="M174" s="261"/>
      <c r="N174" s="261"/>
      <c r="O174" s="261"/>
      <c r="P174" s="261"/>
    </row>
    <row r="175" spans="1:26" ht="19.5">
      <c r="A175" s="170"/>
      <c r="B175" s="171"/>
      <c r="C175" s="164" t="s">
        <v>16</v>
      </c>
      <c r="D175" s="818" t="s">
        <v>38</v>
      </c>
      <c r="E175" s="173"/>
      <c r="F175" s="173"/>
      <c r="G175" s="174"/>
      <c r="H175" s="726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10" t="s">
        <v>85</v>
      </c>
      <c r="E176" s="342"/>
      <c r="F176" s="342"/>
      <c r="G176" s="179"/>
      <c r="H176" s="589" t="s">
        <v>35</v>
      </c>
      <c r="I176" s="269">
        <f ca="1">IFERROR(__xludf.DUMMYFUNCTION("IMPORTRANGE(""https://docs.google.com/spreadsheets/d/1QqKyyYR6Q21VydFLVH3TRQUabQu_ym0Zz7PgGX0-kHA/edit?usp=sharing"",""แผน!Y28"")"),11)</f>
        <v>11</v>
      </c>
      <c r="J176" s="214">
        <v>0</v>
      </c>
      <c r="K176" s="163">
        <f ca="1">IF(I176&gt;0,J176*100/I176,0)</f>
        <v>0</v>
      </c>
      <c r="L176" s="163"/>
      <c r="M176" s="163"/>
      <c r="N176" s="163"/>
      <c r="O176" s="163"/>
      <c r="P176" s="163"/>
    </row>
    <row r="177" spans="1:26" ht="19.5" hidden="1">
      <c r="A177" s="255"/>
      <c r="B177" s="263"/>
      <c r="C177" s="264" t="s">
        <v>86</v>
      </c>
      <c r="D177" s="263"/>
      <c r="E177" s="256"/>
      <c r="F177" s="256"/>
      <c r="G177" s="258"/>
      <c r="H177" s="265" t="s">
        <v>35</v>
      </c>
      <c r="I177" s="260"/>
      <c r="J177" s="260">
        <f>J179</f>
        <v>0</v>
      </c>
      <c r="K177" s="261"/>
      <c r="L177" s="261"/>
      <c r="M177" s="261"/>
      <c r="N177" s="261"/>
      <c r="O177" s="261"/>
      <c r="P177" s="261"/>
    </row>
    <row r="178" spans="1:26" ht="19.5" hidden="1">
      <c r="A178" s="170"/>
      <c r="B178" s="171"/>
      <c r="C178" s="164" t="s">
        <v>16</v>
      </c>
      <c r="D178" s="266" t="s">
        <v>38</v>
      </c>
      <c r="E178" s="173"/>
      <c r="F178" s="173"/>
      <c r="G178" s="174"/>
      <c r="H178" s="726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267" t="s">
        <v>87</v>
      </c>
      <c r="E179" s="342"/>
      <c r="F179" s="268"/>
      <c r="G179" s="179"/>
      <c r="H179" s="43" t="s">
        <v>35</v>
      </c>
      <c r="I179" s="269"/>
      <c r="J179" s="269"/>
      <c r="K179" s="163"/>
      <c r="L179" s="163"/>
      <c r="M179" s="163"/>
      <c r="N179" s="163"/>
      <c r="O179" s="163"/>
      <c r="P179" s="163"/>
    </row>
    <row r="180" spans="1:26" ht="19.5">
      <c r="A180" s="248"/>
      <c r="B180" s="249" t="s">
        <v>88</v>
      </c>
      <c r="C180" s="250"/>
      <c r="D180" s="173"/>
      <c r="E180" s="173"/>
      <c r="F180" s="173"/>
      <c r="G180" s="174"/>
      <c r="H180" s="251" t="s">
        <v>35</v>
      </c>
      <c r="I180" s="821"/>
      <c r="J180" s="821">
        <f>J225+J226</f>
        <v>0</v>
      </c>
      <c r="K180" s="254">
        <f>IF(I180&gt;0,J180*100/I180,0)</f>
        <v>0</v>
      </c>
      <c r="L180" s="254"/>
      <c r="M180" s="254"/>
      <c r="N180" s="254"/>
      <c r="O180" s="254"/>
      <c r="P180" s="254"/>
    </row>
    <row r="181" spans="1:26" ht="19.5">
      <c r="A181" s="147"/>
      <c r="B181" s="148"/>
      <c r="C181" s="149" t="s">
        <v>16</v>
      </c>
      <c r="D181" s="817" t="s">
        <v>17</v>
      </c>
      <c r="E181" s="148"/>
      <c r="F181" s="148"/>
      <c r="G181" s="151"/>
      <c r="H181" s="152" t="s">
        <v>12</v>
      </c>
      <c r="I181" s="388"/>
      <c r="J181" s="388"/>
      <c r="K181" s="154"/>
      <c r="L181" s="155">
        <f t="shared" ref="L181:N181" ca="1" si="91">L182+L183</f>
        <v>76500</v>
      </c>
      <c r="M181" s="155">
        <f t="shared" ca="1" si="91"/>
        <v>39000</v>
      </c>
      <c r="N181" s="155">
        <f t="shared" ca="1" si="91"/>
        <v>0</v>
      </c>
      <c r="O181" s="155">
        <f t="shared" ref="O181:O189" ca="1" si="92">IF(L181&gt;0,N181*100/L181,0)</f>
        <v>0</v>
      </c>
      <c r="P181" s="155">
        <f t="shared" ref="P181:P189" ca="1" si="93">IF(M181&gt;0,N181*100/M181,0)</f>
        <v>0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2" t="s">
        <v>18</v>
      </c>
      <c r="F182" s="40"/>
      <c r="G182" s="157"/>
      <c r="H182" s="158" t="s">
        <v>12</v>
      </c>
      <c r="I182" s="583"/>
      <c r="J182" s="583"/>
      <c r="K182" s="93"/>
      <c r="L182" s="93">
        <f t="shared" ref="L182:N183" si="94">L185+L188</f>
        <v>0</v>
      </c>
      <c r="M182" s="93">
        <f t="shared" si="94"/>
        <v>0</v>
      </c>
      <c r="N182" s="93">
        <f t="shared" si="94"/>
        <v>0</v>
      </c>
      <c r="O182" s="93">
        <f t="shared" si="92"/>
        <v>0</v>
      </c>
      <c r="P182" s="93">
        <f t="shared" si="93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2" t="s">
        <v>19</v>
      </c>
      <c r="F183" s="40"/>
      <c r="G183" s="157"/>
      <c r="H183" s="158" t="s">
        <v>12</v>
      </c>
      <c r="I183" s="583"/>
      <c r="J183" s="583"/>
      <c r="K183" s="93"/>
      <c r="L183" s="93">
        <f t="shared" ca="1" si="94"/>
        <v>76500</v>
      </c>
      <c r="M183" s="93">
        <f t="shared" ca="1" si="94"/>
        <v>39000</v>
      </c>
      <c r="N183" s="93">
        <f t="shared" ca="1" si="94"/>
        <v>0</v>
      </c>
      <c r="O183" s="93">
        <f t="shared" ca="1" si="92"/>
        <v>0</v>
      </c>
      <c r="P183" s="93">
        <f t="shared" ca="1" si="93"/>
        <v>0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1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65">
        <f t="shared" ref="L184:N184" ca="1" si="95">L185+L186</f>
        <v>76500</v>
      </c>
      <c r="M184" s="465">
        <f t="shared" ca="1" si="95"/>
        <v>39000</v>
      </c>
      <c r="N184" s="465">
        <f t="shared" ca="1" si="95"/>
        <v>0</v>
      </c>
      <c r="O184" s="465">
        <f t="shared" ca="1" si="92"/>
        <v>0</v>
      </c>
      <c r="P184" s="465">
        <f t="shared" ca="1" si="93"/>
        <v>0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2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2"/>
        <v>0</v>
      </c>
      <c r="P185" s="93">
        <f t="shared" si="93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2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IFERROR(__xludf.DUMMYFUNCTION("IMPORTRANGE(""https://docs.google.com/spreadsheets/d/1MeEWN-I1oV_STSDYn1IFDPWt_1FKiwhDph83XaGc0o0/edit?usp=sharing"",""งบพรบ!CO28"")"),76500)</f>
        <v>76500</v>
      </c>
      <c r="M186" s="93">
        <f ca="1">IFERROR(__xludf.DUMMYFUNCTION("IMPORTRANGE(""https://docs.google.com/spreadsheets/d/1MeEWN-I1oV_STSDYn1IFDPWt_1FKiwhDph83XaGc0o0/edit?usp=sharing"",""งบพรบ!CT28"")"),39000)</f>
        <v>39000</v>
      </c>
      <c r="N186" s="93">
        <f ca="1">IFERROR(__xludf.DUMMYFUNCTION("IMPORTRANGE(""https://docs.google.com/spreadsheets/d/1MeEWN-I1oV_STSDYn1IFDPWt_1FKiwhDph83XaGc0o0/edit?usp=sharing"",""งบพรบ!CV28"")"),0)</f>
        <v>0</v>
      </c>
      <c r="O186" s="93">
        <f t="shared" ca="1" si="92"/>
        <v>0</v>
      </c>
      <c r="P186" s="93">
        <f t="shared" ca="1" si="93"/>
        <v>0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1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65">
        <f t="shared" ref="L187:N187" ca="1" si="96">L188+L189</f>
        <v>0</v>
      </c>
      <c r="M187" s="465">
        <f t="shared" ca="1" si="96"/>
        <v>0</v>
      </c>
      <c r="N187" s="465">
        <f t="shared" ca="1" si="96"/>
        <v>0</v>
      </c>
      <c r="O187" s="465">
        <f t="shared" ca="1" si="92"/>
        <v>0</v>
      </c>
      <c r="P187" s="465">
        <f t="shared" ca="1" si="93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2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2"/>
        <v>0</v>
      </c>
      <c r="P188" s="93">
        <f t="shared" si="93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2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IFERROR(__xludf.DUMMYFUNCTION("IMPORTRANGE(""https://docs.google.com/spreadsheets/d/1MeEWN-I1oV_STSDYn1IFDPWt_1FKiwhDph83XaGc0o0/edit?usp=sharing"",""งบพรบ!CR28"")"),0)</f>
        <v>0</v>
      </c>
      <c r="M189" s="93">
        <f ca="1">IFERROR(__xludf.DUMMYFUNCTION("IMPORTRANGE(""https://docs.google.com/spreadsheets/d/1MeEWN-I1oV_STSDYn1IFDPWt_1FKiwhDph83XaGc0o0/edit?usp=sharing"",""งบพรบ!CU28"")"),0)</f>
        <v>0</v>
      </c>
      <c r="N189" s="93">
        <f ca="1">IFERROR(__xludf.DUMMYFUNCTION("IMPORTRANGE(""https://docs.google.com/spreadsheets/d/1MeEWN-I1oV_STSDYn1IFDPWt_1FKiwhDph83XaGc0o0/edit?usp=sharing"",""งบพรบ!CW28"")"),0)</f>
        <v>0</v>
      </c>
      <c r="O189" s="93">
        <f t="shared" ca="1" si="92"/>
        <v>0</v>
      </c>
      <c r="P189" s="93">
        <f t="shared" ca="1" si="93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5"/>
      <c r="B190" s="263"/>
      <c r="C190" s="339" t="s">
        <v>89</v>
      </c>
      <c r="D190" s="256"/>
      <c r="E190" s="256"/>
      <c r="F190" s="256"/>
      <c r="G190" s="258"/>
      <c r="H190" s="259" t="s">
        <v>90</v>
      </c>
      <c r="I190" s="271">
        <f t="shared" ref="I190:J190" ca="1" si="97">I193</f>
        <v>4</v>
      </c>
      <c r="J190" s="271">
        <f t="shared" si="97"/>
        <v>0</v>
      </c>
      <c r="K190" s="272">
        <f ca="1">IF(I190&gt;0,J190*100/I190,0)</f>
        <v>0</v>
      </c>
      <c r="L190" s="261"/>
      <c r="M190" s="261"/>
      <c r="N190" s="261"/>
      <c r="O190" s="261"/>
      <c r="P190" s="261"/>
    </row>
    <row r="191" spans="1:26" ht="19.5">
      <c r="A191" s="147"/>
      <c r="B191" s="148"/>
      <c r="C191" s="149" t="s">
        <v>16</v>
      </c>
      <c r="D191" s="822" t="s">
        <v>17</v>
      </c>
      <c r="E191" s="148"/>
      <c r="F191" s="148"/>
      <c r="G191" s="151"/>
      <c r="H191" s="274" t="s">
        <v>12</v>
      </c>
      <c r="I191" s="388"/>
      <c r="J191" s="388"/>
      <c r="K191" s="154"/>
      <c r="L191" s="155">
        <f ca="1">IFERROR(__xludf.DUMMYFUNCTION("IMPORTRANGE(""https://docs.google.com/spreadsheets/d/1QqKyyYR6Q21VydFLVH3TRQUabQu_ym0Zz7PgGX0-kHA/edit?usp=sharing"",""แผน!Z28"")"),6000)</f>
        <v>6000</v>
      </c>
      <c r="M191" s="155"/>
      <c r="N191" s="275">
        <v>0</v>
      </c>
      <c r="O191" s="155">
        <f ca="1">IF(L191&gt;0,N191*100/L191,0)</f>
        <v>0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0" t="s">
        <v>16</v>
      </c>
      <c r="D192" s="818" t="s">
        <v>38</v>
      </c>
      <c r="E192" s="173"/>
      <c r="F192" s="173"/>
      <c r="G192" s="174"/>
      <c r="H192" s="726"/>
      <c r="I192" s="269"/>
      <c r="J192" s="269"/>
      <c r="K192" s="465"/>
      <c r="L192" s="465"/>
      <c r="M192" s="465"/>
      <c r="N192" s="465"/>
      <c r="O192" s="465"/>
      <c r="P192" s="465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15" t="s">
        <v>91</v>
      </c>
      <c r="E193" s="342"/>
      <c r="F193" s="342"/>
      <c r="G193" s="179"/>
      <c r="H193" s="728" t="s">
        <v>90</v>
      </c>
      <c r="I193" s="269">
        <f ca="1">IFERROR(__xludf.DUMMYFUNCTION("IMPORTRANGE(""https://docs.google.com/spreadsheets/d/1QqKyyYR6Q21VydFLVH3TRQUabQu_ym0Zz7PgGX0-kHA/edit?usp=sharing"",""แผน!AC28"")"),4)</f>
        <v>4</v>
      </c>
      <c r="J193" s="214">
        <v>0</v>
      </c>
      <c r="K193" s="465">
        <f ca="1">IF(I193&gt;0,J193*100/I193,0)</f>
        <v>0</v>
      </c>
      <c r="L193" s="465"/>
      <c r="M193" s="465"/>
      <c r="N193" s="465"/>
      <c r="O193" s="465"/>
      <c r="P193" s="465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15" t="s">
        <v>92</v>
      </c>
      <c r="E194" s="342"/>
      <c r="F194" s="342"/>
      <c r="G194" s="179"/>
      <c r="H194" s="276" t="s">
        <v>35</v>
      </c>
      <c r="I194" s="269"/>
      <c r="J194" s="269">
        <f>J195+J196</f>
        <v>0</v>
      </c>
      <c r="K194" s="465"/>
      <c r="L194" s="465"/>
      <c r="M194" s="465"/>
      <c r="N194" s="465"/>
      <c r="O194" s="465"/>
      <c r="P194" s="465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15" t="s">
        <v>93</v>
      </c>
      <c r="F195" s="342"/>
      <c r="G195" s="179"/>
      <c r="H195" s="276" t="s">
        <v>35</v>
      </c>
      <c r="I195" s="269"/>
      <c r="J195" s="214">
        <v>0</v>
      </c>
      <c r="K195" s="465"/>
      <c r="L195" s="465"/>
      <c r="M195" s="465"/>
      <c r="N195" s="465"/>
      <c r="O195" s="465"/>
      <c r="P195" s="465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15" t="s">
        <v>94</v>
      </c>
      <c r="F196" s="342"/>
      <c r="G196" s="179"/>
      <c r="H196" s="276" t="s">
        <v>35</v>
      </c>
      <c r="I196" s="269"/>
      <c r="J196" s="214">
        <v>0</v>
      </c>
      <c r="K196" s="465"/>
      <c r="L196" s="465"/>
      <c r="M196" s="465"/>
      <c r="N196" s="465"/>
      <c r="O196" s="465"/>
      <c r="P196" s="465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5"/>
      <c r="B197" s="263"/>
      <c r="C197" s="339" t="s">
        <v>95</v>
      </c>
      <c r="D197" s="256"/>
      <c r="E197" s="256"/>
      <c r="F197" s="256"/>
      <c r="G197" s="258"/>
      <c r="H197" s="277" t="s">
        <v>96</v>
      </c>
      <c r="I197" s="271">
        <f t="shared" ref="I197:J197" ca="1" si="98">I204</f>
        <v>4</v>
      </c>
      <c r="J197" s="271">
        <f t="shared" si="98"/>
        <v>0</v>
      </c>
      <c r="K197" s="272">
        <f ca="1">IF(I197&gt;0,J197*100/I197,0)</f>
        <v>0</v>
      </c>
      <c r="L197" s="261"/>
      <c r="M197" s="261"/>
      <c r="N197" s="261"/>
      <c r="O197" s="261"/>
      <c r="P197" s="261"/>
    </row>
    <row r="198" spans="1:26" ht="19.5">
      <c r="A198" s="147"/>
      <c r="B198" s="148"/>
      <c r="C198" s="149" t="s">
        <v>16</v>
      </c>
      <c r="D198" s="822" t="s">
        <v>17</v>
      </c>
      <c r="E198" s="148"/>
      <c r="F198" s="148"/>
      <c r="G198" s="151"/>
      <c r="H198" s="274" t="s">
        <v>12</v>
      </c>
      <c r="I198" s="387"/>
      <c r="J198" s="387"/>
      <c r="K198" s="279"/>
      <c r="L198" s="155">
        <f ca="1">L199+L200+L201+L202</f>
        <v>52000</v>
      </c>
      <c r="M198" s="155"/>
      <c r="N198" s="155">
        <f>N199+N200+N201+N202</f>
        <v>0</v>
      </c>
      <c r="O198" s="155">
        <f ca="1">IF(L198&gt;0,N198*100/L198,0)</f>
        <v>0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0"/>
      <c r="C199" s="33"/>
      <c r="D199" s="281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65">
        <f ca="1">IFERROR(__xludf.DUMMYFUNCTION("IMPORTRANGE(""https://docs.google.com/spreadsheets/d/1QqKyyYR6Q21VydFLVH3TRQUabQu_ym0Zz7PgGX0-kHA/edit?usp=sharing"",""แผน!AE28"")"),4000)</f>
        <v>4000</v>
      </c>
      <c r="M199" s="465"/>
      <c r="N199" s="789">
        <v>0</v>
      </c>
      <c r="O199" s="465"/>
      <c r="P199" s="465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3"/>
      <c r="B200" s="280"/>
      <c r="C200" s="210"/>
      <c r="D200" s="281" t="s">
        <v>98</v>
      </c>
      <c r="E200" s="33"/>
      <c r="F200" s="33"/>
      <c r="G200" s="35"/>
      <c r="H200" s="589" t="s">
        <v>12</v>
      </c>
      <c r="I200" s="269"/>
      <c r="J200" s="269"/>
      <c r="K200" s="465"/>
      <c r="L200" s="465">
        <f ca="1">IFERROR(__xludf.DUMMYFUNCTION("IMPORTRANGE(""https://docs.google.com/spreadsheets/d/1QqKyyYR6Q21VydFLVH3TRQUabQu_ym0Zz7PgGX0-kHA/edit?usp=sharing"",""แผน!AF28"")"),32000)</f>
        <v>32000</v>
      </c>
      <c r="M200" s="465"/>
      <c r="N200" s="789">
        <v>0</v>
      </c>
      <c r="O200" s="465"/>
      <c r="P200" s="465"/>
      <c r="Q200" s="285"/>
      <c r="R200" s="285"/>
      <c r="S200" s="285"/>
      <c r="T200" s="285"/>
      <c r="U200" s="285"/>
      <c r="V200" s="285"/>
      <c r="W200" s="285"/>
      <c r="X200" s="285"/>
      <c r="Y200" s="285"/>
      <c r="Z200" s="285"/>
    </row>
    <row r="201" spans="1:26" ht="19.5">
      <c r="A201" s="283"/>
      <c r="B201" s="280"/>
      <c r="C201" s="210"/>
      <c r="D201" s="281" t="s">
        <v>99</v>
      </c>
      <c r="E201" s="33"/>
      <c r="F201" s="33"/>
      <c r="G201" s="35"/>
      <c r="H201" s="589" t="s">
        <v>12</v>
      </c>
      <c r="I201" s="269"/>
      <c r="J201" s="269"/>
      <c r="K201" s="465"/>
      <c r="L201" s="465">
        <f ca="1">IFERROR(__xludf.DUMMYFUNCTION("IMPORTRANGE(""https://docs.google.com/spreadsheets/d/1QqKyyYR6Q21VydFLVH3TRQUabQu_ym0Zz7PgGX0-kHA/edit?usp=sharing"",""แผน!AG28"")"),16000)</f>
        <v>16000</v>
      </c>
      <c r="M201" s="465"/>
      <c r="N201" s="789">
        <v>0</v>
      </c>
      <c r="O201" s="465"/>
      <c r="P201" s="465"/>
      <c r="Q201" s="285"/>
      <c r="R201" s="285"/>
      <c r="S201" s="285"/>
      <c r="T201" s="285"/>
      <c r="U201" s="285"/>
      <c r="V201" s="285"/>
      <c r="W201" s="285"/>
      <c r="X201" s="285"/>
      <c r="Y201" s="285"/>
      <c r="Z201" s="285"/>
    </row>
    <row r="202" spans="1:26" ht="19.5">
      <c r="A202" s="283"/>
      <c r="B202" s="280"/>
      <c r="C202" s="210"/>
      <c r="D202" s="281" t="s">
        <v>100</v>
      </c>
      <c r="E202" s="33"/>
      <c r="F202" s="33"/>
      <c r="G202" s="35"/>
      <c r="H202" s="589" t="s">
        <v>12</v>
      </c>
      <c r="I202" s="269"/>
      <c r="J202" s="269"/>
      <c r="K202" s="465"/>
      <c r="L202" s="465">
        <f ca="1">IFERROR(__xludf.DUMMYFUNCTION("IMPORTRANGE(""https://docs.google.com/spreadsheets/d/1QqKyyYR6Q21VydFLVH3TRQUabQu_ym0Zz7PgGX0-kHA/edit?usp=sharing"",""แผน!AH28"")"),0)</f>
        <v>0</v>
      </c>
      <c r="M202" s="465"/>
      <c r="N202" s="789">
        <v>0</v>
      </c>
      <c r="O202" s="465"/>
      <c r="P202" s="465"/>
      <c r="Q202" s="285"/>
      <c r="R202" s="285"/>
      <c r="S202" s="285"/>
      <c r="T202" s="285"/>
      <c r="U202" s="285"/>
      <c r="V202" s="285"/>
      <c r="W202" s="285"/>
      <c r="X202" s="285"/>
      <c r="Y202" s="285"/>
      <c r="Z202" s="285"/>
    </row>
    <row r="203" spans="1:26" ht="19.5">
      <c r="A203" s="170"/>
      <c r="B203" s="171"/>
      <c r="C203" s="210" t="s">
        <v>16</v>
      </c>
      <c r="D203" s="818" t="s">
        <v>38</v>
      </c>
      <c r="E203" s="173"/>
      <c r="F203" s="173"/>
      <c r="G203" s="174"/>
      <c r="H203" s="726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343" t="s">
        <v>101</v>
      </c>
      <c r="E204" s="342"/>
      <c r="F204" s="342"/>
      <c r="G204" s="179"/>
      <c r="H204" s="726" t="s">
        <v>96</v>
      </c>
      <c r="I204" s="269">
        <f ca="1">IFERROR(__xludf.DUMMYFUNCTION("IMPORTRANGE(""https://docs.google.com/spreadsheets/d/1QqKyyYR6Q21VydFLVH3TRQUabQu_ym0Zz7PgGX0-kHA/edit?usp=sharing"",""แผน!AI28"")"),4)</f>
        <v>4</v>
      </c>
      <c r="J204" s="214">
        <v>0</v>
      </c>
      <c r="K204" s="163">
        <f ca="1">IF(I204&gt;0,J204*100/I204,0)</f>
        <v>0</v>
      </c>
      <c r="L204" s="465"/>
      <c r="M204" s="465"/>
      <c r="N204" s="465"/>
      <c r="O204" s="465"/>
      <c r="P204" s="465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15" t="s">
        <v>59</v>
      </c>
      <c r="E205" s="342"/>
      <c r="F205" s="342"/>
      <c r="G205" s="179"/>
      <c r="H205" s="726"/>
      <c r="I205" s="269"/>
      <c r="J205" s="269"/>
      <c r="K205" s="163"/>
      <c r="L205" s="465"/>
      <c r="M205" s="465"/>
      <c r="N205" s="465"/>
      <c r="O205" s="465"/>
      <c r="P205" s="465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342"/>
      <c r="E206" s="494" t="s">
        <v>102</v>
      </c>
      <c r="F206" s="286"/>
      <c r="G206" s="287"/>
      <c r="H206" s="288" t="s">
        <v>96</v>
      </c>
      <c r="I206" s="269">
        <v>4</v>
      </c>
      <c r="J206" s="214">
        <v>0</v>
      </c>
      <c r="K206" s="163">
        <f t="shared" ref="K206:K208" si="99">IF(I206&gt;0,J206*100/I206,0)</f>
        <v>0</v>
      </c>
      <c r="L206" s="465"/>
      <c r="M206" s="465"/>
      <c r="N206" s="465"/>
      <c r="O206" s="465"/>
      <c r="P206" s="465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15"/>
      <c r="E207" s="415" t="s">
        <v>103</v>
      </c>
      <c r="F207" s="342"/>
      <c r="G207" s="342"/>
      <c r="H207" s="289" t="s">
        <v>104</v>
      </c>
      <c r="I207" s="269">
        <v>0</v>
      </c>
      <c r="J207" s="214">
        <v>0</v>
      </c>
      <c r="K207" s="163">
        <f t="shared" si="99"/>
        <v>0</v>
      </c>
      <c r="L207" s="465"/>
      <c r="M207" s="465"/>
      <c r="N207" s="465"/>
      <c r="O207" s="465"/>
      <c r="P207" s="465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 hidden="1">
      <c r="A208" s="255"/>
      <c r="B208" s="263"/>
      <c r="C208" s="339" t="s">
        <v>105</v>
      </c>
      <c r="D208" s="256"/>
      <c r="E208" s="256"/>
      <c r="F208" s="290"/>
      <c r="G208" s="258"/>
      <c r="H208" s="277" t="s">
        <v>96</v>
      </c>
      <c r="I208" s="271">
        <f t="shared" ref="I208:J208" ca="1" si="100">I215</f>
        <v>0</v>
      </c>
      <c r="J208" s="271">
        <f t="shared" si="100"/>
        <v>0</v>
      </c>
      <c r="K208" s="272">
        <f t="shared" ca="1" si="99"/>
        <v>0</v>
      </c>
      <c r="L208" s="261"/>
      <c r="M208" s="261"/>
      <c r="N208" s="261"/>
      <c r="O208" s="261"/>
      <c r="P208" s="261"/>
    </row>
    <row r="209" spans="1:26" ht="19.5" hidden="1">
      <c r="A209" s="147"/>
      <c r="B209" s="148"/>
      <c r="C209" s="149" t="s">
        <v>16</v>
      </c>
      <c r="D209" s="822" t="s">
        <v>17</v>
      </c>
      <c r="E209" s="148"/>
      <c r="F209" s="148"/>
      <c r="G209" s="151"/>
      <c r="H209" s="274" t="s">
        <v>12</v>
      </c>
      <c r="I209" s="387"/>
      <c r="J209" s="387"/>
      <c r="K209" s="279"/>
      <c r="L209" s="155">
        <f ca="1">L210+L211+L212</f>
        <v>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 hidden="1">
      <c r="A210" s="159"/>
      <c r="B210" s="280"/>
      <c r="C210" s="33"/>
      <c r="D210" s="281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65">
        <f ca="1">IFERROR(__xludf.DUMMYFUNCTION("IMPORTRANGE(""https://docs.google.com/spreadsheets/d/1QqKyyYR6Q21VydFLVH3TRQUabQu_ym0Zz7PgGX0-kHA/edit?usp=sharing"",""แผน!AK28"")"),0)</f>
        <v>0</v>
      </c>
      <c r="M210" s="465"/>
      <c r="N210" s="789">
        <v>0</v>
      </c>
      <c r="O210" s="465"/>
      <c r="P210" s="465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 hidden="1">
      <c r="A211" s="283"/>
      <c r="B211" s="280"/>
      <c r="C211" s="291"/>
      <c r="D211" s="281" t="s">
        <v>99</v>
      </c>
      <c r="E211" s="33"/>
      <c r="F211" s="33"/>
      <c r="G211" s="35"/>
      <c r="H211" s="161" t="s">
        <v>12</v>
      </c>
      <c r="I211" s="269"/>
      <c r="J211" s="269"/>
      <c r="K211" s="465"/>
      <c r="L211" s="465">
        <f ca="1">IFERROR(__xludf.DUMMYFUNCTION("IMPORTRANGE(""https://docs.google.com/spreadsheets/d/1QqKyyYR6Q21VydFLVH3TRQUabQu_ym0Zz7PgGX0-kHA/edit?usp=sharing"",""แผน!AL28"")"),0)</f>
        <v>0</v>
      </c>
      <c r="M211" s="465"/>
      <c r="N211" s="789">
        <v>0</v>
      </c>
      <c r="O211" s="465"/>
      <c r="P211" s="465"/>
      <c r="Q211" s="285"/>
      <c r="R211" s="285"/>
      <c r="S211" s="285"/>
      <c r="T211" s="285"/>
      <c r="U211" s="285"/>
      <c r="V211" s="285"/>
      <c r="W211" s="285"/>
      <c r="X211" s="285"/>
      <c r="Y211" s="285"/>
      <c r="Z211" s="285"/>
    </row>
    <row r="212" spans="1:26" ht="19.5" hidden="1">
      <c r="A212" s="283"/>
      <c r="B212" s="280"/>
      <c r="C212" s="291"/>
      <c r="D212" s="281" t="s">
        <v>98</v>
      </c>
      <c r="E212" s="33"/>
      <c r="F212" s="33"/>
      <c r="G212" s="35"/>
      <c r="H212" s="161" t="s">
        <v>12</v>
      </c>
      <c r="I212" s="269"/>
      <c r="J212" s="269"/>
      <c r="K212" s="465"/>
      <c r="L212" s="465">
        <f ca="1">IFERROR(__xludf.DUMMYFUNCTION("IMPORTRANGE(""https://docs.google.com/spreadsheets/d/1QqKyyYR6Q21VydFLVH3TRQUabQu_ym0Zz7PgGX0-kHA/edit?usp=sharing"",""แผน!AM28"")"),0)</f>
        <v>0</v>
      </c>
      <c r="M212" s="465"/>
      <c r="N212" s="789">
        <v>0</v>
      </c>
      <c r="O212" s="465"/>
      <c r="P212" s="465"/>
      <c r="Q212" s="285"/>
      <c r="R212" s="285"/>
      <c r="S212" s="285"/>
      <c r="T212" s="285"/>
      <c r="U212" s="285"/>
      <c r="V212" s="285"/>
      <c r="W212" s="285"/>
      <c r="X212" s="285"/>
      <c r="Y212" s="285"/>
      <c r="Z212" s="285"/>
    </row>
    <row r="213" spans="1:26" ht="19.5" hidden="1">
      <c r="A213" s="170"/>
      <c r="B213" s="171"/>
      <c r="C213" s="291" t="s">
        <v>16</v>
      </c>
      <c r="D213" s="818" t="s">
        <v>38</v>
      </c>
      <c r="E213" s="173"/>
      <c r="F213" s="173"/>
      <c r="G213" s="174"/>
      <c r="H213" s="726"/>
      <c r="I213" s="184"/>
      <c r="J213" s="269"/>
      <c r="K213" s="465"/>
      <c r="L213" s="465"/>
      <c r="M213" s="465"/>
      <c r="N213" s="465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 hidden="1">
      <c r="A214" s="170"/>
      <c r="B214" s="171"/>
      <c r="C214" s="171"/>
      <c r="D214" s="343" t="s">
        <v>106</v>
      </c>
      <c r="E214" s="342"/>
      <c r="F214" s="342"/>
      <c r="G214" s="179"/>
      <c r="H214" s="726" t="s">
        <v>96</v>
      </c>
      <c r="I214" s="269">
        <f ca="1">IFERROR(__xludf.DUMMYFUNCTION("IMPORTRANGE(""https://docs.google.com/spreadsheets/d/1QqKyyYR6Q21VydFLVH3TRQUabQu_ym0Zz7PgGX0-kHA/edit?usp=sharing"",""แผน!AN28"")"),0)</f>
        <v>0</v>
      </c>
      <c r="J214" s="214">
        <v>0</v>
      </c>
      <c r="K214" s="465">
        <f t="shared" ref="K214:K216" ca="1" si="101">IF(I214&gt;0,J214*100/I214,0)</f>
        <v>0</v>
      </c>
      <c r="L214" s="465"/>
      <c r="M214" s="465"/>
      <c r="N214" s="465"/>
      <c r="O214" s="465"/>
      <c r="P214" s="465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 hidden="1">
      <c r="A215" s="170"/>
      <c r="B215" s="171"/>
      <c r="C215" s="171"/>
      <c r="D215" s="343" t="s">
        <v>107</v>
      </c>
      <c r="E215" s="342"/>
      <c r="F215" s="342"/>
      <c r="G215" s="179"/>
      <c r="H215" s="726" t="s">
        <v>96</v>
      </c>
      <c r="I215" s="269">
        <f ca="1">IFERROR(__xludf.DUMMYFUNCTION("IMPORTRANGE(""https://docs.google.com/spreadsheets/d/1QqKyyYR6Q21VydFLVH3TRQUabQu_ym0Zz7PgGX0-kHA/edit?usp=sharing"",""แผน!AN28"")"),0)</f>
        <v>0</v>
      </c>
      <c r="J215" s="214">
        <v>0</v>
      </c>
      <c r="K215" s="465">
        <f t="shared" ca="1" si="101"/>
        <v>0</v>
      </c>
      <c r="L215" s="465"/>
      <c r="M215" s="465"/>
      <c r="N215" s="465"/>
      <c r="O215" s="465"/>
      <c r="P215" s="465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5"/>
      <c r="B216" s="263"/>
      <c r="C216" s="339" t="s">
        <v>108</v>
      </c>
      <c r="D216" s="256"/>
      <c r="E216" s="256"/>
      <c r="F216" s="290"/>
      <c r="G216" s="258"/>
      <c r="H216" s="259" t="s">
        <v>109</v>
      </c>
      <c r="I216" s="271">
        <f t="shared" ref="I216:J216" ca="1" si="102">I224</f>
        <v>50000</v>
      </c>
      <c r="J216" s="271">
        <f t="shared" si="102"/>
        <v>0</v>
      </c>
      <c r="K216" s="272">
        <f t="shared" ca="1" si="101"/>
        <v>0</v>
      </c>
      <c r="L216" s="261"/>
      <c r="M216" s="261"/>
      <c r="N216" s="261"/>
      <c r="O216" s="261"/>
      <c r="P216" s="261"/>
    </row>
    <row r="217" spans="1:26" ht="19.5">
      <c r="A217" s="147"/>
      <c r="B217" s="148"/>
      <c r="C217" s="149" t="s">
        <v>16</v>
      </c>
      <c r="D217" s="822" t="s">
        <v>17</v>
      </c>
      <c r="E217" s="148"/>
      <c r="F217" s="148"/>
      <c r="G217" s="151"/>
      <c r="H217" s="274" t="s">
        <v>12</v>
      </c>
      <c r="I217" s="387"/>
      <c r="J217" s="387"/>
      <c r="K217" s="279"/>
      <c r="L217" s="155">
        <f ca="1">L218+L219+L220</f>
        <v>18500</v>
      </c>
      <c r="M217" s="155"/>
      <c r="N217" s="155">
        <f>N218+N219+N220</f>
        <v>0</v>
      </c>
      <c r="O217" s="155">
        <f ca="1">IF(L217&gt;0,N217*100/L217,0)</f>
        <v>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0"/>
      <c r="C218" s="33"/>
      <c r="D218" s="281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65">
        <f ca="1">IFERROR(__xludf.DUMMYFUNCTION("IMPORTRANGE(""https://docs.google.com/spreadsheets/d/1QqKyyYR6Q21VydFLVH3TRQUabQu_ym0Zz7PgGX0-kHA/edit?usp=sharing"",""แผน!AP28"")"),5000)</f>
        <v>5000</v>
      </c>
      <c r="M218" s="465"/>
      <c r="N218" s="789">
        <v>0</v>
      </c>
      <c r="O218" s="465"/>
      <c r="P218" s="465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3"/>
      <c r="B219" s="280"/>
      <c r="C219" s="291"/>
      <c r="D219" s="281" t="s">
        <v>110</v>
      </c>
      <c r="E219" s="33"/>
      <c r="F219" s="33"/>
      <c r="G219" s="35"/>
      <c r="H219" s="161" t="s">
        <v>12</v>
      </c>
      <c r="I219" s="269"/>
      <c r="J219" s="269"/>
      <c r="K219" s="465"/>
      <c r="L219" s="465">
        <f ca="1">IFERROR(__xludf.DUMMYFUNCTION("IMPORTRANGE(""https://docs.google.com/spreadsheets/d/1QqKyyYR6Q21VydFLVH3TRQUabQu_ym0Zz7PgGX0-kHA/edit?usp=sharing"",""แผน!AQ28"")"),13500)</f>
        <v>13500</v>
      </c>
      <c r="M219" s="465"/>
      <c r="N219" s="789">
        <v>0</v>
      </c>
      <c r="O219" s="465"/>
      <c r="P219" s="465"/>
      <c r="Q219" s="285"/>
      <c r="R219" s="285"/>
      <c r="S219" s="285"/>
      <c r="T219" s="285"/>
      <c r="U219" s="285"/>
      <c r="V219" s="285"/>
      <c r="W219" s="285"/>
      <c r="X219" s="285"/>
      <c r="Y219" s="285"/>
      <c r="Z219" s="285"/>
    </row>
    <row r="220" spans="1:26" ht="19.5">
      <c r="A220" s="283"/>
      <c r="B220" s="280"/>
      <c r="C220" s="291"/>
      <c r="D220" s="281" t="s">
        <v>98</v>
      </c>
      <c r="E220" s="33"/>
      <c r="F220" s="33"/>
      <c r="G220" s="35"/>
      <c r="H220" s="161" t="s">
        <v>12</v>
      </c>
      <c r="I220" s="269"/>
      <c r="J220" s="269"/>
      <c r="K220" s="465"/>
      <c r="L220" s="465">
        <f ca="1">IFERROR(__xludf.DUMMYFUNCTION("IMPORTRANGE(""https://docs.google.com/spreadsheets/d/1QqKyyYR6Q21VydFLVH3TRQUabQu_ym0Zz7PgGX0-kHA/edit?usp=sharing"",""แผน!AR28"")"),0)</f>
        <v>0</v>
      </c>
      <c r="M220" s="465"/>
      <c r="N220" s="789">
        <v>0</v>
      </c>
      <c r="O220" s="465"/>
      <c r="P220" s="465"/>
      <c r="Q220" s="285"/>
      <c r="R220" s="285"/>
      <c r="S220" s="285"/>
      <c r="T220" s="285"/>
      <c r="U220" s="285"/>
      <c r="V220" s="285"/>
      <c r="W220" s="285"/>
      <c r="X220" s="285"/>
      <c r="Y220" s="285"/>
      <c r="Z220" s="285"/>
    </row>
    <row r="221" spans="1:26" ht="19.5">
      <c r="A221" s="170"/>
      <c r="B221" s="171"/>
      <c r="C221" s="291" t="s">
        <v>16</v>
      </c>
      <c r="D221" s="818" t="s">
        <v>38</v>
      </c>
      <c r="E221" s="173"/>
      <c r="F221" s="173"/>
      <c r="G221" s="174"/>
      <c r="H221" s="726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1" t="s">
        <v>111</v>
      </c>
      <c r="E222" s="342"/>
      <c r="F222" s="342"/>
      <c r="G222" s="179"/>
      <c r="H222" s="726"/>
      <c r="I222" s="269"/>
      <c r="J222" s="269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343" t="s">
        <v>112</v>
      </c>
      <c r="F223" s="342"/>
      <c r="G223" s="179"/>
      <c r="H223" s="728" t="s">
        <v>109</v>
      </c>
      <c r="I223" s="269">
        <f ca="1">IFERROR(__xludf.DUMMYFUNCTION("IMPORTRANGE(""https://docs.google.com/spreadsheets/d/1QqKyyYR6Q21VydFLVH3TRQUabQu_ym0Zz7PgGX0-kHA/edit?usp=sharing"",""แผน!AT28"")"),50000)</f>
        <v>50000</v>
      </c>
      <c r="J223" s="214">
        <v>0</v>
      </c>
      <c r="K223" s="163">
        <f t="shared" ref="K223:K226" ca="1" si="103">IF(I223&gt;0,J223*100/I223,0)</f>
        <v>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343" t="s">
        <v>113</v>
      </c>
      <c r="F224" s="342"/>
      <c r="G224" s="179"/>
      <c r="H224" s="728" t="s">
        <v>109</v>
      </c>
      <c r="I224" s="269">
        <f ca="1">IFERROR(__xludf.DUMMYFUNCTION("IMPORTRANGE(""https://docs.google.com/spreadsheets/d/1QqKyyYR6Q21VydFLVH3TRQUabQu_ym0Zz7PgGX0-kHA/edit?usp=sharing"",""แผน!AT28"")"),50000)</f>
        <v>50000</v>
      </c>
      <c r="J224" s="214">
        <v>0</v>
      </c>
      <c r="K224" s="163">
        <f t="shared" ca="1" si="103"/>
        <v>0</v>
      </c>
      <c r="L224" s="465"/>
      <c r="M224" s="465"/>
      <c r="N224" s="465"/>
      <c r="O224" s="465"/>
      <c r="P224" s="465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1" t="s">
        <v>114</v>
      </c>
      <c r="E225" s="342"/>
      <c r="F225" s="342"/>
      <c r="G225" s="179"/>
      <c r="H225" s="728" t="s">
        <v>35</v>
      </c>
      <c r="I225" s="269">
        <f ca="1">IFERROR(__xludf.DUMMYFUNCTION("IMPORTRANGE(""https://docs.google.com/spreadsheets/d/1QqKyyYR6Q21VydFLVH3TRQUabQu_ym0Zz7PgGX0-kHA/edit?usp=sharing"",""แผน!AS28"")"),0)</f>
        <v>0</v>
      </c>
      <c r="J225" s="214">
        <v>0</v>
      </c>
      <c r="K225" s="163">
        <f t="shared" ca="1" si="103"/>
        <v>0</v>
      </c>
      <c r="L225" s="465"/>
      <c r="M225" s="465"/>
      <c r="N225" s="465"/>
      <c r="O225" s="465"/>
      <c r="P225" s="465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5"/>
      <c r="B226" s="263"/>
      <c r="C226" s="823" t="s">
        <v>115</v>
      </c>
      <c r="D226" s="256"/>
      <c r="E226" s="256"/>
      <c r="F226" s="256"/>
      <c r="G226" s="258"/>
      <c r="H226" s="265" t="s">
        <v>35</v>
      </c>
      <c r="I226" s="824">
        <f t="shared" ref="I226:J226" ca="1" si="104">I237+I248</f>
        <v>0</v>
      </c>
      <c r="J226" s="824">
        <f t="shared" si="104"/>
        <v>0</v>
      </c>
      <c r="K226" s="825">
        <f t="shared" ca="1" si="103"/>
        <v>0</v>
      </c>
      <c r="L226" s="261"/>
      <c r="M226" s="261"/>
      <c r="N226" s="261"/>
      <c r="O226" s="261"/>
      <c r="P226" s="261"/>
    </row>
    <row r="227" spans="1:26" ht="19.5" hidden="1">
      <c r="A227" s="826"/>
      <c r="B227" s="827"/>
      <c r="C227" s="828" t="s">
        <v>16</v>
      </c>
      <c r="D227" s="829" t="s">
        <v>17</v>
      </c>
      <c r="E227" s="827"/>
      <c r="F227" s="827"/>
      <c r="G227" s="830"/>
      <c r="H227" s="831" t="s">
        <v>12</v>
      </c>
      <c r="I227" s="832"/>
      <c r="J227" s="832"/>
      <c r="K227" s="833"/>
      <c r="L227" s="834">
        <f t="shared" ref="L227:L231" ca="1" si="105">L238+L249</f>
        <v>0</v>
      </c>
      <c r="M227" s="834"/>
      <c r="N227" s="834">
        <f t="shared" ref="N227:N231" si="106">N238+N249</f>
        <v>0</v>
      </c>
      <c r="O227" s="835"/>
      <c r="P227" s="835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542"/>
      <c r="C228" s="40"/>
      <c r="D228" s="222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5"/>
        <v>0</v>
      </c>
      <c r="M228" s="93"/>
      <c r="N228" s="93">
        <f t="shared" si="106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836"/>
      <c r="B229" s="542"/>
      <c r="C229" s="837"/>
      <c r="D229" s="222" t="s">
        <v>98</v>
      </c>
      <c r="E229" s="40"/>
      <c r="F229" s="40"/>
      <c r="G229" s="42"/>
      <c r="H229" s="165" t="s">
        <v>12</v>
      </c>
      <c r="I229" s="583"/>
      <c r="J229" s="583"/>
      <c r="K229" s="93"/>
      <c r="L229" s="93">
        <f t="shared" ca="1" si="105"/>
        <v>0</v>
      </c>
      <c r="M229" s="93"/>
      <c r="N229" s="93">
        <f t="shared" si="106"/>
        <v>0</v>
      </c>
      <c r="O229" s="93"/>
      <c r="P229" s="93"/>
      <c r="Q229" s="838"/>
      <c r="R229" s="838"/>
      <c r="S229" s="838"/>
      <c r="T229" s="838"/>
      <c r="U229" s="838"/>
      <c r="V229" s="838"/>
      <c r="W229" s="838"/>
      <c r="X229" s="838"/>
      <c r="Y229" s="838"/>
      <c r="Z229" s="838"/>
    </row>
    <row r="230" spans="1:26" ht="19.5" hidden="1">
      <c r="A230" s="836"/>
      <c r="B230" s="542"/>
      <c r="C230" s="837"/>
      <c r="D230" s="222" t="s">
        <v>116</v>
      </c>
      <c r="E230" s="40"/>
      <c r="F230" s="40"/>
      <c r="G230" s="42"/>
      <c r="H230" s="165" t="s">
        <v>12</v>
      </c>
      <c r="I230" s="583"/>
      <c r="J230" s="583"/>
      <c r="K230" s="93"/>
      <c r="L230" s="93">
        <f t="shared" ca="1" si="105"/>
        <v>0</v>
      </c>
      <c r="M230" s="93"/>
      <c r="N230" s="93">
        <f t="shared" si="106"/>
        <v>0</v>
      </c>
      <c r="O230" s="93"/>
      <c r="P230" s="93"/>
      <c r="Q230" s="838"/>
      <c r="R230" s="838"/>
      <c r="S230" s="838"/>
      <c r="T230" s="838"/>
      <c r="U230" s="838"/>
      <c r="V230" s="838"/>
      <c r="W230" s="838"/>
      <c r="X230" s="838"/>
      <c r="Y230" s="838"/>
      <c r="Z230" s="838"/>
    </row>
    <row r="231" spans="1:26" ht="19.5" hidden="1">
      <c r="A231" s="836"/>
      <c r="B231" s="542"/>
      <c r="C231" s="837"/>
      <c r="D231" s="222" t="s">
        <v>100</v>
      </c>
      <c r="E231" s="40"/>
      <c r="F231" s="40"/>
      <c r="G231" s="42"/>
      <c r="H231" s="165" t="s">
        <v>12</v>
      </c>
      <c r="I231" s="583"/>
      <c r="J231" s="583"/>
      <c r="K231" s="93"/>
      <c r="L231" s="93">
        <f t="shared" ca="1" si="105"/>
        <v>0</v>
      </c>
      <c r="M231" s="93"/>
      <c r="N231" s="93">
        <f t="shared" si="106"/>
        <v>0</v>
      </c>
      <c r="O231" s="93"/>
      <c r="P231" s="93"/>
      <c r="Q231" s="838"/>
      <c r="R231" s="838"/>
      <c r="S231" s="838"/>
      <c r="T231" s="838"/>
      <c r="U231" s="838"/>
      <c r="V231" s="838"/>
      <c r="W231" s="838"/>
      <c r="X231" s="838"/>
      <c r="Y231" s="838"/>
      <c r="Z231" s="838"/>
    </row>
    <row r="232" spans="1:26" ht="19.5" hidden="1">
      <c r="A232" s="839"/>
      <c r="B232" s="840"/>
      <c r="C232" s="837" t="s">
        <v>16</v>
      </c>
      <c r="D232" s="266" t="s">
        <v>38</v>
      </c>
      <c r="E232" s="841"/>
      <c r="F232" s="841"/>
      <c r="G232" s="842"/>
      <c r="H232" s="581"/>
      <c r="I232" s="166"/>
      <c r="J232" s="583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839"/>
      <c r="B233" s="840"/>
      <c r="C233" s="840"/>
      <c r="D233" s="268" t="s">
        <v>117</v>
      </c>
      <c r="E233" s="536"/>
      <c r="F233" s="536"/>
      <c r="G233" s="843"/>
      <c r="H233" s="582" t="s">
        <v>35</v>
      </c>
      <c r="I233" s="583">
        <f t="shared" ref="I233:J233" ca="1" si="107">I244+I255</f>
        <v>0</v>
      </c>
      <c r="J233" s="583">
        <f t="shared" si="107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839"/>
      <c r="B234" s="840"/>
      <c r="C234" s="840"/>
      <c r="D234" s="844" t="s">
        <v>43</v>
      </c>
      <c r="E234" s="536"/>
      <c r="F234" s="536"/>
      <c r="G234" s="843"/>
      <c r="H234" s="582"/>
      <c r="I234" s="583"/>
      <c r="J234" s="583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839"/>
      <c r="B235" s="840"/>
      <c r="C235" s="840"/>
      <c r="D235" s="840"/>
      <c r="E235" s="267" t="s">
        <v>118</v>
      </c>
      <c r="F235" s="536"/>
      <c r="G235" s="843"/>
      <c r="H235" s="582" t="s">
        <v>35</v>
      </c>
      <c r="I235" s="583">
        <f t="shared" ref="I235:J236" si="108">I246+I257</f>
        <v>0</v>
      </c>
      <c r="J235" s="583">
        <f t="shared" si="108"/>
        <v>0</v>
      </c>
      <c r="K235" s="93">
        <f t="shared" ref="K235:K237" si="109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839"/>
      <c r="B236" s="840"/>
      <c r="C236" s="840"/>
      <c r="D236" s="840"/>
      <c r="E236" s="267" t="s">
        <v>119</v>
      </c>
      <c r="F236" s="536"/>
      <c r="G236" s="843"/>
      <c r="H236" s="582" t="s">
        <v>69</v>
      </c>
      <c r="I236" s="583">
        <f t="shared" si="108"/>
        <v>0</v>
      </c>
      <c r="J236" s="583">
        <f t="shared" si="108"/>
        <v>0</v>
      </c>
      <c r="K236" s="93">
        <f t="shared" si="109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5"/>
      <c r="B237" s="263"/>
      <c r="C237" s="339" t="s">
        <v>330</v>
      </c>
      <c r="D237" s="256"/>
      <c r="E237" s="256"/>
      <c r="F237" s="256"/>
      <c r="G237" s="258"/>
      <c r="H237" s="259" t="s">
        <v>35</v>
      </c>
      <c r="I237" s="271">
        <f t="shared" ref="I237:J237" ca="1" si="110">I244</f>
        <v>0</v>
      </c>
      <c r="J237" s="271">
        <f t="shared" si="110"/>
        <v>0</v>
      </c>
      <c r="K237" s="272">
        <f t="shared" ca="1" si="109"/>
        <v>0</v>
      </c>
      <c r="L237" s="261"/>
      <c r="M237" s="261"/>
      <c r="N237" s="261"/>
      <c r="O237" s="261"/>
      <c r="P237" s="261"/>
    </row>
    <row r="238" spans="1:26" ht="19.5" hidden="1">
      <c r="A238" s="147"/>
      <c r="B238" s="148"/>
      <c r="C238" s="149" t="s">
        <v>16</v>
      </c>
      <c r="D238" s="817" t="s">
        <v>17</v>
      </c>
      <c r="E238" s="148"/>
      <c r="F238" s="148"/>
      <c r="G238" s="151"/>
      <c r="H238" s="274" t="s">
        <v>12</v>
      </c>
      <c r="I238" s="387"/>
      <c r="J238" s="387"/>
      <c r="K238" s="279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3"/>
      <c r="B239" s="314"/>
      <c r="C239" s="315"/>
      <c r="D239" s="324" t="s">
        <v>97</v>
      </c>
      <c r="E239" s="315"/>
      <c r="F239" s="315"/>
      <c r="G239" s="317"/>
      <c r="H239" s="318" t="s">
        <v>12</v>
      </c>
      <c r="I239" s="319"/>
      <c r="J239" s="319"/>
      <c r="K239" s="320"/>
      <c r="L239" s="321">
        <f ca="1">IFERROR(__xludf.DUMMYFUNCTION("IMPORTRANGE(""https://docs.google.com/spreadsheets/d/1QqKyyYR6Q21VydFLVH3TRQUabQu_ym0Zz7PgGX0-kHA/edit?usp=sharing"",""แผน!AV28"")"),0)</f>
        <v>0</v>
      </c>
      <c r="M239" s="321"/>
      <c r="N239" s="340">
        <v>0</v>
      </c>
      <c r="O239" s="321"/>
      <c r="P239" s="321"/>
      <c r="Q239" s="312"/>
      <c r="R239" s="312"/>
      <c r="S239" s="312"/>
      <c r="T239" s="312"/>
      <c r="U239" s="312"/>
      <c r="V239" s="312"/>
      <c r="W239" s="312"/>
      <c r="X239" s="312"/>
      <c r="Y239" s="312"/>
      <c r="Z239" s="312"/>
    </row>
    <row r="240" spans="1:26" ht="19.5" hidden="1">
      <c r="A240" s="322"/>
      <c r="B240" s="314"/>
      <c r="C240" s="323"/>
      <c r="D240" s="324" t="s">
        <v>98</v>
      </c>
      <c r="E240" s="315"/>
      <c r="F240" s="315"/>
      <c r="G240" s="317"/>
      <c r="H240" s="318" t="s">
        <v>12</v>
      </c>
      <c r="I240" s="325"/>
      <c r="J240" s="325"/>
      <c r="K240" s="321"/>
      <c r="L240" s="321">
        <f ca="1">IFERROR(__xludf.DUMMYFUNCTION("IMPORTRANGE(""https://docs.google.com/spreadsheets/d/1QqKyyYR6Q21VydFLVH3TRQUabQu_ym0Zz7PgGX0-kHA/edit?usp=sharing"",""แผน!AW28"")"),0)</f>
        <v>0</v>
      </c>
      <c r="M240" s="321"/>
      <c r="N240" s="340">
        <v>0</v>
      </c>
      <c r="O240" s="321"/>
      <c r="P240" s="321"/>
      <c r="Q240" s="326"/>
      <c r="R240" s="326"/>
      <c r="S240" s="326"/>
      <c r="T240" s="326"/>
      <c r="U240" s="326"/>
      <c r="V240" s="326"/>
      <c r="W240" s="326"/>
      <c r="X240" s="326"/>
      <c r="Y240" s="326"/>
      <c r="Z240" s="326"/>
    </row>
    <row r="241" spans="1:26" ht="19.5" hidden="1">
      <c r="A241" s="322"/>
      <c r="B241" s="314"/>
      <c r="C241" s="323"/>
      <c r="D241" s="324" t="s">
        <v>116</v>
      </c>
      <c r="E241" s="315"/>
      <c r="F241" s="315"/>
      <c r="G241" s="317"/>
      <c r="H241" s="318" t="s">
        <v>12</v>
      </c>
      <c r="I241" s="325"/>
      <c r="J241" s="325"/>
      <c r="K241" s="321"/>
      <c r="L241" s="321">
        <f ca="1">IFERROR(__xludf.DUMMYFUNCTION("IMPORTRANGE(""https://docs.google.com/spreadsheets/d/1QqKyyYR6Q21VydFLVH3TRQUabQu_ym0Zz7PgGX0-kHA/edit?usp=sharing"",""แผน!AX28"")"),0)</f>
        <v>0</v>
      </c>
      <c r="M241" s="321"/>
      <c r="N241" s="340">
        <v>0</v>
      </c>
      <c r="O241" s="321"/>
      <c r="P241" s="321"/>
      <c r="Q241" s="326"/>
      <c r="R241" s="326"/>
      <c r="S241" s="326"/>
      <c r="T241" s="326"/>
      <c r="U241" s="326"/>
      <c r="V241" s="326"/>
      <c r="W241" s="326"/>
      <c r="X241" s="326"/>
      <c r="Y241" s="326"/>
      <c r="Z241" s="326"/>
    </row>
    <row r="242" spans="1:26" ht="19.5" hidden="1">
      <c r="A242" s="322"/>
      <c r="B242" s="314"/>
      <c r="C242" s="323"/>
      <c r="D242" s="324" t="s">
        <v>100</v>
      </c>
      <c r="E242" s="315"/>
      <c r="F242" s="315"/>
      <c r="G242" s="317"/>
      <c r="H242" s="318" t="s">
        <v>12</v>
      </c>
      <c r="I242" s="325"/>
      <c r="J242" s="325"/>
      <c r="K242" s="321"/>
      <c r="L242" s="321">
        <f ca="1">IFERROR(__xludf.DUMMYFUNCTION("IMPORTRANGE(""https://docs.google.com/spreadsheets/d/1QqKyyYR6Q21VydFLVH3TRQUabQu_ym0Zz7PgGX0-kHA/edit?usp=sharing"",""แผน!AY28"")"),0)</f>
        <v>0</v>
      </c>
      <c r="M242" s="321"/>
      <c r="N242" s="340">
        <v>0</v>
      </c>
      <c r="O242" s="321"/>
      <c r="P242" s="321"/>
      <c r="Q242" s="326"/>
      <c r="R242" s="326"/>
      <c r="S242" s="326"/>
      <c r="T242" s="326"/>
      <c r="U242" s="326"/>
      <c r="V242" s="326"/>
      <c r="W242" s="326"/>
      <c r="X242" s="326"/>
      <c r="Y242" s="326"/>
      <c r="Z242" s="326"/>
    </row>
    <row r="243" spans="1:26" ht="19.5" hidden="1">
      <c r="A243" s="170"/>
      <c r="B243" s="171"/>
      <c r="C243" s="291" t="s">
        <v>16</v>
      </c>
      <c r="D243" s="818" t="s">
        <v>38</v>
      </c>
      <c r="E243" s="173"/>
      <c r="F243" s="173"/>
      <c r="G243" s="174"/>
      <c r="H243" s="726"/>
      <c r="I243" s="184"/>
      <c r="J243" s="269"/>
      <c r="K243" s="465"/>
      <c r="L243" s="465"/>
      <c r="M243" s="465"/>
      <c r="N243" s="465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15" t="s">
        <v>117</v>
      </c>
      <c r="E244" s="342"/>
      <c r="F244" s="342"/>
      <c r="G244" s="179"/>
      <c r="H244" s="728" t="s">
        <v>35</v>
      </c>
      <c r="I244" s="269">
        <f ca="1">IFERROR(__xludf.DUMMYFUNCTION("IMPORTRANGE(""https://docs.google.com/spreadsheets/d/1QqKyyYR6Q21VydFLVH3TRQUabQu_ym0Zz7PgGX0-kHA/edit?usp=sharing"",""แผน!BE28"")"),0)</f>
        <v>0</v>
      </c>
      <c r="J244" s="214">
        <v>0</v>
      </c>
      <c r="K244" s="465">
        <f ca="1">IF(I244&gt;0,J244*100/I244,0)</f>
        <v>0</v>
      </c>
      <c r="L244" s="465"/>
      <c r="M244" s="465"/>
      <c r="N244" s="465"/>
      <c r="O244" s="465"/>
      <c r="P244" s="465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341" t="s">
        <v>43</v>
      </c>
      <c r="E245" s="342"/>
      <c r="F245" s="342"/>
      <c r="G245" s="179"/>
      <c r="H245" s="728"/>
      <c r="I245" s="269"/>
      <c r="J245" s="269"/>
      <c r="K245" s="465"/>
      <c r="L245" s="465"/>
      <c r="M245" s="465"/>
      <c r="N245" s="465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343" t="s">
        <v>118</v>
      </c>
      <c r="F246" s="342"/>
      <c r="G246" s="179"/>
      <c r="H246" s="728" t="s">
        <v>35</v>
      </c>
      <c r="I246" s="269"/>
      <c r="J246" s="214">
        <v>0</v>
      </c>
      <c r="K246" s="465">
        <f t="shared" ref="K246:K248" si="111">IF(I246&gt;0,J246*100/I246,0)</f>
        <v>0</v>
      </c>
      <c r="L246" s="465"/>
      <c r="M246" s="465"/>
      <c r="N246" s="465"/>
      <c r="O246" s="465"/>
      <c r="P246" s="465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343" t="s">
        <v>119</v>
      </c>
      <c r="F247" s="342"/>
      <c r="G247" s="179"/>
      <c r="H247" s="728" t="s">
        <v>69</v>
      </c>
      <c r="I247" s="269"/>
      <c r="J247" s="214">
        <v>0</v>
      </c>
      <c r="K247" s="465">
        <f t="shared" si="111"/>
        <v>0</v>
      </c>
      <c r="L247" s="465"/>
      <c r="M247" s="465"/>
      <c r="N247" s="465"/>
      <c r="O247" s="465"/>
      <c r="P247" s="465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5"/>
      <c r="B248" s="263"/>
      <c r="C248" s="339" t="s">
        <v>331</v>
      </c>
      <c r="D248" s="256"/>
      <c r="E248" s="256"/>
      <c r="F248" s="256"/>
      <c r="G248" s="258"/>
      <c r="H248" s="259" t="s">
        <v>35</v>
      </c>
      <c r="I248" s="271">
        <f t="shared" ref="I248:J248" ca="1" si="112">I255</f>
        <v>0</v>
      </c>
      <c r="J248" s="271">
        <f t="shared" si="112"/>
        <v>0</v>
      </c>
      <c r="K248" s="272">
        <f t="shared" ca="1" si="111"/>
        <v>0</v>
      </c>
      <c r="L248" s="261"/>
      <c r="M248" s="261"/>
      <c r="N248" s="261"/>
      <c r="O248" s="261"/>
      <c r="P248" s="261"/>
    </row>
    <row r="249" spans="1:26" ht="19.5" hidden="1">
      <c r="A249" s="147"/>
      <c r="B249" s="148"/>
      <c r="C249" s="149" t="s">
        <v>16</v>
      </c>
      <c r="D249" s="822" t="s">
        <v>17</v>
      </c>
      <c r="E249" s="148"/>
      <c r="F249" s="148"/>
      <c r="G249" s="151"/>
      <c r="H249" s="274" t="s">
        <v>12</v>
      </c>
      <c r="I249" s="387"/>
      <c r="J249" s="387"/>
      <c r="K249" s="279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3"/>
      <c r="B250" s="314"/>
      <c r="C250" s="315"/>
      <c r="D250" s="324" t="s">
        <v>97</v>
      </c>
      <c r="E250" s="315"/>
      <c r="F250" s="315"/>
      <c r="G250" s="317"/>
      <c r="H250" s="318" t="s">
        <v>12</v>
      </c>
      <c r="I250" s="319"/>
      <c r="J250" s="319"/>
      <c r="K250" s="320"/>
      <c r="L250" s="321">
        <f ca="1">IFERROR(__xludf.DUMMYFUNCTION("IMPORTRANGE(""https://docs.google.com/spreadsheets/d/1QqKyyYR6Q21VydFLVH3TRQUabQu_ym0Zz7PgGX0-kHA/edit?usp=sharing"",""แผน!AZ28"")"),0)</f>
        <v>0</v>
      </c>
      <c r="M250" s="321"/>
      <c r="N250" s="340">
        <v>0</v>
      </c>
      <c r="O250" s="321"/>
      <c r="P250" s="321"/>
      <c r="Q250" s="312"/>
      <c r="R250" s="312"/>
      <c r="S250" s="312"/>
      <c r="T250" s="312"/>
      <c r="U250" s="312"/>
      <c r="V250" s="312"/>
      <c r="W250" s="312"/>
      <c r="X250" s="312"/>
      <c r="Y250" s="312"/>
      <c r="Z250" s="312"/>
    </row>
    <row r="251" spans="1:26" ht="19.5" hidden="1">
      <c r="A251" s="322"/>
      <c r="B251" s="314"/>
      <c r="C251" s="323"/>
      <c r="D251" s="324" t="s">
        <v>98</v>
      </c>
      <c r="E251" s="315"/>
      <c r="F251" s="315"/>
      <c r="G251" s="317"/>
      <c r="H251" s="318" t="s">
        <v>12</v>
      </c>
      <c r="I251" s="325"/>
      <c r="J251" s="325"/>
      <c r="K251" s="321"/>
      <c r="L251" s="321">
        <f ca="1">IFERROR(__xludf.DUMMYFUNCTION("IMPORTRANGE(""https://docs.google.com/spreadsheets/d/1QqKyyYR6Q21VydFLVH3TRQUabQu_ym0Zz7PgGX0-kHA/edit?usp=sharing"",""แผน!BA28"")"),0)</f>
        <v>0</v>
      </c>
      <c r="M251" s="321"/>
      <c r="N251" s="340">
        <v>0</v>
      </c>
      <c r="O251" s="321"/>
      <c r="P251" s="321"/>
      <c r="Q251" s="326"/>
      <c r="R251" s="326"/>
      <c r="S251" s="326"/>
      <c r="T251" s="326"/>
      <c r="U251" s="326"/>
      <c r="V251" s="326"/>
      <c r="W251" s="326"/>
      <c r="X251" s="326"/>
      <c r="Y251" s="326"/>
      <c r="Z251" s="326"/>
    </row>
    <row r="252" spans="1:26" ht="19.5" hidden="1">
      <c r="A252" s="322"/>
      <c r="B252" s="314"/>
      <c r="C252" s="323"/>
      <c r="D252" s="324" t="s">
        <v>116</v>
      </c>
      <c r="E252" s="315"/>
      <c r="F252" s="315"/>
      <c r="G252" s="317"/>
      <c r="H252" s="318" t="s">
        <v>12</v>
      </c>
      <c r="I252" s="325"/>
      <c r="J252" s="325"/>
      <c r="K252" s="321"/>
      <c r="L252" s="321">
        <f ca="1">IFERROR(__xludf.DUMMYFUNCTION("IMPORTRANGE(""https://docs.google.com/spreadsheets/d/1QqKyyYR6Q21VydFLVH3TRQUabQu_ym0Zz7PgGX0-kHA/edit?usp=sharing"",""แผน!BB28"")"),0)</f>
        <v>0</v>
      </c>
      <c r="M252" s="321"/>
      <c r="N252" s="340">
        <v>0</v>
      </c>
      <c r="O252" s="321"/>
      <c r="P252" s="321"/>
      <c r="Q252" s="326"/>
      <c r="R252" s="326"/>
      <c r="S252" s="326"/>
      <c r="T252" s="326"/>
      <c r="U252" s="326"/>
      <c r="V252" s="326"/>
      <c r="W252" s="326"/>
      <c r="X252" s="326"/>
      <c r="Y252" s="326"/>
      <c r="Z252" s="326"/>
    </row>
    <row r="253" spans="1:26" ht="19.5" hidden="1">
      <c r="A253" s="322"/>
      <c r="B253" s="314"/>
      <c r="C253" s="323"/>
      <c r="D253" s="324" t="s">
        <v>100</v>
      </c>
      <c r="E253" s="315"/>
      <c r="F253" s="315"/>
      <c r="G253" s="317"/>
      <c r="H253" s="318" t="s">
        <v>12</v>
      </c>
      <c r="I253" s="325"/>
      <c r="J253" s="325"/>
      <c r="K253" s="321"/>
      <c r="L253" s="321">
        <f ca="1">IFERROR(__xludf.DUMMYFUNCTION("IMPORTRANGE(""https://docs.google.com/spreadsheets/d/1QqKyyYR6Q21VydFLVH3TRQUabQu_ym0Zz7PgGX0-kHA/edit?usp=sharing"",""แผน!BC28"")"),0)</f>
        <v>0</v>
      </c>
      <c r="M253" s="321"/>
      <c r="N253" s="340">
        <v>0</v>
      </c>
      <c r="O253" s="321"/>
      <c r="P253" s="321"/>
      <c r="Q253" s="326"/>
      <c r="R253" s="326"/>
      <c r="S253" s="326"/>
      <c r="T253" s="326"/>
      <c r="U253" s="326"/>
      <c r="V253" s="326"/>
      <c r="W253" s="326"/>
      <c r="X253" s="326"/>
      <c r="Y253" s="326"/>
      <c r="Z253" s="326"/>
    </row>
    <row r="254" spans="1:26" ht="19.5" hidden="1">
      <c r="A254" s="170"/>
      <c r="B254" s="171"/>
      <c r="C254" s="291" t="s">
        <v>16</v>
      </c>
      <c r="D254" s="818" t="s">
        <v>38</v>
      </c>
      <c r="E254" s="173"/>
      <c r="F254" s="173"/>
      <c r="G254" s="174"/>
      <c r="H254" s="726"/>
      <c r="I254" s="184"/>
      <c r="J254" s="269"/>
      <c r="K254" s="465"/>
      <c r="L254" s="465"/>
      <c r="M254" s="465"/>
      <c r="N254" s="465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15" t="s">
        <v>117</v>
      </c>
      <c r="E255" s="342"/>
      <c r="F255" s="342"/>
      <c r="G255" s="179"/>
      <c r="H255" s="728" t="s">
        <v>35</v>
      </c>
      <c r="I255" s="269">
        <f ca="1">IFERROR(__xludf.DUMMYFUNCTION("IMPORTRANGE(""https://docs.google.com/spreadsheets/d/1QqKyyYR6Q21VydFLVH3TRQUabQu_ym0Zz7PgGX0-kHA/edit?usp=sharing"",""แผน!BF28"")"),0)</f>
        <v>0</v>
      </c>
      <c r="J255" s="214">
        <v>0</v>
      </c>
      <c r="K255" s="465">
        <f ca="1">IF(I255&gt;0,J255*100/I255,0)</f>
        <v>0</v>
      </c>
      <c r="L255" s="465"/>
      <c r="M255" s="465"/>
      <c r="N255" s="465"/>
      <c r="O255" s="465"/>
      <c r="P255" s="465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341" t="s">
        <v>43</v>
      </c>
      <c r="E256" s="342"/>
      <c r="F256" s="342"/>
      <c r="G256" s="179"/>
      <c r="H256" s="728"/>
      <c r="I256" s="269"/>
      <c r="J256" s="269"/>
      <c r="K256" s="465"/>
      <c r="L256" s="465"/>
      <c r="M256" s="465"/>
      <c r="N256" s="465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343" t="s">
        <v>118</v>
      </c>
      <c r="F257" s="342"/>
      <c r="G257" s="179"/>
      <c r="H257" s="728" t="s">
        <v>35</v>
      </c>
      <c r="I257" s="269"/>
      <c r="J257" s="214">
        <v>0</v>
      </c>
      <c r="K257" s="465">
        <f t="shared" ref="K257:K258" si="113">IF(I257&gt;0,J257*100/I257,0)</f>
        <v>0</v>
      </c>
      <c r="L257" s="465"/>
      <c r="M257" s="465"/>
      <c r="N257" s="465"/>
      <c r="O257" s="465"/>
      <c r="P257" s="465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343" t="s">
        <v>119</v>
      </c>
      <c r="F258" s="342"/>
      <c r="G258" s="179"/>
      <c r="H258" s="728" t="s">
        <v>69</v>
      </c>
      <c r="I258" s="269"/>
      <c r="J258" s="214">
        <v>0</v>
      </c>
      <c r="K258" s="465">
        <f t="shared" si="113"/>
        <v>0</v>
      </c>
      <c r="L258" s="465"/>
      <c r="M258" s="465"/>
      <c r="N258" s="465"/>
      <c r="O258" s="465"/>
      <c r="P258" s="465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1" t="s">
        <v>122</v>
      </c>
      <c r="B259" s="242"/>
      <c r="C259" s="242"/>
      <c r="D259" s="243"/>
      <c r="E259" s="243"/>
      <c r="F259" s="243"/>
      <c r="G259" s="244"/>
      <c r="H259" s="245"/>
      <c r="I259" s="246"/>
      <c r="J259" s="246"/>
      <c r="K259" s="247"/>
      <c r="L259" s="247"/>
      <c r="M259" s="247"/>
      <c r="N259" s="247"/>
      <c r="O259" s="247"/>
      <c r="P259" s="247"/>
    </row>
    <row r="260" spans="1:26" ht="19.5">
      <c r="A260" s="248"/>
      <c r="B260" s="249" t="s">
        <v>123</v>
      </c>
      <c r="C260" s="250"/>
      <c r="D260" s="173"/>
      <c r="E260" s="173"/>
      <c r="F260" s="173"/>
      <c r="G260" s="174"/>
      <c r="H260" s="251" t="s">
        <v>35</v>
      </c>
      <c r="I260" s="252">
        <f t="shared" ref="I260:J260" ca="1" si="114">I271</f>
        <v>26</v>
      </c>
      <c r="J260" s="252">
        <f t="shared" si="114"/>
        <v>0</v>
      </c>
      <c r="K260" s="253">
        <f ca="1">IF(I260&gt;0,J260*100/I260,0)</f>
        <v>0</v>
      </c>
      <c r="L260" s="254"/>
      <c r="M260" s="254"/>
      <c r="N260" s="254"/>
      <c r="O260" s="254"/>
      <c r="P260" s="254"/>
    </row>
    <row r="261" spans="1:26" ht="19.5">
      <c r="A261" s="147"/>
      <c r="B261" s="148"/>
      <c r="C261" s="149" t="s">
        <v>16</v>
      </c>
      <c r="D261" s="817" t="s">
        <v>17</v>
      </c>
      <c r="E261" s="148"/>
      <c r="F261" s="148"/>
      <c r="G261" s="151"/>
      <c r="H261" s="152" t="s">
        <v>12</v>
      </c>
      <c r="I261" s="388"/>
      <c r="J261" s="388"/>
      <c r="K261" s="154"/>
      <c r="L261" s="155">
        <f t="shared" ref="L261:N261" ca="1" si="115">L262+L263</f>
        <v>30700</v>
      </c>
      <c r="M261" s="155">
        <f t="shared" ca="1" si="115"/>
        <v>27700</v>
      </c>
      <c r="N261" s="155">
        <f t="shared" ca="1" si="115"/>
        <v>19670</v>
      </c>
      <c r="O261" s="155">
        <f t="shared" ref="O261:O269" ca="1" si="116">IF(L261&gt;0,N261*100/L261,0)</f>
        <v>64.071661237785023</v>
      </c>
      <c r="P261" s="155">
        <f t="shared" ref="P261:P269" ca="1" si="117">IF(M261&gt;0,N261*100/M261,0)</f>
        <v>71.010830324909747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2" t="s">
        <v>18</v>
      </c>
      <c r="F262" s="40"/>
      <c r="G262" s="157"/>
      <c r="H262" s="158" t="s">
        <v>12</v>
      </c>
      <c r="I262" s="583"/>
      <c r="J262" s="583"/>
      <c r="K262" s="93"/>
      <c r="L262" s="93">
        <f t="shared" ref="L262:N263" si="118">L265+L268</f>
        <v>0</v>
      </c>
      <c r="M262" s="93">
        <f t="shared" si="118"/>
        <v>0</v>
      </c>
      <c r="N262" s="93">
        <f t="shared" si="118"/>
        <v>0</v>
      </c>
      <c r="O262" s="93">
        <f t="shared" si="116"/>
        <v>0</v>
      </c>
      <c r="P262" s="93">
        <f t="shared" si="117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2" t="s">
        <v>19</v>
      </c>
      <c r="F263" s="40"/>
      <c r="G263" s="157"/>
      <c r="H263" s="158" t="s">
        <v>12</v>
      </c>
      <c r="I263" s="583"/>
      <c r="J263" s="583"/>
      <c r="K263" s="93"/>
      <c r="L263" s="93">
        <f t="shared" ca="1" si="118"/>
        <v>30700</v>
      </c>
      <c r="M263" s="93">
        <f t="shared" ca="1" si="118"/>
        <v>27700</v>
      </c>
      <c r="N263" s="93">
        <f t="shared" ca="1" si="118"/>
        <v>19670</v>
      </c>
      <c r="O263" s="93">
        <f t="shared" ca="1" si="116"/>
        <v>64.071661237785023</v>
      </c>
      <c r="P263" s="93">
        <f t="shared" ca="1" si="117"/>
        <v>71.010830324909747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1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65">
        <f t="shared" ref="L264:N264" ca="1" si="119">L265+L266</f>
        <v>30700</v>
      </c>
      <c r="M264" s="465">
        <f t="shared" ca="1" si="119"/>
        <v>27700</v>
      </c>
      <c r="N264" s="465">
        <f t="shared" ca="1" si="119"/>
        <v>19670</v>
      </c>
      <c r="O264" s="465">
        <f t="shared" ca="1" si="116"/>
        <v>64.071661237785023</v>
      </c>
      <c r="P264" s="465">
        <f t="shared" ca="1" si="117"/>
        <v>71.010830324909747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2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6"/>
        <v>0</v>
      </c>
      <c r="P265" s="93">
        <f t="shared" si="117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2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IFERROR(__xludf.DUMMYFUNCTION("IMPORTRANGE(""https://docs.google.com/spreadsheets/d/1MeEWN-I1oV_STSDYn1IFDPWt_1FKiwhDph83XaGc0o0/edit?usp=sharing"",""งบพรบ!CY28"")"),30700)</f>
        <v>30700</v>
      </c>
      <c r="M266" s="93">
        <f ca="1">IFERROR(__xludf.DUMMYFUNCTION("IMPORTRANGE(""https://docs.google.com/spreadsheets/d/1MeEWN-I1oV_STSDYn1IFDPWt_1FKiwhDph83XaGc0o0/edit?usp=sharing"",""งบพรบ!DD28"")"),27700)</f>
        <v>27700</v>
      </c>
      <c r="N266" s="93">
        <f ca="1">IFERROR(__xludf.DUMMYFUNCTION("IMPORTRANGE(""https://docs.google.com/spreadsheets/d/1MeEWN-I1oV_STSDYn1IFDPWt_1FKiwhDph83XaGc0o0/edit?usp=sharing"",""งบพรบ!DF28"")"),19670)</f>
        <v>19670</v>
      </c>
      <c r="O266" s="93">
        <f t="shared" ca="1" si="116"/>
        <v>64.071661237785023</v>
      </c>
      <c r="P266" s="93">
        <f t="shared" ca="1" si="117"/>
        <v>71.010830324909747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1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65">
        <f t="shared" ref="L267:N267" ca="1" si="120">L268+L269</f>
        <v>0</v>
      </c>
      <c r="M267" s="465">
        <f t="shared" ca="1" si="120"/>
        <v>0</v>
      </c>
      <c r="N267" s="465">
        <f t="shared" ca="1" si="120"/>
        <v>0</v>
      </c>
      <c r="O267" s="465">
        <f t="shared" ca="1" si="116"/>
        <v>0</v>
      </c>
      <c r="P267" s="465">
        <f t="shared" ca="1" si="117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2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6"/>
        <v>0</v>
      </c>
      <c r="P268" s="93">
        <f t="shared" si="117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2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IFERROR(__xludf.DUMMYFUNCTION("IMPORTRANGE(""https://docs.google.com/spreadsheets/d/1MeEWN-I1oV_STSDYn1IFDPWt_1FKiwhDph83XaGc0o0/edit?usp=sharing"",""งบพรบ!DB28"")"),0)</f>
        <v>0</v>
      </c>
      <c r="M269" s="93">
        <f ca="1">IFERROR(__xludf.DUMMYFUNCTION("IMPORTRANGE(""https://docs.google.com/spreadsheets/d/1MeEWN-I1oV_STSDYn1IFDPWt_1FKiwhDph83XaGc0o0/edit?usp=sharing"",""งบพรบ!DE28"")"),0)</f>
        <v>0</v>
      </c>
      <c r="N269" s="93">
        <f ca="1">IFERROR(__xludf.DUMMYFUNCTION("IMPORTRANGE(""https://docs.google.com/spreadsheets/d/1MeEWN-I1oV_STSDYn1IFDPWt_1FKiwhDph83XaGc0o0/edit?usp=sharing"",""งบพรบ!DG28"")"),0)</f>
        <v>0</v>
      </c>
      <c r="O269" s="93">
        <f t="shared" ca="1" si="116"/>
        <v>0</v>
      </c>
      <c r="P269" s="93">
        <f t="shared" ca="1" si="117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1" t="s">
        <v>16</v>
      </c>
      <c r="D270" s="818" t="s">
        <v>38</v>
      </c>
      <c r="E270" s="173"/>
      <c r="F270" s="173"/>
      <c r="G270" s="174"/>
      <c r="H270" s="726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44" t="s">
        <v>124</v>
      </c>
      <c r="E271" s="342"/>
      <c r="F271" s="268"/>
      <c r="G271" s="179"/>
      <c r="H271" s="345" t="s">
        <v>35</v>
      </c>
      <c r="I271" s="269">
        <f ca="1">IFERROR(__xludf.DUMMYFUNCTION("IMPORTRANGE(""https://docs.google.com/spreadsheets/d/1QqKyyYR6Q21VydFLVH3TRQUabQu_ym0Zz7PgGX0-kHA/edit?usp=sharing"",""แผน!EA28"")"),26)</f>
        <v>26</v>
      </c>
      <c r="J271" s="214">
        <v>0</v>
      </c>
      <c r="K271" s="163">
        <f ca="1">IF(I271&gt;0,J271*100/I271,0)</f>
        <v>0</v>
      </c>
      <c r="L271" s="163"/>
      <c r="M271" s="163"/>
      <c r="N271" s="163"/>
      <c r="O271" s="163"/>
      <c r="P271" s="163"/>
    </row>
    <row r="272" spans="1:26" ht="18.75" hidden="1">
      <c r="A272" s="346"/>
      <c r="B272" s="347"/>
      <c r="C272" s="347"/>
      <c r="D272" s="348" t="s">
        <v>125</v>
      </c>
      <c r="E272" s="349"/>
      <c r="F272" s="349"/>
      <c r="G272" s="350"/>
      <c r="H272" s="50" t="s">
        <v>35</v>
      </c>
      <c r="I272" s="468">
        <v>0</v>
      </c>
      <c r="J272" s="468">
        <v>0</v>
      </c>
      <c r="K272" s="353">
        <v>0</v>
      </c>
      <c r="L272" s="353"/>
      <c r="M272" s="353"/>
      <c r="N272" s="353"/>
      <c r="O272" s="353"/>
      <c r="P272" s="353"/>
    </row>
    <row r="273" spans="1:26" ht="19.5">
      <c r="A273" s="354" t="s">
        <v>126</v>
      </c>
      <c r="B273" s="355"/>
      <c r="C273" s="355"/>
      <c r="D273" s="355"/>
      <c r="E273" s="356"/>
      <c r="F273" s="356"/>
      <c r="G273" s="357"/>
      <c r="H273" s="358"/>
      <c r="I273" s="359"/>
      <c r="J273" s="359"/>
      <c r="K273" s="360"/>
      <c r="L273" s="360"/>
      <c r="M273" s="360"/>
      <c r="N273" s="360"/>
      <c r="O273" s="360"/>
      <c r="P273" s="360"/>
    </row>
    <row r="274" spans="1:26" ht="19.5">
      <c r="A274" s="361" t="s">
        <v>127</v>
      </c>
      <c r="B274" s="362"/>
      <c r="C274" s="363"/>
      <c r="D274" s="362"/>
      <c r="E274" s="362"/>
      <c r="F274" s="362"/>
      <c r="G274" s="362"/>
      <c r="H274" s="364"/>
      <c r="I274" s="365"/>
      <c r="J274" s="366"/>
      <c r="K274" s="367"/>
      <c r="L274" s="367"/>
      <c r="M274" s="367"/>
      <c r="N274" s="367"/>
      <c r="O274" s="367"/>
      <c r="P274" s="367"/>
    </row>
    <row r="275" spans="1:26" ht="19.5">
      <c r="A275" s="368"/>
      <c r="B275" s="377" t="s">
        <v>128</v>
      </c>
      <c r="C275" s="370"/>
      <c r="D275" s="371"/>
      <c r="E275" s="370"/>
      <c r="F275" s="370"/>
      <c r="G275" s="372"/>
      <c r="H275" s="373" t="s">
        <v>35</v>
      </c>
      <c r="I275" s="374">
        <f t="shared" ref="I275:J275" ca="1" si="121">I288</f>
        <v>20</v>
      </c>
      <c r="J275" s="374">
        <f t="shared" ca="1" si="121"/>
        <v>0</v>
      </c>
      <c r="K275" s="375">
        <f t="shared" ref="K275:K276" ca="1" si="122">IF(I275&gt;0,J275*100/I275,0)</f>
        <v>0</v>
      </c>
      <c r="L275" s="376"/>
      <c r="M275" s="376"/>
      <c r="N275" s="376"/>
      <c r="O275" s="376"/>
      <c r="P275" s="376"/>
    </row>
    <row r="276" spans="1:26" ht="19.5">
      <c r="A276" s="368"/>
      <c r="B276" s="377"/>
      <c r="C276" s="370"/>
      <c r="D276" s="371"/>
      <c r="E276" s="370"/>
      <c r="F276" s="370"/>
      <c r="G276" s="372"/>
      <c r="H276" s="373" t="s">
        <v>46</v>
      </c>
      <c r="I276" s="374">
        <f t="shared" ref="I276:J276" ca="1" si="123">I287</f>
        <v>200</v>
      </c>
      <c r="J276" s="374">
        <f t="shared" si="123"/>
        <v>0</v>
      </c>
      <c r="K276" s="375">
        <f t="shared" ca="1" si="122"/>
        <v>0</v>
      </c>
      <c r="L276" s="376"/>
      <c r="M276" s="376"/>
      <c r="N276" s="376"/>
      <c r="O276" s="376"/>
      <c r="P276" s="376"/>
    </row>
    <row r="277" spans="1:26" ht="19.5">
      <c r="A277" s="147"/>
      <c r="B277" s="148"/>
      <c r="C277" s="149" t="s">
        <v>16</v>
      </c>
      <c r="D277" s="817" t="s">
        <v>17</v>
      </c>
      <c r="E277" s="148"/>
      <c r="F277" s="148"/>
      <c r="G277" s="151"/>
      <c r="H277" s="152" t="s">
        <v>12</v>
      </c>
      <c r="I277" s="388"/>
      <c r="J277" s="388"/>
      <c r="K277" s="154"/>
      <c r="L277" s="155">
        <f t="shared" ref="L277:N277" ca="1" si="124">L278+L279</f>
        <v>75640</v>
      </c>
      <c r="M277" s="155">
        <f t="shared" ca="1" si="124"/>
        <v>31640</v>
      </c>
      <c r="N277" s="155">
        <f t="shared" ca="1" si="124"/>
        <v>20280</v>
      </c>
      <c r="O277" s="155">
        <f t="shared" ref="O277:O285" ca="1" si="125">IF(L277&gt;0,N277*100/L277,0)</f>
        <v>26.811210999471179</v>
      </c>
      <c r="P277" s="155">
        <f t="shared" ref="P277:P285" ca="1" si="126">IF(M277&gt;0,N277*100/M277,0)</f>
        <v>64.096080910240204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2" t="s">
        <v>18</v>
      </c>
      <c r="F278" s="40"/>
      <c r="G278" s="157"/>
      <c r="H278" s="158" t="s">
        <v>12</v>
      </c>
      <c r="I278" s="583"/>
      <c r="J278" s="583"/>
      <c r="K278" s="93"/>
      <c r="L278" s="93">
        <f t="shared" ref="L278:N279" si="127">L281+L284</f>
        <v>0</v>
      </c>
      <c r="M278" s="93">
        <f t="shared" si="127"/>
        <v>0</v>
      </c>
      <c r="N278" s="93">
        <f t="shared" si="127"/>
        <v>0</v>
      </c>
      <c r="O278" s="93">
        <f t="shared" si="125"/>
        <v>0</v>
      </c>
      <c r="P278" s="93">
        <f t="shared" si="126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2" t="s">
        <v>19</v>
      </c>
      <c r="F279" s="40"/>
      <c r="G279" s="157"/>
      <c r="H279" s="158" t="s">
        <v>12</v>
      </c>
      <c r="I279" s="583"/>
      <c r="J279" s="583"/>
      <c r="K279" s="93"/>
      <c r="L279" s="93">
        <f t="shared" ca="1" si="127"/>
        <v>75640</v>
      </c>
      <c r="M279" s="93">
        <f t="shared" ca="1" si="127"/>
        <v>31640</v>
      </c>
      <c r="N279" s="93">
        <f t="shared" ca="1" si="127"/>
        <v>20280</v>
      </c>
      <c r="O279" s="93">
        <f t="shared" ca="1" si="125"/>
        <v>26.811210999471179</v>
      </c>
      <c r="P279" s="93">
        <f t="shared" ca="1" si="126"/>
        <v>64.096080910240204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>
      <c r="A280" s="159"/>
      <c r="B280" s="33"/>
      <c r="C280" s="281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65">
        <f t="shared" ref="L280:N280" ca="1" si="128">L281+L282</f>
        <v>75640</v>
      </c>
      <c r="M280" s="465">
        <f t="shared" ca="1" si="128"/>
        <v>31640</v>
      </c>
      <c r="N280" s="465">
        <f t="shared" ca="1" si="128"/>
        <v>20280</v>
      </c>
      <c r="O280" s="465">
        <f t="shared" ca="1" si="125"/>
        <v>26.811210999471179</v>
      </c>
      <c r="P280" s="465">
        <f t="shared" ca="1" si="126"/>
        <v>64.096080910240204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2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5"/>
        <v>0</v>
      </c>
      <c r="P281" s="93">
        <f t="shared" si="126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2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IFERROR(__xludf.DUMMYFUNCTION("IMPORTRANGE(""https://docs.google.com/spreadsheets/d/1MeEWN-I1oV_STSDYn1IFDPWt_1FKiwhDph83XaGc0o0/edit?usp=sharing"",""งบพรบ!DI28"")"),75640)</f>
        <v>75640</v>
      </c>
      <c r="M282" s="93">
        <f ca="1">IFERROR(__xludf.DUMMYFUNCTION("IMPORTRANGE(""https://docs.google.com/spreadsheets/d/1MeEWN-I1oV_STSDYn1IFDPWt_1FKiwhDph83XaGc0o0/edit?usp=sharing"",""งบพรบ!DN28"")"),31640)</f>
        <v>31640</v>
      </c>
      <c r="N282" s="93">
        <f ca="1">IFERROR(__xludf.DUMMYFUNCTION("IMPORTRANGE(""https://docs.google.com/spreadsheets/d/1MeEWN-I1oV_STSDYn1IFDPWt_1FKiwhDph83XaGc0o0/edit?usp=sharing"",""งบพรบ!DP28"")"),20280)</f>
        <v>20280</v>
      </c>
      <c r="O282" s="93">
        <f t="shared" ca="1" si="125"/>
        <v>26.811210999471179</v>
      </c>
      <c r="P282" s="93">
        <f t="shared" ca="1" si="126"/>
        <v>64.096080910240204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>
      <c r="A283" s="159"/>
      <c r="B283" s="33"/>
      <c r="C283" s="281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65">
        <f t="shared" ref="L283:N283" ca="1" si="129">L284+L285</f>
        <v>0</v>
      </c>
      <c r="M283" s="465">
        <f t="shared" ca="1" si="129"/>
        <v>0</v>
      </c>
      <c r="N283" s="465">
        <f t="shared" ca="1" si="129"/>
        <v>0</v>
      </c>
      <c r="O283" s="465">
        <f t="shared" ca="1" si="125"/>
        <v>0</v>
      </c>
      <c r="P283" s="465">
        <f t="shared" ca="1" si="126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2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5"/>
        <v>0</v>
      </c>
      <c r="P284" s="93">
        <f t="shared" si="126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2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IFERROR(__xludf.DUMMYFUNCTION("IMPORTRANGE(""https://docs.google.com/spreadsheets/d/1MeEWN-I1oV_STSDYn1IFDPWt_1FKiwhDph83XaGc0o0/edit?usp=sharing"",""งบพรบ!DL28"")"),0)</f>
        <v>0</v>
      </c>
      <c r="M285" s="93">
        <f ca="1">IFERROR(__xludf.DUMMYFUNCTION("IMPORTRANGE(""https://docs.google.com/spreadsheets/d/1MeEWN-I1oV_STSDYn1IFDPWt_1FKiwhDph83XaGc0o0/edit?usp=sharing"",""งบพรบ!DO28"")"),0)</f>
        <v>0</v>
      </c>
      <c r="N285" s="93">
        <f ca="1">IFERROR(__xludf.DUMMYFUNCTION("IMPORTRANGE(""https://docs.google.com/spreadsheets/d/1MeEWN-I1oV_STSDYn1IFDPWt_1FKiwhDph83XaGc0o0/edit?usp=sharing"",""งบพรบ!DQ28"")"),0)</f>
        <v>0</v>
      </c>
      <c r="O285" s="93">
        <f t="shared" ca="1" si="125"/>
        <v>0</v>
      </c>
      <c r="P285" s="93">
        <f t="shared" ca="1" si="126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>
      <c r="A286" s="170"/>
      <c r="B286" s="171"/>
      <c r="C286" s="164" t="s">
        <v>16</v>
      </c>
      <c r="D286" s="818" t="s">
        <v>38</v>
      </c>
      <c r="E286" s="173"/>
      <c r="F286" s="173"/>
      <c r="G286" s="174"/>
      <c r="H286" s="726"/>
      <c r="I286" s="184"/>
      <c r="J286" s="184"/>
      <c r="K286" s="163"/>
      <c r="L286" s="163"/>
      <c r="M286" s="163"/>
      <c r="N286" s="163"/>
      <c r="O286" s="163"/>
      <c r="P286" s="163"/>
    </row>
    <row r="287" spans="1:26" ht="18.75">
      <c r="A287" s="170"/>
      <c r="B287" s="171"/>
      <c r="C287" s="171"/>
      <c r="D287" s="592" t="s">
        <v>129</v>
      </c>
      <c r="E287" s="171"/>
      <c r="F287" s="342"/>
      <c r="G287" s="179"/>
      <c r="H287" s="185" t="s">
        <v>46</v>
      </c>
      <c r="I287" s="269">
        <f ca="1">IFERROR(__xludf.DUMMYFUNCTION("IMPORTRANGE(""https://docs.google.com/spreadsheets/d/1QqKyyYR6Q21VydFLVH3TRQUabQu_ym0Zz7PgGX0-kHA/edit?usp=sharing"",""แผน!EC28"")"),200)</f>
        <v>200</v>
      </c>
      <c r="J287" s="214">
        <v>0</v>
      </c>
      <c r="K287" s="163">
        <f t="shared" ref="K287:K288" ca="1" si="130">IF(I287&gt;0,J287*100/I287,0)</f>
        <v>0</v>
      </c>
      <c r="L287" s="163"/>
      <c r="M287" s="163"/>
      <c r="N287" s="163"/>
      <c r="O287" s="163"/>
      <c r="P287" s="163"/>
    </row>
    <row r="288" spans="1:26" ht="19.5">
      <c r="A288" s="170"/>
      <c r="B288" s="171"/>
      <c r="C288" s="171"/>
      <c r="D288" s="592" t="s">
        <v>130</v>
      </c>
      <c r="E288" s="171"/>
      <c r="F288" s="342"/>
      <c r="G288" s="179"/>
      <c r="H288" s="180" t="s">
        <v>35</v>
      </c>
      <c r="I288" s="647">
        <f ca="1">IFERROR(__xludf.DUMMYFUNCTION("IMPORTRANGE(""https://docs.google.com/spreadsheets/d/1QqKyyYR6Q21VydFLVH3TRQUabQu_ym0Zz7PgGX0-kHA/edit?usp=sharing"",""แผน!EB28"")"),20)</f>
        <v>20</v>
      </c>
      <c r="J288" s="647">
        <f ca="1">IF(AND(J291&gt;=I288,J294&gt;=I288),J294,0)</f>
        <v>0</v>
      </c>
      <c r="K288" s="379">
        <f t="shared" ca="1" si="130"/>
        <v>0</v>
      </c>
      <c r="L288" s="163"/>
      <c r="M288" s="163"/>
      <c r="N288" s="163"/>
      <c r="O288" s="163"/>
      <c r="P288" s="163"/>
    </row>
    <row r="289" spans="1:26" ht="19.5">
      <c r="A289" s="170"/>
      <c r="B289" s="171"/>
      <c r="C289" s="171"/>
      <c r="D289" s="380"/>
      <c r="E289" s="381" t="s">
        <v>131</v>
      </c>
      <c r="F289" s="342"/>
      <c r="G289" s="179"/>
      <c r="H289" s="728"/>
      <c r="I289" s="184"/>
      <c r="J289" s="269"/>
      <c r="K289" s="163"/>
      <c r="L289" s="163"/>
      <c r="M289" s="163"/>
      <c r="N289" s="163"/>
      <c r="O289" s="163"/>
      <c r="P289" s="163"/>
    </row>
    <row r="290" spans="1:26" ht="19.5">
      <c r="A290" s="170"/>
      <c r="B290" s="171"/>
      <c r="C290" s="171"/>
      <c r="D290" s="380"/>
      <c r="E290" s="592" t="s">
        <v>132</v>
      </c>
      <c r="F290" s="342"/>
      <c r="G290" s="179"/>
      <c r="H290" s="728" t="s">
        <v>35</v>
      </c>
      <c r="I290" s="184">
        <f ca="1">IFERROR(__xludf.DUMMYFUNCTION("IMPORTRANGE(""https://docs.google.com/spreadsheets/d/1QqKyyYR6Q21VydFLVH3TRQUabQu_ym0Zz7PgGX0-kHA/edit?usp=sharing"",""แผน!EB28"")"),20)</f>
        <v>20</v>
      </c>
      <c r="J290" s="214">
        <v>0</v>
      </c>
      <c r="K290" s="163">
        <f t="shared" ref="K290:K291" ca="1" si="131">IF(I290&gt;0,J290*100/I290,0)</f>
        <v>0</v>
      </c>
      <c r="L290" s="163"/>
      <c r="M290" s="163"/>
      <c r="N290" s="163"/>
      <c r="O290" s="163"/>
      <c r="P290" s="163"/>
    </row>
    <row r="291" spans="1:26" ht="19.5">
      <c r="A291" s="170"/>
      <c r="B291" s="171"/>
      <c r="C291" s="171"/>
      <c r="D291" s="342"/>
      <c r="E291" s="592" t="s">
        <v>133</v>
      </c>
      <c r="F291" s="342"/>
      <c r="G291" s="179"/>
      <c r="H291" s="728" t="s">
        <v>35</v>
      </c>
      <c r="I291" s="184">
        <f ca="1">IFERROR(__xludf.DUMMYFUNCTION("IMPORTRANGE(""https://docs.google.com/spreadsheets/d/1QqKyyYR6Q21VydFLVH3TRQUabQu_ym0Zz7PgGX0-kHA/edit?usp=sharing"",""แผน!EB28"")"),20)</f>
        <v>20</v>
      </c>
      <c r="J291" s="214">
        <v>0</v>
      </c>
      <c r="K291" s="163">
        <f t="shared" ca="1" si="131"/>
        <v>0</v>
      </c>
      <c r="L291" s="163"/>
      <c r="M291" s="163"/>
      <c r="N291" s="163"/>
      <c r="O291" s="163"/>
      <c r="P291" s="163"/>
    </row>
    <row r="292" spans="1:26" ht="19.5">
      <c r="A292" s="382"/>
      <c r="B292" s="383"/>
      <c r="C292" s="383"/>
      <c r="D292" s="384"/>
      <c r="E292" s="385" t="s">
        <v>134</v>
      </c>
      <c r="F292" s="286"/>
      <c r="G292" s="287"/>
      <c r="H292" s="386"/>
      <c r="I292" s="387"/>
      <c r="J292" s="388"/>
      <c r="K292" s="279"/>
      <c r="L292" s="279"/>
      <c r="M292" s="279"/>
      <c r="N292" s="279"/>
      <c r="O292" s="279"/>
      <c r="P292" s="279"/>
    </row>
    <row r="293" spans="1:26" ht="19.5">
      <c r="A293" s="170"/>
      <c r="B293" s="171"/>
      <c r="C293" s="171"/>
      <c r="D293" s="380"/>
      <c r="E293" s="592" t="s">
        <v>132</v>
      </c>
      <c r="F293" s="342"/>
      <c r="G293" s="179"/>
      <c r="H293" s="728" t="s">
        <v>35</v>
      </c>
      <c r="I293" s="184">
        <f ca="1">IFERROR(__xludf.DUMMYFUNCTION("IMPORTRANGE(""https://docs.google.com/spreadsheets/d/1QqKyyYR6Q21VydFLVH3TRQUabQu_ym0Zz7PgGX0-kHA/edit?usp=sharing"",""แผน!EB28"")"),20)</f>
        <v>20</v>
      </c>
      <c r="J293" s="214">
        <v>0</v>
      </c>
      <c r="K293" s="163">
        <f t="shared" ref="K293:K294" ca="1" si="132">IF(I293&gt;0,J293*100/I293,0)</f>
        <v>0</v>
      </c>
      <c r="L293" s="163"/>
      <c r="M293" s="163"/>
      <c r="N293" s="163"/>
      <c r="O293" s="163"/>
      <c r="P293" s="163"/>
    </row>
    <row r="294" spans="1:26" ht="19.5">
      <c r="A294" s="346"/>
      <c r="B294" s="347"/>
      <c r="C294" s="347"/>
      <c r="D294" s="349"/>
      <c r="E294" s="698" t="s">
        <v>136</v>
      </c>
      <c r="F294" s="349"/>
      <c r="G294" s="350"/>
      <c r="H294" s="390" t="s">
        <v>35</v>
      </c>
      <c r="I294" s="391">
        <f ca="1">IFERROR(__xludf.DUMMYFUNCTION("IMPORTRANGE(""https://docs.google.com/spreadsheets/d/1QqKyyYR6Q21VydFLVH3TRQUabQu_ym0Zz7PgGX0-kHA/edit?usp=sharing"",""แผน!EB28"")"),20)</f>
        <v>20</v>
      </c>
      <c r="J294" s="392">
        <v>0</v>
      </c>
      <c r="K294" s="353">
        <f t="shared" ca="1" si="132"/>
        <v>0</v>
      </c>
      <c r="L294" s="353"/>
      <c r="M294" s="353"/>
      <c r="N294" s="353"/>
      <c r="O294" s="353"/>
      <c r="P294" s="353"/>
    </row>
    <row r="295" spans="1:26" ht="19.5">
      <c r="A295" s="393" t="s">
        <v>137</v>
      </c>
      <c r="B295" s="394"/>
      <c r="C295" s="394"/>
      <c r="D295" s="394"/>
      <c r="E295" s="395"/>
      <c r="F295" s="395"/>
      <c r="G295" s="396"/>
      <c r="H295" s="397"/>
      <c r="I295" s="398"/>
      <c r="J295" s="398"/>
      <c r="K295" s="399"/>
      <c r="L295" s="399"/>
      <c r="M295" s="399"/>
      <c r="N295" s="399"/>
      <c r="O295" s="399"/>
      <c r="P295" s="399"/>
    </row>
    <row r="296" spans="1:26" ht="19.5">
      <c r="A296" s="400" t="s">
        <v>138</v>
      </c>
      <c r="B296" s="401"/>
      <c r="C296" s="401"/>
      <c r="D296" s="402"/>
      <c r="E296" s="402"/>
      <c r="F296" s="402"/>
      <c r="G296" s="403"/>
      <c r="H296" s="404"/>
      <c r="I296" s="405"/>
      <c r="J296" s="405"/>
      <c r="K296" s="406"/>
      <c r="L296" s="406"/>
      <c r="M296" s="406"/>
      <c r="N296" s="406"/>
      <c r="O296" s="406"/>
      <c r="P296" s="406"/>
    </row>
    <row r="297" spans="1:26" ht="19.5">
      <c r="A297" s="407"/>
      <c r="B297" s="408" t="s">
        <v>139</v>
      </c>
      <c r="C297" s="409"/>
      <c r="D297" s="409"/>
      <c r="E297" s="409"/>
      <c r="F297" s="409"/>
      <c r="G297" s="410"/>
      <c r="H297" s="411" t="s">
        <v>35</v>
      </c>
      <c r="I297" s="412">
        <f t="shared" ref="I297:J297" ca="1" si="133">I309</f>
        <v>20</v>
      </c>
      <c r="J297" s="412">
        <f t="shared" si="133"/>
        <v>0</v>
      </c>
      <c r="K297" s="413">
        <f ca="1">IF(I297&gt;0,J297*100/I297,0)</f>
        <v>0</v>
      </c>
      <c r="L297" s="414"/>
      <c r="M297" s="414"/>
      <c r="N297" s="414"/>
      <c r="O297" s="414"/>
      <c r="P297" s="414"/>
    </row>
    <row r="298" spans="1:26" ht="19.5">
      <c r="A298" s="147"/>
      <c r="B298" s="148"/>
      <c r="C298" s="149" t="s">
        <v>16</v>
      </c>
      <c r="D298" s="817" t="s">
        <v>17</v>
      </c>
      <c r="E298" s="148"/>
      <c r="F298" s="148"/>
      <c r="G298" s="151"/>
      <c r="H298" s="152" t="s">
        <v>12</v>
      </c>
      <c r="I298" s="388"/>
      <c r="J298" s="388"/>
      <c r="K298" s="154"/>
      <c r="L298" s="155">
        <f t="shared" ref="L298:N298" ca="1" si="134">L299+L300</f>
        <v>225400</v>
      </c>
      <c r="M298" s="155">
        <f t="shared" ca="1" si="134"/>
        <v>114120</v>
      </c>
      <c r="N298" s="155">
        <f t="shared" ca="1" si="134"/>
        <v>21290.32</v>
      </c>
      <c r="O298" s="155">
        <f t="shared" ref="O298:O306" ca="1" si="135">IF(L298&gt;0,N298*100/L298,0)</f>
        <v>9.4455723158828757</v>
      </c>
      <c r="P298" s="155">
        <f t="shared" ref="P298:P306" ca="1" si="136">IF(M298&gt;0,N298*100/M298,0)</f>
        <v>18.656081317910971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2" t="s">
        <v>18</v>
      </c>
      <c r="F299" s="40"/>
      <c r="G299" s="157"/>
      <c r="H299" s="158" t="s">
        <v>12</v>
      </c>
      <c r="I299" s="583"/>
      <c r="J299" s="583"/>
      <c r="K299" s="93"/>
      <c r="L299" s="93">
        <f t="shared" ref="L299:N300" si="137">L302+L305</f>
        <v>0</v>
      </c>
      <c r="M299" s="93">
        <f t="shared" si="137"/>
        <v>0</v>
      </c>
      <c r="N299" s="93">
        <f t="shared" si="137"/>
        <v>0</v>
      </c>
      <c r="O299" s="93">
        <f t="shared" si="135"/>
        <v>0</v>
      </c>
      <c r="P299" s="93">
        <f t="shared" si="136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2" t="s">
        <v>19</v>
      </c>
      <c r="F300" s="40"/>
      <c r="G300" s="157"/>
      <c r="H300" s="158" t="s">
        <v>12</v>
      </c>
      <c r="I300" s="583"/>
      <c r="J300" s="583"/>
      <c r="K300" s="93"/>
      <c r="L300" s="93">
        <f t="shared" ca="1" si="137"/>
        <v>225400</v>
      </c>
      <c r="M300" s="93">
        <f t="shared" ca="1" si="137"/>
        <v>114120</v>
      </c>
      <c r="N300" s="93">
        <f t="shared" ca="1" si="137"/>
        <v>21290.32</v>
      </c>
      <c r="O300" s="93">
        <f t="shared" ca="1" si="135"/>
        <v>9.4455723158828757</v>
      </c>
      <c r="P300" s="93">
        <f t="shared" ca="1" si="136"/>
        <v>18.656081317910971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>
      <c r="A301" s="159"/>
      <c r="B301" s="33"/>
      <c r="C301" s="281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65">
        <f t="shared" ref="L301:N301" ca="1" si="138">L302+L303</f>
        <v>225400</v>
      </c>
      <c r="M301" s="465">
        <f t="shared" ca="1" si="138"/>
        <v>114120</v>
      </c>
      <c r="N301" s="465">
        <f t="shared" ca="1" si="138"/>
        <v>21290.32</v>
      </c>
      <c r="O301" s="465">
        <f t="shared" ca="1" si="135"/>
        <v>9.4455723158828757</v>
      </c>
      <c r="P301" s="465">
        <f t="shared" ca="1" si="136"/>
        <v>18.656081317910971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2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5"/>
        <v>0</v>
      </c>
      <c r="P302" s="93">
        <f t="shared" si="136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2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IFERROR(__xludf.DUMMYFUNCTION("IMPORTRANGE(""https://docs.google.com/spreadsheets/d/1MeEWN-I1oV_STSDYn1IFDPWt_1FKiwhDph83XaGc0o0/edit?usp=sharing"",""งบพรบ!DS28"")"),225400)</f>
        <v>225400</v>
      </c>
      <c r="M303" s="93">
        <f ca="1">IFERROR(__xludf.DUMMYFUNCTION("IMPORTRANGE(""https://docs.google.com/spreadsheets/d/1MeEWN-I1oV_STSDYn1IFDPWt_1FKiwhDph83XaGc0o0/edit?usp=sharing"",""งบพรบ!DX28"")"),114120)</f>
        <v>114120</v>
      </c>
      <c r="N303" s="93">
        <f ca="1">IFERROR(__xludf.DUMMYFUNCTION("IMPORTRANGE(""https://docs.google.com/spreadsheets/d/1MeEWN-I1oV_STSDYn1IFDPWt_1FKiwhDph83XaGc0o0/edit?usp=sharing"",""งบพรบ!DZ28"")"),21290.32)</f>
        <v>21290.32</v>
      </c>
      <c r="O303" s="93">
        <f t="shared" ca="1" si="135"/>
        <v>9.4455723158828757</v>
      </c>
      <c r="P303" s="93">
        <f t="shared" ca="1" si="136"/>
        <v>18.656081317910971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>
      <c r="A304" s="159"/>
      <c r="B304" s="33"/>
      <c r="C304" s="281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65">
        <f t="shared" ref="L304:N304" ca="1" si="139">L305+L306</f>
        <v>0</v>
      </c>
      <c r="M304" s="465">
        <f t="shared" ca="1" si="139"/>
        <v>0</v>
      </c>
      <c r="N304" s="465">
        <f t="shared" ca="1" si="139"/>
        <v>0</v>
      </c>
      <c r="O304" s="465">
        <f t="shared" ca="1" si="135"/>
        <v>0</v>
      </c>
      <c r="P304" s="465">
        <f t="shared" ca="1" si="136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2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5"/>
        <v>0</v>
      </c>
      <c r="P305" s="93">
        <f t="shared" si="136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2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IFERROR(__xludf.DUMMYFUNCTION("IMPORTRANGE(""https://docs.google.com/spreadsheets/d/1MeEWN-I1oV_STSDYn1IFDPWt_1FKiwhDph83XaGc0o0/edit?usp=sharing"",""งบพรบ!DV28"")"),0)</f>
        <v>0</v>
      </c>
      <c r="M306" s="93">
        <f ca="1">IFERROR(__xludf.DUMMYFUNCTION("IMPORTRANGE(""https://docs.google.com/spreadsheets/d/1MeEWN-I1oV_STSDYn1IFDPWt_1FKiwhDph83XaGc0o0/edit?usp=sharing"",""งบพรบ!DY28"")"),0)</f>
        <v>0</v>
      </c>
      <c r="N306" s="93">
        <f ca="1">IFERROR(__xludf.DUMMYFUNCTION("IMPORTRANGE(""https://docs.google.com/spreadsheets/d/1MeEWN-I1oV_STSDYn1IFDPWt_1FKiwhDph83XaGc0o0/edit?usp=sharing"",""งบพรบ!EA28"")"),0)</f>
        <v>0</v>
      </c>
      <c r="O306" s="93">
        <f t="shared" ca="1" si="135"/>
        <v>0</v>
      </c>
      <c r="P306" s="93">
        <f t="shared" ca="1" si="136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>
      <c r="A307" s="170"/>
      <c r="B307" s="171"/>
      <c r="C307" s="164" t="s">
        <v>16</v>
      </c>
      <c r="D307" s="818" t="s">
        <v>38</v>
      </c>
      <c r="E307" s="173"/>
      <c r="F307" s="173"/>
      <c r="G307" s="174"/>
      <c r="H307" s="726"/>
      <c r="I307" s="269"/>
      <c r="J307" s="269"/>
      <c r="K307" s="465"/>
      <c r="L307" s="465"/>
      <c r="M307" s="465"/>
      <c r="N307" s="465"/>
      <c r="O307" s="465"/>
      <c r="P307" s="465"/>
    </row>
    <row r="308" spans="1:26" ht="18.75">
      <c r="A308" s="170"/>
      <c r="B308" s="171"/>
      <c r="C308" s="171"/>
      <c r="D308" s="415" t="s">
        <v>140</v>
      </c>
      <c r="E308" s="415"/>
      <c r="F308" s="415"/>
      <c r="G308" s="179"/>
      <c r="H308" s="728"/>
      <c r="I308" s="269"/>
      <c r="J308" s="214">
        <v>0</v>
      </c>
      <c r="K308" s="465"/>
      <c r="L308" s="465"/>
      <c r="M308" s="465"/>
      <c r="N308" s="465"/>
      <c r="O308" s="465"/>
      <c r="P308" s="465"/>
    </row>
    <row r="309" spans="1:26" ht="18.75">
      <c r="A309" s="170"/>
      <c r="B309" s="171"/>
      <c r="C309" s="171"/>
      <c r="D309" s="415" t="s">
        <v>141</v>
      </c>
      <c r="E309" s="415"/>
      <c r="F309" s="415"/>
      <c r="G309" s="179"/>
      <c r="H309" s="728" t="s">
        <v>35</v>
      </c>
      <c r="I309" s="269">
        <f ca="1">IFERROR(__xludf.DUMMYFUNCTION("IMPORTRANGE(""https://docs.google.com/spreadsheets/d/1QqKyyYR6Q21VydFLVH3TRQUabQu_ym0Zz7PgGX0-kHA/edit?usp=sharing"",""แผน!ED28"")"),20)</f>
        <v>20</v>
      </c>
      <c r="J309" s="214">
        <v>0</v>
      </c>
      <c r="K309" s="465">
        <f t="shared" ref="K309:K312" ca="1" si="140">IF(I309&gt;0,J309*100/I309,0)</f>
        <v>0</v>
      </c>
      <c r="L309" s="465"/>
      <c r="M309" s="465"/>
      <c r="N309" s="465"/>
      <c r="O309" s="465"/>
      <c r="P309" s="465"/>
    </row>
    <row r="310" spans="1:26" ht="18.75">
      <c r="A310" s="170"/>
      <c r="B310" s="171"/>
      <c r="C310" s="171"/>
      <c r="D310" s="415" t="s">
        <v>142</v>
      </c>
      <c r="E310" s="415"/>
      <c r="F310" s="415"/>
      <c r="G310" s="179"/>
      <c r="H310" s="728" t="s">
        <v>35</v>
      </c>
      <c r="I310" s="269">
        <f ca="1">IFERROR(__xludf.DUMMYFUNCTION("IMPORTRANGE(""https://docs.google.com/spreadsheets/d/1QqKyyYR6Q21VydFLVH3TRQUabQu_ym0Zz7PgGX0-kHA/edit?usp=sharing"",""แผน!ED28"")"),20)</f>
        <v>20</v>
      </c>
      <c r="J310" s="214">
        <v>0</v>
      </c>
      <c r="K310" s="465">
        <f t="shared" ca="1" si="140"/>
        <v>0</v>
      </c>
      <c r="L310" s="465"/>
      <c r="M310" s="465"/>
      <c r="N310" s="465"/>
      <c r="O310" s="465"/>
      <c r="P310" s="465"/>
    </row>
    <row r="311" spans="1:26" ht="18.75">
      <c r="A311" s="170"/>
      <c r="B311" s="171"/>
      <c r="C311" s="171"/>
      <c r="D311" s="415" t="s">
        <v>59</v>
      </c>
      <c r="E311" s="415"/>
      <c r="F311" s="415"/>
      <c r="G311" s="179"/>
      <c r="H311" s="728" t="s">
        <v>35</v>
      </c>
      <c r="I311" s="269">
        <f ca="1">IFERROR(__xludf.DUMMYFUNCTION("IMPORTRANGE(""https://docs.google.com/spreadsheets/d/1QqKyyYR6Q21VydFLVH3TRQUabQu_ym0Zz7PgGX0-kHA/edit?usp=sharing"",""แผน!ED28"")"),20)</f>
        <v>20</v>
      </c>
      <c r="J311" s="214">
        <v>0</v>
      </c>
      <c r="K311" s="465">
        <f t="shared" ca="1" si="140"/>
        <v>0</v>
      </c>
      <c r="L311" s="465"/>
      <c r="M311" s="465"/>
      <c r="N311" s="465"/>
      <c r="O311" s="465"/>
      <c r="P311" s="465"/>
    </row>
    <row r="312" spans="1:26" ht="18.75">
      <c r="A312" s="170"/>
      <c r="B312" s="171"/>
      <c r="C312" s="171"/>
      <c r="D312" s="415" t="s">
        <v>143</v>
      </c>
      <c r="E312" s="415"/>
      <c r="F312" s="415"/>
      <c r="G312" s="179"/>
      <c r="H312" s="728" t="s">
        <v>35</v>
      </c>
      <c r="I312" s="269">
        <f ca="1">IFERROR(__xludf.DUMMYFUNCTION("IMPORTRANGE(""https://docs.google.com/spreadsheets/d/1QqKyyYR6Q21VydFLVH3TRQUabQu_ym0Zz7PgGX0-kHA/edit?usp=sharing"",""แผน!EE28"")"),4)</f>
        <v>4</v>
      </c>
      <c r="J312" s="214">
        <v>0</v>
      </c>
      <c r="K312" s="465">
        <f t="shared" ca="1" si="140"/>
        <v>0</v>
      </c>
      <c r="L312" s="465"/>
      <c r="M312" s="465"/>
      <c r="N312" s="465"/>
      <c r="O312" s="465"/>
      <c r="P312" s="465"/>
    </row>
    <row r="313" spans="1:26" ht="19.5" hidden="1">
      <c r="A313" s="400" t="s">
        <v>144</v>
      </c>
      <c r="B313" s="401"/>
      <c r="C313" s="401"/>
      <c r="D313" s="402"/>
      <c r="E313" s="401"/>
      <c r="F313" s="401"/>
      <c r="G313" s="401"/>
      <c r="H313" s="417"/>
      <c r="I313" s="405"/>
      <c r="J313" s="405"/>
      <c r="K313" s="406"/>
      <c r="L313" s="406"/>
      <c r="M313" s="406"/>
      <c r="N313" s="406"/>
      <c r="O313" s="406"/>
      <c r="P313" s="406"/>
    </row>
    <row r="314" spans="1:26" ht="19.5" hidden="1">
      <c r="A314" s="418"/>
      <c r="B314" s="408" t="s">
        <v>145</v>
      </c>
      <c r="C314" s="419"/>
      <c r="D314" s="420"/>
      <c r="E314" s="409"/>
      <c r="F314" s="409"/>
      <c r="G314" s="410"/>
      <c r="H314" s="411" t="s">
        <v>146</v>
      </c>
      <c r="I314" s="412">
        <f t="shared" ref="I314:J314" ca="1" si="141">I325</f>
        <v>0</v>
      </c>
      <c r="J314" s="412">
        <f t="shared" si="141"/>
        <v>0</v>
      </c>
      <c r="K314" s="413">
        <f ca="1">IF(I314&gt;0,J314*100/I314,0)</f>
        <v>0</v>
      </c>
      <c r="L314" s="414"/>
      <c r="M314" s="414"/>
      <c r="N314" s="414"/>
      <c r="O314" s="414"/>
      <c r="P314" s="414"/>
    </row>
    <row r="315" spans="1:26" ht="19.5" hidden="1">
      <c r="A315" s="147"/>
      <c r="B315" s="148"/>
      <c r="C315" s="149" t="s">
        <v>16</v>
      </c>
      <c r="D315" s="817" t="s">
        <v>17</v>
      </c>
      <c r="E315" s="148"/>
      <c r="F315" s="148"/>
      <c r="G315" s="151"/>
      <c r="H315" s="152" t="s">
        <v>12</v>
      </c>
      <c r="I315" s="388"/>
      <c r="J315" s="388"/>
      <c r="K315" s="154"/>
      <c r="L315" s="155">
        <f t="shared" ref="L315:N315" ca="1" si="142">L316+L317</f>
        <v>0</v>
      </c>
      <c r="M315" s="155">
        <f t="shared" ca="1" si="142"/>
        <v>0</v>
      </c>
      <c r="N315" s="155">
        <f t="shared" ca="1" si="142"/>
        <v>0</v>
      </c>
      <c r="O315" s="155">
        <f t="shared" ref="O315:O323" ca="1" si="143">IF(L315&gt;0,N315*100/L315,0)</f>
        <v>0</v>
      </c>
      <c r="P315" s="155">
        <f t="shared" ref="P315:P323" ca="1" si="144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2" t="s">
        <v>18</v>
      </c>
      <c r="F316" s="40"/>
      <c r="G316" s="157"/>
      <c r="H316" s="158" t="s">
        <v>12</v>
      </c>
      <c r="I316" s="583"/>
      <c r="J316" s="583"/>
      <c r="K316" s="93"/>
      <c r="L316" s="93">
        <f t="shared" ref="L316:N317" si="145">L319+L322</f>
        <v>0</v>
      </c>
      <c r="M316" s="93">
        <f t="shared" si="145"/>
        <v>0</v>
      </c>
      <c r="N316" s="93">
        <f t="shared" si="145"/>
        <v>0</v>
      </c>
      <c r="O316" s="93">
        <f t="shared" si="143"/>
        <v>0</v>
      </c>
      <c r="P316" s="93">
        <f t="shared" si="144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2" t="s">
        <v>19</v>
      </c>
      <c r="F317" s="40"/>
      <c r="G317" s="157"/>
      <c r="H317" s="158" t="s">
        <v>12</v>
      </c>
      <c r="I317" s="583"/>
      <c r="J317" s="583"/>
      <c r="K317" s="93"/>
      <c r="L317" s="93">
        <f t="shared" ca="1" si="145"/>
        <v>0</v>
      </c>
      <c r="M317" s="93">
        <f t="shared" ca="1" si="145"/>
        <v>0</v>
      </c>
      <c r="N317" s="93">
        <f t="shared" ca="1" si="145"/>
        <v>0</v>
      </c>
      <c r="O317" s="93">
        <f t="shared" ca="1" si="143"/>
        <v>0</v>
      </c>
      <c r="P317" s="93">
        <f t="shared" ca="1" si="144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1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65">
        <f t="shared" ref="L318:N318" ca="1" si="146">L319+L320</f>
        <v>0</v>
      </c>
      <c r="M318" s="465">
        <f t="shared" ca="1" si="146"/>
        <v>0</v>
      </c>
      <c r="N318" s="465">
        <f t="shared" ca="1" si="146"/>
        <v>0</v>
      </c>
      <c r="O318" s="465">
        <f t="shared" ca="1" si="143"/>
        <v>0</v>
      </c>
      <c r="P318" s="465">
        <f t="shared" ca="1" si="144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2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3"/>
        <v>0</v>
      </c>
      <c r="P319" s="93">
        <f t="shared" si="144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2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IFERROR(__xludf.DUMMYFUNCTION("IMPORTRANGE(""https://docs.google.com/spreadsheets/d/1MeEWN-I1oV_STSDYn1IFDPWt_1FKiwhDph83XaGc0o0/edit?usp=sharing"",""งบพรบ!EC28"")"),0)</f>
        <v>0</v>
      </c>
      <c r="M320" s="93">
        <f ca="1">IFERROR(__xludf.DUMMYFUNCTION("IMPORTRANGE(""https://docs.google.com/spreadsheets/d/1MeEWN-I1oV_STSDYn1IFDPWt_1FKiwhDph83XaGc0o0/edit?usp=sharing"",""งบพรบ!EH28"")"),0)</f>
        <v>0</v>
      </c>
      <c r="N320" s="93">
        <f ca="1">IFERROR(__xludf.DUMMYFUNCTION("IMPORTRANGE(""https://docs.google.com/spreadsheets/d/1MeEWN-I1oV_STSDYn1IFDPWt_1FKiwhDph83XaGc0o0/edit?usp=sharing"",""งบพรบ!EJ28"")"),0)</f>
        <v>0</v>
      </c>
      <c r="O320" s="93">
        <f t="shared" ca="1" si="143"/>
        <v>0</v>
      </c>
      <c r="P320" s="93">
        <f t="shared" ca="1" si="144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1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65">
        <f t="shared" ref="L321:N321" ca="1" si="147">L322+L323</f>
        <v>0</v>
      </c>
      <c r="M321" s="465">
        <f t="shared" ca="1" si="147"/>
        <v>0</v>
      </c>
      <c r="N321" s="465">
        <f t="shared" ca="1" si="147"/>
        <v>0</v>
      </c>
      <c r="O321" s="465">
        <f t="shared" ca="1" si="143"/>
        <v>0</v>
      </c>
      <c r="P321" s="465">
        <f t="shared" ca="1" si="144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2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3"/>
        <v>0</v>
      </c>
      <c r="P322" s="93">
        <f t="shared" si="144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2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IFERROR(__xludf.DUMMYFUNCTION("IMPORTRANGE(""https://docs.google.com/spreadsheets/d/1MeEWN-I1oV_STSDYn1IFDPWt_1FKiwhDph83XaGc0o0/edit?usp=sharing"",""งบพรบ!EF28"")"),0)</f>
        <v>0</v>
      </c>
      <c r="M323" s="93">
        <f ca="1">IFERROR(__xludf.DUMMYFUNCTION("IMPORTRANGE(""https://docs.google.com/spreadsheets/d/1MeEWN-I1oV_STSDYn1IFDPWt_1FKiwhDph83XaGc0o0/edit?usp=sharing"",""งบพรบ!EI28"")"),0)</f>
        <v>0</v>
      </c>
      <c r="N323" s="93">
        <f ca="1">IFERROR(__xludf.DUMMYFUNCTION("IMPORTRANGE(""https://docs.google.com/spreadsheets/d/1MeEWN-I1oV_STSDYn1IFDPWt_1FKiwhDph83XaGc0o0/edit?usp=sharing"",""งบพรบ!EK28"")"),0)</f>
        <v>0</v>
      </c>
      <c r="O323" s="93">
        <f t="shared" ca="1" si="143"/>
        <v>0</v>
      </c>
      <c r="P323" s="93">
        <f t="shared" ca="1" si="144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18" t="s">
        <v>38</v>
      </c>
      <c r="E324" s="173"/>
      <c r="F324" s="173"/>
      <c r="G324" s="174"/>
      <c r="H324" s="726"/>
      <c r="I324" s="184"/>
      <c r="J324" s="269"/>
      <c r="K324" s="465"/>
      <c r="L324" s="465"/>
      <c r="M324" s="465"/>
      <c r="N324" s="465"/>
      <c r="O324" s="163"/>
      <c r="P324" s="163"/>
    </row>
    <row r="325" spans="1:26" ht="18.75" hidden="1">
      <c r="A325" s="170"/>
      <c r="B325" s="171"/>
      <c r="C325" s="171"/>
      <c r="D325" s="343" t="s">
        <v>147</v>
      </c>
      <c r="E325" s="342"/>
      <c r="F325" s="415"/>
      <c r="G325" s="179"/>
      <c r="H325" s="589" t="s">
        <v>146</v>
      </c>
      <c r="I325" s="269">
        <f ca="1">IFERROR(__xludf.DUMMYFUNCTION("IMPORTRANGE(""https://docs.google.com/spreadsheets/d/1QqKyyYR6Q21VydFLVH3TRQUabQu_ym0Zz7PgGX0-kHA/edit?usp=sharing"",""แผน!EF28"")"),0)</f>
        <v>0</v>
      </c>
      <c r="J325" s="214">
        <v>0</v>
      </c>
      <c r="K325" s="465">
        <f ca="1">IF(I325&gt;0,J325*100/I325,0)</f>
        <v>0</v>
      </c>
      <c r="L325" s="465"/>
      <c r="M325" s="465"/>
      <c r="N325" s="465"/>
      <c r="O325" s="163"/>
      <c r="P325" s="163"/>
    </row>
    <row r="326" spans="1:26" ht="19.5">
      <c r="A326" s="400" t="s">
        <v>148</v>
      </c>
      <c r="B326" s="401"/>
      <c r="C326" s="401"/>
      <c r="D326" s="402"/>
      <c r="E326" s="401"/>
      <c r="F326" s="401"/>
      <c r="G326" s="401"/>
      <c r="H326" s="417"/>
      <c r="I326" s="405"/>
      <c r="J326" s="405"/>
      <c r="K326" s="406"/>
      <c r="L326" s="406"/>
      <c r="M326" s="406"/>
      <c r="N326" s="406"/>
      <c r="O326" s="406"/>
      <c r="P326" s="406"/>
    </row>
    <row r="327" spans="1:26" ht="19.5">
      <c r="A327" s="407"/>
      <c r="B327" s="408" t="s">
        <v>149</v>
      </c>
      <c r="C327" s="420"/>
      <c r="D327" s="409"/>
      <c r="E327" s="409"/>
      <c r="F327" s="409"/>
      <c r="G327" s="410"/>
      <c r="H327" s="411" t="s">
        <v>35</v>
      </c>
      <c r="I327" s="412">
        <f ca="1">IFERROR(__xludf.DUMMYFUNCTION("IMPORTRANGE(""https://docs.google.com/spreadsheets/d/1QqKyyYR6Q21VydFLVH3TRQUabQu_ym0Zz7PgGX0-kHA/edit?usp=sharing"",""แผน!EG28"")"),5600)</f>
        <v>5600</v>
      </c>
      <c r="J327" s="412">
        <f ca="1">J338+J341+J342+J343</f>
        <v>1340</v>
      </c>
      <c r="K327" s="413">
        <f ca="1">IF(I327&gt;0,J327*100/I327,0)</f>
        <v>23.928571428571427</v>
      </c>
      <c r="L327" s="414"/>
      <c r="M327" s="414"/>
      <c r="N327" s="414"/>
      <c r="O327" s="414"/>
      <c r="P327" s="414"/>
    </row>
    <row r="328" spans="1:26" ht="19.5">
      <c r="A328" s="147"/>
      <c r="B328" s="148"/>
      <c r="C328" s="149" t="s">
        <v>16</v>
      </c>
      <c r="D328" s="817" t="s">
        <v>17</v>
      </c>
      <c r="E328" s="148"/>
      <c r="F328" s="148"/>
      <c r="G328" s="151"/>
      <c r="H328" s="152" t="s">
        <v>12</v>
      </c>
      <c r="I328" s="388"/>
      <c r="J328" s="388"/>
      <c r="K328" s="154"/>
      <c r="L328" s="155">
        <f t="shared" ref="L328:N328" ca="1" si="148">L329+L330</f>
        <v>182000</v>
      </c>
      <c r="M328" s="155">
        <f t="shared" ca="1" si="148"/>
        <v>91000</v>
      </c>
      <c r="N328" s="155">
        <f t="shared" ca="1" si="148"/>
        <v>17426.669999999998</v>
      </c>
      <c r="O328" s="155">
        <f t="shared" ref="O328:O336" ca="1" si="149">IF(L328&gt;0,N328*100/L328,0)</f>
        <v>9.575093406593405</v>
      </c>
      <c r="P328" s="155">
        <f t="shared" ref="P328:P336" ca="1" si="150">IF(M328&gt;0,N328*100/M328,0)</f>
        <v>19.15018681318681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2" t="s">
        <v>18</v>
      </c>
      <c r="F329" s="40"/>
      <c r="G329" s="157"/>
      <c r="H329" s="158" t="s">
        <v>12</v>
      </c>
      <c r="I329" s="583"/>
      <c r="J329" s="583"/>
      <c r="K329" s="93"/>
      <c r="L329" s="93">
        <f t="shared" ref="L329:N330" si="151">L332+L335</f>
        <v>0</v>
      </c>
      <c r="M329" s="93">
        <f t="shared" si="151"/>
        <v>0</v>
      </c>
      <c r="N329" s="93">
        <f t="shared" si="151"/>
        <v>0</v>
      </c>
      <c r="O329" s="93">
        <f t="shared" si="149"/>
        <v>0</v>
      </c>
      <c r="P329" s="93">
        <f t="shared" si="150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2" t="s">
        <v>19</v>
      </c>
      <c r="F330" s="40"/>
      <c r="G330" s="157"/>
      <c r="H330" s="158" t="s">
        <v>12</v>
      </c>
      <c r="I330" s="583"/>
      <c r="J330" s="583"/>
      <c r="K330" s="93"/>
      <c r="L330" s="93">
        <f t="shared" ca="1" si="151"/>
        <v>182000</v>
      </c>
      <c r="M330" s="93">
        <f t="shared" ca="1" si="151"/>
        <v>91000</v>
      </c>
      <c r="N330" s="93">
        <f t="shared" ca="1" si="151"/>
        <v>17426.669999999998</v>
      </c>
      <c r="O330" s="93">
        <f t="shared" ca="1" si="149"/>
        <v>9.575093406593405</v>
      </c>
      <c r="P330" s="93">
        <f t="shared" ca="1" si="150"/>
        <v>19.15018681318681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1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65">
        <f t="shared" ref="L331:N331" ca="1" si="152">L332+L333</f>
        <v>182000</v>
      </c>
      <c r="M331" s="465">
        <f t="shared" ca="1" si="152"/>
        <v>91000</v>
      </c>
      <c r="N331" s="465">
        <f t="shared" ca="1" si="152"/>
        <v>17426.669999999998</v>
      </c>
      <c r="O331" s="465">
        <f t="shared" ca="1" si="149"/>
        <v>9.575093406593405</v>
      </c>
      <c r="P331" s="465">
        <f t="shared" ca="1" si="150"/>
        <v>19.15018681318681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2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49"/>
        <v>0</v>
      </c>
      <c r="P332" s="93">
        <f t="shared" si="150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2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IFERROR(__xludf.DUMMYFUNCTION("IMPORTRANGE(""https://docs.google.com/spreadsheets/d/1MeEWN-I1oV_STSDYn1IFDPWt_1FKiwhDph83XaGc0o0/edit?usp=sharing"",""งบพรบ!EM28"")"),182000)</f>
        <v>182000</v>
      </c>
      <c r="M333" s="93">
        <f ca="1">IFERROR(__xludf.DUMMYFUNCTION("IMPORTRANGE(""https://docs.google.com/spreadsheets/d/1MeEWN-I1oV_STSDYn1IFDPWt_1FKiwhDph83XaGc0o0/edit?usp=sharing"",""งบพรบ!ER28"")"),91000)</f>
        <v>91000</v>
      </c>
      <c r="N333" s="93">
        <f ca="1">IFERROR(__xludf.DUMMYFUNCTION("IMPORTRANGE(""https://docs.google.com/spreadsheets/d/1MeEWN-I1oV_STSDYn1IFDPWt_1FKiwhDph83XaGc0o0/edit?usp=sharing"",""งบพรบ!ET28"")"),17426.67)</f>
        <v>17426.669999999998</v>
      </c>
      <c r="O333" s="93">
        <f t="shared" ca="1" si="149"/>
        <v>9.575093406593405</v>
      </c>
      <c r="P333" s="93">
        <f t="shared" ca="1" si="150"/>
        <v>19.15018681318681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1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65">
        <f t="shared" ref="L334:N334" ca="1" si="153">L335+L336</f>
        <v>0</v>
      </c>
      <c r="M334" s="465">
        <f t="shared" ca="1" si="153"/>
        <v>0</v>
      </c>
      <c r="N334" s="465">
        <f t="shared" ca="1" si="153"/>
        <v>0</v>
      </c>
      <c r="O334" s="465">
        <f t="shared" ca="1" si="149"/>
        <v>0</v>
      </c>
      <c r="P334" s="465">
        <f t="shared" ca="1" si="150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2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49"/>
        <v>0</v>
      </c>
      <c r="P335" s="93">
        <f t="shared" si="150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2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IFERROR(__xludf.DUMMYFUNCTION("IMPORTRANGE(""https://docs.google.com/spreadsheets/d/1MeEWN-I1oV_STSDYn1IFDPWt_1FKiwhDph83XaGc0o0/edit?usp=sharing"",""งบพรบ!EP28"")"),0)</f>
        <v>0</v>
      </c>
      <c r="M336" s="93">
        <f ca="1">IFERROR(__xludf.DUMMYFUNCTION("IMPORTRANGE(""https://docs.google.com/spreadsheets/d/1MeEWN-I1oV_STSDYn1IFDPWt_1FKiwhDph83XaGc0o0/edit?usp=sharing"",""งบพรบ!ES28"")"),0)</f>
        <v>0</v>
      </c>
      <c r="N336" s="93">
        <f ca="1">IFERROR(__xludf.DUMMYFUNCTION("IMPORTRANGE(""https://docs.google.com/spreadsheets/d/1MeEWN-I1oV_STSDYn1IFDPWt_1FKiwhDph83XaGc0o0/edit?usp=sharing"",""งบพรบ!EU28"")"),0)</f>
        <v>0</v>
      </c>
      <c r="O336" s="93">
        <f t="shared" ca="1" si="149"/>
        <v>0</v>
      </c>
      <c r="P336" s="93">
        <f t="shared" ca="1" si="150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18" t="s">
        <v>38</v>
      </c>
      <c r="E337" s="173"/>
      <c r="F337" s="173"/>
      <c r="G337" s="174"/>
      <c r="H337" s="726"/>
      <c r="I337" s="184"/>
      <c r="J337" s="269"/>
      <c r="K337" s="465"/>
      <c r="L337" s="465"/>
      <c r="M337" s="465"/>
      <c r="N337" s="465"/>
      <c r="O337" s="163"/>
      <c r="P337" s="163"/>
    </row>
    <row r="338" spans="1:26" ht="18.75">
      <c r="A338" s="283"/>
      <c r="B338" s="33"/>
      <c r="C338" s="280"/>
      <c r="D338" s="415" t="s">
        <v>150</v>
      </c>
      <c r="E338" s="171"/>
      <c r="F338" s="33"/>
      <c r="G338" s="35"/>
      <c r="H338" s="276" t="s">
        <v>35</v>
      </c>
      <c r="I338" s="269">
        <f ca="1">IFERROR(__xludf.DUMMYFUNCTION("IMPORTRANGE(""https://docs.google.com/spreadsheets/d/1QqKyyYR6Q21VydFLVH3TRQUabQu_ym0Zz7PgGX0-kHA/edit?usp=sharing"",""แผน!EG28"")"),5600)</f>
        <v>5600</v>
      </c>
      <c r="J338" s="269">
        <f ca="1">IFERROR(__xludf.DUMMYFUNCTION("IMPORTRANGE(""https://docs.google.com/spreadsheets/d/1kVcqe37tkHyjCSG3S0O1AXqVkqjo8mSIZil3BcpIysc/edit?usp=sharing"",""ศูนย์!D28"")"),1296)</f>
        <v>1296</v>
      </c>
      <c r="K338" s="465">
        <f ca="1">IF(I338&gt;0,J338*100/I338,0)</f>
        <v>23.142857142857142</v>
      </c>
      <c r="L338" s="465"/>
      <c r="M338" s="465"/>
      <c r="N338" s="465"/>
      <c r="O338" s="465"/>
      <c r="P338" s="465"/>
    </row>
    <row r="339" spans="1:26" ht="18.75">
      <c r="A339" s="283"/>
      <c r="B339" s="33"/>
      <c r="C339" s="280"/>
      <c r="D339" s="415" t="s">
        <v>151</v>
      </c>
      <c r="E339" s="171"/>
      <c r="F339" s="33"/>
      <c r="G339" s="35"/>
      <c r="H339" s="276"/>
      <c r="I339" s="269"/>
      <c r="J339" s="269"/>
      <c r="K339" s="465"/>
      <c r="L339" s="465"/>
      <c r="M339" s="465"/>
      <c r="N339" s="465"/>
      <c r="O339" s="465"/>
      <c r="P339" s="465"/>
    </row>
    <row r="340" spans="1:26" ht="18.75">
      <c r="A340" s="283"/>
      <c r="B340" s="33"/>
      <c r="C340" s="280"/>
      <c r="D340" s="342"/>
      <c r="E340" s="415" t="s">
        <v>152</v>
      </c>
      <c r="F340" s="33"/>
      <c r="G340" s="35"/>
      <c r="H340" s="276" t="s">
        <v>153</v>
      </c>
      <c r="I340" s="269">
        <f ca="1">IFERROR(__xludf.DUMMYFUNCTION("IMPORTRANGE(""https://docs.google.com/spreadsheets/d/1QqKyyYR6Q21VydFLVH3TRQUabQu_ym0Zz7PgGX0-kHA/edit?usp=sharing"",""แผน!EH28"")"),7)</f>
        <v>7</v>
      </c>
      <c r="J340" s="269">
        <f ca="1">IFERROR(__xludf.DUMMYFUNCTION("IMPORTRANGE(""https://docs.google.com/spreadsheets/d/1kVcqe37tkHyjCSG3S0O1AXqVkqjo8mSIZil3BcpIysc/edit?usp=sharing"",""ศูนย์!E28"")"),2)</f>
        <v>2</v>
      </c>
      <c r="K340" s="465">
        <f ca="1">IF(I340&gt;0,J340*100/I340,0)</f>
        <v>28.571428571428573</v>
      </c>
      <c r="L340" s="465"/>
      <c r="M340" s="465"/>
      <c r="N340" s="465"/>
      <c r="O340" s="465"/>
      <c r="P340" s="465"/>
    </row>
    <row r="341" spans="1:26" ht="18.75">
      <c r="A341" s="283"/>
      <c r="B341" s="33"/>
      <c r="C341" s="280"/>
      <c r="D341" s="342"/>
      <c r="E341" s="415" t="s">
        <v>154</v>
      </c>
      <c r="F341" s="33"/>
      <c r="G341" s="35"/>
      <c r="H341" s="276" t="s">
        <v>35</v>
      </c>
      <c r="I341" s="269"/>
      <c r="J341" s="269">
        <f ca="1">IFERROR(__xludf.DUMMYFUNCTION("IMPORTRANGE(""https://docs.google.com/spreadsheets/d/1kVcqe37tkHyjCSG3S0O1AXqVkqjo8mSIZil3BcpIysc/edit?usp=sharing"",""ศูนย์!F28"")"),44)</f>
        <v>44</v>
      </c>
      <c r="K341" s="465"/>
      <c r="L341" s="465"/>
      <c r="M341" s="465"/>
      <c r="N341" s="465"/>
      <c r="O341" s="465"/>
      <c r="P341" s="465"/>
    </row>
    <row r="342" spans="1:26" ht="18.75">
      <c r="A342" s="283"/>
      <c r="B342" s="33"/>
      <c r="C342" s="280"/>
      <c r="D342" s="415" t="s">
        <v>155</v>
      </c>
      <c r="E342" s="342"/>
      <c r="F342" s="342"/>
      <c r="G342" s="35"/>
      <c r="H342" s="276" t="s">
        <v>35</v>
      </c>
      <c r="I342" s="269"/>
      <c r="J342" s="269">
        <f ca="1">IFERROR(__xludf.DUMMYFUNCTION("IMPORTRANGE(""https://docs.google.com/spreadsheets/d/1kVcqe37tkHyjCSG3S0O1AXqVkqjo8mSIZil3BcpIysc/edit?usp=sharing"",""ศูนย์!G28"")"),0)</f>
        <v>0</v>
      </c>
      <c r="K342" s="465"/>
      <c r="L342" s="465"/>
      <c r="M342" s="465"/>
      <c r="N342" s="465"/>
      <c r="O342" s="465"/>
      <c r="P342" s="465"/>
    </row>
    <row r="343" spans="1:26" ht="18.75">
      <c r="A343" s="283"/>
      <c r="B343" s="33"/>
      <c r="C343" s="280"/>
      <c r="D343" s="415" t="s">
        <v>156</v>
      </c>
      <c r="E343" s="342"/>
      <c r="F343" s="342"/>
      <c r="G343" s="35"/>
      <c r="H343" s="276" t="s">
        <v>35</v>
      </c>
      <c r="I343" s="269"/>
      <c r="J343" s="269">
        <f ca="1">IFERROR(__xludf.DUMMYFUNCTION("IMPORTRANGE(""https://docs.google.com/spreadsheets/d/1kVcqe37tkHyjCSG3S0O1AXqVkqjo8mSIZil3BcpIysc/edit?usp=sharing"",""ศูนย์!H28"")"),0)</f>
        <v>0</v>
      </c>
      <c r="K343" s="465"/>
      <c r="L343" s="465"/>
      <c r="M343" s="465"/>
      <c r="N343" s="465"/>
      <c r="O343" s="465"/>
      <c r="P343" s="465"/>
    </row>
    <row r="344" spans="1:26" ht="19.5">
      <c r="A344" s="407"/>
      <c r="B344" s="408" t="s">
        <v>157</v>
      </c>
      <c r="C344" s="420"/>
      <c r="D344" s="409"/>
      <c r="E344" s="409"/>
      <c r="F344" s="409"/>
      <c r="G344" s="410"/>
      <c r="H344" s="411"/>
      <c r="I344" s="421"/>
      <c r="J344" s="421"/>
      <c r="K344" s="414"/>
      <c r="L344" s="414"/>
      <c r="M344" s="414"/>
      <c r="N344" s="414"/>
      <c r="O344" s="414"/>
      <c r="P344" s="414"/>
    </row>
    <row r="345" spans="1:26" ht="19.5">
      <c r="A345" s="147"/>
      <c r="B345" s="148"/>
      <c r="C345" s="149" t="s">
        <v>16</v>
      </c>
      <c r="D345" s="817" t="s">
        <v>17</v>
      </c>
      <c r="E345" s="148"/>
      <c r="F345" s="148"/>
      <c r="G345" s="151"/>
      <c r="H345" s="152" t="s">
        <v>12</v>
      </c>
      <c r="I345" s="388"/>
      <c r="J345" s="388"/>
      <c r="K345" s="154"/>
      <c r="L345" s="155">
        <f t="shared" ref="L345:N345" ca="1" si="154">L346+L347</f>
        <v>593930</v>
      </c>
      <c r="M345" s="155">
        <f t="shared" ca="1" si="154"/>
        <v>345870</v>
      </c>
      <c r="N345" s="155">
        <f t="shared" ca="1" si="154"/>
        <v>20300</v>
      </c>
      <c r="O345" s="155">
        <f t="shared" ref="O345:O353" ca="1" si="155">IF(L345&gt;0,N345*100/L345,0)</f>
        <v>3.4179112016567608</v>
      </c>
      <c r="P345" s="155">
        <f t="shared" ref="P345:P353" ca="1" si="156">IF(M345&gt;0,N345*100/M345,0)</f>
        <v>5.8692572353774537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2" t="s">
        <v>18</v>
      </c>
      <c r="F346" s="40"/>
      <c r="G346" s="157"/>
      <c r="H346" s="158" t="s">
        <v>12</v>
      </c>
      <c r="I346" s="583"/>
      <c r="J346" s="583"/>
      <c r="K346" s="93"/>
      <c r="L346" s="93">
        <f t="shared" ref="L346:N347" si="157">L349+L352</f>
        <v>0</v>
      </c>
      <c r="M346" s="93">
        <f t="shared" si="157"/>
        <v>0</v>
      </c>
      <c r="N346" s="93">
        <f t="shared" si="157"/>
        <v>0</v>
      </c>
      <c r="O346" s="93">
        <f t="shared" si="155"/>
        <v>0</v>
      </c>
      <c r="P346" s="93">
        <f t="shared" si="156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2" t="s">
        <v>19</v>
      </c>
      <c r="F347" s="40"/>
      <c r="G347" s="157"/>
      <c r="H347" s="158" t="s">
        <v>12</v>
      </c>
      <c r="I347" s="583"/>
      <c r="J347" s="583"/>
      <c r="K347" s="93"/>
      <c r="L347" s="93">
        <f t="shared" ca="1" si="157"/>
        <v>593930</v>
      </c>
      <c r="M347" s="93">
        <f t="shared" ca="1" si="157"/>
        <v>345870</v>
      </c>
      <c r="N347" s="93">
        <f t="shared" ca="1" si="157"/>
        <v>20300</v>
      </c>
      <c r="O347" s="93">
        <f t="shared" ca="1" si="155"/>
        <v>3.4179112016567608</v>
      </c>
      <c r="P347" s="93">
        <f t="shared" ca="1" si="156"/>
        <v>5.8692572353774537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1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65">
        <f t="shared" ref="L348:N348" ca="1" si="158">L349+L350</f>
        <v>496130</v>
      </c>
      <c r="M348" s="465">
        <f t="shared" ca="1" si="158"/>
        <v>248070</v>
      </c>
      <c r="N348" s="465">
        <f t="shared" ca="1" si="158"/>
        <v>20300</v>
      </c>
      <c r="O348" s="465">
        <f t="shared" ca="1" si="155"/>
        <v>4.0916695221010624</v>
      </c>
      <c r="P348" s="465">
        <f t="shared" ca="1" si="156"/>
        <v>8.1831741040835251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2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5"/>
        <v>0</v>
      </c>
      <c r="P349" s="93">
        <f t="shared" si="156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2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IFERROR(__xludf.DUMMYFUNCTION("IMPORTRANGE(""https://docs.google.com/spreadsheets/d/1MeEWN-I1oV_STSDYn1IFDPWt_1FKiwhDph83XaGc0o0/edit?usp=sharing"",""งบพรบ!EW28"")"),496130)</f>
        <v>496130</v>
      </c>
      <c r="M350" s="93">
        <f ca="1">IFERROR(__xludf.DUMMYFUNCTION("IMPORTRANGE(""https://docs.google.com/spreadsheets/d/1MeEWN-I1oV_STSDYn1IFDPWt_1FKiwhDph83XaGc0o0/edit?usp=sharing"",""งบพรบ!FB28"")"),248070)</f>
        <v>248070</v>
      </c>
      <c r="N350" s="93">
        <f ca="1">IFERROR(__xludf.DUMMYFUNCTION("IMPORTRANGE(""https://docs.google.com/spreadsheets/d/1MeEWN-I1oV_STSDYn1IFDPWt_1FKiwhDph83XaGc0o0/edit?usp=sharing"",""งบพรบ!FD28"")"),20300)</f>
        <v>20300</v>
      </c>
      <c r="O350" s="93">
        <f t="shared" ca="1" si="155"/>
        <v>4.0916695221010624</v>
      </c>
      <c r="P350" s="93">
        <f t="shared" ca="1" si="156"/>
        <v>8.1831741040835251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1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65">
        <f t="shared" ref="L351:N351" ca="1" si="159">L352+L353</f>
        <v>97800</v>
      </c>
      <c r="M351" s="465">
        <f t="shared" ca="1" si="159"/>
        <v>97800</v>
      </c>
      <c r="N351" s="465">
        <f t="shared" ca="1" si="159"/>
        <v>0</v>
      </c>
      <c r="O351" s="465">
        <f t="shared" ca="1" si="155"/>
        <v>0</v>
      </c>
      <c r="P351" s="465">
        <f t="shared" ca="1" si="156"/>
        <v>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2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5"/>
        <v>0</v>
      </c>
      <c r="P352" s="93">
        <f t="shared" si="156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2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IFERROR(__xludf.DUMMYFUNCTION("IMPORTRANGE(""https://docs.google.com/spreadsheets/d/1MeEWN-I1oV_STSDYn1IFDPWt_1FKiwhDph83XaGc0o0/edit?usp=sharing"",""งบพรบ!EZ28"")"),97800)</f>
        <v>97800</v>
      </c>
      <c r="M353" s="93">
        <f ca="1">IFERROR(__xludf.DUMMYFUNCTION("IMPORTRANGE(""https://docs.google.com/spreadsheets/d/1MeEWN-I1oV_STSDYn1IFDPWt_1FKiwhDph83XaGc0o0/edit?usp=sharing"",""งบพรบ!FC28"")"),97800)</f>
        <v>97800</v>
      </c>
      <c r="N353" s="93">
        <f ca="1">IFERROR(__xludf.DUMMYFUNCTION("IMPORTRANGE(""https://docs.google.com/spreadsheets/d/1MeEWN-I1oV_STSDYn1IFDPWt_1FKiwhDph83XaGc0o0/edit?usp=sharing"",""งบพรบ!FE28"")"),0)</f>
        <v>0</v>
      </c>
      <c r="O353" s="93">
        <f t="shared" ca="1" si="155"/>
        <v>0</v>
      </c>
      <c r="P353" s="93">
        <f t="shared" ca="1" si="156"/>
        <v>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5"/>
      <c r="B354" s="263"/>
      <c r="C354" s="256"/>
      <c r="D354" s="845" t="s">
        <v>158</v>
      </c>
      <c r="E354" s="256"/>
      <c r="F354" s="256"/>
      <c r="G354" s="258"/>
      <c r="H354" s="423"/>
      <c r="I354" s="260"/>
      <c r="J354" s="260"/>
      <c r="K354" s="261"/>
      <c r="L354" s="261"/>
      <c r="M354" s="261"/>
      <c r="N354" s="261"/>
      <c r="O354" s="261"/>
      <c r="P354" s="261"/>
    </row>
    <row r="355" spans="1:26" ht="19.5">
      <c r="A355" s="424"/>
      <c r="B355" s="425"/>
      <c r="C355" s="426"/>
      <c r="D355" s="846" t="s">
        <v>159</v>
      </c>
      <c r="E355" s="428"/>
      <c r="F355" s="428"/>
      <c r="G355" s="429"/>
      <c r="H355" s="430" t="s">
        <v>35</v>
      </c>
      <c r="I355" s="432">
        <f ca="1">IFERROR(__xludf.DUMMYFUNCTION("IMPORTRANGE(""https://docs.google.com/spreadsheets/d/1QqKyyYR6Q21VydFLVH3TRQUabQu_ym0Zz7PgGX0-kHA/edit?usp=sharing"",""แผน!EP28"")"),190)</f>
        <v>190</v>
      </c>
      <c r="J355" s="432">
        <f ca="1">J362</f>
        <v>0</v>
      </c>
      <c r="K355" s="433">
        <f ca="1">IF(I355&gt;0,J355*100/I355,0)</f>
        <v>0</v>
      </c>
      <c r="L355" s="434"/>
      <c r="M355" s="434"/>
      <c r="N355" s="434"/>
      <c r="O355" s="434"/>
      <c r="P355" s="434"/>
    </row>
    <row r="356" spans="1:26" ht="19.5">
      <c r="A356" s="424"/>
      <c r="B356" s="425"/>
      <c r="C356" s="426"/>
      <c r="D356" s="435" t="s">
        <v>160</v>
      </c>
      <c r="E356" s="428"/>
      <c r="F356" s="428"/>
      <c r="G356" s="429"/>
      <c r="H356" s="436"/>
      <c r="I356" s="437"/>
      <c r="J356" s="437"/>
      <c r="K356" s="434"/>
      <c r="L356" s="434"/>
      <c r="M356" s="434"/>
      <c r="N356" s="434"/>
      <c r="O356" s="434"/>
      <c r="P356" s="434"/>
    </row>
    <row r="357" spans="1:26" ht="19.5">
      <c r="A357" s="170"/>
      <c r="B357" s="171"/>
      <c r="C357" s="164" t="s">
        <v>16</v>
      </c>
      <c r="D357" s="818" t="s">
        <v>38</v>
      </c>
      <c r="E357" s="173"/>
      <c r="F357" s="173"/>
      <c r="G357" s="174"/>
      <c r="H357" s="726"/>
      <c r="I357" s="269"/>
      <c r="J357" s="269"/>
      <c r="K357" s="465"/>
      <c r="L357" s="163"/>
      <c r="M357" s="163"/>
      <c r="N357" s="163"/>
      <c r="O357" s="163"/>
      <c r="P357" s="163"/>
    </row>
    <row r="358" spans="1:26" ht="18.75">
      <c r="A358" s="170"/>
      <c r="B358" s="342"/>
      <c r="C358" s="171"/>
      <c r="D358" s="342"/>
      <c r="E358" s="343" t="s">
        <v>161</v>
      </c>
      <c r="F358" s="342"/>
      <c r="G358" s="179"/>
      <c r="H358" s="185" t="s">
        <v>35</v>
      </c>
      <c r="I358" s="269">
        <v>0</v>
      </c>
      <c r="J358" s="269">
        <f ca="1">IFERROR(__xludf.DUMMYFUNCTION("IMPORTRANGE(""https://docs.google.com/spreadsheets/d/1XWAQStnk-4SwqDmLtmXYiTMKHgktTP8We1SCoS47DrQ/edit?usp=sharing"",""จัดที่ดิน!W28"")"),9)</f>
        <v>9</v>
      </c>
      <c r="K358" s="465">
        <f t="shared" ref="K358:K365" si="160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342"/>
      <c r="C359" s="171"/>
      <c r="D359" s="342"/>
      <c r="E359" s="342"/>
      <c r="F359" s="342"/>
      <c r="G359" s="179"/>
      <c r="H359" s="185" t="s">
        <v>46</v>
      </c>
      <c r="I359" s="269">
        <f ca="1">IFERROR(__xludf.DUMMYFUNCTION("IMPORTRANGE(""https://docs.google.com/spreadsheets/d/1QqKyyYR6Q21VydFLVH3TRQUabQu_ym0Zz7PgGX0-kHA/edit?usp=sharing"",""แผน!EO28"")"),1800)</f>
        <v>1800</v>
      </c>
      <c r="J359" s="269">
        <f ca="1">IFERROR(__xludf.DUMMYFUNCTION("IMPORTRANGE(""https://docs.google.com/spreadsheets/d/1XWAQStnk-4SwqDmLtmXYiTMKHgktTP8We1SCoS47DrQ/edit?usp=sharing"",""จัดที่ดิน!X28"")"),111.27)</f>
        <v>111.27</v>
      </c>
      <c r="K359" s="465">
        <f t="shared" ca="1" si="160"/>
        <v>6.1816666666666666</v>
      </c>
      <c r="L359" s="163"/>
      <c r="M359" s="163"/>
      <c r="N359" s="163"/>
      <c r="O359" s="163"/>
      <c r="P359" s="163"/>
    </row>
    <row r="360" spans="1:26" ht="18.75">
      <c r="A360" s="170"/>
      <c r="B360" s="342"/>
      <c r="C360" s="171"/>
      <c r="D360" s="342"/>
      <c r="E360" s="343" t="s">
        <v>162</v>
      </c>
      <c r="F360" s="342"/>
      <c r="G360" s="179"/>
      <c r="H360" s="728" t="s">
        <v>35</v>
      </c>
      <c r="I360" s="269">
        <f ca="1">IFERROR(__xludf.DUMMYFUNCTION("IMPORTRANGE(""https://docs.google.com/spreadsheets/d/1QqKyyYR6Q21VydFLVH3TRQUabQu_ym0Zz7PgGX0-kHA/edit?usp=sharing"",""แผน!EP28"")"),190)</f>
        <v>190</v>
      </c>
      <c r="J360" s="269">
        <f ca="1">IFERROR(__xludf.DUMMYFUNCTION("IMPORTRANGE(""https://docs.google.com/spreadsheets/d/1XWAQStnk-4SwqDmLtmXYiTMKHgktTP8We1SCoS47DrQ/edit?usp=sharing"",""จัดที่ดิน!Y28"")"),1)</f>
        <v>1</v>
      </c>
      <c r="K360" s="465">
        <f t="shared" ca="1" si="160"/>
        <v>0.52631578947368418</v>
      </c>
      <c r="L360" s="163"/>
      <c r="M360" s="163"/>
      <c r="N360" s="163"/>
      <c r="O360" s="163"/>
      <c r="P360" s="163"/>
    </row>
    <row r="361" spans="1:26" ht="18.75">
      <c r="A361" s="170"/>
      <c r="B361" s="342"/>
      <c r="C361" s="171"/>
      <c r="D361" s="342"/>
      <c r="E361" s="342"/>
      <c r="F361" s="342"/>
      <c r="G361" s="179"/>
      <c r="H361" s="728" t="s">
        <v>46</v>
      </c>
      <c r="I361" s="269">
        <v>0</v>
      </c>
      <c r="J361" s="269">
        <f ca="1">IFERROR(__xludf.DUMMYFUNCTION("IMPORTRANGE(""https://docs.google.com/spreadsheets/d/1XWAQStnk-4SwqDmLtmXYiTMKHgktTP8We1SCoS47DrQ/edit?usp=sharing"",""จัดที่ดิน!Z28"")"),10.62)</f>
        <v>10.62</v>
      </c>
      <c r="K361" s="465">
        <f t="shared" si="160"/>
        <v>0</v>
      </c>
      <c r="L361" s="163"/>
      <c r="M361" s="163"/>
      <c r="N361" s="163"/>
      <c r="O361" s="163"/>
      <c r="P361" s="163"/>
    </row>
    <row r="362" spans="1:26" ht="18.75">
      <c r="A362" s="170"/>
      <c r="B362" s="342"/>
      <c r="C362" s="171"/>
      <c r="D362" s="342"/>
      <c r="E362" s="343" t="s">
        <v>163</v>
      </c>
      <c r="F362" s="342"/>
      <c r="G362" s="179"/>
      <c r="H362" s="728" t="s">
        <v>35</v>
      </c>
      <c r="I362" s="269">
        <f ca="1">IFERROR(__xludf.DUMMYFUNCTION("IMPORTRANGE(""https://docs.google.com/spreadsheets/d/1QqKyyYR6Q21VydFLVH3TRQUabQu_ym0Zz7PgGX0-kHA/edit?usp=sharing"",""แผน!EP28"")"),190)</f>
        <v>190</v>
      </c>
      <c r="J362" s="269">
        <f ca="1">IFERROR(__xludf.DUMMYFUNCTION("IMPORTRANGE(""https://docs.google.com/spreadsheets/d/1XWAQStnk-4SwqDmLtmXYiTMKHgktTP8We1SCoS47DrQ/edit?usp=sharing"",""จัดที่ดิน!AA28"")"),0)</f>
        <v>0</v>
      </c>
      <c r="K362" s="465">
        <f t="shared" ca="1" si="160"/>
        <v>0</v>
      </c>
      <c r="L362" s="163"/>
      <c r="M362" s="163"/>
      <c r="N362" s="163"/>
      <c r="O362" s="163"/>
      <c r="P362" s="163"/>
    </row>
    <row r="363" spans="1:26" ht="18.75">
      <c r="A363" s="438" t="s">
        <v>164</v>
      </c>
      <c r="B363" s="342"/>
      <c r="C363" s="171"/>
      <c r="D363" s="342"/>
      <c r="E363" s="415"/>
      <c r="F363" s="342"/>
      <c r="G363" s="179"/>
      <c r="H363" s="728" t="s">
        <v>46</v>
      </c>
      <c r="I363" s="269">
        <v>0</v>
      </c>
      <c r="J363" s="269">
        <f ca="1">IFERROR(__xludf.DUMMYFUNCTION("IMPORTRANGE(""https://docs.google.com/spreadsheets/d/1XWAQStnk-4SwqDmLtmXYiTMKHgktTP8We1SCoS47DrQ/edit?usp=sharing"",""จัดที่ดิน!AB28"")"),0)</f>
        <v>0</v>
      </c>
      <c r="K363" s="465">
        <f t="shared" si="160"/>
        <v>0</v>
      </c>
      <c r="L363" s="163"/>
      <c r="M363" s="163"/>
      <c r="N363" s="163"/>
      <c r="O363" s="163"/>
      <c r="P363" s="163"/>
    </row>
    <row r="364" spans="1:26" ht="19.5">
      <c r="A364" s="439"/>
      <c r="B364" s="440"/>
      <c r="C364" s="441"/>
      <c r="D364" s="442" t="s">
        <v>165</v>
      </c>
      <c r="E364" s="443"/>
      <c r="F364" s="443"/>
      <c r="G364" s="444"/>
      <c r="H364" s="445" t="s">
        <v>35</v>
      </c>
      <c r="I364" s="446">
        <f t="shared" ref="I364:J364" ca="1" si="161">I365+I374</f>
        <v>690</v>
      </c>
      <c r="J364" s="446">
        <f t="shared" ca="1" si="161"/>
        <v>171</v>
      </c>
      <c r="K364" s="447">
        <f t="shared" ca="1" si="160"/>
        <v>24.782608695652176</v>
      </c>
      <c r="L364" s="448"/>
      <c r="M364" s="448"/>
      <c r="N364" s="448"/>
      <c r="O364" s="448"/>
      <c r="P364" s="448"/>
      <c r="Q364" s="449"/>
      <c r="R364" s="449"/>
      <c r="S364" s="449"/>
      <c r="T364" s="449"/>
      <c r="U364" s="449"/>
      <c r="V364" s="449"/>
      <c r="W364" s="449"/>
      <c r="X364" s="449"/>
      <c r="Y364" s="449"/>
      <c r="Z364" s="449"/>
    </row>
    <row r="365" spans="1:26" ht="19.5">
      <c r="A365" s="450"/>
      <c r="B365" s="451"/>
      <c r="C365" s="453"/>
      <c r="D365" s="453" t="s">
        <v>166</v>
      </c>
      <c r="E365" s="454"/>
      <c r="F365" s="454"/>
      <c r="G365" s="455"/>
      <c r="H365" s="456" t="s">
        <v>35</v>
      </c>
      <c r="I365" s="458">
        <f ca="1">IFERROR(__xludf.DUMMYFUNCTION("IMPORTRANGE(""https://docs.google.com/spreadsheets/d/1QqKyyYR6Q21VydFLVH3TRQUabQu_ym0Zz7PgGX0-kHA/edit?usp=sharing"",""แผน!EJ28"")"),40)</f>
        <v>40</v>
      </c>
      <c r="J365" s="458">
        <f ca="1">J372</f>
        <v>0</v>
      </c>
      <c r="K365" s="459">
        <f t="shared" ca="1" si="160"/>
        <v>0</v>
      </c>
      <c r="L365" s="460"/>
      <c r="M365" s="460"/>
      <c r="N365" s="460"/>
      <c r="O365" s="460"/>
      <c r="P365" s="460"/>
      <c r="Q365" s="449"/>
      <c r="R365" s="449"/>
      <c r="S365" s="449"/>
      <c r="T365" s="449"/>
      <c r="U365" s="449"/>
      <c r="V365" s="449"/>
      <c r="W365" s="449"/>
      <c r="X365" s="449"/>
      <c r="Y365" s="449"/>
      <c r="Z365" s="449"/>
    </row>
    <row r="366" spans="1:26" ht="19.5">
      <c r="A366" s="450"/>
      <c r="B366" s="451"/>
      <c r="C366" s="453"/>
      <c r="D366" s="461" t="s">
        <v>167</v>
      </c>
      <c r="E366" s="454"/>
      <c r="F366" s="454"/>
      <c r="G366" s="455"/>
      <c r="H366" s="462"/>
      <c r="I366" s="463"/>
      <c r="J366" s="463"/>
      <c r="K366" s="460"/>
      <c r="L366" s="460"/>
      <c r="M366" s="460"/>
      <c r="N366" s="460"/>
      <c r="O366" s="460"/>
      <c r="P366" s="460"/>
      <c r="Q366" s="449"/>
      <c r="R366" s="449"/>
      <c r="S366" s="449"/>
      <c r="T366" s="449"/>
      <c r="U366" s="449"/>
      <c r="V366" s="449"/>
      <c r="W366" s="449"/>
      <c r="X366" s="449"/>
      <c r="Y366" s="449"/>
      <c r="Z366" s="449"/>
    </row>
    <row r="367" spans="1:26" ht="19.5">
      <c r="A367" s="170"/>
      <c r="B367" s="171"/>
      <c r="C367" s="164" t="s">
        <v>16</v>
      </c>
      <c r="D367" s="818" t="s">
        <v>38</v>
      </c>
      <c r="E367" s="173"/>
      <c r="F367" s="173"/>
      <c r="G367" s="174"/>
      <c r="H367" s="726"/>
      <c r="I367" s="269"/>
      <c r="J367" s="269"/>
      <c r="K367" s="465"/>
      <c r="L367" s="163"/>
      <c r="M367" s="163"/>
      <c r="N367" s="163"/>
      <c r="O367" s="163"/>
      <c r="P367" s="163"/>
    </row>
    <row r="368" spans="1:26" ht="18.75">
      <c r="A368" s="170"/>
      <c r="B368" s="342"/>
      <c r="C368" s="171"/>
      <c r="D368" s="342"/>
      <c r="E368" s="343" t="s">
        <v>161</v>
      </c>
      <c r="F368" s="342"/>
      <c r="G368" s="179"/>
      <c r="H368" s="185" t="s">
        <v>35</v>
      </c>
      <c r="I368" s="269">
        <v>0</v>
      </c>
      <c r="J368" s="269">
        <f ca="1">IFERROR(__xludf.DUMMYFUNCTION("IMPORTRANGE(""https://docs.google.com/spreadsheets/d/1XWAQStnk-4SwqDmLtmXYiTMKHgktTP8We1SCoS47DrQ/edit?usp=sharing"",""จัดที่ดิน!E28"")"),8)</f>
        <v>8</v>
      </c>
      <c r="K368" s="465">
        <f t="shared" ref="K368:K374" si="162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342"/>
      <c r="C369" s="171"/>
      <c r="D369" s="342"/>
      <c r="E369" s="342"/>
      <c r="F369" s="342"/>
      <c r="G369" s="179"/>
      <c r="H369" s="185" t="s">
        <v>46</v>
      </c>
      <c r="I369" s="269">
        <f ca="1">IFERROR(__xludf.DUMMYFUNCTION("IMPORTRANGE(""https://docs.google.com/spreadsheets/d/1QqKyyYR6Q21VydFLVH3TRQUabQu_ym0Zz7PgGX0-kHA/edit?usp=sharing"",""แผน!EI28"")"),600)</f>
        <v>600</v>
      </c>
      <c r="J369" s="269">
        <f ca="1">IFERROR(__xludf.DUMMYFUNCTION("IMPORTRANGE(""https://docs.google.com/spreadsheets/d/1XWAQStnk-4SwqDmLtmXYiTMKHgktTP8We1SCoS47DrQ/edit?usp=sharing"",""จัดที่ดิน!F28"")"),100.65)</f>
        <v>100.65</v>
      </c>
      <c r="K369" s="465">
        <f t="shared" ca="1" si="162"/>
        <v>16.774999999999999</v>
      </c>
      <c r="L369" s="163"/>
      <c r="M369" s="163"/>
      <c r="N369" s="163"/>
      <c r="O369" s="163"/>
      <c r="P369" s="163"/>
    </row>
    <row r="370" spans="1:26" ht="18.75">
      <c r="A370" s="170"/>
      <c r="B370" s="342"/>
      <c r="C370" s="171"/>
      <c r="D370" s="342"/>
      <c r="E370" s="343" t="s">
        <v>162</v>
      </c>
      <c r="F370" s="342"/>
      <c r="G370" s="179"/>
      <c r="H370" s="728" t="s">
        <v>35</v>
      </c>
      <c r="I370" s="269">
        <f ca="1">IFERROR(__xludf.DUMMYFUNCTION("IMPORTRANGE(""https://docs.google.com/spreadsheets/d/1QqKyyYR6Q21VydFLVH3TRQUabQu_ym0Zz7PgGX0-kHA/edit?usp=sharing"",""แผน!EJ28"")"),40)</f>
        <v>40</v>
      </c>
      <c r="J370" s="269">
        <f ca="1">IFERROR(__xludf.DUMMYFUNCTION("IMPORTRANGE(""https://docs.google.com/spreadsheets/d/1XWAQStnk-4SwqDmLtmXYiTMKHgktTP8We1SCoS47DrQ/edit?usp=sharing"",""จัดที่ดิน!G28"")"),0)</f>
        <v>0</v>
      </c>
      <c r="K370" s="465">
        <f t="shared" ca="1" si="162"/>
        <v>0</v>
      </c>
      <c r="L370" s="163"/>
      <c r="M370" s="163"/>
      <c r="N370" s="163"/>
      <c r="O370" s="163"/>
      <c r="P370" s="163"/>
    </row>
    <row r="371" spans="1:26" ht="18.75">
      <c r="A371" s="170"/>
      <c r="B371" s="342"/>
      <c r="C371" s="171"/>
      <c r="D371" s="342"/>
      <c r="E371" s="342"/>
      <c r="F371" s="342"/>
      <c r="G371" s="179"/>
      <c r="H371" s="728" t="s">
        <v>46</v>
      </c>
      <c r="I371" s="269">
        <v>0</v>
      </c>
      <c r="J371" s="269">
        <f ca="1">IFERROR(__xludf.DUMMYFUNCTION("IMPORTRANGE(""https://docs.google.com/spreadsheets/d/1XWAQStnk-4SwqDmLtmXYiTMKHgktTP8We1SCoS47DrQ/edit?usp=sharing"",""จัดที่ดิน!H28"")"),0)</f>
        <v>0</v>
      </c>
      <c r="K371" s="465">
        <f t="shared" si="162"/>
        <v>0</v>
      </c>
      <c r="L371" s="163"/>
      <c r="M371" s="163"/>
      <c r="N371" s="163"/>
      <c r="O371" s="163"/>
      <c r="P371" s="163"/>
    </row>
    <row r="372" spans="1:26" ht="18.75">
      <c r="A372" s="170"/>
      <c r="B372" s="342"/>
      <c r="C372" s="171"/>
      <c r="D372" s="342"/>
      <c r="E372" s="343" t="s">
        <v>163</v>
      </c>
      <c r="F372" s="342"/>
      <c r="G372" s="179"/>
      <c r="H372" s="728" t="s">
        <v>35</v>
      </c>
      <c r="I372" s="269">
        <f ca="1">IFERROR(__xludf.DUMMYFUNCTION("IMPORTRANGE(""https://docs.google.com/spreadsheets/d/1QqKyyYR6Q21VydFLVH3TRQUabQu_ym0Zz7PgGX0-kHA/edit?usp=sharing"",""แผน!EJ28"")"),40)</f>
        <v>40</v>
      </c>
      <c r="J372" s="269">
        <f ca="1">IFERROR(__xludf.DUMMYFUNCTION("IMPORTRANGE(""https://docs.google.com/spreadsheets/d/1XWAQStnk-4SwqDmLtmXYiTMKHgktTP8We1SCoS47DrQ/edit?usp=sharing"",""จัดที่ดิน!I28"")"),0)</f>
        <v>0</v>
      </c>
      <c r="K372" s="465">
        <f t="shared" ca="1" si="162"/>
        <v>0</v>
      </c>
      <c r="L372" s="163"/>
      <c r="M372" s="163"/>
      <c r="N372" s="163"/>
      <c r="O372" s="163"/>
      <c r="P372" s="163"/>
    </row>
    <row r="373" spans="1:26" ht="18.75">
      <c r="A373" s="438" t="s">
        <v>164</v>
      </c>
      <c r="B373" s="342"/>
      <c r="C373" s="171"/>
      <c r="D373" s="342"/>
      <c r="E373" s="415"/>
      <c r="F373" s="342"/>
      <c r="G373" s="179"/>
      <c r="H373" s="728" t="s">
        <v>46</v>
      </c>
      <c r="I373" s="269">
        <v>0</v>
      </c>
      <c r="J373" s="269">
        <f ca="1">IFERROR(__xludf.DUMMYFUNCTION("IMPORTRANGE(""https://docs.google.com/spreadsheets/d/1XWAQStnk-4SwqDmLtmXYiTMKHgktTP8We1SCoS47DrQ/edit?usp=sharing"",""จัดที่ดิน!J28"")"),0)</f>
        <v>0</v>
      </c>
      <c r="K373" s="465">
        <f t="shared" si="162"/>
        <v>0</v>
      </c>
      <c r="L373" s="163"/>
      <c r="M373" s="163"/>
      <c r="N373" s="163"/>
      <c r="O373" s="163"/>
      <c r="P373" s="163"/>
    </row>
    <row r="374" spans="1:26" ht="19.5">
      <c r="A374" s="450"/>
      <c r="B374" s="451"/>
      <c r="C374" s="453"/>
      <c r="D374" s="453" t="s">
        <v>168</v>
      </c>
      <c r="E374" s="454"/>
      <c r="F374" s="454"/>
      <c r="G374" s="455"/>
      <c r="H374" s="456" t="s">
        <v>35</v>
      </c>
      <c r="I374" s="464">
        <f ca="1">IFERROR(__xludf.DUMMYFUNCTION("IMPORTRANGE(""https://docs.google.com/spreadsheets/d/1QqKyyYR6Q21VydFLVH3TRQUabQu_ym0Zz7PgGX0-kHA/edit?usp=sharing"",""แผน!EU28"")"),650)</f>
        <v>650</v>
      </c>
      <c r="J374" s="458">
        <f ca="1">J381</f>
        <v>171</v>
      </c>
      <c r="K374" s="459">
        <f t="shared" ca="1" si="162"/>
        <v>26.307692307692307</v>
      </c>
      <c r="L374" s="460"/>
      <c r="M374" s="460"/>
      <c r="N374" s="460"/>
      <c r="O374" s="460"/>
      <c r="P374" s="460"/>
      <c r="Q374" s="449"/>
      <c r="R374" s="449"/>
      <c r="S374" s="449"/>
      <c r="T374" s="449"/>
      <c r="U374" s="449"/>
      <c r="V374" s="449"/>
      <c r="W374" s="449"/>
      <c r="X374" s="449"/>
      <c r="Y374" s="449"/>
      <c r="Z374" s="449"/>
    </row>
    <row r="375" spans="1:26" ht="19.5">
      <c r="A375" s="450"/>
      <c r="B375" s="451"/>
      <c r="C375" s="453"/>
      <c r="D375" s="461" t="s">
        <v>169</v>
      </c>
      <c r="E375" s="454"/>
      <c r="F375" s="454"/>
      <c r="G375" s="455"/>
      <c r="H375" s="462"/>
      <c r="I375" s="463"/>
      <c r="J375" s="463"/>
      <c r="K375" s="460"/>
      <c r="L375" s="460"/>
      <c r="M375" s="460"/>
      <c r="N375" s="460"/>
      <c r="O375" s="460"/>
      <c r="P375" s="460"/>
      <c r="Q375" s="449"/>
      <c r="R375" s="449"/>
      <c r="S375" s="449"/>
      <c r="T375" s="449"/>
      <c r="U375" s="449"/>
      <c r="V375" s="449"/>
      <c r="W375" s="449"/>
      <c r="X375" s="449"/>
      <c r="Y375" s="449"/>
      <c r="Z375" s="449"/>
    </row>
    <row r="376" spans="1:26" ht="19.5">
      <c r="A376" s="170"/>
      <c r="B376" s="171"/>
      <c r="C376" s="164" t="s">
        <v>16</v>
      </c>
      <c r="D376" s="818" t="s">
        <v>38</v>
      </c>
      <c r="E376" s="173"/>
      <c r="F376" s="173"/>
      <c r="G376" s="174"/>
      <c r="H376" s="726"/>
      <c r="I376" s="269"/>
      <c r="J376" s="269"/>
      <c r="K376" s="465"/>
      <c r="L376" s="163"/>
      <c r="M376" s="163"/>
      <c r="N376" s="163"/>
      <c r="O376" s="163"/>
      <c r="P376" s="163"/>
    </row>
    <row r="377" spans="1:26" ht="18.75">
      <c r="A377" s="170"/>
      <c r="B377" s="342"/>
      <c r="C377" s="171"/>
      <c r="D377" s="342"/>
      <c r="E377" s="343" t="s">
        <v>161</v>
      </c>
      <c r="F377" s="342"/>
      <c r="G377" s="179"/>
      <c r="H377" s="185" t="s">
        <v>35</v>
      </c>
      <c r="I377" s="269">
        <v>0</v>
      </c>
      <c r="J377" s="269">
        <f ca="1">IFERROR(__xludf.DUMMYFUNCTION("IMPORTRANGE(""https://docs.google.com/spreadsheets/d/1XWAQStnk-4SwqDmLtmXYiTMKHgktTP8We1SCoS47DrQ/edit?usp=sharing"",""จัดที่ดิน!AH28"")"),1)</f>
        <v>1</v>
      </c>
      <c r="K377" s="465">
        <f t="shared" ref="K377:K382" si="163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342"/>
      <c r="C378" s="171"/>
      <c r="D378" s="342"/>
      <c r="E378" s="342"/>
      <c r="F378" s="342"/>
      <c r="G378" s="179"/>
      <c r="H378" s="185" t="s">
        <v>46</v>
      </c>
      <c r="I378" s="269">
        <f ca="1">IFERROR(__xludf.DUMMYFUNCTION("IMPORTRANGE(""https://docs.google.com/spreadsheets/d/1QqKyyYR6Q21VydFLVH3TRQUabQu_ym0Zz7PgGX0-kHA/edit?usp=sharing"",""แผน!ET28"")"),1200)</f>
        <v>1200</v>
      </c>
      <c r="J378" s="269">
        <f ca="1">IFERROR(__xludf.DUMMYFUNCTION("IMPORTRANGE(""https://docs.google.com/spreadsheets/d/1XWAQStnk-4SwqDmLtmXYiTMKHgktTP8We1SCoS47DrQ/edit?usp=sharing"",""จัดที่ดิน!AI28"")"),10.62)</f>
        <v>10.62</v>
      </c>
      <c r="K378" s="465">
        <f t="shared" ca="1" si="163"/>
        <v>0.88500000000000001</v>
      </c>
      <c r="L378" s="163"/>
      <c r="M378" s="163"/>
      <c r="N378" s="163"/>
      <c r="O378" s="163"/>
      <c r="P378" s="163"/>
    </row>
    <row r="379" spans="1:26" ht="18.75">
      <c r="A379" s="170"/>
      <c r="B379" s="342"/>
      <c r="C379" s="171"/>
      <c r="D379" s="342"/>
      <c r="E379" s="343" t="s">
        <v>162</v>
      </c>
      <c r="F379" s="342"/>
      <c r="G379" s="179"/>
      <c r="H379" s="728" t="s">
        <v>35</v>
      </c>
      <c r="I379" s="269">
        <f ca="1">IFERROR(__xludf.DUMMYFUNCTION("IMPORTRANGE(""https://docs.google.com/spreadsheets/d/1QqKyyYR6Q21VydFLVH3TRQUabQu_ym0Zz7PgGX0-kHA/edit?usp=sharing"",""แผน!EU28"")"),650)</f>
        <v>650</v>
      </c>
      <c r="J379" s="269">
        <f ca="1">IFERROR(__xludf.DUMMYFUNCTION("IMPORTRANGE(""https://docs.google.com/spreadsheets/d/1XWAQStnk-4SwqDmLtmXYiTMKHgktTP8We1SCoS47DrQ/edit?usp=sharing"",""จัดที่ดิน!AJ28"")"),169)</f>
        <v>169</v>
      </c>
      <c r="K379" s="465">
        <f t="shared" ca="1" si="163"/>
        <v>26</v>
      </c>
      <c r="L379" s="163"/>
      <c r="M379" s="163"/>
      <c r="N379" s="163"/>
      <c r="O379" s="163"/>
      <c r="P379" s="163"/>
    </row>
    <row r="380" spans="1:26" ht="18.75">
      <c r="A380" s="170"/>
      <c r="B380" s="342"/>
      <c r="C380" s="171"/>
      <c r="D380" s="342"/>
      <c r="E380" s="342"/>
      <c r="F380" s="342"/>
      <c r="G380" s="179"/>
      <c r="H380" s="728" t="s">
        <v>46</v>
      </c>
      <c r="I380" s="269">
        <v>0</v>
      </c>
      <c r="J380" s="269">
        <f ca="1">IFERROR(__xludf.DUMMYFUNCTION("IMPORTRANGE(""https://docs.google.com/spreadsheets/d/1XWAQStnk-4SwqDmLtmXYiTMKHgktTP8We1SCoS47DrQ/edit?usp=sharing"",""จัดที่ดิน!AK28"")"),2139.32)</f>
        <v>2139.3200000000002</v>
      </c>
      <c r="K380" s="465">
        <f t="shared" si="163"/>
        <v>0</v>
      </c>
      <c r="L380" s="163"/>
      <c r="M380" s="163"/>
      <c r="N380" s="163"/>
      <c r="O380" s="163"/>
      <c r="P380" s="163"/>
    </row>
    <row r="381" spans="1:26" ht="18.75">
      <c r="A381" s="170"/>
      <c r="B381" s="342"/>
      <c r="C381" s="171"/>
      <c r="D381" s="342"/>
      <c r="E381" s="343" t="s">
        <v>163</v>
      </c>
      <c r="F381" s="342"/>
      <c r="G381" s="179"/>
      <c r="H381" s="728" t="s">
        <v>35</v>
      </c>
      <c r="I381" s="269">
        <f ca="1">IFERROR(__xludf.DUMMYFUNCTION("IMPORTRANGE(""https://docs.google.com/spreadsheets/d/1QqKyyYR6Q21VydFLVH3TRQUabQu_ym0Zz7PgGX0-kHA/edit?usp=sharing"",""แผน!EU28"")"),650)</f>
        <v>650</v>
      </c>
      <c r="J381" s="269">
        <f ca="1">IFERROR(__xludf.DUMMYFUNCTION("IMPORTRANGE(""https://docs.google.com/spreadsheets/d/1XWAQStnk-4SwqDmLtmXYiTMKHgktTP8We1SCoS47DrQ/edit?usp=sharing"",""จัดที่ดิน!AL28"")"),171)</f>
        <v>171</v>
      </c>
      <c r="K381" s="465">
        <f t="shared" ca="1" si="163"/>
        <v>26.307692307692307</v>
      </c>
      <c r="L381" s="163"/>
      <c r="M381" s="163"/>
      <c r="N381" s="163"/>
      <c r="O381" s="163"/>
      <c r="P381" s="163"/>
    </row>
    <row r="382" spans="1:26" ht="18.75">
      <c r="A382" s="438" t="s">
        <v>164</v>
      </c>
      <c r="B382" s="342"/>
      <c r="C382" s="171"/>
      <c r="D382" s="342"/>
      <c r="E382" s="415"/>
      <c r="F382" s="342"/>
      <c r="G382" s="179"/>
      <c r="H382" s="728" t="s">
        <v>46</v>
      </c>
      <c r="I382" s="269">
        <v>0</v>
      </c>
      <c r="J382" s="269">
        <f ca="1">IFERROR(__xludf.DUMMYFUNCTION("IMPORTRANGE(""https://docs.google.com/spreadsheets/d/1XWAQStnk-4SwqDmLtmXYiTMKHgktTP8We1SCoS47DrQ/edit?usp=sharing"",""จัดที่ดิน!AM28"")"),2233.41)</f>
        <v>2233.41</v>
      </c>
      <c r="K382" s="465">
        <f t="shared" si="163"/>
        <v>0</v>
      </c>
      <c r="L382" s="163"/>
      <c r="M382" s="163"/>
      <c r="N382" s="163"/>
      <c r="O382" s="163"/>
      <c r="P382" s="163"/>
    </row>
    <row r="383" spans="1:26" ht="19.5">
      <c r="A383" s="255"/>
      <c r="B383" s="263"/>
      <c r="C383" s="256"/>
      <c r="D383" s="845" t="s">
        <v>170</v>
      </c>
      <c r="E383" s="256"/>
      <c r="F383" s="256"/>
      <c r="G383" s="258"/>
      <c r="H383" s="423"/>
      <c r="I383" s="260"/>
      <c r="J383" s="260"/>
      <c r="K383" s="261"/>
      <c r="L383" s="261"/>
      <c r="M383" s="261"/>
      <c r="N383" s="261"/>
      <c r="O383" s="261"/>
      <c r="P383" s="261"/>
    </row>
    <row r="384" spans="1:26" ht="19.5">
      <c r="A384" s="170"/>
      <c r="B384" s="171"/>
      <c r="C384" s="33" t="s">
        <v>16</v>
      </c>
      <c r="D384" s="818" t="s">
        <v>38</v>
      </c>
      <c r="E384" s="173"/>
      <c r="F384" s="173"/>
      <c r="G384" s="174"/>
      <c r="H384" s="726"/>
      <c r="I384" s="269"/>
      <c r="J384" s="269"/>
      <c r="K384" s="465"/>
      <c r="L384" s="163"/>
      <c r="M384" s="163"/>
      <c r="N384" s="163"/>
      <c r="O384" s="163"/>
      <c r="P384" s="163"/>
    </row>
    <row r="385" spans="1:26" ht="18.75">
      <c r="A385" s="346"/>
      <c r="B385" s="349"/>
      <c r="C385" s="347"/>
      <c r="D385" s="349"/>
      <c r="E385" s="466" t="s">
        <v>163</v>
      </c>
      <c r="F385" s="349"/>
      <c r="G385" s="350"/>
      <c r="H385" s="467" t="s">
        <v>35</v>
      </c>
      <c r="I385" s="468">
        <f ca="1">IFERROR(__xludf.DUMMYFUNCTION("IMPORTRANGE(""https://docs.google.com/spreadsheets/d/1QqKyyYR6Q21VydFLVH3TRQUabQu_ym0Zz7PgGX0-kHA/edit?usp=sharing"",""แผน!EW28"")"),10)</f>
        <v>10</v>
      </c>
      <c r="J385" s="468">
        <f ca="1">IFERROR(__xludf.DUMMYFUNCTION("IMPORTRANGE(""https://docs.google.com/spreadsheets/d/1XWAQStnk-4SwqDmLtmXYiTMKHgktTP8We1SCoS47DrQ/edit?usp=sharing"",""จัดที่ดิน!AP28"")"),0)</f>
        <v>0</v>
      </c>
      <c r="K385" s="469">
        <f ca="1">IF(I385&gt;0,J385*100/I385,0)</f>
        <v>0</v>
      </c>
      <c r="L385" s="353"/>
      <c r="M385" s="353"/>
      <c r="N385" s="353"/>
      <c r="O385" s="353"/>
      <c r="P385" s="353"/>
    </row>
    <row r="386" spans="1:26" ht="19.5" hidden="1">
      <c r="A386" s="470" t="s">
        <v>171</v>
      </c>
      <c r="B386" s="471"/>
      <c r="C386" s="471"/>
      <c r="D386" s="471"/>
      <c r="E386" s="472"/>
      <c r="F386" s="472"/>
      <c r="G386" s="473"/>
      <c r="H386" s="474"/>
      <c r="I386" s="475"/>
      <c r="J386" s="475"/>
      <c r="K386" s="476"/>
      <c r="L386" s="476"/>
      <c r="M386" s="476"/>
      <c r="N386" s="476"/>
      <c r="O386" s="476"/>
      <c r="P386" s="476"/>
    </row>
    <row r="387" spans="1:26" ht="19.5" hidden="1">
      <c r="A387" s="477" t="s">
        <v>172</v>
      </c>
      <c r="B387" s="478"/>
      <c r="C387" s="478"/>
      <c r="D387" s="479"/>
      <c r="E387" s="478"/>
      <c r="F387" s="478"/>
      <c r="G387" s="478"/>
      <c r="H387" s="480"/>
      <c r="I387" s="481"/>
      <c r="J387" s="481"/>
      <c r="K387" s="482"/>
      <c r="L387" s="482"/>
      <c r="M387" s="482"/>
      <c r="N387" s="482"/>
      <c r="O387" s="482"/>
      <c r="P387" s="482"/>
    </row>
    <row r="388" spans="1:26" ht="19.5" hidden="1">
      <c r="A388" s="483"/>
      <c r="B388" s="484" t="s">
        <v>173</v>
      </c>
      <c r="C388" s="485"/>
      <c r="D388" s="486"/>
      <c r="E388" s="486"/>
      <c r="F388" s="486"/>
      <c r="G388" s="487"/>
      <c r="H388" s="488" t="s">
        <v>69</v>
      </c>
      <c r="I388" s="489">
        <f t="shared" ref="I388:J388" si="164">I400</f>
        <v>0</v>
      </c>
      <c r="J388" s="489">
        <f t="shared" si="164"/>
        <v>0</v>
      </c>
      <c r="K388" s="490">
        <f>IF(I388&gt;0,J388*100/I388,0)</f>
        <v>0</v>
      </c>
      <c r="L388" s="491"/>
      <c r="M388" s="491"/>
      <c r="N388" s="491"/>
      <c r="O388" s="491"/>
      <c r="P388" s="491"/>
    </row>
    <row r="389" spans="1:26" ht="19.5" hidden="1">
      <c r="A389" s="147"/>
      <c r="B389" s="148"/>
      <c r="C389" s="149" t="s">
        <v>16</v>
      </c>
      <c r="D389" s="817" t="s">
        <v>17</v>
      </c>
      <c r="E389" s="148"/>
      <c r="F389" s="148"/>
      <c r="G389" s="151"/>
      <c r="H389" s="152" t="s">
        <v>12</v>
      </c>
      <c r="I389" s="388"/>
      <c r="J389" s="388"/>
      <c r="K389" s="154"/>
      <c r="L389" s="155">
        <f t="shared" ref="L389:N389" ca="1" si="165">L390+L391</f>
        <v>0</v>
      </c>
      <c r="M389" s="155">
        <f t="shared" ca="1" si="165"/>
        <v>0</v>
      </c>
      <c r="N389" s="155">
        <f t="shared" ca="1" si="165"/>
        <v>0</v>
      </c>
      <c r="O389" s="155">
        <f t="shared" ref="O389:O397" ca="1" si="166">IF(L389&gt;0,N389*100/L389,0)</f>
        <v>0</v>
      </c>
      <c r="P389" s="155">
        <f t="shared" ref="P389:P397" ca="1" si="167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2" t="s">
        <v>18</v>
      </c>
      <c r="F390" s="40"/>
      <c r="G390" s="157"/>
      <c r="H390" s="158" t="s">
        <v>12</v>
      </c>
      <c r="I390" s="583"/>
      <c r="J390" s="583"/>
      <c r="K390" s="93"/>
      <c r="L390" s="93">
        <f t="shared" ref="L390:N391" si="168">L393+L396</f>
        <v>0</v>
      </c>
      <c r="M390" s="93">
        <f t="shared" si="168"/>
        <v>0</v>
      </c>
      <c r="N390" s="93">
        <f t="shared" si="168"/>
        <v>0</v>
      </c>
      <c r="O390" s="93">
        <f t="shared" si="166"/>
        <v>0</v>
      </c>
      <c r="P390" s="93">
        <f t="shared" si="167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2" t="s">
        <v>19</v>
      </c>
      <c r="F391" s="40"/>
      <c r="G391" s="157"/>
      <c r="H391" s="158" t="s">
        <v>12</v>
      </c>
      <c r="I391" s="583"/>
      <c r="J391" s="583"/>
      <c r="K391" s="93"/>
      <c r="L391" s="93">
        <f t="shared" ca="1" si="168"/>
        <v>0</v>
      </c>
      <c r="M391" s="93">
        <f t="shared" ca="1" si="168"/>
        <v>0</v>
      </c>
      <c r="N391" s="93">
        <f t="shared" ca="1" si="168"/>
        <v>0</v>
      </c>
      <c r="O391" s="93">
        <f t="shared" ca="1" si="166"/>
        <v>0</v>
      </c>
      <c r="P391" s="93">
        <f t="shared" ca="1" si="167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1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65">
        <f t="shared" ref="L392:N392" ca="1" si="169">L393+L394</f>
        <v>0</v>
      </c>
      <c r="M392" s="465">
        <f t="shared" ca="1" si="169"/>
        <v>0</v>
      </c>
      <c r="N392" s="465">
        <f t="shared" ca="1" si="169"/>
        <v>0</v>
      </c>
      <c r="O392" s="465">
        <f t="shared" ca="1" si="166"/>
        <v>0</v>
      </c>
      <c r="P392" s="465">
        <f t="shared" ca="1" si="167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2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6"/>
        <v>0</v>
      </c>
      <c r="P393" s="93">
        <f t="shared" si="167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2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IFERROR(__xludf.DUMMYFUNCTION("IMPORTRANGE(""https://docs.google.com/spreadsheets/d/1MeEWN-I1oV_STSDYn1IFDPWt_1FKiwhDph83XaGc0o0/edit?usp=sharing"",""งบพรบ!FG28"")"),0)</f>
        <v>0</v>
      </c>
      <c r="M394" s="93">
        <f ca="1">IFERROR(__xludf.DUMMYFUNCTION("IMPORTRANGE(""https://docs.google.com/spreadsheets/d/1MeEWN-I1oV_STSDYn1IFDPWt_1FKiwhDph83XaGc0o0/edit?usp=sharing"",""งบพรบ!FL28"")"),0)</f>
        <v>0</v>
      </c>
      <c r="N394" s="93">
        <f ca="1">IFERROR(__xludf.DUMMYFUNCTION("IMPORTRANGE(""https://docs.google.com/spreadsheets/d/1MeEWN-I1oV_STSDYn1IFDPWt_1FKiwhDph83XaGc0o0/edit?usp=sharing"",""งบพรบ!FN28"")"),0)</f>
        <v>0</v>
      </c>
      <c r="O394" s="93">
        <f t="shared" ca="1" si="166"/>
        <v>0</v>
      </c>
      <c r="P394" s="93">
        <f t="shared" ca="1" si="167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1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65">
        <f t="shared" ref="L395:N395" ca="1" si="170">L396+L397</f>
        <v>0</v>
      </c>
      <c r="M395" s="465">
        <f t="shared" ca="1" si="170"/>
        <v>0</v>
      </c>
      <c r="N395" s="465">
        <f t="shared" ca="1" si="170"/>
        <v>0</v>
      </c>
      <c r="O395" s="465">
        <f t="shared" ca="1" si="166"/>
        <v>0</v>
      </c>
      <c r="P395" s="465">
        <f t="shared" ca="1" si="167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2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6"/>
        <v>0</v>
      </c>
      <c r="P396" s="93">
        <f t="shared" si="167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2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IFERROR(__xludf.DUMMYFUNCTION("IMPORTRANGE(""https://docs.google.com/spreadsheets/d/1MeEWN-I1oV_STSDYn1IFDPWt_1FKiwhDph83XaGc0o0/edit?usp=sharing"",""งบพรบ!FJ28"")"),0)</f>
        <v>0</v>
      </c>
      <c r="M397" s="93">
        <f ca="1">IFERROR(__xludf.DUMMYFUNCTION("IMPORTRANGE(""https://docs.google.com/spreadsheets/d/1MeEWN-I1oV_STSDYn1IFDPWt_1FKiwhDph83XaGc0o0/edit?usp=sharing"",""งบพรบ!FM28"")"),0)</f>
        <v>0</v>
      </c>
      <c r="N397" s="93">
        <f ca="1">IFERROR(__xludf.DUMMYFUNCTION("IMPORTRANGE(""https://docs.google.com/spreadsheets/d/1MeEWN-I1oV_STSDYn1IFDPWt_1FKiwhDph83XaGc0o0/edit?usp=sharing"",""งบพรบ!FO28"")"),0)</f>
        <v>0</v>
      </c>
      <c r="O397" s="93">
        <f t="shared" ca="1" si="166"/>
        <v>0</v>
      </c>
      <c r="P397" s="93">
        <f t="shared" ca="1" si="167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18" t="s">
        <v>38</v>
      </c>
      <c r="E398" s="173"/>
      <c r="F398" s="173"/>
      <c r="G398" s="174"/>
      <c r="H398" s="726"/>
      <c r="I398" s="184"/>
      <c r="J398" s="269"/>
      <c r="K398" s="465"/>
      <c r="L398" s="465"/>
      <c r="M398" s="465"/>
      <c r="N398" s="465"/>
      <c r="O398" s="163"/>
      <c r="P398" s="163"/>
    </row>
    <row r="399" spans="1:26" ht="18.75" hidden="1">
      <c r="A399" s="492"/>
      <c r="B399" s="148"/>
      <c r="C399" s="493"/>
      <c r="D399" s="494" t="s">
        <v>174</v>
      </c>
      <c r="E399" s="383"/>
      <c r="F399" s="148"/>
      <c r="G399" s="151"/>
      <c r="H399" s="495" t="s">
        <v>9</v>
      </c>
      <c r="I399" s="269">
        <v>0</v>
      </c>
      <c r="J399" s="214">
        <v>0</v>
      </c>
      <c r="K399" s="465">
        <f t="shared" ref="K399:K401" si="171">IF(I399&gt;0,J399*100/I399,0)</f>
        <v>0</v>
      </c>
      <c r="L399" s="496"/>
      <c r="M399" s="496"/>
      <c r="N399" s="496"/>
      <c r="O399" s="496"/>
      <c r="P399" s="496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3"/>
      <c r="B400" s="33"/>
      <c r="C400" s="280"/>
      <c r="D400" s="415" t="s">
        <v>175</v>
      </c>
      <c r="E400" s="171"/>
      <c r="F400" s="33"/>
      <c r="G400" s="35"/>
      <c r="H400" s="276" t="s">
        <v>69</v>
      </c>
      <c r="I400" s="269">
        <v>0</v>
      </c>
      <c r="J400" s="214">
        <v>0</v>
      </c>
      <c r="K400" s="465">
        <f t="shared" si="171"/>
        <v>0</v>
      </c>
      <c r="L400" s="465"/>
      <c r="M400" s="465"/>
      <c r="N400" s="465"/>
      <c r="O400" s="465"/>
      <c r="P400" s="465"/>
    </row>
    <row r="401" spans="1:26" ht="19.5" hidden="1">
      <c r="A401" s="483"/>
      <c r="B401" s="484" t="s">
        <v>176</v>
      </c>
      <c r="C401" s="485"/>
      <c r="D401" s="486"/>
      <c r="E401" s="486"/>
      <c r="F401" s="486"/>
      <c r="G401" s="487"/>
      <c r="H401" s="488" t="s">
        <v>69</v>
      </c>
      <c r="I401" s="489">
        <f t="shared" ref="I401:J401" si="172">I412</f>
        <v>0</v>
      </c>
      <c r="J401" s="489">
        <f t="shared" si="172"/>
        <v>0</v>
      </c>
      <c r="K401" s="490">
        <f t="shared" si="171"/>
        <v>0</v>
      </c>
      <c r="L401" s="491"/>
      <c r="M401" s="491"/>
      <c r="N401" s="491"/>
      <c r="O401" s="491"/>
      <c r="P401" s="491"/>
    </row>
    <row r="402" spans="1:26" ht="19.5" hidden="1">
      <c r="A402" s="147"/>
      <c r="B402" s="148"/>
      <c r="C402" s="149" t="s">
        <v>16</v>
      </c>
      <c r="D402" s="817" t="s">
        <v>17</v>
      </c>
      <c r="E402" s="148"/>
      <c r="F402" s="148"/>
      <c r="G402" s="151"/>
      <c r="H402" s="152" t="s">
        <v>12</v>
      </c>
      <c r="I402" s="388"/>
      <c r="J402" s="388"/>
      <c r="K402" s="154"/>
      <c r="L402" s="155">
        <f t="shared" ref="L402:N402" ca="1" si="173">L403+L404</f>
        <v>0</v>
      </c>
      <c r="M402" s="155">
        <f t="shared" ca="1" si="173"/>
        <v>0</v>
      </c>
      <c r="N402" s="155">
        <f t="shared" ca="1" si="173"/>
        <v>0</v>
      </c>
      <c r="O402" s="155">
        <f t="shared" ref="O402:O410" ca="1" si="174">IF(L402&gt;0,N402*100/L402,0)</f>
        <v>0</v>
      </c>
      <c r="P402" s="155">
        <f t="shared" ref="P402:P410" ca="1" si="175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2" t="s">
        <v>18</v>
      </c>
      <c r="F403" s="40"/>
      <c r="G403" s="157"/>
      <c r="H403" s="158" t="s">
        <v>12</v>
      </c>
      <c r="I403" s="583"/>
      <c r="J403" s="583"/>
      <c r="K403" s="93"/>
      <c r="L403" s="93">
        <f t="shared" ref="L403:N404" si="176">L406+L409</f>
        <v>0</v>
      </c>
      <c r="M403" s="93">
        <f t="shared" si="176"/>
        <v>0</v>
      </c>
      <c r="N403" s="93">
        <f t="shared" si="176"/>
        <v>0</v>
      </c>
      <c r="O403" s="93">
        <f t="shared" si="174"/>
        <v>0</v>
      </c>
      <c r="P403" s="93">
        <f t="shared" si="175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2" t="s">
        <v>19</v>
      </c>
      <c r="F404" s="40"/>
      <c r="G404" s="157"/>
      <c r="H404" s="158" t="s">
        <v>12</v>
      </c>
      <c r="I404" s="583"/>
      <c r="J404" s="583"/>
      <c r="K404" s="93"/>
      <c r="L404" s="93">
        <f t="shared" ca="1" si="176"/>
        <v>0</v>
      </c>
      <c r="M404" s="93">
        <f t="shared" ca="1" si="176"/>
        <v>0</v>
      </c>
      <c r="N404" s="93">
        <f t="shared" ca="1" si="176"/>
        <v>0</v>
      </c>
      <c r="O404" s="93">
        <f t="shared" ca="1" si="174"/>
        <v>0</v>
      </c>
      <c r="P404" s="93">
        <f t="shared" ca="1" si="175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1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65">
        <f t="shared" ref="L405:N405" ca="1" si="177">L406+L407</f>
        <v>0</v>
      </c>
      <c r="M405" s="465">
        <f t="shared" ca="1" si="177"/>
        <v>0</v>
      </c>
      <c r="N405" s="465">
        <f t="shared" ca="1" si="177"/>
        <v>0</v>
      </c>
      <c r="O405" s="465">
        <f t="shared" ca="1" si="174"/>
        <v>0</v>
      </c>
      <c r="P405" s="465">
        <f t="shared" ca="1" si="175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2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4"/>
        <v>0</v>
      </c>
      <c r="P406" s="93">
        <f t="shared" si="175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2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IFERROR(__xludf.DUMMYFUNCTION("IMPORTRANGE(""https://docs.google.com/spreadsheets/d/1MeEWN-I1oV_STSDYn1IFDPWt_1FKiwhDph83XaGc0o0/edit?usp=sharing"",""งบพรบ!FQ28"")"),0)</f>
        <v>0</v>
      </c>
      <c r="M407" s="93">
        <f ca="1">IFERROR(__xludf.DUMMYFUNCTION("IMPORTRANGE(""https://docs.google.com/spreadsheets/d/1MeEWN-I1oV_STSDYn1IFDPWt_1FKiwhDph83XaGc0o0/edit?usp=sharing"",""งบพรบ!FV28"")"),0)</f>
        <v>0</v>
      </c>
      <c r="N407" s="93">
        <f ca="1">IFERROR(__xludf.DUMMYFUNCTION("IMPORTRANGE(""https://docs.google.com/spreadsheets/d/1MeEWN-I1oV_STSDYn1IFDPWt_1FKiwhDph83XaGc0o0/edit?usp=sharing"",""งบพรบ!FX28"")"),0)</f>
        <v>0</v>
      </c>
      <c r="O407" s="93">
        <f t="shared" ca="1" si="174"/>
        <v>0</v>
      </c>
      <c r="P407" s="93">
        <f t="shared" ca="1" si="175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1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65">
        <f t="shared" ref="L408:N408" ca="1" si="178">L409+L410</f>
        <v>0</v>
      </c>
      <c r="M408" s="465">
        <f t="shared" ca="1" si="178"/>
        <v>0</v>
      </c>
      <c r="N408" s="465">
        <f t="shared" ca="1" si="178"/>
        <v>0</v>
      </c>
      <c r="O408" s="465">
        <f t="shared" ca="1" si="174"/>
        <v>0</v>
      </c>
      <c r="P408" s="465">
        <f t="shared" ca="1" si="175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2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4"/>
        <v>0</v>
      </c>
      <c r="P409" s="93">
        <f t="shared" si="175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2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IFERROR(__xludf.DUMMYFUNCTION("IMPORTRANGE(""https://docs.google.com/spreadsheets/d/1MeEWN-I1oV_STSDYn1IFDPWt_1FKiwhDph83XaGc0o0/edit?usp=sharing"",""งบพรบ!FT28"")"),0)</f>
        <v>0</v>
      </c>
      <c r="M410" s="93">
        <f ca="1">IFERROR(__xludf.DUMMYFUNCTION("IMPORTRANGE(""https://docs.google.com/spreadsheets/d/1MeEWN-I1oV_STSDYn1IFDPWt_1FKiwhDph83XaGc0o0/edit?usp=sharing"",""งบพรบ!FW28"")"),0)</f>
        <v>0</v>
      </c>
      <c r="N410" s="93">
        <f ca="1">IFERROR(__xludf.DUMMYFUNCTION("IMPORTRANGE(""https://docs.google.com/spreadsheets/d/1MeEWN-I1oV_STSDYn1IFDPWt_1FKiwhDph83XaGc0o0/edit?usp=sharing"",""งบพรบ!FY28"")"),0)</f>
        <v>0</v>
      </c>
      <c r="O410" s="93">
        <f t="shared" ca="1" si="174"/>
        <v>0</v>
      </c>
      <c r="P410" s="93">
        <f t="shared" ca="1" si="175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47" t="s">
        <v>38</v>
      </c>
      <c r="E411" s="498"/>
      <c r="F411" s="498"/>
      <c r="G411" s="499"/>
      <c r="H411" s="726"/>
      <c r="I411" s="269"/>
      <c r="J411" s="269"/>
      <c r="K411" s="465"/>
      <c r="L411" s="163"/>
      <c r="M411" s="163"/>
      <c r="N411" s="163"/>
      <c r="O411" s="163"/>
      <c r="P411" s="163"/>
    </row>
    <row r="412" spans="1:26" ht="18.75" hidden="1">
      <c r="A412" s="170"/>
      <c r="B412" s="342"/>
      <c r="C412" s="342"/>
      <c r="D412" s="415" t="s">
        <v>177</v>
      </c>
      <c r="E412" s="342"/>
      <c r="F412" s="342"/>
      <c r="G412" s="179"/>
      <c r="H412" s="500" t="s">
        <v>69</v>
      </c>
      <c r="I412" s="269">
        <v>0</v>
      </c>
      <c r="J412" s="214">
        <v>0</v>
      </c>
      <c r="K412" s="465">
        <f t="shared" ref="K412:K413" si="179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01"/>
      <c r="B413" s="502"/>
      <c r="C413" s="502"/>
      <c r="D413" s="503" t="s">
        <v>178</v>
      </c>
      <c r="E413" s="502"/>
      <c r="F413" s="502"/>
      <c r="G413" s="504"/>
      <c r="H413" s="505" t="s">
        <v>179</v>
      </c>
      <c r="I413" s="506">
        <v>0</v>
      </c>
      <c r="J413" s="507">
        <v>0</v>
      </c>
      <c r="K413" s="508">
        <f t="shared" si="179"/>
        <v>0</v>
      </c>
      <c r="L413" s="509"/>
      <c r="M413" s="509"/>
      <c r="N413" s="509"/>
      <c r="O413" s="509"/>
      <c r="P413" s="509"/>
    </row>
    <row r="414" spans="1:26" ht="19.5">
      <c r="A414" s="510" t="s">
        <v>180</v>
      </c>
      <c r="B414" s="511"/>
      <c r="C414" s="511"/>
      <c r="D414" s="511"/>
      <c r="E414" s="511"/>
      <c r="F414" s="511"/>
      <c r="G414" s="512"/>
      <c r="H414" s="513"/>
      <c r="I414" s="514"/>
      <c r="J414" s="514"/>
      <c r="K414" s="515"/>
      <c r="L414" s="516">
        <f t="shared" ref="L414:N414" ca="1" si="180">L419+L444+L467+L502+L523+L544+L629+L655+L685+L737+L754+L770+L786+L805</f>
        <v>2054499</v>
      </c>
      <c r="M414" s="516">
        <f t="shared" si="180"/>
        <v>0</v>
      </c>
      <c r="N414" s="516">
        <f t="shared" si="180"/>
        <v>0</v>
      </c>
      <c r="O414" s="516">
        <f ca="1">IF(L414&gt;0,N414*100/L414,0)</f>
        <v>0</v>
      </c>
      <c r="P414" s="516">
        <f>IF(M414&gt;0,N414*100/M414,0)</f>
        <v>0</v>
      </c>
    </row>
    <row r="415" spans="1:26" ht="19.5">
      <c r="A415" s="517" t="s">
        <v>181</v>
      </c>
      <c r="B415" s="518"/>
      <c r="C415" s="518"/>
      <c r="D415" s="518"/>
      <c r="E415" s="518"/>
      <c r="F415" s="518"/>
      <c r="G415" s="518"/>
      <c r="H415" s="519"/>
      <c r="I415" s="520"/>
      <c r="J415" s="520"/>
      <c r="K415" s="521"/>
      <c r="L415" s="522"/>
      <c r="M415" s="522"/>
      <c r="N415" s="522"/>
      <c r="O415" s="522"/>
      <c r="P415" s="522"/>
    </row>
    <row r="416" spans="1:26" ht="19.5">
      <c r="A416" s="517" t="s">
        <v>182</v>
      </c>
      <c r="B416" s="518"/>
      <c r="C416" s="518"/>
      <c r="D416" s="518"/>
      <c r="E416" s="518"/>
      <c r="F416" s="518"/>
      <c r="G416" s="523"/>
      <c r="H416" s="524"/>
      <c r="I416" s="525"/>
      <c r="J416" s="525"/>
      <c r="K416" s="522"/>
      <c r="L416" s="522"/>
      <c r="M416" s="522"/>
      <c r="N416" s="522"/>
      <c r="O416" s="522"/>
      <c r="P416" s="522"/>
    </row>
    <row r="417" spans="1:26" ht="39">
      <c r="A417" s="526">
        <v>1</v>
      </c>
      <c r="B417" s="528" t="s">
        <v>183</v>
      </c>
      <c r="C417" s="528"/>
      <c r="D417" s="529"/>
      <c r="E417" s="529"/>
      <c r="F417" s="529"/>
      <c r="G417" s="530"/>
      <c r="H417" s="531" t="s">
        <v>35</v>
      </c>
      <c r="I417" s="532">
        <f t="shared" ref="I417:J418" ca="1" si="181">I433</f>
        <v>65</v>
      </c>
      <c r="J417" s="532">
        <f t="shared" ca="1" si="181"/>
        <v>0</v>
      </c>
      <c r="K417" s="533">
        <f t="shared" ref="K417:K418" ca="1" si="182">IF(I417&gt;0,J417*100/I417,0)</f>
        <v>0</v>
      </c>
      <c r="L417" s="534"/>
      <c r="M417" s="534"/>
      <c r="N417" s="534"/>
      <c r="O417" s="534"/>
      <c r="P417" s="534"/>
    </row>
    <row r="418" spans="1:26" ht="19.5">
      <c r="A418" s="535"/>
      <c r="B418" s="526"/>
      <c r="C418" s="528"/>
      <c r="D418" s="529"/>
      <c r="E418" s="529"/>
      <c r="F418" s="529"/>
      <c r="G418" s="530"/>
      <c r="H418" s="531" t="s">
        <v>49</v>
      </c>
      <c r="I418" s="532">
        <f t="shared" ca="1" si="181"/>
        <v>2</v>
      </c>
      <c r="J418" s="532">
        <f t="shared" si="181"/>
        <v>0</v>
      </c>
      <c r="K418" s="533">
        <f t="shared" ca="1" si="182"/>
        <v>0</v>
      </c>
      <c r="L418" s="534"/>
      <c r="M418" s="534"/>
      <c r="N418" s="534"/>
      <c r="O418" s="534"/>
      <c r="P418" s="534"/>
    </row>
    <row r="419" spans="1:26" ht="19.5">
      <c r="A419" s="147"/>
      <c r="B419" s="148"/>
      <c r="C419" s="148" t="s">
        <v>16</v>
      </c>
      <c r="D419" s="848" t="s">
        <v>17</v>
      </c>
      <c r="E419" s="810"/>
      <c r="F419" s="810"/>
      <c r="G419" s="151"/>
      <c r="H419" s="274" t="s">
        <v>12</v>
      </c>
      <c r="I419" s="388"/>
      <c r="J419" s="388"/>
      <c r="K419" s="154"/>
      <c r="L419" s="155">
        <f t="shared" ref="L419:N419" ca="1" si="183">L420+L421</f>
        <v>204060</v>
      </c>
      <c r="M419" s="155">
        <f t="shared" si="183"/>
        <v>0</v>
      </c>
      <c r="N419" s="155">
        <f t="shared" si="183"/>
        <v>0</v>
      </c>
      <c r="O419" s="155">
        <f t="shared" ref="O419:O424" ca="1" si="184">IF(L419&gt;0,N419*100/L419,0)</f>
        <v>0</v>
      </c>
      <c r="P419" s="155">
        <f t="shared" ref="P419:P424" si="185">IF(M419&gt;0,N419*100/M419,0)</f>
        <v>0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536"/>
      <c r="E420" s="222" t="s">
        <v>184</v>
      </c>
      <c r="F420" s="40"/>
      <c r="G420" s="157"/>
      <c r="H420" s="165" t="s">
        <v>12</v>
      </c>
      <c r="I420" s="583"/>
      <c r="J420" s="583"/>
      <c r="K420" s="93"/>
      <c r="L420" s="93">
        <f t="shared" ref="L420:N421" si="186">L423+L430</f>
        <v>0</v>
      </c>
      <c r="M420" s="93">
        <f t="shared" si="186"/>
        <v>0</v>
      </c>
      <c r="N420" s="93">
        <f t="shared" si="186"/>
        <v>0</v>
      </c>
      <c r="O420" s="93">
        <f t="shared" si="184"/>
        <v>0</v>
      </c>
      <c r="P420" s="93">
        <f t="shared" si="185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536"/>
      <c r="E421" s="222" t="s">
        <v>185</v>
      </c>
      <c r="F421" s="40"/>
      <c r="G421" s="157"/>
      <c r="H421" s="165" t="s">
        <v>12</v>
      </c>
      <c r="I421" s="583"/>
      <c r="J421" s="583"/>
      <c r="K421" s="93"/>
      <c r="L421" s="93">
        <f t="shared" ca="1" si="186"/>
        <v>204060</v>
      </c>
      <c r="M421" s="93">
        <f t="shared" si="186"/>
        <v>0</v>
      </c>
      <c r="N421" s="93">
        <f t="shared" si="186"/>
        <v>0</v>
      </c>
      <c r="O421" s="93">
        <f t="shared" ca="1" si="184"/>
        <v>0</v>
      </c>
      <c r="P421" s="93">
        <f t="shared" si="185"/>
        <v>0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0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65">
        <f t="shared" ref="L422:N422" ca="1" si="187">L423+L424</f>
        <v>204060</v>
      </c>
      <c r="M422" s="465">
        <f t="shared" si="187"/>
        <v>0</v>
      </c>
      <c r="N422" s="465">
        <f t="shared" si="187"/>
        <v>0</v>
      </c>
      <c r="O422" s="465">
        <f t="shared" ca="1" si="184"/>
        <v>0</v>
      </c>
      <c r="P422" s="465">
        <f t="shared" si="185"/>
        <v>0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536"/>
      <c r="E423" s="222" t="s">
        <v>184</v>
      </c>
      <c r="F423" s="40"/>
      <c r="G423" s="157"/>
      <c r="H423" s="165" t="s">
        <v>12</v>
      </c>
      <c r="I423" s="583"/>
      <c r="J423" s="583"/>
      <c r="K423" s="93"/>
      <c r="L423" s="93">
        <v>0</v>
      </c>
      <c r="M423" s="93">
        <v>0</v>
      </c>
      <c r="N423" s="93">
        <v>0</v>
      </c>
      <c r="O423" s="93">
        <f t="shared" si="184"/>
        <v>0</v>
      </c>
      <c r="P423" s="93">
        <f t="shared" si="185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536"/>
      <c r="E424" s="222" t="s">
        <v>185</v>
      </c>
      <c r="F424" s="40"/>
      <c r="G424" s="157"/>
      <c r="H424" s="165" t="s">
        <v>12</v>
      </c>
      <c r="I424" s="583"/>
      <c r="J424" s="583"/>
      <c r="K424" s="93"/>
      <c r="L424" s="93">
        <f ca="1">IFERROR(__xludf.DUMMYFUNCTION("IMPORTRANGE(""https://docs.google.com/spreadsheets/d/1QqKyyYR6Q21VydFLVH3TRQUabQu_ym0Zz7PgGX0-kHA/edit?usp=sharing"",""แผน!EY28"")"),204060)</f>
        <v>204060</v>
      </c>
      <c r="M424" s="93">
        <v>0</v>
      </c>
      <c r="N424" s="93">
        <f>N425+N426+N427+N428</f>
        <v>0</v>
      </c>
      <c r="O424" s="93">
        <f t="shared" ca="1" si="184"/>
        <v>0</v>
      </c>
      <c r="P424" s="93">
        <f t="shared" si="185"/>
        <v>0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37"/>
      <c r="B425" s="538"/>
      <c r="C425" s="727"/>
      <c r="D425" s="727"/>
      <c r="E425" s="727"/>
      <c r="F425" s="727" t="s">
        <v>186</v>
      </c>
      <c r="G425" s="189"/>
      <c r="H425" s="161" t="s">
        <v>12</v>
      </c>
      <c r="I425" s="269"/>
      <c r="J425" s="269"/>
      <c r="K425" s="465"/>
      <c r="L425" s="465"/>
      <c r="M425" s="465"/>
      <c r="N425" s="789">
        <v>0</v>
      </c>
      <c r="O425" s="465"/>
      <c r="P425" s="465"/>
      <c r="Q425" s="541"/>
      <c r="R425" s="541"/>
      <c r="S425" s="541"/>
      <c r="T425" s="541"/>
      <c r="U425" s="541"/>
      <c r="V425" s="541"/>
      <c r="W425" s="541"/>
      <c r="X425" s="541"/>
      <c r="Y425" s="541"/>
      <c r="Z425" s="541"/>
    </row>
    <row r="426" spans="1:26" ht="18.75">
      <c r="A426" s="537"/>
      <c r="B426" s="538"/>
      <c r="C426" s="727"/>
      <c r="D426" s="727"/>
      <c r="E426" s="727"/>
      <c r="F426" s="727" t="s">
        <v>187</v>
      </c>
      <c r="G426" s="189"/>
      <c r="H426" s="161" t="s">
        <v>12</v>
      </c>
      <c r="I426" s="269"/>
      <c r="J426" s="269"/>
      <c r="K426" s="465"/>
      <c r="L426" s="465"/>
      <c r="M426" s="465"/>
      <c r="N426" s="789">
        <v>0</v>
      </c>
      <c r="O426" s="465"/>
      <c r="P426" s="465"/>
      <c r="Q426" s="541"/>
      <c r="R426" s="541"/>
      <c r="S426" s="541"/>
      <c r="T426" s="541"/>
      <c r="U426" s="541"/>
      <c r="V426" s="541"/>
      <c r="W426" s="541"/>
      <c r="X426" s="541"/>
      <c r="Y426" s="541"/>
      <c r="Z426" s="541"/>
    </row>
    <row r="427" spans="1:26" ht="18.75">
      <c r="A427" s="537"/>
      <c r="B427" s="538"/>
      <c r="C427" s="727"/>
      <c r="D427" s="727"/>
      <c r="E427" s="727"/>
      <c r="F427" s="727" t="s">
        <v>188</v>
      </c>
      <c r="G427" s="189"/>
      <c r="H427" s="161" t="s">
        <v>12</v>
      </c>
      <c r="I427" s="269"/>
      <c r="J427" s="269"/>
      <c r="K427" s="465"/>
      <c r="L427" s="465"/>
      <c r="M427" s="465"/>
      <c r="N427" s="789">
        <v>0</v>
      </c>
      <c r="O427" s="465"/>
      <c r="P427" s="465"/>
      <c r="Q427" s="541"/>
      <c r="R427" s="541"/>
      <c r="S427" s="541"/>
      <c r="T427" s="541"/>
      <c r="U427" s="541"/>
      <c r="V427" s="541"/>
      <c r="W427" s="541"/>
      <c r="X427" s="541"/>
      <c r="Y427" s="541"/>
      <c r="Z427" s="541"/>
    </row>
    <row r="428" spans="1:26" ht="18.75">
      <c r="A428" s="283"/>
      <c r="B428" s="280"/>
      <c r="C428" s="33"/>
      <c r="D428" s="33"/>
      <c r="E428" s="33"/>
      <c r="F428" s="281" t="s">
        <v>189</v>
      </c>
      <c r="G428" s="213"/>
      <c r="H428" s="161" t="s">
        <v>12</v>
      </c>
      <c r="I428" s="269"/>
      <c r="J428" s="269"/>
      <c r="K428" s="465"/>
      <c r="L428" s="465"/>
      <c r="M428" s="465"/>
      <c r="N428" s="789">
        <v>0</v>
      </c>
      <c r="O428" s="465"/>
      <c r="P428" s="465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0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65">
        <f t="shared" ref="L429:N429" ca="1" si="188">L430+L431</f>
        <v>0</v>
      </c>
      <c r="M429" s="465">
        <f t="shared" si="188"/>
        <v>0</v>
      </c>
      <c r="N429" s="465">
        <f t="shared" si="188"/>
        <v>0</v>
      </c>
      <c r="O429" s="465">
        <f t="shared" ref="O429:O431" ca="1" si="189">IF(L429&gt;0,N429*100/L429,0)</f>
        <v>0</v>
      </c>
      <c r="P429" s="465">
        <f t="shared" ref="P429:P431" si="190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542"/>
      <c r="C430" s="40"/>
      <c r="D430" s="40"/>
      <c r="E430" s="222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89"/>
        <v>0</v>
      </c>
      <c r="P430" s="93">
        <f t="shared" si="190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542"/>
      <c r="C431" s="40"/>
      <c r="D431" s="40"/>
      <c r="E431" s="222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IFERROR(__xludf.DUMMYFUNCTION("IMPORTRANGE(""https://docs.google.com/spreadsheets/d/1QqKyyYR6Q21VydFLVH3TRQUabQu_ym0Zz7PgGX0-kHA/edit?usp=sharing"",""แผน!FB28"")"),0)</f>
        <v>0</v>
      </c>
      <c r="M431" s="93">
        <v>0</v>
      </c>
      <c r="N431" s="93">
        <v>0</v>
      </c>
      <c r="O431" s="93">
        <f t="shared" ca="1" si="189"/>
        <v>0</v>
      </c>
      <c r="P431" s="93">
        <f t="shared" si="190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382"/>
      <c r="B432" s="383"/>
      <c r="C432" s="148" t="s">
        <v>16</v>
      </c>
      <c r="D432" s="849" t="s">
        <v>38</v>
      </c>
      <c r="E432" s="544"/>
      <c r="F432" s="544"/>
      <c r="G432" s="545"/>
      <c r="H432" s="546"/>
      <c r="I432" s="388"/>
      <c r="J432" s="388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190</v>
      </c>
      <c r="E433" s="342"/>
      <c r="F433" s="342"/>
      <c r="G433" s="179"/>
      <c r="H433" s="196" t="s">
        <v>35</v>
      </c>
      <c r="I433" s="647">
        <f ca="1">I435</f>
        <v>65</v>
      </c>
      <c r="J433" s="647">
        <f ca="1">IF(AND(J435=I435,J437=I437,J439=I439),I437+I439,IF(AND(J435=I437,J437=I437),I437,IF(AND(J435=I439,J439=I439),I439,0)))</f>
        <v>0</v>
      </c>
      <c r="K433" s="195">
        <f t="shared" ref="K433:K435" ca="1" si="191">IF(I433&gt;0,J433*100/I433,0)</f>
        <v>0</v>
      </c>
      <c r="L433" s="465"/>
      <c r="M433" s="465"/>
      <c r="N433" s="465"/>
      <c r="O433" s="465"/>
      <c r="P433" s="465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191</v>
      </c>
      <c r="E434" s="342"/>
      <c r="F434" s="342"/>
      <c r="G434" s="179"/>
      <c r="H434" s="196" t="s">
        <v>49</v>
      </c>
      <c r="I434" s="647">
        <f t="shared" ref="I434:J434" ca="1" si="192">I438+I440</f>
        <v>2</v>
      </c>
      <c r="J434" s="647">
        <f t="shared" si="192"/>
        <v>0</v>
      </c>
      <c r="K434" s="195">
        <f t="shared" ca="1" si="191"/>
        <v>0</v>
      </c>
      <c r="L434" s="465"/>
      <c r="M434" s="465"/>
      <c r="N434" s="465"/>
      <c r="O434" s="465"/>
      <c r="P434" s="465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15" t="s">
        <v>192</v>
      </c>
      <c r="E435" s="342"/>
      <c r="F435" s="342"/>
      <c r="G435" s="179"/>
      <c r="H435" s="589" t="s">
        <v>35</v>
      </c>
      <c r="I435" s="547">
        <f ca="1">IFERROR(__xludf.DUMMYFUNCTION("IMPORTRANGE(""https://docs.google.com/spreadsheets/d/1QqKyyYR6Q21VydFLVH3TRQUabQu_ym0Zz7PgGX0-kHA/edit?usp=sharing"",""แผน!FC28"")"),65)</f>
        <v>65</v>
      </c>
      <c r="J435" s="548">
        <v>0</v>
      </c>
      <c r="K435" s="465">
        <f t="shared" ca="1" si="191"/>
        <v>0</v>
      </c>
      <c r="L435" s="465"/>
      <c r="M435" s="465"/>
      <c r="N435" s="465"/>
      <c r="O435" s="465"/>
      <c r="P435" s="465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15" t="s">
        <v>193</v>
      </c>
      <c r="E436" s="342"/>
      <c r="F436" s="342"/>
      <c r="G436" s="179"/>
      <c r="H436" s="589"/>
      <c r="I436" s="269"/>
      <c r="J436" s="269"/>
      <c r="K436" s="465"/>
      <c r="L436" s="465"/>
      <c r="M436" s="465"/>
      <c r="N436" s="465"/>
      <c r="O436" s="465"/>
      <c r="P436" s="465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15" t="s">
        <v>194</v>
      </c>
      <c r="E437" s="342"/>
      <c r="F437" s="342"/>
      <c r="G437" s="179"/>
      <c r="H437" s="589" t="s">
        <v>35</v>
      </c>
      <c r="I437" s="547">
        <f ca="1">IFERROR(__xludf.DUMMYFUNCTION("IMPORTRANGE(""https://docs.google.com/spreadsheets/d/1QqKyyYR6Q21VydFLVH3TRQUabQu_ym0Zz7PgGX0-kHA/edit?usp=sharing"",""แผน!FD28"")"),50)</f>
        <v>50</v>
      </c>
      <c r="J437" s="548">
        <v>0</v>
      </c>
      <c r="K437" s="465">
        <f t="shared" ref="K437:K443" ca="1" si="193">IF(I437&gt;0,J437*100/I437,0)</f>
        <v>0</v>
      </c>
      <c r="L437" s="465"/>
      <c r="M437" s="465"/>
      <c r="N437" s="465"/>
      <c r="O437" s="465"/>
      <c r="P437" s="465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15" t="s">
        <v>195</v>
      </c>
      <c r="E438" s="342"/>
      <c r="F438" s="342"/>
      <c r="G438" s="179"/>
      <c r="H438" s="589" t="s">
        <v>49</v>
      </c>
      <c r="I438" s="269">
        <f ca="1">IFERROR(__xludf.DUMMYFUNCTION("IMPORTRANGE(""https://docs.google.com/spreadsheets/d/1QqKyyYR6Q21VydFLVH3TRQUabQu_ym0Zz7PgGX0-kHA/edit?usp=sharing"",""แผน!FE28"")"),1)</f>
        <v>1</v>
      </c>
      <c r="J438" s="214">
        <v>0</v>
      </c>
      <c r="K438" s="465">
        <f t="shared" ca="1" si="193"/>
        <v>0</v>
      </c>
      <c r="L438" s="465"/>
      <c r="M438" s="465"/>
      <c r="N438" s="465"/>
      <c r="O438" s="465"/>
      <c r="P438" s="465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15" t="s">
        <v>196</v>
      </c>
      <c r="E439" s="342"/>
      <c r="F439" s="342"/>
      <c r="G439" s="179"/>
      <c r="H439" s="589" t="s">
        <v>35</v>
      </c>
      <c r="I439" s="547">
        <f ca="1">IFERROR(__xludf.DUMMYFUNCTION("IMPORTRANGE(""https://docs.google.com/spreadsheets/d/1QqKyyYR6Q21VydFLVH3TRQUabQu_ym0Zz7PgGX0-kHA/edit?usp=sharing"",""แผน!FF28"")"),15)</f>
        <v>15</v>
      </c>
      <c r="J439" s="548">
        <v>0</v>
      </c>
      <c r="K439" s="465">
        <f t="shared" ca="1" si="193"/>
        <v>0</v>
      </c>
      <c r="L439" s="465"/>
      <c r="M439" s="465"/>
      <c r="N439" s="465"/>
      <c r="O439" s="465"/>
      <c r="P439" s="465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15" t="s">
        <v>197</v>
      </c>
      <c r="E440" s="342"/>
      <c r="F440" s="342"/>
      <c r="G440" s="179"/>
      <c r="H440" s="589" t="s">
        <v>49</v>
      </c>
      <c r="I440" s="269">
        <f ca="1">IFERROR(__xludf.DUMMYFUNCTION("IMPORTRANGE(""https://docs.google.com/spreadsheets/d/1QqKyyYR6Q21VydFLVH3TRQUabQu_ym0Zz7PgGX0-kHA/edit?usp=sharing"",""แผน!FG28"")"),1)</f>
        <v>1</v>
      </c>
      <c r="J440" s="214">
        <v>0</v>
      </c>
      <c r="K440" s="465">
        <f t="shared" ca="1" si="193"/>
        <v>0</v>
      </c>
      <c r="L440" s="465"/>
      <c r="M440" s="465"/>
      <c r="N440" s="465"/>
      <c r="O440" s="465"/>
      <c r="P440" s="465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 hidden="1">
      <c r="A441" s="170"/>
      <c r="B441" s="171"/>
      <c r="C441" s="171"/>
      <c r="D441" s="415" t="s">
        <v>198</v>
      </c>
      <c r="E441" s="342"/>
      <c r="F441" s="342"/>
      <c r="G441" s="179"/>
      <c r="H441" s="589" t="s">
        <v>35</v>
      </c>
      <c r="I441" s="269">
        <f ca="1">IFERROR(__xludf.DUMMYFUNCTION("IMPORTRANGE(""https://docs.google.com/spreadsheets/d/1QqKyyYR6Q21VydFLVH3TRQUabQu_ym0Zz7PgGX0-kHA/edit?usp=sharing"",""แผน!FH28"")"),0)</f>
        <v>0</v>
      </c>
      <c r="J441" s="269">
        <v>0</v>
      </c>
      <c r="K441" s="465">
        <f t="shared" ca="1" si="193"/>
        <v>0</v>
      </c>
      <c r="L441" s="465"/>
      <c r="M441" s="465"/>
      <c r="N441" s="465"/>
      <c r="O441" s="465"/>
      <c r="P441" s="465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49">
        <v>2</v>
      </c>
      <c r="B442" s="550" t="s">
        <v>199</v>
      </c>
      <c r="C442" s="551"/>
      <c r="D442" s="551"/>
      <c r="E442" s="551"/>
      <c r="F442" s="551"/>
      <c r="G442" s="552"/>
      <c r="H442" s="553" t="s">
        <v>35</v>
      </c>
      <c r="I442" s="554">
        <f t="shared" ref="I442:J442" ca="1" si="194">I460</f>
        <v>115</v>
      </c>
      <c r="J442" s="554">
        <f t="shared" si="194"/>
        <v>0</v>
      </c>
      <c r="K442" s="555">
        <f t="shared" ca="1" si="193"/>
        <v>0</v>
      </c>
      <c r="L442" s="556"/>
      <c r="M442" s="556"/>
      <c r="N442" s="556"/>
      <c r="O442" s="556"/>
      <c r="P442" s="556"/>
      <c r="Q442" s="541"/>
      <c r="R442" s="541"/>
      <c r="S442" s="541"/>
      <c r="T442" s="541"/>
      <c r="U442" s="541"/>
      <c r="V442" s="541"/>
      <c r="W442" s="541"/>
      <c r="X442" s="541"/>
      <c r="Y442" s="541"/>
      <c r="Z442" s="541"/>
    </row>
    <row r="443" spans="1:26" ht="19.5">
      <c r="A443" s="557"/>
      <c r="B443" s="558"/>
      <c r="C443" s="559"/>
      <c r="D443" s="559"/>
      <c r="E443" s="559"/>
      <c r="F443" s="559"/>
      <c r="G443" s="560"/>
      <c r="H443" s="531" t="s">
        <v>46</v>
      </c>
      <c r="I443" s="532">
        <f t="shared" ref="I443:J443" ca="1" si="195">I462</f>
        <v>360</v>
      </c>
      <c r="J443" s="532">
        <f t="shared" si="195"/>
        <v>0</v>
      </c>
      <c r="K443" s="533">
        <f t="shared" ca="1" si="193"/>
        <v>0</v>
      </c>
      <c r="L443" s="534"/>
      <c r="M443" s="534"/>
      <c r="N443" s="534"/>
      <c r="O443" s="534"/>
      <c r="P443" s="534"/>
      <c r="Q443" s="541"/>
      <c r="R443" s="541"/>
      <c r="S443" s="541"/>
      <c r="T443" s="541"/>
      <c r="U443" s="541"/>
      <c r="V443" s="541"/>
      <c r="W443" s="541"/>
      <c r="X443" s="541"/>
      <c r="Y443" s="541"/>
      <c r="Z443" s="541"/>
    </row>
    <row r="444" spans="1:26" ht="19.5">
      <c r="A444" s="561"/>
      <c r="B444" s="727"/>
      <c r="C444" s="727" t="s">
        <v>16</v>
      </c>
      <c r="D444" s="811" t="s">
        <v>17</v>
      </c>
      <c r="E444" s="805"/>
      <c r="F444" s="805"/>
      <c r="G444" s="189"/>
      <c r="H444" s="562" t="s">
        <v>12</v>
      </c>
      <c r="I444" s="269"/>
      <c r="J444" s="269"/>
      <c r="K444" s="465"/>
      <c r="L444" s="195">
        <f t="shared" ref="L444:N444" ca="1" si="196">L445+L446</f>
        <v>723480</v>
      </c>
      <c r="M444" s="195">
        <f t="shared" si="196"/>
        <v>0</v>
      </c>
      <c r="N444" s="195">
        <f t="shared" si="196"/>
        <v>0</v>
      </c>
      <c r="O444" s="195">
        <f t="shared" ref="O444:O449" ca="1" si="197">IF(L444&gt;0,N444*100/L444,0)</f>
        <v>0</v>
      </c>
      <c r="P444" s="195">
        <f t="shared" ref="P444:P449" si="198">IF(M444&gt;0,N444*100/M444,0)</f>
        <v>0</v>
      </c>
      <c r="Q444" s="541"/>
      <c r="R444" s="541"/>
      <c r="S444" s="541"/>
      <c r="T444" s="541"/>
      <c r="U444" s="541"/>
      <c r="V444" s="541"/>
      <c r="W444" s="541"/>
      <c r="X444" s="541"/>
      <c r="Y444" s="541"/>
      <c r="Z444" s="541"/>
    </row>
    <row r="445" spans="1:26" ht="18.75" hidden="1">
      <c r="A445" s="563"/>
      <c r="B445" s="723"/>
      <c r="C445" s="723"/>
      <c r="D445" s="684"/>
      <c r="E445" s="723" t="s">
        <v>184</v>
      </c>
      <c r="F445" s="723"/>
      <c r="G445" s="567"/>
      <c r="H445" s="165" t="s">
        <v>12</v>
      </c>
      <c r="I445" s="583"/>
      <c r="J445" s="583"/>
      <c r="K445" s="93"/>
      <c r="L445" s="93">
        <f t="shared" ref="L445:N446" si="199">L448+L455</f>
        <v>0</v>
      </c>
      <c r="M445" s="93">
        <f t="shared" si="199"/>
        <v>0</v>
      </c>
      <c r="N445" s="93">
        <f t="shared" si="199"/>
        <v>0</v>
      </c>
      <c r="O445" s="93">
        <f t="shared" si="197"/>
        <v>0</v>
      </c>
      <c r="P445" s="93">
        <f t="shared" si="198"/>
        <v>0</v>
      </c>
      <c r="Q445" s="568"/>
      <c r="R445" s="568"/>
      <c r="S445" s="568"/>
      <c r="T445" s="568"/>
      <c r="U445" s="568"/>
      <c r="V445" s="568"/>
      <c r="W445" s="568"/>
      <c r="X445" s="568"/>
      <c r="Y445" s="568"/>
      <c r="Z445" s="568"/>
    </row>
    <row r="446" spans="1:26" ht="18.75" hidden="1">
      <c r="A446" s="563"/>
      <c r="B446" s="571"/>
      <c r="C446" s="723"/>
      <c r="D446" s="684"/>
      <c r="E446" s="723" t="s">
        <v>185</v>
      </c>
      <c r="F446" s="723"/>
      <c r="G446" s="567"/>
      <c r="H446" s="165" t="s">
        <v>12</v>
      </c>
      <c r="I446" s="583"/>
      <c r="J446" s="583"/>
      <c r="K446" s="93"/>
      <c r="L446" s="93">
        <f t="shared" ca="1" si="199"/>
        <v>723480</v>
      </c>
      <c r="M446" s="93">
        <f t="shared" si="199"/>
        <v>0</v>
      </c>
      <c r="N446" s="93">
        <f t="shared" si="199"/>
        <v>0</v>
      </c>
      <c r="O446" s="93">
        <f t="shared" ca="1" si="197"/>
        <v>0</v>
      </c>
      <c r="P446" s="93">
        <f t="shared" si="198"/>
        <v>0</v>
      </c>
      <c r="Q446" s="568"/>
      <c r="R446" s="568"/>
      <c r="S446" s="568"/>
      <c r="T446" s="568"/>
      <c r="U446" s="568"/>
      <c r="V446" s="568"/>
      <c r="W446" s="568"/>
      <c r="X446" s="568"/>
      <c r="Y446" s="568"/>
      <c r="Z446" s="568"/>
    </row>
    <row r="447" spans="1:26" ht="18.75">
      <c r="A447" s="561"/>
      <c r="B447" s="538"/>
      <c r="C447" s="727"/>
      <c r="D447" s="570" t="s">
        <v>20</v>
      </c>
      <c r="E447" s="727"/>
      <c r="F447" s="727"/>
      <c r="G447" s="189"/>
      <c r="H447" s="161" t="s">
        <v>12</v>
      </c>
      <c r="I447" s="184"/>
      <c r="J447" s="184"/>
      <c r="K447" s="163"/>
      <c r="L447" s="465">
        <f t="shared" ref="L447:N447" ca="1" si="200">L448+L449</f>
        <v>723480</v>
      </c>
      <c r="M447" s="465">
        <f t="shared" si="200"/>
        <v>0</v>
      </c>
      <c r="N447" s="465">
        <f t="shared" si="200"/>
        <v>0</v>
      </c>
      <c r="O447" s="465">
        <f t="shared" ca="1" si="197"/>
        <v>0</v>
      </c>
      <c r="P447" s="465">
        <f t="shared" si="198"/>
        <v>0</v>
      </c>
      <c r="Q447" s="541"/>
      <c r="R447" s="541"/>
      <c r="S447" s="541"/>
      <c r="T447" s="541"/>
      <c r="U447" s="541"/>
      <c r="V447" s="541"/>
      <c r="W447" s="541"/>
      <c r="X447" s="541"/>
      <c r="Y447" s="541"/>
      <c r="Z447" s="541"/>
    </row>
    <row r="448" spans="1:26" ht="18.75" hidden="1">
      <c r="A448" s="563"/>
      <c r="B448" s="571"/>
      <c r="C448" s="723"/>
      <c r="D448" s="684"/>
      <c r="E448" s="723" t="s">
        <v>184</v>
      </c>
      <c r="F448" s="723"/>
      <c r="G448" s="567"/>
      <c r="H448" s="165" t="s">
        <v>12</v>
      </c>
      <c r="I448" s="583"/>
      <c r="J448" s="583"/>
      <c r="K448" s="93"/>
      <c r="L448" s="93">
        <v>0</v>
      </c>
      <c r="M448" s="93">
        <v>0</v>
      </c>
      <c r="N448" s="93">
        <v>0</v>
      </c>
      <c r="O448" s="93">
        <f t="shared" si="197"/>
        <v>0</v>
      </c>
      <c r="P448" s="93">
        <f t="shared" si="198"/>
        <v>0</v>
      </c>
      <c r="Q448" s="568"/>
      <c r="R448" s="568"/>
      <c r="S448" s="568"/>
      <c r="T448" s="568"/>
      <c r="U448" s="568"/>
      <c r="V448" s="568"/>
      <c r="W448" s="568"/>
      <c r="X448" s="568"/>
      <c r="Y448" s="568"/>
      <c r="Z448" s="568"/>
    </row>
    <row r="449" spans="1:26" ht="18.75" hidden="1">
      <c r="A449" s="563"/>
      <c r="B449" s="571"/>
      <c r="C449" s="723"/>
      <c r="D449" s="684"/>
      <c r="E449" s="723" t="s">
        <v>185</v>
      </c>
      <c r="F449" s="723"/>
      <c r="G449" s="567"/>
      <c r="H449" s="165" t="s">
        <v>12</v>
      </c>
      <c r="I449" s="583"/>
      <c r="J449" s="583"/>
      <c r="K449" s="93"/>
      <c r="L449" s="93">
        <f ca="1">IFERROR(__xludf.DUMMYFUNCTION("IMPORTRANGE(""https://docs.google.com/spreadsheets/d/1QqKyyYR6Q21VydFLVH3TRQUabQu_ym0Zz7PgGX0-kHA/edit?usp=sharing"",""แผน!FJ28"")"),723480)</f>
        <v>723480</v>
      </c>
      <c r="M449" s="93">
        <v>0</v>
      </c>
      <c r="N449" s="93">
        <f>N450+N451+N452+N453</f>
        <v>0</v>
      </c>
      <c r="O449" s="93">
        <f t="shared" ca="1" si="197"/>
        <v>0</v>
      </c>
      <c r="P449" s="93">
        <f t="shared" si="198"/>
        <v>0</v>
      </c>
      <c r="Q449" s="568"/>
      <c r="R449" s="568"/>
      <c r="S449" s="568"/>
      <c r="T449" s="568"/>
      <c r="U449" s="568"/>
      <c r="V449" s="568"/>
      <c r="W449" s="568"/>
      <c r="X449" s="568"/>
      <c r="Y449" s="568"/>
      <c r="Z449" s="568"/>
    </row>
    <row r="450" spans="1:26" ht="18.75">
      <c r="A450" s="537"/>
      <c r="B450" s="538"/>
      <c r="C450" s="727"/>
      <c r="D450" s="727"/>
      <c r="E450" s="727"/>
      <c r="F450" s="727" t="s">
        <v>186</v>
      </c>
      <c r="G450" s="189"/>
      <c r="H450" s="161" t="s">
        <v>12</v>
      </c>
      <c r="I450" s="269"/>
      <c r="J450" s="269"/>
      <c r="K450" s="465"/>
      <c r="L450" s="465"/>
      <c r="M450" s="465"/>
      <c r="N450" s="789">
        <v>0</v>
      </c>
      <c r="O450" s="465"/>
      <c r="P450" s="465"/>
      <c r="Q450" s="541"/>
      <c r="R450" s="541"/>
      <c r="S450" s="541"/>
      <c r="T450" s="541"/>
      <c r="U450" s="541"/>
      <c r="V450" s="541"/>
      <c r="W450" s="541"/>
      <c r="X450" s="541"/>
      <c r="Y450" s="541"/>
      <c r="Z450" s="541"/>
    </row>
    <row r="451" spans="1:26" ht="18.75">
      <c r="A451" s="537"/>
      <c r="B451" s="538"/>
      <c r="C451" s="727"/>
      <c r="D451" s="727"/>
      <c r="E451" s="727"/>
      <c r="F451" s="727" t="s">
        <v>187</v>
      </c>
      <c r="G451" s="189"/>
      <c r="H451" s="161" t="s">
        <v>12</v>
      </c>
      <c r="I451" s="269"/>
      <c r="J451" s="269"/>
      <c r="K451" s="465"/>
      <c r="L451" s="465"/>
      <c r="M451" s="465"/>
      <c r="N451" s="789">
        <v>0</v>
      </c>
      <c r="O451" s="465"/>
      <c r="P451" s="465"/>
      <c r="Q451" s="541"/>
      <c r="R451" s="541"/>
      <c r="S451" s="541"/>
      <c r="T451" s="541"/>
      <c r="U451" s="541"/>
      <c r="V451" s="541"/>
      <c r="W451" s="541"/>
      <c r="X451" s="541"/>
      <c r="Y451" s="541"/>
      <c r="Z451" s="541"/>
    </row>
    <row r="452" spans="1:26" ht="18.75">
      <c r="A452" s="537"/>
      <c r="B452" s="538"/>
      <c r="C452" s="538"/>
      <c r="D452" s="538"/>
      <c r="E452" s="538"/>
      <c r="F452" s="727" t="s">
        <v>188</v>
      </c>
      <c r="G452" s="189"/>
      <c r="H452" s="161" t="s">
        <v>12</v>
      </c>
      <c r="I452" s="269"/>
      <c r="J452" s="269"/>
      <c r="K452" s="465"/>
      <c r="L452" s="465"/>
      <c r="M452" s="465"/>
      <c r="N452" s="789">
        <v>0</v>
      </c>
      <c r="O452" s="465"/>
      <c r="P452" s="465"/>
      <c r="Q452" s="541"/>
      <c r="R452" s="541"/>
      <c r="S452" s="541"/>
      <c r="T452" s="541"/>
      <c r="U452" s="541"/>
      <c r="V452" s="541"/>
      <c r="W452" s="541"/>
      <c r="X452" s="541"/>
      <c r="Y452" s="541"/>
      <c r="Z452" s="541"/>
    </row>
    <row r="453" spans="1:26" ht="18.75">
      <c r="A453" s="537"/>
      <c r="B453" s="538"/>
      <c r="C453" s="538"/>
      <c r="D453" s="538"/>
      <c r="E453" s="538"/>
      <c r="F453" s="727" t="s">
        <v>189</v>
      </c>
      <c r="G453" s="189"/>
      <c r="H453" s="161" t="s">
        <v>12</v>
      </c>
      <c r="I453" s="269"/>
      <c r="J453" s="269"/>
      <c r="K453" s="465"/>
      <c r="L453" s="465"/>
      <c r="M453" s="465"/>
      <c r="N453" s="789">
        <v>0</v>
      </c>
      <c r="O453" s="465"/>
      <c r="P453" s="465"/>
      <c r="Q453" s="541"/>
      <c r="R453" s="541"/>
      <c r="S453" s="541"/>
      <c r="T453" s="541"/>
      <c r="U453" s="541"/>
      <c r="V453" s="541"/>
      <c r="W453" s="541"/>
      <c r="X453" s="541"/>
      <c r="Y453" s="541"/>
      <c r="Z453" s="541"/>
    </row>
    <row r="454" spans="1:26" ht="18.75">
      <c r="A454" s="561"/>
      <c r="B454" s="538"/>
      <c r="C454" s="538"/>
      <c r="D454" s="570" t="s">
        <v>21</v>
      </c>
      <c r="E454" s="538"/>
      <c r="F454" s="727"/>
      <c r="G454" s="189"/>
      <c r="H454" s="168" t="s">
        <v>12</v>
      </c>
      <c r="I454" s="184"/>
      <c r="J454" s="184"/>
      <c r="K454" s="163"/>
      <c r="L454" s="465">
        <f t="shared" ref="L454:N454" ca="1" si="201">L455+L456</f>
        <v>0</v>
      </c>
      <c r="M454" s="465">
        <f t="shared" si="201"/>
        <v>0</v>
      </c>
      <c r="N454" s="465">
        <f t="shared" si="201"/>
        <v>0</v>
      </c>
      <c r="O454" s="465">
        <f t="shared" ref="O454:O456" ca="1" si="202">IF(L454&gt;0,N454*100/L454,0)</f>
        <v>0</v>
      </c>
      <c r="P454" s="465">
        <f t="shared" ref="P454:P456" si="203">IF(M454&gt;0,N454*100/M454,0)</f>
        <v>0</v>
      </c>
      <c r="Q454" s="541"/>
      <c r="R454" s="541"/>
      <c r="S454" s="541"/>
      <c r="T454" s="541"/>
      <c r="U454" s="541"/>
      <c r="V454" s="541"/>
      <c r="W454" s="541"/>
      <c r="X454" s="541"/>
      <c r="Y454" s="541"/>
      <c r="Z454" s="541"/>
    </row>
    <row r="455" spans="1:26" ht="18.75" hidden="1">
      <c r="A455" s="563"/>
      <c r="B455" s="571"/>
      <c r="C455" s="571"/>
      <c r="D455" s="571"/>
      <c r="E455" s="571" t="s">
        <v>18</v>
      </c>
      <c r="F455" s="723"/>
      <c r="G455" s="567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2"/>
        <v>0</v>
      </c>
      <c r="P455" s="93">
        <f t="shared" si="203"/>
        <v>0</v>
      </c>
      <c r="Q455" s="568"/>
      <c r="R455" s="568"/>
      <c r="S455" s="568"/>
      <c r="T455" s="568"/>
      <c r="U455" s="568"/>
      <c r="V455" s="568"/>
      <c r="W455" s="568"/>
      <c r="X455" s="568"/>
      <c r="Y455" s="568"/>
      <c r="Z455" s="568"/>
    </row>
    <row r="456" spans="1:26" ht="18.75" hidden="1">
      <c r="A456" s="563"/>
      <c r="B456" s="571"/>
      <c r="C456" s="571"/>
      <c r="D456" s="571"/>
      <c r="E456" s="571" t="s">
        <v>19</v>
      </c>
      <c r="F456" s="723"/>
      <c r="G456" s="567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IFERROR(__xludf.DUMMYFUNCTION("IMPORTRANGE(""https://docs.google.com/spreadsheets/d/1QqKyyYR6Q21VydFLVH3TRQUabQu_ym0Zz7PgGX0-kHA/edit?usp=sharing"",""แผน!FM28"")"),0)</f>
        <v>0</v>
      </c>
      <c r="M456" s="93">
        <v>0</v>
      </c>
      <c r="N456" s="93">
        <v>0</v>
      </c>
      <c r="O456" s="93">
        <f t="shared" ca="1" si="202"/>
        <v>0</v>
      </c>
      <c r="P456" s="93">
        <f t="shared" si="203"/>
        <v>0</v>
      </c>
      <c r="Q456" s="568"/>
      <c r="R456" s="568"/>
      <c r="S456" s="568"/>
      <c r="T456" s="568"/>
      <c r="U456" s="568"/>
      <c r="V456" s="568"/>
      <c r="W456" s="568"/>
      <c r="X456" s="568"/>
      <c r="Y456" s="568"/>
      <c r="Z456" s="568"/>
    </row>
    <row r="457" spans="1:26" ht="19.5">
      <c r="A457" s="572"/>
      <c r="B457" s="584"/>
      <c r="C457" s="538" t="s">
        <v>16</v>
      </c>
      <c r="D457" s="850" t="s">
        <v>38</v>
      </c>
      <c r="E457" s="575"/>
      <c r="F457" s="725"/>
      <c r="G457" s="577"/>
      <c r="H457" s="726"/>
      <c r="I457" s="269"/>
      <c r="J457" s="269"/>
      <c r="K457" s="465"/>
      <c r="L457" s="465"/>
      <c r="M457" s="465"/>
      <c r="N457" s="465"/>
      <c r="O457" s="465"/>
      <c r="P457" s="465"/>
      <c r="Q457" s="541"/>
      <c r="R457" s="541"/>
      <c r="S457" s="541"/>
      <c r="T457" s="541"/>
      <c r="U457" s="541"/>
      <c r="V457" s="541"/>
      <c r="W457" s="541"/>
      <c r="X457" s="541"/>
      <c r="Y457" s="541"/>
      <c r="Z457" s="541"/>
    </row>
    <row r="458" spans="1:26" ht="18.75" hidden="1">
      <c r="A458" s="578"/>
      <c r="B458" s="580"/>
      <c r="C458" s="580"/>
      <c r="D458" s="580" t="s">
        <v>200</v>
      </c>
      <c r="E458" s="580"/>
      <c r="F458" s="684"/>
      <c r="G458" s="581"/>
      <c r="H458" s="582" t="s">
        <v>35</v>
      </c>
      <c r="I458" s="583">
        <v>0</v>
      </c>
      <c r="J458" s="583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568"/>
      <c r="R458" s="568"/>
      <c r="S458" s="568"/>
      <c r="T458" s="568"/>
      <c r="U458" s="568"/>
      <c r="V458" s="568"/>
      <c r="W458" s="568"/>
      <c r="X458" s="568"/>
      <c r="Y458" s="568"/>
      <c r="Z458" s="568"/>
    </row>
    <row r="459" spans="1:26" ht="18.75" hidden="1">
      <c r="A459" s="578"/>
      <c r="B459" s="580"/>
      <c r="C459" s="580"/>
      <c r="D459" s="580" t="s">
        <v>201</v>
      </c>
      <c r="E459" s="580"/>
      <c r="F459" s="684"/>
      <c r="G459" s="581"/>
      <c r="H459" s="582"/>
      <c r="I459" s="583"/>
      <c r="J459" s="583"/>
      <c r="K459" s="93"/>
      <c r="L459" s="93"/>
      <c r="M459" s="93"/>
      <c r="N459" s="93"/>
      <c r="O459" s="93"/>
      <c r="P459" s="93"/>
      <c r="Q459" s="568"/>
      <c r="R459" s="568"/>
      <c r="S459" s="568"/>
      <c r="T459" s="568"/>
      <c r="U459" s="568"/>
      <c r="V459" s="568"/>
      <c r="W459" s="568"/>
      <c r="X459" s="568"/>
      <c r="Y459" s="568"/>
      <c r="Z459" s="568"/>
    </row>
    <row r="460" spans="1:26" ht="18.75">
      <c r="A460" s="572"/>
      <c r="B460" s="584"/>
      <c r="C460" s="584"/>
      <c r="D460" s="584" t="s">
        <v>202</v>
      </c>
      <c r="E460" s="584"/>
      <c r="F460" s="592"/>
      <c r="G460" s="726"/>
      <c r="H460" s="728" t="s">
        <v>35</v>
      </c>
      <c r="I460" s="269">
        <f ca="1">IFERROR(__xludf.DUMMYFUNCTION("IMPORTRANGE(""https://docs.google.com/spreadsheets/d/1QqKyyYR6Q21VydFLVH3TRQUabQu_ym0Zz7PgGX0-kHA/edit?usp=sharing"",""แผน!FN28"")"),115)</f>
        <v>115</v>
      </c>
      <c r="J460" s="214">
        <v>0</v>
      </c>
      <c r="K460" s="465">
        <f ca="1">IF(I460&gt;0,J460*100/I460,0)</f>
        <v>0</v>
      </c>
      <c r="L460" s="465"/>
      <c r="M460" s="465"/>
      <c r="N460" s="465"/>
      <c r="O460" s="465"/>
      <c r="P460" s="465"/>
      <c r="Q460" s="541"/>
      <c r="R460" s="541"/>
      <c r="S460" s="541"/>
      <c r="T460" s="541"/>
      <c r="U460" s="541"/>
      <c r="V460" s="541"/>
      <c r="W460" s="541"/>
      <c r="X460" s="541"/>
      <c r="Y460" s="541"/>
      <c r="Z460" s="541"/>
    </row>
    <row r="461" spans="1:26" ht="18.75">
      <c r="A461" s="572"/>
      <c r="B461" s="584"/>
      <c r="C461" s="584"/>
      <c r="D461" s="584" t="s">
        <v>203</v>
      </c>
      <c r="E461" s="592"/>
      <c r="F461" s="592"/>
      <c r="G461" s="726"/>
      <c r="H461" s="728"/>
      <c r="I461" s="269"/>
      <c r="J461" s="269"/>
      <c r="K461" s="465"/>
      <c r="L461" s="465"/>
      <c r="M461" s="465"/>
      <c r="N461" s="465"/>
      <c r="O461" s="465"/>
      <c r="P461" s="465"/>
      <c r="Q461" s="541"/>
      <c r="R461" s="541"/>
      <c r="S461" s="541"/>
      <c r="T461" s="541"/>
      <c r="U461" s="541"/>
      <c r="V461" s="541"/>
      <c r="W461" s="541"/>
      <c r="X461" s="541"/>
      <c r="Y461" s="541"/>
      <c r="Z461" s="541"/>
    </row>
    <row r="462" spans="1:26" ht="18.75">
      <c r="A462" s="572"/>
      <c r="B462" s="584"/>
      <c r="C462" s="584"/>
      <c r="D462" s="584" t="s">
        <v>204</v>
      </c>
      <c r="E462" s="592"/>
      <c r="F462" s="592"/>
      <c r="G462" s="726"/>
      <c r="H462" s="728" t="s">
        <v>46</v>
      </c>
      <c r="I462" s="269">
        <f ca="1">IFERROR(__xludf.DUMMYFUNCTION("IMPORTRANGE(""https://docs.google.com/spreadsheets/d/1QqKyyYR6Q21VydFLVH3TRQUabQu_ym0Zz7PgGX0-kHA/edit?usp=sharing"",""แผน!FO28"")"),360)</f>
        <v>360</v>
      </c>
      <c r="J462" s="214">
        <v>0</v>
      </c>
      <c r="K462" s="465">
        <f ca="1">IF(I462&gt;0,J462*100/I462,0)</f>
        <v>0</v>
      </c>
      <c r="L462" s="465"/>
      <c r="M462" s="465"/>
      <c r="N462" s="465"/>
      <c r="O462" s="465"/>
      <c r="P462" s="465"/>
      <c r="Q462" s="541"/>
      <c r="R462" s="541"/>
      <c r="S462" s="541"/>
      <c r="T462" s="541"/>
      <c r="U462" s="541"/>
      <c r="V462" s="541"/>
      <c r="W462" s="541"/>
      <c r="X462" s="541"/>
      <c r="Y462" s="541"/>
      <c r="Z462" s="541"/>
    </row>
    <row r="463" spans="1:26" ht="18.75">
      <c r="A463" s="572"/>
      <c r="B463" s="584"/>
      <c r="C463" s="584"/>
      <c r="D463" s="584" t="s">
        <v>59</v>
      </c>
      <c r="E463" s="592"/>
      <c r="F463" s="727"/>
      <c r="G463" s="189"/>
      <c r="H463" s="728" t="s">
        <v>46</v>
      </c>
      <c r="I463" s="269">
        <f ca="1">IFERROR(__xludf.DUMMYFUNCTION("IMPORTRANGE(""https://docs.google.com/spreadsheets/d/1QqKyyYR6Q21VydFLVH3TRQUabQu_ym0Zz7PgGX0-kHA/edit?usp=sharing"",""แผน!FO28"")"),360)</f>
        <v>360</v>
      </c>
      <c r="J463" s="214">
        <v>0</v>
      </c>
      <c r="K463" s="465"/>
      <c r="L463" s="465"/>
      <c r="M463" s="465"/>
      <c r="N463" s="465"/>
      <c r="O463" s="465"/>
      <c r="P463" s="465"/>
      <c r="Q463" s="541"/>
      <c r="R463" s="541"/>
      <c r="S463" s="541"/>
      <c r="T463" s="541"/>
      <c r="U463" s="541"/>
      <c r="V463" s="541"/>
      <c r="W463" s="541"/>
      <c r="X463" s="541"/>
      <c r="Y463" s="541"/>
      <c r="Z463" s="541"/>
    </row>
    <row r="464" spans="1:26" ht="19.5">
      <c r="A464" s="572"/>
      <c r="B464" s="584"/>
      <c r="C464" s="584"/>
      <c r="D464" s="584"/>
      <c r="E464" s="592"/>
      <c r="F464" s="592"/>
      <c r="G464" s="586"/>
      <c r="H464" s="728" t="s">
        <v>35</v>
      </c>
      <c r="I464" s="269">
        <f ca="1">IFERROR(__xludf.DUMMYFUNCTION("IMPORTRANGE(""https://docs.google.com/spreadsheets/d/1QqKyyYR6Q21VydFLVH3TRQUabQu_ym0Zz7PgGX0-kHA/edit?usp=sharing"",""แผน!FN28"")"),115)</f>
        <v>115</v>
      </c>
      <c r="J464" s="214">
        <v>0</v>
      </c>
      <c r="K464" s="465"/>
      <c r="L464" s="465"/>
      <c r="M464" s="465"/>
      <c r="N464" s="465"/>
      <c r="O464" s="465"/>
      <c r="P464" s="465"/>
      <c r="Q464" s="541"/>
      <c r="R464" s="541"/>
      <c r="S464" s="541"/>
      <c r="T464" s="541"/>
      <c r="U464" s="541"/>
      <c r="V464" s="541"/>
      <c r="W464" s="541"/>
      <c r="X464" s="541"/>
      <c r="Y464" s="541"/>
      <c r="Z464" s="541"/>
    </row>
    <row r="465" spans="1:26" ht="19.5">
      <c r="A465" s="549">
        <v>3</v>
      </c>
      <c r="B465" s="550" t="s">
        <v>205</v>
      </c>
      <c r="C465" s="551"/>
      <c r="D465" s="551"/>
      <c r="E465" s="551"/>
      <c r="F465" s="551"/>
      <c r="G465" s="552"/>
      <c r="H465" s="553" t="s">
        <v>35</v>
      </c>
      <c r="I465" s="554">
        <f ca="1">IFERROR(__xludf.DUMMYFUNCTION("IMPORTRANGE(""https://docs.google.com/spreadsheets/d/1QqKyyYR6Q21VydFLVH3TRQUabQu_ym0Zz7PgGX0-kHA/edit?usp=sharing"",""แผน!FX28"")"),31)</f>
        <v>31</v>
      </c>
      <c r="J465" s="554">
        <f>J485+J489+J492</f>
        <v>0</v>
      </c>
      <c r="K465" s="555">
        <f t="shared" ref="K465:K466" ca="1" si="204">IF(I465&gt;0,J465*100/I465,0)</f>
        <v>0</v>
      </c>
      <c r="L465" s="556"/>
      <c r="M465" s="556"/>
      <c r="N465" s="556"/>
      <c r="O465" s="556"/>
      <c r="P465" s="556"/>
      <c r="Q465" s="541"/>
      <c r="R465" s="541"/>
      <c r="S465" s="541"/>
      <c r="T465" s="541"/>
      <c r="U465" s="541"/>
      <c r="V465" s="541"/>
      <c r="W465" s="541"/>
      <c r="X465" s="541"/>
      <c r="Y465" s="541"/>
      <c r="Z465" s="541"/>
    </row>
    <row r="466" spans="1:26" ht="19.5">
      <c r="A466" s="557"/>
      <c r="B466" s="558"/>
      <c r="C466" s="559"/>
      <c r="D466" s="559"/>
      <c r="E466" s="559"/>
      <c r="F466" s="559"/>
      <c r="G466" s="560"/>
      <c r="H466" s="531" t="s">
        <v>46</v>
      </c>
      <c r="I466" s="532">
        <f ca="1">IFERROR(__xludf.DUMMYFUNCTION("IMPORTRANGE(""https://docs.google.com/spreadsheets/d/1QqKyyYR6Q21VydFLVH3TRQUabQu_ym0Zz7PgGX0-kHA/edit?usp=sharing"",""แผน!FW28"")"),300)</f>
        <v>300</v>
      </c>
      <c r="J466" s="532">
        <f>J483+J487</f>
        <v>0</v>
      </c>
      <c r="K466" s="533">
        <f t="shared" ca="1" si="204"/>
        <v>0</v>
      </c>
      <c r="L466" s="534"/>
      <c r="M466" s="534"/>
      <c r="N466" s="534"/>
      <c r="O466" s="534"/>
      <c r="P466" s="534"/>
      <c r="Q466" s="541"/>
      <c r="R466" s="541"/>
      <c r="S466" s="541"/>
      <c r="T466" s="541"/>
      <c r="U466" s="541"/>
      <c r="V466" s="541"/>
      <c r="W466" s="541"/>
      <c r="X466" s="541"/>
      <c r="Y466" s="541"/>
      <c r="Z466" s="541"/>
    </row>
    <row r="467" spans="1:26" ht="19.5">
      <c r="A467" s="561"/>
      <c r="B467" s="727"/>
      <c r="C467" s="727" t="s">
        <v>16</v>
      </c>
      <c r="D467" s="811" t="s">
        <v>17</v>
      </c>
      <c r="E467" s="805"/>
      <c r="F467" s="805"/>
      <c r="G467" s="189"/>
      <c r="H467" s="562" t="s">
        <v>12</v>
      </c>
      <c r="I467" s="269"/>
      <c r="J467" s="269"/>
      <c r="K467" s="465"/>
      <c r="L467" s="195">
        <f t="shared" ref="L467:N467" ca="1" si="205">L468+L469</f>
        <v>250523</v>
      </c>
      <c r="M467" s="195">
        <f t="shared" si="205"/>
        <v>0</v>
      </c>
      <c r="N467" s="195">
        <f t="shared" si="205"/>
        <v>0</v>
      </c>
      <c r="O467" s="195">
        <f t="shared" ref="O467:O472" ca="1" si="206">IF(L467&gt;0,N467*100/L467,0)</f>
        <v>0</v>
      </c>
      <c r="P467" s="195">
        <f t="shared" ref="P467:P472" si="207">IF(M467&gt;0,N467*100/M467,0)</f>
        <v>0</v>
      </c>
      <c r="Q467" s="541"/>
      <c r="R467" s="541"/>
      <c r="S467" s="541"/>
      <c r="T467" s="541"/>
      <c r="U467" s="541"/>
      <c r="V467" s="541"/>
      <c r="W467" s="541"/>
      <c r="X467" s="541"/>
      <c r="Y467" s="541"/>
      <c r="Z467" s="541"/>
    </row>
    <row r="468" spans="1:26" ht="18.75" hidden="1">
      <c r="A468" s="563"/>
      <c r="B468" s="723"/>
      <c r="C468" s="723"/>
      <c r="D468" s="684"/>
      <c r="E468" s="723" t="s">
        <v>184</v>
      </c>
      <c r="F468" s="723"/>
      <c r="G468" s="567"/>
      <c r="H468" s="165" t="s">
        <v>12</v>
      </c>
      <c r="I468" s="583"/>
      <c r="J468" s="583"/>
      <c r="K468" s="93"/>
      <c r="L468" s="93">
        <f t="shared" ref="L468:N469" si="208">L471+L478</f>
        <v>0</v>
      </c>
      <c r="M468" s="93">
        <f t="shared" si="208"/>
        <v>0</v>
      </c>
      <c r="N468" s="93">
        <f t="shared" si="208"/>
        <v>0</v>
      </c>
      <c r="O468" s="93">
        <f t="shared" si="206"/>
        <v>0</v>
      </c>
      <c r="P468" s="93">
        <f t="shared" si="207"/>
        <v>0</v>
      </c>
      <c r="Q468" s="568"/>
      <c r="R468" s="568"/>
      <c r="S468" s="568"/>
      <c r="T468" s="568"/>
      <c r="U468" s="568"/>
      <c r="V468" s="568"/>
      <c r="W468" s="568"/>
      <c r="X468" s="568"/>
      <c r="Y468" s="568"/>
      <c r="Z468" s="568"/>
    </row>
    <row r="469" spans="1:26" ht="18.75" hidden="1">
      <c r="A469" s="563"/>
      <c r="B469" s="571"/>
      <c r="C469" s="723"/>
      <c r="D469" s="684"/>
      <c r="E469" s="723" t="s">
        <v>185</v>
      </c>
      <c r="F469" s="723"/>
      <c r="G469" s="567"/>
      <c r="H469" s="165" t="s">
        <v>12</v>
      </c>
      <c r="I469" s="583"/>
      <c r="J469" s="583"/>
      <c r="K469" s="93"/>
      <c r="L469" s="93">
        <f t="shared" ca="1" si="208"/>
        <v>250523</v>
      </c>
      <c r="M469" s="93">
        <f t="shared" si="208"/>
        <v>0</v>
      </c>
      <c r="N469" s="93">
        <f t="shared" si="208"/>
        <v>0</v>
      </c>
      <c r="O469" s="93">
        <f t="shared" ca="1" si="206"/>
        <v>0</v>
      </c>
      <c r="P469" s="93">
        <f t="shared" si="207"/>
        <v>0</v>
      </c>
      <c r="Q469" s="568"/>
      <c r="R469" s="568"/>
      <c r="S469" s="568"/>
      <c r="T469" s="568"/>
      <c r="U469" s="568"/>
      <c r="V469" s="568"/>
      <c r="W469" s="568"/>
      <c r="X469" s="568"/>
      <c r="Y469" s="568"/>
      <c r="Z469" s="568"/>
    </row>
    <row r="470" spans="1:26" ht="18.75">
      <c r="A470" s="561"/>
      <c r="B470" s="538"/>
      <c r="C470" s="727"/>
      <c r="D470" s="570" t="s">
        <v>20</v>
      </c>
      <c r="E470" s="727"/>
      <c r="F470" s="727"/>
      <c r="G470" s="189"/>
      <c r="H470" s="161" t="s">
        <v>12</v>
      </c>
      <c r="I470" s="184"/>
      <c r="J470" s="184"/>
      <c r="K470" s="163"/>
      <c r="L470" s="465">
        <f t="shared" ref="L470:N470" ca="1" si="209">L471+L472</f>
        <v>250523</v>
      </c>
      <c r="M470" s="465">
        <f t="shared" si="209"/>
        <v>0</v>
      </c>
      <c r="N470" s="465">
        <f t="shared" si="209"/>
        <v>0</v>
      </c>
      <c r="O470" s="465">
        <f t="shared" ca="1" si="206"/>
        <v>0</v>
      </c>
      <c r="P470" s="465">
        <f t="shared" si="207"/>
        <v>0</v>
      </c>
      <c r="Q470" s="541"/>
      <c r="R470" s="541"/>
      <c r="S470" s="541"/>
      <c r="T470" s="541"/>
      <c r="U470" s="541"/>
      <c r="V470" s="541"/>
      <c r="W470" s="541"/>
      <c r="X470" s="541"/>
      <c r="Y470" s="541"/>
      <c r="Z470" s="541"/>
    </row>
    <row r="471" spans="1:26" ht="18.75" hidden="1">
      <c r="A471" s="563"/>
      <c r="B471" s="571"/>
      <c r="C471" s="723"/>
      <c r="D471" s="684"/>
      <c r="E471" s="723" t="s">
        <v>184</v>
      </c>
      <c r="F471" s="723"/>
      <c r="G471" s="567"/>
      <c r="H471" s="165" t="s">
        <v>12</v>
      </c>
      <c r="I471" s="583"/>
      <c r="J471" s="583"/>
      <c r="K471" s="93"/>
      <c r="L471" s="93">
        <v>0</v>
      </c>
      <c r="M471" s="93">
        <v>0</v>
      </c>
      <c r="N471" s="93">
        <v>0</v>
      </c>
      <c r="O471" s="93">
        <f t="shared" si="206"/>
        <v>0</v>
      </c>
      <c r="P471" s="93">
        <f t="shared" si="207"/>
        <v>0</v>
      </c>
      <c r="Q471" s="568"/>
      <c r="R471" s="568"/>
      <c r="S471" s="568"/>
      <c r="T471" s="568"/>
      <c r="U471" s="568"/>
      <c r="V471" s="568"/>
      <c r="W471" s="568"/>
      <c r="X471" s="568"/>
      <c r="Y471" s="568"/>
      <c r="Z471" s="568"/>
    </row>
    <row r="472" spans="1:26" ht="18.75" hidden="1">
      <c r="A472" s="563"/>
      <c r="B472" s="571"/>
      <c r="C472" s="723"/>
      <c r="D472" s="684"/>
      <c r="E472" s="723" t="s">
        <v>185</v>
      </c>
      <c r="F472" s="723"/>
      <c r="G472" s="567"/>
      <c r="H472" s="165" t="s">
        <v>12</v>
      </c>
      <c r="I472" s="583"/>
      <c r="J472" s="583"/>
      <c r="K472" s="93"/>
      <c r="L472" s="93">
        <f ca="1">IFERROR(__xludf.DUMMYFUNCTION("IMPORTRANGE(""https://docs.google.com/spreadsheets/d/1QqKyyYR6Q21VydFLVH3TRQUabQu_ym0Zz7PgGX0-kHA/edit?usp=sharing"",""แผน!FS28"")"),250523)</f>
        <v>250523</v>
      </c>
      <c r="M472" s="93">
        <v>0</v>
      </c>
      <c r="N472" s="93">
        <f>N473+N474+N475+N476</f>
        <v>0</v>
      </c>
      <c r="O472" s="93">
        <f t="shared" ca="1" si="206"/>
        <v>0</v>
      </c>
      <c r="P472" s="93">
        <f t="shared" si="207"/>
        <v>0</v>
      </c>
      <c r="Q472" s="568"/>
      <c r="R472" s="568"/>
      <c r="S472" s="568"/>
      <c r="T472" s="568"/>
      <c r="U472" s="568"/>
      <c r="V472" s="568"/>
      <c r="W472" s="568"/>
      <c r="X472" s="568"/>
      <c r="Y472" s="568"/>
      <c r="Z472" s="568"/>
    </row>
    <row r="473" spans="1:26" ht="18.75">
      <c r="A473" s="537"/>
      <c r="B473" s="538"/>
      <c r="C473" s="727"/>
      <c r="D473" s="727"/>
      <c r="E473" s="727"/>
      <c r="F473" s="727" t="s">
        <v>186</v>
      </c>
      <c r="G473" s="189"/>
      <c r="H473" s="161" t="s">
        <v>12</v>
      </c>
      <c r="I473" s="269"/>
      <c r="J473" s="269"/>
      <c r="K473" s="465"/>
      <c r="L473" s="465"/>
      <c r="M473" s="465"/>
      <c r="N473" s="789">
        <v>0</v>
      </c>
      <c r="O473" s="465"/>
      <c r="P473" s="465"/>
      <c r="Q473" s="541"/>
      <c r="R473" s="541"/>
      <c r="S473" s="541"/>
      <c r="T473" s="541"/>
      <c r="U473" s="541"/>
      <c r="V473" s="541"/>
      <c r="W473" s="541"/>
      <c r="X473" s="541"/>
      <c r="Y473" s="541"/>
      <c r="Z473" s="541"/>
    </row>
    <row r="474" spans="1:26" ht="18.75">
      <c r="A474" s="537"/>
      <c r="B474" s="538"/>
      <c r="C474" s="727"/>
      <c r="D474" s="727"/>
      <c r="E474" s="727"/>
      <c r="F474" s="727" t="s">
        <v>187</v>
      </c>
      <c r="G474" s="189"/>
      <c r="H474" s="161" t="s">
        <v>12</v>
      </c>
      <c r="I474" s="269"/>
      <c r="J474" s="269"/>
      <c r="K474" s="465"/>
      <c r="L474" s="465"/>
      <c r="M474" s="465"/>
      <c r="N474" s="789">
        <v>0</v>
      </c>
      <c r="O474" s="465"/>
      <c r="P474" s="465"/>
      <c r="Q474" s="541"/>
      <c r="R474" s="541"/>
      <c r="S474" s="541"/>
      <c r="T474" s="541"/>
      <c r="U474" s="541"/>
      <c r="V474" s="541"/>
      <c r="W474" s="541"/>
      <c r="X474" s="541"/>
      <c r="Y474" s="541"/>
      <c r="Z474" s="541"/>
    </row>
    <row r="475" spans="1:26" ht="18.75">
      <c r="A475" s="537"/>
      <c r="B475" s="538"/>
      <c r="C475" s="538"/>
      <c r="D475" s="538"/>
      <c r="E475" s="538"/>
      <c r="F475" s="727" t="s">
        <v>188</v>
      </c>
      <c r="G475" s="189"/>
      <c r="H475" s="161" t="s">
        <v>12</v>
      </c>
      <c r="I475" s="269"/>
      <c r="J475" s="269"/>
      <c r="K475" s="465"/>
      <c r="L475" s="465"/>
      <c r="M475" s="465"/>
      <c r="N475" s="789">
        <v>0</v>
      </c>
      <c r="O475" s="465"/>
      <c r="P475" s="465"/>
      <c r="Q475" s="541"/>
      <c r="R475" s="541"/>
      <c r="S475" s="541"/>
      <c r="T475" s="541"/>
      <c r="U475" s="541"/>
      <c r="V475" s="541"/>
      <c r="W475" s="541"/>
      <c r="X475" s="541"/>
      <c r="Y475" s="541"/>
      <c r="Z475" s="541"/>
    </row>
    <row r="476" spans="1:26" ht="18.75">
      <c r="A476" s="537"/>
      <c r="B476" s="538"/>
      <c r="C476" s="538"/>
      <c r="D476" s="538"/>
      <c r="E476" s="538"/>
      <c r="F476" s="727" t="s">
        <v>189</v>
      </c>
      <c r="G476" s="189"/>
      <c r="H476" s="161" t="s">
        <v>12</v>
      </c>
      <c r="I476" s="269"/>
      <c r="J476" s="269"/>
      <c r="K476" s="465"/>
      <c r="L476" s="465"/>
      <c r="M476" s="465"/>
      <c r="N476" s="789">
        <v>0</v>
      </c>
      <c r="O476" s="465"/>
      <c r="P476" s="465"/>
      <c r="Q476" s="541"/>
      <c r="R476" s="541"/>
      <c r="S476" s="541"/>
      <c r="T476" s="541"/>
      <c r="U476" s="541"/>
      <c r="V476" s="541"/>
      <c r="W476" s="541"/>
      <c r="X476" s="541"/>
      <c r="Y476" s="541"/>
      <c r="Z476" s="541"/>
    </row>
    <row r="477" spans="1:26" ht="18.75">
      <c r="A477" s="561"/>
      <c r="B477" s="538"/>
      <c r="C477" s="538"/>
      <c r="D477" s="570" t="s">
        <v>21</v>
      </c>
      <c r="E477" s="538"/>
      <c r="F477" s="538"/>
      <c r="G477" s="189"/>
      <c r="H477" s="168" t="s">
        <v>12</v>
      </c>
      <c r="I477" s="184"/>
      <c r="J477" s="184"/>
      <c r="K477" s="163"/>
      <c r="L477" s="465">
        <f t="shared" ref="L477:N477" ca="1" si="210">L478+L479</f>
        <v>0</v>
      </c>
      <c r="M477" s="465">
        <f t="shared" si="210"/>
        <v>0</v>
      </c>
      <c r="N477" s="465">
        <f t="shared" si="210"/>
        <v>0</v>
      </c>
      <c r="O477" s="465">
        <f t="shared" ref="O477:O479" ca="1" si="211">IF(L477&gt;0,N477*100/L477,0)</f>
        <v>0</v>
      </c>
      <c r="P477" s="465">
        <f t="shared" ref="P477:P479" si="212">IF(M477&gt;0,N477*100/M477,0)</f>
        <v>0</v>
      </c>
      <c r="Q477" s="541"/>
      <c r="R477" s="541"/>
      <c r="S477" s="541"/>
      <c r="T477" s="541"/>
      <c r="U477" s="541"/>
      <c r="V477" s="541"/>
      <c r="W477" s="541"/>
      <c r="X477" s="541"/>
      <c r="Y477" s="541"/>
      <c r="Z477" s="541"/>
    </row>
    <row r="478" spans="1:26" ht="18.75" hidden="1">
      <c r="A478" s="563"/>
      <c r="B478" s="571"/>
      <c r="C478" s="571"/>
      <c r="D478" s="571"/>
      <c r="E478" s="571" t="s">
        <v>18</v>
      </c>
      <c r="F478" s="571"/>
      <c r="G478" s="567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1"/>
        <v>0</v>
      </c>
      <c r="P478" s="93">
        <f t="shared" si="212"/>
        <v>0</v>
      </c>
      <c r="Q478" s="568"/>
      <c r="R478" s="568"/>
      <c r="S478" s="568"/>
      <c r="T478" s="568"/>
      <c r="U478" s="568"/>
      <c r="V478" s="568"/>
      <c r="W478" s="568"/>
      <c r="X478" s="568"/>
      <c r="Y478" s="568"/>
      <c r="Z478" s="568"/>
    </row>
    <row r="479" spans="1:26" ht="18.75" hidden="1">
      <c r="A479" s="563"/>
      <c r="B479" s="571"/>
      <c r="C479" s="571"/>
      <c r="D479" s="571"/>
      <c r="E479" s="571" t="s">
        <v>19</v>
      </c>
      <c r="F479" s="571"/>
      <c r="G479" s="567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IFERROR(__xludf.DUMMYFUNCTION("IMPORTRANGE(""https://docs.google.com/spreadsheets/d/1QqKyyYR6Q21VydFLVH3TRQUabQu_ym0Zz7PgGX0-kHA/edit?usp=sharing"",""แผน!FV28"")"),0)</f>
        <v>0</v>
      </c>
      <c r="M479" s="93">
        <v>0</v>
      </c>
      <c r="N479" s="93">
        <v>0</v>
      </c>
      <c r="O479" s="93">
        <f t="shared" ca="1" si="211"/>
        <v>0</v>
      </c>
      <c r="P479" s="93">
        <f t="shared" si="212"/>
        <v>0</v>
      </c>
      <c r="Q479" s="568"/>
      <c r="R479" s="568"/>
      <c r="S479" s="568"/>
      <c r="T479" s="568"/>
      <c r="U479" s="568"/>
      <c r="V479" s="568"/>
      <c r="W479" s="568"/>
      <c r="X479" s="568"/>
      <c r="Y479" s="568"/>
      <c r="Z479" s="568"/>
    </row>
    <row r="480" spans="1:26" ht="19.5">
      <c r="A480" s="572"/>
      <c r="B480" s="584"/>
      <c r="C480" s="538" t="s">
        <v>16</v>
      </c>
      <c r="D480" s="851" t="s">
        <v>38</v>
      </c>
      <c r="E480" s="575"/>
      <c r="F480" s="725"/>
      <c r="G480" s="577"/>
      <c r="H480" s="726"/>
      <c r="I480" s="269"/>
      <c r="J480" s="269"/>
      <c r="K480" s="465"/>
      <c r="L480" s="465"/>
      <c r="M480" s="465"/>
      <c r="N480" s="465"/>
      <c r="O480" s="465"/>
      <c r="P480" s="465"/>
      <c r="Q480" s="541"/>
      <c r="R480" s="541"/>
      <c r="S480" s="541"/>
      <c r="T480" s="541"/>
      <c r="U480" s="541"/>
      <c r="V480" s="541"/>
      <c r="W480" s="541"/>
      <c r="X480" s="541"/>
      <c r="Y480" s="541"/>
      <c r="Z480" s="541"/>
    </row>
    <row r="481" spans="1:26" ht="19.5">
      <c r="A481" s="572"/>
      <c r="B481" s="584"/>
      <c r="C481" s="584"/>
      <c r="D481" s="591" t="s">
        <v>206</v>
      </c>
      <c r="E481" s="584"/>
      <c r="F481" s="584"/>
      <c r="G481" s="726"/>
      <c r="H481" s="189"/>
      <c r="I481" s="269"/>
      <c r="J481" s="269"/>
      <c r="K481" s="465"/>
      <c r="L481" s="465"/>
      <c r="M481" s="465"/>
      <c r="N481" s="465"/>
      <c r="O481" s="465"/>
      <c r="P481" s="465"/>
      <c r="Q481" s="541"/>
      <c r="R481" s="541"/>
      <c r="S481" s="541"/>
      <c r="T481" s="541"/>
      <c r="U481" s="541"/>
      <c r="V481" s="541"/>
      <c r="W481" s="541"/>
      <c r="X481" s="541"/>
      <c r="Y481" s="541"/>
      <c r="Z481" s="541"/>
    </row>
    <row r="482" spans="1:26" ht="18.75">
      <c r="A482" s="572"/>
      <c r="B482" s="584"/>
      <c r="C482" s="584"/>
      <c r="D482" s="584"/>
      <c r="E482" s="584" t="s">
        <v>207</v>
      </c>
      <c r="F482" s="584"/>
      <c r="G482" s="726"/>
      <c r="H482" s="189"/>
      <c r="I482" s="269"/>
      <c r="J482" s="269"/>
      <c r="K482" s="465"/>
      <c r="L482" s="465"/>
      <c r="M482" s="465"/>
      <c r="N482" s="465"/>
      <c r="O482" s="465"/>
      <c r="P482" s="465"/>
      <c r="Q482" s="541"/>
      <c r="R482" s="541"/>
      <c r="S482" s="541"/>
      <c r="T482" s="541"/>
      <c r="U482" s="541"/>
      <c r="V482" s="541"/>
      <c r="W482" s="541"/>
      <c r="X482" s="541"/>
      <c r="Y482" s="541"/>
      <c r="Z482" s="541"/>
    </row>
    <row r="483" spans="1:26" ht="18.75">
      <c r="A483" s="572"/>
      <c r="B483" s="584"/>
      <c r="C483" s="584"/>
      <c r="D483" s="584"/>
      <c r="E483" s="584"/>
      <c r="F483" s="584" t="s">
        <v>208</v>
      </c>
      <c r="G483" s="726"/>
      <c r="H483" s="589" t="s">
        <v>46</v>
      </c>
      <c r="I483" s="269">
        <f ca="1">IFERROR(__xludf.DUMMYFUNCTION("IMPORTRANGE(""https://docs.google.com/spreadsheets/d/1QqKyyYR6Q21VydFLVH3TRQUabQu_ym0Zz7PgGX0-kHA/edit?usp=sharing"",""แผน!FY28"")"),270)</f>
        <v>270</v>
      </c>
      <c r="J483" s="214">
        <v>0</v>
      </c>
      <c r="K483" s="465">
        <f ca="1">IF(I483&gt;0,J483*100/I483,0)</f>
        <v>0</v>
      </c>
      <c r="L483" s="465"/>
      <c r="M483" s="465"/>
      <c r="N483" s="465"/>
      <c r="O483" s="465"/>
      <c r="P483" s="465"/>
      <c r="Q483" s="541"/>
      <c r="R483" s="541"/>
      <c r="S483" s="541"/>
      <c r="T483" s="541"/>
      <c r="U483" s="541"/>
      <c r="V483" s="541"/>
      <c r="W483" s="541"/>
      <c r="X483" s="541"/>
      <c r="Y483" s="541"/>
      <c r="Z483" s="541"/>
    </row>
    <row r="484" spans="1:26" ht="18.75">
      <c r="A484" s="572"/>
      <c r="B484" s="584"/>
      <c r="C484" s="584"/>
      <c r="D484" s="584"/>
      <c r="E484" s="584"/>
      <c r="F484" s="584" t="s">
        <v>209</v>
      </c>
      <c r="G484" s="726"/>
      <c r="H484" s="589" t="s">
        <v>35</v>
      </c>
      <c r="I484" s="269"/>
      <c r="J484" s="214">
        <v>0</v>
      </c>
      <c r="K484" s="465"/>
      <c r="L484" s="465"/>
      <c r="M484" s="465"/>
      <c r="N484" s="465"/>
      <c r="O484" s="465"/>
      <c r="P484" s="465"/>
      <c r="Q484" s="541"/>
      <c r="R484" s="541"/>
      <c r="S484" s="541"/>
      <c r="T484" s="541"/>
      <c r="U484" s="541"/>
      <c r="V484" s="541"/>
      <c r="W484" s="541"/>
      <c r="X484" s="541"/>
      <c r="Y484" s="541"/>
      <c r="Z484" s="541"/>
    </row>
    <row r="485" spans="1:26" ht="18.75">
      <c r="A485" s="572"/>
      <c r="B485" s="584"/>
      <c r="C485" s="584"/>
      <c r="D485" s="584"/>
      <c r="E485" s="584"/>
      <c r="F485" s="584" t="s">
        <v>210</v>
      </c>
      <c r="G485" s="726"/>
      <c r="H485" s="589" t="s">
        <v>35</v>
      </c>
      <c r="I485" s="269">
        <f ca="1">IFERROR(__xludf.DUMMYFUNCTION("IMPORTRANGE(""https://docs.google.com/spreadsheets/d/1QqKyyYR6Q21VydFLVH3TRQUabQu_ym0Zz7PgGX0-kHA/edit?usp=sharing"",""แผน!FZ28"")"),27)</f>
        <v>27</v>
      </c>
      <c r="J485" s="214">
        <v>0</v>
      </c>
      <c r="K485" s="465">
        <f ca="1">IF(I485&gt;0,J485*100/I485,0)</f>
        <v>0</v>
      </c>
      <c r="L485" s="465"/>
      <c r="M485" s="465"/>
      <c r="N485" s="465"/>
      <c r="O485" s="465"/>
      <c r="P485" s="465"/>
      <c r="Q485" s="541"/>
      <c r="R485" s="541"/>
      <c r="S485" s="541"/>
      <c r="T485" s="541"/>
      <c r="U485" s="541"/>
      <c r="V485" s="541"/>
      <c r="W485" s="541"/>
      <c r="X485" s="541"/>
      <c r="Y485" s="541"/>
      <c r="Z485" s="541"/>
    </row>
    <row r="486" spans="1:26" ht="18.75">
      <c r="A486" s="572"/>
      <c r="B486" s="584"/>
      <c r="C486" s="584"/>
      <c r="D486" s="584"/>
      <c r="E486" s="584" t="s">
        <v>62</v>
      </c>
      <c r="F486" s="584"/>
      <c r="G486" s="726"/>
      <c r="H486" s="589"/>
      <c r="I486" s="269"/>
      <c r="J486" s="269"/>
      <c r="K486" s="465"/>
      <c r="L486" s="465"/>
      <c r="M486" s="465"/>
      <c r="N486" s="465"/>
      <c r="O486" s="465"/>
      <c r="P486" s="465"/>
      <c r="Q486" s="541"/>
      <c r="R486" s="541"/>
      <c r="S486" s="541"/>
      <c r="T486" s="541"/>
      <c r="U486" s="541"/>
      <c r="V486" s="541"/>
      <c r="W486" s="541"/>
      <c r="X486" s="541"/>
      <c r="Y486" s="541"/>
      <c r="Z486" s="541"/>
    </row>
    <row r="487" spans="1:26" ht="18.75">
      <c r="A487" s="572"/>
      <c r="B487" s="584"/>
      <c r="C487" s="584"/>
      <c r="D487" s="584"/>
      <c r="E487" s="584"/>
      <c r="F487" s="584" t="s">
        <v>208</v>
      </c>
      <c r="G487" s="726"/>
      <c r="H487" s="589" t="s">
        <v>46</v>
      </c>
      <c r="I487" s="269">
        <f ca="1">IFERROR(__xludf.DUMMYFUNCTION("IMPORTRANGE(""https://docs.google.com/spreadsheets/d/1QqKyyYR6Q21VydFLVH3TRQUabQu_ym0Zz7PgGX0-kHA/edit?usp=sharing"",""แผน!GA28"")"),30)</f>
        <v>30</v>
      </c>
      <c r="J487" s="214">
        <v>0</v>
      </c>
      <c r="K487" s="465">
        <f ca="1">IF(I487&gt;0,J487*100/I487,0)</f>
        <v>0</v>
      </c>
      <c r="L487" s="465"/>
      <c r="M487" s="465"/>
      <c r="N487" s="465"/>
      <c r="O487" s="465"/>
      <c r="P487" s="465"/>
      <c r="Q487" s="541"/>
      <c r="R487" s="541"/>
      <c r="S487" s="541"/>
      <c r="T487" s="541"/>
      <c r="U487" s="541"/>
      <c r="V487" s="541"/>
      <c r="W487" s="541"/>
      <c r="X487" s="541"/>
      <c r="Y487" s="541"/>
      <c r="Z487" s="541"/>
    </row>
    <row r="488" spans="1:26" ht="18.75">
      <c r="A488" s="572"/>
      <c r="B488" s="584"/>
      <c r="C488" s="584"/>
      <c r="D488" s="584"/>
      <c r="E488" s="584"/>
      <c r="F488" s="584" t="s">
        <v>211</v>
      </c>
      <c r="G488" s="726"/>
      <c r="H488" s="589" t="s">
        <v>35</v>
      </c>
      <c r="I488" s="269"/>
      <c r="J488" s="214">
        <v>0</v>
      </c>
      <c r="K488" s="465"/>
      <c r="L488" s="465"/>
      <c r="M488" s="465"/>
      <c r="N488" s="465"/>
      <c r="O488" s="465"/>
      <c r="P488" s="465"/>
      <c r="Q488" s="541"/>
      <c r="R488" s="541"/>
      <c r="S488" s="541"/>
      <c r="T488" s="541"/>
      <c r="U488" s="541"/>
      <c r="V488" s="541"/>
      <c r="W488" s="541"/>
      <c r="X488" s="541"/>
      <c r="Y488" s="541"/>
      <c r="Z488" s="541"/>
    </row>
    <row r="489" spans="1:26" ht="18.75">
      <c r="A489" s="572"/>
      <c r="B489" s="584"/>
      <c r="C489" s="584"/>
      <c r="D489" s="584"/>
      <c r="E489" s="584"/>
      <c r="F489" s="584" t="s">
        <v>212</v>
      </c>
      <c r="G489" s="726"/>
      <c r="H489" s="589" t="s">
        <v>35</v>
      </c>
      <c r="I489" s="269">
        <f ca="1">IFERROR(__xludf.DUMMYFUNCTION("IMPORTRANGE(""https://docs.google.com/spreadsheets/d/1QqKyyYR6Q21VydFLVH3TRQUabQu_ym0Zz7PgGX0-kHA/edit?usp=sharing"",""แผน!GB28"")"),3)</f>
        <v>3</v>
      </c>
      <c r="J489" s="214">
        <v>0</v>
      </c>
      <c r="K489" s="465">
        <f ca="1">IF(I489&gt;0,J489*100/I489,0)</f>
        <v>0</v>
      </c>
      <c r="L489" s="465"/>
      <c r="M489" s="465"/>
      <c r="N489" s="465"/>
      <c r="O489" s="465"/>
      <c r="P489" s="465"/>
      <c r="Q489" s="541"/>
      <c r="R489" s="541"/>
      <c r="S489" s="541"/>
      <c r="T489" s="541"/>
      <c r="U489" s="541"/>
      <c r="V489" s="541"/>
      <c r="W489" s="541"/>
      <c r="X489" s="541"/>
      <c r="Y489" s="541"/>
      <c r="Z489" s="541"/>
    </row>
    <row r="490" spans="1:26" ht="18.75">
      <c r="A490" s="572"/>
      <c r="B490" s="584"/>
      <c r="C490" s="584"/>
      <c r="D490" s="584"/>
      <c r="E490" s="584" t="s">
        <v>63</v>
      </c>
      <c r="F490" s="592"/>
      <c r="G490" s="726"/>
      <c r="H490" s="589"/>
      <c r="I490" s="269"/>
      <c r="J490" s="269"/>
      <c r="K490" s="465"/>
      <c r="L490" s="465"/>
      <c r="M490" s="465"/>
      <c r="N490" s="465"/>
      <c r="O490" s="465"/>
      <c r="P490" s="465"/>
      <c r="Q490" s="541"/>
      <c r="R490" s="541"/>
      <c r="S490" s="541"/>
      <c r="T490" s="541"/>
      <c r="U490" s="541"/>
      <c r="V490" s="541"/>
      <c r="W490" s="541"/>
      <c r="X490" s="541"/>
      <c r="Y490" s="541"/>
      <c r="Z490" s="541"/>
    </row>
    <row r="491" spans="1:26" ht="18.75">
      <c r="A491" s="572"/>
      <c r="B491" s="584"/>
      <c r="C491" s="584"/>
      <c r="D491" s="584"/>
      <c r="E491" s="584"/>
      <c r="F491" s="584" t="s">
        <v>213</v>
      </c>
      <c r="G491" s="726"/>
      <c r="H491" s="589" t="s">
        <v>35</v>
      </c>
      <c r="I491" s="269"/>
      <c r="J491" s="214">
        <v>0</v>
      </c>
      <c r="K491" s="465"/>
      <c r="L491" s="465"/>
      <c r="M491" s="465"/>
      <c r="N491" s="465"/>
      <c r="O491" s="465"/>
      <c r="P491" s="465"/>
      <c r="Q491" s="541"/>
      <c r="R491" s="541"/>
      <c r="S491" s="541"/>
      <c r="T491" s="541"/>
      <c r="U491" s="541"/>
      <c r="V491" s="541"/>
      <c r="W491" s="541"/>
      <c r="X491" s="541"/>
      <c r="Y491" s="541"/>
      <c r="Z491" s="541"/>
    </row>
    <row r="492" spans="1:26" ht="18.75">
      <c r="A492" s="572"/>
      <c r="B492" s="584"/>
      <c r="C492" s="584"/>
      <c r="D492" s="584"/>
      <c r="E492" s="584"/>
      <c r="F492" s="584" t="s">
        <v>214</v>
      </c>
      <c r="G492" s="726"/>
      <c r="H492" s="589" t="s">
        <v>35</v>
      </c>
      <c r="I492" s="269">
        <f ca="1">IFERROR(__xludf.DUMMYFUNCTION("IMPORTRANGE(""https://docs.google.com/spreadsheets/d/1QqKyyYR6Q21VydFLVH3TRQUabQu_ym0Zz7PgGX0-kHA/edit?usp=sharing"",""แผน!GC28"")"),1)</f>
        <v>1</v>
      </c>
      <c r="J492" s="214">
        <v>0</v>
      </c>
      <c r="K492" s="465">
        <f ca="1">IF(I492&gt;0,J492*100/I492,0)</f>
        <v>0</v>
      </c>
      <c r="L492" s="465"/>
      <c r="M492" s="465"/>
      <c r="N492" s="465"/>
      <c r="O492" s="465"/>
      <c r="P492" s="465"/>
      <c r="Q492" s="541"/>
      <c r="R492" s="541"/>
      <c r="S492" s="541"/>
      <c r="T492" s="541"/>
      <c r="U492" s="541"/>
      <c r="V492" s="541"/>
      <c r="W492" s="541"/>
      <c r="X492" s="541"/>
      <c r="Y492" s="541"/>
      <c r="Z492" s="541"/>
    </row>
    <row r="493" spans="1:26" ht="19.5">
      <c r="A493" s="572"/>
      <c r="B493" s="584"/>
      <c r="C493" s="584"/>
      <c r="D493" s="591" t="s">
        <v>59</v>
      </c>
      <c r="E493" s="584"/>
      <c r="F493" s="592"/>
      <c r="G493" s="726"/>
      <c r="H493" s="189"/>
      <c r="I493" s="269"/>
      <c r="J493" s="269"/>
      <c r="K493" s="465"/>
      <c r="L493" s="465"/>
      <c r="M493" s="465"/>
      <c r="N493" s="465"/>
      <c r="O493" s="465"/>
      <c r="P493" s="465"/>
      <c r="Q493" s="541"/>
      <c r="R493" s="541"/>
      <c r="S493" s="541"/>
      <c r="T493" s="541"/>
      <c r="U493" s="541"/>
      <c r="V493" s="541"/>
      <c r="W493" s="541"/>
      <c r="X493" s="541"/>
      <c r="Y493" s="541"/>
      <c r="Z493" s="541"/>
    </row>
    <row r="494" spans="1:26" ht="18.75">
      <c r="A494" s="572"/>
      <c r="B494" s="584"/>
      <c r="C494" s="584"/>
      <c r="D494" s="584"/>
      <c r="E494" s="584" t="s">
        <v>207</v>
      </c>
      <c r="F494" s="592"/>
      <c r="G494" s="726"/>
      <c r="H494" s="189"/>
      <c r="I494" s="269"/>
      <c r="J494" s="269"/>
      <c r="K494" s="465"/>
      <c r="L494" s="465"/>
      <c r="M494" s="465"/>
      <c r="N494" s="465"/>
      <c r="O494" s="465"/>
      <c r="P494" s="465"/>
      <c r="Q494" s="541"/>
      <c r="R494" s="541"/>
      <c r="S494" s="541"/>
      <c r="T494" s="541"/>
      <c r="U494" s="541"/>
      <c r="V494" s="541"/>
      <c r="W494" s="541"/>
      <c r="X494" s="541"/>
      <c r="Y494" s="541"/>
      <c r="Z494" s="541"/>
    </row>
    <row r="495" spans="1:26" ht="18.75">
      <c r="A495" s="572"/>
      <c r="B495" s="584"/>
      <c r="C495" s="584"/>
      <c r="D495" s="584"/>
      <c r="E495" s="584"/>
      <c r="F495" s="592" t="s">
        <v>215</v>
      </c>
      <c r="G495" s="726"/>
      <c r="H495" s="589" t="s">
        <v>46</v>
      </c>
      <c r="I495" s="269">
        <f ca="1">IFERROR(__xludf.DUMMYFUNCTION("IMPORTRANGE(""https://docs.google.com/spreadsheets/d/1QqKyyYR6Q21VydFLVH3TRQUabQu_ym0Zz7PgGX0-kHA/edit?usp=sharing"",""แผน!FY28"")"),270)</f>
        <v>270</v>
      </c>
      <c r="J495" s="214">
        <v>0</v>
      </c>
      <c r="K495" s="465">
        <f ca="1">IF(I495&gt;0,J495*100/I495,0)</f>
        <v>0</v>
      </c>
      <c r="L495" s="465"/>
      <c r="M495" s="465"/>
      <c r="N495" s="465"/>
      <c r="O495" s="465"/>
      <c r="P495" s="465"/>
      <c r="Q495" s="541"/>
      <c r="R495" s="541"/>
      <c r="S495" s="541"/>
      <c r="T495" s="541"/>
      <c r="U495" s="541"/>
      <c r="V495" s="541"/>
      <c r="W495" s="541"/>
      <c r="X495" s="541"/>
      <c r="Y495" s="541"/>
      <c r="Z495" s="541"/>
    </row>
    <row r="496" spans="1:26" ht="18.75">
      <c r="A496" s="572"/>
      <c r="B496" s="584"/>
      <c r="C496" s="584"/>
      <c r="D496" s="584"/>
      <c r="E496" s="584"/>
      <c r="F496" s="592" t="s">
        <v>216</v>
      </c>
      <c r="G496" s="726"/>
      <c r="H496" s="589" t="s">
        <v>46</v>
      </c>
      <c r="I496" s="269"/>
      <c r="J496" s="214">
        <v>0</v>
      </c>
      <c r="K496" s="465"/>
      <c r="L496" s="465"/>
      <c r="M496" s="465"/>
      <c r="N496" s="465"/>
      <c r="O496" s="465"/>
      <c r="P496" s="465"/>
      <c r="Q496" s="541"/>
      <c r="R496" s="541"/>
      <c r="S496" s="541"/>
      <c r="T496" s="541"/>
      <c r="U496" s="541"/>
      <c r="V496" s="541"/>
      <c r="W496" s="541"/>
      <c r="X496" s="541"/>
      <c r="Y496" s="541"/>
      <c r="Z496" s="541"/>
    </row>
    <row r="497" spans="1:26" ht="18.75">
      <c r="A497" s="572"/>
      <c r="B497" s="584"/>
      <c r="C497" s="584"/>
      <c r="D497" s="584"/>
      <c r="E497" s="584" t="s">
        <v>62</v>
      </c>
      <c r="F497" s="592"/>
      <c r="G497" s="726"/>
      <c r="H497" s="189"/>
      <c r="I497" s="269"/>
      <c r="J497" s="269"/>
      <c r="K497" s="465"/>
      <c r="L497" s="465"/>
      <c r="M497" s="465"/>
      <c r="N497" s="465"/>
      <c r="O497" s="465"/>
      <c r="P497" s="465"/>
      <c r="Q497" s="541"/>
      <c r="R497" s="541"/>
      <c r="S497" s="541"/>
      <c r="T497" s="541"/>
      <c r="U497" s="541"/>
      <c r="V497" s="541"/>
      <c r="W497" s="541"/>
      <c r="X497" s="541"/>
      <c r="Y497" s="541"/>
      <c r="Z497" s="541"/>
    </row>
    <row r="498" spans="1:26" ht="18.75">
      <c r="A498" s="572"/>
      <c r="B498" s="584"/>
      <c r="C498" s="584"/>
      <c r="D498" s="584"/>
      <c r="E498" s="592"/>
      <c r="F498" s="592" t="s">
        <v>217</v>
      </c>
      <c r="G498" s="726"/>
      <c r="H498" s="589" t="s">
        <v>46</v>
      </c>
      <c r="I498" s="269">
        <f ca="1">IFERROR(__xludf.DUMMYFUNCTION("IMPORTRANGE(""https://docs.google.com/spreadsheets/d/1QqKyyYR6Q21VydFLVH3TRQUabQu_ym0Zz7PgGX0-kHA/edit?usp=sharing"",""แผน!GA28"")"),30)</f>
        <v>30</v>
      </c>
      <c r="J498" s="214">
        <v>0</v>
      </c>
      <c r="K498" s="465">
        <f ca="1">IF(I498&gt;0,J498*100/I498,0)</f>
        <v>0</v>
      </c>
      <c r="L498" s="465"/>
      <c r="M498" s="465"/>
      <c r="N498" s="465"/>
      <c r="O498" s="465"/>
      <c r="P498" s="465"/>
      <c r="Q498" s="541"/>
      <c r="R498" s="541"/>
      <c r="S498" s="541"/>
      <c r="T498" s="541"/>
      <c r="U498" s="541"/>
      <c r="V498" s="541"/>
      <c r="W498" s="541"/>
      <c r="X498" s="541"/>
      <c r="Y498" s="541"/>
      <c r="Z498" s="541"/>
    </row>
    <row r="499" spans="1:26" ht="18.75">
      <c r="A499" s="572"/>
      <c r="B499" s="584"/>
      <c r="C499" s="584"/>
      <c r="D499" s="584"/>
      <c r="E499" s="592"/>
      <c r="F499" s="592" t="s">
        <v>218</v>
      </c>
      <c r="G499" s="726"/>
      <c r="H499" s="589" t="s">
        <v>46</v>
      </c>
      <c r="I499" s="269"/>
      <c r="J499" s="214">
        <v>0</v>
      </c>
      <c r="K499" s="465"/>
      <c r="L499" s="465"/>
      <c r="M499" s="465"/>
      <c r="N499" s="465"/>
      <c r="O499" s="465"/>
      <c r="P499" s="465"/>
      <c r="Q499" s="541"/>
      <c r="R499" s="541"/>
      <c r="S499" s="541"/>
      <c r="T499" s="541"/>
      <c r="U499" s="541"/>
      <c r="V499" s="541"/>
      <c r="W499" s="541"/>
      <c r="X499" s="541"/>
      <c r="Y499" s="541"/>
      <c r="Z499" s="541"/>
    </row>
    <row r="500" spans="1:26" ht="19.5" hidden="1">
      <c r="A500" s="593">
        <v>4</v>
      </c>
      <c r="B500" s="594" t="s">
        <v>219</v>
      </c>
      <c r="C500" s="595"/>
      <c r="D500" s="596"/>
      <c r="E500" s="596"/>
      <c r="F500" s="596"/>
      <c r="G500" s="597"/>
      <c r="H500" s="598" t="s">
        <v>109</v>
      </c>
      <c r="I500" s="599"/>
      <c r="J500" s="599">
        <f t="shared" ref="J500:J501" si="213">J516</f>
        <v>0</v>
      </c>
      <c r="K500" s="600">
        <f t="shared" ref="K500:K501" si="214">IF(I500&gt;0,J500*100/I500,0)</f>
        <v>0</v>
      </c>
      <c r="L500" s="601"/>
      <c r="M500" s="601"/>
      <c r="N500" s="601"/>
      <c r="O500" s="601"/>
      <c r="P500" s="601"/>
      <c r="Q500" s="568"/>
      <c r="R500" s="568"/>
      <c r="S500" s="568"/>
      <c r="T500" s="568"/>
      <c r="U500" s="568"/>
      <c r="V500" s="568"/>
      <c r="W500" s="568"/>
      <c r="X500" s="568"/>
      <c r="Y500" s="568"/>
      <c r="Z500" s="568"/>
    </row>
    <row r="501" spans="1:26" ht="19.5" hidden="1">
      <c r="A501" s="602"/>
      <c r="B501" s="604" t="s">
        <v>220</v>
      </c>
      <c r="C501" s="604"/>
      <c r="D501" s="605"/>
      <c r="E501" s="605"/>
      <c r="F501" s="605"/>
      <c r="G501" s="606"/>
      <c r="H501" s="607" t="s">
        <v>35</v>
      </c>
      <c r="I501" s="608"/>
      <c r="J501" s="608">
        <f t="shared" si="213"/>
        <v>0</v>
      </c>
      <c r="K501" s="609">
        <f t="shared" si="214"/>
        <v>0</v>
      </c>
      <c r="L501" s="610"/>
      <c r="M501" s="610"/>
      <c r="N501" s="610"/>
      <c r="O501" s="610"/>
      <c r="P501" s="610"/>
      <c r="Q501" s="568"/>
      <c r="R501" s="568"/>
      <c r="S501" s="568"/>
      <c r="T501" s="568"/>
      <c r="U501" s="568"/>
      <c r="V501" s="568"/>
      <c r="W501" s="568"/>
      <c r="X501" s="568"/>
      <c r="Y501" s="568"/>
      <c r="Z501" s="568"/>
    </row>
    <row r="502" spans="1:26" ht="19.5" hidden="1">
      <c r="A502" s="563"/>
      <c r="B502" s="723"/>
      <c r="C502" s="723" t="s">
        <v>16</v>
      </c>
      <c r="D502" s="812" t="s">
        <v>17</v>
      </c>
      <c r="E502" s="805"/>
      <c r="F502" s="805"/>
      <c r="G502" s="567"/>
      <c r="H502" s="612" t="s">
        <v>12</v>
      </c>
      <c r="I502" s="583"/>
      <c r="J502" s="583"/>
      <c r="K502" s="93"/>
      <c r="L502" s="613">
        <f t="shared" ref="L502:N502" si="215">L503+L504</f>
        <v>0</v>
      </c>
      <c r="M502" s="613">
        <f t="shared" si="215"/>
        <v>0</v>
      </c>
      <c r="N502" s="613">
        <f t="shared" si="215"/>
        <v>0</v>
      </c>
      <c r="O502" s="613">
        <f t="shared" ref="O502:O507" si="216">IF(L502&gt;0,N502*100/L502,0)</f>
        <v>0</v>
      </c>
      <c r="P502" s="613">
        <f t="shared" ref="P502:P507" si="217">IF(M502&gt;0,N502*100/M502,0)</f>
        <v>0</v>
      </c>
      <c r="Q502" s="568"/>
      <c r="R502" s="568"/>
      <c r="S502" s="568"/>
      <c r="T502" s="568"/>
      <c r="U502" s="568"/>
      <c r="V502" s="568"/>
      <c r="W502" s="568"/>
      <c r="X502" s="568"/>
      <c r="Y502" s="568"/>
      <c r="Z502" s="568"/>
    </row>
    <row r="503" spans="1:26" ht="18.75" hidden="1">
      <c r="A503" s="563"/>
      <c r="B503" s="723"/>
      <c r="C503" s="723"/>
      <c r="D503" s="684"/>
      <c r="E503" s="723" t="s">
        <v>184</v>
      </c>
      <c r="F503" s="723"/>
      <c r="G503" s="567"/>
      <c r="H503" s="165" t="s">
        <v>12</v>
      </c>
      <c r="I503" s="583"/>
      <c r="J503" s="583"/>
      <c r="K503" s="93"/>
      <c r="L503" s="93">
        <f t="shared" ref="L503:N504" si="218">L506+L513</f>
        <v>0</v>
      </c>
      <c r="M503" s="93">
        <f t="shared" si="218"/>
        <v>0</v>
      </c>
      <c r="N503" s="93">
        <f t="shared" si="218"/>
        <v>0</v>
      </c>
      <c r="O503" s="93">
        <f t="shared" si="216"/>
        <v>0</v>
      </c>
      <c r="P503" s="93">
        <f t="shared" si="217"/>
        <v>0</v>
      </c>
      <c r="Q503" s="568"/>
      <c r="R503" s="568"/>
      <c r="S503" s="568"/>
      <c r="T503" s="568"/>
      <c r="U503" s="568"/>
      <c r="V503" s="568"/>
      <c r="W503" s="568"/>
      <c r="X503" s="568"/>
      <c r="Y503" s="568"/>
      <c r="Z503" s="568"/>
    </row>
    <row r="504" spans="1:26" ht="18.75" hidden="1">
      <c r="A504" s="563"/>
      <c r="B504" s="571"/>
      <c r="C504" s="723"/>
      <c r="D504" s="684"/>
      <c r="E504" s="723" t="s">
        <v>185</v>
      </c>
      <c r="F504" s="723"/>
      <c r="G504" s="567"/>
      <c r="H504" s="165" t="s">
        <v>12</v>
      </c>
      <c r="I504" s="583"/>
      <c r="J504" s="583"/>
      <c r="K504" s="93"/>
      <c r="L504" s="93">
        <f t="shared" si="218"/>
        <v>0</v>
      </c>
      <c r="M504" s="93">
        <f t="shared" si="218"/>
        <v>0</v>
      </c>
      <c r="N504" s="93">
        <f t="shared" si="218"/>
        <v>0</v>
      </c>
      <c r="O504" s="93">
        <f t="shared" si="216"/>
        <v>0</v>
      </c>
      <c r="P504" s="93">
        <f t="shared" si="217"/>
        <v>0</v>
      </c>
      <c r="Q504" s="568"/>
      <c r="R504" s="568"/>
      <c r="S504" s="568"/>
      <c r="T504" s="568"/>
      <c r="U504" s="568"/>
      <c r="V504" s="568"/>
      <c r="W504" s="568"/>
      <c r="X504" s="568"/>
      <c r="Y504" s="568"/>
      <c r="Z504" s="568"/>
    </row>
    <row r="505" spans="1:26" ht="18.75" hidden="1">
      <c r="A505" s="563"/>
      <c r="B505" s="571"/>
      <c r="C505" s="723"/>
      <c r="D505" s="614" t="s">
        <v>20</v>
      </c>
      <c r="E505" s="723"/>
      <c r="F505" s="723"/>
      <c r="G505" s="567"/>
      <c r="H505" s="165" t="s">
        <v>12</v>
      </c>
      <c r="I505" s="166"/>
      <c r="J505" s="166"/>
      <c r="K505" s="167"/>
      <c r="L505" s="93">
        <f t="shared" ref="L505:N505" si="219">L506+L507</f>
        <v>0</v>
      </c>
      <c r="M505" s="93">
        <f t="shared" si="219"/>
        <v>0</v>
      </c>
      <c r="N505" s="93">
        <f t="shared" si="219"/>
        <v>0</v>
      </c>
      <c r="O505" s="93">
        <f t="shared" si="216"/>
        <v>0</v>
      </c>
      <c r="P505" s="93">
        <f t="shared" si="217"/>
        <v>0</v>
      </c>
      <c r="Q505" s="568"/>
      <c r="R505" s="568"/>
      <c r="S505" s="568"/>
      <c r="T505" s="568"/>
      <c r="U505" s="568"/>
      <c r="V505" s="568"/>
      <c r="W505" s="568"/>
      <c r="X505" s="568"/>
      <c r="Y505" s="568"/>
      <c r="Z505" s="568"/>
    </row>
    <row r="506" spans="1:26" ht="18.75" hidden="1">
      <c r="A506" s="563"/>
      <c r="B506" s="571"/>
      <c r="C506" s="723"/>
      <c r="D506" s="684"/>
      <c r="E506" s="723" t="s">
        <v>184</v>
      </c>
      <c r="F506" s="723"/>
      <c r="G506" s="567"/>
      <c r="H506" s="165" t="s">
        <v>12</v>
      </c>
      <c r="I506" s="583"/>
      <c r="J506" s="583"/>
      <c r="K506" s="93"/>
      <c r="L506" s="93">
        <v>0</v>
      </c>
      <c r="M506" s="93">
        <v>0</v>
      </c>
      <c r="N506" s="93">
        <v>0</v>
      </c>
      <c r="O506" s="93">
        <f t="shared" si="216"/>
        <v>0</v>
      </c>
      <c r="P506" s="93">
        <f t="shared" si="217"/>
        <v>0</v>
      </c>
      <c r="Q506" s="568"/>
      <c r="R506" s="568"/>
      <c r="S506" s="568"/>
      <c r="T506" s="568"/>
      <c r="U506" s="568"/>
      <c r="V506" s="568"/>
      <c r="W506" s="568"/>
      <c r="X506" s="568"/>
      <c r="Y506" s="568"/>
      <c r="Z506" s="568"/>
    </row>
    <row r="507" spans="1:26" ht="18.75" hidden="1">
      <c r="A507" s="563"/>
      <c r="B507" s="571"/>
      <c r="C507" s="723"/>
      <c r="D507" s="684"/>
      <c r="E507" s="723" t="s">
        <v>185</v>
      </c>
      <c r="F507" s="723"/>
      <c r="G507" s="567"/>
      <c r="H507" s="165" t="s">
        <v>12</v>
      </c>
      <c r="I507" s="583"/>
      <c r="J507" s="583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6"/>
        <v>0</v>
      </c>
      <c r="P507" s="93">
        <f t="shared" si="217"/>
        <v>0</v>
      </c>
      <c r="Q507" s="568"/>
      <c r="R507" s="568"/>
      <c r="S507" s="568"/>
      <c r="T507" s="568"/>
      <c r="U507" s="568"/>
      <c r="V507" s="568"/>
      <c r="W507" s="568"/>
      <c r="X507" s="568"/>
      <c r="Y507" s="568"/>
      <c r="Z507" s="568"/>
    </row>
    <row r="508" spans="1:26" ht="18.75" hidden="1">
      <c r="A508" s="615"/>
      <c r="B508" s="571"/>
      <c r="C508" s="723"/>
      <c r="D508" s="723"/>
      <c r="E508" s="723"/>
      <c r="F508" s="723" t="s">
        <v>186</v>
      </c>
      <c r="G508" s="567"/>
      <c r="H508" s="165" t="s">
        <v>12</v>
      </c>
      <c r="I508" s="583"/>
      <c r="J508" s="583"/>
      <c r="K508" s="93"/>
      <c r="L508" s="93"/>
      <c r="M508" s="93"/>
      <c r="N508" s="93">
        <v>0</v>
      </c>
      <c r="O508" s="93"/>
      <c r="P508" s="93"/>
      <c r="Q508" s="568"/>
      <c r="R508" s="568"/>
      <c r="S508" s="568"/>
      <c r="T508" s="568"/>
      <c r="U508" s="568"/>
      <c r="V508" s="568"/>
      <c r="W508" s="568"/>
      <c r="X508" s="568"/>
      <c r="Y508" s="568"/>
      <c r="Z508" s="568"/>
    </row>
    <row r="509" spans="1:26" ht="18.75" hidden="1">
      <c r="A509" s="615"/>
      <c r="B509" s="571"/>
      <c r="C509" s="723"/>
      <c r="D509" s="723"/>
      <c r="E509" s="723"/>
      <c r="F509" s="723" t="s">
        <v>187</v>
      </c>
      <c r="G509" s="567"/>
      <c r="H509" s="165" t="s">
        <v>12</v>
      </c>
      <c r="I509" s="583"/>
      <c r="J509" s="583"/>
      <c r="K509" s="93"/>
      <c r="L509" s="93"/>
      <c r="M509" s="93"/>
      <c r="N509" s="93">
        <v>0</v>
      </c>
      <c r="O509" s="93"/>
      <c r="P509" s="93"/>
      <c r="Q509" s="568"/>
      <c r="R509" s="568"/>
      <c r="S509" s="568"/>
      <c r="T509" s="568"/>
      <c r="U509" s="568"/>
      <c r="V509" s="568"/>
      <c r="W509" s="568"/>
      <c r="X509" s="568"/>
      <c r="Y509" s="568"/>
      <c r="Z509" s="568"/>
    </row>
    <row r="510" spans="1:26" ht="18.75" hidden="1">
      <c r="A510" s="615"/>
      <c r="B510" s="571"/>
      <c r="C510" s="571"/>
      <c r="D510" s="571"/>
      <c r="E510" s="723"/>
      <c r="F510" s="723" t="s">
        <v>188</v>
      </c>
      <c r="G510" s="567"/>
      <c r="H510" s="165" t="s">
        <v>12</v>
      </c>
      <c r="I510" s="583"/>
      <c r="J510" s="583"/>
      <c r="K510" s="93"/>
      <c r="L510" s="93"/>
      <c r="M510" s="93"/>
      <c r="N510" s="93">
        <v>0</v>
      </c>
      <c r="O510" s="93"/>
      <c r="P510" s="93"/>
      <c r="Q510" s="568"/>
      <c r="R510" s="568"/>
      <c r="S510" s="568"/>
      <c r="T510" s="568"/>
      <c r="U510" s="568"/>
      <c r="V510" s="568"/>
      <c r="W510" s="568"/>
      <c r="X510" s="568"/>
      <c r="Y510" s="568"/>
      <c r="Z510" s="568"/>
    </row>
    <row r="511" spans="1:26" ht="18.75" hidden="1">
      <c r="A511" s="615"/>
      <c r="B511" s="571"/>
      <c r="C511" s="571"/>
      <c r="D511" s="571"/>
      <c r="E511" s="723"/>
      <c r="F511" s="723" t="s">
        <v>189</v>
      </c>
      <c r="G511" s="567"/>
      <c r="H511" s="165" t="s">
        <v>12</v>
      </c>
      <c r="I511" s="583"/>
      <c r="J511" s="583"/>
      <c r="K511" s="93"/>
      <c r="L511" s="93"/>
      <c r="M511" s="93"/>
      <c r="N511" s="93">
        <v>0</v>
      </c>
      <c r="O511" s="93"/>
      <c r="P511" s="93"/>
      <c r="Q511" s="568"/>
      <c r="R511" s="568"/>
      <c r="S511" s="568"/>
      <c r="T511" s="568"/>
      <c r="U511" s="568"/>
      <c r="V511" s="568"/>
      <c r="W511" s="568"/>
      <c r="X511" s="568"/>
      <c r="Y511" s="568"/>
      <c r="Z511" s="568"/>
    </row>
    <row r="512" spans="1:26" ht="18.75" hidden="1">
      <c r="A512" s="563"/>
      <c r="B512" s="571"/>
      <c r="C512" s="571"/>
      <c r="D512" s="614" t="s">
        <v>21</v>
      </c>
      <c r="E512" s="571"/>
      <c r="F512" s="723"/>
      <c r="G512" s="567"/>
      <c r="H512" s="169" t="s">
        <v>12</v>
      </c>
      <c r="I512" s="166"/>
      <c r="J512" s="166"/>
      <c r="K512" s="167"/>
      <c r="L512" s="93">
        <f t="shared" ref="L512:N512" si="220">L513+L514</f>
        <v>0</v>
      </c>
      <c r="M512" s="93">
        <f t="shared" si="220"/>
        <v>0</v>
      </c>
      <c r="N512" s="93">
        <f t="shared" si="220"/>
        <v>0</v>
      </c>
      <c r="O512" s="93">
        <f t="shared" ref="O512:O514" si="221">IF(L512&gt;0,N512*100/L512,0)</f>
        <v>0</v>
      </c>
      <c r="P512" s="93">
        <f t="shared" ref="P512:P514" si="222">IF(M512&gt;0,N512*100/M512,0)</f>
        <v>0</v>
      </c>
      <c r="Q512" s="568"/>
      <c r="R512" s="568"/>
      <c r="S512" s="568"/>
      <c r="T512" s="568"/>
      <c r="U512" s="568"/>
      <c r="V512" s="568"/>
      <c r="W512" s="568"/>
      <c r="X512" s="568"/>
      <c r="Y512" s="568"/>
      <c r="Z512" s="568"/>
    </row>
    <row r="513" spans="1:26" ht="18.75" hidden="1">
      <c r="A513" s="563"/>
      <c r="B513" s="571"/>
      <c r="C513" s="571"/>
      <c r="D513" s="571"/>
      <c r="E513" s="571" t="s">
        <v>18</v>
      </c>
      <c r="F513" s="723"/>
      <c r="G513" s="567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1"/>
        <v>0</v>
      </c>
      <c r="P513" s="93">
        <f t="shared" si="222"/>
        <v>0</v>
      </c>
      <c r="Q513" s="568"/>
      <c r="R513" s="568"/>
      <c r="S513" s="568"/>
      <c r="T513" s="568"/>
      <c r="U513" s="568"/>
      <c r="V513" s="568"/>
      <c r="W513" s="568"/>
      <c r="X513" s="568"/>
      <c r="Y513" s="568"/>
      <c r="Z513" s="568"/>
    </row>
    <row r="514" spans="1:26" ht="18.75" hidden="1">
      <c r="A514" s="563"/>
      <c r="B514" s="571"/>
      <c r="C514" s="571"/>
      <c r="D514" s="723"/>
      <c r="E514" s="571" t="s">
        <v>19</v>
      </c>
      <c r="F514" s="723"/>
      <c r="G514" s="567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1"/>
        <v>0</v>
      </c>
      <c r="P514" s="93">
        <f t="shared" si="222"/>
        <v>0</v>
      </c>
      <c r="Q514" s="568"/>
      <c r="R514" s="568"/>
      <c r="S514" s="568"/>
      <c r="T514" s="568"/>
      <c r="U514" s="568"/>
      <c r="V514" s="568"/>
      <c r="W514" s="568"/>
      <c r="X514" s="568"/>
      <c r="Y514" s="568"/>
      <c r="Z514" s="568"/>
    </row>
    <row r="515" spans="1:26" ht="19.5" hidden="1">
      <c r="A515" s="578"/>
      <c r="B515" s="580"/>
      <c r="C515" s="571" t="s">
        <v>16</v>
      </c>
      <c r="D515" s="852" t="s">
        <v>38</v>
      </c>
      <c r="E515" s="617"/>
      <c r="F515" s="617"/>
      <c r="G515" s="618"/>
      <c r="H515" s="581"/>
      <c r="I515" s="166"/>
      <c r="J515" s="166"/>
      <c r="K515" s="167"/>
      <c r="L515" s="167"/>
      <c r="M515" s="167"/>
      <c r="N515" s="167"/>
      <c r="O515" s="167"/>
      <c r="P515" s="167"/>
      <c r="Q515" s="568"/>
      <c r="R515" s="568"/>
      <c r="S515" s="568"/>
      <c r="T515" s="568"/>
      <c r="U515" s="568"/>
      <c r="V515" s="568"/>
      <c r="W515" s="568"/>
      <c r="X515" s="568"/>
      <c r="Y515" s="568"/>
      <c r="Z515" s="568"/>
    </row>
    <row r="516" spans="1:26" ht="18.75" hidden="1">
      <c r="A516" s="578"/>
      <c r="B516" s="580"/>
      <c r="C516" s="580"/>
      <c r="D516" s="580" t="s">
        <v>221</v>
      </c>
      <c r="E516" s="684"/>
      <c r="F516" s="684"/>
      <c r="G516" s="581"/>
      <c r="H516" s="619" t="s">
        <v>109</v>
      </c>
      <c r="I516" s="583"/>
      <c r="J516" s="583">
        <v>0</v>
      </c>
      <c r="K516" s="167">
        <f t="shared" ref="K516:K517" si="223">IF(I516&gt;0,J516*100/I516,0)</f>
        <v>0</v>
      </c>
      <c r="L516" s="167"/>
      <c r="M516" s="167"/>
      <c r="N516" s="167"/>
      <c r="O516" s="167"/>
      <c r="P516" s="167"/>
      <c r="Q516" s="568"/>
      <c r="R516" s="568"/>
      <c r="S516" s="568"/>
      <c r="T516" s="568"/>
      <c r="U516" s="568"/>
      <c r="V516" s="568"/>
      <c r="W516" s="568"/>
      <c r="X516" s="568"/>
      <c r="Y516" s="568"/>
      <c r="Z516" s="568"/>
    </row>
    <row r="517" spans="1:26" ht="19.5" hidden="1">
      <c r="A517" s="578"/>
      <c r="B517" s="580"/>
      <c r="C517" s="580"/>
      <c r="D517" s="580" t="s">
        <v>222</v>
      </c>
      <c r="E517" s="684"/>
      <c r="F517" s="684"/>
      <c r="G517" s="581"/>
      <c r="H517" s="620" t="s">
        <v>35</v>
      </c>
      <c r="I517" s="621"/>
      <c r="J517" s="621">
        <f>J518+J519</f>
        <v>0</v>
      </c>
      <c r="K517" s="622">
        <f t="shared" si="223"/>
        <v>0</v>
      </c>
      <c r="L517" s="167"/>
      <c r="M517" s="167"/>
      <c r="N517" s="167"/>
      <c r="O517" s="167"/>
      <c r="P517" s="167"/>
      <c r="Q517" s="568"/>
      <c r="R517" s="568"/>
      <c r="S517" s="568"/>
      <c r="T517" s="568"/>
      <c r="U517" s="568"/>
      <c r="V517" s="568"/>
      <c r="W517" s="568"/>
      <c r="X517" s="568"/>
      <c r="Y517" s="568"/>
      <c r="Z517" s="568"/>
    </row>
    <row r="518" spans="1:26" ht="18.75" hidden="1">
      <c r="A518" s="578"/>
      <c r="B518" s="580"/>
      <c r="C518" s="580"/>
      <c r="D518" s="580"/>
      <c r="E518" s="580" t="s">
        <v>223</v>
      </c>
      <c r="F518" s="684"/>
      <c r="G518" s="581"/>
      <c r="H518" s="582" t="s">
        <v>35</v>
      </c>
      <c r="I518" s="583"/>
      <c r="J518" s="583"/>
      <c r="K518" s="167"/>
      <c r="L518" s="167"/>
      <c r="M518" s="167"/>
      <c r="N518" s="167"/>
      <c r="O518" s="167"/>
      <c r="P518" s="167"/>
      <c r="Q518" s="568"/>
      <c r="R518" s="568"/>
      <c r="S518" s="568"/>
      <c r="T518" s="568"/>
      <c r="U518" s="568"/>
      <c r="V518" s="568"/>
      <c r="W518" s="568"/>
      <c r="X518" s="568"/>
      <c r="Y518" s="568"/>
      <c r="Z518" s="568"/>
    </row>
    <row r="519" spans="1:26" ht="18.75" hidden="1">
      <c r="A519" s="578"/>
      <c r="B519" s="580"/>
      <c r="C519" s="580"/>
      <c r="D519" s="580"/>
      <c r="E519" s="580" t="s">
        <v>224</v>
      </c>
      <c r="F519" s="684"/>
      <c r="G519" s="581"/>
      <c r="H519" s="619" t="s">
        <v>35</v>
      </c>
      <c r="I519" s="583"/>
      <c r="J519" s="583"/>
      <c r="K519" s="167"/>
      <c r="L519" s="167"/>
      <c r="M519" s="167"/>
      <c r="N519" s="167"/>
      <c r="O519" s="167"/>
      <c r="P519" s="167"/>
      <c r="Q519" s="568"/>
      <c r="R519" s="568"/>
      <c r="S519" s="568"/>
      <c r="T519" s="568"/>
      <c r="U519" s="568"/>
      <c r="V519" s="568"/>
      <c r="W519" s="568"/>
      <c r="X519" s="568"/>
      <c r="Y519" s="568"/>
      <c r="Z519" s="568"/>
    </row>
    <row r="520" spans="1:26" ht="19.5">
      <c r="A520" s="623" t="s">
        <v>137</v>
      </c>
      <c r="B520" s="624"/>
      <c r="C520" s="624"/>
      <c r="D520" s="625"/>
      <c r="E520" s="625"/>
      <c r="F520" s="625"/>
      <c r="G520" s="626"/>
      <c r="H520" s="627"/>
      <c r="I520" s="628"/>
      <c r="J520" s="628"/>
      <c r="K520" s="629"/>
      <c r="L520" s="629"/>
      <c r="M520" s="629"/>
      <c r="N520" s="629"/>
      <c r="O520" s="629"/>
      <c r="P520" s="629"/>
    </row>
    <row r="521" spans="1:26" ht="19.5" hidden="1">
      <c r="A521" s="630">
        <v>5</v>
      </c>
      <c r="B521" s="631" t="s">
        <v>225</v>
      </c>
      <c r="C521" s="632"/>
      <c r="D521" s="633"/>
      <c r="E521" s="633"/>
      <c r="F521" s="633"/>
      <c r="G521" s="633"/>
      <c r="H521" s="634"/>
      <c r="I521" s="635"/>
      <c r="J521" s="635"/>
      <c r="K521" s="636"/>
      <c r="L521" s="636"/>
      <c r="M521" s="636"/>
      <c r="N521" s="636"/>
      <c r="O521" s="636"/>
      <c r="P521" s="636"/>
      <c r="Q521" s="541"/>
      <c r="R521" s="541"/>
      <c r="S521" s="541"/>
      <c r="T521" s="541"/>
      <c r="U521" s="541"/>
      <c r="V521" s="541"/>
      <c r="W521" s="541"/>
      <c r="X521" s="541"/>
      <c r="Y521" s="541"/>
      <c r="Z521" s="541"/>
    </row>
    <row r="522" spans="1:26" ht="19.5" hidden="1">
      <c r="A522" s="637"/>
      <c r="B522" s="638" t="s">
        <v>226</v>
      </c>
      <c r="C522" s="639"/>
      <c r="D522" s="639"/>
      <c r="E522" s="639"/>
      <c r="F522" s="639"/>
      <c r="G522" s="640"/>
      <c r="H522" s="641" t="s">
        <v>35</v>
      </c>
      <c r="I522" s="672">
        <f t="shared" ref="I522:J522" ca="1" si="224">I537</f>
        <v>0</v>
      </c>
      <c r="J522" s="672">
        <f t="shared" ca="1" si="224"/>
        <v>0</v>
      </c>
      <c r="K522" s="643">
        <f ca="1">IF(I522&gt;0,J522*100/I522,0)</f>
        <v>0</v>
      </c>
      <c r="L522" s="644"/>
      <c r="M522" s="644"/>
      <c r="N522" s="644"/>
      <c r="O522" s="644"/>
      <c r="P522" s="644"/>
      <c r="Q522" s="541"/>
      <c r="R522" s="541"/>
      <c r="S522" s="541"/>
      <c r="T522" s="541"/>
      <c r="U522" s="541"/>
      <c r="V522" s="541"/>
      <c r="W522" s="541"/>
      <c r="X522" s="541"/>
      <c r="Y522" s="541"/>
      <c r="Z522" s="541"/>
    </row>
    <row r="523" spans="1:26" ht="19.5" hidden="1">
      <c r="A523" s="561"/>
      <c r="B523" s="727"/>
      <c r="C523" s="727" t="s">
        <v>16</v>
      </c>
      <c r="D523" s="811" t="s">
        <v>17</v>
      </c>
      <c r="E523" s="805"/>
      <c r="F523" s="805"/>
      <c r="G523" s="189"/>
      <c r="H523" s="562" t="s">
        <v>12</v>
      </c>
      <c r="I523" s="269"/>
      <c r="J523" s="269"/>
      <c r="K523" s="465"/>
      <c r="L523" s="195">
        <f t="shared" ref="L523:N523" ca="1" si="225">L524+L525</f>
        <v>0</v>
      </c>
      <c r="M523" s="195">
        <f t="shared" si="225"/>
        <v>0</v>
      </c>
      <c r="N523" s="195">
        <f t="shared" si="225"/>
        <v>0</v>
      </c>
      <c r="O523" s="195">
        <f t="shared" ref="O523:O528" ca="1" si="226">IF(L523&gt;0,N523*100/L523,0)</f>
        <v>0</v>
      </c>
      <c r="P523" s="195">
        <f t="shared" ref="P523:P528" si="227">IF(M523&gt;0,N523*100/M523,0)</f>
        <v>0</v>
      </c>
      <c r="Q523" s="541"/>
      <c r="R523" s="541"/>
      <c r="S523" s="541"/>
      <c r="T523" s="541"/>
      <c r="U523" s="541"/>
      <c r="V523" s="541"/>
      <c r="W523" s="541"/>
      <c r="X523" s="541"/>
      <c r="Y523" s="541"/>
      <c r="Z523" s="541"/>
    </row>
    <row r="524" spans="1:26" ht="18.75" hidden="1">
      <c r="A524" s="563"/>
      <c r="B524" s="723"/>
      <c r="C524" s="723"/>
      <c r="D524" s="684"/>
      <c r="E524" s="723" t="s">
        <v>184</v>
      </c>
      <c r="F524" s="723"/>
      <c r="G524" s="567"/>
      <c r="H524" s="165" t="s">
        <v>12</v>
      </c>
      <c r="I524" s="583"/>
      <c r="J524" s="583"/>
      <c r="K524" s="93"/>
      <c r="L524" s="93">
        <f t="shared" ref="L524:N525" si="228">L527+L534</f>
        <v>0</v>
      </c>
      <c r="M524" s="93">
        <f t="shared" si="228"/>
        <v>0</v>
      </c>
      <c r="N524" s="93">
        <f t="shared" si="228"/>
        <v>0</v>
      </c>
      <c r="O524" s="93">
        <f t="shared" si="226"/>
        <v>0</v>
      </c>
      <c r="P524" s="93">
        <f t="shared" si="227"/>
        <v>0</v>
      </c>
      <c r="Q524" s="568"/>
      <c r="R524" s="568"/>
      <c r="S524" s="568"/>
      <c r="T524" s="568"/>
      <c r="U524" s="568"/>
      <c r="V524" s="568"/>
      <c r="W524" s="568"/>
      <c r="X524" s="568"/>
      <c r="Y524" s="568"/>
      <c r="Z524" s="568"/>
    </row>
    <row r="525" spans="1:26" ht="18.75" hidden="1">
      <c r="A525" s="563"/>
      <c r="B525" s="571"/>
      <c r="C525" s="723"/>
      <c r="D525" s="684"/>
      <c r="E525" s="723" t="s">
        <v>185</v>
      </c>
      <c r="F525" s="723"/>
      <c r="G525" s="567"/>
      <c r="H525" s="165" t="s">
        <v>12</v>
      </c>
      <c r="I525" s="583"/>
      <c r="J525" s="583"/>
      <c r="K525" s="93"/>
      <c r="L525" s="93">
        <f t="shared" ca="1" si="228"/>
        <v>0</v>
      </c>
      <c r="M525" s="93">
        <f t="shared" si="228"/>
        <v>0</v>
      </c>
      <c r="N525" s="93">
        <f t="shared" si="228"/>
        <v>0</v>
      </c>
      <c r="O525" s="93">
        <f t="shared" ca="1" si="226"/>
        <v>0</v>
      </c>
      <c r="P525" s="93">
        <f t="shared" si="227"/>
        <v>0</v>
      </c>
      <c r="Q525" s="568"/>
      <c r="R525" s="568"/>
      <c r="S525" s="568"/>
      <c r="T525" s="568"/>
      <c r="U525" s="568"/>
      <c r="V525" s="568"/>
      <c r="W525" s="568"/>
      <c r="X525" s="568"/>
      <c r="Y525" s="568"/>
      <c r="Z525" s="568"/>
    </row>
    <row r="526" spans="1:26" ht="18.75" hidden="1">
      <c r="A526" s="561"/>
      <c r="B526" s="538"/>
      <c r="C526" s="727"/>
      <c r="D526" s="570" t="s">
        <v>20</v>
      </c>
      <c r="E526" s="727"/>
      <c r="F526" s="727"/>
      <c r="G526" s="189"/>
      <c r="H526" s="161" t="s">
        <v>12</v>
      </c>
      <c r="I526" s="184"/>
      <c r="J526" s="184"/>
      <c r="K526" s="163"/>
      <c r="L526" s="465">
        <f t="shared" ref="L526:N526" ca="1" si="229">L527+L528</f>
        <v>0</v>
      </c>
      <c r="M526" s="465">
        <f t="shared" si="229"/>
        <v>0</v>
      </c>
      <c r="N526" s="465">
        <f t="shared" si="229"/>
        <v>0</v>
      </c>
      <c r="O526" s="465">
        <f t="shared" ca="1" si="226"/>
        <v>0</v>
      </c>
      <c r="P526" s="465">
        <f t="shared" si="227"/>
        <v>0</v>
      </c>
      <c r="Q526" s="541"/>
      <c r="R526" s="541"/>
      <c r="S526" s="541"/>
      <c r="T526" s="541"/>
      <c r="U526" s="541"/>
      <c r="V526" s="541"/>
      <c r="W526" s="541"/>
      <c r="X526" s="541"/>
      <c r="Y526" s="541"/>
      <c r="Z526" s="541"/>
    </row>
    <row r="527" spans="1:26" ht="18.75" hidden="1">
      <c r="A527" s="563"/>
      <c r="B527" s="571"/>
      <c r="C527" s="723"/>
      <c r="D527" s="684"/>
      <c r="E527" s="723" t="s">
        <v>184</v>
      </c>
      <c r="F527" s="723"/>
      <c r="G527" s="567"/>
      <c r="H527" s="165" t="s">
        <v>12</v>
      </c>
      <c r="I527" s="583"/>
      <c r="J527" s="583"/>
      <c r="K527" s="93"/>
      <c r="L527" s="93">
        <v>0</v>
      </c>
      <c r="M527" s="93">
        <v>0</v>
      </c>
      <c r="N527" s="93">
        <v>0</v>
      </c>
      <c r="O527" s="93">
        <f t="shared" si="226"/>
        <v>0</v>
      </c>
      <c r="P527" s="93">
        <f t="shared" si="227"/>
        <v>0</v>
      </c>
      <c r="Q527" s="568"/>
      <c r="R527" s="568"/>
      <c r="S527" s="568"/>
      <c r="T527" s="568"/>
      <c r="U527" s="568"/>
      <c r="V527" s="568"/>
      <c r="W527" s="568"/>
      <c r="X527" s="568"/>
      <c r="Y527" s="568"/>
      <c r="Z527" s="568"/>
    </row>
    <row r="528" spans="1:26" ht="18.75" hidden="1">
      <c r="A528" s="563"/>
      <c r="B528" s="571"/>
      <c r="C528" s="723"/>
      <c r="D528" s="684"/>
      <c r="E528" s="723" t="s">
        <v>185</v>
      </c>
      <c r="F528" s="723"/>
      <c r="G528" s="567"/>
      <c r="H528" s="165" t="s">
        <v>12</v>
      </c>
      <c r="I528" s="583"/>
      <c r="J528" s="583"/>
      <c r="K528" s="93"/>
      <c r="L528" s="93">
        <f ca="1">IFERROR(__xludf.DUMMYFUNCTION("IMPORTRANGE(""https://docs.google.com/spreadsheets/d/1QqKyyYR6Q21VydFLVH3TRQUabQu_ym0Zz7PgGX0-kHA/edit?usp=sharing"",""แผน!GQ28"")"),0)</f>
        <v>0</v>
      </c>
      <c r="M528" s="93">
        <v>0</v>
      </c>
      <c r="N528" s="93">
        <f>N529+N530+N531+N532</f>
        <v>0</v>
      </c>
      <c r="O528" s="93">
        <f t="shared" ca="1" si="226"/>
        <v>0</v>
      </c>
      <c r="P528" s="93">
        <f t="shared" si="227"/>
        <v>0</v>
      </c>
      <c r="Q528" s="568"/>
      <c r="R528" s="568"/>
      <c r="S528" s="568"/>
      <c r="T528" s="568"/>
      <c r="U528" s="568"/>
      <c r="V528" s="568"/>
      <c r="W528" s="568"/>
      <c r="X528" s="568"/>
      <c r="Y528" s="568"/>
      <c r="Z528" s="568"/>
    </row>
    <row r="529" spans="1:26" ht="18.75" hidden="1">
      <c r="A529" s="537"/>
      <c r="B529" s="538"/>
      <c r="C529" s="727"/>
      <c r="D529" s="727"/>
      <c r="E529" s="727"/>
      <c r="F529" s="727" t="s">
        <v>186</v>
      </c>
      <c r="G529" s="189"/>
      <c r="H529" s="161" t="s">
        <v>12</v>
      </c>
      <c r="I529" s="269"/>
      <c r="J529" s="269"/>
      <c r="K529" s="465"/>
      <c r="L529" s="465"/>
      <c r="M529" s="465"/>
      <c r="N529" s="789">
        <v>0</v>
      </c>
      <c r="O529" s="465"/>
      <c r="P529" s="465"/>
      <c r="Q529" s="541"/>
      <c r="R529" s="541"/>
      <c r="S529" s="541"/>
      <c r="T529" s="541"/>
      <c r="U529" s="541"/>
      <c r="V529" s="541"/>
      <c r="W529" s="541"/>
      <c r="X529" s="541"/>
      <c r="Y529" s="541"/>
      <c r="Z529" s="541"/>
    </row>
    <row r="530" spans="1:26" ht="18.75" hidden="1">
      <c r="A530" s="537"/>
      <c r="B530" s="538"/>
      <c r="C530" s="727"/>
      <c r="D530" s="727"/>
      <c r="E530" s="727"/>
      <c r="F530" s="727" t="s">
        <v>187</v>
      </c>
      <c r="G530" s="189"/>
      <c r="H530" s="161" t="s">
        <v>12</v>
      </c>
      <c r="I530" s="269"/>
      <c r="J530" s="269"/>
      <c r="K530" s="465"/>
      <c r="L530" s="465"/>
      <c r="M530" s="465"/>
      <c r="N530" s="789">
        <v>0</v>
      </c>
      <c r="O530" s="465"/>
      <c r="P530" s="465"/>
      <c r="Q530" s="541"/>
      <c r="R530" s="541"/>
      <c r="S530" s="541"/>
      <c r="T530" s="541"/>
      <c r="U530" s="541"/>
      <c r="V530" s="541"/>
      <c r="W530" s="541"/>
      <c r="X530" s="541"/>
      <c r="Y530" s="541"/>
      <c r="Z530" s="541"/>
    </row>
    <row r="531" spans="1:26" ht="18.75" hidden="1">
      <c r="A531" s="537"/>
      <c r="B531" s="538"/>
      <c r="C531" s="727"/>
      <c r="D531" s="727"/>
      <c r="E531" s="727"/>
      <c r="F531" s="727" t="s">
        <v>188</v>
      </c>
      <c r="G531" s="189"/>
      <c r="H531" s="161" t="s">
        <v>12</v>
      </c>
      <c r="I531" s="269"/>
      <c r="J531" s="269"/>
      <c r="K531" s="465"/>
      <c r="L531" s="465"/>
      <c r="M531" s="465"/>
      <c r="N531" s="789">
        <v>0</v>
      </c>
      <c r="O531" s="465"/>
      <c r="P531" s="465"/>
      <c r="Q531" s="541"/>
      <c r="R531" s="541"/>
      <c r="S531" s="541"/>
      <c r="T531" s="541"/>
      <c r="U531" s="541"/>
      <c r="V531" s="541"/>
      <c r="W531" s="541"/>
      <c r="X531" s="541"/>
      <c r="Y531" s="541"/>
      <c r="Z531" s="541"/>
    </row>
    <row r="532" spans="1:26" ht="18.75" hidden="1">
      <c r="A532" s="537"/>
      <c r="B532" s="538"/>
      <c r="C532" s="727"/>
      <c r="D532" s="727"/>
      <c r="E532" s="727"/>
      <c r="F532" s="727" t="s">
        <v>189</v>
      </c>
      <c r="G532" s="189"/>
      <c r="H532" s="161" t="s">
        <v>12</v>
      </c>
      <c r="I532" s="269"/>
      <c r="J532" s="269"/>
      <c r="K532" s="465"/>
      <c r="L532" s="465"/>
      <c r="M532" s="465"/>
      <c r="N532" s="789">
        <v>0</v>
      </c>
      <c r="O532" s="465"/>
      <c r="P532" s="465"/>
      <c r="Q532" s="541"/>
      <c r="R532" s="541"/>
      <c r="S532" s="541"/>
      <c r="T532" s="541"/>
      <c r="U532" s="541"/>
      <c r="V532" s="541"/>
      <c r="W532" s="541"/>
      <c r="X532" s="541"/>
      <c r="Y532" s="541"/>
      <c r="Z532" s="541"/>
    </row>
    <row r="533" spans="1:26" ht="18.75" hidden="1">
      <c r="A533" s="561"/>
      <c r="B533" s="538"/>
      <c r="C533" s="727"/>
      <c r="D533" s="570" t="s">
        <v>21</v>
      </c>
      <c r="E533" s="727"/>
      <c r="F533" s="727"/>
      <c r="G533" s="189"/>
      <c r="H533" s="168" t="s">
        <v>12</v>
      </c>
      <c r="I533" s="184"/>
      <c r="J533" s="184"/>
      <c r="K533" s="163"/>
      <c r="L533" s="465">
        <f t="shared" ref="L533:N533" ca="1" si="230">L534+L535</f>
        <v>0</v>
      </c>
      <c r="M533" s="465">
        <f t="shared" si="230"/>
        <v>0</v>
      </c>
      <c r="N533" s="465">
        <f t="shared" si="230"/>
        <v>0</v>
      </c>
      <c r="O533" s="465">
        <f t="shared" ref="O533:O535" ca="1" si="231">IF(L533&gt;0,N533*100/L533,0)</f>
        <v>0</v>
      </c>
      <c r="P533" s="465">
        <f t="shared" ref="P533:P535" si="232">IF(M533&gt;0,N533*100/M533,0)</f>
        <v>0</v>
      </c>
      <c r="Q533" s="541"/>
      <c r="R533" s="541"/>
      <c r="S533" s="541"/>
      <c r="T533" s="541"/>
      <c r="U533" s="541"/>
      <c r="V533" s="541"/>
      <c r="W533" s="541"/>
      <c r="X533" s="541"/>
      <c r="Y533" s="541"/>
      <c r="Z533" s="541"/>
    </row>
    <row r="534" spans="1:26" ht="18.75" hidden="1">
      <c r="A534" s="563"/>
      <c r="B534" s="571"/>
      <c r="C534" s="723"/>
      <c r="D534" s="723"/>
      <c r="E534" s="723" t="s">
        <v>18</v>
      </c>
      <c r="F534" s="723"/>
      <c r="G534" s="567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1"/>
        <v>0</v>
      </c>
      <c r="P534" s="93">
        <f t="shared" si="232"/>
        <v>0</v>
      </c>
      <c r="Q534" s="568"/>
      <c r="R534" s="568"/>
      <c r="S534" s="568"/>
      <c r="T534" s="568"/>
      <c r="U534" s="568"/>
      <c r="V534" s="568"/>
      <c r="W534" s="568"/>
      <c r="X534" s="568"/>
      <c r="Y534" s="568"/>
      <c r="Z534" s="568"/>
    </row>
    <row r="535" spans="1:26" ht="18.75" hidden="1">
      <c r="A535" s="563"/>
      <c r="B535" s="571"/>
      <c r="C535" s="723"/>
      <c r="D535" s="723"/>
      <c r="E535" s="723" t="s">
        <v>19</v>
      </c>
      <c r="F535" s="723"/>
      <c r="G535" s="567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IFERROR(__xludf.DUMMYFUNCTION("IMPORTRANGE(""https://docs.google.com/spreadsheets/d/1QqKyyYR6Q21VydFLVH3TRQUabQu_ym0Zz7PgGX0-kHA/edit?usp=sharing"",""แผน!GT28"")"),0)</f>
        <v>0</v>
      </c>
      <c r="M535" s="93">
        <v>0</v>
      </c>
      <c r="N535" s="93">
        <v>0</v>
      </c>
      <c r="O535" s="93">
        <f t="shared" ca="1" si="231"/>
        <v>0</v>
      </c>
      <c r="P535" s="93">
        <f t="shared" si="232"/>
        <v>0</v>
      </c>
      <c r="Q535" s="568"/>
      <c r="R535" s="568"/>
      <c r="S535" s="568"/>
      <c r="T535" s="568"/>
      <c r="U535" s="568"/>
      <c r="V535" s="568"/>
      <c r="W535" s="568"/>
      <c r="X535" s="568"/>
      <c r="Y535" s="568"/>
      <c r="Z535" s="568"/>
    </row>
    <row r="536" spans="1:26" ht="19.5" hidden="1">
      <c r="A536" s="572"/>
      <c r="B536" s="584"/>
      <c r="C536" s="727" t="s">
        <v>16</v>
      </c>
      <c r="D536" s="853" t="s">
        <v>38</v>
      </c>
      <c r="E536" s="725"/>
      <c r="F536" s="725"/>
      <c r="G536" s="577"/>
      <c r="H536" s="726"/>
      <c r="I536" s="184"/>
      <c r="J536" s="184"/>
      <c r="K536" s="163"/>
      <c r="L536" s="163"/>
      <c r="M536" s="163"/>
      <c r="N536" s="163"/>
      <c r="O536" s="163"/>
      <c r="P536" s="163"/>
      <c r="Q536" s="541"/>
      <c r="R536" s="541"/>
      <c r="S536" s="541"/>
      <c r="T536" s="541"/>
      <c r="U536" s="541"/>
      <c r="V536" s="541"/>
      <c r="W536" s="541"/>
      <c r="X536" s="541"/>
      <c r="Y536" s="541"/>
      <c r="Z536" s="541"/>
    </row>
    <row r="537" spans="1:26" ht="19.5" hidden="1">
      <c r="A537" s="537"/>
      <c r="B537" s="538"/>
      <c r="C537" s="727"/>
      <c r="D537" s="727" t="s">
        <v>227</v>
      </c>
      <c r="E537" s="727"/>
      <c r="F537" s="727"/>
      <c r="G537" s="189"/>
      <c r="H537" s="589" t="s">
        <v>35</v>
      </c>
      <c r="I537" s="647">
        <f ca="1">IFERROR(__xludf.DUMMYFUNCTION("IMPORTRANGE(""https://docs.google.com/spreadsheets/d/1QqKyyYR6Q21VydFLVH3TRQUabQu_ym0Zz7PgGX0-kHA/edit?usp=sharing"",""แผน!GU28"")"),0)</f>
        <v>0</v>
      </c>
      <c r="J537" s="647">
        <f ca="1">IF(AND(J538=I538,J539=I539,J540=I540,J541=I541),I537,0)</f>
        <v>0</v>
      </c>
      <c r="K537" s="465">
        <f t="shared" ref="K537:K543" ca="1" si="233">IF(I537&gt;0,J537*100/I537,0)</f>
        <v>0</v>
      </c>
      <c r="L537" s="465"/>
      <c r="M537" s="465"/>
      <c r="N537" s="465"/>
      <c r="O537" s="465"/>
      <c r="P537" s="465"/>
      <c r="Q537" s="648"/>
      <c r="R537" s="648"/>
      <c r="S537" s="648"/>
      <c r="T537" s="648"/>
      <c r="U537" s="648"/>
      <c r="V537" s="648"/>
      <c r="W537" s="648"/>
      <c r="X537" s="648"/>
      <c r="Y537" s="648"/>
      <c r="Z537" s="648"/>
    </row>
    <row r="538" spans="1:26" ht="18.75" hidden="1">
      <c r="A538" s="537"/>
      <c r="B538" s="538"/>
      <c r="C538" s="727"/>
      <c r="D538" s="727"/>
      <c r="E538" s="727" t="s">
        <v>228</v>
      </c>
      <c r="F538" s="727"/>
      <c r="G538" s="189"/>
      <c r="H538" s="589" t="s">
        <v>35</v>
      </c>
      <c r="I538" s="269">
        <f ca="1">IFERROR(__xludf.DUMMYFUNCTION("IMPORTRANGE(""https://docs.google.com/spreadsheets/d/1QqKyyYR6Q21VydFLVH3TRQUabQu_ym0Zz7PgGX0-kHA/edit?usp=sharing"",""แผน!GV28"")"),0)</f>
        <v>0</v>
      </c>
      <c r="J538" s="214">
        <v>0</v>
      </c>
      <c r="K538" s="465">
        <f t="shared" ca="1" si="233"/>
        <v>0</v>
      </c>
      <c r="L538" s="465"/>
      <c r="M538" s="465"/>
      <c r="N538" s="465"/>
      <c r="O538" s="465"/>
      <c r="P538" s="465"/>
      <c r="Q538" s="648"/>
      <c r="R538" s="648"/>
      <c r="S538" s="648"/>
      <c r="T538" s="648"/>
      <c r="U538" s="648"/>
      <c r="V538" s="648"/>
      <c r="W538" s="648"/>
      <c r="X538" s="648"/>
      <c r="Y538" s="648"/>
      <c r="Z538" s="648"/>
    </row>
    <row r="539" spans="1:26" ht="18.75" hidden="1">
      <c r="A539" s="537"/>
      <c r="B539" s="538"/>
      <c r="C539" s="727"/>
      <c r="D539" s="727"/>
      <c r="E539" s="727" t="s">
        <v>229</v>
      </c>
      <c r="F539" s="727"/>
      <c r="G539" s="189"/>
      <c r="H539" s="589" t="s">
        <v>35</v>
      </c>
      <c r="I539" s="269">
        <f ca="1">IFERROR(__xludf.DUMMYFUNCTION("IMPORTRANGE(""https://docs.google.com/spreadsheets/d/1QqKyyYR6Q21VydFLVH3TRQUabQu_ym0Zz7PgGX0-kHA/edit?usp=sharing"",""แผน!GW28"")"),0)</f>
        <v>0</v>
      </c>
      <c r="J539" s="214">
        <v>0</v>
      </c>
      <c r="K539" s="465">
        <f t="shared" ca="1" si="233"/>
        <v>0</v>
      </c>
      <c r="L539" s="465"/>
      <c r="M539" s="465"/>
      <c r="N539" s="465"/>
      <c r="O539" s="465"/>
      <c r="P539" s="465"/>
      <c r="Q539" s="648"/>
      <c r="R539" s="648"/>
      <c r="S539" s="648"/>
      <c r="T539" s="648"/>
      <c r="U539" s="648"/>
      <c r="V539" s="648"/>
      <c r="W539" s="648"/>
      <c r="X539" s="648"/>
      <c r="Y539" s="648"/>
      <c r="Z539" s="648"/>
    </row>
    <row r="540" spans="1:26" ht="18.75" hidden="1">
      <c r="A540" s="537"/>
      <c r="B540" s="538"/>
      <c r="C540" s="727"/>
      <c r="D540" s="727"/>
      <c r="E540" s="727" t="s">
        <v>230</v>
      </c>
      <c r="F540" s="727"/>
      <c r="G540" s="189"/>
      <c r="H540" s="589" t="s">
        <v>35</v>
      </c>
      <c r="I540" s="269">
        <f ca="1">IFERROR(__xludf.DUMMYFUNCTION("IMPORTRANGE(""https://docs.google.com/spreadsheets/d/1QqKyyYR6Q21VydFLVH3TRQUabQu_ym0Zz7PgGX0-kHA/edit?usp=sharing"",""แผน!GX28"")"),0)</f>
        <v>0</v>
      </c>
      <c r="J540" s="214">
        <v>0</v>
      </c>
      <c r="K540" s="465">
        <f t="shared" ca="1" si="233"/>
        <v>0</v>
      </c>
      <c r="L540" s="465"/>
      <c r="M540" s="465"/>
      <c r="N540" s="465"/>
      <c r="O540" s="465"/>
      <c r="P540" s="465"/>
      <c r="Q540" s="648"/>
      <c r="R540" s="648"/>
      <c r="S540" s="648"/>
      <c r="T540" s="648"/>
      <c r="U540" s="648"/>
      <c r="V540" s="648"/>
      <c r="W540" s="648"/>
      <c r="X540" s="648"/>
      <c r="Y540" s="648"/>
      <c r="Z540" s="648"/>
    </row>
    <row r="541" spans="1:26" ht="18.75" hidden="1">
      <c r="A541" s="537"/>
      <c r="B541" s="538"/>
      <c r="C541" s="727"/>
      <c r="D541" s="727"/>
      <c r="E541" s="733" t="s">
        <v>231</v>
      </c>
      <c r="F541" s="727"/>
      <c r="G541" s="189"/>
      <c r="H541" s="589" t="s">
        <v>35</v>
      </c>
      <c r="I541" s="269">
        <f ca="1">IFERROR(__xludf.DUMMYFUNCTION("IMPORTRANGE(""https://docs.google.com/spreadsheets/d/1QqKyyYR6Q21VydFLVH3TRQUabQu_ym0Zz7PgGX0-kHA/edit?usp=sharing"",""แผน!GY28"")"),0)</f>
        <v>0</v>
      </c>
      <c r="J541" s="214">
        <v>0</v>
      </c>
      <c r="K541" s="465">
        <f t="shared" ca="1" si="233"/>
        <v>0</v>
      </c>
      <c r="L541" s="465"/>
      <c r="M541" s="465"/>
      <c r="N541" s="465"/>
      <c r="O541" s="465"/>
      <c r="P541" s="465"/>
      <c r="Q541" s="648"/>
      <c r="R541" s="648"/>
      <c r="S541" s="648"/>
      <c r="T541" s="648"/>
      <c r="U541" s="648"/>
      <c r="V541" s="648"/>
      <c r="W541" s="648"/>
      <c r="X541" s="648"/>
      <c r="Y541" s="648"/>
      <c r="Z541" s="648"/>
    </row>
    <row r="542" spans="1:26" ht="18.75" hidden="1">
      <c r="A542" s="537"/>
      <c r="B542" s="538"/>
      <c r="C542" s="727"/>
      <c r="D542" s="727" t="s">
        <v>59</v>
      </c>
      <c r="E542" s="727"/>
      <c r="F542" s="727"/>
      <c r="G542" s="189"/>
      <c r="H542" s="589" t="s">
        <v>35</v>
      </c>
      <c r="I542" s="269">
        <f ca="1">IFERROR(__xludf.DUMMYFUNCTION("IMPORTRANGE(""https://docs.google.com/spreadsheets/d/1QqKyyYR6Q21VydFLVH3TRQUabQu_ym0Zz7PgGX0-kHA/edit?usp=sharing"",""แผน!GZ28"")"),0)</f>
        <v>0</v>
      </c>
      <c r="J542" s="214">
        <v>0</v>
      </c>
      <c r="K542" s="465">
        <f t="shared" ca="1" si="233"/>
        <v>0</v>
      </c>
      <c r="L542" s="465"/>
      <c r="M542" s="465"/>
      <c r="N542" s="465"/>
      <c r="O542" s="465"/>
      <c r="P542" s="465"/>
      <c r="Q542" s="648"/>
      <c r="R542" s="648"/>
      <c r="S542" s="648"/>
      <c r="T542" s="648"/>
      <c r="U542" s="648"/>
      <c r="V542" s="648"/>
      <c r="W542" s="648"/>
      <c r="X542" s="648"/>
      <c r="Y542" s="648"/>
      <c r="Z542" s="648"/>
    </row>
    <row r="543" spans="1:26" ht="19.5">
      <c r="A543" s="630">
        <v>6</v>
      </c>
      <c r="B543" s="651" t="s">
        <v>232</v>
      </c>
      <c r="C543" s="633"/>
      <c r="D543" s="633"/>
      <c r="E543" s="633"/>
      <c r="F543" s="633"/>
      <c r="G543" s="634"/>
      <c r="H543" s="652" t="s">
        <v>46</v>
      </c>
      <c r="I543" s="653">
        <f t="shared" ref="I543:J543" ca="1" si="234">I559</f>
        <v>45451</v>
      </c>
      <c r="J543" s="653">
        <f t="shared" si="234"/>
        <v>0</v>
      </c>
      <c r="K543" s="654">
        <f t="shared" ca="1" si="233"/>
        <v>0</v>
      </c>
      <c r="L543" s="636"/>
      <c r="M543" s="636"/>
      <c r="N543" s="636"/>
      <c r="O543" s="636"/>
      <c r="P543" s="636"/>
      <c r="Q543" s="541"/>
      <c r="R543" s="541"/>
      <c r="S543" s="541"/>
      <c r="T543" s="541"/>
      <c r="U543" s="541"/>
      <c r="V543" s="541"/>
      <c r="W543" s="541"/>
      <c r="X543" s="541"/>
      <c r="Y543" s="541"/>
      <c r="Z543" s="541"/>
    </row>
    <row r="544" spans="1:26" ht="19.5">
      <c r="A544" s="655"/>
      <c r="B544" s="656"/>
      <c r="C544" s="656" t="s">
        <v>16</v>
      </c>
      <c r="D544" s="854" t="s">
        <v>17</v>
      </c>
      <c r="E544" s="810"/>
      <c r="F544" s="810"/>
      <c r="G544" s="657"/>
      <c r="H544" s="274" t="s">
        <v>12</v>
      </c>
      <c r="I544" s="388"/>
      <c r="J544" s="388"/>
      <c r="K544" s="154"/>
      <c r="L544" s="155">
        <f t="shared" ref="L544:N544" ca="1" si="235">L545+L546</f>
        <v>475671</v>
      </c>
      <c r="M544" s="155">
        <f t="shared" si="235"/>
        <v>0</v>
      </c>
      <c r="N544" s="155">
        <f t="shared" si="235"/>
        <v>0</v>
      </c>
      <c r="O544" s="155">
        <f t="shared" ref="O544:O549" ca="1" si="236">IF(L544&gt;0,N544*100/L544,0)</f>
        <v>0</v>
      </c>
      <c r="P544" s="155">
        <f t="shared" ref="P544:P549" si="237">IF(M544&gt;0,N544*100/M544,0)</f>
        <v>0</v>
      </c>
      <c r="Q544" s="541"/>
      <c r="R544" s="541"/>
      <c r="S544" s="541"/>
      <c r="T544" s="541"/>
      <c r="U544" s="541"/>
      <c r="V544" s="541"/>
      <c r="W544" s="541"/>
      <c r="X544" s="541"/>
      <c r="Y544" s="541"/>
      <c r="Z544" s="541"/>
    </row>
    <row r="545" spans="1:26" ht="18.75" hidden="1">
      <c r="A545" s="563"/>
      <c r="B545" s="723"/>
      <c r="C545" s="723"/>
      <c r="D545" s="723"/>
      <c r="E545" s="723" t="s">
        <v>184</v>
      </c>
      <c r="F545" s="723"/>
      <c r="G545" s="567"/>
      <c r="H545" s="165" t="s">
        <v>12</v>
      </c>
      <c r="I545" s="583"/>
      <c r="J545" s="583"/>
      <c r="K545" s="93"/>
      <c r="L545" s="93">
        <f t="shared" ref="L545:L546" si="238">L548+L556</f>
        <v>0</v>
      </c>
      <c r="M545" s="93">
        <f t="shared" ref="M545:N546" si="239">M548+M555</f>
        <v>0</v>
      </c>
      <c r="N545" s="93">
        <f t="shared" si="239"/>
        <v>0</v>
      </c>
      <c r="O545" s="93">
        <f t="shared" si="236"/>
        <v>0</v>
      </c>
      <c r="P545" s="93">
        <f t="shared" si="237"/>
        <v>0</v>
      </c>
      <c r="Q545" s="568"/>
      <c r="R545" s="568"/>
      <c r="S545" s="568"/>
      <c r="T545" s="568"/>
      <c r="U545" s="568"/>
      <c r="V545" s="568"/>
      <c r="W545" s="568"/>
      <c r="X545" s="568"/>
      <c r="Y545" s="568"/>
      <c r="Z545" s="568"/>
    </row>
    <row r="546" spans="1:26" ht="18.75" hidden="1">
      <c r="A546" s="563"/>
      <c r="B546" s="571"/>
      <c r="C546" s="723"/>
      <c r="D546" s="723"/>
      <c r="E546" s="723" t="s">
        <v>185</v>
      </c>
      <c r="F546" s="723"/>
      <c r="G546" s="567"/>
      <c r="H546" s="165" t="s">
        <v>12</v>
      </c>
      <c r="I546" s="583"/>
      <c r="J546" s="583"/>
      <c r="K546" s="93"/>
      <c r="L546" s="93">
        <f t="shared" ca="1" si="238"/>
        <v>475671</v>
      </c>
      <c r="M546" s="93">
        <f t="shared" si="239"/>
        <v>0</v>
      </c>
      <c r="N546" s="93">
        <f t="shared" si="239"/>
        <v>0</v>
      </c>
      <c r="O546" s="93">
        <f t="shared" ca="1" si="236"/>
        <v>0</v>
      </c>
      <c r="P546" s="93">
        <f t="shared" si="237"/>
        <v>0</v>
      </c>
      <c r="Q546" s="568"/>
      <c r="R546" s="568"/>
      <c r="S546" s="568"/>
      <c r="T546" s="568"/>
      <c r="U546" s="568"/>
      <c r="V546" s="568"/>
      <c r="W546" s="568"/>
      <c r="X546" s="568"/>
      <c r="Y546" s="568"/>
      <c r="Z546" s="568"/>
    </row>
    <row r="547" spans="1:26" ht="18.75">
      <c r="A547" s="561"/>
      <c r="B547" s="538"/>
      <c r="C547" s="727"/>
      <c r="D547" s="570" t="s">
        <v>20</v>
      </c>
      <c r="E547" s="727"/>
      <c r="F547" s="727"/>
      <c r="G547" s="189"/>
      <c r="H547" s="161" t="s">
        <v>12</v>
      </c>
      <c r="I547" s="184"/>
      <c r="J547" s="184"/>
      <c r="K547" s="163"/>
      <c r="L547" s="465">
        <f t="shared" ref="L547:N547" ca="1" si="240">L548+L549</f>
        <v>475671</v>
      </c>
      <c r="M547" s="465">
        <f t="shared" si="240"/>
        <v>0</v>
      </c>
      <c r="N547" s="465">
        <f t="shared" si="240"/>
        <v>0</v>
      </c>
      <c r="O547" s="465">
        <f t="shared" ca="1" si="236"/>
        <v>0</v>
      </c>
      <c r="P547" s="465">
        <f t="shared" si="237"/>
        <v>0</v>
      </c>
      <c r="Q547" s="541"/>
      <c r="R547" s="541"/>
      <c r="S547" s="541"/>
      <c r="T547" s="541"/>
      <c r="U547" s="541"/>
      <c r="V547" s="541"/>
      <c r="W547" s="541"/>
      <c r="X547" s="541"/>
      <c r="Y547" s="541"/>
      <c r="Z547" s="541"/>
    </row>
    <row r="548" spans="1:26" ht="18.75" hidden="1">
      <c r="A548" s="563"/>
      <c r="B548" s="571"/>
      <c r="C548" s="723"/>
      <c r="D548" s="684"/>
      <c r="E548" s="723" t="s">
        <v>184</v>
      </c>
      <c r="F548" s="723"/>
      <c r="G548" s="567"/>
      <c r="H548" s="165" t="s">
        <v>12</v>
      </c>
      <c r="I548" s="583"/>
      <c r="J548" s="583"/>
      <c r="K548" s="93"/>
      <c r="L548" s="93">
        <v>0</v>
      </c>
      <c r="M548" s="93">
        <v>0</v>
      </c>
      <c r="N548" s="93">
        <v>0</v>
      </c>
      <c r="O548" s="93">
        <f t="shared" si="236"/>
        <v>0</v>
      </c>
      <c r="P548" s="93">
        <f t="shared" si="237"/>
        <v>0</v>
      </c>
      <c r="Q548" s="568"/>
      <c r="R548" s="568"/>
      <c r="S548" s="568"/>
      <c r="T548" s="568"/>
      <c r="U548" s="568"/>
      <c r="V548" s="568"/>
      <c r="W548" s="568"/>
      <c r="X548" s="568"/>
      <c r="Y548" s="568"/>
      <c r="Z548" s="568"/>
    </row>
    <row r="549" spans="1:26" ht="18.75" hidden="1">
      <c r="A549" s="563"/>
      <c r="B549" s="571"/>
      <c r="C549" s="723"/>
      <c r="D549" s="684"/>
      <c r="E549" s="723" t="s">
        <v>185</v>
      </c>
      <c r="F549" s="723"/>
      <c r="G549" s="567"/>
      <c r="H549" s="165" t="s">
        <v>12</v>
      </c>
      <c r="I549" s="583"/>
      <c r="J549" s="583"/>
      <c r="K549" s="93"/>
      <c r="L549" s="93">
        <f ca="1">IFERROR(__xludf.DUMMYFUNCTION("IMPORTRANGE(""https://docs.google.com/spreadsheets/d/1QqKyyYR6Q21VydFLVH3TRQUabQu_ym0Zz7PgGX0-kHA/edit?usp=sharing"",""แผน!HB28"")"),475671)</f>
        <v>475671</v>
      </c>
      <c r="M549" s="93">
        <v>0</v>
      </c>
      <c r="N549" s="93">
        <f>N550+N551+N552+N553+N554</f>
        <v>0</v>
      </c>
      <c r="O549" s="93">
        <f t="shared" ca="1" si="236"/>
        <v>0</v>
      </c>
      <c r="P549" s="93">
        <f t="shared" si="237"/>
        <v>0</v>
      </c>
      <c r="Q549" s="568"/>
      <c r="R549" s="568"/>
      <c r="S549" s="568"/>
      <c r="T549" s="568"/>
      <c r="U549" s="568"/>
      <c r="V549" s="568"/>
      <c r="W549" s="568"/>
      <c r="X549" s="568"/>
      <c r="Y549" s="568"/>
      <c r="Z549" s="568"/>
    </row>
    <row r="550" spans="1:26" ht="18.75">
      <c r="A550" s="537"/>
      <c r="B550" s="538"/>
      <c r="C550" s="727"/>
      <c r="D550" s="727"/>
      <c r="E550" s="727"/>
      <c r="F550" s="727" t="s">
        <v>186</v>
      </c>
      <c r="G550" s="189"/>
      <c r="H550" s="161" t="s">
        <v>12</v>
      </c>
      <c r="I550" s="269"/>
      <c r="J550" s="269"/>
      <c r="K550" s="465"/>
      <c r="L550" s="465"/>
      <c r="M550" s="465"/>
      <c r="N550" s="789">
        <v>0</v>
      </c>
      <c r="O550" s="465"/>
      <c r="P550" s="465"/>
      <c r="Q550" s="541"/>
      <c r="R550" s="541"/>
      <c r="S550" s="541"/>
      <c r="T550" s="541"/>
      <c r="U550" s="541"/>
      <c r="V550" s="541"/>
      <c r="W550" s="541"/>
      <c r="X550" s="541"/>
      <c r="Y550" s="541"/>
      <c r="Z550" s="541"/>
    </row>
    <row r="551" spans="1:26" ht="18.75">
      <c r="A551" s="537"/>
      <c r="B551" s="538"/>
      <c r="C551" s="538"/>
      <c r="D551" s="538"/>
      <c r="E551" s="727"/>
      <c r="F551" s="727" t="s">
        <v>187</v>
      </c>
      <c r="G551" s="189"/>
      <c r="H551" s="161" t="s">
        <v>12</v>
      </c>
      <c r="I551" s="269"/>
      <c r="J551" s="269"/>
      <c r="K551" s="465"/>
      <c r="L551" s="465"/>
      <c r="M551" s="465"/>
      <c r="N551" s="789">
        <v>0</v>
      </c>
      <c r="O551" s="465"/>
      <c r="P551" s="465"/>
      <c r="Q551" s="541"/>
      <c r="R551" s="541"/>
      <c r="S551" s="541"/>
      <c r="T551" s="541"/>
      <c r="U551" s="541"/>
      <c r="V551" s="541"/>
      <c r="W551" s="541"/>
      <c r="X551" s="541"/>
      <c r="Y551" s="541"/>
      <c r="Z551" s="541"/>
    </row>
    <row r="552" spans="1:26" ht="18.75">
      <c r="A552" s="537"/>
      <c r="B552" s="538"/>
      <c r="C552" s="727"/>
      <c r="D552" s="727"/>
      <c r="E552" s="727"/>
      <c r="F552" s="727" t="s">
        <v>188</v>
      </c>
      <c r="G552" s="189"/>
      <c r="H552" s="161" t="s">
        <v>12</v>
      </c>
      <c r="I552" s="269"/>
      <c r="J552" s="269"/>
      <c r="K552" s="465"/>
      <c r="L552" s="465"/>
      <c r="M552" s="465"/>
      <c r="N552" s="789">
        <v>0</v>
      </c>
      <c r="O552" s="465"/>
      <c r="P552" s="465"/>
      <c r="Q552" s="541"/>
      <c r="R552" s="541"/>
      <c r="S552" s="541"/>
      <c r="T552" s="541"/>
      <c r="U552" s="541"/>
      <c r="V552" s="541"/>
      <c r="W552" s="541"/>
      <c r="X552" s="541"/>
      <c r="Y552" s="541"/>
      <c r="Z552" s="541"/>
    </row>
    <row r="553" spans="1:26" ht="18.75">
      <c r="A553" s="537"/>
      <c r="B553" s="538"/>
      <c r="C553" s="538"/>
      <c r="D553" s="538"/>
      <c r="E553" s="727"/>
      <c r="F553" s="727" t="s">
        <v>189</v>
      </c>
      <c r="G553" s="189"/>
      <c r="H553" s="161" t="s">
        <v>12</v>
      </c>
      <c r="I553" s="269"/>
      <c r="J553" s="269"/>
      <c r="K553" s="465"/>
      <c r="L553" s="465"/>
      <c r="M553" s="465"/>
      <c r="N553" s="789">
        <v>0</v>
      </c>
      <c r="O553" s="465"/>
      <c r="P553" s="465"/>
      <c r="Q553" s="541"/>
      <c r="R553" s="541"/>
      <c r="S553" s="541"/>
      <c r="T553" s="541"/>
      <c r="U553" s="541"/>
      <c r="V553" s="541"/>
      <c r="W553" s="541"/>
      <c r="X553" s="541"/>
      <c r="Y553" s="541"/>
      <c r="Z553" s="541"/>
    </row>
    <row r="554" spans="1:26" ht="18.75">
      <c r="A554" s="537"/>
      <c r="B554" s="538"/>
      <c r="C554" s="538"/>
      <c r="D554" s="538"/>
      <c r="E554" s="727"/>
      <c r="F554" s="727" t="s">
        <v>233</v>
      </c>
      <c r="G554" s="189"/>
      <c r="H554" s="161" t="s">
        <v>12</v>
      </c>
      <c r="I554" s="269"/>
      <c r="J554" s="269"/>
      <c r="K554" s="465"/>
      <c r="L554" s="465"/>
      <c r="M554" s="465"/>
      <c r="N554" s="789">
        <v>0</v>
      </c>
      <c r="O554" s="465"/>
      <c r="P554" s="465"/>
      <c r="Q554" s="541"/>
      <c r="R554" s="541"/>
      <c r="S554" s="541"/>
      <c r="T554" s="541"/>
      <c r="U554" s="541"/>
      <c r="V554" s="541"/>
      <c r="W554" s="541"/>
      <c r="X554" s="541"/>
      <c r="Y554" s="541"/>
      <c r="Z554" s="541"/>
    </row>
    <row r="555" spans="1:26" ht="18.75">
      <c r="A555" s="561"/>
      <c r="B555" s="538"/>
      <c r="C555" s="538"/>
      <c r="D555" s="570" t="s">
        <v>21</v>
      </c>
      <c r="E555" s="727"/>
      <c r="F555" s="727"/>
      <c r="G555" s="189"/>
      <c r="H555" s="168" t="s">
        <v>12</v>
      </c>
      <c r="I555" s="184"/>
      <c r="J555" s="184"/>
      <c r="K555" s="163"/>
      <c r="L555" s="465">
        <f t="shared" ref="L555:N555" ca="1" si="241">L556+L557</f>
        <v>0</v>
      </c>
      <c r="M555" s="465">
        <f t="shared" si="241"/>
        <v>0</v>
      </c>
      <c r="N555" s="465">
        <f t="shared" si="241"/>
        <v>0</v>
      </c>
      <c r="O555" s="465">
        <f t="shared" ref="O555:O557" ca="1" si="242">IF(L555&gt;0,N555*100/L555,0)</f>
        <v>0</v>
      </c>
      <c r="P555" s="465">
        <f t="shared" ref="P555:P557" si="243">IF(M555&gt;0,N555*100/M555,0)</f>
        <v>0</v>
      </c>
      <c r="Q555" s="541"/>
      <c r="R555" s="541"/>
      <c r="S555" s="541"/>
      <c r="T555" s="541"/>
      <c r="U555" s="541"/>
      <c r="V555" s="541"/>
      <c r="W555" s="541"/>
      <c r="X555" s="541"/>
      <c r="Y555" s="541"/>
      <c r="Z555" s="541"/>
    </row>
    <row r="556" spans="1:26" ht="18.75" hidden="1">
      <c r="A556" s="563"/>
      <c r="B556" s="571"/>
      <c r="C556" s="571"/>
      <c r="D556" s="723"/>
      <c r="E556" s="723" t="s">
        <v>18</v>
      </c>
      <c r="F556" s="723"/>
      <c r="G556" s="567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2"/>
        <v>0</v>
      </c>
      <c r="P556" s="93">
        <f t="shared" si="243"/>
        <v>0</v>
      </c>
      <c r="Q556" s="568"/>
      <c r="R556" s="568"/>
      <c r="S556" s="568"/>
      <c r="T556" s="568"/>
      <c r="U556" s="568"/>
      <c r="V556" s="568"/>
      <c r="W556" s="568"/>
      <c r="X556" s="568"/>
      <c r="Y556" s="568"/>
      <c r="Z556" s="568"/>
    </row>
    <row r="557" spans="1:26" ht="18.75" hidden="1">
      <c r="A557" s="563"/>
      <c r="B557" s="571"/>
      <c r="C557" s="571"/>
      <c r="D557" s="723"/>
      <c r="E557" s="723" t="s">
        <v>19</v>
      </c>
      <c r="F557" s="723"/>
      <c r="G557" s="567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IFERROR(__xludf.DUMMYFUNCTION("IMPORTRANGE(""https://docs.google.com/spreadsheets/d/1QqKyyYR6Q21VydFLVH3TRQUabQu_ym0Zz7PgGX0-kHA/edit?usp=sharing"",""แผน!HF28"")"),0)</f>
        <v>0</v>
      </c>
      <c r="M557" s="93">
        <v>0</v>
      </c>
      <c r="N557" s="93">
        <v>0</v>
      </c>
      <c r="O557" s="93">
        <f t="shared" ca="1" si="242"/>
        <v>0</v>
      </c>
      <c r="P557" s="93">
        <f t="shared" si="243"/>
        <v>0</v>
      </c>
      <c r="Q557" s="568"/>
      <c r="R557" s="568"/>
      <c r="S557" s="568"/>
      <c r="T557" s="568"/>
      <c r="U557" s="568"/>
      <c r="V557" s="568"/>
      <c r="W557" s="568"/>
      <c r="X557" s="568"/>
      <c r="Y557" s="568"/>
      <c r="Z557" s="568"/>
    </row>
    <row r="558" spans="1:26" ht="19.5">
      <c r="A558" s="572"/>
      <c r="B558" s="584"/>
      <c r="C558" s="538" t="s">
        <v>16</v>
      </c>
      <c r="D558" s="853" t="s">
        <v>38</v>
      </c>
      <c r="E558" s="725"/>
      <c r="F558" s="725"/>
      <c r="G558" s="577"/>
      <c r="H558" s="726"/>
      <c r="I558" s="184"/>
      <c r="J558" s="184"/>
      <c r="K558" s="163"/>
      <c r="L558" s="163"/>
      <c r="M558" s="163"/>
      <c r="N558" s="163"/>
      <c r="O558" s="163"/>
      <c r="P558" s="163"/>
      <c r="Q558" s="541"/>
      <c r="R558" s="541"/>
      <c r="S558" s="541"/>
      <c r="T558" s="541"/>
      <c r="U558" s="541"/>
      <c r="V558" s="541"/>
      <c r="W558" s="541"/>
      <c r="X558" s="541"/>
      <c r="Y558" s="541"/>
      <c r="Z558" s="541"/>
    </row>
    <row r="559" spans="1:26" ht="19.5">
      <c r="A559" s="658"/>
      <c r="B559" s="659" t="s">
        <v>234</v>
      </c>
      <c r="C559" s="660"/>
      <c r="D559" s="660"/>
      <c r="E559" s="639"/>
      <c r="F559" s="639"/>
      <c r="G559" s="640"/>
      <c r="H559" s="661" t="s">
        <v>46</v>
      </c>
      <c r="I559" s="672">
        <f t="shared" ref="I559:J559" ca="1" si="244">I576</f>
        <v>45451</v>
      </c>
      <c r="J559" s="672">
        <f t="shared" si="244"/>
        <v>0</v>
      </c>
      <c r="K559" s="643">
        <f t="shared" ref="K559:K561" ca="1" si="245">IF(I559&gt;0,J559*100/I559,0)</f>
        <v>0</v>
      </c>
      <c r="L559" s="644"/>
      <c r="M559" s="644"/>
      <c r="N559" s="644"/>
      <c r="O559" s="644"/>
      <c r="P559" s="644"/>
      <c r="Q559" s="541"/>
      <c r="R559" s="541"/>
      <c r="S559" s="541"/>
      <c r="T559" s="541"/>
      <c r="U559" s="541"/>
      <c r="V559" s="541"/>
      <c r="W559" s="541"/>
      <c r="X559" s="541"/>
      <c r="Y559" s="541"/>
      <c r="Z559" s="541"/>
    </row>
    <row r="560" spans="1:26" ht="19.5">
      <c r="A560" s="572"/>
      <c r="B560" s="584"/>
      <c r="C560" s="591" t="s">
        <v>235</v>
      </c>
      <c r="D560" s="584"/>
      <c r="E560" s="592"/>
      <c r="F560" s="592"/>
      <c r="G560" s="726"/>
      <c r="H560" s="731" t="s">
        <v>46</v>
      </c>
      <c r="I560" s="193">
        <f ca="1">IFERROR(__xludf.DUMMYFUNCTION("IMPORTRANGE(""https://docs.google.com/spreadsheets/d/1QqKyyYR6Q21VydFLVH3TRQUabQu_ym0Zz7PgGX0-kHA/edit?usp=sharing"",""แผน!HH28"")"),45451)</f>
        <v>45451</v>
      </c>
      <c r="J560" s="193">
        <f t="shared" ref="J560:J561" si="246">J562+J564+J566</f>
        <v>0</v>
      </c>
      <c r="K560" s="379">
        <f t="shared" ca="1" si="245"/>
        <v>0</v>
      </c>
      <c r="L560" s="163"/>
      <c r="M560" s="163"/>
      <c r="N560" s="163"/>
      <c r="O560" s="163"/>
      <c r="P560" s="163"/>
      <c r="Q560" s="541"/>
      <c r="R560" s="541"/>
      <c r="S560" s="541"/>
      <c r="T560" s="541"/>
      <c r="U560" s="541"/>
      <c r="V560" s="541"/>
      <c r="W560" s="541"/>
      <c r="X560" s="541"/>
      <c r="Y560" s="541"/>
      <c r="Z560" s="541"/>
    </row>
    <row r="561" spans="1:26" ht="19.5">
      <c r="A561" s="572"/>
      <c r="B561" s="584"/>
      <c r="C561" s="584"/>
      <c r="D561" s="592"/>
      <c r="E561" s="592"/>
      <c r="F561" s="592"/>
      <c r="G561" s="726"/>
      <c r="H561" s="731" t="s">
        <v>34</v>
      </c>
      <c r="I561" s="193">
        <f ca="1">IFERROR(__xludf.DUMMYFUNCTION("IMPORTRANGE(""https://docs.google.com/spreadsheets/d/1QqKyyYR6Q21VydFLVH3TRQUabQu_ym0Zz7PgGX0-kHA/edit?usp=sharing"",""แผน!HG28"")"),5250)</f>
        <v>5250</v>
      </c>
      <c r="J561" s="193">
        <f t="shared" si="246"/>
        <v>0</v>
      </c>
      <c r="K561" s="379">
        <f t="shared" ca="1" si="245"/>
        <v>0</v>
      </c>
      <c r="L561" s="163"/>
      <c r="M561" s="163"/>
      <c r="N561" s="163"/>
      <c r="O561" s="163"/>
      <c r="P561" s="163"/>
      <c r="Q561" s="541"/>
      <c r="R561" s="541"/>
      <c r="S561" s="541"/>
      <c r="T561" s="541"/>
      <c r="U561" s="541"/>
      <c r="V561" s="541"/>
      <c r="W561" s="541"/>
      <c r="X561" s="541"/>
      <c r="Y561" s="541"/>
      <c r="Z561" s="541"/>
    </row>
    <row r="562" spans="1:26" ht="18.75">
      <c r="A562" s="572"/>
      <c r="B562" s="584"/>
      <c r="C562" s="584"/>
      <c r="D562" s="592" t="s">
        <v>236</v>
      </c>
      <c r="E562" s="592"/>
      <c r="F562" s="592"/>
      <c r="G562" s="726"/>
      <c r="H562" s="728" t="s">
        <v>46</v>
      </c>
      <c r="I562" s="184"/>
      <c r="J562" s="214">
        <v>0</v>
      </c>
      <c r="K562" s="163"/>
      <c r="L562" s="163"/>
      <c r="M562" s="163"/>
      <c r="N562" s="163"/>
      <c r="O562" s="163"/>
      <c r="P562" s="163"/>
      <c r="Q562" s="541"/>
      <c r="R562" s="541"/>
      <c r="S562" s="541"/>
      <c r="T562" s="541"/>
      <c r="U562" s="541"/>
      <c r="V562" s="541"/>
      <c r="W562" s="541"/>
      <c r="X562" s="541"/>
      <c r="Y562" s="541"/>
      <c r="Z562" s="541"/>
    </row>
    <row r="563" spans="1:26" ht="18.75">
      <c r="A563" s="572"/>
      <c r="B563" s="584"/>
      <c r="C563" s="584"/>
      <c r="D563" s="584"/>
      <c r="E563" s="592"/>
      <c r="F563" s="592"/>
      <c r="G563" s="726"/>
      <c r="H563" s="728" t="s">
        <v>34</v>
      </c>
      <c r="I563" s="184"/>
      <c r="J563" s="214">
        <v>0</v>
      </c>
      <c r="K563" s="163"/>
      <c r="L563" s="163"/>
      <c r="M563" s="163"/>
      <c r="N563" s="163"/>
      <c r="O563" s="163"/>
      <c r="P563" s="163"/>
      <c r="Q563" s="541"/>
      <c r="R563" s="541"/>
      <c r="S563" s="541"/>
      <c r="T563" s="541"/>
      <c r="U563" s="541"/>
      <c r="V563" s="541"/>
      <c r="W563" s="541"/>
      <c r="X563" s="541"/>
      <c r="Y563" s="541"/>
      <c r="Z563" s="541"/>
    </row>
    <row r="564" spans="1:26" ht="18.75">
      <c r="A564" s="572"/>
      <c r="B564" s="584"/>
      <c r="C564" s="584"/>
      <c r="D564" s="592" t="s">
        <v>237</v>
      </c>
      <c r="E564" s="592"/>
      <c r="F564" s="592"/>
      <c r="G564" s="726"/>
      <c r="H564" s="728" t="s">
        <v>46</v>
      </c>
      <c r="I564" s="184"/>
      <c r="J564" s="214">
        <v>0</v>
      </c>
      <c r="K564" s="163"/>
      <c r="L564" s="163"/>
      <c r="M564" s="163"/>
      <c r="N564" s="163"/>
      <c r="O564" s="163"/>
      <c r="P564" s="163"/>
      <c r="Q564" s="541"/>
      <c r="R564" s="541"/>
      <c r="S564" s="541"/>
      <c r="T564" s="541"/>
      <c r="U564" s="541"/>
      <c r="V564" s="541"/>
      <c r="W564" s="541"/>
      <c r="X564" s="541"/>
      <c r="Y564" s="541"/>
      <c r="Z564" s="541"/>
    </row>
    <row r="565" spans="1:26" ht="18.75">
      <c r="A565" s="572"/>
      <c r="B565" s="584"/>
      <c r="C565" s="584"/>
      <c r="D565" s="592"/>
      <c r="E565" s="592"/>
      <c r="F565" s="592"/>
      <c r="G565" s="726"/>
      <c r="H565" s="728" t="s">
        <v>34</v>
      </c>
      <c r="I565" s="184"/>
      <c r="J565" s="214">
        <v>0</v>
      </c>
      <c r="K565" s="163"/>
      <c r="L565" s="163"/>
      <c r="M565" s="163"/>
      <c r="N565" s="163"/>
      <c r="O565" s="163"/>
      <c r="P565" s="163"/>
      <c r="Q565" s="541"/>
      <c r="R565" s="541"/>
      <c r="S565" s="541"/>
      <c r="T565" s="541"/>
      <c r="U565" s="541"/>
      <c r="V565" s="541"/>
      <c r="W565" s="541"/>
      <c r="X565" s="541"/>
      <c r="Y565" s="541"/>
      <c r="Z565" s="541"/>
    </row>
    <row r="566" spans="1:26" ht="18.75">
      <c r="A566" s="572"/>
      <c r="B566" s="584"/>
      <c r="C566" s="584"/>
      <c r="D566" s="592" t="s">
        <v>238</v>
      </c>
      <c r="E566" s="592"/>
      <c r="F566" s="592"/>
      <c r="G566" s="726"/>
      <c r="H566" s="728" t="s">
        <v>46</v>
      </c>
      <c r="I566" s="184"/>
      <c r="J566" s="214">
        <v>0</v>
      </c>
      <c r="K566" s="163"/>
      <c r="L566" s="163"/>
      <c r="M566" s="163"/>
      <c r="N566" s="163"/>
      <c r="O566" s="163"/>
      <c r="P566" s="163"/>
      <c r="Q566" s="541"/>
      <c r="R566" s="541"/>
      <c r="S566" s="541"/>
      <c r="T566" s="541"/>
      <c r="U566" s="541"/>
      <c r="V566" s="541"/>
      <c r="W566" s="541"/>
      <c r="X566" s="541"/>
      <c r="Y566" s="541"/>
      <c r="Z566" s="541"/>
    </row>
    <row r="567" spans="1:26" ht="18.75">
      <c r="A567" s="572"/>
      <c r="B567" s="584"/>
      <c r="C567" s="584"/>
      <c r="D567" s="592"/>
      <c r="E567" s="592"/>
      <c r="F567" s="592"/>
      <c r="G567" s="726"/>
      <c r="H567" s="728" t="s">
        <v>34</v>
      </c>
      <c r="I567" s="184"/>
      <c r="J567" s="214">
        <v>0</v>
      </c>
      <c r="K567" s="163"/>
      <c r="L567" s="163"/>
      <c r="M567" s="163"/>
      <c r="N567" s="163"/>
      <c r="O567" s="163"/>
      <c r="P567" s="163"/>
      <c r="Q567" s="541"/>
      <c r="R567" s="541"/>
      <c r="S567" s="541"/>
      <c r="T567" s="541"/>
      <c r="U567" s="541"/>
      <c r="V567" s="541"/>
      <c r="W567" s="541"/>
      <c r="X567" s="541"/>
      <c r="Y567" s="541"/>
      <c r="Z567" s="541"/>
    </row>
    <row r="568" spans="1:26" ht="19.5">
      <c r="A568" s="572"/>
      <c r="B568" s="584"/>
      <c r="C568" s="591" t="s">
        <v>239</v>
      </c>
      <c r="D568" s="592"/>
      <c r="E568" s="592"/>
      <c r="F568" s="592"/>
      <c r="G568" s="726"/>
      <c r="H568" s="731" t="s">
        <v>46</v>
      </c>
      <c r="I568" s="193">
        <f ca="1">IFERROR(__xludf.DUMMYFUNCTION("IMPORTRANGE(""https://docs.google.com/spreadsheets/d/1QqKyyYR6Q21VydFLVH3TRQUabQu_ym0Zz7PgGX0-kHA/edit?usp=sharing"",""แผน!HH28"")"),45451)</f>
        <v>45451</v>
      </c>
      <c r="J568" s="647">
        <f t="shared" ref="J568:J569" si="247">J570+J572+J574</f>
        <v>0</v>
      </c>
      <c r="K568" s="379">
        <f t="shared" ref="K568:K569" ca="1" si="248">IF(I568&gt;0,J568*100/I568,0)</f>
        <v>0</v>
      </c>
      <c r="L568" s="163"/>
      <c r="M568" s="163"/>
      <c r="N568" s="163"/>
      <c r="O568" s="163"/>
      <c r="P568" s="163"/>
      <c r="Q568" s="541"/>
      <c r="R568" s="541"/>
      <c r="S568" s="541"/>
      <c r="T568" s="541"/>
      <c r="U568" s="541"/>
      <c r="V568" s="541"/>
      <c r="W568" s="541"/>
      <c r="X568" s="541"/>
      <c r="Y568" s="541"/>
      <c r="Z568" s="541"/>
    </row>
    <row r="569" spans="1:26" ht="19.5">
      <c r="A569" s="572"/>
      <c r="B569" s="584"/>
      <c r="C569" s="584"/>
      <c r="D569" s="584"/>
      <c r="E569" s="592"/>
      <c r="F569" s="592"/>
      <c r="G569" s="726"/>
      <c r="H569" s="731" t="s">
        <v>34</v>
      </c>
      <c r="I569" s="193">
        <f ca="1">IFERROR(__xludf.DUMMYFUNCTION("IMPORTRANGE(""https://docs.google.com/spreadsheets/d/1QqKyyYR6Q21VydFLVH3TRQUabQu_ym0Zz7PgGX0-kHA/edit?usp=sharing"",""แผน!HG28"")"),5250)</f>
        <v>5250</v>
      </c>
      <c r="J569" s="647">
        <f t="shared" si="247"/>
        <v>0</v>
      </c>
      <c r="K569" s="379">
        <f t="shared" ca="1" si="248"/>
        <v>0</v>
      </c>
      <c r="L569" s="163"/>
      <c r="M569" s="163"/>
      <c r="N569" s="163"/>
      <c r="O569" s="163"/>
      <c r="P569" s="163"/>
      <c r="Q569" s="541"/>
      <c r="R569" s="541"/>
      <c r="S569" s="541"/>
      <c r="T569" s="541"/>
      <c r="U569" s="541"/>
      <c r="V569" s="541"/>
      <c r="W569" s="541"/>
      <c r="X569" s="541"/>
      <c r="Y569" s="541"/>
      <c r="Z569" s="541"/>
    </row>
    <row r="570" spans="1:26" ht="18.75">
      <c r="A570" s="572"/>
      <c r="B570" s="584"/>
      <c r="C570" s="584"/>
      <c r="D570" s="592" t="s">
        <v>240</v>
      </c>
      <c r="E570" s="584"/>
      <c r="F570" s="592"/>
      <c r="G570" s="726"/>
      <c r="H570" s="728" t="s">
        <v>46</v>
      </c>
      <c r="I570" s="184"/>
      <c r="J570" s="214">
        <v>0</v>
      </c>
      <c r="K570" s="163"/>
      <c r="L570" s="163"/>
      <c r="M570" s="163"/>
      <c r="N570" s="163"/>
      <c r="O570" s="163"/>
      <c r="P570" s="163"/>
      <c r="Q570" s="541"/>
      <c r="R570" s="541"/>
      <c r="S570" s="541"/>
      <c r="T570" s="541"/>
      <c r="U570" s="541"/>
      <c r="V570" s="541"/>
      <c r="W570" s="541"/>
      <c r="X570" s="541"/>
      <c r="Y570" s="541"/>
      <c r="Z570" s="541"/>
    </row>
    <row r="571" spans="1:26" ht="18.75">
      <c r="A571" s="572"/>
      <c r="B571" s="584"/>
      <c r="C571" s="584"/>
      <c r="D571" s="584"/>
      <c r="E571" s="592"/>
      <c r="F571" s="592"/>
      <c r="G571" s="726"/>
      <c r="H571" s="728" t="s">
        <v>34</v>
      </c>
      <c r="I571" s="184"/>
      <c r="J571" s="214">
        <v>0</v>
      </c>
      <c r="K571" s="163"/>
      <c r="L571" s="163"/>
      <c r="M571" s="163"/>
      <c r="N571" s="163"/>
      <c r="O571" s="163"/>
      <c r="P571" s="163"/>
      <c r="Q571" s="541"/>
      <c r="R571" s="541"/>
      <c r="S571" s="541"/>
      <c r="T571" s="541"/>
      <c r="U571" s="541"/>
      <c r="V571" s="541"/>
      <c r="W571" s="541"/>
      <c r="X571" s="541"/>
      <c r="Y571" s="541"/>
      <c r="Z571" s="541"/>
    </row>
    <row r="572" spans="1:26" ht="18.75">
      <c r="A572" s="572"/>
      <c r="B572" s="584"/>
      <c r="C572" s="584"/>
      <c r="D572" s="592" t="s">
        <v>241</v>
      </c>
      <c r="E572" s="592"/>
      <c r="F572" s="592"/>
      <c r="G572" s="726"/>
      <c r="H572" s="728" t="s">
        <v>46</v>
      </c>
      <c r="I572" s="184"/>
      <c r="J572" s="214">
        <v>0</v>
      </c>
      <c r="K572" s="163"/>
      <c r="L572" s="163"/>
      <c r="M572" s="163"/>
      <c r="N572" s="163"/>
      <c r="O572" s="163"/>
      <c r="P572" s="163"/>
      <c r="Q572" s="541"/>
      <c r="R572" s="541"/>
      <c r="S572" s="541"/>
      <c r="T572" s="541"/>
      <c r="U572" s="541"/>
      <c r="V572" s="541"/>
      <c r="W572" s="541"/>
      <c r="X572" s="541"/>
      <c r="Y572" s="541"/>
      <c r="Z572" s="541"/>
    </row>
    <row r="573" spans="1:26" ht="18.75">
      <c r="A573" s="572"/>
      <c r="B573" s="584"/>
      <c r="C573" s="584"/>
      <c r="D573" s="592"/>
      <c r="E573" s="592"/>
      <c r="F573" s="592"/>
      <c r="G573" s="726"/>
      <c r="H573" s="728" t="s">
        <v>34</v>
      </c>
      <c r="I573" s="184"/>
      <c r="J573" s="214">
        <v>0</v>
      </c>
      <c r="K573" s="163"/>
      <c r="L573" s="163"/>
      <c r="M573" s="163"/>
      <c r="N573" s="163"/>
      <c r="O573" s="163"/>
      <c r="P573" s="163"/>
      <c r="Q573" s="541"/>
      <c r="R573" s="541"/>
      <c r="S573" s="541"/>
      <c r="T573" s="541"/>
      <c r="U573" s="541"/>
      <c r="V573" s="541"/>
      <c r="W573" s="541"/>
      <c r="X573" s="541"/>
      <c r="Y573" s="541"/>
      <c r="Z573" s="541"/>
    </row>
    <row r="574" spans="1:26" ht="18.75">
      <c r="A574" s="572"/>
      <c r="B574" s="584"/>
      <c r="C574" s="584"/>
      <c r="D574" s="592" t="s">
        <v>242</v>
      </c>
      <c r="E574" s="592"/>
      <c r="F574" s="592"/>
      <c r="G574" s="726"/>
      <c r="H574" s="728" t="s">
        <v>46</v>
      </c>
      <c r="I574" s="184"/>
      <c r="J574" s="214">
        <v>0</v>
      </c>
      <c r="K574" s="163"/>
      <c r="L574" s="163"/>
      <c r="M574" s="163"/>
      <c r="N574" s="163"/>
      <c r="O574" s="163"/>
      <c r="P574" s="163"/>
      <c r="Q574" s="541"/>
      <c r="R574" s="541"/>
      <c r="S574" s="541"/>
      <c r="T574" s="541"/>
      <c r="U574" s="541"/>
      <c r="V574" s="541"/>
      <c r="W574" s="541"/>
      <c r="X574" s="541"/>
      <c r="Y574" s="541"/>
      <c r="Z574" s="541"/>
    </row>
    <row r="575" spans="1:26" ht="18.75">
      <c r="A575" s="572"/>
      <c r="B575" s="584"/>
      <c r="C575" s="584"/>
      <c r="D575" s="584"/>
      <c r="E575" s="592"/>
      <c r="F575" s="592"/>
      <c r="G575" s="726"/>
      <c r="H575" s="728" t="s">
        <v>34</v>
      </c>
      <c r="I575" s="184"/>
      <c r="J575" s="214">
        <v>0</v>
      </c>
      <c r="K575" s="163"/>
      <c r="L575" s="163"/>
      <c r="M575" s="163"/>
      <c r="N575" s="163"/>
      <c r="O575" s="163"/>
      <c r="P575" s="163"/>
      <c r="Q575" s="541"/>
      <c r="R575" s="541"/>
      <c r="S575" s="541"/>
      <c r="T575" s="541"/>
      <c r="U575" s="541"/>
      <c r="V575" s="541"/>
      <c r="W575" s="541"/>
      <c r="X575" s="541"/>
      <c r="Y575" s="541"/>
      <c r="Z575" s="541"/>
    </row>
    <row r="576" spans="1:26" ht="19.5">
      <c r="A576" s="572"/>
      <c r="B576" s="584"/>
      <c r="C576" s="591" t="s">
        <v>243</v>
      </c>
      <c r="D576" s="584"/>
      <c r="E576" s="584"/>
      <c r="F576" s="592"/>
      <c r="G576" s="726"/>
      <c r="H576" s="731" t="s">
        <v>46</v>
      </c>
      <c r="I576" s="193">
        <f ca="1">IFERROR(__xludf.DUMMYFUNCTION("IMPORTRANGE(""https://docs.google.com/spreadsheets/d/1QqKyyYR6Q21VydFLVH3TRQUabQu_ym0Zz7PgGX0-kHA/edit?usp=sharing"",""แผน!HH28"")"),45451)</f>
        <v>45451</v>
      </c>
      <c r="J576" s="647">
        <f t="shared" ref="J576:J577" si="249">J578+J580+J582+J588+J590</f>
        <v>0</v>
      </c>
      <c r="K576" s="379">
        <f t="shared" ref="K576:K577" ca="1" si="250">IF(I576&gt;0,J576*100/I576,0)</f>
        <v>0</v>
      </c>
      <c r="L576" s="163"/>
      <c r="M576" s="163"/>
      <c r="N576" s="163"/>
      <c r="O576" s="163"/>
      <c r="P576" s="163"/>
      <c r="Q576" s="541"/>
      <c r="R576" s="541"/>
      <c r="S576" s="541"/>
      <c r="T576" s="541"/>
      <c r="U576" s="541"/>
      <c r="V576" s="541"/>
      <c r="W576" s="541"/>
      <c r="X576" s="541"/>
      <c r="Y576" s="541"/>
      <c r="Z576" s="541"/>
    </row>
    <row r="577" spans="1:26" ht="19.5">
      <c r="A577" s="572"/>
      <c r="B577" s="584"/>
      <c r="C577" s="584"/>
      <c r="D577" s="584"/>
      <c r="E577" s="592"/>
      <c r="F577" s="592"/>
      <c r="G577" s="726"/>
      <c r="H577" s="731" t="s">
        <v>34</v>
      </c>
      <c r="I577" s="193">
        <f ca="1">IFERROR(__xludf.DUMMYFUNCTION("IMPORTRANGE(""https://docs.google.com/spreadsheets/d/1QqKyyYR6Q21VydFLVH3TRQUabQu_ym0Zz7PgGX0-kHA/edit?usp=sharing"",""แผน!HG28"")"),5250)</f>
        <v>5250</v>
      </c>
      <c r="J577" s="647">
        <f t="shared" si="249"/>
        <v>0</v>
      </c>
      <c r="K577" s="379">
        <f t="shared" ca="1" si="250"/>
        <v>0</v>
      </c>
      <c r="L577" s="163"/>
      <c r="M577" s="163"/>
      <c r="N577" s="163"/>
      <c r="O577" s="163"/>
      <c r="P577" s="163"/>
      <c r="Q577" s="541"/>
      <c r="R577" s="541"/>
      <c r="S577" s="541"/>
      <c r="T577" s="541"/>
      <c r="U577" s="541"/>
      <c r="V577" s="541"/>
      <c r="W577" s="541"/>
      <c r="X577" s="541"/>
      <c r="Y577" s="541"/>
      <c r="Z577" s="541"/>
    </row>
    <row r="578" spans="1:26" ht="18.75">
      <c r="A578" s="572"/>
      <c r="B578" s="584"/>
      <c r="C578" s="584"/>
      <c r="D578" s="592" t="s">
        <v>244</v>
      </c>
      <c r="E578" s="592"/>
      <c r="F578" s="592"/>
      <c r="G578" s="726"/>
      <c r="H578" s="728" t="s">
        <v>46</v>
      </c>
      <c r="I578" s="184"/>
      <c r="J578" s="214">
        <v>0</v>
      </c>
      <c r="K578" s="163"/>
      <c r="L578" s="163"/>
      <c r="M578" s="163"/>
      <c r="N578" s="163"/>
      <c r="O578" s="163"/>
      <c r="P578" s="163"/>
      <c r="Q578" s="541"/>
      <c r="R578" s="541"/>
      <c r="S578" s="541"/>
      <c r="T578" s="541"/>
      <c r="U578" s="541"/>
      <c r="V578" s="541"/>
      <c r="W578" s="541"/>
      <c r="X578" s="541"/>
      <c r="Y578" s="541"/>
      <c r="Z578" s="541"/>
    </row>
    <row r="579" spans="1:26" ht="18.75">
      <c r="A579" s="572"/>
      <c r="B579" s="584"/>
      <c r="C579" s="584"/>
      <c r="D579" s="584"/>
      <c r="E579" s="592"/>
      <c r="F579" s="592"/>
      <c r="G579" s="726"/>
      <c r="H579" s="728" t="s">
        <v>34</v>
      </c>
      <c r="I579" s="184"/>
      <c r="J579" s="214">
        <v>0</v>
      </c>
      <c r="K579" s="163"/>
      <c r="L579" s="163"/>
      <c r="M579" s="163"/>
      <c r="N579" s="163"/>
      <c r="O579" s="163"/>
      <c r="P579" s="163"/>
      <c r="Q579" s="541"/>
      <c r="R579" s="541"/>
      <c r="S579" s="541"/>
      <c r="T579" s="541"/>
      <c r="U579" s="541"/>
      <c r="V579" s="541"/>
      <c r="W579" s="541"/>
      <c r="X579" s="541"/>
      <c r="Y579" s="541"/>
      <c r="Z579" s="541"/>
    </row>
    <row r="580" spans="1:26" ht="18.75">
      <c r="A580" s="572"/>
      <c r="B580" s="584"/>
      <c r="C580" s="584"/>
      <c r="D580" s="592" t="s">
        <v>245</v>
      </c>
      <c r="E580" s="592"/>
      <c r="F580" s="592"/>
      <c r="G580" s="726"/>
      <c r="H580" s="728" t="s">
        <v>46</v>
      </c>
      <c r="I580" s="184"/>
      <c r="J580" s="214">
        <v>0</v>
      </c>
      <c r="K580" s="163"/>
      <c r="L580" s="163"/>
      <c r="M580" s="163"/>
      <c r="N580" s="163"/>
      <c r="O580" s="163"/>
      <c r="P580" s="163"/>
      <c r="Q580" s="541"/>
      <c r="R580" s="541"/>
      <c r="S580" s="541"/>
      <c r="T580" s="541"/>
      <c r="U580" s="541"/>
      <c r="V580" s="541"/>
      <c r="W580" s="541"/>
      <c r="X580" s="541"/>
      <c r="Y580" s="541"/>
      <c r="Z580" s="541"/>
    </row>
    <row r="581" spans="1:26" ht="18.75">
      <c r="A581" s="572"/>
      <c r="B581" s="584"/>
      <c r="C581" s="584"/>
      <c r="D581" s="584"/>
      <c r="E581" s="592"/>
      <c r="F581" s="592"/>
      <c r="G581" s="726"/>
      <c r="H581" s="728" t="s">
        <v>34</v>
      </c>
      <c r="I581" s="184"/>
      <c r="J581" s="214">
        <v>0</v>
      </c>
      <c r="K581" s="163"/>
      <c r="L581" s="163"/>
      <c r="M581" s="163"/>
      <c r="N581" s="163"/>
      <c r="O581" s="163"/>
      <c r="P581" s="163"/>
      <c r="Q581" s="541"/>
      <c r="R581" s="541"/>
      <c r="S581" s="541"/>
      <c r="T581" s="541"/>
      <c r="U581" s="541"/>
      <c r="V581" s="541"/>
      <c r="W581" s="541"/>
      <c r="X581" s="541"/>
      <c r="Y581" s="541"/>
      <c r="Z581" s="541"/>
    </row>
    <row r="582" spans="1:26" ht="19.5">
      <c r="A582" s="572"/>
      <c r="B582" s="584"/>
      <c r="C582" s="584"/>
      <c r="D582" s="592" t="s">
        <v>246</v>
      </c>
      <c r="E582" s="592"/>
      <c r="F582" s="592"/>
      <c r="G582" s="726"/>
      <c r="H582" s="728" t="s">
        <v>46</v>
      </c>
      <c r="I582" s="184"/>
      <c r="J582" s="647">
        <f t="shared" ref="J582:J583" si="251">J584+J586</f>
        <v>0</v>
      </c>
      <c r="K582" s="379"/>
      <c r="L582" s="163"/>
      <c r="M582" s="163"/>
      <c r="N582" s="163"/>
      <c r="O582" s="163"/>
      <c r="P582" s="163"/>
      <c r="Q582" s="541"/>
      <c r="R582" s="541"/>
      <c r="S582" s="541"/>
      <c r="T582" s="541"/>
      <c r="U582" s="541"/>
      <c r="V582" s="541"/>
      <c r="W582" s="541"/>
      <c r="X582" s="541"/>
      <c r="Y582" s="541"/>
      <c r="Z582" s="541"/>
    </row>
    <row r="583" spans="1:26" ht="19.5">
      <c r="A583" s="572"/>
      <c r="B583" s="584"/>
      <c r="C583" s="584"/>
      <c r="D583" s="584"/>
      <c r="E583" s="592"/>
      <c r="F583" s="592"/>
      <c r="G583" s="726"/>
      <c r="H583" s="728" t="s">
        <v>34</v>
      </c>
      <c r="I583" s="184"/>
      <c r="J583" s="647">
        <f t="shared" si="251"/>
        <v>0</v>
      </c>
      <c r="K583" s="379"/>
      <c r="L583" s="163"/>
      <c r="M583" s="163"/>
      <c r="N583" s="163"/>
      <c r="O583" s="163"/>
      <c r="P583" s="163"/>
      <c r="Q583" s="541"/>
      <c r="R583" s="541"/>
      <c r="S583" s="541"/>
      <c r="T583" s="541"/>
      <c r="U583" s="541"/>
      <c r="V583" s="541"/>
      <c r="W583" s="541"/>
      <c r="X583" s="541"/>
      <c r="Y583" s="541"/>
      <c r="Z583" s="541"/>
    </row>
    <row r="584" spans="1:26" ht="18.75">
      <c r="A584" s="572"/>
      <c r="B584" s="584"/>
      <c r="C584" s="584"/>
      <c r="D584" s="584"/>
      <c r="E584" s="592" t="s">
        <v>247</v>
      </c>
      <c r="F584" s="592"/>
      <c r="G584" s="726"/>
      <c r="H584" s="728" t="s">
        <v>46</v>
      </c>
      <c r="I584" s="184"/>
      <c r="J584" s="214">
        <v>0</v>
      </c>
      <c r="K584" s="163"/>
      <c r="L584" s="163"/>
      <c r="M584" s="163"/>
      <c r="N584" s="163"/>
      <c r="O584" s="163"/>
      <c r="P584" s="163"/>
      <c r="Q584" s="541"/>
      <c r="R584" s="541"/>
      <c r="S584" s="541"/>
      <c r="T584" s="541"/>
      <c r="U584" s="541"/>
      <c r="V584" s="541"/>
      <c r="W584" s="541"/>
      <c r="X584" s="541"/>
      <c r="Y584" s="541"/>
      <c r="Z584" s="541"/>
    </row>
    <row r="585" spans="1:26" ht="18.75">
      <c r="A585" s="572"/>
      <c r="B585" s="584"/>
      <c r="C585" s="584"/>
      <c r="D585" s="584"/>
      <c r="E585" s="592"/>
      <c r="F585" s="592"/>
      <c r="G585" s="726"/>
      <c r="H585" s="728" t="s">
        <v>34</v>
      </c>
      <c r="I585" s="184"/>
      <c r="J585" s="214">
        <v>0</v>
      </c>
      <c r="K585" s="163"/>
      <c r="L585" s="163"/>
      <c r="M585" s="163"/>
      <c r="N585" s="163"/>
      <c r="O585" s="163"/>
      <c r="P585" s="163"/>
      <c r="Q585" s="541"/>
      <c r="R585" s="541"/>
      <c r="S585" s="541"/>
      <c r="T585" s="541"/>
      <c r="U585" s="541"/>
      <c r="V585" s="541"/>
      <c r="W585" s="541"/>
      <c r="X585" s="541"/>
      <c r="Y585" s="541"/>
      <c r="Z585" s="541"/>
    </row>
    <row r="586" spans="1:26" ht="18.75">
      <c r="A586" s="572"/>
      <c r="B586" s="584"/>
      <c r="C586" s="584"/>
      <c r="D586" s="584"/>
      <c r="E586" s="592" t="s">
        <v>248</v>
      </c>
      <c r="F586" s="592"/>
      <c r="G586" s="726"/>
      <c r="H586" s="728" t="s">
        <v>46</v>
      </c>
      <c r="I586" s="184"/>
      <c r="J586" s="214">
        <v>0</v>
      </c>
      <c r="K586" s="163"/>
      <c r="L586" s="163"/>
      <c r="M586" s="163"/>
      <c r="N586" s="163"/>
      <c r="O586" s="163"/>
      <c r="P586" s="163"/>
      <c r="Q586" s="541"/>
      <c r="R586" s="541"/>
      <c r="S586" s="541"/>
      <c r="T586" s="541"/>
      <c r="U586" s="541"/>
      <c r="V586" s="541"/>
      <c r="W586" s="541"/>
      <c r="X586" s="541"/>
      <c r="Y586" s="541"/>
      <c r="Z586" s="541"/>
    </row>
    <row r="587" spans="1:26" ht="18.75">
      <c r="A587" s="572"/>
      <c r="B587" s="584"/>
      <c r="C587" s="584"/>
      <c r="D587" s="584"/>
      <c r="E587" s="584"/>
      <c r="F587" s="592"/>
      <c r="G587" s="726"/>
      <c r="H587" s="728" t="s">
        <v>34</v>
      </c>
      <c r="I587" s="184"/>
      <c r="J587" s="214">
        <v>0</v>
      </c>
      <c r="K587" s="163"/>
      <c r="L587" s="163"/>
      <c r="M587" s="163"/>
      <c r="N587" s="163"/>
      <c r="O587" s="163"/>
      <c r="P587" s="163"/>
      <c r="Q587" s="541"/>
      <c r="R587" s="541"/>
      <c r="S587" s="541"/>
      <c r="T587" s="541"/>
      <c r="U587" s="541"/>
      <c r="V587" s="541"/>
      <c r="W587" s="541"/>
      <c r="X587" s="541"/>
      <c r="Y587" s="541"/>
      <c r="Z587" s="541"/>
    </row>
    <row r="588" spans="1:26" ht="18.75">
      <c r="A588" s="572"/>
      <c r="B588" s="584"/>
      <c r="C588" s="584"/>
      <c r="D588" s="592" t="s">
        <v>249</v>
      </c>
      <c r="E588" s="592"/>
      <c r="F588" s="592"/>
      <c r="G588" s="726"/>
      <c r="H588" s="728" t="s">
        <v>46</v>
      </c>
      <c r="I588" s="184"/>
      <c r="J588" s="214">
        <v>0</v>
      </c>
      <c r="K588" s="163"/>
      <c r="L588" s="163"/>
      <c r="M588" s="163"/>
      <c r="N588" s="163"/>
      <c r="O588" s="163"/>
      <c r="P588" s="163"/>
      <c r="Q588" s="541"/>
      <c r="R588" s="541"/>
      <c r="S588" s="541"/>
      <c r="T588" s="541"/>
      <c r="U588" s="541"/>
      <c r="V588" s="541"/>
      <c r="W588" s="541"/>
      <c r="X588" s="541"/>
      <c r="Y588" s="541"/>
      <c r="Z588" s="541"/>
    </row>
    <row r="589" spans="1:26" ht="18.75">
      <c r="A589" s="572"/>
      <c r="B589" s="584"/>
      <c r="C589" s="584"/>
      <c r="D589" s="584"/>
      <c r="E589" s="584"/>
      <c r="F589" s="592"/>
      <c r="G589" s="726"/>
      <c r="H589" s="728" t="s">
        <v>34</v>
      </c>
      <c r="I589" s="184"/>
      <c r="J589" s="214">
        <v>0</v>
      </c>
      <c r="K589" s="163"/>
      <c r="L589" s="163"/>
      <c r="M589" s="163"/>
      <c r="N589" s="163"/>
      <c r="O589" s="163"/>
      <c r="P589" s="163"/>
      <c r="Q589" s="541"/>
      <c r="R589" s="541"/>
      <c r="S589" s="541"/>
      <c r="T589" s="541"/>
      <c r="U589" s="541"/>
      <c r="V589" s="541"/>
      <c r="W589" s="541"/>
      <c r="X589" s="541"/>
      <c r="Y589" s="541"/>
      <c r="Z589" s="541"/>
    </row>
    <row r="590" spans="1:26" ht="18.75">
      <c r="A590" s="572"/>
      <c r="B590" s="584"/>
      <c r="C590" s="584"/>
      <c r="D590" s="592" t="s">
        <v>250</v>
      </c>
      <c r="E590" s="592"/>
      <c r="F590" s="592"/>
      <c r="G590" s="726"/>
      <c r="H590" s="728" t="s">
        <v>46</v>
      </c>
      <c r="I590" s="184"/>
      <c r="J590" s="214">
        <v>0</v>
      </c>
      <c r="K590" s="163"/>
      <c r="L590" s="163"/>
      <c r="M590" s="163"/>
      <c r="N590" s="163"/>
      <c r="O590" s="163"/>
      <c r="P590" s="163"/>
      <c r="Q590" s="541"/>
      <c r="R590" s="541"/>
      <c r="S590" s="541"/>
      <c r="T590" s="541"/>
      <c r="U590" s="541"/>
      <c r="V590" s="541"/>
      <c r="W590" s="541"/>
      <c r="X590" s="541"/>
      <c r="Y590" s="541"/>
      <c r="Z590" s="541"/>
    </row>
    <row r="591" spans="1:26" ht="18.75">
      <c r="A591" s="662"/>
      <c r="B591" s="663"/>
      <c r="C591" s="663"/>
      <c r="D591" s="663"/>
      <c r="E591" s="541"/>
      <c r="F591" s="541"/>
      <c r="G591" s="664"/>
      <c r="H591" s="665" t="s">
        <v>34</v>
      </c>
      <c r="I591" s="666"/>
      <c r="J591" s="667">
        <v>0</v>
      </c>
      <c r="K591" s="668"/>
      <c r="L591" s="668"/>
      <c r="M591" s="668"/>
      <c r="N591" s="668"/>
      <c r="O591" s="668"/>
      <c r="P591" s="668"/>
      <c r="Q591" s="541"/>
      <c r="R591" s="541"/>
      <c r="S591" s="541"/>
      <c r="T591" s="541"/>
      <c r="U591" s="541"/>
      <c r="V591" s="541"/>
      <c r="W591" s="541"/>
      <c r="X591" s="541"/>
      <c r="Y591" s="541"/>
      <c r="Z591" s="541"/>
    </row>
    <row r="592" spans="1:26" ht="19.5">
      <c r="A592" s="658"/>
      <c r="B592" s="659" t="s">
        <v>251</v>
      </c>
      <c r="C592" s="660"/>
      <c r="D592" s="660"/>
      <c r="E592" s="639"/>
      <c r="F592" s="639"/>
      <c r="G592" s="640"/>
      <c r="H592" s="661" t="s">
        <v>46</v>
      </c>
      <c r="I592" s="672">
        <f t="shared" ref="I592:J592" ca="1" si="252">I593</f>
        <v>4308</v>
      </c>
      <c r="J592" s="672">
        <f t="shared" si="252"/>
        <v>0</v>
      </c>
      <c r="K592" s="643">
        <f t="shared" ref="K592:K594" ca="1" si="253">IF(I592&gt;0,J592*100/I592,0)</f>
        <v>0</v>
      </c>
      <c r="L592" s="644"/>
      <c r="M592" s="644"/>
      <c r="N592" s="644"/>
      <c r="O592" s="644"/>
      <c r="P592" s="644"/>
      <c r="Q592" s="541"/>
      <c r="R592" s="541"/>
      <c r="S592" s="541"/>
      <c r="T592" s="541"/>
      <c r="U592" s="541"/>
      <c r="V592" s="541"/>
      <c r="W592" s="541"/>
      <c r="X592" s="541"/>
      <c r="Y592" s="541"/>
      <c r="Z592" s="541"/>
    </row>
    <row r="593" spans="1:26" ht="19.5">
      <c r="A593" s="572"/>
      <c r="B593" s="584"/>
      <c r="C593" s="591" t="s">
        <v>252</v>
      </c>
      <c r="D593" s="584"/>
      <c r="E593" s="584"/>
      <c r="F593" s="592"/>
      <c r="G593" s="726"/>
      <c r="H593" s="731" t="s">
        <v>46</v>
      </c>
      <c r="I593" s="193">
        <f ca="1">IFERROR(__xludf.DUMMYFUNCTION("IMPORTRANGE(""https://docs.google.com/spreadsheets/d/1QqKyyYR6Q21VydFLVH3TRQUabQu_ym0Zz7PgGX0-kHA/edit?usp=sharing"",""แผน!HJ28"")"),4308)</f>
        <v>4308</v>
      </c>
      <c r="J593" s="193">
        <f t="shared" ref="J593:J594" si="254">J595+J603+J609</f>
        <v>0</v>
      </c>
      <c r="K593" s="379">
        <f t="shared" ca="1" si="253"/>
        <v>0</v>
      </c>
      <c r="L593" s="163"/>
      <c r="M593" s="163"/>
      <c r="N593" s="163"/>
      <c r="O593" s="163"/>
      <c r="P593" s="163"/>
      <c r="Q593" s="541"/>
      <c r="R593" s="541"/>
      <c r="S593" s="541"/>
      <c r="T593" s="541"/>
      <c r="U593" s="541"/>
      <c r="V593" s="541"/>
      <c r="W593" s="541"/>
      <c r="X593" s="541"/>
      <c r="Y593" s="541"/>
      <c r="Z593" s="541"/>
    </row>
    <row r="594" spans="1:26" ht="19.5">
      <c r="A594" s="572"/>
      <c r="B594" s="584"/>
      <c r="C594" s="584"/>
      <c r="D594" s="584"/>
      <c r="E594" s="592"/>
      <c r="F594" s="592"/>
      <c r="G594" s="726"/>
      <c r="H594" s="731" t="s">
        <v>34</v>
      </c>
      <c r="I594" s="193">
        <f ca="1">IFERROR(__xludf.DUMMYFUNCTION("IMPORTRANGE(""https://docs.google.com/spreadsheets/d/1QqKyyYR6Q21VydFLVH3TRQUabQu_ym0Zz7PgGX0-kHA/edit?usp=sharing"",""แผน!HI28"")"),452)</f>
        <v>452</v>
      </c>
      <c r="J594" s="193">
        <f t="shared" si="254"/>
        <v>0</v>
      </c>
      <c r="K594" s="379">
        <f t="shared" ca="1" si="253"/>
        <v>0</v>
      </c>
      <c r="L594" s="163"/>
      <c r="M594" s="163"/>
      <c r="N594" s="163"/>
      <c r="O594" s="163"/>
      <c r="P594" s="163"/>
      <c r="Q594" s="541"/>
      <c r="R594" s="541"/>
      <c r="S594" s="541"/>
      <c r="T594" s="541"/>
      <c r="U594" s="541"/>
      <c r="V594" s="541"/>
      <c r="W594" s="541"/>
      <c r="X594" s="541"/>
      <c r="Y594" s="541"/>
      <c r="Z594" s="541"/>
    </row>
    <row r="595" spans="1:26" ht="18.75">
      <c r="A595" s="572"/>
      <c r="B595" s="584"/>
      <c r="C595" s="584" t="s">
        <v>253</v>
      </c>
      <c r="D595" s="584"/>
      <c r="E595" s="584"/>
      <c r="F595" s="592"/>
      <c r="G595" s="726"/>
      <c r="H595" s="728" t="s">
        <v>46</v>
      </c>
      <c r="I595" s="184"/>
      <c r="J595" s="184">
        <f t="shared" ref="J595:J596" si="255">J597+J599</f>
        <v>0</v>
      </c>
      <c r="K595" s="163"/>
      <c r="L595" s="163"/>
      <c r="M595" s="163"/>
      <c r="N595" s="163"/>
      <c r="O595" s="163"/>
      <c r="P595" s="163"/>
      <c r="Q595" s="541"/>
      <c r="R595" s="541"/>
      <c r="S595" s="541"/>
      <c r="T595" s="541"/>
      <c r="U595" s="541"/>
      <c r="V595" s="541"/>
      <c r="W595" s="541"/>
      <c r="X595" s="541"/>
      <c r="Y595" s="541"/>
      <c r="Z595" s="541"/>
    </row>
    <row r="596" spans="1:26" ht="18.75">
      <c r="A596" s="572"/>
      <c r="B596" s="584"/>
      <c r="C596" s="584"/>
      <c r="D596" s="584"/>
      <c r="E596" s="592"/>
      <c r="F596" s="592"/>
      <c r="G596" s="726"/>
      <c r="H596" s="728" t="s">
        <v>34</v>
      </c>
      <c r="I596" s="184"/>
      <c r="J596" s="184">
        <f t="shared" si="255"/>
        <v>0</v>
      </c>
      <c r="K596" s="163"/>
      <c r="L596" s="163"/>
      <c r="M596" s="163"/>
      <c r="N596" s="163"/>
      <c r="O596" s="163"/>
      <c r="P596" s="163"/>
      <c r="Q596" s="541"/>
      <c r="R596" s="541"/>
      <c r="S596" s="541"/>
      <c r="T596" s="541"/>
      <c r="U596" s="541"/>
      <c r="V596" s="541"/>
      <c r="W596" s="541"/>
      <c r="X596" s="541"/>
      <c r="Y596" s="541"/>
      <c r="Z596" s="541"/>
    </row>
    <row r="597" spans="1:26" ht="18.75">
      <c r="A597" s="572"/>
      <c r="B597" s="584"/>
      <c r="C597" s="584"/>
      <c r="D597" s="710" t="s">
        <v>254</v>
      </c>
      <c r="E597" s="592"/>
      <c r="F597" s="592"/>
      <c r="G597" s="726"/>
      <c r="H597" s="728" t="s">
        <v>46</v>
      </c>
      <c r="I597" s="184"/>
      <c r="J597" s="214">
        <v>0</v>
      </c>
      <c r="K597" s="163"/>
      <c r="L597" s="163"/>
      <c r="M597" s="163"/>
      <c r="N597" s="163"/>
      <c r="O597" s="163"/>
      <c r="P597" s="163"/>
      <c r="Q597" s="541"/>
      <c r="R597" s="541"/>
      <c r="S597" s="541"/>
      <c r="T597" s="541"/>
      <c r="U597" s="541"/>
      <c r="V597" s="541"/>
      <c r="W597" s="541"/>
      <c r="X597" s="541"/>
      <c r="Y597" s="541"/>
      <c r="Z597" s="541"/>
    </row>
    <row r="598" spans="1:26" ht="18.75">
      <c r="A598" s="572"/>
      <c r="B598" s="584"/>
      <c r="C598" s="584"/>
      <c r="D598" s="584"/>
      <c r="E598" s="592"/>
      <c r="F598" s="592"/>
      <c r="G598" s="726"/>
      <c r="H598" s="728" t="s">
        <v>34</v>
      </c>
      <c r="I598" s="269"/>
      <c r="J598" s="214">
        <v>0</v>
      </c>
      <c r="K598" s="163"/>
      <c r="L598" s="163"/>
      <c r="M598" s="163"/>
      <c r="N598" s="163"/>
      <c r="O598" s="163"/>
      <c r="P598" s="163"/>
      <c r="Q598" s="541"/>
      <c r="R598" s="541"/>
      <c r="S598" s="541"/>
      <c r="T598" s="541"/>
      <c r="U598" s="541"/>
      <c r="V598" s="541"/>
      <c r="W598" s="541"/>
      <c r="X598" s="541"/>
      <c r="Y598" s="541"/>
      <c r="Z598" s="541"/>
    </row>
    <row r="599" spans="1:26" ht="18.75">
      <c r="A599" s="572"/>
      <c r="B599" s="584"/>
      <c r="C599" s="584"/>
      <c r="D599" s="710" t="s">
        <v>255</v>
      </c>
      <c r="E599" s="592"/>
      <c r="F599" s="592"/>
      <c r="G599" s="726"/>
      <c r="H599" s="728" t="s">
        <v>46</v>
      </c>
      <c r="I599" s="269"/>
      <c r="J599" s="214">
        <v>0</v>
      </c>
      <c r="K599" s="163"/>
      <c r="L599" s="163"/>
      <c r="M599" s="163"/>
      <c r="N599" s="163"/>
      <c r="O599" s="163"/>
      <c r="P599" s="163"/>
      <c r="Q599" s="541"/>
      <c r="R599" s="541"/>
      <c r="S599" s="541"/>
      <c r="T599" s="541"/>
      <c r="U599" s="541"/>
      <c r="V599" s="541"/>
      <c r="W599" s="541"/>
      <c r="X599" s="541"/>
      <c r="Y599" s="541"/>
      <c r="Z599" s="541"/>
    </row>
    <row r="600" spans="1:26" ht="18.75">
      <c r="A600" s="572"/>
      <c r="B600" s="584"/>
      <c r="C600" s="584"/>
      <c r="D600" s="584"/>
      <c r="E600" s="592"/>
      <c r="F600" s="592"/>
      <c r="G600" s="726"/>
      <c r="H600" s="728" t="s">
        <v>34</v>
      </c>
      <c r="I600" s="269"/>
      <c r="J600" s="214">
        <v>0</v>
      </c>
      <c r="K600" s="163"/>
      <c r="L600" s="163"/>
      <c r="M600" s="163"/>
      <c r="N600" s="163"/>
      <c r="O600" s="163"/>
      <c r="P600" s="163"/>
      <c r="Q600" s="541"/>
      <c r="R600" s="541"/>
      <c r="S600" s="541"/>
      <c r="T600" s="541"/>
      <c r="U600" s="541"/>
      <c r="V600" s="541"/>
      <c r="W600" s="541"/>
      <c r="X600" s="541"/>
      <c r="Y600" s="541"/>
      <c r="Z600" s="541"/>
    </row>
    <row r="601" spans="1:26" ht="18.75">
      <c r="A601" s="572"/>
      <c r="B601" s="584"/>
      <c r="C601" s="584"/>
      <c r="D601" s="710" t="s">
        <v>256</v>
      </c>
      <c r="E601" s="592"/>
      <c r="F601" s="592"/>
      <c r="G601" s="726"/>
      <c r="H601" s="728" t="s">
        <v>46</v>
      </c>
      <c r="I601" s="269"/>
      <c r="J601" s="214">
        <v>0</v>
      </c>
      <c r="K601" s="163"/>
      <c r="L601" s="163"/>
      <c r="M601" s="163"/>
      <c r="N601" s="163"/>
      <c r="O601" s="163"/>
      <c r="P601" s="163"/>
      <c r="Q601" s="541"/>
      <c r="R601" s="541"/>
      <c r="S601" s="541"/>
      <c r="T601" s="541"/>
      <c r="U601" s="541"/>
      <c r="V601" s="541"/>
      <c r="W601" s="541"/>
      <c r="X601" s="541"/>
      <c r="Y601" s="541"/>
      <c r="Z601" s="541"/>
    </row>
    <row r="602" spans="1:26" ht="18.75">
      <c r="A602" s="572"/>
      <c r="B602" s="584"/>
      <c r="C602" s="584"/>
      <c r="D602" s="584"/>
      <c r="E602" s="592"/>
      <c r="F602" s="592"/>
      <c r="G602" s="726"/>
      <c r="H602" s="728" t="s">
        <v>34</v>
      </c>
      <c r="I602" s="269"/>
      <c r="J602" s="214">
        <v>0</v>
      </c>
      <c r="K602" s="163"/>
      <c r="L602" s="163"/>
      <c r="M602" s="163"/>
      <c r="N602" s="163"/>
      <c r="O602" s="163"/>
      <c r="P602" s="163"/>
      <c r="Q602" s="541"/>
      <c r="R602" s="541"/>
      <c r="S602" s="541"/>
      <c r="T602" s="541"/>
      <c r="U602" s="541"/>
      <c r="V602" s="541"/>
      <c r="W602" s="541"/>
      <c r="X602" s="541"/>
      <c r="Y602" s="541"/>
      <c r="Z602" s="541"/>
    </row>
    <row r="603" spans="1:26" ht="18.75">
      <c r="A603" s="572"/>
      <c r="B603" s="584"/>
      <c r="C603" s="669" t="s">
        <v>257</v>
      </c>
      <c r="D603" s="584"/>
      <c r="E603" s="584"/>
      <c r="F603" s="592"/>
      <c r="G603" s="726"/>
      <c r="H603" s="728" t="s">
        <v>46</v>
      </c>
      <c r="I603" s="269"/>
      <c r="J603" s="269">
        <f t="shared" ref="J603:J604" si="256">J605+J607</f>
        <v>0</v>
      </c>
      <c r="K603" s="163"/>
      <c r="L603" s="163"/>
      <c r="M603" s="163"/>
      <c r="N603" s="163"/>
      <c r="O603" s="163"/>
      <c r="P603" s="163"/>
      <c r="Q603" s="541"/>
      <c r="R603" s="541"/>
      <c r="S603" s="541"/>
      <c r="T603" s="541"/>
      <c r="U603" s="541"/>
      <c r="V603" s="541"/>
      <c r="W603" s="541"/>
      <c r="X603" s="541"/>
      <c r="Y603" s="541"/>
      <c r="Z603" s="541"/>
    </row>
    <row r="604" spans="1:26" ht="18.75">
      <c r="A604" s="572"/>
      <c r="B604" s="584"/>
      <c r="C604" s="584"/>
      <c r="D604" s="584"/>
      <c r="E604" s="592"/>
      <c r="F604" s="592"/>
      <c r="G604" s="726"/>
      <c r="H604" s="728" t="s">
        <v>34</v>
      </c>
      <c r="I604" s="269"/>
      <c r="J604" s="269">
        <f t="shared" si="256"/>
        <v>0</v>
      </c>
      <c r="K604" s="163"/>
      <c r="L604" s="163"/>
      <c r="M604" s="163"/>
      <c r="N604" s="163"/>
      <c r="O604" s="163"/>
      <c r="P604" s="163"/>
      <c r="Q604" s="541"/>
      <c r="R604" s="541"/>
      <c r="S604" s="541"/>
      <c r="T604" s="541"/>
      <c r="U604" s="541"/>
      <c r="V604" s="541"/>
      <c r="W604" s="541"/>
      <c r="X604" s="541"/>
      <c r="Y604" s="541"/>
      <c r="Z604" s="541"/>
    </row>
    <row r="605" spans="1:26" ht="18.75">
      <c r="A605" s="572"/>
      <c r="B605" s="584"/>
      <c r="C605" s="584"/>
      <c r="D605" s="669" t="s">
        <v>258</v>
      </c>
      <c r="E605" s="592"/>
      <c r="F605" s="592"/>
      <c r="G605" s="726"/>
      <c r="H605" s="728" t="s">
        <v>46</v>
      </c>
      <c r="I605" s="269"/>
      <c r="J605" s="214">
        <v>0</v>
      </c>
      <c r="K605" s="163"/>
      <c r="L605" s="163"/>
      <c r="M605" s="163"/>
      <c r="N605" s="163"/>
      <c r="O605" s="163"/>
      <c r="P605" s="163"/>
      <c r="Q605" s="541"/>
      <c r="R605" s="541"/>
      <c r="S605" s="541"/>
      <c r="T605" s="541"/>
      <c r="U605" s="541"/>
      <c r="V605" s="541"/>
      <c r="W605" s="541"/>
      <c r="X605" s="541"/>
      <c r="Y605" s="541"/>
      <c r="Z605" s="541"/>
    </row>
    <row r="606" spans="1:26" ht="18.75">
      <c r="A606" s="572"/>
      <c r="B606" s="584"/>
      <c r="C606" s="584"/>
      <c r="D606" s="584"/>
      <c r="E606" s="584"/>
      <c r="F606" s="592"/>
      <c r="G606" s="726"/>
      <c r="H606" s="728" t="s">
        <v>34</v>
      </c>
      <c r="I606" s="269"/>
      <c r="J606" s="214">
        <v>0</v>
      </c>
      <c r="K606" s="163"/>
      <c r="L606" s="163"/>
      <c r="M606" s="163"/>
      <c r="N606" s="163"/>
      <c r="O606" s="163"/>
      <c r="P606" s="163"/>
      <c r="Q606" s="541"/>
      <c r="R606" s="541"/>
      <c r="S606" s="541"/>
      <c r="T606" s="541"/>
      <c r="U606" s="541"/>
      <c r="V606" s="541"/>
      <c r="W606" s="541"/>
      <c r="X606" s="541"/>
      <c r="Y606" s="541"/>
      <c r="Z606" s="541"/>
    </row>
    <row r="607" spans="1:26" ht="18.75">
      <c r="A607" s="572"/>
      <c r="B607" s="584"/>
      <c r="C607" s="584"/>
      <c r="D607" s="669" t="s">
        <v>259</v>
      </c>
      <c r="E607" s="584"/>
      <c r="F607" s="592"/>
      <c r="G607" s="726"/>
      <c r="H607" s="728" t="s">
        <v>46</v>
      </c>
      <c r="I607" s="269"/>
      <c r="J607" s="214">
        <v>0</v>
      </c>
      <c r="K607" s="163"/>
      <c r="L607" s="163"/>
      <c r="M607" s="163"/>
      <c r="N607" s="163"/>
      <c r="O607" s="163"/>
      <c r="P607" s="163"/>
      <c r="Q607" s="541"/>
      <c r="R607" s="541"/>
      <c r="S607" s="541"/>
      <c r="T607" s="541"/>
      <c r="U607" s="541"/>
      <c r="V607" s="541"/>
      <c r="W607" s="541"/>
      <c r="X607" s="541"/>
      <c r="Y607" s="541"/>
      <c r="Z607" s="541"/>
    </row>
    <row r="608" spans="1:26" ht="18.75">
      <c r="A608" s="572"/>
      <c r="B608" s="584"/>
      <c r="C608" s="584"/>
      <c r="D608" s="584"/>
      <c r="E608" s="592"/>
      <c r="F608" s="592"/>
      <c r="G608" s="726"/>
      <c r="H608" s="728" t="s">
        <v>34</v>
      </c>
      <c r="I608" s="269"/>
      <c r="J608" s="214">
        <v>0</v>
      </c>
      <c r="K608" s="163"/>
      <c r="L608" s="163"/>
      <c r="M608" s="163"/>
      <c r="N608" s="163"/>
      <c r="O608" s="163"/>
      <c r="P608" s="163"/>
      <c r="Q608" s="541"/>
      <c r="R608" s="541"/>
      <c r="S608" s="541"/>
      <c r="T608" s="541"/>
      <c r="U608" s="541"/>
      <c r="V608" s="541"/>
      <c r="W608" s="541"/>
      <c r="X608" s="541"/>
      <c r="Y608" s="541"/>
      <c r="Z608" s="541"/>
    </row>
    <row r="609" spans="1:26" ht="18.75">
      <c r="A609" s="572"/>
      <c r="B609" s="584"/>
      <c r="C609" s="584" t="s">
        <v>260</v>
      </c>
      <c r="D609" s="584"/>
      <c r="E609" s="584"/>
      <c r="F609" s="592"/>
      <c r="G609" s="726"/>
      <c r="H609" s="728" t="s">
        <v>46</v>
      </c>
      <c r="I609" s="269"/>
      <c r="J609" s="214">
        <v>0</v>
      </c>
      <c r="K609" s="163"/>
      <c r="L609" s="163"/>
      <c r="M609" s="163"/>
      <c r="N609" s="163"/>
      <c r="O609" s="163"/>
      <c r="P609" s="163"/>
      <c r="Q609" s="541"/>
      <c r="R609" s="541"/>
      <c r="S609" s="541"/>
      <c r="T609" s="541"/>
      <c r="U609" s="541"/>
      <c r="V609" s="541"/>
      <c r="W609" s="541"/>
      <c r="X609" s="541"/>
      <c r="Y609" s="541"/>
      <c r="Z609" s="541"/>
    </row>
    <row r="610" spans="1:26" ht="18.75">
      <c r="A610" s="572"/>
      <c r="B610" s="584"/>
      <c r="C610" s="584"/>
      <c r="D610" s="584"/>
      <c r="E610" s="592"/>
      <c r="F610" s="592"/>
      <c r="G610" s="726"/>
      <c r="H610" s="728" t="s">
        <v>34</v>
      </c>
      <c r="I610" s="269"/>
      <c r="J610" s="214">
        <v>0</v>
      </c>
      <c r="K610" s="163"/>
      <c r="L610" s="163"/>
      <c r="M610" s="163"/>
      <c r="N610" s="163"/>
      <c r="O610" s="163"/>
      <c r="P610" s="163"/>
      <c r="Q610" s="541"/>
      <c r="R610" s="541"/>
      <c r="S610" s="541"/>
      <c r="T610" s="541"/>
      <c r="U610" s="541"/>
      <c r="V610" s="541"/>
      <c r="W610" s="541"/>
      <c r="X610" s="541"/>
      <c r="Y610" s="541"/>
      <c r="Z610" s="541"/>
    </row>
    <row r="611" spans="1:26" ht="19.5">
      <c r="A611" s="658"/>
      <c r="B611" s="670" t="s">
        <v>261</v>
      </c>
      <c r="C611" s="660"/>
      <c r="D611" s="660"/>
      <c r="E611" s="639"/>
      <c r="F611" s="639"/>
      <c r="G611" s="640"/>
      <c r="H611" s="671" t="s">
        <v>46</v>
      </c>
      <c r="I611" s="672">
        <v>0</v>
      </c>
      <c r="J611" s="672">
        <f>J614+J616</f>
        <v>0</v>
      </c>
      <c r="K611" s="643">
        <f t="shared" ref="K611:K613" si="257">IF(I611&gt;0,J611*100/I611,0)</f>
        <v>0</v>
      </c>
      <c r="L611" s="644"/>
      <c r="M611" s="644"/>
      <c r="N611" s="644"/>
      <c r="O611" s="644"/>
      <c r="P611" s="644"/>
      <c r="Q611" s="541"/>
      <c r="R611" s="541"/>
      <c r="S611" s="541"/>
      <c r="T611" s="541"/>
      <c r="U611" s="541"/>
      <c r="V611" s="541"/>
      <c r="W611" s="541"/>
      <c r="X611" s="541"/>
      <c r="Y611" s="541"/>
      <c r="Z611" s="541"/>
    </row>
    <row r="612" spans="1:26" ht="19.5" hidden="1">
      <c r="A612" s="673"/>
      <c r="B612" s="683"/>
      <c r="C612" s="675" t="s">
        <v>262</v>
      </c>
      <c r="D612" s="683"/>
      <c r="E612" s="683"/>
      <c r="F612" s="676"/>
      <c r="G612" s="677"/>
      <c r="H612" s="678" t="s">
        <v>46</v>
      </c>
      <c r="I612" s="680">
        <v>0</v>
      </c>
      <c r="J612" s="680">
        <f t="shared" ref="J612:J613" si="258">J614+J616</f>
        <v>0</v>
      </c>
      <c r="K612" s="681">
        <f t="shared" si="257"/>
        <v>0</v>
      </c>
      <c r="L612" s="682"/>
      <c r="M612" s="682"/>
      <c r="N612" s="682"/>
      <c r="O612" s="682"/>
      <c r="P612" s="682"/>
      <c r="Q612" s="568"/>
      <c r="R612" s="568"/>
      <c r="S612" s="568"/>
      <c r="T612" s="568"/>
      <c r="U612" s="568"/>
      <c r="V612" s="568"/>
      <c r="W612" s="568"/>
      <c r="X612" s="568"/>
      <c r="Y612" s="568"/>
      <c r="Z612" s="568"/>
    </row>
    <row r="613" spans="1:26" ht="19.5" hidden="1">
      <c r="A613" s="673"/>
      <c r="B613" s="683"/>
      <c r="C613" s="683" t="s">
        <v>263</v>
      </c>
      <c r="D613" s="683"/>
      <c r="E613" s="683"/>
      <c r="F613" s="676"/>
      <c r="G613" s="677"/>
      <c r="H613" s="678" t="s">
        <v>34</v>
      </c>
      <c r="I613" s="680">
        <v>0</v>
      </c>
      <c r="J613" s="680">
        <f t="shared" si="258"/>
        <v>0</v>
      </c>
      <c r="K613" s="681">
        <f t="shared" si="257"/>
        <v>0</v>
      </c>
      <c r="L613" s="682"/>
      <c r="M613" s="682"/>
      <c r="N613" s="682"/>
      <c r="O613" s="682"/>
      <c r="P613" s="682"/>
      <c r="Q613" s="568"/>
      <c r="R613" s="568"/>
      <c r="S613" s="568"/>
      <c r="T613" s="568"/>
      <c r="U613" s="568"/>
      <c r="V613" s="568"/>
      <c r="W613" s="568"/>
      <c r="X613" s="568"/>
      <c r="Y613" s="568"/>
      <c r="Z613" s="568"/>
    </row>
    <row r="614" spans="1:26" ht="18.75" hidden="1">
      <c r="A614" s="578"/>
      <c r="B614" s="580"/>
      <c r="C614" s="580"/>
      <c r="D614" s="684" t="s">
        <v>264</v>
      </c>
      <c r="E614" s="580"/>
      <c r="F614" s="684"/>
      <c r="G614" s="581"/>
      <c r="H614" s="582" t="s">
        <v>46</v>
      </c>
      <c r="I614" s="583"/>
      <c r="J614" s="583">
        <v>0</v>
      </c>
      <c r="K614" s="167"/>
      <c r="L614" s="167"/>
      <c r="M614" s="167"/>
      <c r="N614" s="167"/>
      <c r="O614" s="167"/>
      <c r="P614" s="167"/>
      <c r="Q614" s="568"/>
      <c r="R614" s="568"/>
      <c r="S614" s="568"/>
      <c r="T614" s="568"/>
      <c r="U614" s="568"/>
      <c r="V614" s="568"/>
      <c r="W614" s="568"/>
      <c r="X614" s="568"/>
      <c r="Y614" s="568"/>
      <c r="Z614" s="568"/>
    </row>
    <row r="615" spans="1:26" ht="18.75" hidden="1">
      <c r="A615" s="578"/>
      <c r="B615" s="580"/>
      <c r="C615" s="580"/>
      <c r="D615" s="580"/>
      <c r="E615" s="580"/>
      <c r="F615" s="684"/>
      <c r="G615" s="581"/>
      <c r="H615" s="582" t="s">
        <v>34</v>
      </c>
      <c r="I615" s="583"/>
      <c r="J615" s="583">
        <v>0</v>
      </c>
      <c r="K615" s="167"/>
      <c r="L615" s="167"/>
      <c r="M615" s="167"/>
      <c r="N615" s="167"/>
      <c r="O615" s="167"/>
      <c r="P615" s="167"/>
      <c r="Q615" s="568"/>
      <c r="R615" s="568"/>
      <c r="S615" s="568"/>
      <c r="T615" s="568"/>
      <c r="U615" s="568"/>
      <c r="V615" s="568"/>
      <c r="W615" s="568"/>
      <c r="X615" s="568"/>
      <c r="Y615" s="568"/>
      <c r="Z615" s="568"/>
    </row>
    <row r="616" spans="1:26" ht="18.75" hidden="1">
      <c r="A616" s="578"/>
      <c r="B616" s="580"/>
      <c r="C616" s="580"/>
      <c r="D616" s="685" t="s">
        <v>264</v>
      </c>
      <c r="E616" s="684"/>
      <c r="F616" s="684"/>
      <c r="G616" s="581"/>
      <c r="H616" s="582" t="s">
        <v>46</v>
      </c>
      <c r="I616" s="583"/>
      <c r="J616" s="583">
        <v>0</v>
      </c>
      <c r="K616" s="167"/>
      <c r="L616" s="167"/>
      <c r="M616" s="167"/>
      <c r="N616" s="167"/>
      <c r="O616" s="167"/>
      <c r="P616" s="167"/>
      <c r="Q616" s="568"/>
      <c r="R616" s="568"/>
      <c r="S616" s="568"/>
      <c r="T616" s="568"/>
      <c r="U616" s="568"/>
      <c r="V616" s="568"/>
      <c r="W616" s="568"/>
      <c r="X616" s="568"/>
      <c r="Y616" s="568"/>
      <c r="Z616" s="568"/>
    </row>
    <row r="617" spans="1:26" ht="18.75" hidden="1">
      <c r="A617" s="578"/>
      <c r="B617" s="580"/>
      <c r="C617" s="580"/>
      <c r="D617" s="580"/>
      <c r="E617" s="684"/>
      <c r="F617" s="684"/>
      <c r="G617" s="581"/>
      <c r="H617" s="582" t="s">
        <v>34</v>
      </c>
      <c r="I617" s="583"/>
      <c r="J617" s="583">
        <v>0</v>
      </c>
      <c r="K617" s="167"/>
      <c r="L617" s="167"/>
      <c r="M617" s="167"/>
      <c r="N617" s="167"/>
      <c r="O617" s="167"/>
      <c r="P617" s="167"/>
      <c r="Q617" s="568"/>
      <c r="R617" s="568"/>
      <c r="S617" s="568"/>
      <c r="T617" s="568"/>
      <c r="U617" s="568"/>
      <c r="V617" s="568"/>
      <c r="W617" s="568"/>
      <c r="X617" s="568"/>
      <c r="Y617" s="568"/>
      <c r="Z617" s="568"/>
    </row>
    <row r="618" spans="1:26" ht="18.75" hidden="1">
      <c r="A618" s="578"/>
      <c r="B618" s="580"/>
      <c r="C618" s="580"/>
      <c r="D618" s="685" t="s">
        <v>265</v>
      </c>
      <c r="E618" s="684"/>
      <c r="F618" s="684"/>
      <c r="G618" s="581"/>
      <c r="H618" s="582" t="s">
        <v>46</v>
      </c>
      <c r="I618" s="583"/>
      <c r="J618" s="583">
        <v>0</v>
      </c>
      <c r="K618" s="167"/>
      <c r="L618" s="167"/>
      <c r="M618" s="167"/>
      <c r="N618" s="167"/>
      <c r="O618" s="167"/>
      <c r="P618" s="167"/>
      <c r="Q618" s="568"/>
      <c r="R618" s="568"/>
      <c r="S618" s="568"/>
      <c r="T618" s="568"/>
      <c r="U618" s="568"/>
      <c r="V618" s="568"/>
      <c r="W618" s="568"/>
      <c r="X618" s="568"/>
      <c r="Y618" s="568"/>
      <c r="Z618" s="568"/>
    </row>
    <row r="619" spans="1:26" ht="18.75" hidden="1">
      <c r="A619" s="578"/>
      <c r="B619" s="580"/>
      <c r="C619" s="580"/>
      <c r="D619" s="580"/>
      <c r="E619" s="684"/>
      <c r="F619" s="684"/>
      <c r="G619" s="581"/>
      <c r="H619" s="582" t="s">
        <v>34</v>
      </c>
      <c r="I619" s="583"/>
      <c r="J619" s="583">
        <v>0</v>
      </c>
      <c r="K619" s="167"/>
      <c r="L619" s="167"/>
      <c r="M619" s="167"/>
      <c r="N619" s="167"/>
      <c r="O619" s="167"/>
      <c r="P619" s="167"/>
      <c r="Q619" s="568"/>
      <c r="R619" s="568"/>
      <c r="S619" s="568"/>
      <c r="T619" s="568"/>
      <c r="U619" s="568"/>
      <c r="V619" s="568"/>
      <c r="W619" s="568"/>
      <c r="X619" s="568"/>
      <c r="Y619" s="568"/>
      <c r="Z619" s="568"/>
    </row>
    <row r="620" spans="1:26" ht="19.5">
      <c r="A620" s="686"/>
      <c r="B620" s="695"/>
      <c r="C620" s="688" t="s">
        <v>266</v>
      </c>
      <c r="D620" s="695"/>
      <c r="E620" s="695"/>
      <c r="F620" s="689"/>
      <c r="G620" s="690"/>
      <c r="H620" s="691" t="s">
        <v>46</v>
      </c>
      <c r="I620" s="692">
        <f ca="1">IFERROR(__xludf.DUMMYFUNCTION("IMPORTRANGE(""https://docs.google.com/spreadsheets/d/1QqKyyYR6Q21VydFLVH3TRQUabQu_ym0Zz7PgGX0-kHA/edit?usp=sharing"",""แผน!HL28"")"),0)</f>
        <v>0</v>
      </c>
      <c r="J620" s="692">
        <f t="shared" ref="J620:J621" si="259">J622+J624+J626</f>
        <v>0</v>
      </c>
      <c r="K620" s="693">
        <f t="shared" ref="K620:K621" ca="1" si="260">IF(I620&gt;0,J620*100/I620,0)</f>
        <v>0</v>
      </c>
      <c r="L620" s="694"/>
      <c r="M620" s="694"/>
      <c r="N620" s="694"/>
      <c r="O620" s="694"/>
      <c r="P620" s="694"/>
      <c r="Q620" s="541"/>
      <c r="R620" s="541"/>
      <c r="S620" s="541"/>
      <c r="T620" s="541"/>
      <c r="U620" s="541"/>
      <c r="V620" s="541"/>
      <c r="W620" s="541"/>
      <c r="X620" s="541"/>
      <c r="Y620" s="541"/>
      <c r="Z620" s="541"/>
    </row>
    <row r="621" spans="1:26" ht="19.5">
      <c r="A621" s="686"/>
      <c r="B621" s="695"/>
      <c r="C621" s="695" t="s">
        <v>267</v>
      </c>
      <c r="D621" s="695"/>
      <c r="E621" s="695"/>
      <c r="F621" s="689"/>
      <c r="G621" s="690"/>
      <c r="H621" s="691" t="s">
        <v>34</v>
      </c>
      <c r="I621" s="692">
        <f ca="1">IFERROR(__xludf.DUMMYFUNCTION("IMPORTRANGE(""https://docs.google.com/spreadsheets/d/1QqKyyYR6Q21VydFLVH3TRQUabQu_ym0Zz7PgGX0-kHA/edit?usp=sharing"",""แผน!HK28"")"),0)</f>
        <v>0</v>
      </c>
      <c r="J621" s="692">
        <f t="shared" si="259"/>
        <v>0</v>
      </c>
      <c r="K621" s="693">
        <f t="shared" ca="1" si="260"/>
        <v>0</v>
      </c>
      <c r="L621" s="694"/>
      <c r="M621" s="694"/>
      <c r="N621" s="694"/>
      <c r="O621" s="694"/>
      <c r="P621" s="694"/>
      <c r="Q621" s="541"/>
      <c r="R621" s="541"/>
      <c r="S621" s="541"/>
      <c r="T621" s="541"/>
      <c r="U621" s="541"/>
      <c r="V621" s="541"/>
      <c r="W621" s="541"/>
      <c r="X621" s="541"/>
      <c r="Y621" s="541"/>
      <c r="Z621" s="541"/>
    </row>
    <row r="622" spans="1:26" ht="18.75">
      <c r="A622" s="572"/>
      <c r="B622" s="584"/>
      <c r="C622" s="584"/>
      <c r="D622" s="710" t="s">
        <v>268</v>
      </c>
      <c r="E622" s="592"/>
      <c r="F622" s="592"/>
      <c r="G622" s="726"/>
      <c r="H622" s="728" t="s">
        <v>46</v>
      </c>
      <c r="I622" s="269"/>
      <c r="J622" s="214">
        <v>0</v>
      </c>
      <c r="K622" s="163"/>
      <c r="L622" s="163"/>
      <c r="M622" s="163"/>
      <c r="N622" s="163"/>
      <c r="O622" s="163"/>
      <c r="P622" s="163"/>
      <c r="Q622" s="541"/>
      <c r="R622" s="541"/>
      <c r="S622" s="541"/>
      <c r="T622" s="541"/>
      <c r="U622" s="541"/>
      <c r="V622" s="541"/>
      <c r="W622" s="541"/>
      <c r="X622" s="541"/>
      <c r="Y622" s="541"/>
      <c r="Z622" s="541"/>
    </row>
    <row r="623" spans="1:26" ht="18.75">
      <c r="A623" s="572"/>
      <c r="B623" s="584"/>
      <c r="C623" s="584"/>
      <c r="D623" s="584"/>
      <c r="E623" s="592"/>
      <c r="F623" s="592"/>
      <c r="G623" s="726"/>
      <c r="H623" s="728" t="s">
        <v>34</v>
      </c>
      <c r="I623" s="269"/>
      <c r="J623" s="214">
        <v>0</v>
      </c>
      <c r="K623" s="163"/>
      <c r="L623" s="163"/>
      <c r="M623" s="163"/>
      <c r="N623" s="163"/>
      <c r="O623" s="163"/>
      <c r="P623" s="163"/>
      <c r="Q623" s="541"/>
      <c r="R623" s="541"/>
      <c r="S623" s="541"/>
      <c r="T623" s="541"/>
      <c r="U623" s="541"/>
      <c r="V623" s="541"/>
      <c r="W623" s="541"/>
      <c r="X623" s="541"/>
      <c r="Y623" s="541"/>
      <c r="Z623" s="541"/>
    </row>
    <row r="624" spans="1:26" ht="18.75">
      <c r="A624" s="572"/>
      <c r="B624" s="584"/>
      <c r="C624" s="584"/>
      <c r="D624" s="710" t="s">
        <v>264</v>
      </c>
      <c r="E624" s="592"/>
      <c r="F624" s="592"/>
      <c r="G624" s="726"/>
      <c r="H624" s="728" t="s">
        <v>46</v>
      </c>
      <c r="I624" s="269"/>
      <c r="J624" s="214">
        <v>0</v>
      </c>
      <c r="K624" s="163"/>
      <c r="L624" s="163"/>
      <c r="M624" s="163"/>
      <c r="N624" s="163"/>
      <c r="O624" s="163"/>
      <c r="P624" s="163"/>
      <c r="Q624" s="541"/>
      <c r="R624" s="541"/>
      <c r="S624" s="541"/>
      <c r="T624" s="541"/>
      <c r="U624" s="541"/>
      <c r="V624" s="541"/>
      <c r="W624" s="541"/>
      <c r="X624" s="541"/>
      <c r="Y624" s="541"/>
      <c r="Z624" s="541"/>
    </row>
    <row r="625" spans="1:26" ht="18.75">
      <c r="A625" s="572"/>
      <c r="B625" s="584"/>
      <c r="C625" s="584"/>
      <c r="D625" s="584"/>
      <c r="E625" s="592"/>
      <c r="F625" s="592"/>
      <c r="G625" s="726"/>
      <c r="H625" s="728" t="s">
        <v>34</v>
      </c>
      <c r="I625" s="269"/>
      <c r="J625" s="214">
        <v>0</v>
      </c>
      <c r="K625" s="163"/>
      <c r="L625" s="163"/>
      <c r="M625" s="163"/>
      <c r="N625" s="163"/>
      <c r="O625" s="163"/>
      <c r="P625" s="163"/>
      <c r="Q625" s="541"/>
      <c r="R625" s="541"/>
      <c r="S625" s="541"/>
      <c r="T625" s="541"/>
      <c r="U625" s="541"/>
      <c r="V625" s="541"/>
      <c r="W625" s="541"/>
      <c r="X625" s="541"/>
      <c r="Y625" s="541"/>
      <c r="Z625" s="541"/>
    </row>
    <row r="626" spans="1:26" ht="18.75">
      <c r="A626" s="572"/>
      <c r="B626" s="584"/>
      <c r="C626" s="584"/>
      <c r="D626" s="710" t="s">
        <v>269</v>
      </c>
      <c r="E626" s="592"/>
      <c r="F626" s="592"/>
      <c r="G626" s="726"/>
      <c r="H626" s="728" t="s">
        <v>46</v>
      </c>
      <c r="I626" s="269"/>
      <c r="J626" s="214">
        <v>0</v>
      </c>
      <c r="K626" s="163"/>
      <c r="L626" s="163"/>
      <c r="M626" s="163"/>
      <c r="N626" s="163"/>
      <c r="O626" s="163"/>
      <c r="P626" s="163"/>
      <c r="Q626" s="541"/>
      <c r="R626" s="541"/>
      <c r="S626" s="541"/>
      <c r="T626" s="541"/>
      <c r="U626" s="541"/>
      <c r="V626" s="541"/>
      <c r="W626" s="541"/>
      <c r="X626" s="541"/>
      <c r="Y626" s="541"/>
      <c r="Z626" s="541"/>
    </row>
    <row r="627" spans="1:26" ht="18.75">
      <c r="A627" s="696"/>
      <c r="B627" s="697"/>
      <c r="C627" s="697"/>
      <c r="D627" s="697"/>
      <c r="E627" s="698"/>
      <c r="F627" s="698"/>
      <c r="G627" s="699"/>
      <c r="H627" s="390" t="s">
        <v>34</v>
      </c>
      <c r="I627" s="468"/>
      <c r="J627" s="392">
        <v>0</v>
      </c>
      <c r="K627" s="353"/>
      <c r="L627" s="353"/>
      <c r="M627" s="353"/>
      <c r="N627" s="353"/>
      <c r="O627" s="353"/>
      <c r="P627" s="353"/>
      <c r="Q627" s="541"/>
      <c r="R627" s="541"/>
      <c r="S627" s="541"/>
      <c r="T627" s="541"/>
      <c r="U627" s="541"/>
      <c r="V627" s="541"/>
      <c r="W627" s="541"/>
      <c r="X627" s="541"/>
      <c r="Y627" s="541"/>
      <c r="Z627" s="541"/>
    </row>
    <row r="628" spans="1:26" ht="19.5">
      <c r="A628" s="700">
        <v>7</v>
      </c>
      <c r="B628" s="701" t="s">
        <v>270</v>
      </c>
      <c r="C628" s="702"/>
      <c r="D628" s="702"/>
      <c r="E628" s="702"/>
      <c r="F628" s="702"/>
      <c r="G628" s="703"/>
      <c r="H628" s="704" t="s">
        <v>35</v>
      </c>
      <c r="I628" s="705">
        <f t="shared" ref="I628:J628" ca="1" si="261">I651</f>
        <v>155</v>
      </c>
      <c r="J628" s="705">
        <f t="shared" ca="1" si="261"/>
        <v>0</v>
      </c>
      <c r="K628" s="706">
        <f ca="1">IF(I628&gt;0,J628*100/I628,0)</f>
        <v>0</v>
      </c>
      <c r="L628" s="707"/>
      <c r="M628" s="707"/>
      <c r="N628" s="707"/>
      <c r="O628" s="707"/>
      <c r="P628" s="707"/>
      <c r="Q628" s="541"/>
      <c r="R628" s="541"/>
      <c r="S628" s="541"/>
      <c r="T628" s="541"/>
      <c r="U628" s="541"/>
      <c r="V628" s="541"/>
      <c r="W628" s="541"/>
      <c r="X628" s="541"/>
      <c r="Y628" s="541"/>
      <c r="Z628" s="541"/>
    </row>
    <row r="629" spans="1:26" ht="19.5">
      <c r="A629" s="561"/>
      <c r="B629" s="727"/>
      <c r="C629" s="727" t="s">
        <v>16</v>
      </c>
      <c r="D629" s="811" t="s">
        <v>17</v>
      </c>
      <c r="E629" s="805"/>
      <c r="F629" s="805"/>
      <c r="G629" s="189"/>
      <c r="H629" s="562" t="s">
        <v>12</v>
      </c>
      <c r="I629" s="269"/>
      <c r="J629" s="269"/>
      <c r="K629" s="465"/>
      <c r="L629" s="195">
        <f t="shared" ref="L629:N629" ca="1" si="262">L630+L631</f>
        <v>385305</v>
      </c>
      <c r="M629" s="195">
        <f t="shared" si="262"/>
        <v>0</v>
      </c>
      <c r="N629" s="195">
        <f t="shared" si="262"/>
        <v>0</v>
      </c>
      <c r="O629" s="195">
        <f t="shared" ref="O629:O634" ca="1" si="263">IF(L629&gt;0,N629*100/L629,0)</f>
        <v>0</v>
      </c>
      <c r="P629" s="195">
        <f t="shared" ref="P629:P634" si="264">IF(M629&gt;0,N629*100/M629,0)</f>
        <v>0</v>
      </c>
      <c r="Q629" s="541"/>
      <c r="R629" s="541"/>
      <c r="S629" s="541"/>
      <c r="T629" s="541"/>
      <c r="U629" s="541"/>
      <c r="V629" s="541"/>
      <c r="W629" s="541"/>
      <c r="X629" s="541"/>
      <c r="Y629" s="541"/>
      <c r="Z629" s="541"/>
    </row>
    <row r="630" spans="1:26" ht="18.75" hidden="1">
      <c r="A630" s="563"/>
      <c r="B630" s="723"/>
      <c r="C630" s="723"/>
      <c r="D630" s="684"/>
      <c r="E630" s="723" t="s">
        <v>184</v>
      </c>
      <c r="F630" s="723"/>
      <c r="G630" s="567"/>
      <c r="H630" s="165" t="s">
        <v>12</v>
      </c>
      <c r="I630" s="583"/>
      <c r="J630" s="583"/>
      <c r="K630" s="93"/>
      <c r="L630" s="93">
        <f t="shared" ref="L630:N631" si="265">L633+L640</f>
        <v>0</v>
      </c>
      <c r="M630" s="93">
        <f t="shared" si="265"/>
        <v>0</v>
      </c>
      <c r="N630" s="93">
        <f t="shared" si="265"/>
        <v>0</v>
      </c>
      <c r="O630" s="93">
        <f t="shared" si="263"/>
        <v>0</v>
      </c>
      <c r="P630" s="93">
        <f t="shared" si="264"/>
        <v>0</v>
      </c>
      <c r="Q630" s="568"/>
      <c r="R630" s="568"/>
      <c r="S630" s="568"/>
      <c r="T630" s="568"/>
      <c r="U630" s="568"/>
      <c r="V630" s="568"/>
      <c r="W630" s="568"/>
      <c r="X630" s="568"/>
      <c r="Y630" s="568"/>
      <c r="Z630" s="568"/>
    </row>
    <row r="631" spans="1:26" ht="18.75" hidden="1">
      <c r="A631" s="563"/>
      <c r="B631" s="571"/>
      <c r="C631" s="723"/>
      <c r="D631" s="684"/>
      <c r="E631" s="723" t="s">
        <v>185</v>
      </c>
      <c r="F631" s="723"/>
      <c r="G631" s="567"/>
      <c r="H631" s="165" t="s">
        <v>12</v>
      </c>
      <c r="I631" s="583"/>
      <c r="J631" s="583"/>
      <c r="K631" s="93"/>
      <c r="L631" s="93">
        <f t="shared" ca="1" si="265"/>
        <v>385305</v>
      </c>
      <c r="M631" s="93">
        <f t="shared" si="265"/>
        <v>0</v>
      </c>
      <c r="N631" s="93">
        <f t="shared" si="265"/>
        <v>0</v>
      </c>
      <c r="O631" s="93">
        <f t="shared" ca="1" si="263"/>
        <v>0</v>
      </c>
      <c r="P631" s="93">
        <f t="shared" si="264"/>
        <v>0</v>
      </c>
      <c r="Q631" s="568"/>
      <c r="R631" s="568"/>
      <c r="S631" s="568"/>
      <c r="T631" s="568"/>
      <c r="U631" s="568"/>
      <c r="V631" s="568"/>
      <c r="W631" s="568"/>
      <c r="X631" s="568"/>
      <c r="Y631" s="568"/>
      <c r="Z631" s="568"/>
    </row>
    <row r="632" spans="1:26" ht="18.75">
      <c r="A632" s="561"/>
      <c r="B632" s="538"/>
      <c r="C632" s="727"/>
      <c r="D632" s="570" t="s">
        <v>20</v>
      </c>
      <c r="E632" s="727"/>
      <c r="F632" s="727"/>
      <c r="G632" s="189"/>
      <c r="H632" s="161" t="s">
        <v>12</v>
      </c>
      <c r="I632" s="184"/>
      <c r="J632" s="184"/>
      <c r="K632" s="163"/>
      <c r="L632" s="465">
        <f t="shared" ref="L632:N632" ca="1" si="266">L633+L634</f>
        <v>385305</v>
      </c>
      <c r="M632" s="465">
        <f t="shared" si="266"/>
        <v>0</v>
      </c>
      <c r="N632" s="465">
        <f t="shared" si="266"/>
        <v>0</v>
      </c>
      <c r="O632" s="465">
        <f t="shared" ca="1" si="263"/>
        <v>0</v>
      </c>
      <c r="P632" s="465">
        <f t="shared" si="264"/>
        <v>0</v>
      </c>
      <c r="Q632" s="541"/>
      <c r="R632" s="541"/>
      <c r="S632" s="541"/>
      <c r="T632" s="541"/>
      <c r="U632" s="541"/>
      <c r="V632" s="541"/>
      <c r="W632" s="541"/>
      <c r="X632" s="541"/>
      <c r="Y632" s="541"/>
      <c r="Z632" s="541"/>
    </row>
    <row r="633" spans="1:26" ht="18.75" hidden="1">
      <c r="A633" s="563"/>
      <c r="B633" s="571"/>
      <c r="C633" s="723"/>
      <c r="D633" s="684"/>
      <c r="E633" s="723" t="s">
        <v>184</v>
      </c>
      <c r="F633" s="723"/>
      <c r="G633" s="567"/>
      <c r="H633" s="165" t="s">
        <v>12</v>
      </c>
      <c r="I633" s="583"/>
      <c r="J633" s="583"/>
      <c r="K633" s="93"/>
      <c r="L633" s="93">
        <v>0</v>
      </c>
      <c r="M633" s="93">
        <v>0</v>
      </c>
      <c r="N633" s="93">
        <v>0</v>
      </c>
      <c r="O633" s="93">
        <f t="shared" si="263"/>
        <v>0</v>
      </c>
      <c r="P633" s="93">
        <f t="shared" si="264"/>
        <v>0</v>
      </c>
      <c r="Q633" s="568"/>
      <c r="R633" s="568"/>
      <c r="S633" s="568"/>
      <c r="T633" s="568"/>
      <c r="U633" s="568"/>
      <c r="V633" s="568"/>
      <c r="W633" s="568"/>
      <c r="X633" s="568"/>
      <c r="Y633" s="568"/>
      <c r="Z633" s="568"/>
    </row>
    <row r="634" spans="1:26" ht="18.75" hidden="1">
      <c r="A634" s="563"/>
      <c r="B634" s="571"/>
      <c r="C634" s="723"/>
      <c r="D634" s="684"/>
      <c r="E634" s="723" t="s">
        <v>185</v>
      </c>
      <c r="F634" s="723"/>
      <c r="G634" s="567"/>
      <c r="H634" s="165" t="s">
        <v>12</v>
      </c>
      <c r="I634" s="583"/>
      <c r="J634" s="583"/>
      <c r="K634" s="93"/>
      <c r="L634" s="93">
        <f ca="1">IFERROR(__xludf.DUMMYFUNCTION("IMPORTRANGE(""https://docs.google.com/spreadsheets/d/1QqKyyYR6Q21VydFLVH3TRQUabQu_ym0Zz7PgGX0-kHA/edit?usp=sharing"",""แผน!HN28"")"),385305)</f>
        <v>385305</v>
      </c>
      <c r="M634" s="93">
        <v>0</v>
      </c>
      <c r="N634" s="93">
        <f>N635+N636+N637+N638</f>
        <v>0</v>
      </c>
      <c r="O634" s="93">
        <f t="shared" ca="1" si="263"/>
        <v>0</v>
      </c>
      <c r="P634" s="93">
        <f t="shared" si="264"/>
        <v>0</v>
      </c>
      <c r="Q634" s="568"/>
      <c r="R634" s="568"/>
      <c r="S634" s="568"/>
      <c r="T634" s="568"/>
      <c r="U634" s="568"/>
      <c r="V634" s="568"/>
      <c r="W634" s="568"/>
      <c r="X634" s="568"/>
      <c r="Y634" s="568"/>
      <c r="Z634" s="568"/>
    </row>
    <row r="635" spans="1:26" ht="18.75">
      <c r="A635" s="537"/>
      <c r="B635" s="538"/>
      <c r="C635" s="727"/>
      <c r="D635" s="727"/>
      <c r="E635" s="727"/>
      <c r="F635" s="727" t="s">
        <v>186</v>
      </c>
      <c r="G635" s="189"/>
      <c r="H635" s="161" t="s">
        <v>12</v>
      </c>
      <c r="I635" s="269"/>
      <c r="J635" s="269"/>
      <c r="K635" s="465"/>
      <c r="L635" s="465"/>
      <c r="M635" s="465"/>
      <c r="N635" s="789">
        <v>0</v>
      </c>
      <c r="O635" s="465"/>
      <c r="P635" s="465"/>
      <c r="Q635" s="541"/>
      <c r="R635" s="541"/>
      <c r="S635" s="541"/>
      <c r="T635" s="541"/>
      <c r="U635" s="541"/>
      <c r="V635" s="541"/>
      <c r="W635" s="541"/>
      <c r="X635" s="541"/>
      <c r="Y635" s="541"/>
      <c r="Z635" s="541"/>
    </row>
    <row r="636" spans="1:26" ht="18.75">
      <c r="A636" s="537"/>
      <c r="B636" s="538"/>
      <c r="C636" s="727"/>
      <c r="D636" s="727"/>
      <c r="E636" s="727"/>
      <c r="F636" s="727" t="s">
        <v>187</v>
      </c>
      <c r="G636" s="189"/>
      <c r="H636" s="161" t="s">
        <v>12</v>
      </c>
      <c r="I636" s="269"/>
      <c r="J636" s="269"/>
      <c r="K636" s="465"/>
      <c r="L636" s="465"/>
      <c r="M636" s="465"/>
      <c r="N636" s="789">
        <v>0</v>
      </c>
      <c r="O636" s="465"/>
      <c r="P636" s="465"/>
      <c r="Q636" s="541"/>
      <c r="R636" s="541"/>
      <c r="S636" s="541"/>
      <c r="T636" s="541"/>
      <c r="U636" s="541"/>
      <c r="V636" s="541"/>
      <c r="W636" s="541"/>
      <c r="X636" s="541"/>
      <c r="Y636" s="541"/>
      <c r="Z636" s="541"/>
    </row>
    <row r="637" spans="1:26" ht="18.75">
      <c r="A637" s="537"/>
      <c r="B637" s="538"/>
      <c r="C637" s="727"/>
      <c r="D637" s="727"/>
      <c r="E637" s="727"/>
      <c r="F637" s="727" t="s">
        <v>188</v>
      </c>
      <c r="G637" s="189"/>
      <c r="H637" s="161" t="s">
        <v>12</v>
      </c>
      <c r="I637" s="269"/>
      <c r="J637" s="269"/>
      <c r="K637" s="465"/>
      <c r="L637" s="465"/>
      <c r="M637" s="465"/>
      <c r="N637" s="789">
        <v>0</v>
      </c>
      <c r="O637" s="465"/>
      <c r="P637" s="465"/>
      <c r="Q637" s="541"/>
      <c r="R637" s="541"/>
      <c r="S637" s="541"/>
      <c r="T637" s="541"/>
      <c r="U637" s="541"/>
      <c r="V637" s="541"/>
      <c r="W637" s="541"/>
      <c r="X637" s="541"/>
      <c r="Y637" s="541"/>
      <c r="Z637" s="541"/>
    </row>
    <row r="638" spans="1:26" ht="18.75">
      <c r="A638" s="537"/>
      <c r="B638" s="538"/>
      <c r="C638" s="727"/>
      <c r="D638" s="727"/>
      <c r="E638" s="727"/>
      <c r="F638" s="727" t="s">
        <v>189</v>
      </c>
      <c r="G638" s="189"/>
      <c r="H638" s="161" t="s">
        <v>12</v>
      </c>
      <c r="I638" s="269"/>
      <c r="J638" s="269"/>
      <c r="K638" s="465"/>
      <c r="L638" s="465"/>
      <c r="M638" s="465"/>
      <c r="N638" s="789">
        <v>0</v>
      </c>
      <c r="O638" s="465"/>
      <c r="P638" s="465"/>
      <c r="Q638" s="541"/>
      <c r="R638" s="541"/>
      <c r="S638" s="541"/>
      <c r="T638" s="541"/>
      <c r="U638" s="541"/>
      <c r="V638" s="541"/>
      <c r="W638" s="541"/>
      <c r="X638" s="541"/>
      <c r="Y638" s="541"/>
      <c r="Z638" s="541"/>
    </row>
    <row r="639" spans="1:26" ht="18.75">
      <c r="A639" s="561"/>
      <c r="B639" s="538"/>
      <c r="C639" s="727"/>
      <c r="D639" s="570" t="s">
        <v>21</v>
      </c>
      <c r="E639" s="727"/>
      <c r="F639" s="727"/>
      <c r="G639" s="189"/>
      <c r="H639" s="168" t="s">
        <v>12</v>
      </c>
      <c r="I639" s="184"/>
      <c r="J639" s="184"/>
      <c r="K639" s="163"/>
      <c r="L639" s="465">
        <f t="shared" ref="L639:N639" ca="1" si="267">L640+L641</f>
        <v>0</v>
      </c>
      <c r="M639" s="465">
        <f t="shared" si="267"/>
        <v>0</v>
      </c>
      <c r="N639" s="465">
        <f t="shared" si="267"/>
        <v>0</v>
      </c>
      <c r="O639" s="465">
        <f t="shared" ref="O639:O641" ca="1" si="268">IF(L639&gt;0,N639*100/L639,0)</f>
        <v>0</v>
      </c>
      <c r="P639" s="465">
        <f t="shared" ref="P639:P641" si="269">IF(M639&gt;0,N639*100/M639,0)</f>
        <v>0</v>
      </c>
      <c r="Q639" s="541"/>
      <c r="R639" s="541"/>
      <c r="S639" s="541"/>
      <c r="T639" s="541"/>
      <c r="U639" s="541"/>
      <c r="V639" s="541"/>
      <c r="W639" s="541"/>
      <c r="X639" s="541"/>
      <c r="Y639" s="541"/>
      <c r="Z639" s="541"/>
    </row>
    <row r="640" spans="1:26" ht="18.75" hidden="1">
      <c r="A640" s="563"/>
      <c r="B640" s="571"/>
      <c r="C640" s="723"/>
      <c r="D640" s="723"/>
      <c r="E640" s="723" t="s">
        <v>18</v>
      </c>
      <c r="F640" s="723"/>
      <c r="G640" s="567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8"/>
        <v>0</v>
      </c>
      <c r="P640" s="93">
        <f t="shared" si="269"/>
        <v>0</v>
      </c>
      <c r="Q640" s="568"/>
      <c r="R640" s="568"/>
      <c r="S640" s="568"/>
      <c r="T640" s="568"/>
      <c r="U640" s="568"/>
      <c r="V640" s="568"/>
      <c r="W640" s="568"/>
      <c r="X640" s="568"/>
      <c r="Y640" s="568"/>
      <c r="Z640" s="568"/>
    </row>
    <row r="641" spans="1:26" ht="18.75" hidden="1">
      <c r="A641" s="563"/>
      <c r="B641" s="571"/>
      <c r="C641" s="723"/>
      <c r="D641" s="723"/>
      <c r="E641" s="723" t="s">
        <v>19</v>
      </c>
      <c r="F641" s="723"/>
      <c r="G641" s="567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IFERROR(__xludf.DUMMYFUNCTION("IMPORTRANGE(""https://docs.google.com/spreadsheets/d/1QqKyyYR6Q21VydFLVH3TRQUabQu_ym0Zz7PgGX0-kHA/edit?usp=sharing"",""แผน!HQ28"")"),0)</f>
        <v>0</v>
      </c>
      <c r="M641" s="93">
        <v>0</v>
      </c>
      <c r="N641" s="93">
        <v>0</v>
      </c>
      <c r="O641" s="93">
        <f t="shared" ca="1" si="268"/>
        <v>0</v>
      </c>
      <c r="P641" s="93">
        <f t="shared" si="269"/>
        <v>0</v>
      </c>
      <c r="Q641" s="568"/>
      <c r="R641" s="568"/>
      <c r="S641" s="568"/>
      <c r="T641" s="568"/>
      <c r="U641" s="568"/>
      <c r="V641" s="568"/>
      <c r="W641" s="568"/>
      <c r="X641" s="568"/>
      <c r="Y641" s="568"/>
      <c r="Z641" s="568"/>
    </row>
    <row r="642" spans="1:26" ht="19.5">
      <c r="A642" s="572"/>
      <c r="B642" s="584"/>
      <c r="C642" s="727" t="s">
        <v>16</v>
      </c>
      <c r="D642" s="853" t="s">
        <v>38</v>
      </c>
      <c r="E642" s="725"/>
      <c r="F642" s="725"/>
      <c r="G642" s="577"/>
      <c r="H642" s="726"/>
      <c r="I642" s="184"/>
      <c r="J642" s="184"/>
      <c r="K642" s="163"/>
      <c r="L642" s="163"/>
      <c r="M642" s="163"/>
      <c r="N642" s="163"/>
      <c r="O642" s="163"/>
      <c r="P642" s="163"/>
      <c r="Q642" s="541"/>
      <c r="R642" s="541"/>
      <c r="S642" s="541"/>
      <c r="T642" s="541"/>
      <c r="U642" s="541"/>
      <c r="V642" s="541"/>
      <c r="W642" s="541"/>
      <c r="X642" s="541"/>
      <c r="Y642" s="541"/>
      <c r="Z642" s="541"/>
    </row>
    <row r="643" spans="1:26" ht="18.75">
      <c r="A643" s="708"/>
      <c r="B643" s="538"/>
      <c r="C643" s="727"/>
      <c r="D643" s="592"/>
      <c r="E643" s="710" t="s">
        <v>271</v>
      </c>
      <c r="F643" s="592"/>
      <c r="G643" s="726"/>
      <c r="H643" s="728" t="s">
        <v>272</v>
      </c>
      <c r="I643" s="269">
        <f ca="1">IFERROR(__xludf.DUMMYFUNCTION("IMPORTRANGE(""https://docs.google.com/spreadsheets/d/1QqKyyYR6Q21VydFLVH3TRQUabQu_ym0Zz7PgGX0-kHA/edit?usp=sharing"",""แผน!HR28"")"),0)</f>
        <v>0</v>
      </c>
      <c r="J643" s="214">
        <v>0</v>
      </c>
      <c r="K643" s="163">
        <f t="shared" ref="K643:K652" ca="1" si="270">IF(I643&gt;0,J643*100/I643,0)</f>
        <v>0</v>
      </c>
      <c r="L643" s="163"/>
      <c r="M643" s="163"/>
      <c r="N643" s="465"/>
      <c r="O643" s="163"/>
      <c r="P643" s="163"/>
      <c r="Q643" s="541"/>
      <c r="R643" s="541"/>
      <c r="S643" s="541"/>
      <c r="T643" s="541"/>
      <c r="U643" s="541"/>
      <c r="V643" s="541"/>
      <c r="W643" s="541"/>
      <c r="X643" s="541"/>
      <c r="Y643" s="541"/>
      <c r="Z643" s="541"/>
    </row>
    <row r="644" spans="1:26" ht="18.75">
      <c r="A644" s="708"/>
      <c r="B644" s="538"/>
      <c r="C644" s="727"/>
      <c r="D644" s="592"/>
      <c r="E644" s="710" t="s">
        <v>273</v>
      </c>
      <c r="F644" s="592"/>
      <c r="G644" s="726"/>
      <c r="H644" s="728" t="s">
        <v>274</v>
      </c>
      <c r="I644" s="269">
        <f ca="1">IFERROR(__xludf.DUMMYFUNCTION("IMPORTRANGE(""https://docs.google.com/spreadsheets/d/1QqKyyYR6Q21VydFLVH3TRQUabQu_ym0Zz7PgGX0-kHA/edit?usp=sharing"",""แผน!HR28"")"),0)</f>
        <v>0</v>
      </c>
      <c r="J644" s="214">
        <v>0</v>
      </c>
      <c r="K644" s="163">
        <f t="shared" ca="1" si="270"/>
        <v>0</v>
      </c>
      <c r="L644" s="163"/>
      <c r="M644" s="163"/>
      <c r="N644" s="465"/>
      <c r="O644" s="163"/>
      <c r="P644" s="163"/>
      <c r="Q644" s="541"/>
      <c r="R644" s="541"/>
      <c r="S644" s="541"/>
      <c r="T644" s="541"/>
      <c r="U644" s="541"/>
      <c r="V644" s="541"/>
      <c r="W644" s="541"/>
      <c r="X644" s="541"/>
      <c r="Y644" s="541"/>
      <c r="Z644" s="541"/>
    </row>
    <row r="645" spans="1:26" ht="18.75">
      <c r="A645" s="708"/>
      <c r="B645" s="538"/>
      <c r="C645" s="727"/>
      <c r="D645" s="592"/>
      <c r="E645" s="710" t="s">
        <v>275</v>
      </c>
      <c r="F645" s="592"/>
      <c r="G645" s="726"/>
      <c r="H645" s="728" t="s">
        <v>34</v>
      </c>
      <c r="I645" s="269">
        <v>0</v>
      </c>
      <c r="J645" s="269">
        <f ca="1">IFERROR(__xludf.DUMMYFUNCTION("IMPORTRANGE(""https://docs.google.com/spreadsheets/d/1XWAQStnk-4SwqDmLtmXYiTMKHgktTP8We1SCoS47DrQ/edit?usp=sharing"",""จัดที่ดิน!AS28"")"),22)</f>
        <v>22</v>
      </c>
      <c r="K645" s="163">
        <f t="shared" si="270"/>
        <v>0</v>
      </c>
      <c r="L645" s="163"/>
      <c r="M645" s="163"/>
      <c r="N645" s="465"/>
      <c r="O645" s="163"/>
      <c r="P645" s="163"/>
      <c r="Q645" s="541"/>
      <c r="R645" s="541"/>
      <c r="S645" s="541"/>
      <c r="T645" s="541"/>
      <c r="U645" s="541"/>
      <c r="V645" s="541"/>
      <c r="W645" s="541"/>
      <c r="X645" s="541"/>
      <c r="Y645" s="541"/>
      <c r="Z645" s="541"/>
    </row>
    <row r="646" spans="1:26" ht="18.75">
      <c r="A646" s="708"/>
      <c r="B646" s="538"/>
      <c r="C646" s="727"/>
      <c r="D646" s="592"/>
      <c r="E646" s="592"/>
      <c r="F646" s="592"/>
      <c r="G646" s="726"/>
      <c r="H646" s="728" t="s">
        <v>46</v>
      </c>
      <c r="I646" s="269">
        <v>0</v>
      </c>
      <c r="J646" s="269">
        <f ca="1">IFERROR(__xludf.DUMMYFUNCTION("IMPORTRANGE(""https://docs.google.com/spreadsheets/d/1XWAQStnk-4SwqDmLtmXYiTMKHgktTP8We1SCoS47DrQ/edit?usp=sharing"",""จัดที่ดิน!AT28"")"),14.21)</f>
        <v>14.21</v>
      </c>
      <c r="K646" s="465">
        <f t="shared" si="270"/>
        <v>0</v>
      </c>
      <c r="L646" s="163"/>
      <c r="M646" s="163"/>
      <c r="N646" s="465"/>
      <c r="O646" s="163"/>
      <c r="P646" s="163"/>
      <c r="Q646" s="541"/>
      <c r="R646" s="541"/>
      <c r="S646" s="541"/>
      <c r="T646" s="541"/>
      <c r="U646" s="541"/>
      <c r="V646" s="541"/>
      <c r="W646" s="541"/>
      <c r="X646" s="541"/>
      <c r="Y646" s="541"/>
      <c r="Z646" s="541"/>
    </row>
    <row r="647" spans="1:26" ht="18.75">
      <c r="A647" s="708"/>
      <c r="B647" s="538"/>
      <c r="C647" s="727"/>
      <c r="D647" s="592"/>
      <c r="E647" s="710" t="s">
        <v>162</v>
      </c>
      <c r="F647" s="592"/>
      <c r="G647" s="726"/>
      <c r="H647" s="728" t="s">
        <v>35</v>
      </c>
      <c r="I647" s="269">
        <f ca="1">IFERROR(__xludf.DUMMYFUNCTION("IMPORTRANGE(""https://docs.google.com/spreadsheets/d/1QqKyyYR6Q21VydFLVH3TRQUabQu_ym0Zz7PgGX0-kHA/edit?usp=sharing"",""แผน!HS28"")"),155)</f>
        <v>155</v>
      </c>
      <c r="J647" s="269">
        <f ca="1">IFERROR(__xludf.DUMMYFUNCTION("IMPORTRANGE(""https://docs.google.com/spreadsheets/d/1XWAQStnk-4SwqDmLtmXYiTMKHgktTP8We1SCoS47DrQ/edit?usp=sharing"",""จัดที่ดิน!AU28"")"),0)</f>
        <v>0</v>
      </c>
      <c r="K647" s="163">
        <f t="shared" ca="1" si="270"/>
        <v>0</v>
      </c>
      <c r="L647" s="163"/>
      <c r="M647" s="163"/>
      <c r="N647" s="163"/>
      <c r="O647" s="163"/>
      <c r="P647" s="163"/>
      <c r="Q647" s="541"/>
      <c r="R647" s="541"/>
      <c r="S647" s="541"/>
      <c r="T647" s="541"/>
      <c r="U647" s="541"/>
      <c r="V647" s="541"/>
      <c r="W647" s="541"/>
      <c r="X647" s="541"/>
      <c r="Y647" s="541"/>
      <c r="Z647" s="541"/>
    </row>
    <row r="648" spans="1:26" ht="18.75">
      <c r="A648" s="708"/>
      <c r="B648" s="538"/>
      <c r="C648" s="727"/>
      <c r="D648" s="592"/>
      <c r="E648" s="592"/>
      <c r="F648" s="592"/>
      <c r="G648" s="726"/>
      <c r="H648" s="728" t="s">
        <v>46</v>
      </c>
      <c r="I648" s="269">
        <v>0</v>
      </c>
      <c r="J648" s="269">
        <f ca="1">IFERROR(__xludf.DUMMYFUNCTION("IMPORTRANGE(""https://docs.google.com/spreadsheets/d/1XWAQStnk-4SwqDmLtmXYiTMKHgktTP8We1SCoS47DrQ/edit?usp=sharing"",""จัดที่ดิน!AV28"")"),0)</f>
        <v>0</v>
      </c>
      <c r="K648" s="465">
        <f t="shared" si="270"/>
        <v>0</v>
      </c>
      <c r="L648" s="163"/>
      <c r="M648" s="163"/>
      <c r="N648" s="163"/>
      <c r="O648" s="163"/>
      <c r="P648" s="163"/>
      <c r="Q648" s="541"/>
      <c r="R648" s="541"/>
      <c r="S648" s="541"/>
      <c r="T648" s="541"/>
      <c r="U648" s="541"/>
      <c r="V648" s="541"/>
      <c r="W648" s="541"/>
      <c r="X648" s="541"/>
      <c r="Y648" s="541"/>
      <c r="Z648" s="541"/>
    </row>
    <row r="649" spans="1:26" ht="18.75">
      <c r="A649" s="708"/>
      <c r="B649" s="538"/>
      <c r="C649" s="727"/>
      <c r="D649" s="592"/>
      <c r="E649" s="710" t="s">
        <v>276</v>
      </c>
      <c r="F649" s="592"/>
      <c r="G649" s="726"/>
      <c r="H649" s="728" t="s">
        <v>35</v>
      </c>
      <c r="I649" s="269">
        <f ca="1">IFERROR(__xludf.DUMMYFUNCTION("IMPORTRANGE(""https://docs.google.com/spreadsheets/d/1QqKyyYR6Q21VydFLVH3TRQUabQu_ym0Zz7PgGX0-kHA/edit?usp=sharing"",""แผน!HS28"")"),155)</f>
        <v>155</v>
      </c>
      <c r="J649" s="269">
        <f ca="1">IFERROR(__xludf.DUMMYFUNCTION("IMPORTRANGE(""https://docs.google.com/spreadsheets/d/1XWAQStnk-4SwqDmLtmXYiTMKHgktTP8We1SCoS47DrQ/edit?usp=sharing"",""จัดที่ดิน!AW28"")"),0)</f>
        <v>0</v>
      </c>
      <c r="K649" s="163">
        <f t="shared" ca="1" si="270"/>
        <v>0</v>
      </c>
      <c r="L649" s="163"/>
      <c r="M649" s="163"/>
      <c r="N649" s="163"/>
      <c r="O649" s="163"/>
      <c r="P649" s="163"/>
      <c r="Q649" s="541"/>
      <c r="R649" s="541"/>
      <c r="S649" s="541"/>
      <c r="T649" s="541"/>
      <c r="U649" s="541"/>
      <c r="V649" s="541"/>
      <c r="W649" s="541"/>
      <c r="X649" s="541"/>
      <c r="Y649" s="541"/>
      <c r="Z649" s="541"/>
    </row>
    <row r="650" spans="1:26" ht="18.75">
      <c r="A650" s="708"/>
      <c r="B650" s="538"/>
      <c r="C650" s="727"/>
      <c r="D650" s="592"/>
      <c r="E650" s="592"/>
      <c r="F650" s="592"/>
      <c r="G650" s="726"/>
      <c r="H650" s="728" t="s">
        <v>46</v>
      </c>
      <c r="I650" s="269">
        <v>0</v>
      </c>
      <c r="J650" s="269">
        <f ca="1">IFERROR(__xludf.DUMMYFUNCTION("IMPORTRANGE(""https://docs.google.com/spreadsheets/d/1XWAQStnk-4SwqDmLtmXYiTMKHgktTP8We1SCoS47DrQ/edit?usp=sharing"",""จัดที่ดิน!AX28"")"),0)</f>
        <v>0</v>
      </c>
      <c r="K650" s="465">
        <f t="shared" si="270"/>
        <v>0</v>
      </c>
      <c r="L650" s="163"/>
      <c r="M650" s="163"/>
      <c r="N650" s="163"/>
      <c r="O650" s="163"/>
      <c r="P650" s="163"/>
      <c r="Q650" s="541"/>
      <c r="R650" s="541"/>
      <c r="S650" s="541"/>
      <c r="T650" s="541"/>
      <c r="U650" s="541"/>
      <c r="V650" s="541"/>
      <c r="W650" s="541"/>
      <c r="X650" s="541"/>
      <c r="Y650" s="541"/>
      <c r="Z650" s="541"/>
    </row>
    <row r="651" spans="1:26" ht="18.75">
      <c r="A651" s="708"/>
      <c r="B651" s="538"/>
      <c r="C651" s="727"/>
      <c r="D651" s="592"/>
      <c r="E651" s="710" t="s">
        <v>277</v>
      </c>
      <c r="F651" s="592"/>
      <c r="G651" s="726"/>
      <c r="H651" s="728" t="s">
        <v>35</v>
      </c>
      <c r="I651" s="269">
        <f ca="1">IFERROR(__xludf.DUMMYFUNCTION("IMPORTRANGE(""https://docs.google.com/spreadsheets/d/1QqKyyYR6Q21VydFLVH3TRQUabQu_ym0Zz7PgGX0-kHA/edit?usp=sharing"",""แผน!HS28"")"),155)</f>
        <v>155</v>
      </c>
      <c r="J651" s="269">
        <f ca="1">IFERROR(__xludf.DUMMYFUNCTION("IMPORTRANGE(""https://docs.google.com/spreadsheets/d/1XWAQStnk-4SwqDmLtmXYiTMKHgktTP8We1SCoS47DrQ/edit?usp=sharing"",""จัดที่ดิน!AY28"")"),0)</f>
        <v>0</v>
      </c>
      <c r="K651" s="163">
        <f t="shared" ca="1" si="270"/>
        <v>0</v>
      </c>
      <c r="L651" s="163"/>
      <c r="M651" s="163"/>
      <c r="N651" s="163"/>
      <c r="O651" s="163"/>
      <c r="P651" s="163"/>
      <c r="Q651" s="541"/>
      <c r="R651" s="541"/>
      <c r="S651" s="541"/>
      <c r="T651" s="541"/>
      <c r="U651" s="541"/>
      <c r="V651" s="541"/>
      <c r="W651" s="541"/>
      <c r="X651" s="541"/>
      <c r="Y651" s="541"/>
      <c r="Z651" s="541"/>
    </row>
    <row r="652" spans="1:26" ht="18.75">
      <c r="A652" s="711"/>
      <c r="B652" s="712"/>
      <c r="C652" s="713"/>
      <c r="D652" s="698"/>
      <c r="E652" s="698"/>
      <c r="F652" s="698"/>
      <c r="G652" s="699"/>
      <c r="H652" s="467" t="s">
        <v>46</v>
      </c>
      <c r="I652" s="468">
        <v>0</v>
      </c>
      <c r="J652" s="468">
        <f ca="1">IFERROR(__xludf.DUMMYFUNCTION("IMPORTRANGE(""https://docs.google.com/spreadsheets/d/1XWAQStnk-4SwqDmLtmXYiTMKHgktTP8We1SCoS47DrQ/edit?usp=sharing"",""จัดที่ดิน!AZ28"")"),0)</f>
        <v>0</v>
      </c>
      <c r="K652" s="469">
        <f t="shared" si="270"/>
        <v>0</v>
      </c>
      <c r="L652" s="353"/>
      <c r="M652" s="353"/>
      <c r="N652" s="353"/>
      <c r="O652" s="353"/>
      <c r="P652" s="353"/>
      <c r="Q652" s="541"/>
      <c r="R652" s="541"/>
      <c r="S652" s="541"/>
      <c r="T652" s="541"/>
      <c r="U652" s="541"/>
      <c r="V652" s="541"/>
      <c r="W652" s="541"/>
      <c r="X652" s="541"/>
      <c r="Y652" s="541"/>
      <c r="Z652" s="541"/>
    </row>
    <row r="653" spans="1:26" ht="19.5">
      <c r="A653" s="714">
        <v>8</v>
      </c>
      <c r="B653" s="701" t="s">
        <v>278</v>
      </c>
      <c r="C653" s="702"/>
      <c r="D653" s="702"/>
      <c r="E653" s="702"/>
      <c r="F653" s="702"/>
      <c r="G653" s="703"/>
      <c r="H653" s="703"/>
      <c r="I653" s="715"/>
      <c r="J653" s="715"/>
      <c r="K653" s="707"/>
      <c r="L653" s="707"/>
      <c r="M653" s="707"/>
      <c r="N653" s="707"/>
      <c r="O653" s="707"/>
      <c r="P653" s="707"/>
      <c r="Q653" s="541"/>
      <c r="R653" s="541"/>
      <c r="S653" s="541"/>
      <c r="T653" s="541"/>
      <c r="U653" s="541"/>
      <c r="V653" s="541"/>
      <c r="W653" s="541"/>
      <c r="X653" s="541"/>
      <c r="Y653" s="541"/>
      <c r="Z653" s="541"/>
    </row>
    <row r="654" spans="1:26" ht="19.5">
      <c r="A654" s="639"/>
      <c r="B654" s="638" t="s">
        <v>279</v>
      </c>
      <c r="C654" s="639"/>
      <c r="D654" s="639"/>
      <c r="E654" s="639"/>
      <c r="F654" s="639"/>
      <c r="G654" s="640"/>
      <c r="H654" s="671" t="s">
        <v>46</v>
      </c>
      <c r="I654" s="672">
        <f t="shared" ref="I654:J654" ca="1" si="271">I669</f>
        <v>100</v>
      </c>
      <c r="J654" s="672">
        <f t="shared" si="271"/>
        <v>0</v>
      </c>
      <c r="K654" s="643">
        <f ca="1">IF(I654&gt;0,J654*100/I654,0)</f>
        <v>0</v>
      </c>
      <c r="L654" s="644"/>
      <c r="M654" s="644"/>
      <c r="N654" s="644"/>
      <c r="O654" s="644"/>
      <c r="P654" s="644"/>
      <c r="Q654" s="541"/>
      <c r="R654" s="541"/>
      <c r="S654" s="541"/>
      <c r="T654" s="541"/>
      <c r="U654" s="541"/>
      <c r="V654" s="541"/>
      <c r="W654" s="541"/>
      <c r="X654" s="541"/>
      <c r="Y654" s="541"/>
      <c r="Z654" s="541"/>
    </row>
    <row r="655" spans="1:26" ht="19.5">
      <c r="A655" s="561"/>
      <c r="B655" s="727"/>
      <c r="C655" s="727" t="s">
        <v>16</v>
      </c>
      <c r="D655" s="811" t="s">
        <v>17</v>
      </c>
      <c r="E655" s="805"/>
      <c r="F655" s="805"/>
      <c r="G655" s="189"/>
      <c r="H655" s="562" t="s">
        <v>12</v>
      </c>
      <c r="I655" s="269"/>
      <c r="J655" s="269"/>
      <c r="K655" s="465"/>
      <c r="L655" s="195">
        <f t="shared" ref="L655:N655" ca="1" si="272">L656+L657</f>
        <v>12400</v>
      </c>
      <c r="M655" s="195">
        <f t="shared" si="272"/>
        <v>0</v>
      </c>
      <c r="N655" s="195">
        <f t="shared" si="272"/>
        <v>0</v>
      </c>
      <c r="O655" s="195">
        <f t="shared" ref="O655:O660" ca="1" si="273">IF(L655&gt;0,N655*100/L655,0)</f>
        <v>0</v>
      </c>
      <c r="P655" s="195">
        <f t="shared" ref="P655:P660" si="274">IF(M655&gt;0,N655*100/M655,0)</f>
        <v>0</v>
      </c>
      <c r="Q655" s="541"/>
      <c r="R655" s="541"/>
      <c r="S655" s="541"/>
      <c r="T655" s="541"/>
      <c r="U655" s="541"/>
      <c r="V655" s="541"/>
      <c r="W655" s="541"/>
      <c r="X655" s="541"/>
      <c r="Y655" s="541"/>
      <c r="Z655" s="541"/>
    </row>
    <row r="656" spans="1:26" ht="18.75" hidden="1">
      <c r="A656" s="563"/>
      <c r="B656" s="723"/>
      <c r="C656" s="723"/>
      <c r="D656" s="684"/>
      <c r="E656" s="723" t="s">
        <v>184</v>
      </c>
      <c r="F656" s="723"/>
      <c r="G656" s="567"/>
      <c r="H656" s="165" t="s">
        <v>12</v>
      </c>
      <c r="I656" s="583"/>
      <c r="J656" s="583"/>
      <c r="K656" s="93"/>
      <c r="L656" s="93">
        <f t="shared" ref="L656:N657" si="275">L659+L666</f>
        <v>0</v>
      </c>
      <c r="M656" s="93">
        <f t="shared" si="275"/>
        <v>0</v>
      </c>
      <c r="N656" s="93">
        <f t="shared" si="275"/>
        <v>0</v>
      </c>
      <c r="O656" s="93">
        <f t="shared" si="273"/>
        <v>0</v>
      </c>
      <c r="P656" s="93">
        <f t="shared" si="274"/>
        <v>0</v>
      </c>
      <c r="Q656" s="568"/>
      <c r="R656" s="568"/>
      <c r="S656" s="568"/>
      <c r="T656" s="568"/>
      <c r="U656" s="568"/>
      <c r="V656" s="568"/>
      <c r="W656" s="568"/>
      <c r="X656" s="568"/>
      <c r="Y656" s="568"/>
      <c r="Z656" s="568"/>
    </row>
    <row r="657" spans="1:26" ht="18.75" hidden="1">
      <c r="A657" s="563"/>
      <c r="B657" s="571"/>
      <c r="C657" s="723"/>
      <c r="D657" s="684"/>
      <c r="E657" s="723" t="s">
        <v>185</v>
      </c>
      <c r="F657" s="723"/>
      <c r="G657" s="567"/>
      <c r="H657" s="165" t="s">
        <v>12</v>
      </c>
      <c r="I657" s="583"/>
      <c r="J657" s="583"/>
      <c r="K657" s="93"/>
      <c r="L657" s="93">
        <f t="shared" ca="1" si="275"/>
        <v>12400</v>
      </c>
      <c r="M657" s="93">
        <f t="shared" si="275"/>
        <v>0</v>
      </c>
      <c r="N657" s="93">
        <f t="shared" si="275"/>
        <v>0</v>
      </c>
      <c r="O657" s="93">
        <f t="shared" ca="1" si="273"/>
        <v>0</v>
      </c>
      <c r="P657" s="93">
        <f t="shared" si="274"/>
        <v>0</v>
      </c>
      <c r="Q657" s="568"/>
      <c r="R657" s="568"/>
      <c r="S657" s="568"/>
      <c r="T657" s="568"/>
      <c r="U657" s="568"/>
      <c r="V657" s="568"/>
      <c r="W657" s="568"/>
      <c r="X657" s="568"/>
      <c r="Y657" s="568"/>
      <c r="Z657" s="568"/>
    </row>
    <row r="658" spans="1:26" ht="18.75">
      <c r="A658" s="561"/>
      <c r="B658" s="538"/>
      <c r="C658" s="727"/>
      <c r="D658" s="570" t="s">
        <v>20</v>
      </c>
      <c r="E658" s="727"/>
      <c r="F658" s="727"/>
      <c r="G658" s="189"/>
      <c r="H658" s="161" t="s">
        <v>12</v>
      </c>
      <c r="I658" s="184"/>
      <c r="J658" s="184"/>
      <c r="K658" s="163"/>
      <c r="L658" s="465">
        <f t="shared" ref="L658:N658" ca="1" si="276">L659+L660</f>
        <v>12400</v>
      </c>
      <c r="M658" s="465">
        <f t="shared" si="276"/>
        <v>0</v>
      </c>
      <c r="N658" s="465">
        <f t="shared" si="276"/>
        <v>0</v>
      </c>
      <c r="O658" s="465">
        <f t="shared" ca="1" si="273"/>
        <v>0</v>
      </c>
      <c r="P658" s="465">
        <f t="shared" si="274"/>
        <v>0</v>
      </c>
      <c r="Q658" s="541"/>
      <c r="R658" s="541"/>
      <c r="S658" s="541"/>
      <c r="T658" s="541"/>
      <c r="U658" s="541"/>
      <c r="V658" s="541"/>
      <c r="W658" s="541"/>
      <c r="X658" s="541"/>
      <c r="Y658" s="541"/>
      <c r="Z658" s="541"/>
    </row>
    <row r="659" spans="1:26" ht="18.75" hidden="1">
      <c r="A659" s="563"/>
      <c r="B659" s="571"/>
      <c r="C659" s="723"/>
      <c r="D659" s="684"/>
      <c r="E659" s="723" t="s">
        <v>184</v>
      </c>
      <c r="F659" s="723"/>
      <c r="G659" s="567"/>
      <c r="H659" s="165" t="s">
        <v>12</v>
      </c>
      <c r="I659" s="583"/>
      <c r="J659" s="583"/>
      <c r="K659" s="93"/>
      <c r="L659" s="93">
        <v>0</v>
      </c>
      <c r="M659" s="93">
        <v>0</v>
      </c>
      <c r="N659" s="93">
        <v>0</v>
      </c>
      <c r="O659" s="93">
        <f t="shared" si="273"/>
        <v>0</v>
      </c>
      <c r="P659" s="93">
        <f t="shared" si="274"/>
        <v>0</v>
      </c>
      <c r="Q659" s="568"/>
      <c r="R659" s="568"/>
      <c r="S659" s="568"/>
      <c r="T659" s="568"/>
      <c r="U659" s="568"/>
      <c r="V659" s="568"/>
      <c r="W659" s="568"/>
      <c r="X659" s="568"/>
      <c r="Y659" s="568"/>
      <c r="Z659" s="568"/>
    </row>
    <row r="660" spans="1:26" ht="18.75" hidden="1">
      <c r="A660" s="563"/>
      <c r="B660" s="571"/>
      <c r="C660" s="723"/>
      <c r="D660" s="684"/>
      <c r="E660" s="723" t="s">
        <v>185</v>
      </c>
      <c r="F660" s="723"/>
      <c r="G660" s="567"/>
      <c r="H660" s="165" t="s">
        <v>12</v>
      </c>
      <c r="I660" s="583"/>
      <c r="J660" s="583"/>
      <c r="K660" s="93"/>
      <c r="L660" s="93">
        <f ca="1">IFERROR(__xludf.DUMMYFUNCTION("IMPORTRANGE(""https://docs.google.com/spreadsheets/d/1QqKyyYR6Q21VydFLVH3TRQUabQu_ym0Zz7PgGX0-kHA/edit?usp=sharing"",""แผน!HV28"")"),12400)</f>
        <v>12400</v>
      </c>
      <c r="M660" s="93">
        <v>0</v>
      </c>
      <c r="N660" s="93">
        <f>N661+N662+N663+N664</f>
        <v>0</v>
      </c>
      <c r="O660" s="93">
        <f t="shared" ca="1" si="273"/>
        <v>0</v>
      </c>
      <c r="P660" s="93">
        <f t="shared" si="274"/>
        <v>0</v>
      </c>
      <c r="Q660" s="568"/>
      <c r="R660" s="568"/>
      <c r="S660" s="568"/>
      <c r="T660" s="568"/>
      <c r="U660" s="568"/>
      <c r="V660" s="568"/>
      <c r="W660" s="568"/>
      <c r="X660" s="568"/>
      <c r="Y660" s="568"/>
      <c r="Z660" s="568"/>
    </row>
    <row r="661" spans="1:26" ht="18.75">
      <c r="A661" s="537"/>
      <c r="B661" s="538"/>
      <c r="C661" s="727"/>
      <c r="D661" s="727"/>
      <c r="E661" s="727"/>
      <c r="F661" s="727" t="s">
        <v>186</v>
      </c>
      <c r="G661" s="189"/>
      <c r="H661" s="161" t="s">
        <v>12</v>
      </c>
      <c r="I661" s="269"/>
      <c r="J661" s="269"/>
      <c r="K661" s="465"/>
      <c r="L661" s="465"/>
      <c r="M661" s="465"/>
      <c r="N661" s="789">
        <v>0</v>
      </c>
      <c r="O661" s="465"/>
      <c r="P661" s="465"/>
      <c r="Q661" s="541"/>
      <c r="R661" s="541"/>
      <c r="S661" s="541"/>
      <c r="T661" s="541"/>
      <c r="U661" s="541"/>
      <c r="V661" s="541"/>
      <c r="W661" s="541"/>
      <c r="X661" s="541"/>
      <c r="Y661" s="541"/>
      <c r="Z661" s="541"/>
    </row>
    <row r="662" spans="1:26" ht="18.75">
      <c r="A662" s="537"/>
      <c r="B662" s="538"/>
      <c r="C662" s="727"/>
      <c r="D662" s="727"/>
      <c r="E662" s="727"/>
      <c r="F662" s="727" t="s">
        <v>187</v>
      </c>
      <c r="G662" s="189"/>
      <c r="H662" s="161" t="s">
        <v>12</v>
      </c>
      <c r="I662" s="269"/>
      <c r="J662" s="269"/>
      <c r="K662" s="465"/>
      <c r="L662" s="465"/>
      <c r="M662" s="465"/>
      <c r="N662" s="789">
        <v>0</v>
      </c>
      <c r="O662" s="465"/>
      <c r="P662" s="465"/>
      <c r="Q662" s="541"/>
      <c r="R662" s="541"/>
      <c r="S662" s="541"/>
      <c r="T662" s="541"/>
      <c r="U662" s="541"/>
      <c r="V662" s="541"/>
      <c r="W662" s="541"/>
      <c r="X662" s="541"/>
      <c r="Y662" s="541"/>
      <c r="Z662" s="541"/>
    </row>
    <row r="663" spans="1:26" ht="18.75">
      <c r="A663" s="537"/>
      <c r="B663" s="538"/>
      <c r="C663" s="538"/>
      <c r="D663" s="727"/>
      <c r="E663" s="727"/>
      <c r="F663" s="727" t="s">
        <v>188</v>
      </c>
      <c r="G663" s="189"/>
      <c r="H663" s="161" t="s">
        <v>12</v>
      </c>
      <c r="I663" s="269"/>
      <c r="J663" s="269"/>
      <c r="K663" s="465"/>
      <c r="L663" s="465"/>
      <c r="M663" s="465"/>
      <c r="N663" s="789">
        <v>0</v>
      </c>
      <c r="O663" s="465"/>
      <c r="P663" s="465"/>
      <c r="Q663" s="541"/>
      <c r="R663" s="541"/>
      <c r="S663" s="541"/>
      <c r="T663" s="541"/>
      <c r="U663" s="541"/>
      <c r="V663" s="541"/>
      <c r="W663" s="541"/>
      <c r="X663" s="541"/>
      <c r="Y663" s="541"/>
      <c r="Z663" s="541"/>
    </row>
    <row r="664" spans="1:26" ht="18.75">
      <c r="A664" s="537"/>
      <c r="B664" s="538"/>
      <c r="C664" s="538"/>
      <c r="D664" s="538"/>
      <c r="E664" s="727"/>
      <c r="F664" s="727" t="s">
        <v>189</v>
      </c>
      <c r="G664" s="189"/>
      <c r="H664" s="161" t="s">
        <v>12</v>
      </c>
      <c r="I664" s="269"/>
      <c r="J664" s="269"/>
      <c r="K664" s="465"/>
      <c r="L664" s="465"/>
      <c r="M664" s="465"/>
      <c r="N664" s="789">
        <v>0</v>
      </c>
      <c r="O664" s="465"/>
      <c r="P664" s="465"/>
      <c r="Q664" s="541"/>
      <c r="R664" s="541"/>
      <c r="S664" s="541"/>
      <c r="T664" s="541"/>
      <c r="U664" s="541"/>
      <c r="V664" s="541"/>
      <c r="W664" s="541"/>
      <c r="X664" s="541"/>
      <c r="Y664" s="541"/>
      <c r="Z664" s="541"/>
    </row>
    <row r="665" spans="1:26" ht="18.75">
      <c r="A665" s="561"/>
      <c r="B665" s="538"/>
      <c r="C665" s="538"/>
      <c r="D665" s="570" t="s">
        <v>21</v>
      </c>
      <c r="E665" s="727"/>
      <c r="F665" s="727"/>
      <c r="G665" s="189"/>
      <c r="H665" s="168" t="s">
        <v>12</v>
      </c>
      <c r="I665" s="184"/>
      <c r="J665" s="184"/>
      <c r="K665" s="163"/>
      <c r="L665" s="465">
        <f t="shared" ref="L665:N665" si="277">L666+L667</f>
        <v>0</v>
      </c>
      <c r="M665" s="465">
        <f t="shared" si="277"/>
        <v>0</v>
      </c>
      <c r="N665" s="465">
        <f t="shared" si="277"/>
        <v>0</v>
      </c>
      <c r="O665" s="465">
        <f t="shared" ref="O665:O667" si="278">IF(L665&gt;0,N665*100/L665,0)</f>
        <v>0</v>
      </c>
      <c r="P665" s="465">
        <f t="shared" ref="P665:P667" si="279">IF(M665&gt;0,N665*100/M665,0)</f>
        <v>0</v>
      </c>
      <c r="Q665" s="541"/>
      <c r="R665" s="541"/>
      <c r="S665" s="541"/>
      <c r="T665" s="541"/>
      <c r="U665" s="541"/>
      <c r="V665" s="541"/>
      <c r="W665" s="541"/>
      <c r="X665" s="541"/>
      <c r="Y665" s="541"/>
      <c r="Z665" s="541"/>
    </row>
    <row r="666" spans="1:26" ht="18.75" hidden="1">
      <c r="A666" s="563"/>
      <c r="B666" s="571"/>
      <c r="C666" s="571"/>
      <c r="D666" s="571"/>
      <c r="E666" s="723" t="s">
        <v>18</v>
      </c>
      <c r="F666" s="723"/>
      <c r="G666" s="567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8"/>
        <v>0</v>
      </c>
      <c r="P666" s="93">
        <f t="shared" si="279"/>
        <v>0</v>
      </c>
      <c r="Q666" s="568"/>
      <c r="R666" s="568"/>
      <c r="S666" s="568"/>
      <c r="T666" s="568"/>
      <c r="U666" s="568"/>
      <c r="V666" s="568"/>
      <c r="W666" s="568"/>
      <c r="X666" s="568"/>
      <c r="Y666" s="568"/>
      <c r="Z666" s="568"/>
    </row>
    <row r="667" spans="1:26" ht="18.75" hidden="1">
      <c r="A667" s="563"/>
      <c r="B667" s="571"/>
      <c r="C667" s="571"/>
      <c r="D667" s="571"/>
      <c r="E667" s="723" t="s">
        <v>19</v>
      </c>
      <c r="F667" s="723"/>
      <c r="G667" s="567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8"/>
        <v>0</v>
      </c>
      <c r="P667" s="93">
        <f t="shared" si="279"/>
        <v>0</v>
      </c>
      <c r="Q667" s="568"/>
      <c r="R667" s="568"/>
      <c r="S667" s="568"/>
      <c r="T667" s="568"/>
      <c r="U667" s="568"/>
      <c r="V667" s="568"/>
      <c r="W667" s="568"/>
      <c r="X667" s="568"/>
      <c r="Y667" s="568"/>
      <c r="Z667" s="568"/>
    </row>
    <row r="668" spans="1:26" ht="19.5">
      <c r="A668" s="572"/>
      <c r="B668" s="584"/>
      <c r="C668" s="538" t="s">
        <v>16</v>
      </c>
      <c r="D668" s="850" t="s">
        <v>38</v>
      </c>
      <c r="E668" s="725"/>
      <c r="F668" s="725"/>
      <c r="G668" s="577"/>
      <c r="H668" s="726"/>
      <c r="I668" s="184"/>
      <c r="J668" s="184"/>
      <c r="K668" s="163"/>
      <c r="L668" s="163"/>
      <c r="M668" s="163"/>
      <c r="N668" s="163"/>
      <c r="O668" s="163"/>
      <c r="P668" s="163"/>
      <c r="Q668" s="541"/>
      <c r="R668" s="541"/>
      <c r="S668" s="541"/>
      <c r="T668" s="541"/>
      <c r="U668" s="541"/>
      <c r="V668" s="541"/>
      <c r="W668" s="541"/>
      <c r="X668" s="541"/>
      <c r="Y668" s="541"/>
      <c r="Z668" s="541"/>
    </row>
    <row r="669" spans="1:26" ht="19.5">
      <c r="A669" s="572"/>
      <c r="B669" s="584"/>
      <c r="C669" s="584"/>
      <c r="D669" s="584" t="s">
        <v>280</v>
      </c>
      <c r="E669" s="592"/>
      <c r="F669" s="592"/>
      <c r="G669" s="726"/>
      <c r="H669" s="731" t="s">
        <v>46</v>
      </c>
      <c r="I669" s="647">
        <f ca="1">IFERROR(__xludf.DUMMYFUNCTION("IMPORTRANGE(""https://docs.google.com/spreadsheets/d/1QqKyyYR6Q21VydFLVH3TRQUabQu_ym0Zz7PgGX0-kHA/edit?usp=sharing"",""แผน!IA28"")"),100)</f>
        <v>100</v>
      </c>
      <c r="J669" s="647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41"/>
      <c r="R669" s="541"/>
      <c r="S669" s="541"/>
      <c r="T669" s="541"/>
      <c r="U669" s="541"/>
      <c r="V669" s="541"/>
      <c r="W669" s="541"/>
      <c r="X669" s="541"/>
      <c r="Y669" s="541"/>
      <c r="Z669" s="541"/>
    </row>
    <row r="670" spans="1:26" ht="18.75">
      <c r="A670" s="572"/>
      <c r="B670" s="584"/>
      <c r="C670" s="584"/>
      <c r="D670" s="584"/>
      <c r="E670" s="592" t="s">
        <v>281</v>
      </c>
      <c r="F670" s="592"/>
      <c r="G670" s="726"/>
      <c r="H670" s="728" t="s">
        <v>69</v>
      </c>
      <c r="I670" s="269">
        <f ca="1">IFERROR(__xludf.DUMMYFUNCTION("IMPORTRANGE(""https://docs.google.com/spreadsheets/d/1QqKyyYR6Q21VydFLVH3TRQUabQu_ym0Zz7PgGX0-kHA/edit?usp=sharing"",""แผน!HZ28"")"),4)</f>
        <v>4</v>
      </c>
      <c r="J670" s="214">
        <v>0</v>
      </c>
      <c r="K670" s="465">
        <f ca="1">IF(I670&gt;0,(J670*100)/I670,0)</f>
        <v>0</v>
      </c>
      <c r="L670" s="163"/>
      <c r="M670" s="163"/>
      <c r="N670" s="163"/>
      <c r="O670" s="163"/>
      <c r="P670" s="163"/>
      <c r="Q670" s="541"/>
      <c r="R670" s="541"/>
      <c r="S670" s="541"/>
      <c r="T670" s="541"/>
      <c r="U670" s="541"/>
      <c r="V670" s="541"/>
      <c r="W670" s="541"/>
      <c r="X670" s="541"/>
      <c r="Y670" s="541"/>
      <c r="Z670" s="541"/>
    </row>
    <row r="671" spans="1:26" ht="18.75">
      <c r="A671" s="572"/>
      <c r="B671" s="584"/>
      <c r="C671" s="584"/>
      <c r="D671" s="584"/>
      <c r="E671" s="592" t="s">
        <v>282</v>
      </c>
      <c r="F671" s="592"/>
      <c r="G671" s="726"/>
      <c r="H671" s="728" t="s">
        <v>69</v>
      </c>
      <c r="I671" s="269">
        <f ca="1">IFERROR(__xludf.DUMMYFUNCTION("IMPORTRANGE(""https://docs.google.com/spreadsheets/d/1QqKyyYR6Q21VydFLVH3TRQUabQu_ym0Zz7PgGX0-kHA/edit?usp=sharing"",""แผน!HZ28"")"),4)</f>
        <v>4</v>
      </c>
      <c r="J671" s="214">
        <v>0</v>
      </c>
      <c r="K671" s="465">
        <f ca="1">IF(I$671&gt;0,J671*100/I$671,0)</f>
        <v>0</v>
      </c>
      <c r="L671" s="163"/>
      <c r="M671" s="163"/>
      <c r="N671" s="163"/>
      <c r="O671" s="163"/>
      <c r="P671" s="163"/>
      <c r="Q671" s="541"/>
      <c r="R671" s="541"/>
      <c r="S671" s="541"/>
      <c r="T671" s="541"/>
      <c r="U671" s="541"/>
      <c r="V671" s="541"/>
      <c r="W671" s="541"/>
      <c r="X671" s="541"/>
      <c r="Y671" s="541"/>
      <c r="Z671" s="541"/>
    </row>
    <row r="672" spans="1:26" ht="18.75">
      <c r="A672" s="572"/>
      <c r="B672" s="584"/>
      <c r="C672" s="584"/>
      <c r="D672" s="584"/>
      <c r="E672" s="592" t="s">
        <v>283</v>
      </c>
      <c r="F672" s="592"/>
      <c r="G672" s="726"/>
      <c r="H672" s="728" t="s">
        <v>46</v>
      </c>
      <c r="I672" s="269"/>
      <c r="J672" s="214">
        <v>0</v>
      </c>
      <c r="K672" s="465">
        <f t="shared" ref="K672:K675" ca="1" si="280">IF(I$669&gt;0,J672*100/I$669,0)</f>
        <v>0</v>
      </c>
      <c r="L672" s="163"/>
      <c r="M672" s="163"/>
      <c r="N672" s="163"/>
      <c r="O672" s="163"/>
      <c r="P672" s="163"/>
      <c r="Q672" s="541"/>
      <c r="R672" s="541"/>
      <c r="S672" s="541"/>
      <c r="T672" s="541"/>
      <c r="U672" s="541"/>
      <c r="V672" s="541"/>
      <c r="W672" s="541"/>
      <c r="X672" s="541"/>
      <c r="Y672" s="541"/>
      <c r="Z672" s="541"/>
    </row>
    <row r="673" spans="1:26" ht="18.75">
      <c r="A673" s="572"/>
      <c r="B673" s="584"/>
      <c r="C673" s="584"/>
      <c r="D673" s="584"/>
      <c r="E673" s="592" t="s">
        <v>284</v>
      </c>
      <c r="F673" s="592"/>
      <c r="G673" s="726"/>
      <c r="H673" s="728" t="s">
        <v>46</v>
      </c>
      <c r="I673" s="269"/>
      <c r="J673" s="214">
        <v>0</v>
      </c>
      <c r="K673" s="465">
        <f t="shared" ca="1" si="280"/>
        <v>0</v>
      </c>
      <c r="L673" s="163"/>
      <c r="M673" s="163"/>
      <c r="N673" s="163"/>
      <c r="O673" s="163"/>
      <c r="P673" s="163"/>
      <c r="Q673" s="541"/>
      <c r="R673" s="541"/>
      <c r="S673" s="541"/>
      <c r="T673" s="541"/>
      <c r="U673" s="541"/>
      <c r="V673" s="541"/>
      <c r="W673" s="541"/>
      <c r="X673" s="541"/>
      <c r="Y673" s="541"/>
      <c r="Z673" s="541"/>
    </row>
    <row r="674" spans="1:26" ht="18.75">
      <c r="A674" s="572"/>
      <c r="B674" s="584"/>
      <c r="C674" s="584"/>
      <c r="D674" s="584"/>
      <c r="E674" s="592" t="s">
        <v>285</v>
      </c>
      <c r="F674" s="592"/>
      <c r="G674" s="726"/>
      <c r="H674" s="728" t="s">
        <v>46</v>
      </c>
      <c r="I674" s="269"/>
      <c r="J674" s="214">
        <v>0</v>
      </c>
      <c r="K674" s="465">
        <f t="shared" ca="1" si="280"/>
        <v>0</v>
      </c>
      <c r="L674" s="163"/>
      <c r="M674" s="163"/>
      <c r="N674" s="163"/>
      <c r="O674" s="163"/>
      <c r="P674" s="163"/>
      <c r="Q674" s="541"/>
      <c r="R674" s="541"/>
      <c r="S674" s="541"/>
      <c r="T674" s="541"/>
      <c r="U674" s="541"/>
      <c r="V674" s="541"/>
      <c r="W674" s="541"/>
      <c r="X674" s="541"/>
      <c r="Y674" s="541"/>
      <c r="Z674" s="541"/>
    </row>
    <row r="675" spans="1:26" ht="19.5">
      <c r="A675" s="572"/>
      <c r="B675" s="584"/>
      <c r="C675" s="584"/>
      <c r="D675" s="584"/>
      <c r="E675" s="592" t="s">
        <v>286</v>
      </c>
      <c r="F675" s="592"/>
      <c r="G675" s="726"/>
      <c r="H675" s="728" t="s">
        <v>46</v>
      </c>
      <c r="I675" s="269"/>
      <c r="J675" s="647">
        <f>J676+J677</f>
        <v>0</v>
      </c>
      <c r="K675" s="195">
        <f t="shared" ca="1" si="280"/>
        <v>0</v>
      </c>
      <c r="L675" s="163"/>
      <c r="M675" s="163"/>
      <c r="N675" s="163"/>
      <c r="O675" s="163"/>
      <c r="P675" s="163"/>
      <c r="Q675" s="541"/>
      <c r="R675" s="541"/>
      <c r="S675" s="541"/>
      <c r="T675" s="541"/>
      <c r="U675" s="541"/>
      <c r="V675" s="541"/>
      <c r="W675" s="541"/>
      <c r="X675" s="541"/>
      <c r="Y675" s="541"/>
      <c r="Z675" s="541"/>
    </row>
    <row r="676" spans="1:26" ht="18.75">
      <c r="A676" s="572"/>
      <c r="B676" s="584"/>
      <c r="C676" s="584"/>
      <c r="D676" s="584"/>
      <c r="E676" s="592"/>
      <c r="F676" s="592" t="s">
        <v>287</v>
      </c>
      <c r="G676" s="726"/>
      <c r="H676" s="728" t="s">
        <v>46</v>
      </c>
      <c r="I676" s="269"/>
      <c r="J676" s="214">
        <v>0</v>
      </c>
      <c r="K676" s="465"/>
      <c r="L676" s="163"/>
      <c r="M676" s="163"/>
      <c r="N676" s="163"/>
      <c r="O676" s="163"/>
      <c r="P676" s="163"/>
      <c r="Q676" s="541"/>
      <c r="R676" s="541"/>
      <c r="S676" s="541"/>
      <c r="T676" s="541"/>
      <c r="U676" s="541"/>
      <c r="V676" s="541"/>
      <c r="W676" s="541"/>
      <c r="X676" s="541"/>
      <c r="Y676" s="541"/>
      <c r="Z676" s="541"/>
    </row>
    <row r="677" spans="1:26" ht="18.75">
      <c r="A677" s="572"/>
      <c r="B677" s="584"/>
      <c r="C677" s="584"/>
      <c r="D677" s="584"/>
      <c r="E677" s="592"/>
      <c r="F677" s="592" t="s">
        <v>288</v>
      </c>
      <c r="G677" s="726"/>
      <c r="H677" s="728" t="s">
        <v>46</v>
      </c>
      <c r="I677" s="269"/>
      <c r="J677" s="214">
        <v>0</v>
      </c>
      <c r="K677" s="465"/>
      <c r="L677" s="163"/>
      <c r="M677" s="163"/>
      <c r="N677" s="163"/>
      <c r="O677" s="163"/>
      <c r="P677" s="163"/>
      <c r="Q677" s="541"/>
      <c r="R677" s="541"/>
      <c r="S677" s="541"/>
      <c r="T677" s="541"/>
      <c r="U677" s="541"/>
      <c r="V677" s="541"/>
      <c r="W677" s="541"/>
      <c r="X677" s="541"/>
      <c r="Y677" s="541"/>
      <c r="Z677" s="541"/>
    </row>
    <row r="678" spans="1:26" ht="19.5">
      <c r="A678" s="572"/>
      <c r="B678" s="584"/>
      <c r="C678" s="584"/>
      <c r="D678" s="584" t="s">
        <v>289</v>
      </c>
      <c r="E678" s="592"/>
      <c r="F678" s="592"/>
      <c r="G678" s="726"/>
      <c r="H678" s="728" t="s">
        <v>46</v>
      </c>
      <c r="I678" s="647">
        <f ca="1">IFERROR(__xludf.DUMMYFUNCTION("IMPORTRANGE(""https://docs.google.com/spreadsheets/d/1QqKyyYR6Q21VydFLVH3TRQUabQu_ym0Zz7PgGX0-kHA/edit?usp=sharing"",""แผน!IB28"")"),0)</f>
        <v>0</v>
      </c>
      <c r="J678" s="647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41"/>
      <c r="R678" s="541"/>
      <c r="S678" s="541"/>
      <c r="T678" s="541"/>
      <c r="U678" s="541"/>
      <c r="V678" s="541"/>
      <c r="W678" s="541"/>
      <c r="X678" s="541"/>
      <c r="Y678" s="541"/>
      <c r="Z678" s="541"/>
    </row>
    <row r="679" spans="1:26" ht="18.75">
      <c r="A679" s="572"/>
      <c r="B679" s="584"/>
      <c r="C679" s="584"/>
      <c r="D679" s="584"/>
      <c r="E679" s="592" t="s">
        <v>290</v>
      </c>
      <c r="F679" s="592"/>
      <c r="G679" s="726"/>
      <c r="H679" s="728" t="s">
        <v>46</v>
      </c>
      <c r="I679" s="269"/>
      <c r="J679" s="269">
        <f>J680+J681</f>
        <v>0</v>
      </c>
      <c r="K679" s="465"/>
      <c r="L679" s="163"/>
      <c r="M679" s="163"/>
      <c r="N679" s="163"/>
      <c r="O679" s="163"/>
      <c r="P679" s="163"/>
      <c r="Q679" s="541"/>
      <c r="R679" s="541"/>
      <c r="S679" s="541"/>
      <c r="T679" s="541"/>
      <c r="U679" s="541"/>
      <c r="V679" s="541"/>
      <c r="W679" s="541"/>
      <c r="X679" s="541"/>
      <c r="Y679" s="541"/>
      <c r="Z679" s="541"/>
    </row>
    <row r="680" spans="1:26" ht="18.75">
      <c r="A680" s="572"/>
      <c r="B680" s="584"/>
      <c r="C680" s="584"/>
      <c r="D680" s="584"/>
      <c r="E680" s="592"/>
      <c r="F680" s="592" t="s">
        <v>287</v>
      </c>
      <c r="G680" s="726"/>
      <c r="H680" s="728" t="s">
        <v>46</v>
      </c>
      <c r="I680" s="269"/>
      <c r="J680" s="214">
        <v>0</v>
      </c>
      <c r="K680" s="465"/>
      <c r="L680" s="163"/>
      <c r="M680" s="163"/>
      <c r="N680" s="163"/>
      <c r="O680" s="163"/>
      <c r="P680" s="163"/>
      <c r="Q680" s="541"/>
      <c r="R680" s="541"/>
      <c r="S680" s="541"/>
      <c r="T680" s="541"/>
      <c r="U680" s="541"/>
      <c r="V680" s="541"/>
      <c r="W680" s="541"/>
      <c r="X680" s="541"/>
      <c r="Y680" s="541"/>
      <c r="Z680" s="541"/>
    </row>
    <row r="681" spans="1:26" ht="18.75">
      <c r="A681" s="572"/>
      <c r="B681" s="584"/>
      <c r="C681" s="584"/>
      <c r="D681" s="584"/>
      <c r="E681" s="592"/>
      <c r="F681" s="592" t="s">
        <v>288</v>
      </c>
      <c r="G681" s="726"/>
      <c r="H681" s="728" t="s">
        <v>46</v>
      </c>
      <c r="I681" s="269"/>
      <c r="J681" s="214">
        <v>0</v>
      </c>
      <c r="K681" s="465"/>
      <c r="L681" s="163"/>
      <c r="M681" s="163"/>
      <c r="N681" s="163"/>
      <c r="O681" s="163"/>
      <c r="P681" s="163"/>
      <c r="Q681" s="541"/>
      <c r="R681" s="541"/>
      <c r="S681" s="541"/>
      <c r="T681" s="541"/>
      <c r="U681" s="541"/>
      <c r="V681" s="541"/>
      <c r="W681" s="541"/>
      <c r="X681" s="541"/>
      <c r="Y681" s="541"/>
      <c r="Z681" s="541"/>
    </row>
    <row r="682" spans="1:26" ht="18.75">
      <c r="A682" s="572"/>
      <c r="B682" s="584"/>
      <c r="C682" s="584"/>
      <c r="D682" s="584"/>
      <c r="E682" s="592" t="s">
        <v>291</v>
      </c>
      <c r="F682" s="592"/>
      <c r="G682" s="726"/>
      <c r="H682" s="728" t="s">
        <v>46</v>
      </c>
      <c r="I682" s="269"/>
      <c r="J682" s="214">
        <v>0</v>
      </c>
      <c r="K682" s="465"/>
      <c r="L682" s="163"/>
      <c r="M682" s="163"/>
      <c r="N682" s="163"/>
      <c r="O682" s="163"/>
      <c r="P682" s="163"/>
      <c r="Q682" s="541"/>
      <c r="R682" s="541"/>
      <c r="S682" s="541"/>
      <c r="T682" s="541"/>
      <c r="U682" s="541"/>
      <c r="V682" s="541"/>
      <c r="W682" s="541"/>
      <c r="X682" s="541"/>
      <c r="Y682" s="541"/>
      <c r="Z682" s="541"/>
    </row>
    <row r="683" spans="1:26" ht="18.75">
      <c r="A683" s="572"/>
      <c r="B683" s="584"/>
      <c r="C683" s="584"/>
      <c r="D683" s="584"/>
      <c r="E683" s="592"/>
      <c r="F683" s="592" t="s">
        <v>292</v>
      </c>
      <c r="G683" s="726"/>
      <c r="H683" s="728" t="s">
        <v>46</v>
      </c>
      <c r="I683" s="269"/>
      <c r="J683" s="214">
        <v>0</v>
      </c>
      <c r="K683" s="465"/>
      <c r="L683" s="163"/>
      <c r="M683" s="163"/>
      <c r="N683" s="163"/>
      <c r="O683" s="163"/>
      <c r="P683" s="163"/>
      <c r="Q683" s="541"/>
      <c r="R683" s="541"/>
      <c r="S683" s="541"/>
      <c r="T683" s="541"/>
      <c r="U683" s="541"/>
      <c r="V683" s="541"/>
      <c r="W683" s="541"/>
      <c r="X683" s="541"/>
      <c r="Y683" s="541"/>
      <c r="Z683" s="541"/>
    </row>
    <row r="684" spans="1:26" ht="19.5">
      <c r="A684" s="717"/>
      <c r="B684" s="718" t="s">
        <v>293</v>
      </c>
      <c r="C684" s="717"/>
      <c r="D684" s="717"/>
      <c r="E684" s="717"/>
      <c r="F684" s="717"/>
      <c r="G684" s="719"/>
      <c r="H684" s="719"/>
      <c r="I684" s="720"/>
      <c r="J684" s="720"/>
      <c r="K684" s="721"/>
      <c r="L684" s="721"/>
      <c r="M684" s="721"/>
      <c r="N684" s="721"/>
      <c r="O684" s="721"/>
      <c r="P684" s="721"/>
      <c r="Q684" s="541"/>
      <c r="R684" s="541"/>
      <c r="S684" s="541"/>
      <c r="T684" s="541"/>
      <c r="U684" s="541"/>
      <c r="V684" s="541"/>
      <c r="W684" s="541"/>
      <c r="X684" s="541"/>
      <c r="Y684" s="541"/>
      <c r="Z684" s="541"/>
    </row>
    <row r="685" spans="1:26" ht="19.5">
      <c r="A685" s="561"/>
      <c r="B685" s="727"/>
      <c r="C685" s="727" t="s">
        <v>16</v>
      </c>
      <c r="D685" s="811" t="s">
        <v>17</v>
      </c>
      <c r="E685" s="805"/>
      <c r="F685" s="805"/>
      <c r="G685" s="189"/>
      <c r="H685" s="562" t="s">
        <v>12</v>
      </c>
      <c r="I685" s="269"/>
      <c r="J685" s="269"/>
      <c r="K685" s="465"/>
      <c r="L685" s="195">
        <f t="shared" ref="L685:N685" ca="1" si="281">L686+L687</f>
        <v>3060</v>
      </c>
      <c r="M685" s="195">
        <f t="shared" si="281"/>
        <v>0</v>
      </c>
      <c r="N685" s="195">
        <f t="shared" si="281"/>
        <v>0</v>
      </c>
      <c r="O685" s="195">
        <f t="shared" ref="O685:O688" ca="1" si="282">IF(L685&gt;0,N685*100/L685,0)</f>
        <v>0</v>
      </c>
      <c r="P685" s="195">
        <f t="shared" ref="P685:P688" si="283">IF(M685&gt;0,N685*100/M685,0)</f>
        <v>0</v>
      </c>
      <c r="Q685" s="541"/>
      <c r="R685" s="541"/>
      <c r="S685" s="541"/>
      <c r="T685" s="541"/>
      <c r="U685" s="541"/>
      <c r="V685" s="541"/>
      <c r="W685" s="541"/>
      <c r="X685" s="541"/>
      <c r="Y685" s="541"/>
      <c r="Z685" s="541"/>
    </row>
    <row r="686" spans="1:26" ht="18.75" hidden="1">
      <c r="A686" s="563"/>
      <c r="B686" s="723"/>
      <c r="C686" s="723"/>
      <c r="D686" s="684"/>
      <c r="E686" s="723" t="s">
        <v>184</v>
      </c>
      <c r="F686" s="723"/>
      <c r="G686" s="567"/>
      <c r="H686" s="165" t="s">
        <v>12</v>
      </c>
      <c r="I686" s="583"/>
      <c r="J686" s="583"/>
      <c r="K686" s="93"/>
      <c r="L686" s="93">
        <f t="shared" ref="L686:N687" si="284">L689+L696</f>
        <v>0</v>
      </c>
      <c r="M686" s="93">
        <f t="shared" si="284"/>
        <v>0</v>
      </c>
      <c r="N686" s="93">
        <f t="shared" si="284"/>
        <v>0</v>
      </c>
      <c r="O686" s="93">
        <f t="shared" si="282"/>
        <v>0</v>
      </c>
      <c r="P686" s="93">
        <f t="shared" si="283"/>
        <v>0</v>
      </c>
      <c r="Q686" s="568"/>
      <c r="R686" s="568"/>
      <c r="S686" s="568"/>
      <c r="T686" s="568"/>
      <c r="U686" s="568"/>
      <c r="V686" s="568"/>
      <c r="W686" s="568"/>
      <c r="X686" s="568"/>
      <c r="Y686" s="568"/>
      <c r="Z686" s="568"/>
    </row>
    <row r="687" spans="1:26" ht="18.75" hidden="1">
      <c r="A687" s="563"/>
      <c r="B687" s="571"/>
      <c r="C687" s="723"/>
      <c r="D687" s="684"/>
      <c r="E687" s="723" t="s">
        <v>185</v>
      </c>
      <c r="F687" s="723"/>
      <c r="G687" s="567"/>
      <c r="H687" s="165" t="s">
        <v>12</v>
      </c>
      <c r="I687" s="583"/>
      <c r="J687" s="583"/>
      <c r="K687" s="93"/>
      <c r="L687" s="93">
        <f t="shared" ca="1" si="284"/>
        <v>3060</v>
      </c>
      <c r="M687" s="93">
        <f t="shared" si="284"/>
        <v>0</v>
      </c>
      <c r="N687" s="93">
        <f t="shared" si="284"/>
        <v>0</v>
      </c>
      <c r="O687" s="93">
        <f t="shared" ca="1" si="282"/>
        <v>0</v>
      </c>
      <c r="P687" s="93">
        <f t="shared" si="283"/>
        <v>0</v>
      </c>
      <c r="Q687" s="568"/>
      <c r="R687" s="568"/>
      <c r="S687" s="568"/>
      <c r="T687" s="568"/>
      <c r="U687" s="568"/>
      <c r="V687" s="568"/>
      <c r="W687" s="568"/>
      <c r="X687" s="568"/>
      <c r="Y687" s="568"/>
      <c r="Z687" s="568"/>
    </row>
    <row r="688" spans="1:26" ht="18.75">
      <c r="A688" s="561"/>
      <c r="B688" s="538"/>
      <c r="C688" s="727"/>
      <c r="D688" s="570" t="s">
        <v>20</v>
      </c>
      <c r="E688" s="727"/>
      <c r="F688" s="727"/>
      <c r="G688" s="189"/>
      <c r="H688" s="161" t="s">
        <v>12</v>
      </c>
      <c r="I688" s="184"/>
      <c r="J688" s="184"/>
      <c r="K688" s="163"/>
      <c r="L688" s="465">
        <f t="shared" ref="L688:N688" ca="1" si="285">L689+L690</f>
        <v>3060</v>
      </c>
      <c r="M688" s="465">
        <f t="shared" si="285"/>
        <v>0</v>
      </c>
      <c r="N688" s="465">
        <f t="shared" si="285"/>
        <v>0</v>
      </c>
      <c r="O688" s="465">
        <f t="shared" ca="1" si="282"/>
        <v>0</v>
      </c>
      <c r="P688" s="465">
        <f t="shared" si="283"/>
        <v>0</v>
      </c>
      <c r="Q688" s="541"/>
      <c r="R688" s="541"/>
      <c r="S688" s="541"/>
      <c r="T688" s="541"/>
      <c r="U688" s="541"/>
      <c r="V688" s="541"/>
      <c r="W688" s="541"/>
      <c r="X688" s="541"/>
      <c r="Y688" s="541"/>
      <c r="Z688" s="541"/>
    </row>
    <row r="689" spans="1:26" ht="18.75" hidden="1">
      <c r="A689" s="563"/>
      <c r="B689" s="571"/>
      <c r="C689" s="723"/>
      <c r="D689" s="684"/>
      <c r="E689" s="723" t="s">
        <v>184</v>
      </c>
      <c r="F689" s="723"/>
      <c r="G689" s="567"/>
      <c r="H689" s="165" t="s">
        <v>12</v>
      </c>
      <c r="I689" s="583"/>
      <c r="J689" s="583"/>
      <c r="K689" s="93"/>
      <c r="L689" s="93">
        <v>0</v>
      </c>
      <c r="M689" s="93">
        <v>0</v>
      </c>
      <c r="N689" s="93">
        <v>0</v>
      </c>
      <c r="O689" s="93"/>
      <c r="P689" s="93"/>
      <c r="Q689" s="568"/>
      <c r="R689" s="568"/>
      <c r="S689" s="568"/>
      <c r="T689" s="568"/>
      <c r="U689" s="568"/>
      <c r="V689" s="568"/>
      <c r="W689" s="568"/>
      <c r="X689" s="568"/>
      <c r="Y689" s="568"/>
      <c r="Z689" s="568"/>
    </row>
    <row r="690" spans="1:26" ht="18.75" hidden="1">
      <c r="A690" s="563"/>
      <c r="B690" s="571"/>
      <c r="C690" s="723"/>
      <c r="D690" s="684"/>
      <c r="E690" s="723" t="s">
        <v>185</v>
      </c>
      <c r="F690" s="723"/>
      <c r="G690" s="567"/>
      <c r="H690" s="165" t="s">
        <v>12</v>
      </c>
      <c r="I690" s="583"/>
      <c r="J690" s="583"/>
      <c r="K690" s="93"/>
      <c r="L690" s="93">
        <f ca="1">IFERROR(__xludf.DUMMYFUNCTION("IMPORTRANGE(""https://docs.google.com/spreadsheets/d/1QqKyyYR6Q21VydFLVH3TRQUabQu_ym0Zz7PgGX0-kHA/edit?usp=sharing"",""แผน!HW28"")"),3060)</f>
        <v>3060</v>
      </c>
      <c r="M690" s="93">
        <v>0</v>
      </c>
      <c r="N690" s="93">
        <f>N691+N692+N693+N694</f>
        <v>0</v>
      </c>
      <c r="O690" s="93">
        <f ca="1">IF(L690&gt;0,N690*100/L690,0)</f>
        <v>0</v>
      </c>
      <c r="P690" s="93">
        <f>IF(M690&gt;0,N690*100/M690,0)</f>
        <v>0</v>
      </c>
      <c r="Q690" s="568"/>
      <c r="R690" s="568"/>
      <c r="S690" s="568"/>
      <c r="T690" s="568"/>
      <c r="U690" s="568"/>
      <c r="V690" s="568"/>
      <c r="W690" s="568"/>
      <c r="X690" s="568"/>
      <c r="Y690" s="568"/>
      <c r="Z690" s="568"/>
    </row>
    <row r="691" spans="1:26" ht="18.75">
      <c r="A691" s="537"/>
      <c r="B691" s="538"/>
      <c r="C691" s="727"/>
      <c r="D691" s="727"/>
      <c r="E691" s="727"/>
      <c r="F691" s="727" t="s">
        <v>186</v>
      </c>
      <c r="G691" s="189"/>
      <c r="H691" s="161" t="s">
        <v>12</v>
      </c>
      <c r="I691" s="269"/>
      <c r="J691" s="269"/>
      <c r="K691" s="465"/>
      <c r="L691" s="465"/>
      <c r="M691" s="465"/>
      <c r="N691" s="789">
        <v>0</v>
      </c>
      <c r="O691" s="465"/>
      <c r="P691" s="465"/>
      <c r="Q691" s="541"/>
      <c r="R691" s="541"/>
      <c r="S691" s="541"/>
      <c r="T691" s="541"/>
      <c r="U691" s="541"/>
      <c r="V691" s="541"/>
      <c r="W691" s="541"/>
      <c r="X691" s="541"/>
      <c r="Y691" s="541"/>
      <c r="Z691" s="541"/>
    </row>
    <row r="692" spans="1:26" ht="18.75">
      <c r="A692" s="537"/>
      <c r="B692" s="538"/>
      <c r="C692" s="727"/>
      <c r="D692" s="727"/>
      <c r="E692" s="727"/>
      <c r="F692" s="727" t="s">
        <v>187</v>
      </c>
      <c r="G692" s="189"/>
      <c r="H692" s="161" t="s">
        <v>12</v>
      </c>
      <c r="I692" s="269"/>
      <c r="J692" s="269"/>
      <c r="K692" s="465"/>
      <c r="L692" s="465"/>
      <c r="M692" s="465"/>
      <c r="N692" s="789">
        <v>0</v>
      </c>
      <c r="O692" s="465"/>
      <c r="P692" s="465"/>
      <c r="Q692" s="541"/>
      <c r="R692" s="541"/>
      <c r="S692" s="541"/>
      <c r="T692" s="541"/>
      <c r="U692" s="541"/>
      <c r="V692" s="541"/>
      <c r="W692" s="541"/>
      <c r="X692" s="541"/>
      <c r="Y692" s="541"/>
      <c r="Z692" s="541"/>
    </row>
    <row r="693" spans="1:26" ht="18.75">
      <c r="A693" s="537"/>
      <c r="B693" s="538"/>
      <c r="C693" s="727"/>
      <c r="D693" s="727"/>
      <c r="E693" s="727"/>
      <c r="F693" s="727" t="s">
        <v>188</v>
      </c>
      <c r="G693" s="189"/>
      <c r="H693" s="161" t="s">
        <v>12</v>
      </c>
      <c r="I693" s="269"/>
      <c r="J693" s="269"/>
      <c r="K693" s="465"/>
      <c r="L693" s="465"/>
      <c r="M693" s="465"/>
      <c r="N693" s="789">
        <v>0</v>
      </c>
      <c r="O693" s="465"/>
      <c r="P693" s="465"/>
      <c r="Q693" s="541"/>
      <c r="R693" s="541"/>
      <c r="S693" s="541"/>
      <c r="T693" s="541"/>
      <c r="U693" s="541"/>
      <c r="V693" s="541"/>
      <c r="W693" s="541"/>
      <c r="X693" s="541"/>
      <c r="Y693" s="541"/>
      <c r="Z693" s="541"/>
    </row>
    <row r="694" spans="1:26" ht="18.75">
      <c r="A694" s="537"/>
      <c r="B694" s="538"/>
      <c r="C694" s="727"/>
      <c r="D694" s="727"/>
      <c r="E694" s="727"/>
      <c r="F694" s="727" t="s">
        <v>189</v>
      </c>
      <c r="G694" s="189"/>
      <c r="H694" s="161" t="s">
        <v>12</v>
      </c>
      <c r="I694" s="269"/>
      <c r="J694" s="269"/>
      <c r="K694" s="465"/>
      <c r="L694" s="465"/>
      <c r="M694" s="465"/>
      <c r="N694" s="789">
        <v>0</v>
      </c>
      <c r="O694" s="465"/>
      <c r="P694" s="465"/>
      <c r="Q694" s="541"/>
      <c r="R694" s="541"/>
      <c r="S694" s="541"/>
      <c r="T694" s="541"/>
      <c r="U694" s="541"/>
      <c r="V694" s="541"/>
      <c r="W694" s="541"/>
      <c r="X694" s="541"/>
      <c r="Y694" s="541"/>
      <c r="Z694" s="541"/>
    </row>
    <row r="695" spans="1:26" ht="18.75">
      <c r="A695" s="561"/>
      <c r="B695" s="538"/>
      <c r="C695" s="727"/>
      <c r="D695" s="570" t="s">
        <v>21</v>
      </c>
      <c r="E695" s="727"/>
      <c r="F695" s="727"/>
      <c r="G695" s="189"/>
      <c r="H695" s="168" t="s">
        <v>12</v>
      </c>
      <c r="I695" s="184"/>
      <c r="J695" s="184"/>
      <c r="K695" s="163"/>
      <c r="L695" s="465">
        <f t="shared" ref="L695:N695" si="286">L696+L697</f>
        <v>0</v>
      </c>
      <c r="M695" s="465">
        <f t="shared" si="286"/>
        <v>0</v>
      </c>
      <c r="N695" s="465">
        <f t="shared" si="286"/>
        <v>0</v>
      </c>
      <c r="O695" s="465">
        <f t="shared" ref="O695:O697" si="287">IF(L695&gt;0,N695*100/L695,0)</f>
        <v>0</v>
      </c>
      <c r="P695" s="465">
        <f t="shared" ref="P695:P697" si="288">IF(M695&gt;0,N695*100/M695,0)</f>
        <v>0</v>
      </c>
      <c r="Q695" s="541"/>
      <c r="R695" s="541"/>
      <c r="S695" s="541"/>
      <c r="T695" s="541"/>
      <c r="U695" s="541"/>
      <c r="V695" s="541"/>
      <c r="W695" s="541"/>
      <c r="X695" s="541"/>
      <c r="Y695" s="541"/>
      <c r="Z695" s="541"/>
    </row>
    <row r="696" spans="1:26" ht="18.75" hidden="1">
      <c r="A696" s="563"/>
      <c r="B696" s="571"/>
      <c r="C696" s="723"/>
      <c r="D696" s="723"/>
      <c r="E696" s="723" t="s">
        <v>18</v>
      </c>
      <c r="F696" s="723"/>
      <c r="G696" s="567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7"/>
        <v>0</v>
      </c>
      <c r="P696" s="93">
        <f t="shared" si="288"/>
        <v>0</v>
      </c>
      <c r="Q696" s="568"/>
      <c r="R696" s="568"/>
      <c r="S696" s="568"/>
      <c r="T696" s="568"/>
      <c r="U696" s="568"/>
      <c r="V696" s="568"/>
      <c r="W696" s="568"/>
      <c r="X696" s="568"/>
      <c r="Y696" s="568"/>
      <c r="Z696" s="568"/>
    </row>
    <row r="697" spans="1:26" ht="18.75" hidden="1">
      <c r="A697" s="563"/>
      <c r="B697" s="571"/>
      <c r="C697" s="723"/>
      <c r="D697" s="723"/>
      <c r="E697" s="723" t="s">
        <v>19</v>
      </c>
      <c r="F697" s="723"/>
      <c r="G697" s="567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7"/>
        <v>0</v>
      </c>
      <c r="P697" s="93">
        <f t="shared" si="288"/>
        <v>0</v>
      </c>
      <c r="Q697" s="568"/>
      <c r="R697" s="568"/>
      <c r="S697" s="568"/>
      <c r="T697" s="568"/>
      <c r="U697" s="568"/>
      <c r="V697" s="568"/>
      <c r="W697" s="568"/>
      <c r="X697" s="568"/>
      <c r="Y697" s="568"/>
      <c r="Z697" s="568"/>
    </row>
    <row r="698" spans="1:26" ht="19.5">
      <c r="A698" s="572"/>
      <c r="B698" s="584"/>
      <c r="C698" s="727" t="s">
        <v>16</v>
      </c>
      <c r="D698" s="855" t="s">
        <v>38</v>
      </c>
      <c r="E698" s="725"/>
      <c r="F698" s="725"/>
      <c r="G698" s="577"/>
      <c r="H698" s="726"/>
      <c r="I698" s="184"/>
      <c r="J698" s="184"/>
      <c r="K698" s="163"/>
      <c r="L698" s="163"/>
      <c r="M698" s="163"/>
      <c r="N698" s="163"/>
      <c r="O698" s="163"/>
      <c r="P698" s="163"/>
      <c r="Q698" s="541"/>
      <c r="R698" s="541"/>
      <c r="S698" s="541"/>
      <c r="T698" s="541"/>
      <c r="U698" s="541"/>
      <c r="V698" s="541"/>
      <c r="W698" s="541"/>
      <c r="X698" s="541"/>
      <c r="Y698" s="541"/>
      <c r="Z698" s="541"/>
    </row>
    <row r="699" spans="1:26" ht="18.75">
      <c r="A699" s="708"/>
      <c r="B699" s="727"/>
      <c r="C699" s="727"/>
      <c r="D699" s="727" t="s">
        <v>294</v>
      </c>
      <c r="E699" s="727"/>
      <c r="F699" s="727"/>
      <c r="G699" s="189"/>
      <c r="H699" s="728" t="s">
        <v>46</v>
      </c>
      <c r="I699" s="729">
        <f ca="1">IFERROR(__xludf.DUMMYFUNCTION("IMPORTRANGE(""https://docs.google.com/spreadsheets/d/1QqKyyYR6Q21VydFLVH3TRQUabQu_ym0Zz7PgGX0-kHA/edit?usp=sharing"",""แผน!IC28"")"),0)</f>
        <v>0</v>
      </c>
      <c r="J699" s="269">
        <f ca="1">IFERROR(__xludf.DUMMYFUNCTION("IMPORTRANGE(""https://docs.google.com/spreadsheets/d/1XWAQStnk-4SwqDmLtmXYiTMKHgktTP8We1SCoS47DrQ/edit?usp=sharing"",""จัดที่ดิน!BB28"")"),0)</f>
        <v>0</v>
      </c>
      <c r="K699" s="465">
        <f t="shared" ref="K699:K701" ca="1" si="289">IF(I699&gt;0,J699*100/I699,0)</f>
        <v>0</v>
      </c>
      <c r="L699" s="465"/>
      <c r="M699" s="189"/>
      <c r="N699" s="730"/>
      <c r="O699" s="465"/>
      <c r="P699" s="465"/>
      <c r="Q699" s="541"/>
      <c r="R699" s="541"/>
      <c r="S699" s="541"/>
      <c r="T699" s="541"/>
      <c r="U699" s="541"/>
      <c r="V699" s="541"/>
      <c r="W699" s="541"/>
      <c r="X699" s="541"/>
      <c r="Y699" s="541"/>
      <c r="Z699" s="541"/>
    </row>
    <row r="700" spans="1:26" ht="18.75">
      <c r="A700" s="708"/>
      <c r="B700" s="727"/>
      <c r="C700" s="727"/>
      <c r="D700" s="727" t="s">
        <v>295</v>
      </c>
      <c r="E700" s="727"/>
      <c r="F700" s="727"/>
      <c r="G700" s="189"/>
      <c r="H700" s="728" t="s">
        <v>35</v>
      </c>
      <c r="I700" s="729">
        <f ca="1">IFERROR(__xludf.DUMMYFUNCTION("IMPORTRANGE(""https://docs.google.com/spreadsheets/d/1QqKyyYR6Q21VydFLVH3TRQUabQu_ym0Zz7PgGX0-kHA/edit?usp=sharing"",""แผน!ID28"")"),0)</f>
        <v>0</v>
      </c>
      <c r="J700" s="269">
        <f ca="1">IFERROR(__xludf.DUMMYFUNCTION("IMPORTRANGE(""https://docs.google.com/spreadsheets/d/1XWAQStnk-4SwqDmLtmXYiTMKHgktTP8We1SCoS47DrQ/edit?usp=sharing"",""จัดที่ดิน!BD28"")"),0)</f>
        <v>0</v>
      </c>
      <c r="K700" s="465">
        <f t="shared" ca="1" si="289"/>
        <v>0</v>
      </c>
      <c r="L700" s="465"/>
      <c r="M700" s="189"/>
      <c r="N700" s="730"/>
      <c r="O700" s="465"/>
      <c r="P700" s="465"/>
      <c r="Q700" s="541"/>
      <c r="R700" s="541"/>
      <c r="S700" s="541"/>
      <c r="T700" s="541"/>
      <c r="U700" s="541"/>
      <c r="V700" s="541"/>
      <c r="W700" s="541"/>
      <c r="X700" s="541"/>
      <c r="Y700" s="541"/>
      <c r="Z700" s="541"/>
    </row>
    <row r="701" spans="1:26" ht="19.5">
      <c r="A701" s="708"/>
      <c r="B701" s="727"/>
      <c r="C701" s="727"/>
      <c r="D701" s="727" t="s">
        <v>296</v>
      </c>
      <c r="E701" s="727"/>
      <c r="F701" s="727"/>
      <c r="G701" s="189"/>
      <c r="H701" s="731" t="s">
        <v>46</v>
      </c>
      <c r="I701" s="732">
        <f ca="1">IFERROR(__xludf.DUMMYFUNCTION("IMPORTRANGE(""https://docs.google.com/spreadsheets/d/1QqKyyYR6Q21VydFLVH3TRQUabQu_ym0Zz7PgGX0-kHA/edit?usp=sharing"",""แผน!IE28"")"),70)</f>
        <v>70</v>
      </c>
      <c r="J701" s="647">
        <f>J704+J707</f>
        <v>0</v>
      </c>
      <c r="K701" s="195">
        <f t="shared" ca="1" si="289"/>
        <v>0</v>
      </c>
      <c r="L701" s="465"/>
      <c r="M701" s="189"/>
      <c r="N701" s="730"/>
      <c r="O701" s="465"/>
      <c r="P701" s="465"/>
      <c r="Q701" s="541"/>
      <c r="R701" s="541"/>
      <c r="S701" s="541"/>
      <c r="T701" s="541"/>
      <c r="U701" s="541"/>
      <c r="V701" s="541"/>
      <c r="W701" s="541"/>
      <c r="X701" s="541"/>
      <c r="Y701" s="541"/>
      <c r="Z701" s="541"/>
    </row>
    <row r="702" spans="1:26" ht="18.75">
      <c r="A702" s="708"/>
      <c r="B702" s="727"/>
      <c r="C702" s="727"/>
      <c r="D702" s="727"/>
      <c r="E702" s="727" t="s">
        <v>297</v>
      </c>
      <c r="F702" s="727"/>
      <c r="G702" s="189"/>
      <c r="H702" s="728" t="s">
        <v>35</v>
      </c>
      <c r="I702" s="729"/>
      <c r="J702" s="214">
        <v>0</v>
      </c>
      <c r="K702" s="465"/>
      <c r="L702" s="465"/>
      <c r="M702" s="189"/>
      <c r="N702" s="730"/>
      <c r="O702" s="465"/>
      <c r="P702" s="465"/>
      <c r="Q702" s="541"/>
      <c r="R702" s="541"/>
      <c r="S702" s="541"/>
      <c r="T702" s="541"/>
      <c r="U702" s="541"/>
      <c r="V702" s="541"/>
      <c r="W702" s="541"/>
      <c r="X702" s="541"/>
      <c r="Y702" s="541"/>
      <c r="Z702" s="541"/>
    </row>
    <row r="703" spans="1:26" ht="18.75">
      <c r="A703" s="708"/>
      <c r="B703" s="727"/>
      <c r="C703" s="727"/>
      <c r="D703" s="727"/>
      <c r="E703" s="727"/>
      <c r="F703" s="727"/>
      <c r="G703" s="189"/>
      <c r="H703" s="728" t="s">
        <v>34</v>
      </c>
      <c r="I703" s="729"/>
      <c r="J703" s="214">
        <v>0</v>
      </c>
      <c r="K703" s="465"/>
      <c r="L703" s="465"/>
      <c r="M703" s="189"/>
      <c r="N703" s="730"/>
      <c r="O703" s="465"/>
      <c r="P703" s="465"/>
      <c r="Q703" s="541"/>
      <c r="R703" s="541"/>
      <c r="S703" s="541"/>
      <c r="T703" s="541"/>
      <c r="U703" s="541"/>
      <c r="V703" s="541"/>
      <c r="W703" s="541"/>
      <c r="X703" s="541"/>
      <c r="Y703" s="541"/>
      <c r="Z703" s="541"/>
    </row>
    <row r="704" spans="1:26" ht="18.75">
      <c r="A704" s="708"/>
      <c r="B704" s="727"/>
      <c r="C704" s="727"/>
      <c r="D704" s="727"/>
      <c r="E704" s="727"/>
      <c r="F704" s="727"/>
      <c r="G704" s="189"/>
      <c r="H704" s="728" t="s">
        <v>46</v>
      </c>
      <c r="I704" s="729">
        <f ca="1">IFERROR(__xludf.DUMMYFUNCTION("IMPORTRANGE(""https://docs.google.com/spreadsheets/d/1QqKyyYR6Q21VydFLVH3TRQUabQu_ym0Zz7PgGX0-kHA/edit?usp=sharing"",""แผน!IF28"")"),70)</f>
        <v>70</v>
      </c>
      <c r="J704" s="214">
        <v>0</v>
      </c>
      <c r="K704" s="465"/>
      <c r="L704" s="465"/>
      <c r="M704" s="189"/>
      <c r="N704" s="730"/>
      <c r="O704" s="465"/>
      <c r="P704" s="465"/>
      <c r="Q704" s="541"/>
      <c r="R704" s="541"/>
      <c r="S704" s="541"/>
      <c r="T704" s="541"/>
      <c r="U704" s="541"/>
      <c r="V704" s="541"/>
      <c r="W704" s="541"/>
      <c r="X704" s="541"/>
      <c r="Y704" s="541"/>
      <c r="Z704" s="541"/>
    </row>
    <row r="705" spans="1:26" ht="18.75">
      <c r="A705" s="708"/>
      <c r="B705" s="727"/>
      <c r="C705" s="727"/>
      <c r="D705" s="727"/>
      <c r="E705" s="727" t="s">
        <v>298</v>
      </c>
      <c r="F705" s="727"/>
      <c r="G705" s="189"/>
      <c r="H705" s="728" t="s">
        <v>35</v>
      </c>
      <c r="I705" s="729"/>
      <c r="J705" s="214">
        <v>0</v>
      </c>
      <c r="K705" s="465"/>
      <c r="L705" s="465"/>
      <c r="M705" s="189"/>
      <c r="N705" s="730"/>
      <c r="O705" s="465"/>
      <c r="P705" s="465"/>
      <c r="Q705" s="541"/>
      <c r="R705" s="541"/>
      <c r="S705" s="541"/>
      <c r="T705" s="541"/>
      <c r="U705" s="541"/>
      <c r="V705" s="541"/>
      <c r="W705" s="541"/>
      <c r="X705" s="541"/>
      <c r="Y705" s="541"/>
      <c r="Z705" s="541"/>
    </row>
    <row r="706" spans="1:26" ht="18.75">
      <c r="A706" s="708"/>
      <c r="B706" s="727"/>
      <c r="C706" s="727"/>
      <c r="D706" s="727"/>
      <c r="E706" s="727"/>
      <c r="F706" s="727"/>
      <c r="G706" s="189"/>
      <c r="H706" s="728" t="s">
        <v>34</v>
      </c>
      <c r="I706" s="729"/>
      <c r="J706" s="214">
        <v>0</v>
      </c>
      <c r="K706" s="465"/>
      <c r="L706" s="465"/>
      <c r="M706" s="189"/>
      <c r="N706" s="730"/>
      <c r="O706" s="465"/>
      <c r="P706" s="465"/>
      <c r="Q706" s="541"/>
      <c r="R706" s="541"/>
      <c r="S706" s="541"/>
      <c r="T706" s="541"/>
      <c r="U706" s="541"/>
      <c r="V706" s="541"/>
      <c r="W706" s="541"/>
      <c r="X706" s="541"/>
      <c r="Y706" s="541"/>
      <c r="Z706" s="541"/>
    </row>
    <row r="707" spans="1:26" ht="18.75">
      <c r="A707" s="708"/>
      <c r="B707" s="727"/>
      <c r="C707" s="727"/>
      <c r="D707" s="727"/>
      <c r="E707" s="727"/>
      <c r="F707" s="727"/>
      <c r="G707" s="189"/>
      <c r="H707" s="728" t="s">
        <v>46</v>
      </c>
      <c r="I707" s="729">
        <f ca="1">IFERROR(__xludf.DUMMYFUNCTION("IMPORTRANGE(""https://docs.google.com/spreadsheets/d/1QqKyyYR6Q21VydFLVH3TRQUabQu_ym0Zz7PgGX0-kHA/edit?usp=sharing"",""แผน!IG28"")"),0)</f>
        <v>0</v>
      </c>
      <c r="J707" s="214">
        <v>0</v>
      </c>
      <c r="K707" s="465"/>
      <c r="L707" s="465"/>
      <c r="M707" s="189"/>
      <c r="N707" s="730"/>
      <c r="O707" s="465"/>
      <c r="P707" s="465"/>
      <c r="Q707" s="541"/>
      <c r="R707" s="541"/>
      <c r="S707" s="541"/>
      <c r="T707" s="541"/>
      <c r="U707" s="541"/>
      <c r="V707" s="541"/>
      <c r="W707" s="541"/>
      <c r="X707" s="541"/>
      <c r="Y707" s="541"/>
      <c r="Z707" s="541"/>
    </row>
    <row r="708" spans="1:26" ht="19.5">
      <c r="A708" s="708"/>
      <c r="B708" s="727"/>
      <c r="C708" s="727"/>
      <c r="D708" s="733" t="s">
        <v>299</v>
      </c>
      <c r="E708" s="727"/>
      <c r="F708" s="727"/>
      <c r="G708" s="189"/>
      <c r="H708" s="731" t="s">
        <v>46</v>
      </c>
      <c r="I708" s="732">
        <f ca="1">IFERROR(__xludf.DUMMYFUNCTION("IMPORTRANGE(""https://docs.google.com/spreadsheets/d/1QqKyyYR6Q21VydFLVH3TRQUabQu_ym0Zz7PgGX0-kHA/edit?usp=sharing"",""แผน!IH28"")"),0)</f>
        <v>0</v>
      </c>
      <c r="J708" s="647">
        <f>J714+J717</f>
        <v>0</v>
      </c>
      <c r="K708" s="195">
        <f ca="1">IF(I708&gt;0,J708*100/I708,0)</f>
        <v>0</v>
      </c>
      <c r="L708" s="465"/>
      <c r="M708" s="189"/>
      <c r="N708" s="730"/>
      <c r="O708" s="465"/>
      <c r="P708" s="465"/>
      <c r="Q708" s="541"/>
      <c r="R708" s="541"/>
      <c r="S708" s="541"/>
      <c r="T708" s="541"/>
      <c r="U708" s="541"/>
      <c r="V708" s="541"/>
      <c r="W708" s="541"/>
      <c r="X708" s="541"/>
      <c r="Y708" s="541"/>
      <c r="Z708" s="541"/>
    </row>
    <row r="709" spans="1:26" ht="18.75">
      <c r="A709" s="708"/>
      <c r="B709" s="727"/>
      <c r="C709" s="727"/>
      <c r="D709" s="727"/>
      <c r="E709" s="727" t="s">
        <v>300</v>
      </c>
      <c r="F709" s="727"/>
      <c r="G709" s="189"/>
      <c r="H709" s="728" t="s">
        <v>34</v>
      </c>
      <c r="I709" s="729"/>
      <c r="J709" s="214">
        <v>0</v>
      </c>
      <c r="K709" s="465"/>
      <c r="L709" s="730"/>
      <c r="M709" s="189"/>
      <c r="N709" s="730"/>
      <c r="O709" s="465"/>
      <c r="P709" s="465"/>
      <c r="Q709" s="541"/>
      <c r="R709" s="541"/>
      <c r="S709" s="541"/>
      <c r="T709" s="541"/>
      <c r="U709" s="541"/>
      <c r="V709" s="541"/>
      <c r="W709" s="541"/>
      <c r="X709" s="541"/>
      <c r="Y709" s="541"/>
      <c r="Z709" s="541"/>
    </row>
    <row r="710" spans="1:26" ht="18.75">
      <c r="A710" s="708"/>
      <c r="B710" s="727"/>
      <c r="C710" s="727"/>
      <c r="D710" s="727"/>
      <c r="E710" s="727"/>
      <c r="F710" s="727"/>
      <c r="G710" s="189"/>
      <c r="H710" s="728" t="s">
        <v>46</v>
      </c>
      <c r="I710" s="729"/>
      <c r="J710" s="214">
        <v>0</v>
      </c>
      <c r="K710" s="465"/>
      <c r="L710" s="730"/>
      <c r="M710" s="189"/>
      <c r="N710" s="730"/>
      <c r="O710" s="465"/>
      <c r="P710" s="465"/>
      <c r="Q710" s="541"/>
      <c r="R710" s="541"/>
      <c r="S710" s="541"/>
      <c r="T710" s="541"/>
      <c r="U710" s="541"/>
      <c r="V710" s="541"/>
      <c r="W710" s="541"/>
      <c r="X710" s="541"/>
      <c r="Y710" s="541"/>
      <c r="Z710" s="541"/>
    </row>
    <row r="711" spans="1:26" ht="18.75">
      <c r="A711" s="708"/>
      <c r="B711" s="727"/>
      <c r="C711" s="727"/>
      <c r="D711" s="727"/>
      <c r="E711" s="727" t="s">
        <v>301</v>
      </c>
      <c r="F711" s="727"/>
      <c r="G711" s="189"/>
      <c r="H711" s="726"/>
      <c r="I711" s="729"/>
      <c r="J711" s="269"/>
      <c r="K711" s="465"/>
      <c r="L711" s="730"/>
      <c r="M711" s="189"/>
      <c r="N711" s="730"/>
      <c r="O711" s="465"/>
      <c r="P711" s="465"/>
      <c r="Q711" s="541"/>
      <c r="R711" s="541"/>
      <c r="S711" s="541"/>
      <c r="T711" s="541"/>
      <c r="U711" s="541"/>
      <c r="V711" s="541"/>
      <c r="W711" s="541"/>
      <c r="X711" s="541"/>
      <c r="Y711" s="541"/>
      <c r="Z711" s="541"/>
    </row>
    <row r="712" spans="1:26" ht="18.75">
      <c r="A712" s="708"/>
      <c r="B712" s="727"/>
      <c r="C712" s="727"/>
      <c r="D712" s="727"/>
      <c r="E712" s="727"/>
      <c r="F712" s="727" t="s">
        <v>302</v>
      </c>
      <c r="G712" s="189"/>
      <c r="H712" s="728" t="s">
        <v>35</v>
      </c>
      <c r="I712" s="729"/>
      <c r="J712" s="214">
        <v>0</v>
      </c>
      <c r="K712" s="465"/>
      <c r="L712" s="730"/>
      <c r="M712" s="189"/>
      <c r="N712" s="730"/>
      <c r="O712" s="465"/>
      <c r="P712" s="465"/>
      <c r="Q712" s="541"/>
      <c r="R712" s="541"/>
      <c r="S712" s="541"/>
      <c r="T712" s="541"/>
      <c r="U712" s="541"/>
      <c r="V712" s="541"/>
      <c r="W712" s="541"/>
      <c r="X712" s="541"/>
      <c r="Y712" s="541"/>
      <c r="Z712" s="541"/>
    </row>
    <row r="713" spans="1:26" ht="18.75">
      <c r="A713" s="708"/>
      <c r="B713" s="727"/>
      <c r="C713" s="727"/>
      <c r="D713" s="727"/>
      <c r="E713" s="727"/>
      <c r="F713" s="727"/>
      <c r="G713" s="189"/>
      <c r="H713" s="728" t="s">
        <v>34</v>
      </c>
      <c r="I713" s="729"/>
      <c r="J713" s="214">
        <v>0</v>
      </c>
      <c r="K713" s="465"/>
      <c r="L713" s="730"/>
      <c r="M713" s="189"/>
      <c r="N713" s="730"/>
      <c r="O713" s="465"/>
      <c r="P713" s="465"/>
      <c r="Q713" s="541"/>
      <c r="R713" s="541"/>
      <c r="S713" s="541"/>
      <c r="T713" s="541"/>
      <c r="U713" s="541"/>
      <c r="V713" s="541"/>
      <c r="W713" s="541"/>
      <c r="X713" s="541"/>
      <c r="Y713" s="541"/>
      <c r="Z713" s="541"/>
    </row>
    <row r="714" spans="1:26" ht="18.75">
      <c r="A714" s="708"/>
      <c r="B714" s="727"/>
      <c r="C714" s="727"/>
      <c r="D714" s="727"/>
      <c r="E714" s="727"/>
      <c r="F714" s="727"/>
      <c r="G714" s="189"/>
      <c r="H714" s="728" t="s">
        <v>46</v>
      </c>
      <c r="I714" s="729"/>
      <c r="J714" s="214">
        <v>0</v>
      </c>
      <c r="K714" s="465"/>
      <c r="L714" s="730"/>
      <c r="M714" s="189"/>
      <c r="N714" s="730"/>
      <c r="O714" s="465"/>
      <c r="P714" s="465"/>
      <c r="Q714" s="541"/>
      <c r="R714" s="541"/>
      <c r="S714" s="541"/>
      <c r="T714" s="541"/>
      <c r="U714" s="541"/>
      <c r="V714" s="541"/>
      <c r="W714" s="541"/>
      <c r="X714" s="541"/>
      <c r="Y714" s="541"/>
      <c r="Z714" s="541"/>
    </row>
    <row r="715" spans="1:26" ht="18.75">
      <c r="A715" s="708"/>
      <c r="B715" s="727"/>
      <c r="C715" s="727"/>
      <c r="D715" s="727"/>
      <c r="E715" s="727"/>
      <c r="F715" s="727" t="s">
        <v>303</v>
      </c>
      <c r="G715" s="189"/>
      <c r="H715" s="728" t="s">
        <v>35</v>
      </c>
      <c r="I715" s="729"/>
      <c r="J715" s="214">
        <v>0</v>
      </c>
      <c r="K715" s="465"/>
      <c r="L715" s="730"/>
      <c r="M715" s="189"/>
      <c r="N715" s="730"/>
      <c r="O715" s="465"/>
      <c r="P715" s="465"/>
      <c r="Q715" s="541"/>
      <c r="R715" s="541"/>
      <c r="S715" s="541"/>
      <c r="T715" s="541"/>
      <c r="U715" s="541"/>
      <c r="V715" s="541"/>
      <c r="W715" s="541"/>
      <c r="X715" s="541"/>
      <c r="Y715" s="541"/>
      <c r="Z715" s="541"/>
    </row>
    <row r="716" spans="1:26" ht="18.75">
      <c r="A716" s="708"/>
      <c r="B716" s="727"/>
      <c r="C716" s="727"/>
      <c r="D716" s="727"/>
      <c r="E716" s="727"/>
      <c r="F716" s="727"/>
      <c r="G716" s="189"/>
      <c r="H716" s="728" t="s">
        <v>34</v>
      </c>
      <c r="I716" s="729"/>
      <c r="J716" s="214">
        <v>0</v>
      </c>
      <c r="K716" s="465"/>
      <c r="L716" s="730"/>
      <c r="M716" s="189"/>
      <c r="N716" s="730"/>
      <c r="O716" s="465"/>
      <c r="P716" s="465"/>
      <c r="Q716" s="541"/>
      <c r="R716" s="541"/>
      <c r="S716" s="541"/>
      <c r="T716" s="541"/>
      <c r="U716" s="541"/>
      <c r="V716" s="541"/>
      <c r="W716" s="541"/>
      <c r="X716" s="541"/>
      <c r="Y716" s="541"/>
      <c r="Z716" s="541"/>
    </row>
    <row r="717" spans="1:26" ht="18.75">
      <c r="A717" s="708"/>
      <c r="B717" s="727"/>
      <c r="C717" s="727"/>
      <c r="D717" s="727"/>
      <c r="E717" s="727"/>
      <c r="F717" s="727"/>
      <c r="G717" s="189"/>
      <c r="H717" s="728" t="s">
        <v>46</v>
      </c>
      <c r="I717" s="729"/>
      <c r="J717" s="214">
        <v>0</v>
      </c>
      <c r="K717" s="465"/>
      <c r="L717" s="730"/>
      <c r="M717" s="189"/>
      <c r="N717" s="730"/>
      <c r="O717" s="465"/>
      <c r="P717" s="465"/>
      <c r="Q717" s="541"/>
      <c r="R717" s="541"/>
      <c r="S717" s="541"/>
      <c r="T717" s="541"/>
      <c r="U717" s="541"/>
      <c r="V717" s="541"/>
      <c r="W717" s="541"/>
      <c r="X717" s="541"/>
      <c r="Y717" s="541"/>
      <c r="Z717" s="541"/>
    </row>
    <row r="718" spans="1:26" ht="18.75">
      <c r="A718" s="708"/>
      <c r="B718" s="727"/>
      <c r="C718" s="727"/>
      <c r="D718" s="727" t="s">
        <v>304</v>
      </c>
      <c r="E718" s="727"/>
      <c r="F718" s="727"/>
      <c r="G718" s="189"/>
      <c r="H718" s="728" t="s">
        <v>35</v>
      </c>
      <c r="I718" s="729"/>
      <c r="J718" s="269">
        <f ca="1">IFERROR(__xludf.DUMMYFUNCTION("IMPORTRANGE(""https://docs.google.com/spreadsheets/d/1XWAQStnk-4SwqDmLtmXYiTMKHgktTP8We1SCoS47DrQ/edit?usp=sharing"",""จัดที่ดิน!BF28"")"),0)</f>
        <v>0</v>
      </c>
      <c r="K718" s="465"/>
      <c r="L718" s="465"/>
      <c r="M718" s="189"/>
      <c r="N718" s="730"/>
      <c r="O718" s="465"/>
      <c r="P718" s="465"/>
      <c r="Q718" s="541"/>
      <c r="R718" s="541"/>
      <c r="S718" s="541"/>
      <c r="T718" s="541"/>
      <c r="U718" s="541"/>
      <c r="V718" s="541"/>
      <c r="W718" s="541"/>
      <c r="X718" s="541"/>
      <c r="Y718" s="541"/>
      <c r="Z718" s="541"/>
    </row>
    <row r="719" spans="1:26" ht="18.75">
      <c r="A719" s="708"/>
      <c r="B719" s="727"/>
      <c r="C719" s="727"/>
      <c r="D719" s="727"/>
      <c r="E719" s="727"/>
      <c r="F719" s="727"/>
      <c r="G719" s="189"/>
      <c r="H719" s="728" t="s">
        <v>34</v>
      </c>
      <c r="I719" s="729"/>
      <c r="J719" s="269">
        <f ca="1">IFERROR(__xludf.DUMMYFUNCTION("IMPORTRANGE(""https://docs.google.com/spreadsheets/d/1XWAQStnk-4SwqDmLtmXYiTMKHgktTP8We1SCoS47DrQ/edit?usp=sharing"",""จัดที่ดิน!BG28"")"),0)</f>
        <v>0</v>
      </c>
      <c r="K719" s="465"/>
      <c r="L719" s="730"/>
      <c r="M719" s="189"/>
      <c r="N719" s="730"/>
      <c r="O719" s="465"/>
      <c r="P719" s="465"/>
      <c r="Q719" s="541"/>
      <c r="R719" s="541"/>
      <c r="S719" s="541"/>
      <c r="T719" s="541"/>
      <c r="U719" s="541"/>
      <c r="V719" s="541"/>
      <c r="W719" s="541"/>
      <c r="X719" s="541"/>
      <c r="Y719" s="541"/>
      <c r="Z719" s="541"/>
    </row>
    <row r="720" spans="1:26" ht="18.75">
      <c r="A720" s="708"/>
      <c r="B720" s="727"/>
      <c r="C720" s="727"/>
      <c r="D720" s="727"/>
      <c r="E720" s="727"/>
      <c r="F720" s="727"/>
      <c r="G720" s="189"/>
      <c r="H720" s="728" t="s">
        <v>46</v>
      </c>
      <c r="I720" s="729">
        <f ca="1">IFERROR(__xludf.DUMMYFUNCTION("IMPORTRANGE(""https://docs.google.com/spreadsheets/d/1QqKyyYR6Q21VydFLVH3TRQUabQu_ym0Zz7PgGX0-kHA/edit?usp=sharing"",""แผน!II28"")"),14)</f>
        <v>14</v>
      </c>
      <c r="J720" s="269">
        <f ca="1">IFERROR(__xludf.DUMMYFUNCTION("IMPORTRANGE(""https://docs.google.com/spreadsheets/d/1XWAQStnk-4SwqDmLtmXYiTMKHgktTP8We1SCoS47DrQ/edit?usp=sharing"",""จัดที่ดิน!BH28"")"),0)</f>
        <v>0</v>
      </c>
      <c r="K720" s="465">
        <f t="shared" ref="K720:K723" ca="1" si="290">IF(I720&gt;0,J720*100/I720,0)</f>
        <v>0</v>
      </c>
      <c r="L720" s="730"/>
      <c r="M720" s="189"/>
      <c r="N720" s="730"/>
      <c r="O720" s="465"/>
      <c r="P720" s="465"/>
      <c r="Q720" s="541"/>
      <c r="R720" s="541"/>
      <c r="S720" s="541"/>
      <c r="T720" s="541"/>
      <c r="U720" s="541"/>
      <c r="V720" s="541"/>
      <c r="W720" s="541"/>
      <c r="X720" s="541"/>
      <c r="Y720" s="541"/>
      <c r="Z720" s="541"/>
    </row>
    <row r="721" spans="1:26" ht="19.5">
      <c r="A721" s="708"/>
      <c r="B721" s="727"/>
      <c r="C721" s="727"/>
      <c r="D721" s="727" t="s">
        <v>305</v>
      </c>
      <c r="E721" s="727"/>
      <c r="F721" s="727"/>
      <c r="G721" s="189"/>
      <c r="H721" s="731" t="s">
        <v>35</v>
      </c>
      <c r="I721" s="732">
        <f ca="1">IFERROR(__xludf.DUMMYFUNCTION("IMPORTRANGE(""https://docs.google.com/spreadsheets/d/1QqKyyYR6Q21VydFLVH3TRQUabQu_ym0Zz7PgGX0-kHA/edit?usp=sharing"",""แผน!IJ28"")"),2)</f>
        <v>2</v>
      </c>
      <c r="J721" s="647">
        <f ca="1">J723+J726</f>
        <v>0</v>
      </c>
      <c r="K721" s="195">
        <f t="shared" ca="1" si="290"/>
        <v>0</v>
      </c>
      <c r="L721" s="730"/>
      <c r="M721" s="189"/>
      <c r="N721" s="730"/>
      <c r="O721" s="465"/>
      <c r="P721" s="465"/>
      <c r="Q721" s="541"/>
      <c r="R721" s="541"/>
      <c r="S721" s="541"/>
      <c r="T721" s="541"/>
      <c r="U721" s="541"/>
      <c r="V721" s="541"/>
      <c r="W721" s="541"/>
      <c r="X721" s="541"/>
      <c r="Y721" s="541"/>
      <c r="Z721" s="541"/>
    </row>
    <row r="722" spans="1:26" ht="19.5">
      <c r="A722" s="708"/>
      <c r="B722" s="727"/>
      <c r="C722" s="727"/>
      <c r="D722" s="727"/>
      <c r="E722" s="727"/>
      <c r="F722" s="727"/>
      <c r="G722" s="189"/>
      <c r="H722" s="731" t="s">
        <v>46</v>
      </c>
      <c r="I722" s="732">
        <f ca="1">IFERROR(__xludf.DUMMYFUNCTION("IMPORTRANGE(""https://docs.google.com/spreadsheets/d/1QqKyyYR6Q21VydFLVH3TRQUabQu_ym0Zz7PgGX0-kHA/edit?usp=sharing"",""แผน!IK28"")"),29)</f>
        <v>29</v>
      </c>
      <c r="J722" s="647">
        <f ca="1">J725+J728</f>
        <v>0</v>
      </c>
      <c r="K722" s="195">
        <f t="shared" ca="1" si="290"/>
        <v>0</v>
      </c>
      <c r="L722" s="465"/>
      <c r="M722" s="189"/>
      <c r="N722" s="730"/>
      <c r="O722" s="465"/>
      <c r="P722" s="465"/>
      <c r="Q722" s="541"/>
      <c r="R722" s="541"/>
      <c r="S722" s="541"/>
      <c r="T722" s="541"/>
      <c r="U722" s="541"/>
      <c r="V722" s="541"/>
      <c r="W722" s="541"/>
      <c r="X722" s="541"/>
      <c r="Y722" s="541"/>
      <c r="Z722" s="541"/>
    </row>
    <row r="723" spans="1:26" ht="18.75">
      <c r="A723" s="708"/>
      <c r="B723" s="727"/>
      <c r="C723" s="727"/>
      <c r="D723" s="727"/>
      <c r="E723" s="727" t="s">
        <v>306</v>
      </c>
      <c r="F723" s="727"/>
      <c r="G723" s="189"/>
      <c r="H723" s="728" t="s">
        <v>35</v>
      </c>
      <c r="I723" s="729">
        <f ca="1">IFERROR(__xludf.DUMMYFUNCTION("IMPORTRANGE(""https://docs.google.com/spreadsheets/d/1QqKyyYR6Q21VydFLVH3TRQUabQu_ym0Zz7PgGX0-kHA/edit?usp=sharing"",""แผน!IL28"")"),2)</f>
        <v>2</v>
      </c>
      <c r="J723" s="269">
        <f ca="1">IFERROR(__xludf.DUMMYFUNCTION("IMPORTRANGE(""https://docs.google.com/spreadsheets/d/1XWAQStnk-4SwqDmLtmXYiTMKHgktTP8We1SCoS47DrQ/edit?usp=sharing"",""จัดที่ดิน!BM28"")"),0)</f>
        <v>0</v>
      </c>
      <c r="K723" s="465">
        <f t="shared" ca="1" si="290"/>
        <v>0</v>
      </c>
      <c r="L723" s="465"/>
      <c r="M723" s="189"/>
      <c r="N723" s="730"/>
      <c r="O723" s="465"/>
      <c r="P723" s="465"/>
      <c r="Q723" s="541"/>
      <c r="R723" s="541"/>
      <c r="S723" s="541"/>
      <c r="T723" s="541"/>
      <c r="U723" s="541"/>
      <c r="V723" s="541"/>
      <c r="W723" s="541"/>
      <c r="X723" s="541"/>
      <c r="Y723" s="541"/>
      <c r="Z723" s="541"/>
    </row>
    <row r="724" spans="1:26" ht="18.75">
      <c r="A724" s="708"/>
      <c r="B724" s="727"/>
      <c r="C724" s="727"/>
      <c r="D724" s="727"/>
      <c r="E724" s="727"/>
      <c r="F724" s="727"/>
      <c r="G724" s="189"/>
      <c r="H724" s="728" t="s">
        <v>34</v>
      </c>
      <c r="I724" s="729"/>
      <c r="J724" s="269">
        <f ca="1">IFERROR(__xludf.DUMMYFUNCTION("IMPORTRANGE(""https://docs.google.com/spreadsheets/d/1XWAQStnk-4SwqDmLtmXYiTMKHgktTP8We1SCoS47DrQ/edit?usp=sharing"",""จัดที่ดิน!BN28"")"),0)</f>
        <v>0</v>
      </c>
      <c r="K724" s="465"/>
      <c r="L724" s="730"/>
      <c r="M724" s="189"/>
      <c r="N724" s="730"/>
      <c r="O724" s="465"/>
      <c r="P724" s="465"/>
      <c r="Q724" s="541"/>
      <c r="R724" s="541"/>
      <c r="S724" s="541"/>
      <c r="T724" s="541"/>
      <c r="U724" s="541"/>
      <c r="V724" s="541"/>
      <c r="W724" s="541"/>
      <c r="X724" s="541"/>
      <c r="Y724" s="541"/>
      <c r="Z724" s="541"/>
    </row>
    <row r="725" spans="1:26" ht="18.75">
      <c r="A725" s="708"/>
      <c r="B725" s="727"/>
      <c r="C725" s="727"/>
      <c r="D725" s="727"/>
      <c r="E725" s="727"/>
      <c r="F725" s="727"/>
      <c r="G725" s="189"/>
      <c r="H725" s="728" t="s">
        <v>46</v>
      </c>
      <c r="I725" s="729">
        <f ca="1">IFERROR(__xludf.DUMMYFUNCTION("IMPORTRANGE(""https://docs.google.com/spreadsheets/d/1QqKyyYR6Q21VydFLVH3TRQUabQu_ym0Zz7PgGX0-kHA/edit?usp=sharing"",""แผน!IM28"")"),29)</f>
        <v>29</v>
      </c>
      <c r="J725" s="269">
        <f ca="1">IFERROR(__xludf.DUMMYFUNCTION("IMPORTRANGE(""https://docs.google.com/spreadsheets/d/1XWAQStnk-4SwqDmLtmXYiTMKHgktTP8We1SCoS47DrQ/edit?usp=sharing"",""จัดที่ดิน!BO28"")"),0)</f>
        <v>0</v>
      </c>
      <c r="K725" s="465">
        <f t="shared" ref="K725:K726" ca="1" si="291">IF(I725&gt;0,J725*100/I725,0)</f>
        <v>0</v>
      </c>
      <c r="L725" s="730"/>
      <c r="M725" s="189"/>
      <c r="N725" s="730"/>
      <c r="O725" s="465"/>
      <c r="P725" s="465"/>
      <c r="Q725" s="541"/>
      <c r="R725" s="541"/>
      <c r="S725" s="541"/>
      <c r="T725" s="541"/>
      <c r="U725" s="541"/>
      <c r="V725" s="541"/>
      <c r="W725" s="541"/>
      <c r="X725" s="541"/>
      <c r="Y725" s="541"/>
      <c r="Z725" s="541"/>
    </row>
    <row r="726" spans="1:26" ht="18.75">
      <c r="A726" s="708"/>
      <c r="B726" s="727"/>
      <c r="C726" s="727"/>
      <c r="D726" s="727"/>
      <c r="E726" s="727" t="s">
        <v>307</v>
      </c>
      <c r="F726" s="727"/>
      <c r="G726" s="189"/>
      <c r="H726" s="728" t="s">
        <v>35</v>
      </c>
      <c r="I726" s="729">
        <f ca="1">IFERROR(__xludf.DUMMYFUNCTION("IMPORTRANGE(""https://docs.google.com/spreadsheets/d/1QqKyyYR6Q21VydFLVH3TRQUabQu_ym0Zz7PgGX0-kHA/edit?usp=sharing"",""แผน!IN28"")"),0)</f>
        <v>0</v>
      </c>
      <c r="J726" s="269">
        <f ca="1">IFERROR(__xludf.DUMMYFUNCTION("IMPORTRANGE(""https://docs.google.com/spreadsheets/d/1XWAQStnk-4SwqDmLtmXYiTMKHgktTP8We1SCoS47DrQ/edit?usp=sharing"",""จัดที่ดิน!BR28"")"),0)</f>
        <v>0</v>
      </c>
      <c r="K726" s="465">
        <f t="shared" ca="1" si="291"/>
        <v>0</v>
      </c>
      <c r="L726" s="465"/>
      <c r="M726" s="189"/>
      <c r="N726" s="730"/>
      <c r="O726" s="465"/>
      <c r="P726" s="465"/>
      <c r="Q726" s="541"/>
      <c r="R726" s="541"/>
      <c r="S726" s="541"/>
      <c r="T726" s="541"/>
      <c r="U726" s="541"/>
      <c r="V726" s="541"/>
      <c r="W726" s="541"/>
      <c r="X726" s="541"/>
      <c r="Y726" s="541"/>
      <c r="Z726" s="541"/>
    </row>
    <row r="727" spans="1:26" ht="18.75">
      <c r="A727" s="708"/>
      <c r="B727" s="727"/>
      <c r="C727" s="727"/>
      <c r="D727" s="727"/>
      <c r="E727" s="727"/>
      <c r="F727" s="727"/>
      <c r="G727" s="189"/>
      <c r="H727" s="728" t="s">
        <v>34</v>
      </c>
      <c r="I727" s="729"/>
      <c r="J727" s="269">
        <f ca="1">IFERROR(__xludf.DUMMYFUNCTION("IMPORTRANGE(""https://docs.google.com/spreadsheets/d/1XWAQStnk-4SwqDmLtmXYiTMKHgktTP8We1SCoS47DrQ/edit?usp=sharing"",""จัดที่ดิน!BS28"")"),0)</f>
        <v>0</v>
      </c>
      <c r="K727" s="465"/>
      <c r="L727" s="730"/>
      <c r="M727" s="189"/>
      <c r="N727" s="730"/>
      <c r="O727" s="465"/>
      <c r="P727" s="465"/>
      <c r="Q727" s="541"/>
      <c r="R727" s="541"/>
      <c r="S727" s="541"/>
      <c r="T727" s="541"/>
      <c r="U727" s="541"/>
      <c r="V727" s="541"/>
      <c r="W727" s="541"/>
      <c r="X727" s="541"/>
      <c r="Y727" s="541"/>
      <c r="Z727" s="541"/>
    </row>
    <row r="728" spans="1:26" ht="18.75">
      <c r="A728" s="708"/>
      <c r="B728" s="727"/>
      <c r="C728" s="727"/>
      <c r="D728" s="727"/>
      <c r="E728" s="727"/>
      <c r="F728" s="727"/>
      <c r="G728" s="189"/>
      <c r="H728" s="728" t="s">
        <v>46</v>
      </c>
      <c r="I728" s="729">
        <f ca="1">IFERROR(__xludf.DUMMYFUNCTION("IMPORTRANGE(""https://docs.google.com/spreadsheets/d/1QqKyyYR6Q21VydFLVH3TRQUabQu_ym0Zz7PgGX0-kHA/edit?usp=sharing"",""แผน!IO28"")"),0)</f>
        <v>0</v>
      </c>
      <c r="J728" s="269">
        <f ca="1">IFERROR(__xludf.DUMMYFUNCTION("IMPORTRANGE(""https://docs.google.com/spreadsheets/d/1XWAQStnk-4SwqDmLtmXYiTMKHgktTP8We1SCoS47DrQ/edit?usp=sharing"",""จัดที่ดิน!BT28"")"),0)</f>
        <v>0</v>
      </c>
      <c r="K728" s="465">
        <f t="shared" ref="K728:K729" ca="1" si="292">IF(I728&gt;0,J728*100/I728,0)</f>
        <v>0</v>
      </c>
      <c r="L728" s="730"/>
      <c r="M728" s="189"/>
      <c r="N728" s="730"/>
      <c r="O728" s="465"/>
      <c r="P728" s="465"/>
      <c r="Q728" s="541"/>
      <c r="R728" s="541"/>
      <c r="S728" s="541"/>
      <c r="T728" s="541"/>
      <c r="U728" s="541"/>
      <c r="V728" s="541"/>
      <c r="W728" s="541"/>
      <c r="X728" s="541"/>
      <c r="Y728" s="541"/>
      <c r="Z728" s="541"/>
    </row>
    <row r="729" spans="1:26" ht="19.5">
      <c r="A729" s="708"/>
      <c r="B729" s="727"/>
      <c r="C729" s="727"/>
      <c r="D729" s="727" t="s">
        <v>308</v>
      </c>
      <c r="E729" s="727"/>
      <c r="F729" s="727"/>
      <c r="G729" s="189"/>
      <c r="H729" s="731" t="s">
        <v>46</v>
      </c>
      <c r="I729" s="732">
        <f ca="1">IFERROR(__xludf.DUMMYFUNCTION("IMPORTRANGE(""https://docs.google.com/spreadsheets/d/1QqKyyYR6Q21VydFLVH3TRQUabQu_ym0Zz7PgGX0-kHA/edit?usp=sharing"",""แผน!IP28"")"),0)</f>
        <v>0</v>
      </c>
      <c r="J729" s="647">
        <f>J732+J735</f>
        <v>0</v>
      </c>
      <c r="K729" s="195">
        <f t="shared" ca="1" si="292"/>
        <v>0</v>
      </c>
      <c r="L729" s="465"/>
      <c r="M729" s="189"/>
      <c r="N729" s="730"/>
      <c r="O729" s="465"/>
      <c r="P729" s="465"/>
      <c r="Q729" s="541"/>
      <c r="R729" s="541"/>
      <c r="S729" s="541"/>
      <c r="T729" s="541"/>
      <c r="U729" s="541"/>
      <c r="V729" s="541"/>
      <c r="W729" s="541"/>
      <c r="X729" s="541"/>
      <c r="Y729" s="541"/>
      <c r="Z729" s="541"/>
    </row>
    <row r="730" spans="1:26" ht="18.75">
      <c r="A730" s="708"/>
      <c r="B730" s="727"/>
      <c r="C730" s="727"/>
      <c r="D730" s="727"/>
      <c r="E730" s="727" t="s">
        <v>309</v>
      </c>
      <c r="F730" s="727"/>
      <c r="G730" s="189"/>
      <c r="H730" s="728" t="s">
        <v>35</v>
      </c>
      <c r="I730" s="729"/>
      <c r="J730" s="214">
        <v>0</v>
      </c>
      <c r="K730" s="465"/>
      <c r="L730" s="730"/>
      <c r="M730" s="465"/>
      <c r="N730" s="730"/>
      <c r="O730" s="465"/>
      <c r="P730" s="465"/>
      <c r="Q730" s="541"/>
      <c r="R730" s="541"/>
      <c r="S730" s="541"/>
      <c r="T730" s="541"/>
      <c r="U730" s="541"/>
      <c r="V730" s="541"/>
      <c r="W730" s="541"/>
      <c r="X730" s="541"/>
      <c r="Y730" s="541"/>
      <c r="Z730" s="541"/>
    </row>
    <row r="731" spans="1:26" ht="18.75">
      <c r="A731" s="708"/>
      <c r="B731" s="727"/>
      <c r="C731" s="727"/>
      <c r="D731" s="727"/>
      <c r="E731" s="727"/>
      <c r="F731" s="727"/>
      <c r="G731" s="189"/>
      <c r="H731" s="728" t="s">
        <v>34</v>
      </c>
      <c r="I731" s="729"/>
      <c r="J731" s="214">
        <v>0</v>
      </c>
      <c r="K731" s="465"/>
      <c r="L731" s="730"/>
      <c r="M731" s="465"/>
      <c r="N731" s="730"/>
      <c r="O731" s="465"/>
      <c r="P731" s="465"/>
      <c r="Q731" s="541"/>
      <c r="R731" s="541"/>
      <c r="S731" s="541"/>
      <c r="T731" s="541"/>
      <c r="U731" s="541"/>
      <c r="V731" s="541"/>
      <c r="W731" s="541"/>
      <c r="X731" s="541"/>
      <c r="Y731" s="541"/>
      <c r="Z731" s="541"/>
    </row>
    <row r="732" spans="1:26" ht="18.75">
      <c r="A732" s="708"/>
      <c r="B732" s="727"/>
      <c r="C732" s="727"/>
      <c r="D732" s="727"/>
      <c r="E732" s="727"/>
      <c r="F732" s="727"/>
      <c r="G732" s="189"/>
      <c r="H732" s="728" t="s">
        <v>46</v>
      </c>
      <c r="I732" s="729"/>
      <c r="J732" s="214">
        <v>0</v>
      </c>
      <c r="K732" s="465"/>
      <c r="L732" s="730"/>
      <c r="M732" s="465"/>
      <c r="N732" s="730"/>
      <c r="O732" s="465"/>
      <c r="P732" s="465"/>
      <c r="Q732" s="541"/>
      <c r="R732" s="541"/>
      <c r="S732" s="541"/>
      <c r="T732" s="541"/>
      <c r="U732" s="541"/>
      <c r="V732" s="541"/>
      <c r="W732" s="541"/>
      <c r="X732" s="541"/>
      <c r="Y732" s="541"/>
      <c r="Z732" s="541"/>
    </row>
    <row r="733" spans="1:26" ht="18.75">
      <c r="A733" s="708"/>
      <c r="B733" s="727"/>
      <c r="C733" s="727"/>
      <c r="D733" s="727"/>
      <c r="E733" s="727" t="s">
        <v>310</v>
      </c>
      <c r="F733" s="727"/>
      <c r="G733" s="189"/>
      <c r="H733" s="728" t="s">
        <v>35</v>
      </c>
      <c r="I733" s="729"/>
      <c r="J733" s="214">
        <v>0</v>
      </c>
      <c r="K733" s="465"/>
      <c r="L733" s="730"/>
      <c r="M733" s="465"/>
      <c r="N733" s="730"/>
      <c r="O733" s="465"/>
      <c r="P733" s="465"/>
      <c r="Q733" s="541"/>
      <c r="R733" s="541"/>
      <c r="S733" s="541"/>
      <c r="T733" s="541"/>
      <c r="U733" s="541"/>
      <c r="V733" s="541"/>
      <c r="W733" s="541"/>
      <c r="X733" s="541"/>
      <c r="Y733" s="541"/>
      <c r="Z733" s="541"/>
    </row>
    <row r="734" spans="1:26" ht="18.75">
      <c r="A734" s="708"/>
      <c r="B734" s="727"/>
      <c r="C734" s="727"/>
      <c r="D734" s="727"/>
      <c r="E734" s="727"/>
      <c r="F734" s="727"/>
      <c r="G734" s="189"/>
      <c r="H734" s="728" t="s">
        <v>34</v>
      </c>
      <c r="I734" s="729"/>
      <c r="J734" s="214">
        <v>0</v>
      </c>
      <c r="K734" s="465"/>
      <c r="L734" s="730"/>
      <c r="M734" s="465"/>
      <c r="N734" s="730"/>
      <c r="O734" s="465"/>
      <c r="P734" s="465"/>
      <c r="Q734" s="541"/>
      <c r="R734" s="541"/>
      <c r="S734" s="541"/>
      <c r="T734" s="541"/>
      <c r="U734" s="541"/>
      <c r="V734" s="541"/>
      <c r="W734" s="541"/>
      <c r="X734" s="541"/>
      <c r="Y734" s="541"/>
      <c r="Z734" s="541"/>
    </row>
    <row r="735" spans="1:26" ht="19.5">
      <c r="A735" s="734"/>
      <c r="B735" s="735" t="s">
        <v>311</v>
      </c>
      <c r="C735" s="698"/>
      <c r="D735" s="698"/>
      <c r="E735" s="698"/>
      <c r="F735" s="698"/>
      <c r="G735" s="699"/>
      <c r="H735" s="390" t="s">
        <v>46</v>
      </c>
      <c r="I735" s="736"/>
      <c r="J735" s="392">
        <v>0</v>
      </c>
      <c r="K735" s="469"/>
      <c r="L735" s="737"/>
      <c r="M735" s="469"/>
      <c r="N735" s="737"/>
      <c r="O735" s="469"/>
      <c r="P735" s="469"/>
      <c r="Q735" s="541"/>
      <c r="R735" s="541"/>
      <c r="S735" s="541"/>
      <c r="T735" s="541"/>
      <c r="U735" s="541"/>
      <c r="V735" s="541"/>
      <c r="W735" s="541"/>
      <c r="X735" s="541"/>
      <c r="Y735" s="541"/>
      <c r="Z735" s="541"/>
    </row>
    <row r="736" spans="1:26" ht="19.5" hidden="1">
      <c r="A736" s="738">
        <v>9</v>
      </c>
      <c r="B736" s="739" t="s">
        <v>312</v>
      </c>
      <c r="C736" s="740"/>
      <c r="D736" s="740"/>
      <c r="E736" s="740"/>
      <c r="F736" s="740"/>
      <c r="G736" s="741"/>
      <c r="H736" s="742" t="s">
        <v>46</v>
      </c>
      <c r="I736" s="743"/>
      <c r="J736" s="743">
        <f>J751</f>
        <v>0</v>
      </c>
      <c r="K736" s="744">
        <f>IF(I736&gt;0,J736*100/I736,0)</f>
        <v>0</v>
      </c>
      <c r="L736" s="745"/>
      <c r="M736" s="745"/>
      <c r="N736" s="745"/>
      <c r="O736" s="745"/>
      <c r="P736" s="745"/>
      <c r="Q736" s="568"/>
      <c r="R736" s="568"/>
      <c r="S736" s="568"/>
      <c r="T736" s="568"/>
      <c r="U736" s="568"/>
      <c r="V736" s="568"/>
      <c r="W736" s="568"/>
      <c r="X736" s="568"/>
      <c r="Y736" s="568"/>
      <c r="Z736" s="568"/>
    </row>
    <row r="737" spans="1:26" ht="19.5" hidden="1">
      <c r="A737" s="563"/>
      <c r="B737" s="723"/>
      <c r="C737" s="723" t="s">
        <v>16</v>
      </c>
      <c r="D737" s="812" t="s">
        <v>17</v>
      </c>
      <c r="E737" s="805"/>
      <c r="F737" s="805"/>
      <c r="G737" s="567"/>
      <c r="H737" s="612" t="s">
        <v>12</v>
      </c>
      <c r="I737" s="583"/>
      <c r="J737" s="583"/>
      <c r="K737" s="93"/>
      <c r="L737" s="613">
        <f t="shared" ref="L737:N737" si="293">L738+L739</f>
        <v>0</v>
      </c>
      <c r="M737" s="613">
        <f t="shared" si="293"/>
        <v>0</v>
      </c>
      <c r="N737" s="613">
        <f t="shared" si="293"/>
        <v>0</v>
      </c>
      <c r="O737" s="613">
        <f t="shared" ref="O737:O742" si="294">IF(L737&gt;0,N737*100/L737,0)</f>
        <v>0</v>
      </c>
      <c r="P737" s="613">
        <f t="shared" ref="P737:P742" si="295">IF(M737&gt;0,N737*100/M737,0)</f>
        <v>0</v>
      </c>
      <c r="Q737" s="568"/>
      <c r="R737" s="568"/>
      <c r="S737" s="568"/>
      <c r="T737" s="568"/>
      <c r="U737" s="568"/>
      <c r="V737" s="568"/>
      <c r="W737" s="568"/>
      <c r="X737" s="568"/>
      <c r="Y737" s="568"/>
      <c r="Z737" s="568"/>
    </row>
    <row r="738" spans="1:26" ht="18.75" hidden="1">
      <c r="A738" s="563"/>
      <c r="B738" s="723"/>
      <c r="C738" s="723"/>
      <c r="D738" s="684"/>
      <c r="E738" s="723" t="s">
        <v>184</v>
      </c>
      <c r="F738" s="723"/>
      <c r="G738" s="567"/>
      <c r="H738" s="165" t="s">
        <v>12</v>
      </c>
      <c r="I738" s="583"/>
      <c r="J738" s="583"/>
      <c r="K738" s="93"/>
      <c r="L738" s="93">
        <f t="shared" ref="L738:N739" si="296">L741+L748</f>
        <v>0</v>
      </c>
      <c r="M738" s="93">
        <f t="shared" si="296"/>
        <v>0</v>
      </c>
      <c r="N738" s="93">
        <f t="shared" si="296"/>
        <v>0</v>
      </c>
      <c r="O738" s="93">
        <f t="shared" si="294"/>
        <v>0</v>
      </c>
      <c r="P738" s="93">
        <f t="shared" si="295"/>
        <v>0</v>
      </c>
      <c r="Q738" s="568"/>
      <c r="R738" s="568"/>
      <c r="S738" s="568"/>
      <c r="T738" s="568"/>
      <c r="U738" s="568"/>
      <c r="V738" s="568"/>
      <c r="W738" s="568"/>
      <c r="X738" s="568"/>
      <c r="Y738" s="568"/>
      <c r="Z738" s="568"/>
    </row>
    <row r="739" spans="1:26" ht="18.75" hidden="1">
      <c r="A739" s="563"/>
      <c r="B739" s="571"/>
      <c r="C739" s="723"/>
      <c r="D739" s="684"/>
      <c r="E739" s="723" t="s">
        <v>185</v>
      </c>
      <c r="F739" s="723"/>
      <c r="G739" s="567"/>
      <c r="H739" s="165" t="s">
        <v>12</v>
      </c>
      <c r="I739" s="583"/>
      <c r="J739" s="583"/>
      <c r="K739" s="93"/>
      <c r="L739" s="93">
        <f t="shared" si="296"/>
        <v>0</v>
      </c>
      <c r="M739" s="93">
        <f t="shared" si="296"/>
        <v>0</v>
      </c>
      <c r="N739" s="93">
        <f t="shared" si="296"/>
        <v>0</v>
      </c>
      <c r="O739" s="93">
        <f t="shared" si="294"/>
        <v>0</v>
      </c>
      <c r="P739" s="93">
        <f t="shared" si="295"/>
        <v>0</v>
      </c>
      <c r="Q739" s="568"/>
      <c r="R739" s="568"/>
      <c r="S739" s="568"/>
      <c r="T739" s="568"/>
      <c r="U739" s="568"/>
      <c r="V739" s="568"/>
      <c r="W739" s="568"/>
      <c r="X739" s="568"/>
      <c r="Y739" s="568"/>
      <c r="Z739" s="568"/>
    </row>
    <row r="740" spans="1:26" ht="19.5" hidden="1">
      <c r="A740" s="563"/>
      <c r="B740" s="571"/>
      <c r="C740" s="723"/>
      <c r="D740" s="611" t="s">
        <v>20</v>
      </c>
      <c r="E740" s="723"/>
      <c r="F740" s="723"/>
      <c r="G740" s="567"/>
      <c r="H740" s="612" t="s">
        <v>12</v>
      </c>
      <c r="I740" s="166"/>
      <c r="J740" s="166"/>
      <c r="K740" s="167"/>
      <c r="L740" s="613">
        <f t="shared" ref="L740:N740" si="297">L741+L742</f>
        <v>0</v>
      </c>
      <c r="M740" s="613">
        <f t="shared" si="297"/>
        <v>0</v>
      </c>
      <c r="N740" s="613">
        <f t="shared" si="297"/>
        <v>0</v>
      </c>
      <c r="O740" s="613">
        <f t="shared" si="294"/>
        <v>0</v>
      </c>
      <c r="P740" s="613">
        <f t="shared" si="295"/>
        <v>0</v>
      </c>
      <c r="Q740" s="568"/>
      <c r="R740" s="568"/>
      <c r="S740" s="568"/>
      <c r="T740" s="568"/>
      <c r="U740" s="568"/>
      <c r="V740" s="568"/>
      <c r="W740" s="568"/>
      <c r="X740" s="568"/>
      <c r="Y740" s="568"/>
      <c r="Z740" s="568"/>
    </row>
    <row r="741" spans="1:26" ht="18.75" hidden="1">
      <c r="A741" s="563"/>
      <c r="B741" s="571"/>
      <c r="C741" s="723"/>
      <c r="D741" s="684"/>
      <c r="E741" s="723" t="s">
        <v>184</v>
      </c>
      <c r="F741" s="723"/>
      <c r="G741" s="567"/>
      <c r="H741" s="165" t="s">
        <v>12</v>
      </c>
      <c r="I741" s="583"/>
      <c r="J741" s="583"/>
      <c r="K741" s="93"/>
      <c r="L741" s="93">
        <v>0</v>
      </c>
      <c r="M741" s="93">
        <v>0</v>
      </c>
      <c r="N741" s="93">
        <v>0</v>
      </c>
      <c r="O741" s="93">
        <f t="shared" si="294"/>
        <v>0</v>
      </c>
      <c r="P741" s="93">
        <f t="shared" si="295"/>
        <v>0</v>
      </c>
      <c r="Q741" s="568"/>
      <c r="R741" s="568"/>
      <c r="S741" s="568"/>
      <c r="T741" s="568"/>
      <c r="U741" s="568"/>
      <c r="V741" s="568"/>
      <c r="W741" s="568"/>
      <c r="X741" s="568"/>
      <c r="Y741" s="568"/>
      <c r="Z741" s="568"/>
    </row>
    <row r="742" spans="1:26" ht="18.75" hidden="1">
      <c r="A742" s="563"/>
      <c r="B742" s="571"/>
      <c r="C742" s="723"/>
      <c r="D742" s="684"/>
      <c r="E742" s="723" t="s">
        <v>185</v>
      </c>
      <c r="F742" s="723"/>
      <c r="G742" s="567"/>
      <c r="H742" s="165" t="s">
        <v>12</v>
      </c>
      <c r="I742" s="583"/>
      <c r="J742" s="583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4"/>
        <v>0</v>
      </c>
      <c r="P742" s="93">
        <f t="shared" si="295"/>
        <v>0</v>
      </c>
      <c r="Q742" s="568"/>
      <c r="R742" s="568"/>
      <c r="S742" s="568"/>
      <c r="T742" s="568"/>
      <c r="U742" s="568"/>
      <c r="V742" s="568"/>
      <c r="W742" s="568"/>
      <c r="X742" s="568"/>
      <c r="Y742" s="568"/>
      <c r="Z742" s="568"/>
    </row>
    <row r="743" spans="1:26" ht="18.75" hidden="1">
      <c r="A743" s="615"/>
      <c r="B743" s="571"/>
      <c r="C743" s="723"/>
      <c r="D743" s="723"/>
      <c r="E743" s="723"/>
      <c r="F743" s="723" t="s">
        <v>186</v>
      </c>
      <c r="G743" s="567"/>
      <c r="H743" s="165" t="s">
        <v>12</v>
      </c>
      <c r="I743" s="583"/>
      <c r="J743" s="583"/>
      <c r="K743" s="93"/>
      <c r="L743" s="93"/>
      <c r="M743" s="93"/>
      <c r="N743" s="93"/>
      <c r="O743" s="93"/>
      <c r="P743" s="93"/>
      <c r="Q743" s="568"/>
      <c r="R743" s="568"/>
      <c r="S743" s="568"/>
      <c r="T743" s="568"/>
      <c r="U743" s="568"/>
      <c r="V743" s="568"/>
      <c r="W743" s="568"/>
      <c r="X743" s="568"/>
      <c r="Y743" s="568"/>
      <c r="Z743" s="568"/>
    </row>
    <row r="744" spans="1:26" ht="18.75" hidden="1">
      <c r="A744" s="615"/>
      <c r="B744" s="571"/>
      <c r="C744" s="723"/>
      <c r="D744" s="723"/>
      <c r="E744" s="723"/>
      <c r="F744" s="723" t="s">
        <v>187</v>
      </c>
      <c r="G744" s="567"/>
      <c r="H744" s="165" t="s">
        <v>12</v>
      </c>
      <c r="I744" s="583"/>
      <c r="J744" s="583"/>
      <c r="K744" s="93"/>
      <c r="L744" s="93"/>
      <c r="M744" s="93"/>
      <c r="N744" s="93"/>
      <c r="O744" s="93"/>
      <c r="P744" s="93"/>
      <c r="Q744" s="568"/>
      <c r="R744" s="568"/>
      <c r="S744" s="568"/>
      <c r="T744" s="568"/>
      <c r="U744" s="568"/>
      <c r="V744" s="568"/>
      <c r="W744" s="568"/>
      <c r="X744" s="568"/>
      <c r="Y744" s="568"/>
      <c r="Z744" s="568"/>
    </row>
    <row r="745" spans="1:26" ht="18.75" hidden="1">
      <c r="A745" s="615"/>
      <c r="B745" s="571"/>
      <c r="C745" s="723"/>
      <c r="D745" s="723"/>
      <c r="E745" s="723"/>
      <c r="F745" s="723" t="s">
        <v>188</v>
      </c>
      <c r="G745" s="567"/>
      <c r="H745" s="165" t="s">
        <v>12</v>
      </c>
      <c r="I745" s="583"/>
      <c r="J745" s="583"/>
      <c r="K745" s="93"/>
      <c r="L745" s="93"/>
      <c r="M745" s="93"/>
      <c r="N745" s="93"/>
      <c r="O745" s="93"/>
      <c r="P745" s="93"/>
      <c r="Q745" s="568"/>
      <c r="R745" s="568"/>
      <c r="S745" s="568"/>
      <c r="T745" s="568"/>
      <c r="U745" s="568"/>
      <c r="V745" s="568"/>
      <c r="W745" s="568"/>
      <c r="X745" s="568"/>
      <c r="Y745" s="568"/>
      <c r="Z745" s="568"/>
    </row>
    <row r="746" spans="1:26" ht="18.75" hidden="1">
      <c r="A746" s="615"/>
      <c r="B746" s="571"/>
      <c r="C746" s="723"/>
      <c r="D746" s="723"/>
      <c r="E746" s="723"/>
      <c r="F746" s="723" t="s">
        <v>189</v>
      </c>
      <c r="G746" s="567"/>
      <c r="H746" s="165" t="s">
        <v>12</v>
      </c>
      <c r="I746" s="583"/>
      <c r="J746" s="583"/>
      <c r="K746" s="93"/>
      <c r="L746" s="93"/>
      <c r="M746" s="93"/>
      <c r="N746" s="93"/>
      <c r="O746" s="93"/>
      <c r="P746" s="93"/>
      <c r="Q746" s="568"/>
      <c r="R746" s="568"/>
      <c r="S746" s="568"/>
      <c r="T746" s="568"/>
      <c r="U746" s="568"/>
      <c r="V746" s="568"/>
      <c r="W746" s="568"/>
      <c r="X746" s="568"/>
      <c r="Y746" s="568"/>
      <c r="Z746" s="568"/>
    </row>
    <row r="747" spans="1:26" ht="19.5" hidden="1">
      <c r="A747" s="563"/>
      <c r="B747" s="571"/>
      <c r="C747" s="723"/>
      <c r="D747" s="611" t="s">
        <v>21</v>
      </c>
      <c r="E747" s="723"/>
      <c r="F747" s="723"/>
      <c r="G747" s="567"/>
      <c r="H747" s="747" t="s">
        <v>12</v>
      </c>
      <c r="I747" s="166"/>
      <c r="J747" s="166"/>
      <c r="K747" s="167"/>
      <c r="L747" s="613">
        <f t="shared" ref="L747:N747" si="298">L748+L749</f>
        <v>0</v>
      </c>
      <c r="M747" s="613">
        <f t="shared" si="298"/>
        <v>0</v>
      </c>
      <c r="N747" s="613">
        <f t="shared" si="298"/>
        <v>0</v>
      </c>
      <c r="O747" s="613">
        <f t="shared" ref="O747:O749" si="299">IF(L747&gt;0,N747*100/L747,0)</f>
        <v>0</v>
      </c>
      <c r="P747" s="613">
        <f t="shared" ref="P747:P749" si="300">IF(M747&gt;0,N747*100/M747,0)</f>
        <v>0</v>
      </c>
      <c r="Q747" s="568"/>
      <c r="R747" s="568"/>
      <c r="S747" s="568"/>
      <c r="T747" s="568"/>
      <c r="U747" s="568"/>
      <c r="V747" s="568"/>
      <c r="W747" s="568"/>
      <c r="X747" s="568"/>
      <c r="Y747" s="568"/>
      <c r="Z747" s="568"/>
    </row>
    <row r="748" spans="1:26" ht="18.75" hidden="1">
      <c r="A748" s="563"/>
      <c r="B748" s="571"/>
      <c r="C748" s="723"/>
      <c r="D748" s="723"/>
      <c r="E748" s="723" t="s">
        <v>18</v>
      </c>
      <c r="F748" s="723"/>
      <c r="G748" s="567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299"/>
        <v>0</v>
      </c>
      <c r="P748" s="93">
        <f t="shared" si="300"/>
        <v>0</v>
      </c>
      <c r="Q748" s="568"/>
      <c r="R748" s="568"/>
      <c r="S748" s="568"/>
      <c r="T748" s="568"/>
      <c r="U748" s="568"/>
      <c r="V748" s="568"/>
      <c r="W748" s="568"/>
      <c r="X748" s="568"/>
      <c r="Y748" s="568"/>
      <c r="Z748" s="568"/>
    </row>
    <row r="749" spans="1:26" ht="18.75" hidden="1">
      <c r="A749" s="563"/>
      <c r="B749" s="571"/>
      <c r="C749" s="723"/>
      <c r="D749" s="723"/>
      <c r="E749" s="723" t="s">
        <v>19</v>
      </c>
      <c r="F749" s="723"/>
      <c r="G749" s="567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299"/>
        <v>0</v>
      </c>
      <c r="P749" s="93">
        <f t="shared" si="300"/>
        <v>0</v>
      </c>
      <c r="Q749" s="568"/>
      <c r="R749" s="568"/>
      <c r="S749" s="568"/>
      <c r="T749" s="568"/>
      <c r="U749" s="568"/>
      <c r="V749" s="568"/>
      <c r="W749" s="568"/>
      <c r="X749" s="568"/>
      <c r="Y749" s="568"/>
      <c r="Z749" s="568"/>
    </row>
    <row r="750" spans="1:26" ht="19.5" hidden="1">
      <c r="A750" s="578"/>
      <c r="B750" s="580"/>
      <c r="C750" s="723" t="s">
        <v>16</v>
      </c>
      <c r="D750" s="856" t="s">
        <v>38</v>
      </c>
      <c r="E750" s="617"/>
      <c r="F750" s="617"/>
      <c r="G750" s="618"/>
      <c r="H750" s="581"/>
      <c r="I750" s="166"/>
      <c r="J750" s="166"/>
      <c r="K750" s="167"/>
      <c r="L750" s="167"/>
      <c r="M750" s="167"/>
      <c r="N750" s="167"/>
      <c r="O750" s="167"/>
      <c r="P750" s="167"/>
      <c r="Q750" s="568"/>
      <c r="R750" s="568"/>
      <c r="S750" s="568"/>
      <c r="T750" s="568"/>
      <c r="U750" s="568"/>
      <c r="V750" s="568"/>
      <c r="W750" s="568"/>
      <c r="X750" s="568"/>
      <c r="Y750" s="568"/>
      <c r="Z750" s="568"/>
    </row>
    <row r="751" spans="1:26" ht="18.75" hidden="1">
      <c r="A751" s="615"/>
      <c r="B751" s="571"/>
      <c r="C751" s="723"/>
      <c r="D751" s="723"/>
      <c r="E751" s="723" t="s">
        <v>313</v>
      </c>
      <c r="F751" s="723"/>
      <c r="G751" s="567"/>
      <c r="H751" s="165" t="s">
        <v>46</v>
      </c>
      <c r="I751" s="583"/>
      <c r="J751" s="583"/>
      <c r="K751" s="93"/>
      <c r="L751" s="93"/>
      <c r="M751" s="93"/>
      <c r="N751" s="93"/>
      <c r="O751" s="93"/>
      <c r="P751" s="93"/>
      <c r="Q751" s="568"/>
      <c r="R751" s="568"/>
      <c r="S751" s="568"/>
      <c r="T751" s="568"/>
      <c r="U751" s="568"/>
      <c r="V751" s="568"/>
      <c r="W751" s="568"/>
      <c r="X751" s="568"/>
      <c r="Y751" s="568"/>
      <c r="Z751" s="568"/>
    </row>
    <row r="752" spans="1:26" ht="18.75" hidden="1">
      <c r="A752" s="615"/>
      <c r="B752" s="571"/>
      <c r="C752" s="723"/>
      <c r="D752" s="723"/>
      <c r="E752" s="723"/>
      <c r="F752" s="723"/>
      <c r="G752" s="567"/>
      <c r="H752" s="165" t="s">
        <v>314</v>
      </c>
      <c r="I752" s="583"/>
      <c r="J752" s="583"/>
      <c r="K752" s="93"/>
      <c r="L752" s="93"/>
      <c r="M752" s="93"/>
      <c r="N752" s="93"/>
      <c r="O752" s="93"/>
      <c r="P752" s="93"/>
      <c r="Q752" s="568"/>
      <c r="R752" s="568"/>
      <c r="S752" s="568"/>
      <c r="T752" s="568"/>
      <c r="U752" s="568"/>
      <c r="V752" s="568"/>
      <c r="W752" s="568"/>
      <c r="X752" s="568"/>
      <c r="Y752" s="568"/>
      <c r="Z752" s="568"/>
    </row>
    <row r="753" spans="1:26" ht="19.5" hidden="1">
      <c r="A753" s="749">
        <v>10</v>
      </c>
      <c r="B753" s="750" t="s">
        <v>315</v>
      </c>
      <c r="C753" s="751"/>
      <c r="D753" s="751"/>
      <c r="E753" s="751"/>
      <c r="F753" s="751"/>
      <c r="G753" s="752"/>
      <c r="H753" s="753" t="s">
        <v>46</v>
      </c>
      <c r="I753" s="754"/>
      <c r="J753" s="754">
        <f>J768</f>
        <v>0</v>
      </c>
      <c r="K753" s="755">
        <f>IF(I753&gt;0,J753*100/I753,0)</f>
        <v>0</v>
      </c>
      <c r="L753" s="756"/>
      <c r="M753" s="756"/>
      <c r="N753" s="756"/>
      <c r="O753" s="756"/>
      <c r="P753" s="756"/>
      <c r="Q753" s="568"/>
      <c r="R753" s="568"/>
      <c r="S753" s="568"/>
      <c r="T753" s="568"/>
      <c r="U753" s="568"/>
      <c r="V753" s="568"/>
      <c r="W753" s="568"/>
      <c r="X753" s="568"/>
      <c r="Y753" s="568"/>
      <c r="Z753" s="568"/>
    </row>
    <row r="754" spans="1:26" ht="19.5" hidden="1">
      <c r="A754" s="563"/>
      <c r="B754" s="723"/>
      <c r="C754" s="723" t="s">
        <v>16</v>
      </c>
      <c r="D754" s="812" t="s">
        <v>17</v>
      </c>
      <c r="E754" s="805"/>
      <c r="F754" s="805"/>
      <c r="G754" s="567"/>
      <c r="H754" s="612" t="s">
        <v>12</v>
      </c>
      <c r="I754" s="583"/>
      <c r="J754" s="583"/>
      <c r="K754" s="93"/>
      <c r="L754" s="613">
        <f t="shared" ref="L754:N754" si="301">L755+L756</f>
        <v>0</v>
      </c>
      <c r="M754" s="613">
        <f t="shared" si="301"/>
        <v>0</v>
      </c>
      <c r="N754" s="613">
        <f t="shared" si="301"/>
        <v>0</v>
      </c>
      <c r="O754" s="613">
        <f t="shared" ref="O754:O759" si="302">IF(L754&gt;0,N754*100/L754,0)</f>
        <v>0</v>
      </c>
      <c r="P754" s="613">
        <f t="shared" ref="P754:P759" si="303">IF(M754&gt;0,N754*100/M754,0)</f>
        <v>0</v>
      </c>
      <c r="Q754" s="568"/>
      <c r="R754" s="568"/>
      <c r="S754" s="568"/>
      <c r="T754" s="568"/>
      <c r="U754" s="568"/>
      <c r="V754" s="568"/>
      <c r="W754" s="568"/>
      <c r="X754" s="568"/>
      <c r="Y754" s="568"/>
      <c r="Z754" s="568"/>
    </row>
    <row r="755" spans="1:26" ht="18.75" hidden="1">
      <c r="A755" s="563"/>
      <c r="B755" s="723"/>
      <c r="C755" s="723"/>
      <c r="D755" s="684"/>
      <c r="E755" s="723" t="s">
        <v>184</v>
      </c>
      <c r="F755" s="723"/>
      <c r="G755" s="567"/>
      <c r="H755" s="165" t="s">
        <v>12</v>
      </c>
      <c r="I755" s="583"/>
      <c r="J755" s="583"/>
      <c r="K755" s="93"/>
      <c r="L755" s="93">
        <f t="shared" ref="L755:N756" si="304">L758+L765</f>
        <v>0</v>
      </c>
      <c r="M755" s="93">
        <f t="shared" si="304"/>
        <v>0</v>
      </c>
      <c r="N755" s="93">
        <f t="shared" si="304"/>
        <v>0</v>
      </c>
      <c r="O755" s="93">
        <f t="shared" si="302"/>
        <v>0</v>
      </c>
      <c r="P755" s="93">
        <f t="shared" si="303"/>
        <v>0</v>
      </c>
      <c r="Q755" s="568"/>
      <c r="R755" s="568"/>
      <c r="S755" s="568"/>
      <c r="T755" s="568"/>
      <c r="U755" s="568"/>
      <c r="V755" s="568"/>
      <c r="W755" s="568"/>
      <c r="X755" s="568"/>
      <c r="Y755" s="568"/>
      <c r="Z755" s="568"/>
    </row>
    <row r="756" spans="1:26" ht="18.75" hidden="1">
      <c r="A756" s="563"/>
      <c r="B756" s="571"/>
      <c r="C756" s="723"/>
      <c r="D756" s="684"/>
      <c r="E756" s="723" t="s">
        <v>185</v>
      </c>
      <c r="F756" s="723"/>
      <c r="G756" s="567"/>
      <c r="H756" s="165" t="s">
        <v>12</v>
      </c>
      <c r="I756" s="583"/>
      <c r="J756" s="583"/>
      <c r="K756" s="93"/>
      <c r="L756" s="93">
        <f t="shared" si="304"/>
        <v>0</v>
      </c>
      <c r="M756" s="93">
        <f t="shared" si="304"/>
        <v>0</v>
      </c>
      <c r="N756" s="93">
        <f t="shared" si="304"/>
        <v>0</v>
      </c>
      <c r="O756" s="93">
        <f t="shared" si="302"/>
        <v>0</v>
      </c>
      <c r="P756" s="93">
        <f t="shared" si="303"/>
        <v>0</v>
      </c>
      <c r="Q756" s="568"/>
      <c r="R756" s="568"/>
      <c r="S756" s="568"/>
      <c r="T756" s="568"/>
      <c r="U756" s="568"/>
      <c r="V756" s="568"/>
      <c r="W756" s="568"/>
      <c r="X756" s="568"/>
      <c r="Y756" s="568"/>
      <c r="Z756" s="568"/>
    </row>
    <row r="757" spans="1:26" ht="19.5" hidden="1">
      <c r="A757" s="563"/>
      <c r="B757" s="571"/>
      <c r="C757" s="723"/>
      <c r="D757" s="611" t="s">
        <v>20</v>
      </c>
      <c r="E757" s="723"/>
      <c r="F757" s="723"/>
      <c r="G757" s="567"/>
      <c r="H757" s="612" t="s">
        <v>12</v>
      </c>
      <c r="I757" s="166"/>
      <c r="J757" s="166"/>
      <c r="K757" s="167"/>
      <c r="L757" s="613">
        <f t="shared" ref="L757:N757" si="305">L758+L759</f>
        <v>0</v>
      </c>
      <c r="M757" s="613">
        <f t="shared" si="305"/>
        <v>0</v>
      </c>
      <c r="N757" s="613">
        <f t="shared" si="305"/>
        <v>0</v>
      </c>
      <c r="O757" s="613">
        <f t="shared" si="302"/>
        <v>0</v>
      </c>
      <c r="P757" s="613">
        <f t="shared" si="303"/>
        <v>0</v>
      </c>
      <c r="Q757" s="568"/>
      <c r="R757" s="568"/>
      <c r="S757" s="568"/>
      <c r="T757" s="568"/>
      <c r="U757" s="568"/>
      <c r="V757" s="568"/>
      <c r="W757" s="568"/>
      <c r="X757" s="568"/>
      <c r="Y757" s="568"/>
      <c r="Z757" s="568"/>
    </row>
    <row r="758" spans="1:26" ht="18.75" hidden="1">
      <c r="A758" s="563"/>
      <c r="B758" s="571"/>
      <c r="C758" s="723"/>
      <c r="D758" s="684"/>
      <c r="E758" s="723" t="s">
        <v>184</v>
      </c>
      <c r="F758" s="723"/>
      <c r="G758" s="567"/>
      <c r="H758" s="165" t="s">
        <v>12</v>
      </c>
      <c r="I758" s="583"/>
      <c r="J758" s="583"/>
      <c r="K758" s="93"/>
      <c r="L758" s="93">
        <v>0</v>
      </c>
      <c r="M758" s="93">
        <v>0</v>
      </c>
      <c r="N758" s="93">
        <v>0</v>
      </c>
      <c r="O758" s="93">
        <f t="shared" si="302"/>
        <v>0</v>
      </c>
      <c r="P758" s="93">
        <f t="shared" si="303"/>
        <v>0</v>
      </c>
      <c r="Q758" s="568"/>
      <c r="R758" s="568"/>
      <c r="S758" s="568"/>
      <c r="T758" s="568"/>
      <c r="U758" s="568"/>
      <c r="V758" s="568"/>
      <c r="W758" s="568"/>
      <c r="X758" s="568"/>
      <c r="Y758" s="568"/>
      <c r="Z758" s="568"/>
    </row>
    <row r="759" spans="1:26" ht="18.75" hidden="1">
      <c r="A759" s="563"/>
      <c r="B759" s="571"/>
      <c r="C759" s="723"/>
      <c r="D759" s="684"/>
      <c r="E759" s="723" t="s">
        <v>185</v>
      </c>
      <c r="F759" s="723"/>
      <c r="G759" s="567"/>
      <c r="H759" s="165" t="s">
        <v>12</v>
      </c>
      <c r="I759" s="583"/>
      <c r="J759" s="583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2"/>
        <v>0</v>
      </c>
      <c r="P759" s="93">
        <f t="shared" si="303"/>
        <v>0</v>
      </c>
      <c r="Q759" s="568"/>
      <c r="R759" s="568"/>
      <c r="S759" s="568"/>
      <c r="T759" s="568"/>
      <c r="U759" s="568"/>
      <c r="V759" s="568"/>
      <c r="W759" s="568"/>
      <c r="X759" s="568"/>
      <c r="Y759" s="568"/>
      <c r="Z759" s="568"/>
    </row>
    <row r="760" spans="1:26" ht="18.75" hidden="1">
      <c r="A760" s="615"/>
      <c r="B760" s="571"/>
      <c r="C760" s="723"/>
      <c r="D760" s="723"/>
      <c r="E760" s="723"/>
      <c r="F760" s="723" t="s">
        <v>186</v>
      </c>
      <c r="G760" s="567"/>
      <c r="H760" s="165" t="s">
        <v>12</v>
      </c>
      <c r="I760" s="583"/>
      <c r="J760" s="583"/>
      <c r="K760" s="93"/>
      <c r="L760" s="93"/>
      <c r="M760" s="93"/>
      <c r="N760" s="93"/>
      <c r="O760" s="93"/>
      <c r="P760" s="93"/>
      <c r="Q760" s="568"/>
      <c r="R760" s="568"/>
      <c r="S760" s="568"/>
      <c r="T760" s="568"/>
      <c r="U760" s="568"/>
      <c r="V760" s="568"/>
      <c r="W760" s="568"/>
      <c r="X760" s="568"/>
      <c r="Y760" s="568"/>
      <c r="Z760" s="568"/>
    </row>
    <row r="761" spans="1:26" ht="18.75" hidden="1">
      <c r="A761" s="615"/>
      <c r="B761" s="571"/>
      <c r="C761" s="723"/>
      <c r="D761" s="723"/>
      <c r="E761" s="723"/>
      <c r="F761" s="723" t="s">
        <v>187</v>
      </c>
      <c r="G761" s="567"/>
      <c r="H761" s="165" t="s">
        <v>12</v>
      </c>
      <c r="I761" s="583"/>
      <c r="J761" s="583"/>
      <c r="K761" s="93"/>
      <c r="L761" s="93"/>
      <c r="M761" s="93"/>
      <c r="N761" s="93"/>
      <c r="O761" s="93"/>
      <c r="P761" s="93"/>
      <c r="Q761" s="568"/>
      <c r="R761" s="568"/>
      <c r="S761" s="568"/>
      <c r="T761" s="568"/>
      <c r="U761" s="568"/>
      <c r="V761" s="568"/>
      <c r="W761" s="568"/>
      <c r="X761" s="568"/>
      <c r="Y761" s="568"/>
      <c r="Z761" s="568"/>
    </row>
    <row r="762" spans="1:26" ht="18.75" hidden="1">
      <c r="A762" s="615"/>
      <c r="B762" s="571"/>
      <c r="C762" s="723"/>
      <c r="D762" s="723"/>
      <c r="E762" s="723"/>
      <c r="F762" s="723" t="s">
        <v>188</v>
      </c>
      <c r="G762" s="567"/>
      <c r="H762" s="165" t="s">
        <v>12</v>
      </c>
      <c r="I762" s="583"/>
      <c r="J762" s="583"/>
      <c r="K762" s="93"/>
      <c r="L762" s="93"/>
      <c r="M762" s="93"/>
      <c r="N762" s="93"/>
      <c r="O762" s="93"/>
      <c r="P762" s="93"/>
      <c r="Q762" s="568"/>
      <c r="R762" s="568"/>
      <c r="S762" s="568"/>
      <c r="T762" s="568"/>
      <c r="U762" s="568"/>
      <c r="V762" s="568"/>
      <c r="W762" s="568"/>
      <c r="X762" s="568"/>
      <c r="Y762" s="568"/>
      <c r="Z762" s="568"/>
    </row>
    <row r="763" spans="1:26" ht="18.75" hidden="1">
      <c r="A763" s="615"/>
      <c r="B763" s="571"/>
      <c r="C763" s="723"/>
      <c r="D763" s="723"/>
      <c r="E763" s="723"/>
      <c r="F763" s="723" t="s">
        <v>189</v>
      </c>
      <c r="G763" s="567"/>
      <c r="H763" s="165" t="s">
        <v>12</v>
      </c>
      <c r="I763" s="583"/>
      <c r="J763" s="583"/>
      <c r="K763" s="93"/>
      <c r="L763" s="93"/>
      <c r="M763" s="93"/>
      <c r="N763" s="93"/>
      <c r="O763" s="93"/>
      <c r="P763" s="93"/>
      <c r="Q763" s="568"/>
      <c r="R763" s="568"/>
      <c r="S763" s="568"/>
      <c r="T763" s="568"/>
      <c r="U763" s="568"/>
      <c r="V763" s="568"/>
      <c r="W763" s="568"/>
      <c r="X763" s="568"/>
      <c r="Y763" s="568"/>
      <c r="Z763" s="568"/>
    </row>
    <row r="764" spans="1:26" ht="19.5" hidden="1">
      <c r="A764" s="563"/>
      <c r="B764" s="571"/>
      <c r="C764" s="723"/>
      <c r="D764" s="611" t="s">
        <v>21</v>
      </c>
      <c r="E764" s="723"/>
      <c r="F764" s="723"/>
      <c r="G764" s="567"/>
      <c r="H764" s="747" t="s">
        <v>12</v>
      </c>
      <c r="I764" s="166"/>
      <c r="J764" s="166"/>
      <c r="K764" s="167"/>
      <c r="L764" s="613">
        <f t="shared" ref="L764:N764" si="306">L765+L766</f>
        <v>0</v>
      </c>
      <c r="M764" s="613">
        <f t="shared" si="306"/>
        <v>0</v>
      </c>
      <c r="N764" s="613">
        <f t="shared" si="306"/>
        <v>0</v>
      </c>
      <c r="O764" s="613">
        <f t="shared" ref="O764:O766" si="307">IF(L764&gt;0,N764*100/L764,0)</f>
        <v>0</v>
      </c>
      <c r="P764" s="613">
        <f t="shared" ref="P764:P766" si="308">IF(M764&gt;0,N764*100/M764,0)</f>
        <v>0</v>
      </c>
      <c r="Q764" s="568"/>
      <c r="R764" s="568"/>
      <c r="S764" s="568"/>
      <c r="T764" s="568"/>
      <c r="U764" s="568"/>
      <c r="V764" s="568"/>
      <c r="W764" s="568"/>
      <c r="X764" s="568"/>
      <c r="Y764" s="568"/>
      <c r="Z764" s="568"/>
    </row>
    <row r="765" spans="1:26" ht="18.75" hidden="1">
      <c r="A765" s="563"/>
      <c r="B765" s="571"/>
      <c r="C765" s="723"/>
      <c r="D765" s="723"/>
      <c r="E765" s="723" t="s">
        <v>18</v>
      </c>
      <c r="F765" s="723"/>
      <c r="G765" s="567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7"/>
        <v>0</v>
      </c>
      <c r="P765" s="93">
        <f t="shared" si="308"/>
        <v>0</v>
      </c>
      <c r="Q765" s="568"/>
      <c r="R765" s="568"/>
      <c r="S765" s="568"/>
      <c r="T765" s="568"/>
      <c r="U765" s="568"/>
      <c r="V765" s="568"/>
      <c r="W765" s="568"/>
      <c r="X765" s="568"/>
      <c r="Y765" s="568"/>
      <c r="Z765" s="568"/>
    </row>
    <row r="766" spans="1:26" ht="18.75" hidden="1">
      <c r="A766" s="563"/>
      <c r="B766" s="571"/>
      <c r="C766" s="723"/>
      <c r="D766" s="723"/>
      <c r="E766" s="723" t="s">
        <v>19</v>
      </c>
      <c r="F766" s="723"/>
      <c r="G766" s="567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7"/>
        <v>0</v>
      </c>
      <c r="P766" s="93">
        <f t="shared" si="308"/>
        <v>0</v>
      </c>
      <c r="Q766" s="568"/>
      <c r="R766" s="568"/>
      <c r="S766" s="568"/>
      <c r="T766" s="568"/>
      <c r="U766" s="568"/>
      <c r="V766" s="568"/>
      <c r="W766" s="568"/>
      <c r="X766" s="568"/>
      <c r="Y766" s="568"/>
      <c r="Z766" s="568"/>
    </row>
    <row r="767" spans="1:26" ht="19.5" hidden="1">
      <c r="A767" s="578"/>
      <c r="B767" s="580"/>
      <c r="C767" s="723" t="s">
        <v>16</v>
      </c>
      <c r="D767" s="856" t="s">
        <v>38</v>
      </c>
      <c r="E767" s="617"/>
      <c r="F767" s="617"/>
      <c r="G767" s="618"/>
      <c r="H767" s="581"/>
      <c r="I767" s="166"/>
      <c r="J767" s="166"/>
      <c r="K767" s="167"/>
      <c r="L767" s="167"/>
      <c r="M767" s="167"/>
      <c r="N767" s="167"/>
      <c r="O767" s="167"/>
      <c r="P767" s="167"/>
      <c r="Q767" s="568"/>
      <c r="R767" s="568"/>
      <c r="S767" s="568"/>
      <c r="T767" s="568"/>
      <c r="U767" s="568"/>
      <c r="V767" s="568"/>
      <c r="W767" s="568"/>
      <c r="X767" s="568"/>
      <c r="Y767" s="568"/>
      <c r="Z767" s="568"/>
    </row>
    <row r="768" spans="1:26" ht="18.75" hidden="1">
      <c r="A768" s="615"/>
      <c r="B768" s="571"/>
      <c r="C768" s="723"/>
      <c r="D768" s="723"/>
      <c r="E768" s="723" t="s">
        <v>316</v>
      </c>
      <c r="F768" s="723"/>
      <c r="G768" s="567"/>
      <c r="H768" s="165" t="s">
        <v>46</v>
      </c>
      <c r="I768" s="583"/>
      <c r="J768" s="583"/>
      <c r="K768" s="93"/>
      <c r="L768" s="93"/>
      <c r="M768" s="93"/>
      <c r="N768" s="93"/>
      <c r="O768" s="93"/>
      <c r="P768" s="93"/>
      <c r="Q768" s="568"/>
      <c r="R768" s="568"/>
      <c r="S768" s="568"/>
      <c r="T768" s="568"/>
      <c r="U768" s="568"/>
      <c r="V768" s="568"/>
      <c r="W768" s="568"/>
      <c r="X768" s="568"/>
      <c r="Y768" s="568"/>
      <c r="Z768" s="568"/>
    </row>
    <row r="769" spans="1:26" ht="19.5" hidden="1">
      <c r="A769" s="757">
        <v>11</v>
      </c>
      <c r="B769" s="758" t="s">
        <v>317</v>
      </c>
      <c r="C769" s="759"/>
      <c r="D769" s="759"/>
      <c r="E769" s="759"/>
      <c r="F769" s="759"/>
      <c r="G769" s="760"/>
      <c r="H769" s="761" t="s">
        <v>46</v>
      </c>
      <c r="I769" s="762"/>
      <c r="J769" s="762">
        <f>J784</f>
        <v>0</v>
      </c>
      <c r="K769" s="763">
        <f>IF(I769&gt;0,J769*100/I769,0)</f>
        <v>0</v>
      </c>
      <c r="L769" s="764"/>
      <c r="M769" s="764"/>
      <c r="N769" s="764"/>
      <c r="O769" s="764"/>
      <c r="P769" s="764"/>
      <c r="Q769" s="568"/>
      <c r="R769" s="568"/>
      <c r="S769" s="568"/>
      <c r="T769" s="568"/>
      <c r="U769" s="568"/>
      <c r="V769" s="568"/>
      <c r="W769" s="568"/>
      <c r="X769" s="568"/>
      <c r="Y769" s="568"/>
      <c r="Z769" s="568"/>
    </row>
    <row r="770" spans="1:26" ht="19.5" hidden="1">
      <c r="A770" s="563"/>
      <c r="B770" s="723"/>
      <c r="C770" s="723" t="s">
        <v>16</v>
      </c>
      <c r="D770" s="812" t="s">
        <v>17</v>
      </c>
      <c r="E770" s="805"/>
      <c r="F770" s="805"/>
      <c r="G770" s="567"/>
      <c r="H770" s="612" t="s">
        <v>12</v>
      </c>
      <c r="I770" s="583"/>
      <c r="J770" s="583"/>
      <c r="K770" s="93"/>
      <c r="L770" s="613">
        <f t="shared" ref="L770:N770" si="309">L771+L772</f>
        <v>0</v>
      </c>
      <c r="M770" s="613">
        <f t="shared" si="309"/>
        <v>0</v>
      </c>
      <c r="N770" s="613">
        <f t="shared" si="309"/>
        <v>0</v>
      </c>
      <c r="O770" s="613">
        <f t="shared" ref="O770:O775" si="310">IF(L770&gt;0,N770*100/L770,0)</f>
        <v>0</v>
      </c>
      <c r="P770" s="613">
        <f t="shared" ref="P770:P775" si="311">IF(M770&gt;0,N770*100/M770,0)</f>
        <v>0</v>
      </c>
      <c r="Q770" s="568"/>
      <c r="R770" s="568"/>
      <c r="S770" s="568"/>
      <c r="T770" s="568"/>
      <c r="U770" s="568"/>
      <c r="V770" s="568"/>
      <c r="W770" s="568"/>
      <c r="X770" s="568"/>
      <c r="Y770" s="568"/>
      <c r="Z770" s="568"/>
    </row>
    <row r="771" spans="1:26" ht="18.75" hidden="1">
      <c r="A771" s="563"/>
      <c r="B771" s="723"/>
      <c r="C771" s="723"/>
      <c r="D771" s="684"/>
      <c r="E771" s="723" t="s">
        <v>184</v>
      </c>
      <c r="F771" s="723"/>
      <c r="G771" s="567"/>
      <c r="H771" s="165" t="s">
        <v>12</v>
      </c>
      <c r="I771" s="583"/>
      <c r="J771" s="583"/>
      <c r="K771" s="93"/>
      <c r="L771" s="93">
        <f t="shared" ref="L771:N772" si="312">L774+L781</f>
        <v>0</v>
      </c>
      <c r="M771" s="93">
        <f t="shared" si="312"/>
        <v>0</v>
      </c>
      <c r="N771" s="93">
        <f t="shared" si="312"/>
        <v>0</v>
      </c>
      <c r="O771" s="93">
        <f t="shared" si="310"/>
        <v>0</v>
      </c>
      <c r="P771" s="93">
        <f t="shared" si="311"/>
        <v>0</v>
      </c>
      <c r="Q771" s="568"/>
      <c r="R771" s="568"/>
      <c r="S771" s="568"/>
      <c r="T771" s="568"/>
      <c r="U771" s="568"/>
      <c r="V771" s="568"/>
      <c r="W771" s="568"/>
      <c r="X771" s="568"/>
      <c r="Y771" s="568"/>
      <c r="Z771" s="568"/>
    </row>
    <row r="772" spans="1:26" ht="18.75" hidden="1">
      <c r="A772" s="563"/>
      <c r="B772" s="571"/>
      <c r="C772" s="723"/>
      <c r="D772" s="684"/>
      <c r="E772" s="723" t="s">
        <v>185</v>
      </c>
      <c r="F772" s="723"/>
      <c r="G772" s="567"/>
      <c r="H772" s="165" t="s">
        <v>12</v>
      </c>
      <c r="I772" s="583"/>
      <c r="J772" s="583"/>
      <c r="K772" s="93"/>
      <c r="L772" s="93">
        <f t="shared" si="312"/>
        <v>0</v>
      </c>
      <c r="M772" s="93">
        <f t="shared" si="312"/>
        <v>0</v>
      </c>
      <c r="N772" s="93">
        <f t="shared" si="312"/>
        <v>0</v>
      </c>
      <c r="O772" s="93">
        <f t="shared" si="310"/>
        <v>0</v>
      </c>
      <c r="P772" s="93">
        <f t="shared" si="311"/>
        <v>0</v>
      </c>
      <c r="Q772" s="568"/>
      <c r="R772" s="568"/>
      <c r="S772" s="568"/>
      <c r="T772" s="568"/>
      <c r="U772" s="568"/>
      <c r="V772" s="568"/>
      <c r="W772" s="568"/>
      <c r="X772" s="568"/>
      <c r="Y772" s="568"/>
      <c r="Z772" s="568"/>
    </row>
    <row r="773" spans="1:26" ht="19.5" hidden="1">
      <c r="A773" s="563"/>
      <c r="B773" s="571"/>
      <c r="C773" s="723"/>
      <c r="D773" s="611" t="s">
        <v>20</v>
      </c>
      <c r="E773" s="723"/>
      <c r="F773" s="723"/>
      <c r="G773" s="567"/>
      <c r="H773" s="612" t="s">
        <v>12</v>
      </c>
      <c r="I773" s="166"/>
      <c r="J773" s="166"/>
      <c r="K773" s="167"/>
      <c r="L773" s="613">
        <f t="shared" ref="L773:N773" si="313">L774+L775</f>
        <v>0</v>
      </c>
      <c r="M773" s="613">
        <f t="shared" si="313"/>
        <v>0</v>
      </c>
      <c r="N773" s="613">
        <f t="shared" si="313"/>
        <v>0</v>
      </c>
      <c r="O773" s="613">
        <f t="shared" si="310"/>
        <v>0</v>
      </c>
      <c r="P773" s="613">
        <f t="shared" si="311"/>
        <v>0</v>
      </c>
      <c r="Q773" s="568"/>
      <c r="R773" s="568"/>
      <c r="S773" s="568"/>
      <c r="T773" s="568"/>
      <c r="U773" s="568"/>
      <c r="V773" s="568"/>
      <c r="W773" s="568"/>
      <c r="X773" s="568"/>
      <c r="Y773" s="568"/>
      <c r="Z773" s="568"/>
    </row>
    <row r="774" spans="1:26" ht="18.75" hidden="1">
      <c r="A774" s="563"/>
      <c r="B774" s="571"/>
      <c r="C774" s="723"/>
      <c r="D774" s="684"/>
      <c r="E774" s="723" t="s">
        <v>184</v>
      </c>
      <c r="F774" s="723"/>
      <c r="G774" s="567"/>
      <c r="H774" s="165" t="s">
        <v>12</v>
      </c>
      <c r="I774" s="583"/>
      <c r="J774" s="583"/>
      <c r="K774" s="93"/>
      <c r="L774" s="93">
        <v>0</v>
      </c>
      <c r="M774" s="93">
        <v>0</v>
      </c>
      <c r="N774" s="93">
        <v>0</v>
      </c>
      <c r="O774" s="93">
        <f t="shared" si="310"/>
        <v>0</v>
      </c>
      <c r="P774" s="93">
        <f t="shared" si="311"/>
        <v>0</v>
      </c>
      <c r="Q774" s="568"/>
      <c r="R774" s="568"/>
      <c r="S774" s="568"/>
      <c r="T774" s="568"/>
      <c r="U774" s="568"/>
      <c r="V774" s="568"/>
      <c r="W774" s="568"/>
      <c r="X774" s="568"/>
      <c r="Y774" s="568"/>
      <c r="Z774" s="568"/>
    </row>
    <row r="775" spans="1:26" ht="18.75" hidden="1">
      <c r="A775" s="563"/>
      <c r="B775" s="571"/>
      <c r="C775" s="723"/>
      <c r="D775" s="684"/>
      <c r="E775" s="723" t="s">
        <v>185</v>
      </c>
      <c r="F775" s="723"/>
      <c r="G775" s="567"/>
      <c r="H775" s="165" t="s">
        <v>12</v>
      </c>
      <c r="I775" s="583"/>
      <c r="J775" s="583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0"/>
        <v>0</v>
      </c>
      <c r="P775" s="93">
        <f t="shared" si="311"/>
        <v>0</v>
      </c>
      <c r="Q775" s="568"/>
      <c r="R775" s="568"/>
      <c r="S775" s="568"/>
      <c r="T775" s="568"/>
      <c r="U775" s="568"/>
      <c r="V775" s="568"/>
      <c r="W775" s="568"/>
      <c r="X775" s="568"/>
      <c r="Y775" s="568"/>
      <c r="Z775" s="568"/>
    </row>
    <row r="776" spans="1:26" ht="18.75" hidden="1">
      <c r="A776" s="615"/>
      <c r="B776" s="571"/>
      <c r="C776" s="723"/>
      <c r="D776" s="723"/>
      <c r="E776" s="723"/>
      <c r="F776" s="723" t="s">
        <v>186</v>
      </c>
      <c r="G776" s="567"/>
      <c r="H776" s="165" t="s">
        <v>12</v>
      </c>
      <c r="I776" s="583"/>
      <c r="J776" s="583"/>
      <c r="K776" s="93"/>
      <c r="L776" s="93"/>
      <c r="M776" s="93"/>
      <c r="N776" s="93"/>
      <c r="O776" s="93"/>
      <c r="P776" s="93"/>
      <c r="Q776" s="568"/>
      <c r="R776" s="568"/>
      <c r="S776" s="568"/>
      <c r="T776" s="568"/>
      <c r="U776" s="568"/>
      <c r="V776" s="568"/>
      <c r="W776" s="568"/>
      <c r="X776" s="568"/>
      <c r="Y776" s="568"/>
      <c r="Z776" s="568"/>
    </row>
    <row r="777" spans="1:26" ht="18.75" hidden="1">
      <c r="A777" s="615"/>
      <c r="B777" s="571"/>
      <c r="C777" s="723"/>
      <c r="D777" s="723"/>
      <c r="E777" s="723"/>
      <c r="F777" s="723" t="s">
        <v>187</v>
      </c>
      <c r="G777" s="567"/>
      <c r="H777" s="165" t="s">
        <v>12</v>
      </c>
      <c r="I777" s="583"/>
      <c r="J777" s="583"/>
      <c r="K777" s="93"/>
      <c r="L777" s="93"/>
      <c r="M777" s="93"/>
      <c r="N777" s="93"/>
      <c r="O777" s="93"/>
      <c r="P777" s="93"/>
      <c r="Q777" s="568"/>
      <c r="R777" s="568"/>
      <c r="S777" s="568"/>
      <c r="T777" s="568"/>
      <c r="U777" s="568"/>
      <c r="V777" s="568"/>
      <c r="W777" s="568"/>
      <c r="X777" s="568"/>
      <c r="Y777" s="568"/>
      <c r="Z777" s="568"/>
    </row>
    <row r="778" spans="1:26" ht="18.75" hidden="1">
      <c r="A778" s="615"/>
      <c r="B778" s="571"/>
      <c r="C778" s="723"/>
      <c r="D778" s="723"/>
      <c r="E778" s="723"/>
      <c r="F778" s="723" t="s">
        <v>188</v>
      </c>
      <c r="G778" s="567"/>
      <c r="H778" s="165" t="s">
        <v>12</v>
      </c>
      <c r="I778" s="583"/>
      <c r="J778" s="583"/>
      <c r="K778" s="93"/>
      <c r="L778" s="93"/>
      <c r="M778" s="93"/>
      <c r="N778" s="93"/>
      <c r="O778" s="93"/>
      <c r="P778" s="93"/>
      <c r="Q778" s="568"/>
      <c r="R778" s="568"/>
      <c r="S778" s="568"/>
      <c r="T778" s="568"/>
      <c r="U778" s="568"/>
      <c r="V778" s="568"/>
      <c r="W778" s="568"/>
      <c r="X778" s="568"/>
      <c r="Y778" s="568"/>
      <c r="Z778" s="568"/>
    </row>
    <row r="779" spans="1:26" ht="18.75" hidden="1">
      <c r="A779" s="615"/>
      <c r="B779" s="571"/>
      <c r="C779" s="723"/>
      <c r="D779" s="723"/>
      <c r="E779" s="723"/>
      <c r="F779" s="723" t="s">
        <v>189</v>
      </c>
      <c r="G779" s="567"/>
      <c r="H779" s="165" t="s">
        <v>12</v>
      </c>
      <c r="I779" s="583"/>
      <c r="J779" s="583"/>
      <c r="K779" s="93"/>
      <c r="L779" s="93"/>
      <c r="M779" s="93"/>
      <c r="N779" s="93"/>
      <c r="O779" s="93"/>
      <c r="P779" s="93"/>
      <c r="Q779" s="568"/>
      <c r="R779" s="568"/>
      <c r="S779" s="568"/>
      <c r="T779" s="568"/>
      <c r="U779" s="568"/>
      <c r="V779" s="568"/>
      <c r="W779" s="568"/>
      <c r="X779" s="568"/>
      <c r="Y779" s="568"/>
      <c r="Z779" s="568"/>
    </row>
    <row r="780" spans="1:26" ht="19.5" hidden="1">
      <c r="A780" s="563"/>
      <c r="B780" s="571"/>
      <c r="C780" s="723"/>
      <c r="D780" s="611" t="s">
        <v>21</v>
      </c>
      <c r="E780" s="723"/>
      <c r="F780" s="723"/>
      <c r="G780" s="567"/>
      <c r="H780" s="747" t="s">
        <v>12</v>
      </c>
      <c r="I780" s="166"/>
      <c r="J780" s="166"/>
      <c r="K780" s="167"/>
      <c r="L780" s="613">
        <f t="shared" ref="L780:N780" si="314">L781+L782</f>
        <v>0</v>
      </c>
      <c r="M780" s="613">
        <f t="shared" si="314"/>
        <v>0</v>
      </c>
      <c r="N780" s="613">
        <f t="shared" si="314"/>
        <v>0</v>
      </c>
      <c r="O780" s="613">
        <f t="shared" ref="O780:O782" si="315">IF(L780&gt;0,N780*100/L780,0)</f>
        <v>0</v>
      </c>
      <c r="P780" s="613">
        <f t="shared" ref="P780:P782" si="316">IF(M780&gt;0,N780*100/M780,0)</f>
        <v>0</v>
      </c>
      <c r="Q780" s="568"/>
      <c r="R780" s="568"/>
      <c r="S780" s="568"/>
      <c r="T780" s="568"/>
      <c r="U780" s="568"/>
      <c r="V780" s="568"/>
      <c r="W780" s="568"/>
      <c r="X780" s="568"/>
      <c r="Y780" s="568"/>
      <c r="Z780" s="568"/>
    </row>
    <row r="781" spans="1:26" ht="18.75" hidden="1">
      <c r="A781" s="563"/>
      <c r="B781" s="571"/>
      <c r="C781" s="723"/>
      <c r="D781" s="723"/>
      <c r="E781" s="723" t="s">
        <v>18</v>
      </c>
      <c r="F781" s="723"/>
      <c r="G781" s="567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5"/>
        <v>0</v>
      </c>
      <c r="P781" s="93">
        <f t="shared" si="316"/>
        <v>0</v>
      </c>
      <c r="Q781" s="568"/>
      <c r="R781" s="568"/>
      <c r="S781" s="568"/>
      <c r="T781" s="568"/>
      <c r="U781" s="568"/>
      <c r="V781" s="568"/>
      <c r="W781" s="568"/>
      <c r="X781" s="568"/>
      <c r="Y781" s="568"/>
      <c r="Z781" s="568"/>
    </row>
    <row r="782" spans="1:26" ht="18.75" hidden="1">
      <c r="A782" s="563"/>
      <c r="B782" s="571"/>
      <c r="C782" s="723"/>
      <c r="D782" s="723"/>
      <c r="E782" s="723" t="s">
        <v>19</v>
      </c>
      <c r="F782" s="723"/>
      <c r="G782" s="567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5"/>
        <v>0</v>
      </c>
      <c r="P782" s="93">
        <f t="shared" si="316"/>
        <v>0</v>
      </c>
      <c r="Q782" s="568"/>
      <c r="R782" s="568"/>
      <c r="S782" s="568"/>
      <c r="T782" s="568"/>
      <c r="U782" s="568"/>
      <c r="V782" s="568"/>
      <c r="W782" s="568"/>
      <c r="X782" s="568"/>
      <c r="Y782" s="568"/>
      <c r="Z782" s="568"/>
    </row>
    <row r="783" spans="1:26" ht="19.5" hidden="1">
      <c r="A783" s="578"/>
      <c r="B783" s="580"/>
      <c r="C783" s="723" t="s">
        <v>16</v>
      </c>
      <c r="D783" s="856" t="s">
        <v>38</v>
      </c>
      <c r="E783" s="617"/>
      <c r="F783" s="617"/>
      <c r="G783" s="618"/>
      <c r="H783" s="765"/>
      <c r="I783" s="166"/>
      <c r="J783" s="166"/>
      <c r="K783" s="167"/>
      <c r="L783" s="167"/>
      <c r="M783" s="167"/>
      <c r="N783" s="167"/>
      <c r="O783" s="167"/>
      <c r="P783" s="167"/>
      <c r="Q783" s="568"/>
      <c r="R783" s="568"/>
      <c r="S783" s="568"/>
      <c r="T783" s="568"/>
      <c r="U783" s="568"/>
      <c r="V783" s="568"/>
      <c r="W783" s="568"/>
      <c r="X783" s="568"/>
      <c r="Y783" s="568"/>
      <c r="Z783" s="568"/>
    </row>
    <row r="784" spans="1:26" ht="18.75" hidden="1">
      <c r="A784" s="615"/>
      <c r="B784" s="571"/>
      <c r="C784" s="723"/>
      <c r="D784" s="723"/>
      <c r="E784" s="723" t="s">
        <v>318</v>
      </c>
      <c r="F784" s="723"/>
      <c r="G784" s="567"/>
      <c r="H784" s="165" t="s">
        <v>46</v>
      </c>
      <c r="I784" s="583"/>
      <c r="J784" s="583"/>
      <c r="K784" s="93"/>
      <c r="L784" s="93"/>
      <c r="M784" s="93"/>
      <c r="N784" s="93"/>
      <c r="O784" s="93"/>
      <c r="P784" s="93"/>
      <c r="Q784" s="568"/>
      <c r="R784" s="568"/>
      <c r="S784" s="568"/>
      <c r="T784" s="568"/>
      <c r="U784" s="568"/>
      <c r="V784" s="568"/>
      <c r="W784" s="568"/>
      <c r="X784" s="568"/>
      <c r="Y784" s="568"/>
      <c r="Z784" s="568"/>
    </row>
    <row r="785" spans="1:26" ht="19.5" hidden="1">
      <c r="A785" s="766">
        <v>12</v>
      </c>
      <c r="B785" s="767" t="s">
        <v>319</v>
      </c>
      <c r="C785" s="768"/>
      <c r="D785" s="768"/>
      <c r="E785" s="768"/>
      <c r="F785" s="768"/>
      <c r="G785" s="769"/>
      <c r="H785" s="770" t="s">
        <v>46</v>
      </c>
      <c r="I785" s="860">
        <f t="shared" ref="I785:J785" ca="1" si="317">I800</f>
        <v>0</v>
      </c>
      <c r="J785" s="771">
        <f t="shared" ca="1" si="317"/>
        <v>0</v>
      </c>
      <c r="K785" s="772">
        <f ca="1">IF(I785&gt;0,J785*100/I785,0)</f>
        <v>0</v>
      </c>
      <c r="L785" s="773"/>
      <c r="M785" s="773"/>
      <c r="N785" s="773"/>
      <c r="O785" s="773"/>
      <c r="P785" s="773"/>
      <c r="Q785" s="541"/>
      <c r="R785" s="541"/>
      <c r="S785" s="541"/>
      <c r="T785" s="541"/>
      <c r="U785" s="541"/>
      <c r="V785" s="541"/>
      <c r="W785" s="541"/>
      <c r="X785" s="541"/>
      <c r="Y785" s="541"/>
      <c r="Z785" s="541"/>
    </row>
    <row r="786" spans="1:26" ht="19.5" hidden="1">
      <c r="A786" s="561"/>
      <c r="B786" s="538"/>
      <c r="C786" s="727" t="s">
        <v>16</v>
      </c>
      <c r="D786" s="811" t="s">
        <v>17</v>
      </c>
      <c r="E786" s="805"/>
      <c r="F786" s="805"/>
      <c r="G786" s="189"/>
      <c r="H786" s="562" t="s">
        <v>12</v>
      </c>
      <c r="I786" s="269"/>
      <c r="J786" s="269"/>
      <c r="K786" s="465"/>
      <c r="L786" s="195">
        <f t="shared" ref="L786:N786" ca="1" si="318">L787+L788</f>
        <v>0</v>
      </c>
      <c r="M786" s="195">
        <f t="shared" si="318"/>
        <v>0</v>
      </c>
      <c r="N786" s="195">
        <f t="shared" si="318"/>
        <v>0</v>
      </c>
      <c r="O786" s="195">
        <f t="shared" ref="O786:O791" ca="1" si="319">IF(L786&gt;0,N786*100/L786,0)</f>
        <v>0</v>
      </c>
      <c r="P786" s="195">
        <f t="shared" ref="P786:P791" si="320">IF(M786&gt;0,N786*100/M786,0)</f>
        <v>0</v>
      </c>
      <c r="Q786" s="541"/>
      <c r="R786" s="541"/>
      <c r="S786" s="541"/>
      <c r="T786" s="541"/>
      <c r="U786" s="541"/>
      <c r="V786" s="541"/>
      <c r="W786" s="541"/>
      <c r="X786" s="541"/>
      <c r="Y786" s="541"/>
      <c r="Z786" s="541"/>
    </row>
    <row r="787" spans="1:26" ht="18.75" hidden="1">
      <c r="A787" s="563"/>
      <c r="B787" s="571"/>
      <c r="C787" s="723"/>
      <c r="D787" s="684"/>
      <c r="E787" s="723" t="s">
        <v>184</v>
      </c>
      <c r="F787" s="723"/>
      <c r="G787" s="567"/>
      <c r="H787" s="165" t="s">
        <v>12</v>
      </c>
      <c r="I787" s="583"/>
      <c r="J787" s="583"/>
      <c r="K787" s="93"/>
      <c r="L787" s="93">
        <f t="shared" ref="L787:N788" si="321">L790+L797</f>
        <v>0</v>
      </c>
      <c r="M787" s="93">
        <f t="shared" si="321"/>
        <v>0</v>
      </c>
      <c r="N787" s="93">
        <f t="shared" si="321"/>
        <v>0</v>
      </c>
      <c r="O787" s="93">
        <f t="shared" si="319"/>
        <v>0</v>
      </c>
      <c r="P787" s="93">
        <f t="shared" si="320"/>
        <v>0</v>
      </c>
      <c r="Q787" s="568"/>
      <c r="R787" s="568"/>
      <c r="S787" s="568"/>
      <c r="T787" s="568"/>
      <c r="U787" s="568"/>
      <c r="V787" s="568"/>
      <c r="W787" s="568"/>
      <c r="X787" s="568"/>
      <c r="Y787" s="568"/>
      <c r="Z787" s="568"/>
    </row>
    <row r="788" spans="1:26" ht="18.75" hidden="1">
      <c r="A788" s="563"/>
      <c r="B788" s="571"/>
      <c r="C788" s="571"/>
      <c r="D788" s="580"/>
      <c r="E788" s="723" t="s">
        <v>185</v>
      </c>
      <c r="F788" s="723"/>
      <c r="G788" s="567"/>
      <c r="H788" s="165" t="s">
        <v>12</v>
      </c>
      <c r="I788" s="583"/>
      <c r="J788" s="583"/>
      <c r="K788" s="93"/>
      <c r="L788" s="93">
        <f t="shared" ca="1" si="321"/>
        <v>0</v>
      </c>
      <c r="M788" s="93">
        <f t="shared" si="321"/>
        <v>0</v>
      </c>
      <c r="N788" s="93">
        <f t="shared" si="321"/>
        <v>0</v>
      </c>
      <c r="O788" s="93">
        <f t="shared" ca="1" si="319"/>
        <v>0</v>
      </c>
      <c r="P788" s="93">
        <f t="shared" si="320"/>
        <v>0</v>
      </c>
      <c r="Q788" s="568"/>
      <c r="R788" s="568"/>
      <c r="S788" s="568"/>
      <c r="T788" s="568"/>
      <c r="U788" s="568"/>
      <c r="V788" s="568"/>
      <c r="W788" s="568"/>
      <c r="X788" s="568"/>
      <c r="Y788" s="568"/>
      <c r="Z788" s="568"/>
    </row>
    <row r="789" spans="1:26" ht="18.75" hidden="1">
      <c r="A789" s="561"/>
      <c r="B789" s="538"/>
      <c r="C789" s="538"/>
      <c r="D789" s="570" t="s">
        <v>20</v>
      </c>
      <c r="E789" s="727"/>
      <c r="F789" s="727"/>
      <c r="G789" s="189"/>
      <c r="H789" s="161" t="s">
        <v>12</v>
      </c>
      <c r="I789" s="184"/>
      <c r="J789" s="184"/>
      <c r="K789" s="163"/>
      <c r="L789" s="465">
        <f t="shared" ref="L789:N789" ca="1" si="322">L790+L791</f>
        <v>0</v>
      </c>
      <c r="M789" s="465">
        <f t="shared" si="322"/>
        <v>0</v>
      </c>
      <c r="N789" s="465">
        <f t="shared" si="322"/>
        <v>0</v>
      </c>
      <c r="O789" s="465">
        <f t="shared" ca="1" si="319"/>
        <v>0</v>
      </c>
      <c r="P789" s="465">
        <f t="shared" si="320"/>
        <v>0</v>
      </c>
      <c r="Q789" s="541"/>
      <c r="R789" s="541"/>
      <c r="S789" s="541"/>
      <c r="T789" s="541"/>
      <c r="U789" s="541"/>
      <c r="V789" s="541"/>
      <c r="W789" s="541"/>
      <c r="X789" s="541"/>
      <c r="Y789" s="541"/>
      <c r="Z789" s="541"/>
    </row>
    <row r="790" spans="1:26" ht="18.75" hidden="1">
      <c r="A790" s="563"/>
      <c r="B790" s="571"/>
      <c r="C790" s="571"/>
      <c r="D790" s="580"/>
      <c r="E790" s="723" t="s">
        <v>184</v>
      </c>
      <c r="F790" s="723"/>
      <c r="G790" s="567"/>
      <c r="H790" s="165" t="s">
        <v>12</v>
      </c>
      <c r="I790" s="583"/>
      <c r="J790" s="583"/>
      <c r="K790" s="93"/>
      <c r="L790" s="93">
        <v>0</v>
      </c>
      <c r="M790" s="93">
        <v>0</v>
      </c>
      <c r="N790" s="93">
        <v>0</v>
      </c>
      <c r="O790" s="93">
        <f t="shared" si="319"/>
        <v>0</v>
      </c>
      <c r="P790" s="93">
        <f t="shared" si="320"/>
        <v>0</v>
      </c>
      <c r="Q790" s="568"/>
      <c r="R790" s="568"/>
      <c r="S790" s="568"/>
      <c r="T790" s="568"/>
      <c r="U790" s="568"/>
      <c r="V790" s="568"/>
      <c r="W790" s="568"/>
      <c r="X790" s="568"/>
      <c r="Y790" s="568"/>
      <c r="Z790" s="568"/>
    </row>
    <row r="791" spans="1:26" ht="18.75" hidden="1">
      <c r="A791" s="563"/>
      <c r="B791" s="571"/>
      <c r="C791" s="571"/>
      <c r="D791" s="580"/>
      <c r="E791" s="723" t="s">
        <v>185</v>
      </c>
      <c r="F791" s="723"/>
      <c r="G791" s="567"/>
      <c r="H791" s="165" t="s">
        <v>12</v>
      </c>
      <c r="I791" s="583"/>
      <c r="J791" s="583"/>
      <c r="K791" s="93"/>
      <c r="L791" s="93">
        <f ca="1">IFERROR(__xludf.DUMMYFUNCTION("IMPORTRANGE(""https://docs.google.com/spreadsheets/d/1QqKyyYR6Q21VydFLVH3TRQUabQu_ym0Zz7PgGX0-kHA/edit?usp=sharing"",""แผน!JJ28"")"),0)</f>
        <v>0</v>
      </c>
      <c r="M791" s="93">
        <v>0</v>
      </c>
      <c r="N791" s="93">
        <f>N792+N793+N794+N795</f>
        <v>0</v>
      </c>
      <c r="O791" s="93">
        <f t="shared" ca="1" si="319"/>
        <v>0</v>
      </c>
      <c r="P791" s="93">
        <f t="shared" si="320"/>
        <v>0</v>
      </c>
      <c r="Q791" s="568"/>
      <c r="R791" s="568"/>
      <c r="S791" s="568"/>
      <c r="T791" s="568"/>
      <c r="U791" s="568"/>
      <c r="V791" s="568"/>
      <c r="W791" s="568"/>
      <c r="X791" s="568"/>
      <c r="Y791" s="568"/>
      <c r="Z791" s="568"/>
    </row>
    <row r="792" spans="1:26" ht="18.75" hidden="1">
      <c r="A792" s="537"/>
      <c r="B792" s="538"/>
      <c r="C792" s="727"/>
      <c r="D792" s="727"/>
      <c r="E792" s="727"/>
      <c r="F792" s="727" t="s">
        <v>186</v>
      </c>
      <c r="G792" s="189"/>
      <c r="H792" s="161" t="s">
        <v>12</v>
      </c>
      <c r="I792" s="269"/>
      <c r="J792" s="269"/>
      <c r="K792" s="465"/>
      <c r="L792" s="465"/>
      <c r="M792" s="465"/>
      <c r="N792" s="789">
        <v>0</v>
      </c>
      <c r="O792" s="465"/>
      <c r="P792" s="465"/>
      <c r="Q792" s="541"/>
      <c r="R792" s="541"/>
      <c r="S792" s="541"/>
      <c r="T792" s="541"/>
      <c r="U792" s="541"/>
      <c r="V792" s="541"/>
      <c r="W792" s="541"/>
      <c r="X792" s="541"/>
      <c r="Y792" s="541"/>
      <c r="Z792" s="541"/>
    </row>
    <row r="793" spans="1:26" ht="18.75" hidden="1">
      <c r="A793" s="537"/>
      <c r="B793" s="538"/>
      <c r="C793" s="727"/>
      <c r="D793" s="727"/>
      <c r="E793" s="727"/>
      <c r="F793" s="727" t="s">
        <v>187</v>
      </c>
      <c r="G793" s="189"/>
      <c r="H793" s="161" t="s">
        <v>12</v>
      </c>
      <c r="I793" s="269"/>
      <c r="J793" s="269"/>
      <c r="K793" s="465"/>
      <c r="L793" s="465"/>
      <c r="M793" s="465"/>
      <c r="N793" s="789">
        <v>0</v>
      </c>
      <c r="O793" s="465"/>
      <c r="P793" s="465"/>
      <c r="Q793" s="541"/>
      <c r="R793" s="541"/>
      <c r="S793" s="541"/>
      <c r="T793" s="541"/>
      <c r="U793" s="541"/>
      <c r="V793" s="541"/>
      <c r="W793" s="541"/>
      <c r="X793" s="541"/>
      <c r="Y793" s="541"/>
      <c r="Z793" s="541"/>
    </row>
    <row r="794" spans="1:26" ht="18.75" hidden="1">
      <c r="A794" s="537"/>
      <c r="B794" s="538"/>
      <c r="C794" s="727"/>
      <c r="D794" s="727"/>
      <c r="E794" s="727"/>
      <c r="F794" s="727" t="s">
        <v>188</v>
      </c>
      <c r="G794" s="189"/>
      <c r="H794" s="161" t="s">
        <v>12</v>
      </c>
      <c r="I794" s="269"/>
      <c r="J794" s="269"/>
      <c r="K794" s="465"/>
      <c r="L794" s="465"/>
      <c r="M794" s="465"/>
      <c r="N794" s="789">
        <v>0</v>
      </c>
      <c r="O794" s="465"/>
      <c r="P794" s="465"/>
      <c r="Q794" s="541"/>
      <c r="R794" s="541"/>
      <c r="S794" s="541"/>
      <c r="T794" s="541"/>
      <c r="U794" s="541"/>
      <c r="V794" s="541"/>
      <c r="W794" s="541"/>
      <c r="X794" s="541"/>
      <c r="Y794" s="541"/>
      <c r="Z794" s="541"/>
    </row>
    <row r="795" spans="1:26" ht="18.75" hidden="1">
      <c r="A795" s="537"/>
      <c r="B795" s="538"/>
      <c r="C795" s="727"/>
      <c r="D795" s="727"/>
      <c r="E795" s="727"/>
      <c r="F795" s="727" t="s">
        <v>189</v>
      </c>
      <c r="G795" s="189"/>
      <c r="H795" s="161" t="s">
        <v>12</v>
      </c>
      <c r="I795" s="269"/>
      <c r="J795" s="269"/>
      <c r="K795" s="465"/>
      <c r="L795" s="465"/>
      <c r="M795" s="465"/>
      <c r="N795" s="789">
        <v>0</v>
      </c>
      <c r="O795" s="465"/>
      <c r="P795" s="465"/>
      <c r="Q795" s="541"/>
      <c r="R795" s="541"/>
      <c r="S795" s="541"/>
      <c r="T795" s="541"/>
      <c r="U795" s="541"/>
      <c r="V795" s="541"/>
      <c r="W795" s="541"/>
      <c r="X795" s="541"/>
      <c r="Y795" s="541"/>
      <c r="Z795" s="541"/>
    </row>
    <row r="796" spans="1:26" ht="18.75" hidden="1">
      <c r="A796" s="561"/>
      <c r="B796" s="538"/>
      <c r="C796" s="727"/>
      <c r="D796" s="570" t="s">
        <v>21</v>
      </c>
      <c r="E796" s="727"/>
      <c r="F796" s="727"/>
      <c r="G796" s="189"/>
      <c r="H796" s="168" t="s">
        <v>12</v>
      </c>
      <c r="I796" s="184"/>
      <c r="J796" s="184"/>
      <c r="K796" s="163"/>
      <c r="L796" s="465">
        <f t="shared" ref="L796:N796" si="323">L797+L798</f>
        <v>0</v>
      </c>
      <c r="M796" s="465">
        <f t="shared" si="323"/>
        <v>0</v>
      </c>
      <c r="N796" s="465">
        <f t="shared" si="323"/>
        <v>0</v>
      </c>
      <c r="O796" s="465">
        <f t="shared" ref="O796:O798" si="324">IF(L796&gt;0,N796*100/L796,0)</f>
        <v>0</v>
      </c>
      <c r="P796" s="465">
        <f t="shared" ref="P796:P798" si="325">IF(M796&gt;0,N796*100/M796,0)</f>
        <v>0</v>
      </c>
      <c r="Q796" s="541"/>
      <c r="R796" s="541"/>
      <c r="S796" s="541"/>
      <c r="T796" s="541"/>
      <c r="U796" s="541"/>
      <c r="V796" s="541"/>
      <c r="W796" s="541"/>
      <c r="X796" s="541"/>
      <c r="Y796" s="541"/>
      <c r="Z796" s="541"/>
    </row>
    <row r="797" spans="1:26" ht="18.75" hidden="1">
      <c r="A797" s="563"/>
      <c r="B797" s="571"/>
      <c r="C797" s="723"/>
      <c r="D797" s="723"/>
      <c r="E797" s="723" t="s">
        <v>18</v>
      </c>
      <c r="F797" s="723"/>
      <c r="G797" s="567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4"/>
        <v>0</v>
      </c>
      <c r="P797" s="93">
        <f t="shared" si="325"/>
        <v>0</v>
      </c>
      <c r="Q797" s="568"/>
      <c r="R797" s="568"/>
      <c r="S797" s="568"/>
      <c r="T797" s="568"/>
      <c r="U797" s="568"/>
      <c r="V797" s="568"/>
      <c r="W797" s="568"/>
      <c r="X797" s="568"/>
      <c r="Y797" s="568"/>
      <c r="Z797" s="568"/>
    </row>
    <row r="798" spans="1:26" ht="18.75" hidden="1">
      <c r="A798" s="563"/>
      <c r="B798" s="571"/>
      <c r="C798" s="723"/>
      <c r="D798" s="723"/>
      <c r="E798" s="723" t="s">
        <v>19</v>
      </c>
      <c r="F798" s="723"/>
      <c r="G798" s="567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4"/>
        <v>0</v>
      </c>
      <c r="P798" s="93">
        <f t="shared" si="325"/>
        <v>0</v>
      </c>
      <c r="Q798" s="568"/>
      <c r="R798" s="568"/>
      <c r="S798" s="568"/>
      <c r="T798" s="568"/>
      <c r="U798" s="568"/>
      <c r="V798" s="568"/>
      <c r="W798" s="568"/>
      <c r="X798" s="568"/>
      <c r="Y798" s="568"/>
      <c r="Z798" s="568"/>
    </row>
    <row r="799" spans="1:26" ht="19.5" hidden="1">
      <c r="A799" s="572"/>
      <c r="B799" s="584"/>
      <c r="C799" s="727" t="s">
        <v>16</v>
      </c>
      <c r="D799" s="855" t="s">
        <v>38</v>
      </c>
      <c r="E799" s="725"/>
      <c r="F799" s="725"/>
      <c r="G799" s="577"/>
      <c r="H799" s="774"/>
      <c r="I799" s="184"/>
      <c r="J799" s="184"/>
      <c r="K799" s="163"/>
      <c r="L799" s="163"/>
      <c r="M799" s="163"/>
      <c r="N799" s="163"/>
      <c r="O799" s="163"/>
      <c r="P799" s="163"/>
      <c r="Q799" s="541"/>
      <c r="R799" s="541"/>
      <c r="S799" s="541"/>
      <c r="T799" s="541"/>
      <c r="U799" s="541"/>
      <c r="V799" s="541"/>
      <c r="W799" s="541"/>
      <c r="X799" s="541"/>
      <c r="Y799" s="541"/>
      <c r="Z799" s="541"/>
    </row>
    <row r="800" spans="1:26" ht="18.75" hidden="1">
      <c r="A800" s="572"/>
      <c r="B800" s="584"/>
      <c r="C800" s="584"/>
      <c r="D800" s="584"/>
      <c r="E800" s="592"/>
      <c r="F800" s="592" t="s">
        <v>320</v>
      </c>
      <c r="G800" s="726"/>
      <c r="H800" s="185" t="s">
        <v>46</v>
      </c>
      <c r="I800" s="184">
        <f ca="1">IFERROR(__xludf.DUMMYFUNCTION("IMPORTRANGE(""https://docs.google.com/spreadsheets/d/1QqKyyYR6Q21VydFLVH3TRQUabQu_ym0Zz7PgGX0-kHA/edit?usp=sharing"",""แผน!JN28"")"),0)</f>
        <v>0</v>
      </c>
      <c r="J800" s="184">
        <f ca="1">IFERROR(__xludf.DUMMYFUNCTION("IMPORTRANGE(""https://docs.google.com/spreadsheets/d/1MaWodYyGHDf7siQLGxnXhG4mBNTNIuy296niS2xXulU/edit?usp=sharing"",""RTK!H28"")"),0)</f>
        <v>0</v>
      </c>
      <c r="K800" s="465">
        <f ca="1">IF(I800&gt;0,J800*100/I800,0)</f>
        <v>0</v>
      </c>
      <c r="L800" s="465"/>
      <c r="M800" s="465"/>
      <c r="N800" s="465"/>
      <c r="O800" s="163"/>
      <c r="P800" s="163"/>
      <c r="Q800" s="541"/>
      <c r="R800" s="541"/>
      <c r="S800" s="541"/>
      <c r="T800" s="541"/>
      <c r="U800" s="541"/>
      <c r="V800" s="541"/>
      <c r="W800" s="541"/>
      <c r="X800" s="541"/>
      <c r="Y800" s="541"/>
      <c r="Z800" s="541"/>
    </row>
    <row r="801" spans="1:26" ht="18.75" hidden="1">
      <c r="A801" s="572"/>
      <c r="B801" s="584"/>
      <c r="C801" s="584"/>
      <c r="D801" s="584"/>
      <c r="E801" s="592"/>
      <c r="F801" s="592"/>
      <c r="G801" s="726"/>
      <c r="H801" s="161" t="s">
        <v>34</v>
      </c>
      <c r="I801" s="184"/>
      <c r="J801" s="269">
        <f ca="1">IFERROR(__xludf.DUMMYFUNCTION("IMPORTRANGE(""https://docs.google.com/spreadsheets/d/1MaWodYyGHDf7siQLGxnXhG4mBNTNIuy296niS2xXulU/edit?usp=sharing"",""RTK!I28"")"),0)</f>
        <v>0</v>
      </c>
      <c r="K801" s="465"/>
      <c r="L801" s="465"/>
      <c r="M801" s="465"/>
      <c r="N801" s="465"/>
      <c r="O801" s="163"/>
      <c r="P801" s="163"/>
      <c r="Q801" s="541"/>
      <c r="R801" s="541"/>
      <c r="S801" s="541"/>
      <c r="T801" s="541"/>
      <c r="U801" s="541"/>
      <c r="V801" s="541"/>
      <c r="W801" s="541"/>
      <c r="X801" s="541"/>
      <c r="Y801" s="541"/>
      <c r="Z801" s="541"/>
    </row>
    <row r="802" spans="1:26" ht="18.75" hidden="1">
      <c r="A802" s="578"/>
      <c r="B802" s="580"/>
      <c r="C802" s="580"/>
      <c r="D802" s="580"/>
      <c r="E802" s="684"/>
      <c r="F802" s="684" t="s">
        <v>321</v>
      </c>
      <c r="G802" s="581"/>
      <c r="H802" s="619" t="s">
        <v>46</v>
      </c>
      <c r="I802" s="166"/>
      <c r="J802" s="583"/>
      <c r="K802" s="167">
        <f>IF(I802&gt;0,J802*100/I802,0)</f>
        <v>0</v>
      </c>
      <c r="L802" s="167"/>
      <c r="M802" s="167"/>
      <c r="N802" s="167"/>
      <c r="O802" s="167"/>
      <c r="P802" s="167"/>
      <c r="Q802" s="568"/>
      <c r="R802" s="568"/>
      <c r="S802" s="568"/>
      <c r="T802" s="568"/>
      <c r="U802" s="568"/>
      <c r="V802" s="568"/>
      <c r="W802" s="568"/>
      <c r="X802" s="568"/>
      <c r="Y802" s="568"/>
      <c r="Z802" s="568"/>
    </row>
    <row r="803" spans="1:26" ht="18.75" hidden="1">
      <c r="A803" s="578"/>
      <c r="B803" s="580"/>
      <c r="C803" s="580"/>
      <c r="D803" s="580"/>
      <c r="E803" s="684"/>
      <c r="F803" s="684"/>
      <c r="G803" s="581"/>
      <c r="H803" s="619" t="s">
        <v>34</v>
      </c>
      <c r="I803" s="166"/>
      <c r="J803" s="583"/>
      <c r="K803" s="167"/>
      <c r="L803" s="167"/>
      <c r="M803" s="167"/>
      <c r="N803" s="167"/>
      <c r="O803" s="167"/>
      <c r="P803" s="167"/>
      <c r="Q803" s="568"/>
      <c r="R803" s="568"/>
      <c r="S803" s="568"/>
      <c r="T803" s="568"/>
      <c r="U803" s="568"/>
      <c r="V803" s="568"/>
      <c r="W803" s="568"/>
      <c r="X803" s="568"/>
      <c r="Y803" s="568"/>
      <c r="Z803" s="568"/>
    </row>
    <row r="804" spans="1:26" ht="19.5" hidden="1">
      <c r="A804" s="757">
        <v>13</v>
      </c>
      <c r="B804" s="758" t="s">
        <v>322</v>
      </c>
      <c r="C804" s="759"/>
      <c r="D804" s="775"/>
      <c r="E804" s="759"/>
      <c r="F804" s="759"/>
      <c r="G804" s="760"/>
      <c r="H804" s="761" t="s">
        <v>46</v>
      </c>
      <c r="I804" s="762"/>
      <c r="J804" s="762">
        <f>J819</f>
        <v>0</v>
      </c>
      <c r="K804" s="763">
        <f>IF(I804&gt;0,J804*100/I804,0)</f>
        <v>0</v>
      </c>
      <c r="L804" s="764"/>
      <c r="M804" s="764"/>
      <c r="N804" s="764"/>
      <c r="O804" s="764"/>
      <c r="P804" s="764"/>
      <c r="Q804" s="568"/>
      <c r="R804" s="568"/>
      <c r="S804" s="568"/>
      <c r="T804" s="568"/>
      <c r="U804" s="568"/>
      <c r="V804" s="568"/>
      <c r="W804" s="568"/>
      <c r="X804" s="568"/>
      <c r="Y804" s="568"/>
      <c r="Z804" s="568"/>
    </row>
    <row r="805" spans="1:26" ht="19.5" hidden="1">
      <c r="A805" s="563"/>
      <c r="B805" s="723"/>
      <c r="C805" s="723" t="s">
        <v>16</v>
      </c>
      <c r="D805" s="812" t="s">
        <v>17</v>
      </c>
      <c r="E805" s="805"/>
      <c r="F805" s="805"/>
      <c r="G805" s="567"/>
      <c r="H805" s="612" t="s">
        <v>12</v>
      </c>
      <c r="I805" s="583"/>
      <c r="J805" s="583"/>
      <c r="K805" s="93"/>
      <c r="L805" s="613">
        <f t="shared" ref="L805:N805" si="326">L806+L807</f>
        <v>0</v>
      </c>
      <c r="M805" s="613">
        <f t="shared" si="326"/>
        <v>0</v>
      </c>
      <c r="N805" s="613">
        <f t="shared" si="326"/>
        <v>0</v>
      </c>
      <c r="O805" s="613">
        <f t="shared" ref="O805:O810" si="327">IF(L805&gt;0,N805*100/L805,0)</f>
        <v>0</v>
      </c>
      <c r="P805" s="613">
        <f t="shared" ref="P805:P810" si="328">IF(M805&gt;0,N805*100/M805,0)</f>
        <v>0</v>
      </c>
      <c r="Q805" s="568"/>
      <c r="R805" s="568"/>
      <c r="S805" s="568"/>
      <c r="T805" s="568"/>
      <c r="U805" s="568"/>
      <c r="V805" s="568"/>
      <c r="W805" s="568"/>
      <c r="X805" s="568"/>
      <c r="Y805" s="568"/>
      <c r="Z805" s="568"/>
    </row>
    <row r="806" spans="1:26" ht="18.75" hidden="1">
      <c r="A806" s="563"/>
      <c r="B806" s="723"/>
      <c r="C806" s="723"/>
      <c r="D806" s="580"/>
      <c r="E806" s="723" t="s">
        <v>184</v>
      </c>
      <c r="F806" s="723"/>
      <c r="G806" s="567"/>
      <c r="H806" s="165" t="s">
        <v>12</v>
      </c>
      <c r="I806" s="583"/>
      <c r="J806" s="583"/>
      <c r="K806" s="93"/>
      <c r="L806" s="93">
        <f t="shared" ref="L806:N807" si="329">L809+L816</f>
        <v>0</v>
      </c>
      <c r="M806" s="93">
        <f t="shared" si="329"/>
        <v>0</v>
      </c>
      <c r="N806" s="93">
        <f t="shared" si="329"/>
        <v>0</v>
      </c>
      <c r="O806" s="93">
        <f t="shared" si="327"/>
        <v>0</v>
      </c>
      <c r="P806" s="93">
        <f t="shared" si="328"/>
        <v>0</v>
      </c>
      <c r="Q806" s="568"/>
      <c r="R806" s="568"/>
      <c r="S806" s="568"/>
      <c r="T806" s="568"/>
      <c r="U806" s="568"/>
      <c r="V806" s="568"/>
      <c r="W806" s="568"/>
      <c r="X806" s="568"/>
      <c r="Y806" s="568"/>
      <c r="Z806" s="568"/>
    </row>
    <row r="807" spans="1:26" ht="18.75" hidden="1">
      <c r="A807" s="563"/>
      <c r="B807" s="723"/>
      <c r="C807" s="723"/>
      <c r="D807" s="580"/>
      <c r="E807" s="723" t="s">
        <v>185</v>
      </c>
      <c r="F807" s="723"/>
      <c r="G807" s="567"/>
      <c r="H807" s="165" t="s">
        <v>12</v>
      </c>
      <c r="I807" s="583"/>
      <c r="J807" s="583"/>
      <c r="K807" s="93"/>
      <c r="L807" s="93">
        <f t="shared" si="329"/>
        <v>0</v>
      </c>
      <c r="M807" s="93">
        <f t="shared" si="329"/>
        <v>0</v>
      </c>
      <c r="N807" s="93">
        <f t="shared" si="329"/>
        <v>0</v>
      </c>
      <c r="O807" s="93">
        <f t="shared" si="327"/>
        <v>0</v>
      </c>
      <c r="P807" s="93">
        <f t="shared" si="328"/>
        <v>0</v>
      </c>
      <c r="Q807" s="568"/>
      <c r="R807" s="568"/>
      <c r="S807" s="568"/>
      <c r="T807" s="568"/>
      <c r="U807" s="568"/>
      <c r="V807" s="568"/>
      <c r="W807" s="568"/>
      <c r="X807" s="568"/>
      <c r="Y807" s="568"/>
      <c r="Z807" s="568"/>
    </row>
    <row r="808" spans="1:26" ht="19.5" hidden="1">
      <c r="A808" s="563"/>
      <c r="B808" s="571"/>
      <c r="C808" s="723"/>
      <c r="D808" s="857" t="s">
        <v>20</v>
      </c>
      <c r="E808" s="805"/>
      <c r="F808" s="805"/>
      <c r="G808" s="567"/>
      <c r="H808" s="612" t="s">
        <v>12</v>
      </c>
      <c r="I808" s="166"/>
      <c r="J808" s="166"/>
      <c r="K808" s="167"/>
      <c r="L808" s="613">
        <f t="shared" ref="L808:N808" si="330">L809+L810</f>
        <v>0</v>
      </c>
      <c r="M808" s="613">
        <f t="shared" si="330"/>
        <v>0</v>
      </c>
      <c r="N808" s="613">
        <f t="shared" si="330"/>
        <v>0</v>
      </c>
      <c r="O808" s="613">
        <f t="shared" si="327"/>
        <v>0</v>
      </c>
      <c r="P808" s="613">
        <f t="shared" si="328"/>
        <v>0</v>
      </c>
      <c r="Q808" s="568"/>
      <c r="R808" s="568"/>
      <c r="S808" s="568"/>
      <c r="T808" s="568"/>
      <c r="U808" s="568"/>
      <c r="V808" s="568"/>
      <c r="W808" s="568"/>
      <c r="X808" s="568"/>
      <c r="Y808" s="568"/>
      <c r="Z808" s="568"/>
    </row>
    <row r="809" spans="1:26" ht="18.75" hidden="1">
      <c r="A809" s="563"/>
      <c r="B809" s="723"/>
      <c r="C809" s="723"/>
      <c r="D809" s="580"/>
      <c r="E809" s="723" t="s">
        <v>184</v>
      </c>
      <c r="F809" s="723"/>
      <c r="G809" s="567"/>
      <c r="H809" s="165" t="s">
        <v>12</v>
      </c>
      <c r="I809" s="583"/>
      <c r="J809" s="583"/>
      <c r="K809" s="93"/>
      <c r="L809" s="93">
        <v>0</v>
      </c>
      <c r="M809" s="93">
        <v>0</v>
      </c>
      <c r="N809" s="93">
        <v>0</v>
      </c>
      <c r="O809" s="93">
        <f t="shared" si="327"/>
        <v>0</v>
      </c>
      <c r="P809" s="93">
        <f t="shared" si="328"/>
        <v>0</v>
      </c>
      <c r="Q809" s="568"/>
      <c r="R809" s="568"/>
      <c r="S809" s="568"/>
      <c r="T809" s="568"/>
      <c r="U809" s="568"/>
      <c r="V809" s="568"/>
      <c r="W809" s="568"/>
      <c r="X809" s="568"/>
      <c r="Y809" s="568"/>
      <c r="Z809" s="568"/>
    </row>
    <row r="810" spans="1:26" ht="18.75" hidden="1">
      <c r="A810" s="563"/>
      <c r="B810" s="723"/>
      <c r="C810" s="723"/>
      <c r="D810" s="580"/>
      <c r="E810" s="723" t="s">
        <v>185</v>
      </c>
      <c r="F810" s="723"/>
      <c r="G810" s="567"/>
      <c r="H810" s="165" t="s">
        <v>12</v>
      </c>
      <c r="I810" s="583"/>
      <c r="J810" s="583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7"/>
        <v>0</v>
      </c>
      <c r="P810" s="93">
        <f t="shared" si="328"/>
        <v>0</v>
      </c>
      <c r="Q810" s="568"/>
      <c r="R810" s="568"/>
      <c r="S810" s="568"/>
      <c r="T810" s="568"/>
      <c r="U810" s="568"/>
      <c r="V810" s="568"/>
      <c r="W810" s="568"/>
      <c r="X810" s="568"/>
      <c r="Y810" s="568"/>
      <c r="Z810" s="568"/>
    </row>
    <row r="811" spans="1:26" ht="18.75" hidden="1">
      <c r="A811" s="615"/>
      <c r="B811" s="571"/>
      <c r="C811" s="723"/>
      <c r="D811" s="571"/>
      <c r="E811" s="723"/>
      <c r="F811" s="723" t="s">
        <v>186</v>
      </c>
      <c r="G811" s="567"/>
      <c r="H811" s="165" t="s">
        <v>12</v>
      </c>
      <c r="I811" s="583"/>
      <c r="J811" s="583"/>
      <c r="K811" s="93"/>
      <c r="L811" s="93"/>
      <c r="M811" s="93"/>
      <c r="N811" s="93"/>
      <c r="O811" s="93"/>
      <c r="P811" s="93"/>
      <c r="Q811" s="568"/>
      <c r="R811" s="568"/>
      <c r="S811" s="568"/>
      <c r="T811" s="568"/>
      <c r="U811" s="568"/>
      <c r="V811" s="568"/>
      <c r="W811" s="568"/>
      <c r="X811" s="568"/>
      <c r="Y811" s="568"/>
      <c r="Z811" s="568"/>
    </row>
    <row r="812" spans="1:26" ht="18.75" hidden="1">
      <c r="A812" s="615"/>
      <c r="B812" s="571"/>
      <c r="C812" s="723"/>
      <c r="D812" s="571"/>
      <c r="E812" s="723"/>
      <c r="F812" s="723" t="s">
        <v>187</v>
      </c>
      <c r="G812" s="567"/>
      <c r="H812" s="165" t="s">
        <v>12</v>
      </c>
      <c r="I812" s="583"/>
      <c r="J812" s="583"/>
      <c r="K812" s="93"/>
      <c r="L812" s="93"/>
      <c r="M812" s="93"/>
      <c r="N812" s="93"/>
      <c r="O812" s="93"/>
      <c r="P812" s="93"/>
      <c r="Q812" s="568"/>
      <c r="R812" s="568"/>
      <c r="S812" s="568"/>
      <c r="T812" s="568"/>
      <c r="U812" s="568"/>
      <c r="V812" s="568"/>
      <c r="W812" s="568"/>
      <c r="X812" s="568"/>
      <c r="Y812" s="568"/>
      <c r="Z812" s="568"/>
    </row>
    <row r="813" spans="1:26" ht="18.75" hidden="1">
      <c r="A813" s="615"/>
      <c r="B813" s="571"/>
      <c r="C813" s="723"/>
      <c r="D813" s="571"/>
      <c r="E813" s="723"/>
      <c r="F813" s="723" t="s">
        <v>188</v>
      </c>
      <c r="G813" s="567"/>
      <c r="H813" s="165" t="s">
        <v>12</v>
      </c>
      <c r="I813" s="583"/>
      <c r="J813" s="583"/>
      <c r="K813" s="93"/>
      <c r="L813" s="93"/>
      <c r="M813" s="93"/>
      <c r="N813" s="93"/>
      <c r="O813" s="93"/>
      <c r="P813" s="93"/>
      <c r="Q813" s="568"/>
      <c r="R813" s="568"/>
      <c r="S813" s="568"/>
      <c r="T813" s="568"/>
      <c r="U813" s="568"/>
      <c r="V813" s="568"/>
      <c r="W813" s="568"/>
      <c r="X813" s="568"/>
      <c r="Y813" s="568"/>
      <c r="Z813" s="568"/>
    </row>
    <row r="814" spans="1:26" ht="18.75" hidden="1">
      <c r="A814" s="615"/>
      <c r="B814" s="571"/>
      <c r="C814" s="723"/>
      <c r="D814" s="571"/>
      <c r="E814" s="723"/>
      <c r="F814" s="723" t="s">
        <v>189</v>
      </c>
      <c r="G814" s="567"/>
      <c r="H814" s="165" t="s">
        <v>12</v>
      </c>
      <c r="I814" s="583"/>
      <c r="J814" s="583"/>
      <c r="K814" s="93"/>
      <c r="L814" s="93"/>
      <c r="M814" s="93"/>
      <c r="N814" s="93"/>
      <c r="O814" s="93"/>
      <c r="P814" s="93"/>
      <c r="Q814" s="568"/>
      <c r="R814" s="568"/>
      <c r="S814" s="568"/>
      <c r="T814" s="568"/>
      <c r="U814" s="568"/>
      <c r="V814" s="568"/>
      <c r="W814" s="568"/>
      <c r="X814" s="568"/>
      <c r="Y814" s="568"/>
      <c r="Z814" s="568"/>
    </row>
    <row r="815" spans="1:26" ht="19.5" hidden="1">
      <c r="A815" s="563"/>
      <c r="B815" s="571"/>
      <c r="C815" s="723"/>
      <c r="D815" s="857" t="s">
        <v>21</v>
      </c>
      <c r="E815" s="805"/>
      <c r="F815" s="805"/>
      <c r="G815" s="567"/>
      <c r="H815" s="747" t="s">
        <v>12</v>
      </c>
      <c r="I815" s="166"/>
      <c r="J815" s="166"/>
      <c r="K815" s="167"/>
      <c r="L815" s="613">
        <f t="shared" ref="L815:N815" si="331">L816+L817</f>
        <v>0</v>
      </c>
      <c r="M815" s="613">
        <f t="shared" si="331"/>
        <v>0</v>
      </c>
      <c r="N815" s="613">
        <f t="shared" si="331"/>
        <v>0</v>
      </c>
      <c r="O815" s="613">
        <f t="shared" ref="O815:O817" si="332">IF(L815&gt;0,N815*100/L815,0)</f>
        <v>0</v>
      </c>
      <c r="P815" s="613">
        <f t="shared" ref="P815:P817" si="333">IF(M815&gt;0,N815*100/M815,0)</f>
        <v>0</v>
      </c>
      <c r="Q815" s="568"/>
      <c r="R815" s="568"/>
      <c r="S815" s="568"/>
      <c r="T815" s="568"/>
      <c r="U815" s="568"/>
      <c r="V815" s="568"/>
      <c r="W815" s="568"/>
      <c r="X815" s="568"/>
      <c r="Y815" s="568"/>
      <c r="Z815" s="568"/>
    </row>
    <row r="816" spans="1:26" ht="18.75" hidden="1">
      <c r="A816" s="563"/>
      <c r="B816" s="571"/>
      <c r="C816" s="723"/>
      <c r="D816" s="571"/>
      <c r="E816" s="723" t="s">
        <v>18</v>
      </c>
      <c r="F816" s="723"/>
      <c r="G816" s="567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2"/>
        <v>0</v>
      </c>
      <c r="P816" s="93">
        <f t="shared" si="333"/>
        <v>0</v>
      </c>
      <c r="Q816" s="568"/>
      <c r="R816" s="568"/>
      <c r="S816" s="568"/>
      <c r="T816" s="568"/>
      <c r="U816" s="568"/>
      <c r="V816" s="568"/>
      <c r="W816" s="568"/>
      <c r="X816" s="568"/>
      <c r="Y816" s="568"/>
      <c r="Z816" s="568"/>
    </row>
    <row r="817" spans="1:26" ht="18.75" hidden="1">
      <c r="A817" s="563"/>
      <c r="B817" s="571"/>
      <c r="C817" s="723"/>
      <c r="D817" s="571"/>
      <c r="E817" s="723" t="s">
        <v>19</v>
      </c>
      <c r="F817" s="723"/>
      <c r="G817" s="567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2"/>
        <v>0</v>
      </c>
      <c r="P817" s="93">
        <f t="shared" si="333"/>
        <v>0</v>
      </c>
      <c r="Q817" s="568"/>
      <c r="R817" s="568"/>
      <c r="S817" s="568"/>
      <c r="T817" s="568"/>
      <c r="U817" s="568"/>
      <c r="V817" s="568"/>
      <c r="W817" s="568"/>
      <c r="X817" s="568"/>
      <c r="Y817" s="568"/>
      <c r="Z817" s="568"/>
    </row>
    <row r="818" spans="1:26" ht="19.5" hidden="1">
      <c r="A818" s="578"/>
      <c r="B818" s="580"/>
      <c r="C818" s="723" t="s">
        <v>16</v>
      </c>
      <c r="D818" s="858" t="s">
        <v>38</v>
      </c>
      <c r="E818" s="617"/>
      <c r="F818" s="617"/>
      <c r="G818" s="618"/>
      <c r="H818" s="581"/>
      <c r="I818" s="166"/>
      <c r="J818" s="166"/>
      <c r="K818" s="167"/>
      <c r="L818" s="167"/>
      <c r="M818" s="167"/>
      <c r="N818" s="167"/>
      <c r="O818" s="167"/>
      <c r="P818" s="167"/>
      <c r="Q818" s="568"/>
      <c r="R818" s="568"/>
      <c r="S818" s="568"/>
      <c r="T818" s="568"/>
      <c r="U818" s="568"/>
      <c r="V818" s="568"/>
      <c r="W818" s="568"/>
      <c r="X818" s="568"/>
      <c r="Y818" s="568"/>
      <c r="Z818" s="568"/>
    </row>
    <row r="819" spans="1:26" ht="19.5" hidden="1" thickBot="1">
      <c r="A819" s="777"/>
      <c r="B819" s="778"/>
      <c r="C819" s="780"/>
      <c r="D819" s="778"/>
      <c r="E819" s="780" t="s">
        <v>323</v>
      </c>
      <c r="F819" s="780"/>
      <c r="G819" s="781"/>
      <c r="H819" s="782" t="s">
        <v>46</v>
      </c>
      <c r="I819" s="783"/>
      <c r="J819" s="783"/>
      <c r="K819" s="784"/>
      <c r="L819" s="784"/>
      <c r="M819" s="784"/>
      <c r="N819" s="784"/>
      <c r="O819" s="784"/>
      <c r="P819" s="784"/>
      <c r="Q819" s="568"/>
      <c r="R819" s="568"/>
      <c r="S819" s="568"/>
      <c r="T819" s="568"/>
      <c r="U819" s="568"/>
      <c r="V819" s="568"/>
      <c r="W819" s="568"/>
      <c r="X819" s="568"/>
      <c r="Y819" s="568"/>
      <c r="Z819" s="568"/>
    </row>
    <row r="820" spans="1:26" ht="19.5">
      <c r="A820" s="785" t="s">
        <v>332</v>
      </c>
      <c r="B820" s="786"/>
      <c r="C820" s="786"/>
      <c r="D820" s="787"/>
      <c r="E820" s="786"/>
      <c r="F820" s="786"/>
      <c r="G820" s="788"/>
      <c r="H820" s="788"/>
      <c r="I820" s="214"/>
      <c r="J820" s="214"/>
      <c r="K820" s="789"/>
      <c r="L820" s="789"/>
      <c r="M820" s="789"/>
      <c r="N820" s="789"/>
      <c r="O820" s="789"/>
      <c r="P820" s="789"/>
      <c r="Q820" s="541"/>
      <c r="R820" s="541"/>
      <c r="S820" s="541"/>
      <c r="T820" s="541"/>
      <c r="U820" s="541"/>
      <c r="V820" s="541"/>
      <c r="W820" s="541"/>
      <c r="X820" s="541"/>
      <c r="Y820" s="541"/>
      <c r="Z820" s="541"/>
    </row>
    <row r="821" spans="1:26" ht="18.75">
      <c r="A821" s="708"/>
      <c r="B821" s="727" t="s">
        <v>325</v>
      </c>
      <c r="C821" s="727"/>
      <c r="D821" s="538"/>
      <c r="E821" s="727"/>
      <c r="F821" s="727"/>
      <c r="G821" s="189"/>
      <c r="H821" s="589" t="s">
        <v>12</v>
      </c>
      <c r="I821" s="269">
        <f ca="1">IFERROR(__xludf.DUMMYFUNCTION("IMPORTRANGE(""https://docs.google.com/spreadsheets/d/19vJNZY_5yjcGF2XGBMNZRCAIB0Kwfpjp8YEOfu-bneM/edit?usp=sharing"",""งานกองทุน!D28"")"),7046532.4)</f>
        <v>7046532.4000000004</v>
      </c>
      <c r="J821" s="269">
        <f ca="1">IFERROR(__xludf.DUMMYFUNCTION("IMPORTRANGE(""https://docs.google.com/spreadsheets/d/19vJNZY_5yjcGF2XGBMNZRCAIB0Kwfpjp8YEOfu-bneM/edit?usp=sharing"",""งานกองทุน!F28"")"),108595.74)</f>
        <v>108595.74</v>
      </c>
      <c r="K821" s="465">
        <f t="shared" ref="K821:K828" ca="1" si="334">IF(I821&gt;0,J821*100/I821,0)</f>
        <v>1.5411231203591711</v>
      </c>
      <c r="L821" s="465"/>
      <c r="M821" s="465"/>
      <c r="N821" s="465"/>
      <c r="O821" s="465"/>
      <c r="P821" s="465"/>
      <c r="Q821" s="541"/>
      <c r="R821" s="541"/>
      <c r="S821" s="541"/>
      <c r="T821" s="541"/>
      <c r="U821" s="541"/>
      <c r="V821" s="541"/>
      <c r="W821" s="541"/>
      <c r="X821" s="541"/>
      <c r="Y821" s="541"/>
      <c r="Z821" s="541"/>
    </row>
    <row r="822" spans="1:26" ht="18.75">
      <c r="A822" s="708"/>
      <c r="B822" s="727"/>
      <c r="C822" s="727"/>
      <c r="D822" s="538"/>
      <c r="E822" s="727"/>
      <c r="F822" s="727"/>
      <c r="G822" s="189"/>
      <c r="H822" s="589" t="s">
        <v>35</v>
      </c>
      <c r="I822" s="269">
        <f ca="1">IFERROR(__xludf.DUMMYFUNCTION("IMPORTRANGE(""https://docs.google.com/spreadsheets/d/19vJNZY_5yjcGF2XGBMNZRCAIB0Kwfpjp8YEOfu-bneM/edit?usp=sharing"",""งานกองทุน!C28"")"),356)</f>
        <v>356</v>
      </c>
      <c r="J822" s="269">
        <f ca="1">IFERROR(__xludf.DUMMYFUNCTION("IMPORTRANGE(""https://docs.google.com/spreadsheets/d/19vJNZY_5yjcGF2XGBMNZRCAIB0Kwfpjp8YEOfu-bneM/edit?usp=sharing"",""งานกองทุน!E28"")"),11)</f>
        <v>11</v>
      </c>
      <c r="K822" s="465">
        <f t="shared" ca="1" si="334"/>
        <v>3.0898876404494384</v>
      </c>
      <c r="L822" s="465"/>
      <c r="M822" s="465"/>
      <c r="N822" s="465"/>
      <c r="O822" s="465"/>
      <c r="P822" s="465"/>
      <c r="Q822" s="541"/>
      <c r="R822" s="541"/>
      <c r="S822" s="541"/>
      <c r="T822" s="541"/>
      <c r="U822" s="541"/>
      <c r="V822" s="541"/>
      <c r="W822" s="541"/>
      <c r="X822" s="541"/>
      <c r="Y822" s="541"/>
      <c r="Z822" s="541"/>
    </row>
    <row r="823" spans="1:26" ht="18.75">
      <c r="A823" s="708"/>
      <c r="B823" s="727" t="s">
        <v>326</v>
      </c>
      <c r="C823" s="727"/>
      <c r="D823" s="538"/>
      <c r="E823" s="727"/>
      <c r="F823" s="727"/>
      <c r="G823" s="189"/>
      <c r="H823" s="589" t="s">
        <v>12</v>
      </c>
      <c r="I823" s="269">
        <f ca="1">IFERROR(__xludf.DUMMYFUNCTION("IMPORTRANGE(""https://docs.google.com/spreadsheets/d/19vJNZY_5yjcGF2XGBMNZRCAIB0Kwfpjp8YEOfu-bneM/edit?usp=sharing"",""งานกองทุน!I28"")"),6666111.12)</f>
        <v>6666111.1200000001</v>
      </c>
      <c r="J823" s="269">
        <f ca="1">IFERROR(__xludf.DUMMYFUNCTION("IMPORTRANGE(""https://docs.google.com/spreadsheets/d/19vJNZY_5yjcGF2XGBMNZRCAIB0Kwfpjp8YEOfu-bneM/edit?usp=sharing"",""งานกองทุน!K28"")"),201122.14)</f>
        <v>201122.14</v>
      </c>
      <c r="K823" s="465">
        <f t="shared" ca="1" si="334"/>
        <v>3.0170835196038555</v>
      </c>
      <c r="L823" s="465"/>
      <c r="M823" s="465"/>
      <c r="N823" s="465"/>
      <c r="O823" s="465"/>
      <c r="P823" s="465"/>
      <c r="Q823" s="541"/>
      <c r="R823" s="541"/>
      <c r="S823" s="541"/>
      <c r="T823" s="541"/>
      <c r="U823" s="541"/>
      <c r="V823" s="541"/>
      <c r="W823" s="541"/>
      <c r="X823" s="541"/>
      <c r="Y823" s="541"/>
      <c r="Z823" s="541"/>
    </row>
    <row r="824" spans="1:26" ht="18.75">
      <c r="A824" s="708"/>
      <c r="B824" s="727"/>
      <c r="C824" s="727"/>
      <c r="D824" s="538"/>
      <c r="E824" s="727"/>
      <c r="F824" s="727"/>
      <c r="G824" s="189"/>
      <c r="H824" s="589" t="s">
        <v>35</v>
      </c>
      <c r="I824" s="269">
        <f ca="1">IFERROR(__xludf.DUMMYFUNCTION("IMPORTRANGE(""https://docs.google.com/spreadsheets/d/19vJNZY_5yjcGF2XGBMNZRCAIB0Kwfpjp8YEOfu-bneM/edit?usp=sharing"",""งานกองทุน!H28"")"),246)</f>
        <v>246</v>
      </c>
      <c r="J824" s="269">
        <f ca="1">IFERROR(__xludf.DUMMYFUNCTION("IMPORTRANGE(""https://docs.google.com/spreadsheets/d/19vJNZY_5yjcGF2XGBMNZRCAIB0Kwfpjp8YEOfu-bneM/edit?usp=sharing"",""งานกองทุน!J28"")"),94)</f>
        <v>94</v>
      </c>
      <c r="K824" s="465">
        <f t="shared" ca="1" si="334"/>
        <v>38.211382113821138</v>
      </c>
      <c r="L824" s="465"/>
      <c r="M824" s="465"/>
      <c r="N824" s="465"/>
      <c r="O824" s="465"/>
      <c r="P824" s="465"/>
      <c r="Q824" s="541"/>
      <c r="R824" s="541"/>
      <c r="S824" s="541"/>
      <c r="T824" s="541"/>
      <c r="U824" s="541"/>
      <c r="V824" s="541"/>
      <c r="W824" s="541"/>
      <c r="X824" s="541"/>
      <c r="Y824" s="541"/>
      <c r="Z824" s="541"/>
    </row>
    <row r="825" spans="1:26" ht="18.75">
      <c r="A825" s="708"/>
      <c r="B825" s="727" t="s">
        <v>327</v>
      </c>
      <c r="C825" s="727"/>
      <c r="D825" s="538"/>
      <c r="E825" s="727"/>
      <c r="F825" s="727"/>
      <c r="G825" s="189"/>
      <c r="H825" s="589" t="s">
        <v>12</v>
      </c>
      <c r="I825" s="269">
        <f ca="1">IFERROR(__xludf.DUMMYFUNCTION("IMPORTRANGE(""https://docs.google.com/spreadsheets/d/19vJNZY_5yjcGF2XGBMNZRCAIB0Kwfpjp8YEOfu-bneM/edit?usp=sharing"",""งานกองทุน!N28"")"),2452779.33)</f>
        <v>2452779.33</v>
      </c>
      <c r="J825" s="269">
        <f ca="1">IFERROR(__xludf.DUMMYFUNCTION("IMPORTRANGE(""https://docs.google.com/spreadsheets/d/19vJNZY_5yjcGF2XGBMNZRCAIB0Kwfpjp8YEOfu-bneM/edit?usp=sharing"",""งานกองทุน!P28"")"),209897.14)</f>
        <v>209897.14</v>
      </c>
      <c r="K825" s="465">
        <f t="shared" ca="1" si="334"/>
        <v>8.5575223760549211</v>
      </c>
      <c r="L825" s="465"/>
      <c r="M825" s="465"/>
      <c r="N825" s="465"/>
      <c r="O825" s="465"/>
      <c r="P825" s="465"/>
      <c r="Q825" s="541"/>
      <c r="R825" s="541"/>
      <c r="S825" s="541"/>
      <c r="T825" s="541"/>
      <c r="U825" s="541"/>
      <c r="V825" s="541"/>
      <c r="W825" s="541"/>
      <c r="X825" s="541"/>
      <c r="Y825" s="541"/>
      <c r="Z825" s="541"/>
    </row>
    <row r="826" spans="1:26" ht="18.75">
      <c r="A826" s="708"/>
      <c r="B826" s="727"/>
      <c r="C826" s="727"/>
      <c r="D826" s="538"/>
      <c r="E826" s="727"/>
      <c r="F826" s="727"/>
      <c r="G826" s="189"/>
      <c r="H826" s="589" t="s">
        <v>35</v>
      </c>
      <c r="I826" s="269">
        <f ca="1">IFERROR(__xludf.DUMMYFUNCTION("IMPORTRANGE(""https://docs.google.com/spreadsheets/d/19vJNZY_5yjcGF2XGBMNZRCAIB0Kwfpjp8YEOfu-bneM/edit?usp=sharing"",""งานกองทุน!M28"")"),177)</f>
        <v>177</v>
      </c>
      <c r="J826" s="269">
        <f ca="1">IFERROR(__xludf.DUMMYFUNCTION("IMPORTRANGE(""https://docs.google.com/spreadsheets/d/19vJNZY_5yjcGF2XGBMNZRCAIB0Kwfpjp8YEOfu-bneM/edit?usp=sharing"",""งานกองทุน!O28"")"),15)</f>
        <v>15</v>
      </c>
      <c r="K826" s="465">
        <f t="shared" ca="1" si="334"/>
        <v>8.4745762711864412</v>
      </c>
      <c r="L826" s="465"/>
      <c r="M826" s="465"/>
      <c r="N826" s="465"/>
      <c r="O826" s="465"/>
      <c r="P826" s="465"/>
      <c r="Q826" s="541"/>
      <c r="R826" s="541"/>
      <c r="S826" s="541"/>
      <c r="T826" s="541"/>
      <c r="U826" s="541"/>
      <c r="V826" s="541"/>
      <c r="W826" s="541"/>
      <c r="X826" s="541"/>
      <c r="Y826" s="541"/>
      <c r="Z826" s="541"/>
    </row>
    <row r="827" spans="1:26" ht="18.75">
      <c r="A827" s="708"/>
      <c r="B827" s="727" t="s">
        <v>328</v>
      </c>
      <c r="C827" s="727"/>
      <c r="D827" s="538"/>
      <c r="E827" s="727"/>
      <c r="F827" s="727"/>
      <c r="G827" s="189"/>
      <c r="H827" s="589" t="s">
        <v>12</v>
      </c>
      <c r="I827" s="269">
        <f ca="1">IFERROR(__xludf.DUMMYFUNCTION("IMPORTRANGE(""https://docs.google.com/spreadsheets/d/19vJNZY_5yjcGF2XGBMNZRCAIB0Kwfpjp8YEOfu-bneM/edit?usp=sharing"",""งานกองทุน!S28"")"),5000000)</f>
        <v>5000000</v>
      </c>
      <c r="J827" s="269">
        <f ca="1">IFERROR(__xludf.DUMMYFUNCTION("IMPORTRANGE(""https://docs.google.com/spreadsheets/d/19vJNZY_5yjcGF2XGBMNZRCAIB0Kwfpjp8YEOfu-bneM/edit?usp=sharing"",""งานกองทุน!U28"")"),0)</f>
        <v>0</v>
      </c>
      <c r="K827" s="465">
        <f t="shared" ca="1" si="334"/>
        <v>0</v>
      </c>
      <c r="L827" s="465"/>
      <c r="M827" s="465"/>
      <c r="N827" s="465"/>
      <c r="O827" s="465"/>
      <c r="P827" s="465"/>
      <c r="Q827" s="541"/>
      <c r="R827" s="541"/>
      <c r="S827" s="541"/>
      <c r="T827" s="541"/>
      <c r="U827" s="541"/>
      <c r="V827" s="541"/>
      <c r="W827" s="541"/>
      <c r="X827" s="541"/>
      <c r="Y827" s="541"/>
      <c r="Z827" s="541"/>
    </row>
    <row r="828" spans="1:26" ht="18.75">
      <c r="A828" s="711"/>
      <c r="B828" s="713"/>
      <c r="C828" s="713"/>
      <c r="D828" s="712"/>
      <c r="E828" s="713"/>
      <c r="F828" s="713"/>
      <c r="G828" s="790"/>
      <c r="H828" s="791" t="s">
        <v>35</v>
      </c>
      <c r="I828" s="468">
        <f ca="1">IFERROR(__xludf.DUMMYFUNCTION("IMPORTRANGE(""https://docs.google.com/spreadsheets/d/19vJNZY_5yjcGF2XGBMNZRCAIB0Kwfpjp8YEOfu-bneM/edit?usp=sharing"",""งานกองทุน!R28"")"),179)</f>
        <v>179</v>
      </c>
      <c r="J828" s="468">
        <f ca="1">IFERROR(__xludf.DUMMYFUNCTION("IMPORTRANGE(""https://docs.google.com/spreadsheets/d/19vJNZY_5yjcGF2XGBMNZRCAIB0Kwfpjp8YEOfu-bneM/edit?usp=sharing"",""งานกองทุน!T28"")"),15)</f>
        <v>15</v>
      </c>
      <c r="K828" s="469">
        <f t="shared" ca="1" si="334"/>
        <v>8.3798882681564244</v>
      </c>
      <c r="L828" s="469"/>
      <c r="M828" s="469"/>
      <c r="N828" s="469"/>
      <c r="O828" s="469"/>
      <c r="P828" s="469"/>
      <c r="Q828" s="541"/>
      <c r="R828" s="541"/>
      <c r="S828" s="541"/>
      <c r="T828" s="541"/>
      <c r="U828" s="541"/>
      <c r="V828" s="541"/>
      <c r="W828" s="541"/>
      <c r="X828" s="541"/>
      <c r="Y828" s="541"/>
      <c r="Z828" s="541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2" fitToHeight="0" pageOrder="overThenDown" orientation="portrait" cellComments="atEnd" r:id="rId1"/>
  <headerFooter>
    <oddFooter>&amp;Cหน้า &amp;P/&amp;N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97B5F4-830A-4D12-9650-7664A718EB68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activeCell="S28" sqref="S28"/>
      <selection pane="bottomLeft" sqref="A1:P1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9" width="18.7109375" bestFit="1" customWidth="1"/>
    <col min="10" max="10" width="14.42578125" bestFit="1" customWidth="1"/>
    <col min="11" max="11" width="12.5703125" customWidth="1"/>
    <col min="12" max="13" width="21.28515625" bestFit="1" customWidth="1"/>
    <col min="14" max="14" width="18.7109375" bestFit="1" customWidth="1"/>
    <col min="15" max="15" width="20.140625" bestFit="1" customWidth="1"/>
    <col min="16" max="16" width="22" bestFit="1" customWidth="1"/>
  </cols>
  <sheetData>
    <row r="1" spans="1:26" ht="19.5">
      <c r="A1" s="792" t="s">
        <v>0</v>
      </c>
      <c r="B1" s="793"/>
      <c r="C1" s="793"/>
      <c r="D1" s="793"/>
      <c r="E1" s="793"/>
      <c r="F1" s="793"/>
      <c r="G1" s="793"/>
      <c r="H1" s="793"/>
      <c r="I1" s="793"/>
      <c r="J1" s="793"/>
      <c r="K1" s="793"/>
      <c r="L1" s="793"/>
      <c r="M1" s="793"/>
      <c r="N1" s="793"/>
      <c r="O1" s="793"/>
      <c r="P1" s="793"/>
    </row>
    <row r="2" spans="1:26" ht="19.5">
      <c r="A2" s="792" t="s">
        <v>353</v>
      </c>
      <c r="B2" s="793"/>
      <c r="C2" s="793"/>
      <c r="D2" s="793"/>
      <c r="E2" s="793"/>
      <c r="F2" s="793"/>
      <c r="G2" s="793"/>
      <c r="H2" s="793"/>
      <c r="I2" s="793"/>
      <c r="J2" s="793"/>
      <c r="K2" s="793"/>
      <c r="L2" s="793"/>
      <c r="M2" s="793"/>
      <c r="N2" s="793"/>
      <c r="O2" s="793"/>
      <c r="P2" s="793"/>
    </row>
    <row r="3" spans="1:26" ht="19.5">
      <c r="A3" s="792" t="s">
        <v>355</v>
      </c>
      <c r="B3" s="793"/>
      <c r="C3" s="793"/>
      <c r="D3" s="793"/>
      <c r="E3" s="793"/>
      <c r="F3" s="793"/>
      <c r="G3" s="793"/>
      <c r="H3" s="793"/>
      <c r="I3" s="793"/>
      <c r="J3" s="793"/>
      <c r="K3" s="793"/>
      <c r="L3" s="793"/>
      <c r="M3" s="793"/>
      <c r="N3" s="793"/>
      <c r="O3" s="793"/>
      <c r="P3" s="793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00" t="s">
        <v>2</v>
      </c>
      <c r="B5" s="793"/>
      <c r="C5" s="793"/>
      <c r="D5" s="793"/>
      <c r="E5" s="793"/>
      <c r="F5" s="793"/>
      <c r="G5" s="801"/>
      <c r="H5" s="794" t="s">
        <v>3</v>
      </c>
      <c r="I5" s="796" t="s">
        <v>4</v>
      </c>
      <c r="J5" s="797"/>
      <c r="K5" s="795"/>
      <c r="L5" s="798" t="s">
        <v>5</v>
      </c>
      <c r="M5" s="795"/>
      <c r="N5" s="799" t="s">
        <v>6</v>
      </c>
      <c r="O5" s="797"/>
      <c r="P5" s="795"/>
    </row>
    <row r="6" spans="1:26" ht="19.5">
      <c r="A6" s="802"/>
      <c r="B6" s="797"/>
      <c r="C6" s="797"/>
      <c r="D6" s="797"/>
      <c r="E6" s="797"/>
      <c r="F6" s="797"/>
      <c r="G6" s="795"/>
      <c r="H6" s="795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03" t="s">
        <v>15</v>
      </c>
      <c r="B7" s="797"/>
      <c r="C7" s="797"/>
      <c r="D7" s="797"/>
      <c r="E7" s="797"/>
      <c r="F7" s="797"/>
      <c r="G7" s="795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4955387</v>
      </c>
      <c r="M8" s="22">
        <f t="shared" ca="1" si="0"/>
        <v>1911865</v>
      </c>
      <c r="N8" s="22">
        <f t="shared" ca="1" si="0"/>
        <v>955541.5</v>
      </c>
      <c r="O8" s="22">
        <f t="shared" ref="O8:O16" ca="1" si="1">IF(L8&gt;0,N8*100/L8,0)</f>
        <v>19.282883455923827</v>
      </c>
      <c r="P8" s="22">
        <f t="shared" ref="P8:P16" ca="1" si="2">IF(M8&gt;0,N8*100/M8,0)</f>
        <v>49.979548765210936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4955387</v>
      </c>
      <c r="M10" s="30">
        <f t="shared" ca="1" si="3"/>
        <v>1911865</v>
      </c>
      <c r="N10" s="30">
        <f t="shared" ca="1" si="3"/>
        <v>955541.5</v>
      </c>
      <c r="O10" s="30">
        <f t="shared" ca="1" si="1"/>
        <v>19.282883455923827</v>
      </c>
      <c r="P10" s="30">
        <f t="shared" ca="1" si="2"/>
        <v>49.979548765210936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589" t="s">
        <v>12</v>
      </c>
      <c r="I11" s="269"/>
      <c r="J11" s="269"/>
      <c r="K11" s="465"/>
      <c r="L11" s="465">
        <f t="shared" ref="L11:N11" ca="1" si="4">L12+L13</f>
        <v>4536587</v>
      </c>
      <c r="M11" s="465">
        <f t="shared" ca="1" si="4"/>
        <v>1493565</v>
      </c>
      <c r="N11" s="465">
        <f t="shared" ca="1" si="4"/>
        <v>545075.5</v>
      </c>
      <c r="O11" s="465">
        <f t="shared" ca="1" si="1"/>
        <v>12.015100779506708</v>
      </c>
      <c r="P11" s="465">
        <f t="shared" ca="1" si="2"/>
        <v>36.494929916006335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2" t="s">
        <v>18</v>
      </c>
      <c r="F12" s="40"/>
      <c r="G12" s="42"/>
      <c r="H12" s="43" t="s">
        <v>12</v>
      </c>
      <c r="I12" s="583"/>
      <c r="J12" s="583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2" t="s">
        <v>19</v>
      </c>
      <c r="F13" s="40"/>
      <c r="G13" s="42"/>
      <c r="H13" s="43" t="s">
        <v>12</v>
      </c>
      <c r="I13" s="583"/>
      <c r="J13" s="583"/>
      <c r="K13" s="93"/>
      <c r="L13" s="93">
        <f t="shared" ca="1" si="5"/>
        <v>4536587</v>
      </c>
      <c r="M13" s="93">
        <f t="shared" ca="1" si="5"/>
        <v>1493565</v>
      </c>
      <c r="N13" s="93">
        <f t="shared" ca="1" si="5"/>
        <v>545075.5</v>
      </c>
      <c r="O13" s="93">
        <f t="shared" ca="1" si="1"/>
        <v>12.015100779506708</v>
      </c>
      <c r="P13" s="93">
        <f t="shared" ca="1" si="2"/>
        <v>36.494929916006335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589" t="s">
        <v>12</v>
      </c>
      <c r="I14" s="269"/>
      <c r="J14" s="269"/>
      <c r="K14" s="465"/>
      <c r="L14" s="465">
        <f t="shared" ref="L14:N14" ca="1" si="6">L15+L16</f>
        <v>418800</v>
      </c>
      <c r="M14" s="465">
        <f t="shared" ca="1" si="6"/>
        <v>418300</v>
      </c>
      <c r="N14" s="465">
        <f t="shared" ca="1" si="6"/>
        <v>410466</v>
      </c>
      <c r="O14" s="465">
        <f t="shared" ca="1" si="1"/>
        <v>98.010028653295123</v>
      </c>
      <c r="P14" s="465">
        <f t="shared" ca="1" si="2"/>
        <v>98.127181448721018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2" t="s">
        <v>18</v>
      </c>
      <c r="F15" s="40"/>
      <c r="G15" s="42"/>
      <c r="H15" s="43" t="s">
        <v>12</v>
      </c>
      <c r="I15" s="583"/>
      <c r="J15" s="583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418800</v>
      </c>
      <c r="M16" s="52">
        <f t="shared" ca="1" si="7"/>
        <v>418300</v>
      </c>
      <c r="N16" s="52">
        <f t="shared" ca="1" si="7"/>
        <v>410466</v>
      </c>
      <c r="O16" s="52">
        <f t="shared" ca="1" si="1"/>
        <v>98.010028653295123</v>
      </c>
      <c r="P16" s="52">
        <f t="shared" ca="1" si="2"/>
        <v>98.127181448721018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03" t="s">
        <v>22</v>
      </c>
      <c r="B17" s="797"/>
      <c r="C17" s="797"/>
      <c r="D17" s="797"/>
      <c r="E17" s="797"/>
      <c r="F17" s="797"/>
      <c r="G17" s="795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3408865</v>
      </c>
      <c r="M18" s="22">
        <f t="shared" ca="1" si="8"/>
        <v>1911865</v>
      </c>
      <c r="N18" s="22">
        <f t="shared" ca="1" si="8"/>
        <v>955541.5</v>
      </c>
      <c r="O18" s="22">
        <f t="shared" ref="O18:O26" ca="1" si="9">IF(L18&gt;0,N18*100/L18,0)</f>
        <v>28.031074859227338</v>
      </c>
      <c r="P18" s="22">
        <f t="shared" ref="P18:P26" ca="1" si="10">IF(M18&gt;0,N18*100/M18,0)</f>
        <v>49.979548765210936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3408865</v>
      </c>
      <c r="M20" s="30">
        <f t="shared" ca="1" si="11"/>
        <v>1911865</v>
      </c>
      <c r="N20" s="30">
        <f t="shared" ca="1" si="11"/>
        <v>955541.5</v>
      </c>
      <c r="O20" s="30">
        <f t="shared" ca="1" si="9"/>
        <v>28.031074859227338</v>
      </c>
      <c r="P20" s="30">
        <f t="shared" ca="1" si="10"/>
        <v>49.979548765210936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589" t="s">
        <v>12</v>
      </c>
      <c r="I21" s="269"/>
      <c r="J21" s="269"/>
      <c r="K21" s="465"/>
      <c r="L21" s="465">
        <f t="shared" ref="L21:N21" ca="1" si="12">L22+L23</f>
        <v>2990065</v>
      </c>
      <c r="M21" s="465">
        <f t="shared" ca="1" si="12"/>
        <v>1493565</v>
      </c>
      <c r="N21" s="465">
        <f t="shared" ca="1" si="12"/>
        <v>545075.5</v>
      </c>
      <c r="O21" s="465">
        <f t="shared" ca="1" si="9"/>
        <v>18.229553538133786</v>
      </c>
      <c r="P21" s="465">
        <f t="shared" ca="1" si="10"/>
        <v>36.494929916006335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2" t="s">
        <v>18</v>
      </c>
      <c r="F22" s="40"/>
      <c r="G22" s="42"/>
      <c r="H22" s="43" t="s">
        <v>12</v>
      </c>
      <c r="I22" s="583"/>
      <c r="J22" s="583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2" t="s">
        <v>19</v>
      </c>
      <c r="F23" s="40"/>
      <c r="G23" s="42"/>
      <c r="H23" s="43" t="s">
        <v>12</v>
      </c>
      <c r="I23" s="583"/>
      <c r="J23" s="583"/>
      <c r="K23" s="93"/>
      <c r="L23" s="93">
        <f t="shared" ca="1" si="13"/>
        <v>2990065</v>
      </c>
      <c r="M23" s="93">
        <f t="shared" ca="1" si="13"/>
        <v>1493565</v>
      </c>
      <c r="N23" s="93">
        <f t="shared" ca="1" si="13"/>
        <v>545075.5</v>
      </c>
      <c r="O23" s="93">
        <f t="shared" ca="1" si="9"/>
        <v>18.229553538133786</v>
      </c>
      <c r="P23" s="93">
        <f t="shared" ca="1" si="10"/>
        <v>36.494929916006335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589" t="s">
        <v>12</v>
      </c>
      <c r="I24" s="269"/>
      <c r="J24" s="269"/>
      <c r="K24" s="465"/>
      <c r="L24" s="465">
        <f t="shared" ref="L24:N24" ca="1" si="14">L25+L26</f>
        <v>418800</v>
      </c>
      <c r="M24" s="465">
        <f t="shared" ca="1" si="14"/>
        <v>418300</v>
      </c>
      <c r="N24" s="465">
        <f t="shared" ca="1" si="14"/>
        <v>410466</v>
      </c>
      <c r="O24" s="465">
        <f t="shared" ca="1" si="9"/>
        <v>98.010028653295123</v>
      </c>
      <c r="P24" s="465">
        <f t="shared" ca="1" si="10"/>
        <v>98.127181448721018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2" t="s">
        <v>18</v>
      </c>
      <c r="F25" s="40"/>
      <c r="G25" s="42"/>
      <c r="H25" s="43" t="s">
        <v>12</v>
      </c>
      <c r="I25" s="583"/>
      <c r="J25" s="583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418800</v>
      </c>
      <c r="M26" s="52">
        <f t="shared" ca="1" si="15"/>
        <v>418300</v>
      </c>
      <c r="N26" s="52">
        <f t="shared" ca="1" si="15"/>
        <v>410466</v>
      </c>
      <c r="O26" s="52">
        <f t="shared" ca="1" si="9"/>
        <v>98.010028653295123</v>
      </c>
      <c r="P26" s="52">
        <f t="shared" ca="1" si="10"/>
        <v>98.127181448721018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03" t="s">
        <v>23</v>
      </c>
      <c r="B27" s="797"/>
      <c r="C27" s="797"/>
      <c r="D27" s="797"/>
      <c r="E27" s="797"/>
      <c r="F27" s="797"/>
      <c r="G27" s="795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1546522</v>
      </c>
      <c r="M28" s="22">
        <f t="shared" si="16"/>
        <v>0</v>
      </c>
      <c r="N28" s="22">
        <f t="shared" si="16"/>
        <v>0</v>
      </c>
      <c r="O28" s="22">
        <f t="shared" ref="O28:O37" ca="1" si="17">IF(L28&gt;0,N28*100/L28,0)</f>
        <v>0</v>
      </c>
      <c r="P28" s="22">
        <f t="shared" ref="P28:P37" si="18">IF(M28&gt;0,N28*100/M28,0)</f>
        <v>0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1546522</v>
      </c>
      <c r="M30" s="30">
        <f t="shared" si="19"/>
        <v>0</v>
      </c>
      <c r="N30" s="30">
        <f t="shared" si="19"/>
        <v>0</v>
      </c>
      <c r="O30" s="30">
        <f t="shared" ca="1" si="17"/>
        <v>0</v>
      </c>
      <c r="P30" s="30">
        <f t="shared" si="18"/>
        <v>0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589" t="s">
        <v>12</v>
      </c>
      <c r="I31" s="269"/>
      <c r="J31" s="269"/>
      <c r="K31" s="465"/>
      <c r="L31" s="465">
        <f t="shared" ref="L31:N31" ca="1" si="20">L32+L33</f>
        <v>1546522</v>
      </c>
      <c r="M31" s="465">
        <f t="shared" si="20"/>
        <v>0</v>
      </c>
      <c r="N31" s="465">
        <f t="shared" si="20"/>
        <v>0</v>
      </c>
      <c r="O31" s="465">
        <f t="shared" ca="1" si="17"/>
        <v>0</v>
      </c>
      <c r="P31" s="465">
        <f t="shared" si="18"/>
        <v>0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2" t="s">
        <v>18</v>
      </c>
      <c r="F32" s="40"/>
      <c r="G32" s="42"/>
      <c r="H32" s="43" t="s">
        <v>12</v>
      </c>
      <c r="I32" s="583"/>
      <c r="J32" s="583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2" t="s">
        <v>19</v>
      </c>
      <c r="F33" s="40"/>
      <c r="G33" s="42"/>
      <c r="H33" s="43" t="s">
        <v>12</v>
      </c>
      <c r="I33" s="583"/>
      <c r="J33" s="583"/>
      <c r="K33" s="93"/>
      <c r="L33" s="93">
        <f t="shared" ca="1" si="21"/>
        <v>1546522</v>
      </c>
      <c r="M33" s="93">
        <f t="shared" si="21"/>
        <v>0</v>
      </c>
      <c r="N33" s="93">
        <f t="shared" si="21"/>
        <v>0</v>
      </c>
      <c r="O33" s="93">
        <f t="shared" ca="1" si="17"/>
        <v>0</v>
      </c>
      <c r="P33" s="93">
        <f t="shared" si="18"/>
        <v>0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589" t="s">
        <v>12</v>
      </c>
      <c r="I34" s="269"/>
      <c r="J34" s="269"/>
      <c r="K34" s="465"/>
      <c r="L34" s="465">
        <f t="shared" ref="L34:N34" ca="1" si="22">L35+L36</f>
        <v>0</v>
      </c>
      <c r="M34" s="465">
        <f t="shared" si="22"/>
        <v>0</v>
      </c>
      <c r="N34" s="465">
        <f t="shared" si="22"/>
        <v>0</v>
      </c>
      <c r="O34" s="465">
        <f t="shared" ca="1" si="17"/>
        <v>0</v>
      </c>
      <c r="P34" s="465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2" t="s">
        <v>18</v>
      </c>
      <c r="F35" s="40"/>
      <c r="G35" s="42"/>
      <c r="H35" s="43" t="s">
        <v>12</v>
      </c>
      <c r="I35" s="583"/>
      <c r="J35" s="583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53" t="s">
        <v>24</v>
      </c>
      <c r="B37" s="54"/>
      <c r="C37" s="54"/>
      <c r="D37" s="54"/>
      <c r="E37" s="54"/>
      <c r="F37" s="54"/>
      <c r="G37" s="55"/>
      <c r="H37" s="56"/>
      <c r="I37" s="392"/>
      <c r="J37" s="392"/>
      <c r="K37" s="58"/>
      <c r="L37" s="59">
        <f t="shared" ref="L37:N37" ca="1" si="24">L41+L53+L66+L88+L119+L132+L149+L165+L181+L261+L277+L298+L315+L328+L345+L389+L402</f>
        <v>3408865</v>
      </c>
      <c r="M37" s="59">
        <f t="shared" ca="1" si="24"/>
        <v>1911865</v>
      </c>
      <c r="N37" s="59">
        <f t="shared" ca="1" si="24"/>
        <v>955541.5</v>
      </c>
      <c r="O37" s="59">
        <f t="shared" ca="1" si="17"/>
        <v>28.031074859227338</v>
      </c>
      <c r="P37" s="59">
        <f t="shared" ca="1" si="18"/>
        <v>49.979548765210936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04" t="s">
        <v>27</v>
      </c>
      <c r="C40" s="805"/>
      <c r="D40" s="805"/>
      <c r="E40" s="805"/>
      <c r="F40" s="805"/>
      <c r="G40" s="806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15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493450</v>
      </c>
      <c r="M41" s="85">
        <f t="shared" ca="1" si="25"/>
        <v>248750</v>
      </c>
      <c r="N41" s="85">
        <f t="shared" ca="1" si="25"/>
        <v>90700</v>
      </c>
      <c r="O41" s="85">
        <f t="shared" ref="O41:O49" ca="1" si="26">IF(L41&gt;0,N41*100/L41,0)</f>
        <v>18.380788327084812</v>
      </c>
      <c r="P41" s="85">
        <f t="shared" ref="P41:P49" ca="1" si="27">IF(M41&gt;0,N41*100/M41,0)</f>
        <v>36.462311557788944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493450</v>
      </c>
      <c r="M43" s="92">
        <f t="shared" ca="1" si="28"/>
        <v>248750</v>
      </c>
      <c r="N43" s="92">
        <f t="shared" ca="1" si="28"/>
        <v>90700</v>
      </c>
      <c r="O43" s="92">
        <f t="shared" ca="1" si="26"/>
        <v>18.380788327084812</v>
      </c>
      <c r="P43" s="92">
        <f t="shared" ca="1" si="27"/>
        <v>36.462311557788944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589" t="s">
        <v>12</v>
      </c>
      <c r="I44" s="269"/>
      <c r="J44" s="269"/>
      <c r="K44" s="465"/>
      <c r="L44" s="465">
        <f t="shared" ref="L44:N44" ca="1" si="29">L45+L46</f>
        <v>493450</v>
      </c>
      <c r="M44" s="465">
        <f t="shared" ca="1" si="29"/>
        <v>248750</v>
      </c>
      <c r="N44" s="465">
        <f t="shared" ca="1" si="29"/>
        <v>90700</v>
      </c>
      <c r="O44" s="465">
        <f t="shared" ca="1" si="26"/>
        <v>18.380788327084812</v>
      </c>
      <c r="P44" s="465">
        <f t="shared" ca="1" si="27"/>
        <v>36.462311557788944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2" t="s">
        <v>18</v>
      </c>
      <c r="F45" s="40"/>
      <c r="G45" s="42"/>
      <c r="H45" s="43" t="s">
        <v>12</v>
      </c>
      <c r="I45" s="583"/>
      <c r="J45" s="583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2" t="s">
        <v>19</v>
      </c>
      <c r="F46" s="40"/>
      <c r="G46" s="42"/>
      <c r="H46" s="43" t="s">
        <v>12</v>
      </c>
      <c r="I46" s="583"/>
      <c r="J46" s="583"/>
      <c r="K46" s="93"/>
      <c r="L46" s="93">
        <f ca="1">IFERROR(__xludf.DUMMYFUNCTION("IMPORTRANGE(""https://docs.google.com/spreadsheets/d/1MeEWN-I1oV_STSDYn1IFDPWt_1FKiwhDph83XaGc0o0/edit?usp=sharing"",""งบพรบ!M29"")"),493450)</f>
        <v>493450</v>
      </c>
      <c r="M46" s="93">
        <f ca="1">IFERROR(__xludf.DUMMYFUNCTION("IMPORTRANGE(""https://docs.google.com/spreadsheets/d/1MeEWN-I1oV_STSDYn1IFDPWt_1FKiwhDph83XaGc0o0/edit?usp=sharing"",""งบพรบ!R29"")"),248750)</f>
        <v>248750</v>
      </c>
      <c r="N46" s="93">
        <f ca="1">IFERROR(__xludf.DUMMYFUNCTION("IMPORTRANGE(""https://docs.google.com/spreadsheets/d/1MeEWN-I1oV_STSDYn1IFDPWt_1FKiwhDph83XaGc0o0/edit?usp=sharing"",""งบพรบ!T29"")"),90700)</f>
        <v>90700</v>
      </c>
      <c r="O46" s="93">
        <f t="shared" ca="1" si="26"/>
        <v>18.380788327084812</v>
      </c>
      <c r="P46" s="93">
        <f t="shared" ca="1" si="27"/>
        <v>36.462311557788944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589" t="s">
        <v>12</v>
      </c>
      <c r="I47" s="269"/>
      <c r="J47" s="269"/>
      <c r="K47" s="465"/>
      <c r="L47" s="465">
        <f t="shared" ref="L47:N47" ca="1" si="30">L48+L49</f>
        <v>0</v>
      </c>
      <c r="M47" s="465">
        <f t="shared" ca="1" si="30"/>
        <v>0</v>
      </c>
      <c r="N47" s="465">
        <f t="shared" ca="1" si="30"/>
        <v>0</v>
      </c>
      <c r="O47" s="465">
        <f t="shared" ca="1" si="26"/>
        <v>0</v>
      </c>
      <c r="P47" s="465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2" t="s">
        <v>18</v>
      </c>
      <c r="F48" s="40"/>
      <c r="G48" s="42"/>
      <c r="H48" s="43" t="s">
        <v>12</v>
      </c>
      <c r="I48" s="583"/>
      <c r="J48" s="583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IFERROR(__xludf.DUMMYFUNCTION("IMPORTRANGE(""https://docs.google.com/spreadsheets/d/1MeEWN-I1oV_STSDYn1IFDPWt_1FKiwhDph83XaGc0o0/edit?usp=sharing"",""งบพรบ!P29"")"),0)</f>
        <v>0</v>
      </c>
      <c r="M49" s="52">
        <f ca="1">IFERROR(__xludf.DUMMYFUNCTION("IMPORTRANGE(""https://docs.google.com/spreadsheets/d/1MeEWN-I1oV_STSDYn1IFDPWt_1FKiwhDph83XaGc0o0/edit?usp=sharing"",""งบพรบ!S29"")"),0)</f>
        <v>0</v>
      </c>
      <c r="N49" s="52">
        <f ca="1">IFERROR(__xludf.DUMMYFUNCTION("IMPORTRANGE(""https://docs.google.com/spreadsheets/d/1MeEWN-I1oV_STSDYn1IFDPWt_1FKiwhDph83XaGc0o0/edit?usp=sharing"",""งบพรบ!U29"")"),0)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07" t="s">
        <v>28</v>
      </c>
      <c r="B50" s="797"/>
      <c r="C50" s="797"/>
      <c r="D50" s="797"/>
      <c r="E50" s="797"/>
      <c r="F50" s="797"/>
      <c r="G50" s="795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08" t="s">
        <v>29</v>
      </c>
      <c r="C51" s="805"/>
      <c r="D51" s="805"/>
      <c r="E51" s="805"/>
      <c r="F51" s="805"/>
      <c r="G51" s="806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16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1086200</v>
      </c>
      <c r="M53" s="116">
        <f t="shared" ca="1" si="31"/>
        <v>718100</v>
      </c>
      <c r="N53" s="116">
        <f t="shared" ca="1" si="31"/>
        <v>572931.4</v>
      </c>
      <c r="O53" s="116">
        <f t="shared" ref="O53:O61" ca="1" si="32">IF(L53&gt;0,N53*100/L53,0)</f>
        <v>52.746400294605046</v>
      </c>
      <c r="P53" s="116">
        <f t="shared" ref="P53:P61" ca="1" si="33">IF(M53&gt;0,N53*100/M53,0)</f>
        <v>79.784347583901962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1086200</v>
      </c>
      <c r="M55" s="123">
        <f t="shared" ca="1" si="34"/>
        <v>718100</v>
      </c>
      <c r="N55" s="123">
        <f t="shared" ca="1" si="34"/>
        <v>572931.4</v>
      </c>
      <c r="O55" s="123">
        <f t="shared" ca="1" si="32"/>
        <v>52.746400294605046</v>
      </c>
      <c r="P55" s="123">
        <f t="shared" ca="1" si="33"/>
        <v>79.784347583901962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589" t="s">
        <v>12</v>
      </c>
      <c r="I56" s="269"/>
      <c r="J56" s="269"/>
      <c r="K56" s="465"/>
      <c r="L56" s="465">
        <f t="shared" ref="L56:N56" ca="1" si="35">L57+L58</f>
        <v>736200</v>
      </c>
      <c r="M56" s="465">
        <f t="shared" ca="1" si="35"/>
        <v>368100</v>
      </c>
      <c r="N56" s="465">
        <f t="shared" ca="1" si="35"/>
        <v>230765.4</v>
      </c>
      <c r="O56" s="465">
        <f t="shared" ca="1" si="32"/>
        <v>31.345476772616138</v>
      </c>
      <c r="P56" s="465">
        <f t="shared" ca="1" si="33"/>
        <v>62.690953545232276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2" t="s">
        <v>18</v>
      </c>
      <c r="F57" s="40"/>
      <c r="G57" s="42"/>
      <c r="H57" s="43" t="s">
        <v>12</v>
      </c>
      <c r="I57" s="583"/>
      <c r="J57" s="583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2" t="s">
        <v>19</v>
      </c>
      <c r="F58" s="40"/>
      <c r="G58" s="42"/>
      <c r="H58" s="43" t="s">
        <v>12</v>
      </c>
      <c r="I58" s="583"/>
      <c r="J58" s="583"/>
      <c r="K58" s="93"/>
      <c r="L58" s="93">
        <f ca="1">IFERROR(__xludf.DUMMYFUNCTION("IMPORTRANGE(""https://docs.google.com/spreadsheets/d/1MeEWN-I1oV_STSDYn1IFDPWt_1FKiwhDph83XaGc0o0/edit?usp=sharing"",""งบพรบ!W29"")"),736200)</f>
        <v>736200</v>
      </c>
      <c r="M58" s="93">
        <f ca="1">IFERROR(__xludf.DUMMYFUNCTION("IMPORTRANGE(""https://docs.google.com/spreadsheets/d/1MeEWN-I1oV_STSDYn1IFDPWt_1FKiwhDph83XaGc0o0/edit?usp=sharing"",""งบพรบ!AB29"")"),368100)</f>
        <v>368100</v>
      </c>
      <c r="N58" s="93">
        <f ca="1">IFERROR(__xludf.DUMMYFUNCTION("IMPORTRANGE(""https://docs.google.com/spreadsheets/d/1MeEWN-I1oV_STSDYn1IFDPWt_1FKiwhDph83XaGc0o0/edit?usp=sharing"",""งบพรบ!AD29"")"),230765.4)</f>
        <v>230765.4</v>
      </c>
      <c r="O58" s="93">
        <f t="shared" ca="1" si="32"/>
        <v>31.345476772616138</v>
      </c>
      <c r="P58" s="93">
        <f t="shared" ca="1" si="33"/>
        <v>62.690953545232276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589" t="s">
        <v>12</v>
      </c>
      <c r="I59" s="269"/>
      <c r="J59" s="269"/>
      <c r="K59" s="465"/>
      <c r="L59" s="465">
        <f t="shared" ref="L59:N59" ca="1" si="36">L60+L61</f>
        <v>350000</v>
      </c>
      <c r="M59" s="465">
        <f t="shared" ca="1" si="36"/>
        <v>350000</v>
      </c>
      <c r="N59" s="465">
        <f t="shared" ca="1" si="36"/>
        <v>342166</v>
      </c>
      <c r="O59" s="465">
        <f t="shared" ca="1" si="32"/>
        <v>97.761714285714291</v>
      </c>
      <c r="P59" s="465">
        <f t="shared" ca="1" si="33"/>
        <v>97.761714285714291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2" t="s">
        <v>18</v>
      </c>
      <c r="F60" s="40"/>
      <c r="G60" s="42"/>
      <c r="H60" s="43" t="s">
        <v>12</v>
      </c>
      <c r="I60" s="583"/>
      <c r="J60" s="583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IFERROR(__xludf.DUMMYFUNCTION("IMPORTRANGE(""https://docs.google.com/spreadsheets/d/1MeEWN-I1oV_STSDYn1IFDPWt_1FKiwhDph83XaGc0o0/edit?usp=sharing"",""งบพรบ!Z29"")"),350000)</f>
        <v>350000</v>
      </c>
      <c r="M61" s="52">
        <f ca="1">IFERROR(__xludf.DUMMYFUNCTION("IMPORTRANGE(""https://docs.google.com/spreadsheets/d/1MeEWN-I1oV_STSDYn1IFDPWt_1FKiwhDph83XaGc0o0/edit?usp=sharing"",""งบพรบ!AC29"")"),350000)</f>
        <v>350000</v>
      </c>
      <c r="N61" s="52">
        <f ca="1">IFERROR(__xludf.DUMMYFUNCTION("IMPORTRANGE(""https://docs.google.com/spreadsheets/d/1MeEWN-I1oV_STSDYn1IFDPWt_1FKiwhDph83XaGc0o0/edit?usp=sharing"",""งบพรบ!AE29"")"),342166)</f>
        <v>342166</v>
      </c>
      <c r="O61" s="52">
        <f t="shared" ca="1" si="32"/>
        <v>97.761714285714291</v>
      </c>
      <c r="P61" s="52">
        <f t="shared" ca="1" si="33"/>
        <v>97.761714285714291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 hidden="1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 hidden="1">
      <c r="A64" s="138"/>
      <c r="B64" s="208" t="s">
        <v>33</v>
      </c>
      <c r="C64" s="140"/>
      <c r="D64" s="141"/>
      <c r="E64" s="140"/>
      <c r="F64" s="140"/>
      <c r="G64" s="142"/>
      <c r="H64" s="143" t="s">
        <v>34</v>
      </c>
      <c r="I64" s="144">
        <f t="shared" ref="I64:J65" ca="1" si="37">I76</f>
        <v>0</v>
      </c>
      <c r="J64" s="144">
        <f t="shared" si="37"/>
        <v>0</v>
      </c>
      <c r="K64" s="145">
        <f t="shared" ref="K64:K65" ca="1" si="38">IF(I64&gt;0,J64*100/I64,0)</f>
        <v>0</v>
      </c>
      <c r="L64" s="146"/>
      <c r="M64" s="146"/>
      <c r="N64" s="146"/>
      <c r="O64" s="146"/>
      <c r="P64" s="146"/>
    </row>
    <row r="65" spans="1:26" ht="19.5" hidden="1">
      <c r="A65" s="138"/>
      <c r="B65" s="140"/>
      <c r="C65" s="140"/>
      <c r="D65" s="141"/>
      <c r="E65" s="140"/>
      <c r="F65" s="140"/>
      <c r="G65" s="142"/>
      <c r="H65" s="143" t="s">
        <v>35</v>
      </c>
      <c r="I65" s="144">
        <f t="shared" ca="1" si="37"/>
        <v>0</v>
      </c>
      <c r="J65" s="144">
        <f t="shared" si="37"/>
        <v>0</v>
      </c>
      <c r="K65" s="145">
        <f t="shared" ca="1" si="38"/>
        <v>0</v>
      </c>
      <c r="L65" s="146"/>
      <c r="M65" s="146"/>
      <c r="N65" s="146"/>
      <c r="O65" s="146"/>
      <c r="P65" s="146"/>
    </row>
    <row r="66" spans="1:26" ht="19.5" hidden="1">
      <c r="A66" s="147"/>
      <c r="B66" s="148"/>
      <c r="C66" s="149" t="s">
        <v>16</v>
      </c>
      <c r="D66" s="817" t="s">
        <v>17</v>
      </c>
      <c r="E66" s="148"/>
      <c r="F66" s="148"/>
      <c r="G66" s="151"/>
      <c r="H66" s="152" t="s">
        <v>12</v>
      </c>
      <c r="I66" s="388"/>
      <c r="J66" s="388"/>
      <c r="K66" s="154"/>
      <c r="L66" s="155">
        <f t="shared" ref="L66:N66" ca="1" si="39">L67+L68</f>
        <v>0</v>
      </c>
      <c r="M66" s="155">
        <f t="shared" ca="1" si="39"/>
        <v>0</v>
      </c>
      <c r="N66" s="155">
        <f t="shared" ca="1" si="39"/>
        <v>0</v>
      </c>
      <c r="O66" s="155">
        <f t="shared" ref="O66:O74" ca="1" si="40">IF(L66&gt;0,N66*100/L66,0)</f>
        <v>0</v>
      </c>
      <c r="P66" s="155">
        <f t="shared" ref="P66:P74" ca="1" si="41">IF(M66&gt;0,N66*100/M66,0)</f>
        <v>0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2" t="s">
        <v>18</v>
      </c>
      <c r="F67" s="40"/>
      <c r="G67" s="157"/>
      <c r="H67" s="158" t="s">
        <v>12</v>
      </c>
      <c r="I67" s="583"/>
      <c r="J67" s="583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2" t="s">
        <v>19</v>
      </c>
      <c r="F68" s="40"/>
      <c r="G68" s="157"/>
      <c r="H68" s="158" t="s">
        <v>12</v>
      </c>
      <c r="I68" s="583"/>
      <c r="J68" s="583"/>
      <c r="K68" s="93"/>
      <c r="L68" s="93">
        <f t="shared" ca="1" si="42"/>
        <v>0</v>
      </c>
      <c r="M68" s="93">
        <f t="shared" ca="1" si="42"/>
        <v>0</v>
      </c>
      <c r="N68" s="93">
        <f t="shared" ca="1" si="42"/>
        <v>0</v>
      </c>
      <c r="O68" s="93">
        <f t="shared" ca="1" si="40"/>
        <v>0</v>
      </c>
      <c r="P68" s="93">
        <f t="shared" ca="1" si="41"/>
        <v>0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 hidden="1">
      <c r="A69" s="159"/>
      <c r="B69" s="33"/>
      <c r="C69" s="281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65">
        <f t="shared" ref="L69:N69" ca="1" si="43">L70+L71</f>
        <v>0</v>
      </c>
      <c r="M69" s="465">
        <f t="shared" ca="1" si="43"/>
        <v>0</v>
      </c>
      <c r="N69" s="465">
        <f t="shared" ca="1" si="43"/>
        <v>0</v>
      </c>
      <c r="O69" s="465">
        <f t="shared" ca="1" si="40"/>
        <v>0</v>
      </c>
      <c r="P69" s="465">
        <f t="shared" ca="1" si="41"/>
        <v>0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2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2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IFERROR(__xludf.DUMMYFUNCTION("IMPORTRANGE(""https://docs.google.com/spreadsheets/d/1MeEWN-I1oV_STSDYn1IFDPWt_1FKiwhDph83XaGc0o0/edit?usp=sharing"",""งบพรบ!AG29"")"),0)</f>
        <v>0</v>
      </c>
      <c r="M71" s="93">
        <f ca="1">IFERROR(__xludf.DUMMYFUNCTION("IMPORTRANGE(""https://docs.google.com/spreadsheets/d/1MeEWN-I1oV_STSDYn1IFDPWt_1FKiwhDph83XaGc0o0/edit?usp=sharing"",""งบพรบ!AL29"")"),0)</f>
        <v>0</v>
      </c>
      <c r="N71" s="93">
        <f ca="1">IFERROR(__xludf.DUMMYFUNCTION("IMPORTRANGE(""https://docs.google.com/spreadsheets/d/1MeEWN-I1oV_STSDYn1IFDPWt_1FKiwhDph83XaGc0o0/edit?usp=sharing"",""งบพรบ!AN29"")"),0)</f>
        <v>0</v>
      </c>
      <c r="O71" s="93">
        <f t="shared" ca="1" si="40"/>
        <v>0</v>
      </c>
      <c r="P71" s="93">
        <f t="shared" ca="1" si="41"/>
        <v>0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 hidden="1">
      <c r="A72" s="159"/>
      <c r="B72" s="33"/>
      <c r="C72" s="281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65">
        <f t="shared" ref="L72:N72" ca="1" si="44">L73+L74</f>
        <v>0</v>
      </c>
      <c r="M72" s="465">
        <f t="shared" ca="1" si="44"/>
        <v>0</v>
      </c>
      <c r="N72" s="465">
        <f t="shared" ca="1" si="44"/>
        <v>0</v>
      </c>
      <c r="O72" s="465">
        <f t="shared" ca="1" si="40"/>
        <v>0</v>
      </c>
      <c r="P72" s="465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2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2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IFERROR(__xludf.DUMMYFUNCTION("IMPORTRANGE(""https://docs.google.com/spreadsheets/d/1MeEWN-I1oV_STSDYn1IFDPWt_1FKiwhDph83XaGc0o0/edit?usp=sharing"",""งบพรบ!AJ29"")"),0)</f>
        <v>0</v>
      </c>
      <c r="M74" s="93">
        <f ca="1">IFERROR(__xludf.DUMMYFUNCTION("IMPORTRANGE(""https://docs.google.com/spreadsheets/d/1MeEWN-I1oV_STSDYn1IFDPWt_1FKiwhDph83XaGc0o0/edit?usp=sharing"",""งบพรบ!AM29"")"),0)</f>
        <v>0</v>
      </c>
      <c r="N74" s="93">
        <f ca="1">IFERROR(__xludf.DUMMYFUNCTION("IMPORTRANGE(""https://docs.google.com/spreadsheets/d/1MeEWN-I1oV_STSDYn1IFDPWt_1FKiwhDph83XaGc0o0/edit?usp=sharing"",""งบพรบ!AO29"")"),0)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 hidden="1">
      <c r="A75" s="170"/>
      <c r="B75" s="171"/>
      <c r="C75" s="164" t="s">
        <v>16</v>
      </c>
      <c r="D75" s="818" t="s">
        <v>38</v>
      </c>
      <c r="E75" s="173"/>
      <c r="F75" s="173"/>
      <c r="G75" s="174"/>
      <c r="H75" s="726"/>
      <c r="I75" s="184"/>
      <c r="J75" s="184"/>
      <c r="K75" s="163"/>
      <c r="L75" s="163"/>
      <c r="M75" s="163"/>
      <c r="N75" s="163"/>
      <c r="O75" s="163"/>
      <c r="P75" s="163"/>
    </row>
    <row r="76" spans="1:26" ht="19.5" hidden="1">
      <c r="A76" s="170"/>
      <c r="B76" s="171"/>
      <c r="C76" s="171"/>
      <c r="D76" s="343" t="s">
        <v>39</v>
      </c>
      <c r="E76" s="415"/>
      <c r="F76" s="342"/>
      <c r="G76" s="179"/>
      <c r="H76" s="180" t="s">
        <v>34</v>
      </c>
      <c r="I76" s="269">
        <f t="shared" ref="I76:J77" ca="1" si="45">I78+I80+I82</f>
        <v>0</v>
      </c>
      <c r="J76" s="269">
        <f t="shared" si="45"/>
        <v>0</v>
      </c>
      <c r="K76" s="163">
        <f t="shared" ref="K76:K84" ca="1" si="46">IF(I76&gt;0,J76*100/I76,0)</f>
        <v>0</v>
      </c>
      <c r="L76" s="163"/>
      <c r="M76" s="163"/>
      <c r="N76" s="163"/>
      <c r="O76" s="163"/>
      <c r="P76" s="163"/>
    </row>
    <row r="77" spans="1:26" ht="19.5" hidden="1">
      <c r="A77" s="170"/>
      <c r="B77" s="171"/>
      <c r="C77" s="171"/>
      <c r="D77" s="171"/>
      <c r="E77" s="342"/>
      <c r="F77" s="342"/>
      <c r="G77" s="179"/>
      <c r="H77" s="180" t="s">
        <v>35</v>
      </c>
      <c r="I77" s="269">
        <f t="shared" ca="1" si="45"/>
        <v>0</v>
      </c>
      <c r="J77" s="269">
        <f t="shared" si="45"/>
        <v>0</v>
      </c>
      <c r="K77" s="163">
        <f t="shared" ca="1" si="46"/>
        <v>0</v>
      </c>
      <c r="L77" s="163"/>
      <c r="M77" s="163"/>
      <c r="N77" s="163"/>
      <c r="O77" s="163"/>
      <c r="P77" s="163"/>
    </row>
    <row r="78" spans="1:26" ht="18.75" hidden="1">
      <c r="A78" s="170"/>
      <c r="B78" s="171"/>
      <c r="C78" s="171"/>
      <c r="D78" s="171"/>
      <c r="E78" s="415" t="s">
        <v>40</v>
      </c>
      <c r="F78" s="415"/>
      <c r="G78" s="179"/>
      <c r="H78" s="728" t="s">
        <v>34</v>
      </c>
      <c r="I78" s="184">
        <f ca="1">IFERROR(__xludf.DUMMYFUNCTION("IMPORTRANGE(""https://docs.google.com/spreadsheets/d/1QqKyyYR6Q21VydFLVH3TRQUabQu_ym0Zz7PgGX0-kHA/edit?usp=sharing"",""แผน!H29"")"),0)</f>
        <v>0</v>
      </c>
      <c r="J78" s="214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 hidden="1">
      <c r="A79" s="170"/>
      <c r="B79" s="171"/>
      <c r="C79" s="171"/>
      <c r="D79" s="171"/>
      <c r="E79" s="342"/>
      <c r="F79" s="342"/>
      <c r="G79" s="179"/>
      <c r="H79" s="728" t="s">
        <v>35</v>
      </c>
      <c r="I79" s="184">
        <f ca="1">IFERROR(__xludf.DUMMYFUNCTION("IMPORTRANGE(""https://docs.google.com/spreadsheets/d/1QqKyyYR6Q21VydFLVH3TRQUabQu_ym0Zz7PgGX0-kHA/edit?usp=sharing"",""แผน!I29"")"),0)</f>
        <v>0</v>
      </c>
      <c r="J79" s="214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 hidden="1">
      <c r="A80" s="170"/>
      <c r="B80" s="171"/>
      <c r="C80" s="171"/>
      <c r="D80" s="171"/>
      <c r="E80" s="415" t="s">
        <v>41</v>
      </c>
      <c r="F80" s="415"/>
      <c r="G80" s="179"/>
      <c r="H80" s="728" t="s">
        <v>34</v>
      </c>
      <c r="I80" s="184">
        <f ca="1">IFERROR(__xludf.DUMMYFUNCTION("IMPORTRANGE(""https://docs.google.com/spreadsheets/d/1QqKyyYR6Q21VydFLVH3TRQUabQu_ym0Zz7PgGX0-kHA/edit?usp=sharing"",""แผน!F29"")"),0)</f>
        <v>0</v>
      </c>
      <c r="J80" s="214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 hidden="1">
      <c r="A81" s="170"/>
      <c r="B81" s="171"/>
      <c r="C81" s="171"/>
      <c r="D81" s="171"/>
      <c r="E81" s="342"/>
      <c r="F81" s="342"/>
      <c r="G81" s="179"/>
      <c r="H81" s="728" t="s">
        <v>35</v>
      </c>
      <c r="I81" s="184">
        <f ca="1">IFERROR(__xludf.DUMMYFUNCTION("IMPORTRANGE(""https://docs.google.com/spreadsheets/d/1QqKyyYR6Q21VydFLVH3TRQUabQu_ym0Zz7PgGX0-kHA/edit?usp=sharing"",""แผน!G29"")"),0)</f>
        <v>0</v>
      </c>
      <c r="J81" s="214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 hidden="1">
      <c r="A82" s="170"/>
      <c r="B82" s="171"/>
      <c r="C82" s="171"/>
      <c r="D82" s="171"/>
      <c r="E82" s="415" t="s">
        <v>42</v>
      </c>
      <c r="F82" s="415"/>
      <c r="G82" s="179"/>
      <c r="H82" s="728" t="s">
        <v>34</v>
      </c>
      <c r="I82" s="184">
        <f ca="1">IFERROR(__xludf.DUMMYFUNCTION("IMPORTRANGE(""https://docs.google.com/spreadsheets/d/1QqKyyYR6Q21VydFLVH3TRQUabQu_ym0Zz7PgGX0-kHA/edit?usp=sharing"",""แผน!D29"")"),0)</f>
        <v>0</v>
      </c>
      <c r="J82" s="214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 hidden="1">
      <c r="A83" s="170"/>
      <c r="B83" s="171"/>
      <c r="C83" s="171"/>
      <c r="D83" s="171"/>
      <c r="E83" s="342"/>
      <c r="F83" s="342"/>
      <c r="G83" s="179"/>
      <c r="H83" s="728" t="s">
        <v>35</v>
      </c>
      <c r="I83" s="184">
        <f ca="1">IFERROR(__xludf.DUMMYFUNCTION("IMPORTRANGE(""https://docs.google.com/spreadsheets/d/1QqKyyYR6Q21VydFLVH3TRQUabQu_ym0Zz7PgGX0-kHA/edit?usp=sharing"",""แผน!E29"")"),0)</f>
        <v>0</v>
      </c>
      <c r="J83" s="214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 hidden="1">
      <c r="A84" s="170"/>
      <c r="B84" s="171"/>
      <c r="C84" s="171"/>
      <c r="D84" s="343" t="s">
        <v>43</v>
      </c>
      <c r="E84" s="415"/>
      <c r="F84" s="342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IFERROR(__xludf.DUMMYFUNCTION("IMPORTRANGE(""https://docs.google.com/spreadsheets/d/1QqKyyYR6Q21VydFLVH3TRQUabQu_ym0Zz7PgGX0-kHA/edit?usp=sharing"",""แผน!J29"")"),0)</f>
        <v>0</v>
      </c>
      <c r="J84" s="214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8" t="s">
        <v>45</v>
      </c>
      <c r="C86" s="140"/>
      <c r="D86" s="141"/>
      <c r="E86" s="140"/>
      <c r="F86" s="140"/>
      <c r="G86" s="142"/>
      <c r="H86" s="143" t="s">
        <v>46</v>
      </c>
      <c r="I86" s="144">
        <f t="shared" ref="I86:J87" ca="1" si="47">I98</f>
        <v>30</v>
      </c>
      <c r="J86" s="144">
        <f t="shared" si="47"/>
        <v>0</v>
      </c>
      <c r="K86" s="145">
        <f t="shared" ref="K86:K87" ca="1" si="48">IF(I86&gt;0,J86*100/I86,0)</f>
        <v>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143" t="s">
        <v>35</v>
      </c>
      <c r="I87" s="144">
        <f t="shared" ca="1" si="47"/>
        <v>10</v>
      </c>
      <c r="J87" s="144">
        <f t="shared" si="47"/>
        <v>0</v>
      </c>
      <c r="K87" s="145">
        <f t="shared" ca="1" si="48"/>
        <v>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17" t="s">
        <v>17</v>
      </c>
      <c r="E88" s="148"/>
      <c r="F88" s="148"/>
      <c r="G88" s="151"/>
      <c r="H88" s="152" t="s">
        <v>12</v>
      </c>
      <c r="I88" s="388"/>
      <c r="J88" s="388"/>
      <c r="K88" s="154"/>
      <c r="L88" s="155">
        <f t="shared" ref="L88:N88" ca="1" si="49">L89+L90</f>
        <v>86040</v>
      </c>
      <c r="M88" s="155">
        <f t="shared" ca="1" si="49"/>
        <v>21840</v>
      </c>
      <c r="N88" s="155">
        <f t="shared" ca="1" si="49"/>
        <v>0</v>
      </c>
      <c r="O88" s="155">
        <f t="shared" ref="O88:O96" ca="1" si="50">IF(L88&gt;0,N88*100/L88,0)</f>
        <v>0</v>
      </c>
      <c r="P88" s="155">
        <f t="shared" ref="P88:P96" ca="1" si="51">IF(M88&gt;0,N88*100/M88,0)</f>
        <v>0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2" t="s">
        <v>18</v>
      </c>
      <c r="F89" s="40"/>
      <c r="G89" s="157"/>
      <c r="H89" s="158" t="s">
        <v>12</v>
      </c>
      <c r="I89" s="583"/>
      <c r="J89" s="583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2" t="s">
        <v>19</v>
      </c>
      <c r="F90" s="40"/>
      <c r="G90" s="157"/>
      <c r="H90" s="158" t="s">
        <v>12</v>
      </c>
      <c r="I90" s="583"/>
      <c r="J90" s="583"/>
      <c r="K90" s="93"/>
      <c r="L90" s="93">
        <f t="shared" ca="1" si="52"/>
        <v>86040</v>
      </c>
      <c r="M90" s="93">
        <f t="shared" ca="1" si="52"/>
        <v>21840</v>
      </c>
      <c r="N90" s="93">
        <f t="shared" ca="1" si="52"/>
        <v>0</v>
      </c>
      <c r="O90" s="93">
        <f t="shared" ca="1" si="50"/>
        <v>0</v>
      </c>
      <c r="P90" s="93">
        <f t="shared" ca="1" si="51"/>
        <v>0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1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65">
        <f t="shared" ref="L91:N91" ca="1" si="53">L92+L93</f>
        <v>86040</v>
      </c>
      <c r="M91" s="465">
        <f t="shared" ca="1" si="53"/>
        <v>21840</v>
      </c>
      <c r="N91" s="465">
        <f t="shared" ca="1" si="53"/>
        <v>0</v>
      </c>
      <c r="O91" s="465">
        <f t="shared" ca="1" si="50"/>
        <v>0</v>
      </c>
      <c r="P91" s="465">
        <f t="shared" ca="1" si="51"/>
        <v>0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2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2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IFERROR(__xludf.DUMMYFUNCTION("IMPORTRANGE(""https://docs.google.com/spreadsheets/d/1MeEWN-I1oV_STSDYn1IFDPWt_1FKiwhDph83XaGc0o0/edit?usp=sharing"",""งบพรบ!AQ29"")"),86040)</f>
        <v>86040</v>
      </c>
      <c r="M93" s="93">
        <f ca="1">IFERROR(__xludf.DUMMYFUNCTION("IMPORTRANGE(""https://docs.google.com/spreadsheets/d/1MeEWN-I1oV_STSDYn1IFDPWt_1FKiwhDph83XaGc0o0/edit?usp=sharing"",""งบพรบ!AV29"")"),21840)</f>
        <v>21840</v>
      </c>
      <c r="N93" s="93">
        <f ca="1">IFERROR(__xludf.DUMMYFUNCTION("IMPORTRANGE(""https://docs.google.com/spreadsheets/d/1MeEWN-I1oV_STSDYn1IFDPWt_1FKiwhDph83XaGc0o0/edit?usp=sharing"",""งบพรบ!AX29"")"),0)</f>
        <v>0</v>
      </c>
      <c r="O93" s="93">
        <f t="shared" ca="1" si="50"/>
        <v>0</v>
      </c>
      <c r="P93" s="93">
        <f t="shared" ca="1" si="51"/>
        <v>0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1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65">
        <f t="shared" ref="L94:N94" ca="1" si="54">L95+L96</f>
        <v>0</v>
      </c>
      <c r="M94" s="465">
        <f t="shared" ca="1" si="54"/>
        <v>0</v>
      </c>
      <c r="N94" s="465">
        <f t="shared" ca="1" si="54"/>
        <v>0</v>
      </c>
      <c r="O94" s="465">
        <f t="shared" ca="1" si="50"/>
        <v>0</v>
      </c>
      <c r="P94" s="465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2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2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IFERROR(__xludf.DUMMYFUNCTION("IMPORTRANGE(""https://docs.google.com/spreadsheets/d/1MeEWN-I1oV_STSDYn1IFDPWt_1FKiwhDph83XaGc0o0/edit?usp=sharing"",""งบพรบ!AT29"")"),0)</f>
        <v>0</v>
      </c>
      <c r="M96" s="93">
        <f ca="1">IFERROR(__xludf.DUMMYFUNCTION("IMPORTRANGE(""https://docs.google.com/spreadsheets/d/1MeEWN-I1oV_STSDYn1IFDPWt_1FKiwhDph83XaGc0o0/edit?usp=sharing"",""งบพรบ!AW29"")"),0)</f>
        <v>0</v>
      </c>
      <c r="N96" s="93">
        <f ca="1">IFERROR(__xludf.DUMMYFUNCTION("IMPORTRANGE(""https://docs.google.com/spreadsheets/d/1MeEWN-I1oV_STSDYn1IFDPWt_1FKiwhDph83XaGc0o0/edit?usp=sharing"",""งบพรบ!AY29"")"),0)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18" t="s">
        <v>38</v>
      </c>
      <c r="E97" s="173"/>
      <c r="F97" s="173"/>
      <c r="G97" s="174"/>
      <c r="H97" s="726"/>
      <c r="I97" s="184"/>
      <c r="J97" s="269"/>
      <c r="K97" s="465"/>
      <c r="L97" s="465"/>
      <c r="M97" s="465"/>
      <c r="N97" s="465"/>
      <c r="O97" s="163"/>
      <c r="P97" s="163"/>
    </row>
    <row r="98" spans="1:16" ht="18.75">
      <c r="A98" s="170"/>
      <c r="B98" s="171"/>
      <c r="C98" s="171"/>
      <c r="D98" s="415" t="s">
        <v>47</v>
      </c>
      <c r="E98" s="415"/>
      <c r="F98" s="342"/>
      <c r="G98" s="179"/>
      <c r="H98" s="589" t="s">
        <v>46</v>
      </c>
      <c r="I98" s="269">
        <f ca="1">IFERROR(__xludf.DUMMYFUNCTION("IMPORTRANGE(""https://docs.google.com/spreadsheets/d/1QqKyyYR6Q21VydFLVH3TRQUabQu_ym0Zz7PgGX0-kHA/edit?usp=sharing"",""แผน!K29"")"),30)</f>
        <v>30</v>
      </c>
      <c r="J98" s="269">
        <f>J102</f>
        <v>0</v>
      </c>
      <c r="K98" s="465">
        <f t="shared" ref="K98:K100" ca="1" si="55">IF(I98&gt;0,J98*100/I98,0)</f>
        <v>0</v>
      </c>
      <c r="L98" s="465"/>
      <c r="M98" s="465"/>
      <c r="N98" s="465"/>
      <c r="O98" s="163"/>
      <c r="P98" s="163"/>
    </row>
    <row r="99" spans="1:16" ht="18.75">
      <c r="A99" s="170"/>
      <c r="B99" s="171"/>
      <c r="C99" s="171"/>
      <c r="D99" s="415" t="s">
        <v>48</v>
      </c>
      <c r="E99" s="415"/>
      <c r="F99" s="342"/>
      <c r="G99" s="179"/>
      <c r="H99" s="589" t="s">
        <v>35</v>
      </c>
      <c r="I99" s="269">
        <f ca="1">IFERROR(__xludf.DUMMYFUNCTION("IMPORTRANGE(""https://docs.google.com/spreadsheets/d/1QqKyyYR6Q21VydFLVH3TRQUabQu_ym0Zz7PgGX0-kHA/edit?usp=sharing"",""แผน!L29"")"),10)</f>
        <v>10</v>
      </c>
      <c r="J99" s="269">
        <f>J104</f>
        <v>0</v>
      </c>
      <c r="K99" s="465">
        <f t="shared" ca="1" si="55"/>
        <v>0</v>
      </c>
      <c r="L99" s="465"/>
      <c r="M99" s="465"/>
      <c r="N99" s="465"/>
      <c r="O99" s="163"/>
      <c r="P99" s="163"/>
    </row>
    <row r="100" spans="1:16" ht="18.75">
      <c r="A100" s="170"/>
      <c r="B100" s="171"/>
      <c r="C100" s="171"/>
      <c r="D100" s="171"/>
      <c r="E100" s="342"/>
      <c r="F100" s="342"/>
      <c r="G100" s="179"/>
      <c r="H100" s="589" t="s">
        <v>49</v>
      </c>
      <c r="I100" s="269">
        <f ca="1">IFERROR(__xludf.DUMMYFUNCTION("IMPORTRANGE(""https://docs.google.com/spreadsheets/d/1QqKyyYR6Q21VydFLVH3TRQUabQu_ym0Zz7PgGX0-kHA/edit?usp=sharing"",""แผน!M29"")"),2)</f>
        <v>2</v>
      </c>
      <c r="J100" s="269">
        <f>J107+J110</f>
        <v>0</v>
      </c>
      <c r="K100" s="465">
        <f t="shared" ca="1" si="55"/>
        <v>0</v>
      </c>
      <c r="L100" s="465"/>
      <c r="M100" s="465"/>
      <c r="N100" s="465"/>
      <c r="O100" s="163"/>
      <c r="P100" s="163"/>
    </row>
    <row r="101" spans="1:16" ht="19.5">
      <c r="A101" s="170"/>
      <c r="B101" s="171"/>
      <c r="C101" s="171"/>
      <c r="D101" s="342"/>
      <c r="E101" s="191" t="s">
        <v>50</v>
      </c>
      <c r="F101" s="342"/>
      <c r="G101" s="179"/>
      <c r="H101" s="589"/>
      <c r="I101" s="269"/>
      <c r="J101" s="269"/>
      <c r="K101" s="465"/>
      <c r="L101" s="465"/>
      <c r="M101" s="465"/>
      <c r="N101" s="465"/>
      <c r="O101" s="163"/>
      <c r="P101" s="163"/>
    </row>
    <row r="102" spans="1:16" ht="18.75">
      <c r="A102" s="170"/>
      <c r="B102" s="171"/>
      <c r="C102" s="171"/>
      <c r="D102" s="342"/>
      <c r="E102" s="592" t="s">
        <v>47</v>
      </c>
      <c r="F102" s="342"/>
      <c r="G102" s="179"/>
      <c r="H102" s="589" t="s">
        <v>46</v>
      </c>
      <c r="I102" s="269">
        <f ca="1">IFERROR(__xludf.DUMMYFUNCTION("IMPORTRANGE(""https://docs.google.com/spreadsheets/d/1QqKyyYR6Q21VydFLVH3TRQUabQu_ym0Zz7PgGX0-kHA/edit?usp=sharing"",""แผน!N29"")"),30)</f>
        <v>30</v>
      </c>
      <c r="J102" s="214">
        <v>0</v>
      </c>
      <c r="K102" s="465">
        <f t="shared" ref="K102:K104" ca="1" si="56">IF(I102&gt;0,J102*100/I102,0)</f>
        <v>0</v>
      </c>
      <c r="L102" s="465"/>
      <c r="M102" s="465"/>
      <c r="N102" s="465"/>
      <c r="O102" s="163"/>
      <c r="P102" s="163"/>
    </row>
    <row r="103" spans="1:16" ht="19.5">
      <c r="A103" s="170"/>
      <c r="B103" s="171"/>
      <c r="C103" s="171"/>
      <c r="D103" s="342"/>
      <c r="E103" s="415" t="s">
        <v>51</v>
      </c>
      <c r="F103" s="342"/>
      <c r="G103" s="179"/>
      <c r="H103" s="589" t="s">
        <v>35</v>
      </c>
      <c r="I103" s="269">
        <f ca="1">IFERROR(__xludf.DUMMYFUNCTION("IMPORTRANGE(""https://docs.google.com/spreadsheets/d/1QqKyyYR6Q21VydFLVH3TRQUabQu_ym0Zz7PgGX0-kHA/edit?usp=sharing"",""แผน!O29"")"),10)</f>
        <v>10</v>
      </c>
      <c r="J103" s="214">
        <v>0</v>
      </c>
      <c r="K103" s="465">
        <f t="shared" ca="1" si="56"/>
        <v>0</v>
      </c>
      <c r="L103" s="465"/>
      <c r="M103" s="465"/>
      <c r="N103" s="465"/>
      <c r="O103" s="163"/>
      <c r="P103" s="163"/>
    </row>
    <row r="104" spans="1:16" ht="18.75">
      <c r="A104" s="170"/>
      <c r="B104" s="171"/>
      <c r="C104" s="171"/>
      <c r="D104" s="342"/>
      <c r="E104" s="188" t="s">
        <v>52</v>
      </c>
      <c r="F104" s="342"/>
      <c r="G104" s="179"/>
      <c r="H104" s="589" t="s">
        <v>35</v>
      </c>
      <c r="I104" s="269">
        <f ca="1">IFERROR(__xludf.DUMMYFUNCTION("IMPORTRANGE(""https://docs.google.com/spreadsheets/d/1QqKyyYR6Q21VydFLVH3TRQUabQu_ym0Zz7PgGX0-kHA/edit?usp=sharing"",""แผน!O29"")"),10)</f>
        <v>10</v>
      </c>
      <c r="J104" s="214">
        <v>0</v>
      </c>
      <c r="K104" s="465">
        <f t="shared" ca="1" si="56"/>
        <v>0</v>
      </c>
      <c r="L104" s="465"/>
      <c r="M104" s="465"/>
      <c r="N104" s="465"/>
      <c r="O104" s="163"/>
      <c r="P104" s="163"/>
    </row>
    <row r="105" spans="1:16" ht="19.5">
      <c r="A105" s="170"/>
      <c r="B105" s="171"/>
      <c r="C105" s="171"/>
      <c r="D105" s="342"/>
      <c r="E105" s="191" t="s">
        <v>53</v>
      </c>
      <c r="F105" s="342"/>
      <c r="G105" s="179"/>
      <c r="H105" s="189"/>
      <c r="I105" s="269"/>
      <c r="J105" s="269"/>
      <c r="K105" s="465"/>
      <c r="L105" s="465"/>
      <c r="M105" s="465"/>
      <c r="N105" s="465"/>
      <c r="O105" s="163"/>
      <c r="P105" s="163"/>
    </row>
    <row r="106" spans="1:16" ht="19.5">
      <c r="A106" s="170"/>
      <c r="B106" s="171"/>
      <c r="C106" s="171"/>
      <c r="D106" s="342"/>
      <c r="E106" s="415" t="s">
        <v>54</v>
      </c>
      <c r="F106" s="342"/>
      <c r="G106" s="179"/>
      <c r="H106" s="589" t="s">
        <v>49</v>
      </c>
      <c r="I106" s="269">
        <f ca="1">IFERROR(__xludf.DUMMYFUNCTION("IMPORTRANGE(""https://docs.google.com/spreadsheets/d/1QqKyyYR6Q21VydFLVH3TRQUabQu_ym0Zz7PgGX0-kHA/edit?usp=sharing"",""แผน!P29"")"),1)</f>
        <v>1</v>
      </c>
      <c r="J106" s="214">
        <v>0</v>
      </c>
      <c r="K106" s="465">
        <f t="shared" ref="K106:K107" ca="1" si="57">IF(I106&gt;0,J106*100/I106,0)</f>
        <v>0</v>
      </c>
      <c r="L106" s="465"/>
      <c r="M106" s="465"/>
      <c r="N106" s="465"/>
      <c r="O106" s="163"/>
      <c r="P106" s="163"/>
    </row>
    <row r="107" spans="1:16" ht="18.75">
      <c r="A107" s="170"/>
      <c r="B107" s="171"/>
      <c r="C107" s="171"/>
      <c r="D107" s="342"/>
      <c r="E107" s="188" t="s">
        <v>55</v>
      </c>
      <c r="F107" s="342"/>
      <c r="G107" s="179"/>
      <c r="H107" s="589" t="s">
        <v>49</v>
      </c>
      <c r="I107" s="269">
        <f ca="1">IFERROR(__xludf.DUMMYFUNCTION("IMPORTRANGE(""https://docs.google.com/spreadsheets/d/1QqKyyYR6Q21VydFLVH3TRQUabQu_ym0Zz7PgGX0-kHA/edit?usp=sharing"",""แผน!P29"")"),1)</f>
        <v>1</v>
      </c>
      <c r="J107" s="214">
        <v>0</v>
      </c>
      <c r="K107" s="465">
        <f t="shared" ca="1" si="57"/>
        <v>0</v>
      </c>
      <c r="L107" s="465"/>
      <c r="M107" s="465"/>
      <c r="N107" s="465"/>
      <c r="O107" s="163"/>
      <c r="P107" s="163"/>
    </row>
    <row r="108" spans="1:16" ht="19.5">
      <c r="A108" s="170"/>
      <c r="B108" s="171"/>
      <c r="C108" s="171"/>
      <c r="D108" s="342"/>
      <c r="E108" s="191" t="s">
        <v>56</v>
      </c>
      <c r="F108" s="342"/>
      <c r="G108" s="179"/>
      <c r="H108" s="189"/>
      <c r="I108" s="269"/>
      <c r="J108" s="269"/>
      <c r="K108" s="465"/>
      <c r="L108" s="465"/>
      <c r="M108" s="465"/>
      <c r="N108" s="465"/>
      <c r="O108" s="163"/>
      <c r="P108" s="163"/>
    </row>
    <row r="109" spans="1:16" ht="19.5">
      <c r="A109" s="170"/>
      <c r="B109" s="171"/>
      <c r="C109" s="171"/>
      <c r="D109" s="342"/>
      <c r="E109" s="415" t="s">
        <v>57</v>
      </c>
      <c r="F109" s="342"/>
      <c r="G109" s="179"/>
      <c r="H109" s="589" t="s">
        <v>49</v>
      </c>
      <c r="I109" s="269">
        <f ca="1">IFERROR(__xludf.DUMMYFUNCTION("IMPORTRANGE(""https://docs.google.com/spreadsheets/d/1QqKyyYR6Q21VydFLVH3TRQUabQu_ym0Zz7PgGX0-kHA/edit?usp=sharing"",""แผน!Q29"")"),1)</f>
        <v>1</v>
      </c>
      <c r="J109" s="214">
        <v>0</v>
      </c>
      <c r="K109" s="465">
        <f t="shared" ref="K109:K116" ca="1" si="58">IF(I109&gt;0,J109*100/I109,0)</f>
        <v>0</v>
      </c>
      <c r="L109" s="465"/>
      <c r="M109" s="465"/>
      <c r="N109" s="465"/>
      <c r="O109" s="163"/>
      <c r="P109" s="163"/>
    </row>
    <row r="110" spans="1:16" ht="18.75">
      <c r="A110" s="170"/>
      <c r="B110" s="171"/>
      <c r="C110" s="171"/>
      <c r="D110" s="342"/>
      <c r="E110" s="190" t="s">
        <v>58</v>
      </c>
      <c r="F110" s="342"/>
      <c r="G110" s="179"/>
      <c r="H110" s="589" t="s">
        <v>49</v>
      </c>
      <c r="I110" s="269">
        <f ca="1">IFERROR(__xludf.DUMMYFUNCTION("IMPORTRANGE(""https://docs.google.com/spreadsheets/d/1QqKyyYR6Q21VydFLVH3TRQUabQu_ym0Zz7PgGX0-kHA/edit?usp=sharing"",""แผน!Q29"")"),1)</f>
        <v>1</v>
      </c>
      <c r="J110" s="214">
        <v>0</v>
      </c>
      <c r="K110" s="465">
        <f t="shared" ca="1" si="58"/>
        <v>0</v>
      </c>
      <c r="L110" s="465"/>
      <c r="M110" s="465"/>
      <c r="N110" s="465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342"/>
      <c r="G111" s="179"/>
      <c r="H111" s="731" t="s">
        <v>35</v>
      </c>
      <c r="I111" s="193">
        <f ca="1">IFERROR(__xludf.DUMMYFUNCTION("IMPORTRANGE(""https://docs.google.com/spreadsheets/d/1QqKyyYR6Q21VydFLVH3TRQUabQu_ym0Zz7PgGX0-kHA/edit?usp=sharing"",""แผน!R29"")"),10)</f>
        <v>10</v>
      </c>
      <c r="J111" s="647">
        <f>J114</f>
        <v>0</v>
      </c>
      <c r="K111" s="195">
        <f t="shared" ca="1" si="58"/>
        <v>0</v>
      </c>
      <c r="L111" s="465"/>
      <c r="M111" s="465"/>
      <c r="N111" s="465"/>
      <c r="O111" s="163"/>
      <c r="P111" s="163"/>
    </row>
    <row r="112" spans="1:16" ht="19.5">
      <c r="A112" s="170"/>
      <c r="B112" s="171"/>
      <c r="C112" s="171"/>
      <c r="D112" s="171"/>
      <c r="E112" s="342"/>
      <c r="F112" s="342"/>
      <c r="G112" s="179"/>
      <c r="H112" s="196" t="s">
        <v>49</v>
      </c>
      <c r="I112" s="193">
        <f t="shared" ref="I112:J112" ca="1" si="59">I115+I116</f>
        <v>2</v>
      </c>
      <c r="J112" s="647">
        <f t="shared" si="59"/>
        <v>0</v>
      </c>
      <c r="K112" s="195">
        <f t="shared" ca="1" si="58"/>
        <v>0</v>
      </c>
      <c r="L112" s="465"/>
      <c r="M112" s="465"/>
      <c r="N112" s="465"/>
      <c r="O112" s="163"/>
      <c r="P112" s="163"/>
    </row>
    <row r="113" spans="1:26" ht="19.5">
      <c r="A113" s="170"/>
      <c r="B113" s="171"/>
      <c r="C113" s="171"/>
      <c r="D113" s="171"/>
      <c r="E113" s="494" t="s">
        <v>60</v>
      </c>
      <c r="F113" s="342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IFERROR(__xludf.DUMMYFUNCTION("IMPORTRANGE(""https://docs.google.com/spreadsheets/d/1QqKyyYR6Q21VydFLVH3TRQUabQu_ym0Zz7PgGX0-kHA/edit?usp=sharing"",""แผน!R29"")"),10)</f>
        <v>10</v>
      </c>
      <c r="J113" s="214">
        <v>0</v>
      </c>
      <c r="K113" s="465">
        <f t="shared" ca="1" si="58"/>
        <v>0</v>
      </c>
      <c r="L113" s="465"/>
      <c r="M113" s="465"/>
      <c r="N113" s="465"/>
      <c r="O113" s="163"/>
      <c r="P113" s="163"/>
    </row>
    <row r="114" spans="1:26" ht="19.5">
      <c r="A114" s="170"/>
      <c r="B114" s="171"/>
      <c r="C114" s="171"/>
      <c r="D114" s="171"/>
      <c r="E114" s="415" t="s">
        <v>61</v>
      </c>
      <c r="F114" s="342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IFERROR(__xludf.DUMMYFUNCTION("IMPORTRANGE(""https://docs.google.com/spreadsheets/d/1QqKyyYR6Q21VydFLVH3TRQUabQu_ym0Zz7PgGX0-kHA/edit?usp=sharing"",""แผน!R29"")"),10)</f>
        <v>10</v>
      </c>
      <c r="J114" s="214">
        <v>0</v>
      </c>
      <c r="K114" s="465">
        <f t="shared" ca="1" si="58"/>
        <v>0</v>
      </c>
      <c r="L114" s="465"/>
      <c r="M114" s="465"/>
      <c r="N114" s="465"/>
      <c r="O114" s="163"/>
      <c r="P114" s="163"/>
    </row>
    <row r="115" spans="1:26" ht="18.75">
      <c r="A115" s="170"/>
      <c r="B115" s="171"/>
      <c r="C115" s="171"/>
      <c r="D115" s="171"/>
      <c r="E115" s="415" t="s">
        <v>62</v>
      </c>
      <c r="F115" s="342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IFERROR(__xludf.DUMMYFUNCTION("IMPORTRANGE(""https://docs.google.com/spreadsheets/d/1QqKyyYR6Q21VydFLVH3TRQUabQu_ym0Zz7PgGX0-kHA/edit?usp=sharing"",""แผน!S29"")"),1)</f>
        <v>1</v>
      </c>
      <c r="J115" s="214">
        <v>0</v>
      </c>
      <c r="K115" s="465">
        <f t="shared" ca="1" si="58"/>
        <v>0</v>
      </c>
      <c r="L115" s="465"/>
      <c r="M115" s="465"/>
      <c r="N115" s="465"/>
      <c r="O115" s="163"/>
      <c r="P115" s="163"/>
    </row>
    <row r="116" spans="1:26" ht="18.75">
      <c r="A116" s="170"/>
      <c r="B116" s="171"/>
      <c r="C116" s="171"/>
      <c r="D116" s="171"/>
      <c r="E116" s="415" t="s">
        <v>63</v>
      </c>
      <c r="F116" s="342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IFERROR(__xludf.DUMMYFUNCTION("IMPORTRANGE(""https://docs.google.com/spreadsheets/d/1QqKyyYR6Q21VydFLVH3TRQUabQu_ym0Zz7PgGX0-kHA/edit?usp=sharing"",""แผน!T29"")"),1)</f>
        <v>1</v>
      </c>
      <c r="J116" s="214">
        <v>0</v>
      </c>
      <c r="K116" s="465">
        <f t="shared" ca="1" si="58"/>
        <v>0</v>
      </c>
      <c r="L116" s="465"/>
      <c r="M116" s="465"/>
      <c r="N116" s="465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8" t="s">
        <v>65</v>
      </c>
      <c r="C118" s="204"/>
      <c r="D118" s="141"/>
      <c r="E118" s="140"/>
      <c r="F118" s="140"/>
      <c r="G118" s="142"/>
      <c r="H118" s="143"/>
      <c r="I118" s="205"/>
      <c r="J118" s="205"/>
      <c r="K118" s="146"/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17" t="s">
        <v>17</v>
      </c>
      <c r="E119" s="148"/>
      <c r="F119" s="148"/>
      <c r="G119" s="151"/>
      <c r="H119" s="152" t="s">
        <v>12</v>
      </c>
      <c r="I119" s="388"/>
      <c r="J119" s="388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2" t="s">
        <v>18</v>
      </c>
      <c r="F120" s="40"/>
      <c r="G120" s="157"/>
      <c r="H120" s="158" t="s">
        <v>12</v>
      </c>
      <c r="I120" s="583"/>
      <c r="J120" s="583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2" t="s">
        <v>19</v>
      </c>
      <c r="F121" s="40"/>
      <c r="G121" s="157"/>
      <c r="H121" s="158" t="s">
        <v>12</v>
      </c>
      <c r="I121" s="583"/>
      <c r="J121" s="583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1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65">
        <f t="shared" ref="L122:N122" ca="1" si="64">L123+L124</f>
        <v>0</v>
      </c>
      <c r="M122" s="465">
        <f t="shared" ca="1" si="64"/>
        <v>0</v>
      </c>
      <c r="N122" s="465">
        <f t="shared" ca="1" si="64"/>
        <v>0</v>
      </c>
      <c r="O122" s="465">
        <f t="shared" ca="1" si="61"/>
        <v>0</v>
      </c>
      <c r="P122" s="465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2"/>
      <c r="D123" s="40"/>
      <c r="E123" s="222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2"/>
      <c r="D124" s="40"/>
      <c r="E124" s="222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IFERROR(__xludf.DUMMYFUNCTION("IMPORTRANGE(""https://docs.google.com/spreadsheets/d/1MeEWN-I1oV_STSDYn1IFDPWt_1FKiwhDph83XaGc0o0/edit?usp=sharing"",""งบพรบ!BA29"")"),0)</f>
        <v>0</v>
      </c>
      <c r="M124" s="93">
        <f ca="1">IFERROR(__xludf.DUMMYFUNCTION("IMPORTRANGE(""https://docs.google.com/spreadsheets/d/1MeEWN-I1oV_STSDYn1IFDPWt_1FKiwhDph83XaGc0o0/edit?usp=sharing"",""งบพรบ!BF29"")"),0)</f>
        <v>0</v>
      </c>
      <c r="N124" s="93">
        <f ca="1">IFERROR(__xludf.DUMMYFUNCTION("IMPORTRANGE(""https://docs.google.com/spreadsheets/d/1MeEWN-I1oV_STSDYn1IFDPWt_1FKiwhDph83XaGc0o0/edit?usp=sharing"",""งบพรบ!BH29"")"),0)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1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65">
        <f t="shared" ref="L125:N125" ca="1" si="65">L126+L127</f>
        <v>0</v>
      </c>
      <c r="M125" s="465">
        <f t="shared" ca="1" si="65"/>
        <v>0</v>
      </c>
      <c r="N125" s="465">
        <f t="shared" ca="1" si="65"/>
        <v>0</v>
      </c>
      <c r="O125" s="465">
        <f t="shared" ca="1" si="61"/>
        <v>0</v>
      </c>
      <c r="P125" s="465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2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2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IFERROR(__xludf.DUMMYFUNCTION("IMPORTRANGE(""https://docs.google.com/spreadsheets/d/1MeEWN-I1oV_STSDYn1IFDPWt_1FKiwhDph83XaGc0o0/edit?usp=sharing"",""งบพรบ!BD29"")"),0)</f>
        <v>0</v>
      </c>
      <c r="M127" s="93">
        <f ca="1">IFERROR(__xludf.DUMMYFUNCTION("IMPORTRANGE(""https://docs.google.com/spreadsheets/d/1MeEWN-I1oV_STSDYn1IFDPWt_1FKiwhDph83XaGc0o0/edit?usp=sharing"",""งบพรบ!BG29"")"),0)</f>
        <v>0</v>
      </c>
      <c r="N127" s="93">
        <f ca="1">IFERROR(__xludf.DUMMYFUNCTION("IMPORTRANGE(""https://docs.google.com/spreadsheets/d/1MeEWN-I1oV_STSDYn1IFDPWt_1FKiwhDph83XaGc0o0/edit?usp=sharing"",""งบพรบ!BI29"")"),0)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66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8" t="s">
        <v>67</v>
      </c>
      <c r="C129" s="204"/>
      <c r="D129" s="141"/>
      <c r="E129" s="140"/>
      <c r="F129" s="140"/>
      <c r="G129" s="140"/>
      <c r="H129" s="207"/>
      <c r="I129" s="205"/>
      <c r="J129" s="205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8"/>
      <c r="C130" s="209" t="s">
        <v>68</v>
      </c>
      <c r="D130" s="141"/>
      <c r="E130" s="140"/>
      <c r="F130" s="140"/>
      <c r="G130" s="142"/>
      <c r="H130" s="143" t="s">
        <v>69</v>
      </c>
      <c r="I130" s="144">
        <f t="shared" ref="I130:J130" ca="1" si="66">I146</f>
        <v>0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8"/>
      <c r="C131" s="209" t="s">
        <v>70</v>
      </c>
      <c r="D131" s="141"/>
      <c r="E131" s="140"/>
      <c r="F131" s="140"/>
      <c r="G131" s="142"/>
      <c r="H131" s="143" t="s">
        <v>35</v>
      </c>
      <c r="I131" s="144">
        <f t="shared" ref="I131:J131" ca="1" si="68">I143</f>
        <v>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817" t="s">
        <v>17</v>
      </c>
      <c r="E132" s="148"/>
      <c r="F132" s="148"/>
      <c r="G132" s="151"/>
      <c r="H132" s="152" t="s">
        <v>12</v>
      </c>
      <c r="I132" s="388"/>
      <c r="J132" s="388"/>
      <c r="K132" s="154"/>
      <c r="L132" s="155">
        <f t="shared" ref="L132:N132" ca="1" si="69">L133+L134</f>
        <v>0</v>
      </c>
      <c r="M132" s="155">
        <f t="shared" ca="1" si="69"/>
        <v>0</v>
      </c>
      <c r="N132" s="155">
        <f t="shared" ca="1" si="69"/>
        <v>0</v>
      </c>
      <c r="O132" s="155">
        <f t="shared" ref="O132:O140" ca="1" si="70">IF(L132&gt;0,N132*100/L132,0)</f>
        <v>0</v>
      </c>
      <c r="P132" s="155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2" t="s">
        <v>18</v>
      </c>
      <c r="F133" s="40"/>
      <c r="G133" s="157"/>
      <c r="H133" s="158" t="s">
        <v>12</v>
      </c>
      <c r="I133" s="583"/>
      <c r="J133" s="583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2" t="s">
        <v>19</v>
      </c>
      <c r="F134" s="40"/>
      <c r="G134" s="157"/>
      <c r="H134" s="158" t="s">
        <v>12</v>
      </c>
      <c r="I134" s="583"/>
      <c r="J134" s="583"/>
      <c r="K134" s="93"/>
      <c r="L134" s="93">
        <f t="shared" ca="1" si="72"/>
        <v>0</v>
      </c>
      <c r="M134" s="93">
        <f t="shared" ca="1" si="72"/>
        <v>0</v>
      </c>
      <c r="N134" s="93">
        <f t="shared" ca="1" si="72"/>
        <v>0</v>
      </c>
      <c r="O134" s="93">
        <f t="shared" ca="1" si="70"/>
        <v>0</v>
      </c>
      <c r="P134" s="93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1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65">
        <f t="shared" ref="L135:N135" ca="1" si="73">L136+L137</f>
        <v>0</v>
      </c>
      <c r="M135" s="465">
        <f t="shared" ca="1" si="73"/>
        <v>0</v>
      </c>
      <c r="N135" s="465">
        <f t="shared" ca="1" si="73"/>
        <v>0</v>
      </c>
      <c r="O135" s="465">
        <f t="shared" ca="1" si="70"/>
        <v>0</v>
      </c>
      <c r="P135" s="465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2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2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IFERROR(__xludf.DUMMYFUNCTION("IMPORTRANGE(""https://docs.google.com/spreadsheets/d/1MeEWN-I1oV_STSDYn1IFDPWt_1FKiwhDph83XaGc0o0/edit?usp=sharing"",""งบพรบ!BK29"")"),0)</f>
        <v>0</v>
      </c>
      <c r="M137" s="93">
        <f ca="1">IFERROR(__xludf.DUMMYFUNCTION("IMPORTRANGE(""https://docs.google.com/spreadsheets/d/1MeEWN-I1oV_STSDYn1IFDPWt_1FKiwhDph83XaGc0o0/edit?usp=sharing"",""งบพรบ!BP29"")"),0)</f>
        <v>0</v>
      </c>
      <c r="N137" s="93">
        <f ca="1">IFERROR(__xludf.DUMMYFUNCTION("IMPORTRANGE(""https://docs.google.com/spreadsheets/d/1MeEWN-I1oV_STSDYn1IFDPWt_1FKiwhDph83XaGc0o0/edit?usp=sharing"",""งบพรบ!BR29"")"),0)</f>
        <v>0</v>
      </c>
      <c r="O137" s="93">
        <f t="shared" ca="1" si="70"/>
        <v>0</v>
      </c>
      <c r="P137" s="93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1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65">
        <f t="shared" ref="L138:N138" ca="1" si="74">L139+L140</f>
        <v>0</v>
      </c>
      <c r="M138" s="465">
        <f t="shared" ca="1" si="74"/>
        <v>0</v>
      </c>
      <c r="N138" s="465">
        <f t="shared" ca="1" si="74"/>
        <v>0</v>
      </c>
      <c r="O138" s="465">
        <f t="shared" ca="1" si="70"/>
        <v>0</v>
      </c>
      <c r="P138" s="465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2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2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IFERROR(__xludf.DUMMYFUNCTION("IMPORTRANGE(""https://docs.google.com/spreadsheets/d/1MeEWN-I1oV_STSDYn1IFDPWt_1FKiwhDph83XaGc0o0/edit?usp=sharing"",""งบพรบ!BN29"")"),0)</f>
        <v>0</v>
      </c>
      <c r="M140" s="93">
        <f ca="1">IFERROR(__xludf.DUMMYFUNCTION("IMPORTRANGE(""https://docs.google.com/spreadsheets/d/1MeEWN-I1oV_STSDYn1IFDPWt_1FKiwhDph83XaGc0o0/edit?usp=sharing"",""งบพรบ!BQ29"")"),0)</f>
        <v>0</v>
      </c>
      <c r="N140" s="93">
        <f ca="1">IFERROR(__xludf.DUMMYFUNCTION("IMPORTRANGE(""https://docs.google.com/spreadsheets/d/1MeEWN-I1oV_STSDYn1IFDPWt_1FKiwhDph83XaGc0o0/edit?usp=sharing"",""งบพรบ!BS29"")"),0)</f>
        <v>0</v>
      </c>
      <c r="O140" s="93">
        <f t="shared" ca="1" si="70"/>
        <v>0</v>
      </c>
      <c r="P140" s="93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818" t="s">
        <v>38</v>
      </c>
      <c r="E141" s="173"/>
      <c r="F141" s="173"/>
      <c r="G141" s="174"/>
      <c r="H141" s="168"/>
      <c r="I141" s="269"/>
      <c r="J141" s="269"/>
      <c r="K141" s="465"/>
      <c r="L141" s="465"/>
      <c r="M141" s="465"/>
      <c r="N141" s="465"/>
      <c r="O141" s="465"/>
      <c r="P141" s="465"/>
    </row>
    <row r="142" spans="1:26" ht="19.5" hidden="1">
      <c r="A142" s="159"/>
      <c r="B142" s="33"/>
      <c r="C142" s="210"/>
      <c r="D142" s="281" t="s">
        <v>71</v>
      </c>
      <c r="E142" s="34"/>
      <c r="F142" s="33"/>
      <c r="G142" s="213"/>
      <c r="H142" s="168"/>
      <c r="I142" s="269"/>
      <c r="J142" s="214">
        <v>0</v>
      </c>
      <c r="K142" s="465"/>
      <c r="L142" s="465"/>
      <c r="M142" s="465"/>
      <c r="N142" s="465"/>
      <c r="O142" s="465"/>
      <c r="P142" s="465"/>
    </row>
    <row r="143" spans="1:26" ht="19.5" hidden="1">
      <c r="A143" s="159"/>
      <c r="B143" s="33"/>
      <c r="C143" s="210"/>
      <c r="D143" s="281" t="s">
        <v>72</v>
      </c>
      <c r="E143" s="34"/>
      <c r="F143" s="33"/>
      <c r="G143" s="213"/>
      <c r="H143" s="168" t="s">
        <v>35</v>
      </c>
      <c r="I143" s="269">
        <f ca="1">I145</f>
        <v>0</v>
      </c>
      <c r="J143" s="269">
        <f ca="1">IF(AND(J144&gt;=I144,J145&gt;=I145),J145,0)</f>
        <v>0</v>
      </c>
      <c r="K143" s="465">
        <f t="shared" ref="K143:K146" ca="1" si="75">IF(I143&gt;0,J143*100/I143,0)</f>
        <v>0</v>
      </c>
      <c r="L143" s="465"/>
      <c r="M143" s="465"/>
      <c r="N143" s="465"/>
      <c r="O143" s="465"/>
      <c r="P143" s="465"/>
    </row>
    <row r="144" spans="1:26" ht="19.5" hidden="1">
      <c r="A144" s="159"/>
      <c r="B144" s="33"/>
      <c r="C144" s="210"/>
      <c r="D144" s="342"/>
      <c r="E144" s="281" t="s">
        <v>73</v>
      </c>
      <c r="F144" s="33"/>
      <c r="G144" s="213"/>
      <c r="H144" s="168" t="s">
        <v>35</v>
      </c>
      <c r="I144" s="269">
        <f ca="1">IFERROR(__xludf.DUMMYFUNCTION("IMPORTRANGE(""https://docs.google.com/spreadsheets/d/1QqKyyYR6Q21VydFLVH3TRQUabQu_ym0Zz7PgGX0-kHA/edit?usp=sharing"",""แผน!U29"")"),0)</f>
        <v>0</v>
      </c>
      <c r="J144" s="214">
        <v>0</v>
      </c>
      <c r="K144" s="465">
        <f t="shared" ca="1" si="75"/>
        <v>0</v>
      </c>
      <c r="L144" s="465"/>
      <c r="M144" s="465"/>
      <c r="N144" s="465"/>
      <c r="O144" s="465"/>
      <c r="P144" s="465"/>
    </row>
    <row r="145" spans="1:26" ht="19.5" hidden="1">
      <c r="A145" s="159"/>
      <c r="B145" s="33"/>
      <c r="C145" s="210"/>
      <c r="D145" s="342"/>
      <c r="E145" s="281" t="s">
        <v>74</v>
      </c>
      <c r="F145" s="33"/>
      <c r="G145" s="213"/>
      <c r="H145" s="168" t="s">
        <v>35</v>
      </c>
      <c r="I145" s="269">
        <f ca="1">IFERROR(__xludf.DUMMYFUNCTION("IMPORTRANGE(""https://docs.google.com/spreadsheets/d/1QqKyyYR6Q21VydFLVH3TRQUabQu_ym0Zz7PgGX0-kHA/edit?usp=sharing"",""แผน!V29"")"),0)</f>
        <v>0</v>
      </c>
      <c r="J145" s="214">
        <v>0</v>
      </c>
      <c r="K145" s="465">
        <f t="shared" ca="1" si="75"/>
        <v>0</v>
      </c>
      <c r="L145" s="465"/>
      <c r="M145" s="465"/>
      <c r="N145" s="465"/>
      <c r="O145" s="465"/>
      <c r="P145" s="465"/>
    </row>
    <row r="146" spans="1:26" ht="19.5" hidden="1">
      <c r="A146" s="159"/>
      <c r="B146" s="33"/>
      <c r="C146" s="210"/>
      <c r="D146" s="281" t="s">
        <v>75</v>
      </c>
      <c r="E146" s="34"/>
      <c r="F146" s="33"/>
      <c r="G146" s="213"/>
      <c r="H146" s="168" t="s">
        <v>69</v>
      </c>
      <c r="I146" s="269">
        <f ca="1">IFERROR(__xludf.DUMMYFUNCTION("IMPORTRANGE(""https://docs.google.com/spreadsheets/d/1QqKyyYR6Q21VydFLVH3TRQUabQu_ym0Zz7PgGX0-kHA/edit?usp=sharing"",""แผน!W29"")"),0)</f>
        <v>0</v>
      </c>
      <c r="J146" s="214">
        <v>0</v>
      </c>
      <c r="K146" s="465">
        <f t="shared" ca="1" si="75"/>
        <v>0</v>
      </c>
      <c r="L146" s="465"/>
      <c r="M146" s="465"/>
      <c r="N146" s="465"/>
      <c r="O146" s="465"/>
      <c r="P146" s="465"/>
    </row>
    <row r="147" spans="1:26" ht="19.5" hidden="1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 hidden="1">
      <c r="A148" s="216"/>
      <c r="B148" s="208" t="s">
        <v>77</v>
      </c>
      <c r="C148" s="208"/>
      <c r="D148" s="208"/>
      <c r="E148" s="819"/>
      <c r="F148" s="218"/>
      <c r="G148" s="219"/>
      <c r="H148" s="220" t="s">
        <v>35</v>
      </c>
      <c r="I148" s="144">
        <f t="shared" ref="I148:J148" ca="1" si="76">I159</f>
        <v>0</v>
      </c>
      <c r="J148" s="144">
        <f t="shared" si="76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1"/>
      <c r="R148" s="221"/>
      <c r="S148" s="221"/>
      <c r="T148" s="221"/>
      <c r="U148" s="221"/>
      <c r="V148" s="221"/>
      <c r="W148" s="221"/>
      <c r="X148" s="221"/>
      <c r="Y148" s="221"/>
      <c r="Z148" s="221"/>
    </row>
    <row r="149" spans="1:26" ht="19.5" hidden="1">
      <c r="A149" s="147"/>
      <c r="B149" s="148"/>
      <c r="C149" s="149" t="s">
        <v>16</v>
      </c>
      <c r="D149" s="817" t="s">
        <v>17</v>
      </c>
      <c r="E149" s="148"/>
      <c r="F149" s="148"/>
      <c r="G149" s="151"/>
      <c r="H149" s="152" t="s">
        <v>12</v>
      </c>
      <c r="I149" s="388"/>
      <c r="J149" s="388"/>
      <c r="K149" s="154"/>
      <c r="L149" s="155">
        <f t="shared" ref="L149:N149" ca="1" si="77">L150+L151</f>
        <v>0</v>
      </c>
      <c r="M149" s="155">
        <f t="shared" ca="1" si="77"/>
        <v>0</v>
      </c>
      <c r="N149" s="155">
        <f t="shared" ca="1" si="77"/>
        <v>0</v>
      </c>
      <c r="O149" s="155">
        <f t="shared" ref="O149:O157" ca="1" si="78">IF(L149&gt;0,N149*100/L149,0)</f>
        <v>0</v>
      </c>
      <c r="P149" s="155">
        <f t="shared" ref="P149:P157" ca="1" si="79">IF(M149&gt;0,N149*100/M149,0)</f>
        <v>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2" t="s">
        <v>18</v>
      </c>
      <c r="F150" s="40"/>
      <c r="G150" s="157"/>
      <c r="H150" s="158" t="s">
        <v>12</v>
      </c>
      <c r="I150" s="583"/>
      <c r="J150" s="583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2" t="s">
        <v>19</v>
      </c>
      <c r="F151" s="40"/>
      <c r="G151" s="157"/>
      <c r="H151" s="158" t="s">
        <v>12</v>
      </c>
      <c r="I151" s="583"/>
      <c r="J151" s="583"/>
      <c r="K151" s="93"/>
      <c r="L151" s="93">
        <f t="shared" ca="1" si="80"/>
        <v>0</v>
      </c>
      <c r="M151" s="93">
        <f t="shared" ca="1" si="80"/>
        <v>0</v>
      </c>
      <c r="N151" s="93">
        <f t="shared" ca="1" si="80"/>
        <v>0</v>
      </c>
      <c r="O151" s="93">
        <f t="shared" ca="1" si="78"/>
        <v>0</v>
      </c>
      <c r="P151" s="93">
        <f t="shared" ca="1" si="79"/>
        <v>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 hidden="1">
      <c r="A152" s="159"/>
      <c r="B152" s="33"/>
      <c r="C152" s="281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65">
        <f t="shared" ref="L152:N152" ca="1" si="81">L153+L154</f>
        <v>0</v>
      </c>
      <c r="M152" s="465">
        <f t="shared" ca="1" si="81"/>
        <v>0</v>
      </c>
      <c r="N152" s="465">
        <f t="shared" ca="1" si="81"/>
        <v>0</v>
      </c>
      <c r="O152" s="465">
        <f t="shared" ca="1" si="78"/>
        <v>0</v>
      </c>
      <c r="P152" s="465">
        <f t="shared" ca="1" si="79"/>
        <v>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2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2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IFERROR(__xludf.DUMMYFUNCTION("IMPORTRANGE(""https://docs.google.com/spreadsheets/d/1MeEWN-I1oV_STSDYn1IFDPWt_1FKiwhDph83XaGc0o0/edit?usp=sharing"",""งบพรบ!BU29"")"),0)</f>
        <v>0</v>
      </c>
      <c r="M154" s="93">
        <f ca="1">IFERROR(__xludf.DUMMYFUNCTION("IMPORTRANGE(""https://docs.google.com/spreadsheets/d/1MeEWN-I1oV_STSDYn1IFDPWt_1FKiwhDph83XaGc0o0/edit?usp=sharing"",""งบพรบ!BZ29"")"),0)</f>
        <v>0</v>
      </c>
      <c r="N154" s="93">
        <f ca="1">IFERROR(__xludf.DUMMYFUNCTION("IMPORTRANGE(""https://docs.google.com/spreadsheets/d/1MeEWN-I1oV_STSDYn1IFDPWt_1FKiwhDph83XaGc0o0/edit?usp=sharing"",""งบพรบ!CB29"")"),0)</f>
        <v>0</v>
      </c>
      <c r="O154" s="93">
        <f t="shared" ca="1" si="78"/>
        <v>0</v>
      </c>
      <c r="P154" s="93">
        <f t="shared" ca="1" si="79"/>
        <v>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 hidden="1">
      <c r="A155" s="159"/>
      <c r="B155" s="33"/>
      <c r="C155" s="281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65">
        <f t="shared" ref="L155:N155" ca="1" si="82">L156+L157</f>
        <v>0</v>
      </c>
      <c r="M155" s="465">
        <f t="shared" ca="1" si="82"/>
        <v>0</v>
      </c>
      <c r="N155" s="465">
        <f t="shared" ca="1" si="82"/>
        <v>0</v>
      </c>
      <c r="O155" s="465">
        <f t="shared" ca="1" si="78"/>
        <v>0</v>
      </c>
      <c r="P155" s="465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2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2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IFERROR(__xludf.DUMMYFUNCTION("IMPORTRANGE(""https://docs.google.com/spreadsheets/d/1MeEWN-I1oV_STSDYn1IFDPWt_1FKiwhDph83XaGc0o0/edit?usp=sharing"",""งบพรบ!BX29"")"),0)</f>
        <v>0</v>
      </c>
      <c r="M157" s="93">
        <f ca="1">IFERROR(__xludf.DUMMYFUNCTION("IMPORTRANGE(""https://docs.google.com/spreadsheets/d/1MeEWN-I1oV_STSDYn1IFDPWt_1FKiwhDph83XaGc0o0/edit?usp=sharing"",""งบพรบ!CA29"")"),0)</f>
        <v>0</v>
      </c>
      <c r="N157" s="93">
        <f ca="1">IFERROR(__xludf.DUMMYFUNCTION("IMPORTRANGE(""https://docs.google.com/spreadsheets/d/1MeEWN-I1oV_STSDYn1IFDPWt_1FKiwhDph83XaGc0o0/edit?usp=sharing"",""งบพรบ!CC29"")"),0)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 hidden="1">
      <c r="A158" s="170"/>
      <c r="B158" s="171"/>
      <c r="C158" s="164" t="s">
        <v>16</v>
      </c>
      <c r="D158" s="818" t="s">
        <v>38</v>
      </c>
      <c r="E158" s="173"/>
      <c r="F158" s="173"/>
      <c r="G158" s="174"/>
      <c r="H158" s="168"/>
      <c r="I158" s="269"/>
      <c r="J158" s="269"/>
      <c r="K158" s="465"/>
      <c r="L158" s="465"/>
      <c r="M158" s="465"/>
      <c r="N158" s="465"/>
      <c r="O158" s="465"/>
      <c r="P158" s="465"/>
    </row>
    <row r="159" spans="1:26" ht="19.5" hidden="1">
      <c r="A159" s="159"/>
      <c r="B159" s="33"/>
      <c r="C159" s="210"/>
      <c r="D159" s="281" t="s">
        <v>78</v>
      </c>
      <c r="E159" s="34"/>
      <c r="F159" s="33"/>
      <c r="G159" s="213"/>
      <c r="H159" s="168" t="s">
        <v>35</v>
      </c>
      <c r="I159" s="269">
        <f ca="1">IFERROR(__xludf.DUMMYFUNCTION("IMPORTRANGE(""https://docs.google.com/spreadsheets/d/1QqKyyYR6Q21VydFLVH3TRQUabQu_ym0Zz7PgGX0-kHA/edit?usp=sharing"",""แผน!X29"")"),0)</f>
        <v>0</v>
      </c>
      <c r="J159" s="214">
        <v>0</v>
      </c>
      <c r="K159" s="465">
        <f ca="1">IF(I159&gt;0,J159*100/I159,0)</f>
        <v>0</v>
      </c>
      <c r="L159" s="465"/>
      <c r="M159" s="465"/>
      <c r="N159" s="465"/>
      <c r="O159" s="465"/>
      <c r="P159" s="465"/>
    </row>
    <row r="160" spans="1:26" ht="19.5" hidden="1">
      <c r="A160" s="156"/>
      <c r="B160" s="40"/>
      <c r="C160" s="164"/>
      <c r="D160" s="222" t="s">
        <v>79</v>
      </c>
      <c r="E160" s="223"/>
      <c r="F160" s="40"/>
      <c r="G160" s="157"/>
      <c r="H160" s="169" t="s">
        <v>35</v>
      </c>
      <c r="I160" s="583"/>
      <c r="J160" s="583"/>
      <c r="K160" s="93"/>
      <c r="L160" s="93"/>
      <c r="M160" s="93"/>
      <c r="N160" s="93"/>
      <c r="O160" s="93"/>
      <c r="P160" s="93"/>
      <c r="Q160" s="224"/>
      <c r="R160" s="224"/>
      <c r="S160" s="224"/>
      <c r="T160" s="224"/>
      <c r="U160" s="224"/>
      <c r="V160" s="224"/>
      <c r="W160" s="224"/>
      <c r="X160" s="224"/>
      <c r="Y160" s="224"/>
      <c r="Z160" s="224"/>
    </row>
    <row r="161" spans="1:26" ht="19.5" hidden="1">
      <c r="A161" s="225"/>
      <c r="B161" s="226"/>
      <c r="C161" s="227"/>
      <c r="D161" s="228" t="s">
        <v>80</v>
      </c>
      <c r="E161" s="820"/>
      <c r="F161" s="226"/>
      <c r="G161" s="230"/>
      <c r="H161" s="231" t="s">
        <v>35</v>
      </c>
      <c r="I161" s="232"/>
      <c r="J161" s="232"/>
      <c r="K161" s="233"/>
      <c r="L161" s="233"/>
      <c r="M161" s="233"/>
      <c r="N161" s="233"/>
      <c r="O161" s="233"/>
      <c r="P161" s="233"/>
      <c r="Q161" s="224"/>
      <c r="R161" s="224"/>
      <c r="S161" s="224"/>
      <c r="T161" s="224"/>
      <c r="U161" s="224"/>
      <c r="V161" s="224"/>
      <c r="W161" s="224"/>
      <c r="X161" s="224"/>
      <c r="Y161" s="224"/>
      <c r="Z161" s="224"/>
    </row>
    <row r="162" spans="1:26" ht="19.5">
      <c r="A162" s="234" t="s">
        <v>81</v>
      </c>
      <c r="B162" s="235"/>
      <c r="C162" s="235"/>
      <c r="D162" s="235"/>
      <c r="E162" s="236"/>
      <c r="F162" s="236"/>
      <c r="G162" s="237"/>
      <c r="H162" s="238"/>
      <c r="I162" s="239"/>
      <c r="J162" s="239"/>
      <c r="K162" s="240"/>
      <c r="L162" s="240"/>
      <c r="M162" s="240"/>
      <c r="N162" s="240"/>
      <c r="O162" s="240"/>
      <c r="P162" s="240"/>
    </row>
    <row r="163" spans="1:26" ht="19.5">
      <c r="A163" s="241" t="s">
        <v>82</v>
      </c>
      <c r="B163" s="242"/>
      <c r="C163" s="242"/>
      <c r="D163" s="243"/>
      <c r="E163" s="243"/>
      <c r="F163" s="243"/>
      <c r="G163" s="244"/>
      <c r="H163" s="245"/>
      <c r="I163" s="246"/>
      <c r="J163" s="246"/>
      <c r="K163" s="247"/>
      <c r="L163" s="247"/>
      <c r="M163" s="247"/>
      <c r="N163" s="247"/>
      <c r="O163" s="247"/>
      <c r="P163" s="247"/>
    </row>
    <row r="164" spans="1:26" ht="19.5">
      <c r="A164" s="248"/>
      <c r="B164" s="249" t="s">
        <v>83</v>
      </c>
      <c r="C164" s="250"/>
      <c r="D164" s="173"/>
      <c r="E164" s="173"/>
      <c r="F164" s="173"/>
      <c r="G164" s="174"/>
      <c r="H164" s="251" t="s">
        <v>35</v>
      </c>
      <c r="I164" s="252">
        <f t="shared" ref="I164:J164" ca="1" si="83">I174+I177</f>
        <v>11</v>
      </c>
      <c r="J164" s="252">
        <f t="shared" si="83"/>
        <v>11</v>
      </c>
      <c r="K164" s="253">
        <f ca="1">IF(I164&gt;0,J164*100/I164,0)</f>
        <v>100</v>
      </c>
      <c r="L164" s="254"/>
      <c r="M164" s="254"/>
      <c r="N164" s="254"/>
      <c r="O164" s="254"/>
      <c r="P164" s="254"/>
    </row>
    <row r="165" spans="1:26" ht="19.5">
      <c r="A165" s="147"/>
      <c r="B165" s="148"/>
      <c r="C165" s="149" t="s">
        <v>16</v>
      </c>
      <c r="D165" s="817" t="s">
        <v>17</v>
      </c>
      <c r="E165" s="148"/>
      <c r="F165" s="148"/>
      <c r="G165" s="151"/>
      <c r="H165" s="152" t="s">
        <v>12</v>
      </c>
      <c r="I165" s="388"/>
      <c r="J165" s="388"/>
      <c r="K165" s="154"/>
      <c r="L165" s="155">
        <f t="shared" ref="L165:N165" ca="1" si="84">L166+L167</f>
        <v>22055</v>
      </c>
      <c r="M165" s="155">
        <f t="shared" ca="1" si="84"/>
        <v>22055</v>
      </c>
      <c r="N165" s="155">
        <f t="shared" ca="1" si="84"/>
        <v>16280</v>
      </c>
      <c r="O165" s="155">
        <f t="shared" ref="O165:O173" ca="1" si="85">IF(L165&gt;0,N165*100/L165,0)</f>
        <v>73.815461346633413</v>
      </c>
      <c r="P165" s="155">
        <f t="shared" ref="P165:P173" ca="1" si="86">IF(M165&gt;0,N165*100/M165,0)</f>
        <v>73.815461346633413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2" t="s">
        <v>18</v>
      </c>
      <c r="F166" s="40"/>
      <c r="G166" s="157"/>
      <c r="H166" s="158" t="s">
        <v>12</v>
      </c>
      <c r="I166" s="583"/>
      <c r="J166" s="583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2" t="s">
        <v>19</v>
      </c>
      <c r="F167" s="40"/>
      <c r="G167" s="157"/>
      <c r="H167" s="158" t="s">
        <v>12</v>
      </c>
      <c r="I167" s="583"/>
      <c r="J167" s="583"/>
      <c r="K167" s="93"/>
      <c r="L167" s="93">
        <f t="shared" ca="1" si="87"/>
        <v>22055</v>
      </c>
      <c r="M167" s="93">
        <f t="shared" ca="1" si="87"/>
        <v>22055</v>
      </c>
      <c r="N167" s="93">
        <f t="shared" ca="1" si="87"/>
        <v>16280</v>
      </c>
      <c r="O167" s="93">
        <f t="shared" ca="1" si="85"/>
        <v>73.815461346633413</v>
      </c>
      <c r="P167" s="93">
        <f t="shared" ca="1" si="86"/>
        <v>73.815461346633413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1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65">
        <f t="shared" ref="L168:N168" ca="1" si="88">L169+L170</f>
        <v>22055</v>
      </c>
      <c r="M168" s="465">
        <f t="shared" ca="1" si="88"/>
        <v>22055</v>
      </c>
      <c r="N168" s="465">
        <f t="shared" ca="1" si="88"/>
        <v>16280</v>
      </c>
      <c r="O168" s="465">
        <f t="shared" ca="1" si="85"/>
        <v>73.815461346633413</v>
      </c>
      <c r="P168" s="465">
        <f t="shared" ca="1" si="86"/>
        <v>73.815461346633413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2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2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IFERROR(__xludf.DUMMYFUNCTION("IMPORTRANGE(""https://docs.google.com/spreadsheets/d/1MeEWN-I1oV_STSDYn1IFDPWt_1FKiwhDph83XaGc0o0/edit?usp=sharing"",""งบพรบ!CE29"")"),22055)</f>
        <v>22055</v>
      </c>
      <c r="M170" s="93">
        <f ca="1">IFERROR(__xludf.DUMMYFUNCTION("IMPORTRANGE(""https://docs.google.com/spreadsheets/d/1MeEWN-I1oV_STSDYn1IFDPWt_1FKiwhDph83XaGc0o0/edit?usp=sharing"",""งบพรบ!CJ29"")"),22055)</f>
        <v>22055</v>
      </c>
      <c r="N170" s="93">
        <f ca="1">IFERROR(__xludf.DUMMYFUNCTION("IMPORTRANGE(""https://docs.google.com/spreadsheets/d/1MeEWN-I1oV_STSDYn1IFDPWt_1FKiwhDph83XaGc0o0/edit?usp=sharing"",""งบพรบ!CL29"")"),16280)</f>
        <v>16280</v>
      </c>
      <c r="O170" s="93">
        <f t="shared" ca="1" si="85"/>
        <v>73.815461346633413</v>
      </c>
      <c r="P170" s="93">
        <f t="shared" ca="1" si="86"/>
        <v>73.815461346633413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1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65">
        <f t="shared" ref="L171:N171" ca="1" si="89">L172+L173</f>
        <v>0</v>
      </c>
      <c r="M171" s="465">
        <f t="shared" ca="1" si="89"/>
        <v>0</v>
      </c>
      <c r="N171" s="465">
        <f t="shared" ca="1" si="89"/>
        <v>0</v>
      </c>
      <c r="O171" s="465">
        <f t="shared" ca="1" si="85"/>
        <v>0</v>
      </c>
      <c r="P171" s="465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2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2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IFERROR(__xludf.DUMMYFUNCTION("IMPORTRANGE(""https://docs.google.com/spreadsheets/d/1MeEWN-I1oV_STSDYn1IFDPWt_1FKiwhDph83XaGc0o0/edit?usp=sharing"",""งบพรบ!CH29"")"),0)</f>
        <v>0</v>
      </c>
      <c r="M173" s="93">
        <f ca="1">IFERROR(__xludf.DUMMYFUNCTION("IMPORTRANGE(""https://docs.google.com/spreadsheets/d/1MeEWN-I1oV_STSDYn1IFDPWt_1FKiwhDph83XaGc0o0/edit?usp=sharing"",""งบพรบ!CK29"")"),0)</f>
        <v>0</v>
      </c>
      <c r="N173" s="93">
        <f ca="1">IFERROR(__xludf.DUMMYFUNCTION("IMPORTRANGE(""https://docs.google.com/spreadsheets/d/1MeEWN-I1oV_STSDYn1IFDPWt_1FKiwhDph83XaGc0o0/edit?usp=sharing"",""งบพรบ!CM29"")"),0)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5"/>
      <c r="B174" s="256"/>
      <c r="C174" s="257" t="s">
        <v>84</v>
      </c>
      <c r="D174" s="256"/>
      <c r="E174" s="256"/>
      <c r="F174" s="256"/>
      <c r="G174" s="258"/>
      <c r="H174" s="259" t="s">
        <v>35</v>
      </c>
      <c r="I174" s="260">
        <f t="shared" ref="I174:J174" ca="1" si="90">I176</f>
        <v>11</v>
      </c>
      <c r="J174" s="260">
        <f t="shared" si="90"/>
        <v>11</v>
      </c>
      <c r="K174" s="261">
        <f ca="1">IF(I174&gt;0,J174*100/I174,0)</f>
        <v>100</v>
      </c>
      <c r="L174" s="261"/>
      <c r="M174" s="261"/>
      <c r="N174" s="261"/>
      <c r="O174" s="261"/>
      <c r="P174" s="261"/>
    </row>
    <row r="175" spans="1:26" ht="19.5">
      <c r="A175" s="170"/>
      <c r="B175" s="171"/>
      <c r="C175" s="164" t="s">
        <v>16</v>
      </c>
      <c r="D175" s="818" t="s">
        <v>38</v>
      </c>
      <c r="E175" s="173"/>
      <c r="F175" s="173"/>
      <c r="G175" s="174"/>
      <c r="H175" s="726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10" t="s">
        <v>85</v>
      </c>
      <c r="E176" s="342"/>
      <c r="F176" s="342"/>
      <c r="G176" s="179"/>
      <c r="H176" s="589" t="s">
        <v>35</v>
      </c>
      <c r="I176" s="269">
        <f ca="1">IFERROR(__xludf.DUMMYFUNCTION("IMPORTRANGE(""https://docs.google.com/spreadsheets/d/1QqKyyYR6Q21VydFLVH3TRQUabQu_ym0Zz7PgGX0-kHA/edit?usp=sharing"",""แผน!Y29"")"),11)</f>
        <v>11</v>
      </c>
      <c r="J176" s="214">
        <v>11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5"/>
      <c r="B177" s="263"/>
      <c r="C177" s="264" t="s">
        <v>86</v>
      </c>
      <c r="D177" s="263"/>
      <c r="E177" s="256"/>
      <c r="F177" s="256"/>
      <c r="G177" s="258"/>
      <c r="H177" s="265" t="s">
        <v>35</v>
      </c>
      <c r="I177" s="260"/>
      <c r="J177" s="260">
        <f>J179</f>
        <v>0</v>
      </c>
      <c r="K177" s="261"/>
      <c r="L177" s="261"/>
      <c r="M177" s="261"/>
      <c r="N177" s="261"/>
      <c r="O177" s="261"/>
      <c r="P177" s="261"/>
    </row>
    <row r="178" spans="1:26" ht="19.5" hidden="1">
      <c r="A178" s="170"/>
      <c r="B178" s="171"/>
      <c r="C178" s="164" t="s">
        <v>16</v>
      </c>
      <c r="D178" s="266" t="s">
        <v>38</v>
      </c>
      <c r="E178" s="173"/>
      <c r="F178" s="173"/>
      <c r="G178" s="174"/>
      <c r="H178" s="726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267" t="s">
        <v>87</v>
      </c>
      <c r="E179" s="342"/>
      <c r="F179" s="268"/>
      <c r="G179" s="179"/>
      <c r="H179" s="43" t="s">
        <v>35</v>
      </c>
      <c r="I179" s="269"/>
      <c r="J179" s="269"/>
      <c r="K179" s="163"/>
      <c r="L179" s="163"/>
      <c r="M179" s="163"/>
      <c r="N179" s="163"/>
      <c r="O179" s="163"/>
      <c r="P179" s="163"/>
    </row>
    <row r="180" spans="1:26" ht="19.5">
      <c r="A180" s="248"/>
      <c r="B180" s="249" t="s">
        <v>88</v>
      </c>
      <c r="C180" s="250"/>
      <c r="D180" s="173"/>
      <c r="E180" s="173"/>
      <c r="F180" s="173"/>
      <c r="G180" s="174"/>
      <c r="H180" s="251" t="s">
        <v>35</v>
      </c>
      <c r="I180" s="252"/>
      <c r="J180" s="252">
        <f>J225+J226</f>
        <v>0</v>
      </c>
      <c r="K180" s="253">
        <f>IF(I180&gt;0,J180*100/I180,0)</f>
        <v>0</v>
      </c>
      <c r="L180" s="254"/>
      <c r="M180" s="254"/>
      <c r="N180" s="254"/>
      <c r="O180" s="254"/>
      <c r="P180" s="254"/>
    </row>
    <row r="181" spans="1:26" ht="19.5">
      <c r="A181" s="147"/>
      <c r="B181" s="148"/>
      <c r="C181" s="149" t="s">
        <v>16</v>
      </c>
      <c r="D181" s="817" t="s">
        <v>17</v>
      </c>
      <c r="E181" s="148"/>
      <c r="F181" s="148"/>
      <c r="G181" s="151"/>
      <c r="H181" s="152" t="s">
        <v>12</v>
      </c>
      <c r="I181" s="388"/>
      <c r="J181" s="388"/>
      <c r="K181" s="154"/>
      <c r="L181" s="155">
        <f t="shared" ref="L181:N181" ca="1" si="91">L182+L183</f>
        <v>72500</v>
      </c>
      <c r="M181" s="155">
        <f t="shared" ca="1" si="91"/>
        <v>39000</v>
      </c>
      <c r="N181" s="155">
        <f t="shared" ca="1" si="91"/>
        <v>0</v>
      </c>
      <c r="O181" s="155">
        <f t="shared" ref="O181:O189" ca="1" si="92">IF(L181&gt;0,N181*100/L181,0)</f>
        <v>0</v>
      </c>
      <c r="P181" s="155">
        <f t="shared" ref="P181:P189" ca="1" si="93">IF(M181&gt;0,N181*100/M181,0)</f>
        <v>0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2" t="s">
        <v>18</v>
      </c>
      <c r="F182" s="40"/>
      <c r="G182" s="157"/>
      <c r="H182" s="158" t="s">
        <v>12</v>
      </c>
      <c r="I182" s="583"/>
      <c r="J182" s="583"/>
      <c r="K182" s="93"/>
      <c r="L182" s="93">
        <f t="shared" ref="L182:N183" si="94">L185+L188</f>
        <v>0</v>
      </c>
      <c r="M182" s="93">
        <f t="shared" si="94"/>
        <v>0</v>
      </c>
      <c r="N182" s="93">
        <f t="shared" si="94"/>
        <v>0</v>
      </c>
      <c r="O182" s="93">
        <f t="shared" si="92"/>
        <v>0</v>
      </c>
      <c r="P182" s="93">
        <f t="shared" si="93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2" t="s">
        <v>19</v>
      </c>
      <c r="F183" s="40"/>
      <c r="G183" s="157"/>
      <c r="H183" s="158" t="s">
        <v>12</v>
      </c>
      <c r="I183" s="583"/>
      <c r="J183" s="583"/>
      <c r="K183" s="93"/>
      <c r="L183" s="93">
        <f t="shared" ca="1" si="94"/>
        <v>72500</v>
      </c>
      <c r="M183" s="93">
        <f t="shared" ca="1" si="94"/>
        <v>39000</v>
      </c>
      <c r="N183" s="93">
        <f t="shared" ca="1" si="94"/>
        <v>0</v>
      </c>
      <c r="O183" s="93">
        <f t="shared" ca="1" si="92"/>
        <v>0</v>
      </c>
      <c r="P183" s="93">
        <f t="shared" ca="1" si="93"/>
        <v>0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1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65">
        <f t="shared" ref="L184:N184" ca="1" si="95">L185+L186</f>
        <v>72500</v>
      </c>
      <c r="M184" s="465">
        <f t="shared" ca="1" si="95"/>
        <v>39000</v>
      </c>
      <c r="N184" s="465">
        <f t="shared" ca="1" si="95"/>
        <v>0</v>
      </c>
      <c r="O184" s="465">
        <f t="shared" ca="1" si="92"/>
        <v>0</v>
      </c>
      <c r="P184" s="465">
        <f t="shared" ca="1" si="93"/>
        <v>0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2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2"/>
        <v>0</v>
      </c>
      <c r="P185" s="93">
        <f t="shared" si="93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2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IFERROR(__xludf.DUMMYFUNCTION("IMPORTRANGE(""https://docs.google.com/spreadsheets/d/1MeEWN-I1oV_STSDYn1IFDPWt_1FKiwhDph83XaGc0o0/edit?usp=sharing"",""งบพรบ!CO29"")"),72500)</f>
        <v>72500</v>
      </c>
      <c r="M186" s="93">
        <f ca="1">IFERROR(__xludf.DUMMYFUNCTION("IMPORTRANGE(""https://docs.google.com/spreadsheets/d/1MeEWN-I1oV_STSDYn1IFDPWt_1FKiwhDph83XaGc0o0/edit?usp=sharing"",""งบพรบ!CT29"")"),39000)</f>
        <v>39000</v>
      </c>
      <c r="N186" s="93">
        <f ca="1">IFERROR(__xludf.DUMMYFUNCTION("IMPORTRANGE(""https://docs.google.com/spreadsheets/d/1MeEWN-I1oV_STSDYn1IFDPWt_1FKiwhDph83XaGc0o0/edit?usp=sharing"",""งบพรบ!CV29"")"),0)</f>
        <v>0</v>
      </c>
      <c r="O186" s="93">
        <f t="shared" ca="1" si="92"/>
        <v>0</v>
      </c>
      <c r="P186" s="93">
        <f t="shared" ca="1" si="93"/>
        <v>0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1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65">
        <f t="shared" ref="L187:N187" ca="1" si="96">L188+L189</f>
        <v>0</v>
      </c>
      <c r="M187" s="465">
        <f t="shared" ca="1" si="96"/>
        <v>0</v>
      </c>
      <c r="N187" s="465">
        <f t="shared" ca="1" si="96"/>
        <v>0</v>
      </c>
      <c r="O187" s="465">
        <f t="shared" ca="1" si="92"/>
        <v>0</v>
      </c>
      <c r="P187" s="465">
        <f t="shared" ca="1" si="93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2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2"/>
        <v>0</v>
      </c>
      <c r="P188" s="93">
        <f t="shared" si="93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2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IFERROR(__xludf.DUMMYFUNCTION("IMPORTRANGE(""https://docs.google.com/spreadsheets/d/1MeEWN-I1oV_STSDYn1IFDPWt_1FKiwhDph83XaGc0o0/edit?usp=sharing"",""งบพรบ!CR29"")"),0)</f>
        <v>0</v>
      </c>
      <c r="M189" s="93">
        <f ca="1">IFERROR(__xludf.DUMMYFUNCTION("IMPORTRANGE(""https://docs.google.com/spreadsheets/d/1MeEWN-I1oV_STSDYn1IFDPWt_1FKiwhDph83XaGc0o0/edit?usp=sharing"",""งบพรบ!CU29"")"),0)</f>
        <v>0</v>
      </c>
      <c r="N189" s="93">
        <f ca="1">IFERROR(__xludf.DUMMYFUNCTION("IMPORTRANGE(""https://docs.google.com/spreadsheets/d/1MeEWN-I1oV_STSDYn1IFDPWt_1FKiwhDph83XaGc0o0/edit?usp=sharing"",""งบพรบ!CW29"")"),0)</f>
        <v>0</v>
      </c>
      <c r="O189" s="93">
        <f t="shared" ca="1" si="92"/>
        <v>0</v>
      </c>
      <c r="P189" s="93">
        <f t="shared" ca="1" si="93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5"/>
      <c r="B190" s="263"/>
      <c r="C190" s="339" t="s">
        <v>89</v>
      </c>
      <c r="D190" s="256"/>
      <c r="E190" s="256"/>
      <c r="F190" s="256"/>
      <c r="G190" s="258"/>
      <c r="H190" s="259" t="s">
        <v>90</v>
      </c>
      <c r="I190" s="271">
        <f t="shared" ref="I190:J190" ca="1" si="97">I193</f>
        <v>4</v>
      </c>
      <c r="J190" s="271">
        <f t="shared" si="97"/>
        <v>0</v>
      </c>
      <c r="K190" s="272">
        <f ca="1">IF(I190&gt;0,J190*100/I190,0)</f>
        <v>0</v>
      </c>
      <c r="L190" s="261"/>
      <c r="M190" s="261"/>
      <c r="N190" s="261"/>
      <c r="O190" s="261"/>
      <c r="P190" s="261"/>
    </row>
    <row r="191" spans="1:26" ht="19.5">
      <c r="A191" s="147"/>
      <c r="B191" s="148"/>
      <c r="C191" s="149" t="s">
        <v>16</v>
      </c>
      <c r="D191" s="822" t="s">
        <v>17</v>
      </c>
      <c r="E191" s="148"/>
      <c r="F191" s="148"/>
      <c r="G191" s="151"/>
      <c r="H191" s="274" t="s">
        <v>12</v>
      </c>
      <c r="I191" s="388"/>
      <c r="J191" s="388"/>
      <c r="K191" s="154"/>
      <c r="L191" s="155">
        <f ca="1">IFERROR(__xludf.DUMMYFUNCTION("IMPORTRANGE(""https://docs.google.com/spreadsheets/d/1QqKyyYR6Q21VydFLVH3TRQUabQu_ym0Zz7PgGX0-kHA/edit?usp=sharing"",""แผน!Z29"")"),6000)</f>
        <v>6000</v>
      </c>
      <c r="M191" s="155"/>
      <c r="N191" s="275">
        <v>0</v>
      </c>
      <c r="O191" s="155">
        <f ca="1">IF(L191&gt;0,N191*100/L191,0)</f>
        <v>0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0" t="s">
        <v>16</v>
      </c>
      <c r="D192" s="818" t="s">
        <v>38</v>
      </c>
      <c r="E192" s="173"/>
      <c r="F192" s="173"/>
      <c r="G192" s="174"/>
      <c r="H192" s="726"/>
      <c r="I192" s="269"/>
      <c r="J192" s="269"/>
      <c r="K192" s="465"/>
      <c r="L192" s="465"/>
      <c r="M192" s="465"/>
      <c r="N192" s="465"/>
      <c r="O192" s="465"/>
      <c r="P192" s="465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15" t="s">
        <v>91</v>
      </c>
      <c r="E193" s="342"/>
      <c r="F193" s="342"/>
      <c r="G193" s="179"/>
      <c r="H193" s="728" t="s">
        <v>90</v>
      </c>
      <c r="I193" s="269">
        <f ca="1">IFERROR(__xludf.DUMMYFUNCTION("IMPORTRANGE(""https://docs.google.com/spreadsheets/d/1QqKyyYR6Q21VydFLVH3TRQUabQu_ym0Zz7PgGX0-kHA/edit?usp=sharing"",""แผน!AC29"")"),4)</f>
        <v>4</v>
      </c>
      <c r="J193" s="214">
        <v>0</v>
      </c>
      <c r="K193" s="465">
        <f ca="1">IF(I193&gt;0,J193*100/I193,0)</f>
        <v>0</v>
      </c>
      <c r="L193" s="465"/>
      <c r="M193" s="465"/>
      <c r="N193" s="465"/>
      <c r="O193" s="465"/>
      <c r="P193" s="465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15" t="s">
        <v>92</v>
      </c>
      <c r="E194" s="342"/>
      <c r="F194" s="342"/>
      <c r="G194" s="179"/>
      <c r="H194" s="276" t="s">
        <v>35</v>
      </c>
      <c r="I194" s="269"/>
      <c r="J194" s="269">
        <f>J195+J196</f>
        <v>0</v>
      </c>
      <c r="K194" s="465"/>
      <c r="L194" s="465"/>
      <c r="M194" s="465"/>
      <c r="N194" s="465"/>
      <c r="O194" s="465"/>
      <c r="P194" s="465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15" t="s">
        <v>93</v>
      </c>
      <c r="F195" s="342"/>
      <c r="G195" s="179"/>
      <c r="H195" s="276" t="s">
        <v>35</v>
      </c>
      <c r="I195" s="269"/>
      <c r="J195" s="214">
        <v>0</v>
      </c>
      <c r="K195" s="465"/>
      <c r="L195" s="465"/>
      <c r="M195" s="465"/>
      <c r="N195" s="465"/>
      <c r="O195" s="465"/>
      <c r="P195" s="465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15" t="s">
        <v>94</v>
      </c>
      <c r="F196" s="342"/>
      <c r="G196" s="179"/>
      <c r="H196" s="276" t="s">
        <v>35</v>
      </c>
      <c r="I196" s="269"/>
      <c r="J196" s="214">
        <v>0</v>
      </c>
      <c r="K196" s="465"/>
      <c r="L196" s="465"/>
      <c r="M196" s="465"/>
      <c r="N196" s="465"/>
      <c r="O196" s="465"/>
      <c r="P196" s="465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5"/>
      <c r="B197" s="263"/>
      <c r="C197" s="339" t="s">
        <v>95</v>
      </c>
      <c r="D197" s="256"/>
      <c r="E197" s="256"/>
      <c r="F197" s="256"/>
      <c r="G197" s="258"/>
      <c r="H197" s="277" t="s">
        <v>96</v>
      </c>
      <c r="I197" s="271">
        <f t="shared" ref="I197:J197" ca="1" si="98">I204</f>
        <v>3</v>
      </c>
      <c r="J197" s="271">
        <f t="shared" si="98"/>
        <v>0</v>
      </c>
      <c r="K197" s="272">
        <f ca="1">IF(I197&gt;0,J197*100/I197,0)</f>
        <v>0</v>
      </c>
      <c r="L197" s="261"/>
      <c r="M197" s="261"/>
      <c r="N197" s="261"/>
      <c r="O197" s="261"/>
      <c r="P197" s="261"/>
    </row>
    <row r="198" spans="1:26" ht="19.5">
      <c r="A198" s="147"/>
      <c r="B198" s="148"/>
      <c r="C198" s="149" t="s">
        <v>16</v>
      </c>
      <c r="D198" s="822" t="s">
        <v>17</v>
      </c>
      <c r="E198" s="148"/>
      <c r="F198" s="148"/>
      <c r="G198" s="151"/>
      <c r="H198" s="274" t="s">
        <v>12</v>
      </c>
      <c r="I198" s="387"/>
      <c r="J198" s="387"/>
      <c r="K198" s="279"/>
      <c r="L198" s="155">
        <f ca="1">L199+L200+L201+L202</f>
        <v>39000</v>
      </c>
      <c r="M198" s="155"/>
      <c r="N198" s="155">
        <f>N199+N200+N201+N202</f>
        <v>0</v>
      </c>
      <c r="O198" s="155">
        <f ca="1">IF(L198&gt;0,N198*100/L198,0)</f>
        <v>0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0"/>
      <c r="C199" s="33"/>
      <c r="D199" s="281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65">
        <f ca="1">IFERROR(__xludf.DUMMYFUNCTION("IMPORTRANGE(""https://docs.google.com/spreadsheets/d/1QqKyyYR6Q21VydFLVH3TRQUabQu_ym0Zz7PgGX0-kHA/edit?usp=sharing"",""แผน!AE29"")"),3000)</f>
        <v>3000</v>
      </c>
      <c r="M199" s="465"/>
      <c r="N199" s="789">
        <v>0</v>
      </c>
      <c r="O199" s="465"/>
      <c r="P199" s="465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3"/>
      <c r="B200" s="280"/>
      <c r="C200" s="210"/>
      <c r="D200" s="281" t="s">
        <v>98</v>
      </c>
      <c r="E200" s="33"/>
      <c r="F200" s="33"/>
      <c r="G200" s="35"/>
      <c r="H200" s="589" t="s">
        <v>12</v>
      </c>
      <c r="I200" s="269"/>
      <c r="J200" s="269"/>
      <c r="K200" s="465"/>
      <c r="L200" s="465">
        <f ca="1">IFERROR(__xludf.DUMMYFUNCTION("IMPORTRANGE(""https://docs.google.com/spreadsheets/d/1QqKyyYR6Q21VydFLVH3TRQUabQu_ym0Zz7PgGX0-kHA/edit?usp=sharing"",""แผน!AF29"")"),24000)</f>
        <v>24000</v>
      </c>
      <c r="M200" s="465"/>
      <c r="N200" s="789">
        <v>0</v>
      </c>
      <c r="O200" s="465"/>
      <c r="P200" s="465"/>
      <c r="Q200" s="285"/>
      <c r="R200" s="285"/>
      <c r="S200" s="285"/>
      <c r="T200" s="285"/>
      <c r="U200" s="285"/>
      <c r="V200" s="285"/>
      <c r="W200" s="285"/>
      <c r="X200" s="285"/>
      <c r="Y200" s="285"/>
      <c r="Z200" s="285"/>
    </row>
    <row r="201" spans="1:26" ht="19.5">
      <c r="A201" s="283"/>
      <c r="B201" s="280"/>
      <c r="C201" s="210"/>
      <c r="D201" s="281" t="s">
        <v>99</v>
      </c>
      <c r="E201" s="33"/>
      <c r="F201" s="33"/>
      <c r="G201" s="35"/>
      <c r="H201" s="589" t="s">
        <v>12</v>
      </c>
      <c r="I201" s="269"/>
      <c r="J201" s="269"/>
      <c r="K201" s="465"/>
      <c r="L201" s="465">
        <f ca="1">IFERROR(__xludf.DUMMYFUNCTION("IMPORTRANGE(""https://docs.google.com/spreadsheets/d/1QqKyyYR6Q21VydFLVH3TRQUabQu_ym0Zz7PgGX0-kHA/edit?usp=sharing"",""แผน!AG29"")"),12000)</f>
        <v>12000</v>
      </c>
      <c r="M201" s="465"/>
      <c r="N201" s="789">
        <v>0</v>
      </c>
      <c r="O201" s="465"/>
      <c r="P201" s="465"/>
      <c r="Q201" s="285"/>
      <c r="R201" s="285"/>
      <c r="S201" s="285"/>
      <c r="T201" s="285"/>
      <c r="U201" s="285"/>
      <c r="V201" s="285"/>
      <c r="W201" s="285"/>
      <c r="X201" s="285"/>
      <c r="Y201" s="285"/>
      <c r="Z201" s="285"/>
    </row>
    <row r="202" spans="1:26" ht="19.5">
      <c r="A202" s="283"/>
      <c r="B202" s="280"/>
      <c r="C202" s="210"/>
      <c r="D202" s="281" t="s">
        <v>100</v>
      </c>
      <c r="E202" s="33"/>
      <c r="F202" s="33"/>
      <c r="G202" s="35"/>
      <c r="H202" s="589" t="s">
        <v>12</v>
      </c>
      <c r="I202" s="269"/>
      <c r="J202" s="269"/>
      <c r="K202" s="465"/>
      <c r="L202" s="465">
        <f ca="1">IFERROR(__xludf.DUMMYFUNCTION("IMPORTRANGE(""https://docs.google.com/spreadsheets/d/1QqKyyYR6Q21VydFLVH3TRQUabQu_ym0Zz7PgGX0-kHA/edit?usp=sharing"",""แผน!AH29"")"),0)</f>
        <v>0</v>
      </c>
      <c r="M202" s="465"/>
      <c r="N202" s="789">
        <v>0</v>
      </c>
      <c r="O202" s="465"/>
      <c r="P202" s="465"/>
      <c r="Q202" s="285"/>
      <c r="R202" s="285"/>
      <c r="S202" s="285"/>
      <c r="T202" s="285"/>
      <c r="U202" s="285"/>
      <c r="V202" s="285"/>
      <c r="W202" s="285"/>
      <c r="X202" s="285"/>
      <c r="Y202" s="285"/>
      <c r="Z202" s="285"/>
    </row>
    <row r="203" spans="1:26" ht="19.5">
      <c r="A203" s="170"/>
      <c r="B203" s="171"/>
      <c r="C203" s="210" t="s">
        <v>16</v>
      </c>
      <c r="D203" s="818" t="s">
        <v>38</v>
      </c>
      <c r="E203" s="173"/>
      <c r="F203" s="173"/>
      <c r="G203" s="174"/>
      <c r="H203" s="726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343" t="s">
        <v>101</v>
      </c>
      <c r="E204" s="342"/>
      <c r="F204" s="342"/>
      <c r="G204" s="179"/>
      <c r="H204" s="726" t="s">
        <v>96</v>
      </c>
      <c r="I204" s="269">
        <f ca="1">IFERROR(__xludf.DUMMYFUNCTION("IMPORTRANGE(""https://docs.google.com/spreadsheets/d/1QqKyyYR6Q21VydFLVH3TRQUabQu_ym0Zz7PgGX0-kHA/edit?usp=sharing"",""แผน!AI29"")"),3)</f>
        <v>3</v>
      </c>
      <c r="J204" s="214">
        <v>0</v>
      </c>
      <c r="K204" s="163">
        <f ca="1">IF(I204&gt;0,J204*100/I204,0)</f>
        <v>0</v>
      </c>
      <c r="L204" s="465"/>
      <c r="M204" s="465"/>
      <c r="N204" s="465"/>
      <c r="O204" s="465"/>
      <c r="P204" s="465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15" t="s">
        <v>59</v>
      </c>
      <c r="E205" s="342"/>
      <c r="F205" s="342"/>
      <c r="G205" s="179"/>
      <c r="H205" s="726"/>
      <c r="I205" s="269"/>
      <c r="J205" s="269"/>
      <c r="K205" s="163"/>
      <c r="L205" s="465"/>
      <c r="M205" s="465"/>
      <c r="N205" s="465"/>
      <c r="O205" s="465"/>
      <c r="P205" s="465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342"/>
      <c r="E206" s="494" t="s">
        <v>102</v>
      </c>
      <c r="F206" s="286"/>
      <c r="G206" s="287"/>
      <c r="H206" s="288" t="s">
        <v>96</v>
      </c>
      <c r="I206" s="269">
        <v>3</v>
      </c>
      <c r="J206" s="214">
        <v>0</v>
      </c>
      <c r="K206" s="163">
        <f t="shared" ref="K206:K208" si="99">IF(I206&gt;0,J206*100/I206,0)</f>
        <v>0</v>
      </c>
      <c r="L206" s="465"/>
      <c r="M206" s="465"/>
      <c r="N206" s="465"/>
      <c r="O206" s="465"/>
      <c r="P206" s="465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15"/>
      <c r="E207" s="415" t="s">
        <v>103</v>
      </c>
      <c r="F207" s="342"/>
      <c r="G207" s="342"/>
      <c r="H207" s="289" t="s">
        <v>104</v>
      </c>
      <c r="I207" s="269">
        <v>0</v>
      </c>
      <c r="J207" s="214">
        <v>0</v>
      </c>
      <c r="K207" s="163">
        <f t="shared" si="99"/>
        <v>0</v>
      </c>
      <c r="L207" s="465"/>
      <c r="M207" s="465"/>
      <c r="N207" s="465"/>
      <c r="O207" s="465"/>
      <c r="P207" s="465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>
      <c r="A208" s="255"/>
      <c r="B208" s="263"/>
      <c r="C208" s="339" t="s">
        <v>105</v>
      </c>
      <c r="D208" s="256"/>
      <c r="E208" s="256"/>
      <c r="F208" s="290"/>
      <c r="G208" s="258"/>
      <c r="H208" s="277" t="s">
        <v>96</v>
      </c>
      <c r="I208" s="271">
        <f t="shared" ref="I208:J208" ca="1" si="100">I215</f>
        <v>1</v>
      </c>
      <c r="J208" s="271">
        <f t="shared" si="100"/>
        <v>0</v>
      </c>
      <c r="K208" s="272">
        <f t="shared" ca="1" si="99"/>
        <v>0</v>
      </c>
      <c r="L208" s="261"/>
      <c r="M208" s="261"/>
      <c r="N208" s="261"/>
      <c r="O208" s="261"/>
      <c r="P208" s="261"/>
    </row>
    <row r="209" spans="1:26" ht="19.5">
      <c r="A209" s="147"/>
      <c r="B209" s="148"/>
      <c r="C209" s="149" t="s">
        <v>16</v>
      </c>
      <c r="D209" s="822" t="s">
        <v>17</v>
      </c>
      <c r="E209" s="148"/>
      <c r="F209" s="148"/>
      <c r="G209" s="151"/>
      <c r="H209" s="274" t="s">
        <v>12</v>
      </c>
      <c r="I209" s="387"/>
      <c r="J209" s="387"/>
      <c r="K209" s="279"/>
      <c r="L209" s="155">
        <f ca="1">L210+L211+L212</f>
        <v>14000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>
      <c r="A210" s="159"/>
      <c r="B210" s="280"/>
      <c r="C210" s="33"/>
      <c r="D210" s="281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65">
        <f ca="1">IFERROR(__xludf.DUMMYFUNCTION("IMPORTRANGE(""https://docs.google.com/spreadsheets/d/1QqKyyYR6Q21VydFLVH3TRQUabQu_ym0Zz7PgGX0-kHA/edit?usp=sharing"",""แผน!AK29"")"),1000)</f>
        <v>1000</v>
      </c>
      <c r="M210" s="465"/>
      <c r="N210" s="789">
        <v>0</v>
      </c>
      <c r="O210" s="465"/>
      <c r="P210" s="465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>
      <c r="A211" s="283"/>
      <c r="B211" s="280"/>
      <c r="C211" s="291"/>
      <c r="D211" s="281" t="s">
        <v>99</v>
      </c>
      <c r="E211" s="33"/>
      <c r="F211" s="33"/>
      <c r="G211" s="35"/>
      <c r="H211" s="161" t="s">
        <v>12</v>
      </c>
      <c r="I211" s="269"/>
      <c r="J211" s="269"/>
      <c r="K211" s="465"/>
      <c r="L211" s="465">
        <f ca="1">IFERROR(__xludf.DUMMYFUNCTION("IMPORTRANGE(""https://docs.google.com/spreadsheets/d/1QqKyyYR6Q21VydFLVH3TRQUabQu_ym0Zz7PgGX0-kHA/edit?usp=sharing"",""แผน!AL29"")"),5000)</f>
        <v>5000</v>
      </c>
      <c r="M211" s="465"/>
      <c r="N211" s="789">
        <v>0</v>
      </c>
      <c r="O211" s="465"/>
      <c r="P211" s="465"/>
      <c r="Q211" s="285"/>
      <c r="R211" s="285"/>
      <c r="S211" s="285"/>
      <c r="T211" s="285"/>
      <c r="U211" s="285"/>
      <c r="V211" s="285"/>
      <c r="W211" s="285"/>
      <c r="X211" s="285"/>
      <c r="Y211" s="285"/>
      <c r="Z211" s="285"/>
    </row>
    <row r="212" spans="1:26" ht="19.5">
      <c r="A212" s="283"/>
      <c r="B212" s="280"/>
      <c r="C212" s="291"/>
      <c r="D212" s="281" t="s">
        <v>98</v>
      </c>
      <c r="E212" s="33"/>
      <c r="F212" s="33"/>
      <c r="G212" s="35"/>
      <c r="H212" s="161" t="s">
        <v>12</v>
      </c>
      <c r="I212" s="269"/>
      <c r="J212" s="269"/>
      <c r="K212" s="465"/>
      <c r="L212" s="465">
        <f ca="1">IFERROR(__xludf.DUMMYFUNCTION("IMPORTRANGE(""https://docs.google.com/spreadsheets/d/1QqKyyYR6Q21VydFLVH3TRQUabQu_ym0Zz7PgGX0-kHA/edit?usp=sharing"",""แผน!AM29"")"),8000)</f>
        <v>8000</v>
      </c>
      <c r="M212" s="465"/>
      <c r="N212" s="789">
        <v>0</v>
      </c>
      <c r="O212" s="465"/>
      <c r="P212" s="465"/>
      <c r="Q212" s="285"/>
      <c r="R212" s="285"/>
      <c r="S212" s="285"/>
      <c r="T212" s="285"/>
      <c r="U212" s="285"/>
      <c r="V212" s="285"/>
      <c r="W212" s="285"/>
      <c r="X212" s="285"/>
      <c r="Y212" s="285"/>
      <c r="Z212" s="285"/>
    </row>
    <row r="213" spans="1:26" ht="19.5">
      <c r="A213" s="170"/>
      <c r="B213" s="171"/>
      <c r="C213" s="291" t="s">
        <v>16</v>
      </c>
      <c r="D213" s="818" t="s">
        <v>38</v>
      </c>
      <c r="E213" s="173"/>
      <c r="F213" s="173"/>
      <c r="G213" s="174"/>
      <c r="H213" s="726"/>
      <c r="I213" s="184"/>
      <c r="J213" s="269"/>
      <c r="K213" s="465"/>
      <c r="L213" s="465"/>
      <c r="M213" s="465"/>
      <c r="N213" s="465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>
      <c r="A214" s="170"/>
      <c r="B214" s="171"/>
      <c r="C214" s="171"/>
      <c r="D214" s="343" t="s">
        <v>106</v>
      </c>
      <c r="E214" s="342"/>
      <c r="F214" s="342"/>
      <c r="G214" s="179"/>
      <c r="H214" s="726" t="s">
        <v>96</v>
      </c>
      <c r="I214" s="269">
        <f ca="1">IFERROR(__xludf.DUMMYFUNCTION("IMPORTRANGE(""https://docs.google.com/spreadsheets/d/1QqKyyYR6Q21VydFLVH3TRQUabQu_ym0Zz7PgGX0-kHA/edit?usp=sharing"",""แผน!AN29"")"),1)</f>
        <v>1</v>
      </c>
      <c r="J214" s="214">
        <v>0</v>
      </c>
      <c r="K214" s="465">
        <f t="shared" ref="K214:K216" ca="1" si="101">IF(I214&gt;0,J214*100/I214,0)</f>
        <v>0</v>
      </c>
      <c r="L214" s="465"/>
      <c r="M214" s="465"/>
      <c r="N214" s="465"/>
      <c r="O214" s="465"/>
      <c r="P214" s="465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>
      <c r="A215" s="170"/>
      <c r="B215" s="171"/>
      <c r="C215" s="171"/>
      <c r="D215" s="343" t="s">
        <v>107</v>
      </c>
      <c r="E215" s="342"/>
      <c r="F215" s="342"/>
      <c r="G215" s="179"/>
      <c r="H215" s="726" t="s">
        <v>96</v>
      </c>
      <c r="I215" s="269">
        <f ca="1">IFERROR(__xludf.DUMMYFUNCTION("IMPORTRANGE(""https://docs.google.com/spreadsheets/d/1QqKyyYR6Q21VydFLVH3TRQUabQu_ym0Zz7PgGX0-kHA/edit?usp=sharing"",""แผน!AN29"")"),1)</f>
        <v>1</v>
      </c>
      <c r="J215" s="214">
        <v>0</v>
      </c>
      <c r="K215" s="465">
        <f t="shared" ca="1" si="101"/>
        <v>0</v>
      </c>
      <c r="L215" s="465"/>
      <c r="M215" s="465"/>
      <c r="N215" s="465"/>
      <c r="O215" s="465"/>
      <c r="P215" s="465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5"/>
      <c r="B216" s="263"/>
      <c r="C216" s="339" t="s">
        <v>108</v>
      </c>
      <c r="D216" s="256"/>
      <c r="E216" s="256"/>
      <c r="F216" s="290"/>
      <c r="G216" s="258"/>
      <c r="H216" s="259" t="s">
        <v>109</v>
      </c>
      <c r="I216" s="271">
        <f t="shared" ref="I216:J216" ca="1" si="102">I224</f>
        <v>30000</v>
      </c>
      <c r="J216" s="271">
        <f t="shared" si="102"/>
        <v>0</v>
      </c>
      <c r="K216" s="272">
        <f t="shared" ca="1" si="101"/>
        <v>0</v>
      </c>
      <c r="L216" s="261"/>
      <c r="M216" s="261"/>
      <c r="N216" s="261"/>
      <c r="O216" s="261"/>
      <c r="P216" s="261"/>
    </row>
    <row r="217" spans="1:26" ht="19.5">
      <c r="A217" s="147"/>
      <c r="B217" s="148"/>
      <c r="C217" s="149" t="s">
        <v>16</v>
      </c>
      <c r="D217" s="822" t="s">
        <v>17</v>
      </c>
      <c r="E217" s="148"/>
      <c r="F217" s="148"/>
      <c r="G217" s="151"/>
      <c r="H217" s="274" t="s">
        <v>12</v>
      </c>
      <c r="I217" s="387"/>
      <c r="J217" s="387"/>
      <c r="K217" s="279"/>
      <c r="L217" s="155">
        <f ca="1">L218+L219+L220</f>
        <v>13500</v>
      </c>
      <c r="M217" s="155"/>
      <c r="N217" s="155">
        <f>N218+N219+N220</f>
        <v>0</v>
      </c>
      <c r="O217" s="155">
        <f ca="1">IF(L217&gt;0,N217*100/L217,0)</f>
        <v>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0"/>
      <c r="C218" s="33"/>
      <c r="D218" s="281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65">
        <f ca="1">IFERROR(__xludf.DUMMYFUNCTION("IMPORTRANGE(""https://docs.google.com/spreadsheets/d/1QqKyyYR6Q21VydFLVH3TRQUabQu_ym0Zz7PgGX0-kHA/edit?usp=sharing"",""แผน!AP29"")"),5000)</f>
        <v>5000</v>
      </c>
      <c r="M218" s="465"/>
      <c r="N218" s="789">
        <v>0</v>
      </c>
      <c r="O218" s="465"/>
      <c r="P218" s="465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3"/>
      <c r="B219" s="280"/>
      <c r="C219" s="291"/>
      <c r="D219" s="281" t="s">
        <v>110</v>
      </c>
      <c r="E219" s="33"/>
      <c r="F219" s="33"/>
      <c r="G219" s="35"/>
      <c r="H219" s="161" t="s">
        <v>12</v>
      </c>
      <c r="I219" s="269"/>
      <c r="J219" s="269"/>
      <c r="K219" s="465"/>
      <c r="L219" s="465">
        <f ca="1">IFERROR(__xludf.DUMMYFUNCTION("IMPORTRANGE(""https://docs.google.com/spreadsheets/d/1QqKyyYR6Q21VydFLVH3TRQUabQu_ym0Zz7PgGX0-kHA/edit?usp=sharing"",""แผน!AQ29"")"),8500)</f>
        <v>8500</v>
      </c>
      <c r="M219" s="465"/>
      <c r="N219" s="789">
        <v>0</v>
      </c>
      <c r="O219" s="465"/>
      <c r="P219" s="465"/>
      <c r="Q219" s="285"/>
      <c r="R219" s="285"/>
      <c r="S219" s="285"/>
      <c r="T219" s="285"/>
      <c r="U219" s="285"/>
      <c r="V219" s="285"/>
      <c r="W219" s="285"/>
      <c r="X219" s="285"/>
      <c r="Y219" s="285"/>
      <c r="Z219" s="285"/>
    </row>
    <row r="220" spans="1:26" ht="19.5">
      <c r="A220" s="283"/>
      <c r="B220" s="280"/>
      <c r="C220" s="291"/>
      <c r="D220" s="281" t="s">
        <v>98</v>
      </c>
      <c r="E220" s="33"/>
      <c r="F220" s="33"/>
      <c r="G220" s="35"/>
      <c r="H220" s="161" t="s">
        <v>12</v>
      </c>
      <c r="I220" s="269"/>
      <c r="J220" s="269"/>
      <c r="K220" s="465"/>
      <c r="L220" s="465">
        <f ca="1">IFERROR(__xludf.DUMMYFUNCTION("IMPORTRANGE(""https://docs.google.com/spreadsheets/d/1QqKyyYR6Q21VydFLVH3TRQUabQu_ym0Zz7PgGX0-kHA/edit?usp=sharing"",""แผน!AR29"")"),0)</f>
        <v>0</v>
      </c>
      <c r="M220" s="465"/>
      <c r="N220" s="789">
        <v>0</v>
      </c>
      <c r="O220" s="465"/>
      <c r="P220" s="465"/>
      <c r="Q220" s="285"/>
      <c r="R220" s="285"/>
      <c r="S220" s="285"/>
      <c r="T220" s="285"/>
      <c r="U220" s="285"/>
      <c r="V220" s="285"/>
      <c r="W220" s="285"/>
      <c r="X220" s="285"/>
      <c r="Y220" s="285"/>
      <c r="Z220" s="285"/>
    </row>
    <row r="221" spans="1:26" ht="19.5">
      <c r="A221" s="170"/>
      <c r="B221" s="171"/>
      <c r="C221" s="291" t="s">
        <v>16</v>
      </c>
      <c r="D221" s="818" t="s">
        <v>38</v>
      </c>
      <c r="E221" s="173"/>
      <c r="F221" s="173"/>
      <c r="G221" s="174"/>
      <c r="H221" s="726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1" t="s">
        <v>111</v>
      </c>
      <c r="E222" s="342"/>
      <c r="F222" s="342"/>
      <c r="G222" s="179"/>
      <c r="H222" s="726"/>
      <c r="I222" s="269"/>
      <c r="J222" s="269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343" t="s">
        <v>112</v>
      </c>
      <c r="F223" s="342"/>
      <c r="G223" s="179"/>
      <c r="H223" s="728" t="s">
        <v>109</v>
      </c>
      <c r="I223" s="269">
        <f ca="1">IFERROR(__xludf.DUMMYFUNCTION("IMPORTRANGE(""https://docs.google.com/spreadsheets/d/1QqKyyYR6Q21VydFLVH3TRQUabQu_ym0Zz7PgGX0-kHA/edit?usp=sharing"",""แผน!AT29"")"),30000)</f>
        <v>30000</v>
      </c>
      <c r="J223" s="214">
        <v>0</v>
      </c>
      <c r="K223" s="163">
        <f t="shared" ref="K223:K226" ca="1" si="103">IF(I223&gt;0,J223*100/I223,0)</f>
        <v>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343" t="s">
        <v>113</v>
      </c>
      <c r="F224" s="342"/>
      <c r="G224" s="179"/>
      <c r="H224" s="728" t="s">
        <v>109</v>
      </c>
      <c r="I224" s="269">
        <f ca="1">IFERROR(__xludf.DUMMYFUNCTION("IMPORTRANGE(""https://docs.google.com/spreadsheets/d/1QqKyyYR6Q21VydFLVH3TRQUabQu_ym0Zz7PgGX0-kHA/edit?usp=sharing"",""แผน!AT29"")"),30000)</f>
        <v>30000</v>
      </c>
      <c r="J224" s="214">
        <v>0</v>
      </c>
      <c r="K224" s="163">
        <f t="shared" ca="1" si="103"/>
        <v>0</v>
      </c>
      <c r="L224" s="465"/>
      <c r="M224" s="465"/>
      <c r="N224" s="465"/>
      <c r="O224" s="465"/>
      <c r="P224" s="465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1" t="s">
        <v>114</v>
      </c>
      <c r="E225" s="342"/>
      <c r="F225" s="342"/>
      <c r="G225" s="179"/>
      <c r="H225" s="728" t="s">
        <v>35</v>
      </c>
      <c r="I225" s="269">
        <f ca="1">IFERROR(__xludf.DUMMYFUNCTION("IMPORTRANGE(""https://docs.google.com/spreadsheets/d/1QqKyyYR6Q21VydFLVH3TRQUabQu_ym0Zz7PgGX0-kHA/edit?usp=sharing"",""แผน!AS29"")"),0)</f>
        <v>0</v>
      </c>
      <c r="J225" s="214">
        <v>0</v>
      </c>
      <c r="K225" s="163">
        <f t="shared" ca="1" si="103"/>
        <v>0</v>
      </c>
      <c r="L225" s="465"/>
      <c r="M225" s="465"/>
      <c r="N225" s="465"/>
      <c r="O225" s="465"/>
      <c r="P225" s="465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5"/>
      <c r="B226" s="263"/>
      <c r="C226" s="823" t="s">
        <v>115</v>
      </c>
      <c r="D226" s="256"/>
      <c r="E226" s="256"/>
      <c r="F226" s="256"/>
      <c r="G226" s="258"/>
      <c r="H226" s="265" t="s">
        <v>35</v>
      </c>
      <c r="I226" s="824">
        <f t="shared" ref="I226:J226" ca="1" si="104">I237+I248</f>
        <v>0</v>
      </c>
      <c r="J226" s="824">
        <f t="shared" si="104"/>
        <v>0</v>
      </c>
      <c r="K226" s="825">
        <f t="shared" ca="1" si="103"/>
        <v>0</v>
      </c>
      <c r="L226" s="261"/>
      <c r="M226" s="261"/>
      <c r="N226" s="261"/>
      <c r="O226" s="261"/>
      <c r="P226" s="261"/>
    </row>
    <row r="227" spans="1:26" ht="19.5" hidden="1">
      <c r="A227" s="826"/>
      <c r="B227" s="827"/>
      <c r="C227" s="828" t="s">
        <v>16</v>
      </c>
      <c r="D227" s="829" t="s">
        <v>17</v>
      </c>
      <c r="E227" s="827"/>
      <c r="F227" s="827"/>
      <c r="G227" s="830"/>
      <c r="H227" s="831" t="s">
        <v>12</v>
      </c>
      <c r="I227" s="832"/>
      <c r="J227" s="832"/>
      <c r="K227" s="833"/>
      <c r="L227" s="834">
        <f t="shared" ref="L227:L231" ca="1" si="105">L238+L249</f>
        <v>0</v>
      </c>
      <c r="M227" s="834"/>
      <c r="N227" s="834">
        <f t="shared" ref="N227:N231" si="106">N238+N249</f>
        <v>0</v>
      </c>
      <c r="O227" s="835"/>
      <c r="P227" s="835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542"/>
      <c r="C228" s="40"/>
      <c r="D228" s="222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5"/>
        <v>0</v>
      </c>
      <c r="M228" s="93"/>
      <c r="N228" s="93">
        <f t="shared" si="106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836"/>
      <c r="B229" s="542"/>
      <c r="C229" s="837"/>
      <c r="D229" s="222" t="s">
        <v>98</v>
      </c>
      <c r="E229" s="40"/>
      <c r="F229" s="40"/>
      <c r="G229" s="42"/>
      <c r="H229" s="165" t="s">
        <v>12</v>
      </c>
      <c r="I229" s="583"/>
      <c r="J229" s="583"/>
      <c r="K229" s="93"/>
      <c r="L229" s="93">
        <f t="shared" ca="1" si="105"/>
        <v>0</v>
      </c>
      <c r="M229" s="93"/>
      <c r="N229" s="93">
        <f t="shared" si="106"/>
        <v>0</v>
      </c>
      <c r="O229" s="93"/>
      <c r="P229" s="93"/>
      <c r="Q229" s="838"/>
      <c r="R229" s="838"/>
      <c r="S229" s="838"/>
      <c r="T229" s="838"/>
      <c r="U229" s="838"/>
      <c r="V229" s="838"/>
      <c r="W229" s="838"/>
      <c r="X229" s="838"/>
      <c r="Y229" s="838"/>
      <c r="Z229" s="838"/>
    </row>
    <row r="230" spans="1:26" ht="19.5" hidden="1">
      <c r="A230" s="836"/>
      <c r="B230" s="542"/>
      <c r="C230" s="837"/>
      <c r="D230" s="222" t="s">
        <v>116</v>
      </c>
      <c r="E230" s="40"/>
      <c r="F230" s="40"/>
      <c r="G230" s="42"/>
      <c r="H230" s="165" t="s">
        <v>12</v>
      </c>
      <c r="I230" s="583"/>
      <c r="J230" s="583"/>
      <c r="K230" s="93"/>
      <c r="L230" s="93">
        <f t="shared" ca="1" si="105"/>
        <v>0</v>
      </c>
      <c r="M230" s="93"/>
      <c r="N230" s="93">
        <f t="shared" si="106"/>
        <v>0</v>
      </c>
      <c r="O230" s="93"/>
      <c r="P230" s="93"/>
      <c r="Q230" s="838"/>
      <c r="R230" s="838"/>
      <c r="S230" s="838"/>
      <c r="T230" s="838"/>
      <c r="U230" s="838"/>
      <c r="V230" s="838"/>
      <c r="W230" s="838"/>
      <c r="X230" s="838"/>
      <c r="Y230" s="838"/>
      <c r="Z230" s="838"/>
    </row>
    <row r="231" spans="1:26" ht="19.5" hidden="1">
      <c r="A231" s="836"/>
      <c r="B231" s="542"/>
      <c r="C231" s="837"/>
      <c r="D231" s="222" t="s">
        <v>100</v>
      </c>
      <c r="E231" s="40"/>
      <c r="F231" s="40"/>
      <c r="G231" s="42"/>
      <c r="H231" s="165" t="s">
        <v>12</v>
      </c>
      <c r="I231" s="583"/>
      <c r="J231" s="583"/>
      <c r="K231" s="93"/>
      <c r="L231" s="93">
        <f t="shared" ca="1" si="105"/>
        <v>0</v>
      </c>
      <c r="M231" s="93"/>
      <c r="N231" s="93">
        <f t="shared" si="106"/>
        <v>0</v>
      </c>
      <c r="O231" s="93"/>
      <c r="P231" s="93"/>
      <c r="Q231" s="838"/>
      <c r="R231" s="838"/>
      <c r="S231" s="838"/>
      <c r="T231" s="838"/>
      <c r="U231" s="838"/>
      <c r="V231" s="838"/>
      <c r="W231" s="838"/>
      <c r="X231" s="838"/>
      <c r="Y231" s="838"/>
      <c r="Z231" s="838"/>
    </row>
    <row r="232" spans="1:26" ht="19.5" hidden="1">
      <c r="A232" s="839"/>
      <c r="B232" s="840"/>
      <c r="C232" s="837" t="s">
        <v>16</v>
      </c>
      <c r="D232" s="266" t="s">
        <v>38</v>
      </c>
      <c r="E232" s="841"/>
      <c r="F232" s="841"/>
      <c r="G232" s="842"/>
      <c r="H232" s="581"/>
      <c r="I232" s="166"/>
      <c r="J232" s="583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839"/>
      <c r="B233" s="840"/>
      <c r="C233" s="840"/>
      <c r="D233" s="268" t="s">
        <v>117</v>
      </c>
      <c r="E233" s="536"/>
      <c r="F233" s="536"/>
      <c r="G233" s="843"/>
      <c r="H233" s="582" t="s">
        <v>35</v>
      </c>
      <c r="I233" s="583">
        <f t="shared" ref="I233:J233" ca="1" si="107">I244+I255</f>
        <v>0</v>
      </c>
      <c r="J233" s="583">
        <f t="shared" si="107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839"/>
      <c r="B234" s="840"/>
      <c r="C234" s="840"/>
      <c r="D234" s="844" t="s">
        <v>43</v>
      </c>
      <c r="E234" s="536"/>
      <c r="F234" s="536"/>
      <c r="G234" s="843"/>
      <c r="H234" s="582"/>
      <c r="I234" s="583"/>
      <c r="J234" s="583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839"/>
      <c r="B235" s="840"/>
      <c r="C235" s="840"/>
      <c r="D235" s="840"/>
      <c r="E235" s="267" t="s">
        <v>118</v>
      </c>
      <c r="F235" s="536"/>
      <c r="G235" s="843"/>
      <c r="H235" s="582" t="s">
        <v>35</v>
      </c>
      <c r="I235" s="583">
        <f t="shared" ref="I235:J236" si="108">I246+I257</f>
        <v>0</v>
      </c>
      <c r="J235" s="583">
        <f t="shared" si="108"/>
        <v>0</v>
      </c>
      <c r="K235" s="93">
        <f t="shared" ref="K235:K237" si="109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839"/>
      <c r="B236" s="840"/>
      <c r="C236" s="840"/>
      <c r="D236" s="840"/>
      <c r="E236" s="267" t="s">
        <v>119</v>
      </c>
      <c r="F236" s="536"/>
      <c r="G236" s="843"/>
      <c r="H236" s="582" t="s">
        <v>69</v>
      </c>
      <c r="I236" s="583">
        <f t="shared" si="108"/>
        <v>0</v>
      </c>
      <c r="J236" s="583">
        <f t="shared" si="108"/>
        <v>0</v>
      </c>
      <c r="K236" s="93">
        <f t="shared" si="109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5"/>
      <c r="B237" s="263"/>
      <c r="C237" s="339" t="s">
        <v>330</v>
      </c>
      <c r="D237" s="256"/>
      <c r="E237" s="256"/>
      <c r="F237" s="256"/>
      <c r="G237" s="258"/>
      <c r="H237" s="259" t="s">
        <v>35</v>
      </c>
      <c r="I237" s="271">
        <f t="shared" ref="I237:J237" ca="1" si="110">I244</f>
        <v>0</v>
      </c>
      <c r="J237" s="271">
        <f t="shared" si="110"/>
        <v>0</v>
      </c>
      <c r="K237" s="272">
        <f t="shared" ca="1" si="109"/>
        <v>0</v>
      </c>
      <c r="L237" s="261"/>
      <c r="M237" s="261"/>
      <c r="N237" s="261"/>
      <c r="O237" s="261"/>
      <c r="P237" s="261"/>
    </row>
    <row r="238" spans="1:26" ht="19.5" hidden="1">
      <c r="A238" s="147"/>
      <c r="B238" s="148"/>
      <c r="C238" s="149" t="s">
        <v>16</v>
      </c>
      <c r="D238" s="817" t="s">
        <v>17</v>
      </c>
      <c r="E238" s="148"/>
      <c r="F238" s="148"/>
      <c r="G238" s="151"/>
      <c r="H238" s="274" t="s">
        <v>12</v>
      </c>
      <c r="I238" s="387"/>
      <c r="J238" s="387"/>
      <c r="K238" s="279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3"/>
      <c r="B239" s="314"/>
      <c r="C239" s="315"/>
      <c r="D239" s="324" t="s">
        <v>97</v>
      </c>
      <c r="E239" s="315"/>
      <c r="F239" s="315"/>
      <c r="G239" s="317"/>
      <c r="H239" s="318" t="s">
        <v>12</v>
      </c>
      <c r="I239" s="319"/>
      <c r="J239" s="319"/>
      <c r="K239" s="320"/>
      <c r="L239" s="321">
        <f ca="1">IFERROR(__xludf.DUMMYFUNCTION("IMPORTRANGE(""https://docs.google.com/spreadsheets/d/1QqKyyYR6Q21VydFLVH3TRQUabQu_ym0Zz7PgGX0-kHA/edit?usp=sharing"",""แผน!AV29"")"),0)</f>
        <v>0</v>
      </c>
      <c r="M239" s="321"/>
      <c r="N239" s="340">
        <v>0</v>
      </c>
      <c r="O239" s="321"/>
      <c r="P239" s="321"/>
      <c r="Q239" s="312"/>
      <c r="R239" s="312"/>
      <c r="S239" s="312"/>
      <c r="T239" s="312"/>
      <c r="U239" s="312"/>
      <c r="V239" s="312"/>
      <c r="W239" s="312"/>
      <c r="X239" s="312"/>
      <c r="Y239" s="312"/>
      <c r="Z239" s="312"/>
    </row>
    <row r="240" spans="1:26" ht="19.5" hidden="1">
      <c r="A240" s="322"/>
      <c r="B240" s="314"/>
      <c r="C240" s="323"/>
      <c r="D240" s="324" t="s">
        <v>98</v>
      </c>
      <c r="E240" s="315"/>
      <c r="F240" s="315"/>
      <c r="G240" s="317"/>
      <c r="H240" s="318" t="s">
        <v>12</v>
      </c>
      <c r="I240" s="325"/>
      <c r="J240" s="325"/>
      <c r="K240" s="321"/>
      <c r="L240" s="321">
        <f ca="1">IFERROR(__xludf.DUMMYFUNCTION("IMPORTRANGE(""https://docs.google.com/spreadsheets/d/1QqKyyYR6Q21VydFLVH3TRQUabQu_ym0Zz7PgGX0-kHA/edit?usp=sharing"",""แผน!AW29"")"),0)</f>
        <v>0</v>
      </c>
      <c r="M240" s="321"/>
      <c r="N240" s="340">
        <v>0</v>
      </c>
      <c r="O240" s="321"/>
      <c r="P240" s="321"/>
      <c r="Q240" s="326"/>
      <c r="R240" s="326"/>
      <c r="S240" s="326"/>
      <c r="T240" s="326"/>
      <c r="U240" s="326"/>
      <c r="V240" s="326"/>
      <c r="W240" s="326"/>
      <c r="X240" s="326"/>
      <c r="Y240" s="326"/>
      <c r="Z240" s="326"/>
    </row>
    <row r="241" spans="1:26" ht="19.5" hidden="1">
      <c r="A241" s="322"/>
      <c r="B241" s="314"/>
      <c r="C241" s="323"/>
      <c r="D241" s="324" t="s">
        <v>116</v>
      </c>
      <c r="E241" s="315"/>
      <c r="F241" s="315"/>
      <c r="G241" s="317"/>
      <c r="H241" s="318" t="s">
        <v>12</v>
      </c>
      <c r="I241" s="325"/>
      <c r="J241" s="325"/>
      <c r="K241" s="321"/>
      <c r="L241" s="321">
        <f ca="1">IFERROR(__xludf.DUMMYFUNCTION("IMPORTRANGE(""https://docs.google.com/spreadsheets/d/1QqKyyYR6Q21VydFLVH3TRQUabQu_ym0Zz7PgGX0-kHA/edit?usp=sharing"",""แผน!AX29"")"),0)</f>
        <v>0</v>
      </c>
      <c r="M241" s="321"/>
      <c r="N241" s="340">
        <v>0</v>
      </c>
      <c r="O241" s="321"/>
      <c r="P241" s="321"/>
      <c r="Q241" s="326"/>
      <c r="R241" s="326"/>
      <c r="S241" s="326"/>
      <c r="T241" s="326"/>
      <c r="U241" s="326"/>
      <c r="V241" s="326"/>
      <c r="W241" s="326"/>
      <c r="X241" s="326"/>
      <c r="Y241" s="326"/>
      <c r="Z241" s="326"/>
    </row>
    <row r="242" spans="1:26" ht="19.5" hidden="1">
      <c r="A242" s="322"/>
      <c r="B242" s="314"/>
      <c r="C242" s="323"/>
      <c r="D242" s="324" t="s">
        <v>100</v>
      </c>
      <c r="E242" s="315"/>
      <c r="F242" s="315"/>
      <c r="G242" s="317"/>
      <c r="H242" s="318" t="s">
        <v>12</v>
      </c>
      <c r="I242" s="325"/>
      <c r="J242" s="325"/>
      <c r="K242" s="321"/>
      <c r="L242" s="321">
        <f ca="1">IFERROR(__xludf.DUMMYFUNCTION("IMPORTRANGE(""https://docs.google.com/spreadsheets/d/1QqKyyYR6Q21VydFLVH3TRQUabQu_ym0Zz7PgGX0-kHA/edit?usp=sharing"",""แผน!AY29"")"),0)</f>
        <v>0</v>
      </c>
      <c r="M242" s="321"/>
      <c r="N242" s="340">
        <v>0</v>
      </c>
      <c r="O242" s="321"/>
      <c r="P242" s="321"/>
      <c r="Q242" s="326"/>
      <c r="R242" s="326"/>
      <c r="S242" s="326"/>
      <c r="T242" s="326"/>
      <c r="U242" s="326"/>
      <c r="V242" s="326"/>
      <c r="W242" s="326"/>
      <c r="X242" s="326"/>
      <c r="Y242" s="326"/>
      <c r="Z242" s="326"/>
    </row>
    <row r="243" spans="1:26" ht="19.5" hidden="1">
      <c r="A243" s="170"/>
      <c r="B243" s="171"/>
      <c r="C243" s="291" t="s">
        <v>16</v>
      </c>
      <c r="D243" s="818" t="s">
        <v>38</v>
      </c>
      <c r="E243" s="173"/>
      <c r="F243" s="173"/>
      <c r="G243" s="174"/>
      <c r="H243" s="726"/>
      <c r="I243" s="184"/>
      <c r="J243" s="269"/>
      <c r="K243" s="465"/>
      <c r="L243" s="465"/>
      <c r="M243" s="465"/>
      <c r="N243" s="465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15" t="s">
        <v>117</v>
      </c>
      <c r="E244" s="342"/>
      <c r="F244" s="342"/>
      <c r="G244" s="179"/>
      <c r="H244" s="728" t="s">
        <v>35</v>
      </c>
      <c r="I244" s="269">
        <f ca="1">IFERROR(__xludf.DUMMYFUNCTION("IMPORTRANGE(""https://docs.google.com/spreadsheets/d/1QqKyyYR6Q21VydFLVH3TRQUabQu_ym0Zz7PgGX0-kHA/edit?usp=sharing"",""แผน!BE29"")"),0)</f>
        <v>0</v>
      </c>
      <c r="J244" s="214">
        <v>0</v>
      </c>
      <c r="K244" s="465">
        <f ca="1">IF(I244&gt;0,J244*100/I244,0)</f>
        <v>0</v>
      </c>
      <c r="L244" s="465"/>
      <c r="M244" s="465"/>
      <c r="N244" s="465"/>
      <c r="O244" s="465"/>
      <c r="P244" s="465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341" t="s">
        <v>43</v>
      </c>
      <c r="E245" s="342"/>
      <c r="F245" s="342"/>
      <c r="G245" s="179"/>
      <c r="H245" s="728"/>
      <c r="I245" s="269"/>
      <c r="J245" s="269"/>
      <c r="K245" s="465"/>
      <c r="L245" s="465"/>
      <c r="M245" s="465"/>
      <c r="N245" s="465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343" t="s">
        <v>118</v>
      </c>
      <c r="F246" s="342"/>
      <c r="G246" s="179"/>
      <c r="H246" s="728" t="s">
        <v>35</v>
      </c>
      <c r="I246" s="269"/>
      <c r="J246" s="214">
        <v>0</v>
      </c>
      <c r="K246" s="465">
        <f t="shared" ref="K246:K248" si="111">IF(I246&gt;0,J246*100/I246,0)</f>
        <v>0</v>
      </c>
      <c r="L246" s="465"/>
      <c r="M246" s="465"/>
      <c r="N246" s="465"/>
      <c r="O246" s="465"/>
      <c r="P246" s="465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343" t="s">
        <v>119</v>
      </c>
      <c r="F247" s="342"/>
      <c r="G247" s="179"/>
      <c r="H247" s="728" t="s">
        <v>69</v>
      </c>
      <c r="I247" s="269"/>
      <c r="J247" s="214">
        <v>0</v>
      </c>
      <c r="K247" s="465">
        <f t="shared" si="111"/>
        <v>0</v>
      </c>
      <c r="L247" s="465"/>
      <c r="M247" s="465"/>
      <c r="N247" s="465"/>
      <c r="O247" s="465"/>
      <c r="P247" s="465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5"/>
      <c r="B248" s="263"/>
      <c r="C248" s="339" t="s">
        <v>331</v>
      </c>
      <c r="D248" s="256"/>
      <c r="E248" s="256"/>
      <c r="F248" s="256"/>
      <c r="G248" s="258"/>
      <c r="H248" s="259" t="s">
        <v>35</v>
      </c>
      <c r="I248" s="271">
        <f t="shared" ref="I248:J248" ca="1" si="112">I255</f>
        <v>0</v>
      </c>
      <c r="J248" s="271">
        <f t="shared" si="112"/>
        <v>0</v>
      </c>
      <c r="K248" s="272">
        <f t="shared" ca="1" si="111"/>
        <v>0</v>
      </c>
      <c r="L248" s="261"/>
      <c r="M248" s="261"/>
      <c r="N248" s="261"/>
      <c r="O248" s="261"/>
      <c r="P248" s="261"/>
    </row>
    <row r="249" spans="1:26" ht="19.5" hidden="1">
      <c r="A249" s="147"/>
      <c r="B249" s="148"/>
      <c r="C249" s="149" t="s">
        <v>16</v>
      </c>
      <c r="D249" s="822" t="s">
        <v>17</v>
      </c>
      <c r="E249" s="148"/>
      <c r="F249" s="148"/>
      <c r="G249" s="151"/>
      <c r="H249" s="274" t="s">
        <v>12</v>
      </c>
      <c r="I249" s="387"/>
      <c r="J249" s="387"/>
      <c r="K249" s="279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3"/>
      <c r="B250" s="314"/>
      <c r="C250" s="315"/>
      <c r="D250" s="324" t="s">
        <v>97</v>
      </c>
      <c r="E250" s="315"/>
      <c r="F250" s="315"/>
      <c r="G250" s="317"/>
      <c r="H250" s="318" t="s">
        <v>12</v>
      </c>
      <c r="I250" s="319"/>
      <c r="J250" s="319"/>
      <c r="K250" s="320"/>
      <c r="L250" s="321">
        <f ca="1">IFERROR(__xludf.DUMMYFUNCTION("IMPORTRANGE(""https://docs.google.com/spreadsheets/d/1QqKyyYR6Q21VydFLVH3TRQUabQu_ym0Zz7PgGX0-kHA/edit?usp=sharing"",""แผน!AZ29"")"),0)</f>
        <v>0</v>
      </c>
      <c r="M250" s="321"/>
      <c r="N250" s="340">
        <v>0</v>
      </c>
      <c r="O250" s="321"/>
      <c r="P250" s="321"/>
      <c r="Q250" s="312"/>
      <c r="R250" s="312"/>
      <c r="S250" s="312"/>
      <c r="T250" s="312"/>
      <c r="U250" s="312"/>
      <c r="V250" s="312"/>
      <c r="W250" s="312"/>
      <c r="X250" s="312"/>
      <c r="Y250" s="312"/>
      <c r="Z250" s="312"/>
    </row>
    <row r="251" spans="1:26" ht="19.5" hidden="1">
      <c r="A251" s="322"/>
      <c r="B251" s="314"/>
      <c r="C251" s="323"/>
      <c r="D251" s="324" t="s">
        <v>98</v>
      </c>
      <c r="E251" s="315"/>
      <c r="F251" s="315"/>
      <c r="G251" s="317"/>
      <c r="H251" s="318" t="s">
        <v>12</v>
      </c>
      <c r="I251" s="325"/>
      <c r="J251" s="325"/>
      <c r="K251" s="321"/>
      <c r="L251" s="321">
        <f ca="1">IFERROR(__xludf.DUMMYFUNCTION("IMPORTRANGE(""https://docs.google.com/spreadsheets/d/1QqKyyYR6Q21VydFLVH3TRQUabQu_ym0Zz7PgGX0-kHA/edit?usp=sharing"",""แผน!BA29"")"),0)</f>
        <v>0</v>
      </c>
      <c r="M251" s="321"/>
      <c r="N251" s="340">
        <v>0</v>
      </c>
      <c r="O251" s="321"/>
      <c r="P251" s="321"/>
      <c r="Q251" s="326"/>
      <c r="R251" s="326"/>
      <c r="S251" s="326"/>
      <c r="T251" s="326"/>
      <c r="U251" s="326"/>
      <c r="V251" s="326"/>
      <c r="W251" s="326"/>
      <c r="X251" s="326"/>
      <c r="Y251" s="326"/>
      <c r="Z251" s="326"/>
    </row>
    <row r="252" spans="1:26" ht="19.5" hidden="1">
      <c r="A252" s="322"/>
      <c r="B252" s="314"/>
      <c r="C252" s="323"/>
      <c r="D252" s="324" t="s">
        <v>116</v>
      </c>
      <c r="E252" s="315"/>
      <c r="F252" s="315"/>
      <c r="G252" s="317"/>
      <c r="H252" s="318" t="s">
        <v>12</v>
      </c>
      <c r="I252" s="325"/>
      <c r="J252" s="325"/>
      <c r="K252" s="321"/>
      <c r="L252" s="321">
        <f ca="1">IFERROR(__xludf.DUMMYFUNCTION("IMPORTRANGE(""https://docs.google.com/spreadsheets/d/1QqKyyYR6Q21VydFLVH3TRQUabQu_ym0Zz7PgGX0-kHA/edit?usp=sharing"",""แผน!BB29"")"),0)</f>
        <v>0</v>
      </c>
      <c r="M252" s="321"/>
      <c r="N252" s="340">
        <v>0</v>
      </c>
      <c r="O252" s="321"/>
      <c r="P252" s="321"/>
      <c r="Q252" s="326"/>
      <c r="R252" s="326"/>
      <c r="S252" s="326"/>
      <c r="T252" s="326"/>
      <c r="U252" s="326"/>
      <c r="V252" s="326"/>
      <c r="W252" s="326"/>
      <c r="X252" s="326"/>
      <c r="Y252" s="326"/>
      <c r="Z252" s="326"/>
    </row>
    <row r="253" spans="1:26" ht="19.5" hidden="1">
      <c r="A253" s="322"/>
      <c r="B253" s="314"/>
      <c r="C253" s="323"/>
      <c r="D253" s="324" t="s">
        <v>100</v>
      </c>
      <c r="E253" s="315"/>
      <c r="F253" s="315"/>
      <c r="G253" s="317"/>
      <c r="H253" s="318" t="s">
        <v>12</v>
      </c>
      <c r="I253" s="325"/>
      <c r="J253" s="325"/>
      <c r="K253" s="321"/>
      <c r="L253" s="321">
        <f ca="1">IFERROR(__xludf.DUMMYFUNCTION("IMPORTRANGE(""https://docs.google.com/spreadsheets/d/1QqKyyYR6Q21VydFLVH3TRQUabQu_ym0Zz7PgGX0-kHA/edit?usp=sharing"",""แผน!BC29"")"),0)</f>
        <v>0</v>
      </c>
      <c r="M253" s="321"/>
      <c r="N253" s="340">
        <v>0</v>
      </c>
      <c r="O253" s="321"/>
      <c r="P253" s="321"/>
      <c r="Q253" s="326"/>
      <c r="R253" s="326"/>
      <c r="S253" s="326"/>
      <c r="T253" s="326"/>
      <c r="U253" s="326"/>
      <c r="V253" s="326"/>
      <c r="W253" s="326"/>
      <c r="X253" s="326"/>
      <c r="Y253" s="326"/>
      <c r="Z253" s="326"/>
    </row>
    <row r="254" spans="1:26" ht="19.5" hidden="1">
      <c r="A254" s="170"/>
      <c r="B254" s="171"/>
      <c r="C254" s="291" t="s">
        <v>16</v>
      </c>
      <c r="D254" s="818" t="s">
        <v>38</v>
      </c>
      <c r="E254" s="173"/>
      <c r="F254" s="173"/>
      <c r="G254" s="174"/>
      <c r="H254" s="726"/>
      <c r="I254" s="184"/>
      <c r="J254" s="269"/>
      <c r="K254" s="465"/>
      <c r="L254" s="465"/>
      <c r="M254" s="465"/>
      <c r="N254" s="465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15" t="s">
        <v>117</v>
      </c>
      <c r="E255" s="342"/>
      <c r="F255" s="342"/>
      <c r="G255" s="179"/>
      <c r="H255" s="728" t="s">
        <v>35</v>
      </c>
      <c r="I255" s="269">
        <f ca="1">IFERROR(__xludf.DUMMYFUNCTION("IMPORTRANGE(""https://docs.google.com/spreadsheets/d/1QqKyyYR6Q21VydFLVH3TRQUabQu_ym0Zz7PgGX0-kHA/edit?usp=sharing"",""แผน!BF29"")"),0)</f>
        <v>0</v>
      </c>
      <c r="J255" s="214">
        <v>0</v>
      </c>
      <c r="K255" s="465">
        <f ca="1">IF(I255&gt;0,J255*100/I255,0)</f>
        <v>0</v>
      </c>
      <c r="L255" s="465"/>
      <c r="M255" s="465"/>
      <c r="N255" s="465"/>
      <c r="O255" s="465"/>
      <c r="P255" s="465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341" t="s">
        <v>43</v>
      </c>
      <c r="E256" s="342"/>
      <c r="F256" s="342"/>
      <c r="G256" s="179"/>
      <c r="H256" s="728"/>
      <c r="I256" s="269"/>
      <c r="J256" s="269"/>
      <c r="K256" s="465"/>
      <c r="L256" s="465"/>
      <c r="M256" s="465"/>
      <c r="N256" s="465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343" t="s">
        <v>118</v>
      </c>
      <c r="F257" s="342"/>
      <c r="G257" s="179"/>
      <c r="H257" s="728" t="s">
        <v>35</v>
      </c>
      <c r="I257" s="269"/>
      <c r="J257" s="214">
        <v>0</v>
      </c>
      <c r="K257" s="465">
        <f t="shared" ref="K257:K258" si="113">IF(I257&gt;0,J257*100/I257,0)</f>
        <v>0</v>
      </c>
      <c r="L257" s="465"/>
      <c r="M257" s="465"/>
      <c r="N257" s="465"/>
      <c r="O257" s="465"/>
      <c r="P257" s="465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343" t="s">
        <v>119</v>
      </c>
      <c r="F258" s="342"/>
      <c r="G258" s="179"/>
      <c r="H258" s="728" t="s">
        <v>69</v>
      </c>
      <c r="I258" s="269"/>
      <c r="J258" s="214">
        <v>0</v>
      </c>
      <c r="K258" s="465">
        <f t="shared" si="113"/>
        <v>0</v>
      </c>
      <c r="L258" s="465"/>
      <c r="M258" s="465"/>
      <c r="N258" s="465"/>
      <c r="O258" s="465"/>
      <c r="P258" s="465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1" t="s">
        <v>122</v>
      </c>
      <c r="B259" s="242"/>
      <c r="C259" s="242"/>
      <c r="D259" s="243"/>
      <c r="E259" s="243"/>
      <c r="F259" s="243"/>
      <c r="G259" s="244"/>
      <c r="H259" s="245"/>
      <c r="I259" s="246"/>
      <c r="J259" s="246"/>
      <c r="K259" s="247"/>
      <c r="L259" s="247"/>
      <c r="M259" s="247"/>
      <c r="N259" s="247"/>
      <c r="O259" s="247"/>
      <c r="P259" s="247"/>
    </row>
    <row r="260" spans="1:26" ht="19.5">
      <c r="A260" s="248"/>
      <c r="B260" s="249" t="s">
        <v>123</v>
      </c>
      <c r="C260" s="250"/>
      <c r="D260" s="173"/>
      <c r="E260" s="173"/>
      <c r="F260" s="173"/>
      <c r="G260" s="174"/>
      <c r="H260" s="251" t="s">
        <v>35</v>
      </c>
      <c r="I260" s="252">
        <f t="shared" ref="I260:J260" ca="1" si="114">I271</f>
        <v>22</v>
      </c>
      <c r="J260" s="252">
        <f t="shared" si="114"/>
        <v>0</v>
      </c>
      <c r="K260" s="253">
        <f ca="1">IF(I260&gt;0,J260*100/I260,0)</f>
        <v>0</v>
      </c>
      <c r="L260" s="254"/>
      <c r="M260" s="254"/>
      <c r="N260" s="254"/>
      <c r="O260" s="254"/>
      <c r="P260" s="254"/>
    </row>
    <row r="261" spans="1:26" ht="19.5">
      <c r="A261" s="147"/>
      <c r="B261" s="148"/>
      <c r="C261" s="149" t="s">
        <v>16</v>
      </c>
      <c r="D261" s="817" t="s">
        <v>17</v>
      </c>
      <c r="E261" s="148"/>
      <c r="F261" s="148"/>
      <c r="G261" s="151"/>
      <c r="H261" s="152" t="s">
        <v>12</v>
      </c>
      <c r="I261" s="388"/>
      <c r="J261" s="388"/>
      <c r="K261" s="154"/>
      <c r="L261" s="155">
        <f t="shared" ref="L261:N261" ca="1" si="115">L262+L263</f>
        <v>169900</v>
      </c>
      <c r="M261" s="155">
        <f t="shared" ca="1" si="115"/>
        <v>88900</v>
      </c>
      <c r="N261" s="155">
        <f t="shared" ca="1" si="115"/>
        <v>13000</v>
      </c>
      <c r="O261" s="155">
        <f t="shared" ref="O261:O269" ca="1" si="116">IF(L261&gt;0,N261*100/L261,0)</f>
        <v>7.6515597410241316</v>
      </c>
      <c r="P261" s="155">
        <f t="shared" ref="P261:P269" ca="1" si="117">IF(M261&gt;0,N261*100/M261,0)</f>
        <v>14.623172103487065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2" t="s">
        <v>18</v>
      </c>
      <c r="F262" s="40"/>
      <c r="G262" s="157"/>
      <c r="H262" s="158" t="s">
        <v>12</v>
      </c>
      <c r="I262" s="583"/>
      <c r="J262" s="583"/>
      <c r="K262" s="93"/>
      <c r="L262" s="93">
        <f t="shared" ref="L262:N263" si="118">L265+L268</f>
        <v>0</v>
      </c>
      <c r="M262" s="93">
        <f t="shared" si="118"/>
        <v>0</v>
      </c>
      <c r="N262" s="93">
        <f t="shared" si="118"/>
        <v>0</v>
      </c>
      <c r="O262" s="93">
        <f t="shared" si="116"/>
        <v>0</v>
      </c>
      <c r="P262" s="93">
        <f t="shared" si="117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2" t="s">
        <v>19</v>
      </c>
      <c r="F263" s="40"/>
      <c r="G263" s="157"/>
      <c r="H263" s="158" t="s">
        <v>12</v>
      </c>
      <c r="I263" s="583"/>
      <c r="J263" s="583"/>
      <c r="K263" s="93"/>
      <c r="L263" s="93">
        <f t="shared" ca="1" si="118"/>
        <v>169900</v>
      </c>
      <c r="M263" s="93">
        <f t="shared" ca="1" si="118"/>
        <v>88900</v>
      </c>
      <c r="N263" s="93">
        <f t="shared" ca="1" si="118"/>
        <v>13000</v>
      </c>
      <c r="O263" s="93">
        <f t="shared" ca="1" si="116"/>
        <v>7.6515597410241316</v>
      </c>
      <c r="P263" s="93">
        <f t="shared" ca="1" si="117"/>
        <v>14.623172103487065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1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65">
        <f t="shared" ref="L264:N264" ca="1" si="119">L265+L266</f>
        <v>169900</v>
      </c>
      <c r="M264" s="465">
        <f t="shared" ca="1" si="119"/>
        <v>88900</v>
      </c>
      <c r="N264" s="465">
        <f t="shared" ca="1" si="119"/>
        <v>13000</v>
      </c>
      <c r="O264" s="465">
        <f t="shared" ca="1" si="116"/>
        <v>7.6515597410241316</v>
      </c>
      <c r="P264" s="465">
        <f t="shared" ca="1" si="117"/>
        <v>14.623172103487065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2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6"/>
        <v>0</v>
      </c>
      <c r="P265" s="93">
        <f t="shared" si="117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2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IFERROR(__xludf.DUMMYFUNCTION("IMPORTRANGE(""https://docs.google.com/spreadsheets/d/1MeEWN-I1oV_STSDYn1IFDPWt_1FKiwhDph83XaGc0o0/edit?usp=sharing"",""งบพรบ!CY29"")"),169900)</f>
        <v>169900</v>
      </c>
      <c r="M266" s="93">
        <f ca="1">IFERROR(__xludf.DUMMYFUNCTION("IMPORTRANGE(""https://docs.google.com/spreadsheets/d/1MeEWN-I1oV_STSDYn1IFDPWt_1FKiwhDph83XaGc0o0/edit?usp=sharing"",""งบพรบ!DD29"")"),88900)</f>
        <v>88900</v>
      </c>
      <c r="N266" s="93">
        <f ca="1">IFERROR(__xludf.DUMMYFUNCTION("IMPORTRANGE(""https://docs.google.com/spreadsheets/d/1MeEWN-I1oV_STSDYn1IFDPWt_1FKiwhDph83XaGc0o0/edit?usp=sharing"",""งบพรบ!DF29"")"),13000)</f>
        <v>13000</v>
      </c>
      <c r="O266" s="93">
        <f t="shared" ca="1" si="116"/>
        <v>7.6515597410241316</v>
      </c>
      <c r="P266" s="93">
        <f t="shared" ca="1" si="117"/>
        <v>14.623172103487065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1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65">
        <f t="shared" ref="L267:N267" ca="1" si="120">L268+L269</f>
        <v>0</v>
      </c>
      <c r="M267" s="465">
        <f t="shared" ca="1" si="120"/>
        <v>0</v>
      </c>
      <c r="N267" s="465">
        <f t="shared" ca="1" si="120"/>
        <v>0</v>
      </c>
      <c r="O267" s="465">
        <f t="shared" ca="1" si="116"/>
        <v>0</v>
      </c>
      <c r="P267" s="465">
        <f t="shared" ca="1" si="117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2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6"/>
        <v>0</v>
      </c>
      <c r="P268" s="93">
        <f t="shared" si="117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2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IFERROR(__xludf.DUMMYFUNCTION("IMPORTRANGE(""https://docs.google.com/spreadsheets/d/1MeEWN-I1oV_STSDYn1IFDPWt_1FKiwhDph83XaGc0o0/edit?usp=sharing"",""งบพรบ!DB29"")"),0)</f>
        <v>0</v>
      </c>
      <c r="M269" s="93">
        <f ca="1">IFERROR(__xludf.DUMMYFUNCTION("IMPORTRANGE(""https://docs.google.com/spreadsheets/d/1MeEWN-I1oV_STSDYn1IFDPWt_1FKiwhDph83XaGc0o0/edit?usp=sharing"",""งบพรบ!DE29"")"),0)</f>
        <v>0</v>
      </c>
      <c r="N269" s="93">
        <f ca="1">IFERROR(__xludf.DUMMYFUNCTION("IMPORTRANGE(""https://docs.google.com/spreadsheets/d/1MeEWN-I1oV_STSDYn1IFDPWt_1FKiwhDph83XaGc0o0/edit?usp=sharing"",""งบพรบ!DG29"")"),0)</f>
        <v>0</v>
      </c>
      <c r="O269" s="93">
        <f t="shared" ca="1" si="116"/>
        <v>0</v>
      </c>
      <c r="P269" s="93">
        <f t="shared" ca="1" si="117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1" t="s">
        <v>16</v>
      </c>
      <c r="D270" s="818" t="s">
        <v>38</v>
      </c>
      <c r="E270" s="173"/>
      <c r="F270" s="173"/>
      <c r="G270" s="174"/>
      <c r="H270" s="726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44" t="s">
        <v>124</v>
      </c>
      <c r="E271" s="342"/>
      <c r="F271" s="268"/>
      <c r="G271" s="179"/>
      <c r="H271" s="345" t="s">
        <v>35</v>
      </c>
      <c r="I271" s="269">
        <f ca="1">IFERROR(__xludf.DUMMYFUNCTION("IMPORTRANGE(""https://docs.google.com/spreadsheets/d/1QqKyyYR6Q21VydFLVH3TRQUabQu_ym0Zz7PgGX0-kHA/edit?usp=sharing"",""แผน!EA29"")"),22)</f>
        <v>22</v>
      </c>
      <c r="J271" s="214">
        <v>0</v>
      </c>
      <c r="K271" s="163">
        <f ca="1">IF(I271&gt;0,J271*100/I271,0)</f>
        <v>0</v>
      </c>
      <c r="L271" s="163"/>
      <c r="M271" s="163"/>
      <c r="N271" s="163"/>
      <c r="O271" s="163"/>
      <c r="P271" s="163"/>
    </row>
    <row r="272" spans="1:26" ht="18.75" hidden="1">
      <c r="A272" s="346"/>
      <c r="B272" s="347"/>
      <c r="C272" s="347"/>
      <c r="D272" s="348" t="s">
        <v>125</v>
      </c>
      <c r="E272" s="349"/>
      <c r="F272" s="349"/>
      <c r="G272" s="350"/>
      <c r="H272" s="50" t="s">
        <v>35</v>
      </c>
      <c r="I272" s="468">
        <v>0</v>
      </c>
      <c r="J272" s="468">
        <v>0</v>
      </c>
      <c r="K272" s="353">
        <v>0</v>
      </c>
      <c r="L272" s="353"/>
      <c r="M272" s="353"/>
      <c r="N272" s="353"/>
      <c r="O272" s="353"/>
      <c r="P272" s="353"/>
    </row>
    <row r="273" spans="1:26" ht="19.5">
      <c r="A273" s="354" t="s">
        <v>126</v>
      </c>
      <c r="B273" s="355"/>
      <c r="C273" s="355"/>
      <c r="D273" s="355"/>
      <c r="E273" s="356"/>
      <c r="F273" s="356"/>
      <c r="G273" s="357"/>
      <c r="H273" s="358"/>
      <c r="I273" s="359"/>
      <c r="J273" s="359"/>
      <c r="K273" s="360"/>
      <c r="L273" s="360"/>
      <c r="M273" s="360"/>
      <c r="N273" s="360"/>
      <c r="O273" s="360"/>
      <c r="P273" s="360"/>
    </row>
    <row r="274" spans="1:26" ht="19.5">
      <c r="A274" s="361" t="s">
        <v>127</v>
      </c>
      <c r="B274" s="362"/>
      <c r="C274" s="363"/>
      <c r="D274" s="362"/>
      <c r="E274" s="362"/>
      <c r="F274" s="362"/>
      <c r="G274" s="362"/>
      <c r="H274" s="364"/>
      <c r="I274" s="365"/>
      <c r="J274" s="366"/>
      <c r="K274" s="367"/>
      <c r="L274" s="367"/>
      <c r="M274" s="367"/>
      <c r="N274" s="367"/>
      <c r="O274" s="367"/>
      <c r="P274" s="367"/>
    </row>
    <row r="275" spans="1:26" ht="19.5">
      <c r="A275" s="368"/>
      <c r="B275" s="377" t="s">
        <v>128</v>
      </c>
      <c r="C275" s="370"/>
      <c r="D275" s="371"/>
      <c r="E275" s="370"/>
      <c r="F275" s="370"/>
      <c r="G275" s="372"/>
      <c r="H275" s="373" t="s">
        <v>35</v>
      </c>
      <c r="I275" s="374">
        <f t="shared" ref="I275:J275" ca="1" si="121">I288</f>
        <v>25</v>
      </c>
      <c r="J275" s="374">
        <f t="shared" ca="1" si="121"/>
        <v>0</v>
      </c>
      <c r="K275" s="375">
        <f t="shared" ref="K275:K276" ca="1" si="122">IF(I275&gt;0,J275*100/I275,0)</f>
        <v>0</v>
      </c>
      <c r="L275" s="376"/>
      <c r="M275" s="376"/>
      <c r="N275" s="376"/>
      <c r="O275" s="376"/>
      <c r="P275" s="376"/>
    </row>
    <row r="276" spans="1:26" ht="19.5">
      <c r="A276" s="368"/>
      <c r="B276" s="377"/>
      <c r="C276" s="370"/>
      <c r="D276" s="371"/>
      <c r="E276" s="370"/>
      <c r="F276" s="370"/>
      <c r="G276" s="372"/>
      <c r="H276" s="373" t="s">
        <v>46</v>
      </c>
      <c r="I276" s="374">
        <f t="shared" ref="I276:J276" ca="1" si="123">I287</f>
        <v>250</v>
      </c>
      <c r="J276" s="374">
        <f t="shared" si="123"/>
        <v>0</v>
      </c>
      <c r="K276" s="375">
        <f t="shared" ca="1" si="122"/>
        <v>0</v>
      </c>
      <c r="L276" s="376"/>
      <c r="M276" s="376"/>
      <c r="N276" s="376"/>
      <c r="O276" s="376"/>
      <c r="P276" s="376"/>
    </row>
    <row r="277" spans="1:26" ht="19.5">
      <c r="A277" s="147"/>
      <c r="B277" s="148"/>
      <c r="C277" s="149" t="s">
        <v>16</v>
      </c>
      <c r="D277" s="817" t="s">
        <v>17</v>
      </c>
      <c r="E277" s="148"/>
      <c r="F277" s="148"/>
      <c r="G277" s="151"/>
      <c r="H277" s="152" t="s">
        <v>12</v>
      </c>
      <c r="I277" s="388"/>
      <c r="J277" s="388"/>
      <c r="K277" s="154"/>
      <c r="L277" s="155">
        <f t="shared" ref="L277:N277" ca="1" si="124">L278+L279</f>
        <v>262220</v>
      </c>
      <c r="M277" s="155">
        <f t="shared" ca="1" si="124"/>
        <v>123150</v>
      </c>
      <c r="N277" s="155">
        <f t="shared" ca="1" si="124"/>
        <v>64862.1</v>
      </c>
      <c r="O277" s="155">
        <f t="shared" ref="O277:O285" ca="1" si="125">IF(L277&gt;0,N277*100/L277,0)</f>
        <v>24.735756235222333</v>
      </c>
      <c r="P277" s="155">
        <f t="shared" ref="P277:P285" ca="1" si="126">IF(M277&gt;0,N277*100/M277,0)</f>
        <v>52.669183922046287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2" t="s">
        <v>18</v>
      </c>
      <c r="F278" s="40"/>
      <c r="G278" s="157"/>
      <c r="H278" s="158" t="s">
        <v>12</v>
      </c>
      <c r="I278" s="583"/>
      <c r="J278" s="583"/>
      <c r="K278" s="93"/>
      <c r="L278" s="93">
        <f t="shared" ref="L278:N279" si="127">L281+L284</f>
        <v>0</v>
      </c>
      <c r="M278" s="93">
        <f t="shared" si="127"/>
        <v>0</v>
      </c>
      <c r="N278" s="93">
        <f t="shared" si="127"/>
        <v>0</v>
      </c>
      <c r="O278" s="93">
        <f t="shared" si="125"/>
        <v>0</v>
      </c>
      <c r="P278" s="93">
        <f t="shared" si="126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2" t="s">
        <v>19</v>
      </c>
      <c r="F279" s="40"/>
      <c r="G279" s="157"/>
      <c r="H279" s="158" t="s">
        <v>12</v>
      </c>
      <c r="I279" s="583"/>
      <c r="J279" s="583"/>
      <c r="K279" s="93"/>
      <c r="L279" s="93">
        <f t="shared" ca="1" si="127"/>
        <v>262220</v>
      </c>
      <c r="M279" s="93">
        <f t="shared" ca="1" si="127"/>
        <v>123150</v>
      </c>
      <c r="N279" s="93">
        <f t="shared" ca="1" si="127"/>
        <v>64862.1</v>
      </c>
      <c r="O279" s="93">
        <f t="shared" ca="1" si="125"/>
        <v>24.735756235222333</v>
      </c>
      <c r="P279" s="93">
        <f t="shared" ca="1" si="126"/>
        <v>52.669183922046287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>
      <c r="A280" s="159"/>
      <c r="B280" s="33"/>
      <c r="C280" s="281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65">
        <f t="shared" ref="L280:N280" ca="1" si="128">L281+L282</f>
        <v>262220</v>
      </c>
      <c r="M280" s="465">
        <f t="shared" ca="1" si="128"/>
        <v>123150</v>
      </c>
      <c r="N280" s="465">
        <f t="shared" ca="1" si="128"/>
        <v>64862.1</v>
      </c>
      <c r="O280" s="465">
        <f t="shared" ca="1" si="125"/>
        <v>24.735756235222333</v>
      </c>
      <c r="P280" s="465">
        <f t="shared" ca="1" si="126"/>
        <v>52.669183922046287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2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5"/>
        <v>0</v>
      </c>
      <c r="P281" s="93">
        <f t="shared" si="126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2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IFERROR(__xludf.DUMMYFUNCTION("IMPORTRANGE(""https://docs.google.com/spreadsheets/d/1MeEWN-I1oV_STSDYn1IFDPWt_1FKiwhDph83XaGc0o0/edit?usp=sharing"",""งบพรบ!DI29"")"),262220)</f>
        <v>262220</v>
      </c>
      <c r="M282" s="93">
        <f ca="1">IFERROR(__xludf.DUMMYFUNCTION("IMPORTRANGE(""https://docs.google.com/spreadsheets/d/1MeEWN-I1oV_STSDYn1IFDPWt_1FKiwhDph83XaGc0o0/edit?usp=sharing"",""งบพรบ!DN29"")"),123150)</f>
        <v>123150</v>
      </c>
      <c r="N282" s="93">
        <f ca="1">IFERROR(__xludf.DUMMYFUNCTION("IMPORTRANGE(""https://docs.google.com/spreadsheets/d/1MeEWN-I1oV_STSDYn1IFDPWt_1FKiwhDph83XaGc0o0/edit?usp=sharing"",""งบพรบ!DP29"")"),64862.1)</f>
        <v>64862.1</v>
      </c>
      <c r="O282" s="93">
        <f t="shared" ca="1" si="125"/>
        <v>24.735756235222333</v>
      </c>
      <c r="P282" s="93">
        <f t="shared" ca="1" si="126"/>
        <v>52.669183922046287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>
      <c r="A283" s="159"/>
      <c r="B283" s="33"/>
      <c r="C283" s="281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65">
        <f t="shared" ref="L283:N283" ca="1" si="129">L284+L285</f>
        <v>0</v>
      </c>
      <c r="M283" s="465">
        <f t="shared" ca="1" si="129"/>
        <v>0</v>
      </c>
      <c r="N283" s="465">
        <f t="shared" ca="1" si="129"/>
        <v>0</v>
      </c>
      <c r="O283" s="465">
        <f t="shared" ca="1" si="125"/>
        <v>0</v>
      </c>
      <c r="P283" s="465">
        <f t="shared" ca="1" si="126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2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5"/>
        <v>0</v>
      </c>
      <c r="P284" s="93">
        <f t="shared" si="126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2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IFERROR(__xludf.DUMMYFUNCTION("IMPORTRANGE(""https://docs.google.com/spreadsheets/d/1MeEWN-I1oV_STSDYn1IFDPWt_1FKiwhDph83XaGc0o0/edit?usp=sharing"",""งบพรบ!DL29"")"),0)</f>
        <v>0</v>
      </c>
      <c r="M285" s="93">
        <f ca="1">IFERROR(__xludf.DUMMYFUNCTION("IMPORTRANGE(""https://docs.google.com/spreadsheets/d/1MeEWN-I1oV_STSDYn1IFDPWt_1FKiwhDph83XaGc0o0/edit?usp=sharing"",""งบพรบ!DO29"")"),0)</f>
        <v>0</v>
      </c>
      <c r="N285" s="93">
        <f ca="1">IFERROR(__xludf.DUMMYFUNCTION("IMPORTRANGE(""https://docs.google.com/spreadsheets/d/1MeEWN-I1oV_STSDYn1IFDPWt_1FKiwhDph83XaGc0o0/edit?usp=sharing"",""งบพรบ!DQ29"")"),0)</f>
        <v>0</v>
      </c>
      <c r="O285" s="93">
        <f t="shared" ca="1" si="125"/>
        <v>0</v>
      </c>
      <c r="P285" s="93">
        <f t="shared" ca="1" si="126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>
      <c r="A286" s="170"/>
      <c r="B286" s="171"/>
      <c r="C286" s="164" t="s">
        <v>16</v>
      </c>
      <c r="D286" s="818" t="s">
        <v>38</v>
      </c>
      <c r="E286" s="173"/>
      <c r="F286" s="173"/>
      <c r="G286" s="174"/>
      <c r="H286" s="726"/>
      <c r="I286" s="184"/>
      <c r="J286" s="184"/>
      <c r="K286" s="163"/>
      <c r="L286" s="163"/>
      <c r="M286" s="163"/>
      <c r="N286" s="163"/>
      <c r="O286" s="163"/>
      <c r="P286" s="163"/>
    </row>
    <row r="287" spans="1:26" ht="18.75">
      <c r="A287" s="170"/>
      <c r="B287" s="171"/>
      <c r="C287" s="171"/>
      <c r="D287" s="592" t="s">
        <v>129</v>
      </c>
      <c r="E287" s="171"/>
      <c r="F287" s="342"/>
      <c r="G287" s="179"/>
      <c r="H287" s="185" t="s">
        <v>46</v>
      </c>
      <c r="I287" s="269">
        <f ca="1">IFERROR(__xludf.DUMMYFUNCTION("IMPORTRANGE(""https://docs.google.com/spreadsheets/d/1QqKyyYR6Q21VydFLVH3TRQUabQu_ym0Zz7PgGX0-kHA/edit?usp=sharing"",""แผน!EC29"")"),250)</f>
        <v>250</v>
      </c>
      <c r="J287" s="214">
        <v>0</v>
      </c>
      <c r="K287" s="163">
        <f t="shared" ref="K287:K288" ca="1" si="130">IF(I287&gt;0,J287*100/I287,0)</f>
        <v>0</v>
      </c>
      <c r="L287" s="163"/>
      <c r="M287" s="163"/>
      <c r="N287" s="163"/>
      <c r="O287" s="163"/>
      <c r="P287" s="163"/>
    </row>
    <row r="288" spans="1:26" ht="19.5">
      <c r="A288" s="170"/>
      <c r="B288" s="171"/>
      <c r="C288" s="171"/>
      <c r="D288" s="592" t="s">
        <v>130</v>
      </c>
      <c r="E288" s="171"/>
      <c r="F288" s="342"/>
      <c r="G288" s="179"/>
      <c r="H288" s="180" t="s">
        <v>35</v>
      </c>
      <c r="I288" s="647">
        <f ca="1">IFERROR(__xludf.DUMMYFUNCTION("IMPORTRANGE(""https://docs.google.com/spreadsheets/d/1QqKyyYR6Q21VydFLVH3TRQUabQu_ym0Zz7PgGX0-kHA/edit?usp=sharing"",""แผน!EB29"")"),25)</f>
        <v>25</v>
      </c>
      <c r="J288" s="647">
        <f ca="1">IF(AND(J291&gt;=I288,J294&gt;=I288),J294,0)</f>
        <v>0</v>
      </c>
      <c r="K288" s="379">
        <f t="shared" ca="1" si="130"/>
        <v>0</v>
      </c>
      <c r="L288" s="163"/>
      <c r="M288" s="163"/>
      <c r="N288" s="163"/>
      <c r="O288" s="163"/>
      <c r="P288" s="163"/>
    </row>
    <row r="289" spans="1:26" ht="19.5">
      <c r="A289" s="170"/>
      <c r="B289" s="171"/>
      <c r="C289" s="171"/>
      <c r="D289" s="380"/>
      <c r="E289" s="381" t="s">
        <v>131</v>
      </c>
      <c r="F289" s="342"/>
      <c r="G289" s="179"/>
      <c r="H289" s="728"/>
      <c r="I289" s="184"/>
      <c r="J289" s="269"/>
      <c r="K289" s="163"/>
      <c r="L289" s="163"/>
      <c r="M289" s="163"/>
      <c r="N289" s="163"/>
      <c r="O289" s="163"/>
      <c r="P289" s="163"/>
    </row>
    <row r="290" spans="1:26" ht="19.5">
      <c r="A290" s="170"/>
      <c r="B290" s="171"/>
      <c r="C290" s="171"/>
      <c r="D290" s="380"/>
      <c r="E290" s="592" t="s">
        <v>132</v>
      </c>
      <c r="F290" s="342"/>
      <c r="G290" s="179"/>
      <c r="H290" s="728" t="s">
        <v>35</v>
      </c>
      <c r="I290" s="184">
        <f ca="1">IFERROR(__xludf.DUMMYFUNCTION("IMPORTRANGE(""https://docs.google.com/spreadsheets/d/1QqKyyYR6Q21VydFLVH3TRQUabQu_ym0Zz7PgGX0-kHA/edit?usp=sharing"",""แผน!EB29"")"),25)</f>
        <v>25</v>
      </c>
      <c r="J290" s="214">
        <v>0</v>
      </c>
      <c r="K290" s="163">
        <f t="shared" ref="K290:K291" ca="1" si="131">IF(I290&gt;0,J290*100/I290,0)</f>
        <v>0</v>
      </c>
      <c r="L290" s="163"/>
      <c r="M290" s="163"/>
      <c r="N290" s="163"/>
      <c r="O290" s="163"/>
      <c r="P290" s="163"/>
    </row>
    <row r="291" spans="1:26" ht="19.5">
      <c r="A291" s="170"/>
      <c r="B291" s="171"/>
      <c r="C291" s="171"/>
      <c r="D291" s="342"/>
      <c r="E291" s="592" t="s">
        <v>133</v>
      </c>
      <c r="F291" s="342"/>
      <c r="G291" s="179"/>
      <c r="H291" s="728" t="s">
        <v>35</v>
      </c>
      <c r="I291" s="184">
        <f ca="1">IFERROR(__xludf.DUMMYFUNCTION("IMPORTRANGE(""https://docs.google.com/spreadsheets/d/1QqKyyYR6Q21VydFLVH3TRQUabQu_ym0Zz7PgGX0-kHA/edit?usp=sharing"",""แผน!EB29"")"),25)</f>
        <v>25</v>
      </c>
      <c r="J291" s="214">
        <v>0</v>
      </c>
      <c r="K291" s="163">
        <f t="shared" ca="1" si="131"/>
        <v>0</v>
      </c>
      <c r="L291" s="163"/>
      <c r="M291" s="163"/>
      <c r="N291" s="163"/>
      <c r="O291" s="163"/>
      <c r="P291" s="163"/>
    </row>
    <row r="292" spans="1:26" ht="19.5">
      <c r="A292" s="382"/>
      <c r="B292" s="383"/>
      <c r="C292" s="383"/>
      <c r="D292" s="384"/>
      <c r="E292" s="385" t="s">
        <v>134</v>
      </c>
      <c r="F292" s="286"/>
      <c r="G292" s="287"/>
      <c r="H292" s="386"/>
      <c r="I292" s="387"/>
      <c r="J292" s="388"/>
      <c r="K292" s="279"/>
      <c r="L292" s="279"/>
      <c r="M292" s="279"/>
      <c r="N292" s="279"/>
      <c r="O292" s="279"/>
      <c r="P292" s="279"/>
    </row>
    <row r="293" spans="1:26" ht="19.5">
      <c r="A293" s="170"/>
      <c r="B293" s="171"/>
      <c r="C293" s="171"/>
      <c r="D293" s="380"/>
      <c r="E293" s="592" t="s">
        <v>132</v>
      </c>
      <c r="F293" s="342"/>
      <c r="G293" s="179"/>
      <c r="H293" s="728" t="s">
        <v>35</v>
      </c>
      <c r="I293" s="184">
        <f ca="1">IFERROR(__xludf.DUMMYFUNCTION("IMPORTRANGE(""https://docs.google.com/spreadsheets/d/1QqKyyYR6Q21VydFLVH3TRQUabQu_ym0Zz7PgGX0-kHA/edit?usp=sharing"",""แผน!EB29"")"),25)</f>
        <v>25</v>
      </c>
      <c r="J293" s="214">
        <v>0</v>
      </c>
      <c r="K293" s="163">
        <f t="shared" ref="K293:K294" ca="1" si="132">IF(I293&gt;0,J293*100/I293,0)</f>
        <v>0</v>
      </c>
      <c r="L293" s="163"/>
      <c r="M293" s="163"/>
      <c r="N293" s="163"/>
      <c r="O293" s="163"/>
      <c r="P293" s="163"/>
    </row>
    <row r="294" spans="1:26" ht="19.5">
      <c r="A294" s="346"/>
      <c r="B294" s="347"/>
      <c r="C294" s="347"/>
      <c r="D294" s="349"/>
      <c r="E294" s="698" t="s">
        <v>136</v>
      </c>
      <c r="F294" s="349"/>
      <c r="G294" s="350"/>
      <c r="H294" s="390" t="s">
        <v>35</v>
      </c>
      <c r="I294" s="391">
        <f ca="1">IFERROR(__xludf.DUMMYFUNCTION("IMPORTRANGE(""https://docs.google.com/spreadsheets/d/1QqKyyYR6Q21VydFLVH3TRQUabQu_ym0Zz7PgGX0-kHA/edit?usp=sharing"",""แผน!EB29"")"),25)</f>
        <v>25</v>
      </c>
      <c r="J294" s="392">
        <v>0</v>
      </c>
      <c r="K294" s="353">
        <f t="shared" ca="1" si="132"/>
        <v>0</v>
      </c>
      <c r="L294" s="353"/>
      <c r="M294" s="353"/>
      <c r="N294" s="353"/>
      <c r="O294" s="353"/>
      <c r="P294" s="353"/>
    </row>
    <row r="295" spans="1:26" ht="19.5">
      <c r="A295" s="393" t="s">
        <v>137</v>
      </c>
      <c r="B295" s="394"/>
      <c r="C295" s="394"/>
      <c r="D295" s="394"/>
      <c r="E295" s="395"/>
      <c r="F295" s="395"/>
      <c r="G295" s="396"/>
      <c r="H295" s="397"/>
      <c r="I295" s="398"/>
      <c r="J295" s="398"/>
      <c r="K295" s="399"/>
      <c r="L295" s="399"/>
      <c r="M295" s="399"/>
      <c r="N295" s="399"/>
      <c r="O295" s="399"/>
      <c r="P295" s="399"/>
    </row>
    <row r="296" spans="1:26" ht="19.5">
      <c r="A296" s="400" t="s">
        <v>138</v>
      </c>
      <c r="B296" s="401"/>
      <c r="C296" s="401"/>
      <c r="D296" s="402"/>
      <c r="E296" s="402"/>
      <c r="F296" s="402"/>
      <c r="G296" s="403"/>
      <c r="H296" s="404"/>
      <c r="I296" s="405"/>
      <c r="J296" s="405"/>
      <c r="K296" s="406"/>
      <c r="L296" s="406"/>
      <c r="M296" s="406"/>
      <c r="N296" s="406"/>
      <c r="O296" s="406"/>
      <c r="P296" s="406"/>
    </row>
    <row r="297" spans="1:26" ht="19.5">
      <c r="A297" s="407"/>
      <c r="B297" s="408" t="s">
        <v>139</v>
      </c>
      <c r="C297" s="409"/>
      <c r="D297" s="409"/>
      <c r="E297" s="409"/>
      <c r="F297" s="409"/>
      <c r="G297" s="410"/>
      <c r="H297" s="411" t="s">
        <v>35</v>
      </c>
      <c r="I297" s="412">
        <f t="shared" ref="I297:J297" ca="1" si="133">I309</f>
        <v>20</v>
      </c>
      <c r="J297" s="412">
        <f t="shared" si="133"/>
        <v>0</v>
      </c>
      <c r="K297" s="413">
        <f ca="1">IF(I297&gt;0,J297*100/I297,0)</f>
        <v>0</v>
      </c>
      <c r="L297" s="414"/>
      <c r="M297" s="414"/>
      <c r="N297" s="414"/>
      <c r="O297" s="414"/>
      <c r="P297" s="414"/>
    </row>
    <row r="298" spans="1:26" ht="19.5">
      <c r="A298" s="147"/>
      <c r="B298" s="148"/>
      <c r="C298" s="149" t="s">
        <v>16</v>
      </c>
      <c r="D298" s="817" t="s">
        <v>17</v>
      </c>
      <c r="E298" s="148"/>
      <c r="F298" s="148"/>
      <c r="G298" s="151"/>
      <c r="H298" s="152" t="s">
        <v>12</v>
      </c>
      <c r="I298" s="388"/>
      <c r="J298" s="388"/>
      <c r="K298" s="154"/>
      <c r="L298" s="155">
        <f t="shared" ref="L298:N298" ca="1" si="134">L299+L300</f>
        <v>82400</v>
      </c>
      <c r="M298" s="155">
        <f t="shared" ca="1" si="134"/>
        <v>49120</v>
      </c>
      <c r="N298" s="155">
        <f t="shared" ca="1" si="134"/>
        <v>300</v>
      </c>
      <c r="O298" s="155">
        <f t="shared" ref="O298:O306" ca="1" si="135">IF(L298&gt;0,N298*100/L298,0)</f>
        <v>0.36407766990291263</v>
      </c>
      <c r="P298" s="155">
        <f t="shared" ref="P298:P306" ca="1" si="136">IF(M298&gt;0,N298*100/M298,0)</f>
        <v>0.61074918566775249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2" t="s">
        <v>18</v>
      </c>
      <c r="F299" s="40"/>
      <c r="G299" s="157"/>
      <c r="H299" s="158" t="s">
        <v>12</v>
      </c>
      <c r="I299" s="583"/>
      <c r="J299" s="583"/>
      <c r="K299" s="93"/>
      <c r="L299" s="93">
        <f t="shared" ref="L299:N300" si="137">L302+L305</f>
        <v>0</v>
      </c>
      <c r="M299" s="93">
        <f t="shared" si="137"/>
        <v>0</v>
      </c>
      <c r="N299" s="93">
        <f t="shared" si="137"/>
        <v>0</v>
      </c>
      <c r="O299" s="93">
        <f t="shared" si="135"/>
        <v>0</v>
      </c>
      <c r="P299" s="93">
        <f t="shared" si="136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2" t="s">
        <v>19</v>
      </c>
      <c r="F300" s="40"/>
      <c r="G300" s="157"/>
      <c r="H300" s="158" t="s">
        <v>12</v>
      </c>
      <c r="I300" s="583"/>
      <c r="J300" s="583"/>
      <c r="K300" s="93"/>
      <c r="L300" s="93">
        <f t="shared" ca="1" si="137"/>
        <v>82400</v>
      </c>
      <c r="M300" s="93">
        <f t="shared" ca="1" si="137"/>
        <v>49120</v>
      </c>
      <c r="N300" s="93">
        <f t="shared" ca="1" si="137"/>
        <v>300</v>
      </c>
      <c r="O300" s="93">
        <f t="shared" ca="1" si="135"/>
        <v>0.36407766990291263</v>
      </c>
      <c r="P300" s="93">
        <f t="shared" ca="1" si="136"/>
        <v>0.61074918566775249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>
      <c r="A301" s="159"/>
      <c r="B301" s="33"/>
      <c r="C301" s="281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65">
        <f t="shared" ref="L301:N301" ca="1" si="138">L302+L303</f>
        <v>82400</v>
      </c>
      <c r="M301" s="465">
        <f t="shared" ca="1" si="138"/>
        <v>49120</v>
      </c>
      <c r="N301" s="465">
        <f t="shared" ca="1" si="138"/>
        <v>300</v>
      </c>
      <c r="O301" s="465">
        <f t="shared" ca="1" si="135"/>
        <v>0.36407766990291263</v>
      </c>
      <c r="P301" s="465">
        <f t="shared" ca="1" si="136"/>
        <v>0.61074918566775249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2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5"/>
        <v>0</v>
      </c>
      <c r="P302" s="93">
        <f t="shared" si="136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2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IFERROR(__xludf.DUMMYFUNCTION("IMPORTRANGE(""https://docs.google.com/spreadsheets/d/1MeEWN-I1oV_STSDYn1IFDPWt_1FKiwhDph83XaGc0o0/edit?usp=sharing"",""งบพรบ!DS29"")"),82400)</f>
        <v>82400</v>
      </c>
      <c r="M303" s="93">
        <f ca="1">IFERROR(__xludf.DUMMYFUNCTION("IMPORTRANGE(""https://docs.google.com/spreadsheets/d/1MeEWN-I1oV_STSDYn1IFDPWt_1FKiwhDph83XaGc0o0/edit?usp=sharing"",""งบพรบ!DX29"")"),49120)</f>
        <v>49120</v>
      </c>
      <c r="N303" s="93">
        <f ca="1">IFERROR(__xludf.DUMMYFUNCTION("IMPORTRANGE(""https://docs.google.com/spreadsheets/d/1MeEWN-I1oV_STSDYn1IFDPWt_1FKiwhDph83XaGc0o0/edit?usp=sharing"",""งบพรบ!DZ29"")"),300)</f>
        <v>300</v>
      </c>
      <c r="O303" s="93">
        <f t="shared" ca="1" si="135"/>
        <v>0.36407766990291263</v>
      </c>
      <c r="P303" s="93">
        <f t="shared" ca="1" si="136"/>
        <v>0.61074918566775249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>
      <c r="A304" s="159"/>
      <c r="B304" s="33"/>
      <c r="C304" s="281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65">
        <f t="shared" ref="L304:N304" ca="1" si="139">L305+L306</f>
        <v>0</v>
      </c>
      <c r="M304" s="465">
        <f t="shared" ca="1" si="139"/>
        <v>0</v>
      </c>
      <c r="N304" s="465">
        <f t="shared" ca="1" si="139"/>
        <v>0</v>
      </c>
      <c r="O304" s="465">
        <f t="shared" ca="1" si="135"/>
        <v>0</v>
      </c>
      <c r="P304" s="465">
        <f t="shared" ca="1" si="136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2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5"/>
        <v>0</v>
      </c>
      <c r="P305" s="93">
        <f t="shared" si="136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2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IFERROR(__xludf.DUMMYFUNCTION("IMPORTRANGE(""https://docs.google.com/spreadsheets/d/1MeEWN-I1oV_STSDYn1IFDPWt_1FKiwhDph83XaGc0o0/edit?usp=sharing"",""งบพรบ!DV29"")"),0)</f>
        <v>0</v>
      </c>
      <c r="M306" s="93">
        <f ca="1">IFERROR(__xludf.DUMMYFUNCTION("IMPORTRANGE(""https://docs.google.com/spreadsheets/d/1MeEWN-I1oV_STSDYn1IFDPWt_1FKiwhDph83XaGc0o0/edit?usp=sharing"",""งบพรบ!DY29"")"),0)</f>
        <v>0</v>
      </c>
      <c r="N306" s="93">
        <f ca="1">IFERROR(__xludf.DUMMYFUNCTION("IMPORTRANGE(""https://docs.google.com/spreadsheets/d/1MeEWN-I1oV_STSDYn1IFDPWt_1FKiwhDph83XaGc0o0/edit?usp=sharing"",""งบพรบ!EA29"")"),0)</f>
        <v>0</v>
      </c>
      <c r="O306" s="93">
        <f t="shared" ca="1" si="135"/>
        <v>0</v>
      </c>
      <c r="P306" s="93">
        <f t="shared" ca="1" si="136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>
      <c r="A307" s="170"/>
      <c r="B307" s="171"/>
      <c r="C307" s="164" t="s">
        <v>16</v>
      </c>
      <c r="D307" s="818" t="s">
        <v>38</v>
      </c>
      <c r="E307" s="173"/>
      <c r="F307" s="173"/>
      <c r="G307" s="174"/>
      <c r="H307" s="726"/>
      <c r="I307" s="269"/>
      <c r="J307" s="269"/>
      <c r="K307" s="465"/>
      <c r="L307" s="465"/>
      <c r="M307" s="465"/>
      <c r="N307" s="465"/>
      <c r="O307" s="465"/>
      <c r="P307" s="465"/>
    </row>
    <row r="308" spans="1:26" ht="18.75">
      <c r="A308" s="170"/>
      <c r="B308" s="171"/>
      <c r="C308" s="171"/>
      <c r="D308" s="415" t="s">
        <v>140</v>
      </c>
      <c r="E308" s="415"/>
      <c r="F308" s="415"/>
      <c r="G308" s="179"/>
      <c r="H308" s="728"/>
      <c r="I308" s="269"/>
      <c r="J308" s="214">
        <v>0</v>
      </c>
      <c r="K308" s="465"/>
      <c r="L308" s="465"/>
      <c r="M308" s="465"/>
      <c r="N308" s="465"/>
      <c r="O308" s="465"/>
      <c r="P308" s="465"/>
    </row>
    <row r="309" spans="1:26" ht="18.75">
      <c r="A309" s="170"/>
      <c r="B309" s="171"/>
      <c r="C309" s="171"/>
      <c r="D309" s="415" t="s">
        <v>141</v>
      </c>
      <c r="E309" s="415"/>
      <c r="F309" s="415"/>
      <c r="G309" s="179"/>
      <c r="H309" s="728" t="s">
        <v>35</v>
      </c>
      <c r="I309" s="269">
        <f ca="1">IFERROR(__xludf.DUMMYFUNCTION("IMPORTRANGE(""https://docs.google.com/spreadsheets/d/1QqKyyYR6Q21VydFLVH3TRQUabQu_ym0Zz7PgGX0-kHA/edit?usp=sharing"",""แผน!ED29"")"),20)</f>
        <v>20</v>
      </c>
      <c r="J309" s="214">
        <v>0</v>
      </c>
      <c r="K309" s="465">
        <f t="shared" ref="K309:K312" ca="1" si="140">IF(I309&gt;0,J309*100/I309,0)</f>
        <v>0</v>
      </c>
      <c r="L309" s="465"/>
      <c r="M309" s="465"/>
      <c r="N309" s="465"/>
      <c r="O309" s="465"/>
      <c r="P309" s="465"/>
    </row>
    <row r="310" spans="1:26" ht="18.75">
      <c r="A310" s="170"/>
      <c r="B310" s="171"/>
      <c r="C310" s="171"/>
      <c r="D310" s="415" t="s">
        <v>142</v>
      </c>
      <c r="E310" s="415"/>
      <c r="F310" s="415"/>
      <c r="G310" s="179"/>
      <c r="H310" s="728" t="s">
        <v>35</v>
      </c>
      <c r="I310" s="269">
        <f ca="1">IFERROR(__xludf.DUMMYFUNCTION("IMPORTRANGE(""https://docs.google.com/spreadsheets/d/1QqKyyYR6Q21VydFLVH3TRQUabQu_ym0Zz7PgGX0-kHA/edit?usp=sharing"",""แผน!ED29"")"),20)</f>
        <v>20</v>
      </c>
      <c r="J310" s="214">
        <v>0</v>
      </c>
      <c r="K310" s="465">
        <f t="shared" ca="1" si="140"/>
        <v>0</v>
      </c>
      <c r="L310" s="465"/>
      <c r="M310" s="465"/>
      <c r="N310" s="465"/>
      <c r="O310" s="465"/>
      <c r="P310" s="465"/>
    </row>
    <row r="311" spans="1:26" ht="18.75">
      <c r="A311" s="170"/>
      <c r="B311" s="171"/>
      <c r="C311" s="171"/>
      <c r="D311" s="415" t="s">
        <v>59</v>
      </c>
      <c r="E311" s="415"/>
      <c r="F311" s="415"/>
      <c r="G311" s="179"/>
      <c r="H311" s="728" t="s">
        <v>35</v>
      </c>
      <c r="I311" s="269">
        <f ca="1">IFERROR(__xludf.DUMMYFUNCTION("IMPORTRANGE(""https://docs.google.com/spreadsheets/d/1QqKyyYR6Q21VydFLVH3TRQUabQu_ym0Zz7PgGX0-kHA/edit?usp=sharing"",""แผน!ED29"")"),20)</f>
        <v>20</v>
      </c>
      <c r="J311" s="214">
        <v>0</v>
      </c>
      <c r="K311" s="465">
        <f t="shared" ca="1" si="140"/>
        <v>0</v>
      </c>
      <c r="L311" s="465"/>
      <c r="M311" s="465"/>
      <c r="N311" s="465"/>
      <c r="O311" s="465"/>
      <c r="P311" s="465"/>
    </row>
    <row r="312" spans="1:26" ht="18.75">
      <c r="A312" s="170"/>
      <c r="B312" s="171"/>
      <c r="C312" s="171"/>
      <c r="D312" s="415" t="s">
        <v>143</v>
      </c>
      <c r="E312" s="415"/>
      <c r="F312" s="415"/>
      <c r="G312" s="179"/>
      <c r="H312" s="728" t="s">
        <v>35</v>
      </c>
      <c r="I312" s="269">
        <f ca="1">IFERROR(__xludf.DUMMYFUNCTION("IMPORTRANGE(""https://docs.google.com/spreadsheets/d/1QqKyyYR6Q21VydFLVH3TRQUabQu_ym0Zz7PgGX0-kHA/edit?usp=sharing"",""แผน!EE29"")"),4)</f>
        <v>4</v>
      </c>
      <c r="J312" s="214">
        <v>0</v>
      </c>
      <c r="K312" s="465">
        <f t="shared" ca="1" si="140"/>
        <v>0</v>
      </c>
      <c r="L312" s="465"/>
      <c r="M312" s="465"/>
      <c r="N312" s="465"/>
      <c r="O312" s="465"/>
      <c r="P312" s="465"/>
    </row>
    <row r="313" spans="1:26" ht="19.5" hidden="1">
      <c r="A313" s="400" t="s">
        <v>144</v>
      </c>
      <c r="B313" s="401"/>
      <c r="C313" s="401"/>
      <c r="D313" s="402"/>
      <c r="E313" s="401"/>
      <c r="F313" s="401"/>
      <c r="G313" s="401"/>
      <c r="H313" s="417"/>
      <c r="I313" s="405"/>
      <c r="J313" s="405"/>
      <c r="K313" s="406"/>
      <c r="L313" s="406"/>
      <c r="M313" s="406"/>
      <c r="N313" s="406"/>
      <c r="O313" s="406"/>
      <c r="P313" s="406"/>
    </row>
    <row r="314" spans="1:26" ht="19.5" hidden="1">
      <c r="A314" s="418"/>
      <c r="B314" s="408" t="s">
        <v>145</v>
      </c>
      <c r="C314" s="419"/>
      <c r="D314" s="420"/>
      <c r="E314" s="409"/>
      <c r="F314" s="409"/>
      <c r="G314" s="410"/>
      <c r="H314" s="411" t="s">
        <v>146</v>
      </c>
      <c r="I314" s="412">
        <f t="shared" ref="I314:J314" ca="1" si="141">I325</f>
        <v>0</v>
      </c>
      <c r="J314" s="412">
        <f t="shared" si="141"/>
        <v>0</v>
      </c>
      <c r="K314" s="413">
        <f ca="1">IF(I314&gt;0,J314*100/I314,0)</f>
        <v>0</v>
      </c>
      <c r="L314" s="414"/>
      <c r="M314" s="414"/>
      <c r="N314" s="414"/>
      <c r="O314" s="414"/>
      <c r="P314" s="414"/>
    </row>
    <row r="315" spans="1:26" ht="19.5" hidden="1">
      <c r="A315" s="147"/>
      <c r="B315" s="148"/>
      <c r="C315" s="149" t="s">
        <v>16</v>
      </c>
      <c r="D315" s="817" t="s">
        <v>17</v>
      </c>
      <c r="E315" s="148"/>
      <c r="F315" s="148"/>
      <c r="G315" s="151"/>
      <c r="H315" s="152" t="s">
        <v>12</v>
      </c>
      <c r="I315" s="388"/>
      <c r="J315" s="388"/>
      <c r="K315" s="154"/>
      <c r="L315" s="155">
        <f t="shared" ref="L315:N315" ca="1" si="142">L316+L317</f>
        <v>0</v>
      </c>
      <c r="M315" s="155">
        <f t="shared" ca="1" si="142"/>
        <v>0</v>
      </c>
      <c r="N315" s="155">
        <f t="shared" ca="1" si="142"/>
        <v>0</v>
      </c>
      <c r="O315" s="155">
        <f t="shared" ref="O315:O323" ca="1" si="143">IF(L315&gt;0,N315*100/L315,0)</f>
        <v>0</v>
      </c>
      <c r="P315" s="155">
        <f t="shared" ref="P315:P323" ca="1" si="144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2" t="s">
        <v>18</v>
      </c>
      <c r="F316" s="40"/>
      <c r="G316" s="157"/>
      <c r="H316" s="158" t="s">
        <v>12</v>
      </c>
      <c r="I316" s="583"/>
      <c r="J316" s="583"/>
      <c r="K316" s="93"/>
      <c r="L316" s="93">
        <f t="shared" ref="L316:N317" si="145">L319+L322</f>
        <v>0</v>
      </c>
      <c r="M316" s="93">
        <f t="shared" si="145"/>
        <v>0</v>
      </c>
      <c r="N316" s="93">
        <f t="shared" si="145"/>
        <v>0</v>
      </c>
      <c r="O316" s="93">
        <f t="shared" si="143"/>
        <v>0</v>
      </c>
      <c r="P316" s="93">
        <f t="shared" si="144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2" t="s">
        <v>19</v>
      </c>
      <c r="F317" s="40"/>
      <c r="G317" s="157"/>
      <c r="H317" s="158" t="s">
        <v>12</v>
      </c>
      <c r="I317" s="583"/>
      <c r="J317" s="583"/>
      <c r="K317" s="93"/>
      <c r="L317" s="93">
        <f t="shared" ca="1" si="145"/>
        <v>0</v>
      </c>
      <c r="M317" s="93">
        <f t="shared" ca="1" si="145"/>
        <v>0</v>
      </c>
      <c r="N317" s="93">
        <f t="shared" ca="1" si="145"/>
        <v>0</v>
      </c>
      <c r="O317" s="93">
        <f t="shared" ca="1" si="143"/>
        <v>0</v>
      </c>
      <c r="P317" s="93">
        <f t="shared" ca="1" si="144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1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65">
        <f t="shared" ref="L318:N318" ca="1" si="146">L319+L320</f>
        <v>0</v>
      </c>
      <c r="M318" s="465">
        <f t="shared" ca="1" si="146"/>
        <v>0</v>
      </c>
      <c r="N318" s="465">
        <f t="shared" ca="1" si="146"/>
        <v>0</v>
      </c>
      <c r="O318" s="465">
        <f t="shared" ca="1" si="143"/>
        <v>0</v>
      </c>
      <c r="P318" s="465">
        <f t="shared" ca="1" si="144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2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3"/>
        <v>0</v>
      </c>
      <c r="P319" s="93">
        <f t="shared" si="144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2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IFERROR(__xludf.DUMMYFUNCTION("IMPORTRANGE(""https://docs.google.com/spreadsheets/d/1MeEWN-I1oV_STSDYn1IFDPWt_1FKiwhDph83XaGc0o0/edit?usp=sharing"",""งบพรบ!EC29"")"),0)</f>
        <v>0</v>
      </c>
      <c r="M320" s="93">
        <f ca="1">IFERROR(__xludf.DUMMYFUNCTION("IMPORTRANGE(""https://docs.google.com/spreadsheets/d/1MeEWN-I1oV_STSDYn1IFDPWt_1FKiwhDph83XaGc0o0/edit?usp=sharing"",""งบพรบ!EH29"")"),0)</f>
        <v>0</v>
      </c>
      <c r="N320" s="93">
        <f ca="1">IFERROR(__xludf.DUMMYFUNCTION("IMPORTRANGE(""https://docs.google.com/spreadsheets/d/1MeEWN-I1oV_STSDYn1IFDPWt_1FKiwhDph83XaGc0o0/edit?usp=sharing"",""งบพรบ!EJ29"")"),0)</f>
        <v>0</v>
      </c>
      <c r="O320" s="93">
        <f t="shared" ca="1" si="143"/>
        <v>0</v>
      </c>
      <c r="P320" s="93">
        <f t="shared" ca="1" si="144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1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65">
        <f t="shared" ref="L321:N321" ca="1" si="147">L322+L323</f>
        <v>0</v>
      </c>
      <c r="M321" s="465">
        <f t="shared" ca="1" si="147"/>
        <v>0</v>
      </c>
      <c r="N321" s="465">
        <f t="shared" ca="1" si="147"/>
        <v>0</v>
      </c>
      <c r="O321" s="465">
        <f t="shared" ca="1" si="143"/>
        <v>0</v>
      </c>
      <c r="P321" s="465">
        <f t="shared" ca="1" si="144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2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3"/>
        <v>0</v>
      </c>
      <c r="P322" s="93">
        <f t="shared" si="144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2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IFERROR(__xludf.DUMMYFUNCTION("IMPORTRANGE(""https://docs.google.com/spreadsheets/d/1MeEWN-I1oV_STSDYn1IFDPWt_1FKiwhDph83XaGc0o0/edit?usp=sharing"",""งบพรบ!EF29"")"),0)</f>
        <v>0</v>
      </c>
      <c r="M323" s="93">
        <f ca="1">IFERROR(__xludf.DUMMYFUNCTION("IMPORTRANGE(""https://docs.google.com/spreadsheets/d/1MeEWN-I1oV_STSDYn1IFDPWt_1FKiwhDph83XaGc0o0/edit?usp=sharing"",""งบพรบ!EI29"")"),0)</f>
        <v>0</v>
      </c>
      <c r="N323" s="93">
        <f ca="1">IFERROR(__xludf.DUMMYFUNCTION("IMPORTRANGE(""https://docs.google.com/spreadsheets/d/1MeEWN-I1oV_STSDYn1IFDPWt_1FKiwhDph83XaGc0o0/edit?usp=sharing"",""งบพรบ!EK29"")"),0)</f>
        <v>0</v>
      </c>
      <c r="O323" s="93">
        <f t="shared" ca="1" si="143"/>
        <v>0</v>
      </c>
      <c r="P323" s="93">
        <f t="shared" ca="1" si="144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18" t="s">
        <v>38</v>
      </c>
      <c r="E324" s="173"/>
      <c r="F324" s="173"/>
      <c r="G324" s="174"/>
      <c r="H324" s="726"/>
      <c r="I324" s="184"/>
      <c r="J324" s="269"/>
      <c r="K324" s="465"/>
      <c r="L324" s="465"/>
      <c r="M324" s="465"/>
      <c r="N324" s="465"/>
      <c r="O324" s="163"/>
      <c r="P324" s="163"/>
    </row>
    <row r="325" spans="1:26" ht="18.75" hidden="1">
      <c r="A325" s="170"/>
      <c r="B325" s="171"/>
      <c r="C325" s="171"/>
      <c r="D325" s="343" t="s">
        <v>147</v>
      </c>
      <c r="E325" s="342"/>
      <c r="F325" s="415"/>
      <c r="G325" s="179"/>
      <c r="H325" s="589" t="s">
        <v>146</v>
      </c>
      <c r="I325" s="269">
        <f ca="1">IFERROR(__xludf.DUMMYFUNCTION("IMPORTRANGE(""https://docs.google.com/spreadsheets/d/1QqKyyYR6Q21VydFLVH3TRQUabQu_ym0Zz7PgGX0-kHA/edit?usp=sharing"",""แผน!EF29"")"),0)</f>
        <v>0</v>
      </c>
      <c r="J325" s="214">
        <v>0</v>
      </c>
      <c r="K325" s="465">
        <f ca="1">IF(I325&gt;0,J325*100/I325,0)</f>
        <v>0</v>
      </c>
      <c r="L325" s="465"/>
      <c r="M325" s="465"/>
      <c r="N325" s="465"/>
      <c r="O325" s="163"/>
      <c r="P325" s="163"/>
    </row>
    <row r="326" spans="1:26" ht="19.5">
      <c r="A326" s="400" t="s">
        <v>148</v>
      </c>
      <c r="B326" s="401"/>
      <c r="C326" s="401"/>
      <c r="D326" s="402"/>
      <c r="E326" s="401"/>
      <c r="F326" s="401"/>
      <c r="G326" s="401"/>
      <c r="H326" s="417"/>
      <c r="I326" s="405"/>
      <c r="J326" s="405"/>
      <c r="K326" s="406"/>
      <c r="L326" s="406"/>
      <c r="M326" s="406"/>
      <c r="N326" s="406"/>
      <c r="O326" s="406"/>
      <c r="P326" s="406"/>
    </row>
    <row r="327" spans="1:26" ht="19.5">
      <c r="A327" s="407"/>
      <c r="B327" s="408" t="s">
        <v>149</v>
      </c>
      <c r="C327" s="420"/>
      <c r="D327" s="409"/>
      <c r="E327" s="409"/>
      <c r="F327" s="409"/>
      <c r="G327" s="410"/>
      <c r="H327" s="411" t="s">
        <v>35</v>
      </c>
      <c r="I327" s="412">
        <f ca="1">IFERROR(__xludf.DUMMYFUNCTION("IMPORTRANGE(""https://docs.google.com/spreadsheets/d/1QqKyyYR6Q21VydFLVH3TRQUabQu_ym0Zz7PgGX0-kHA/edit?usp=sharing"",""แผน!EG29"")"),1800)</f>
        <v>1800</v>
      </c>
      <c r="J327" s="412">
        <f ca="1">J338+J341+J342+J343</f>
        <v>1010</v>
      </c>
      <c r="K327" s="413">
        <f ca="1">IF(I327&gt;0,J327*100/I327,0)</f>
        <v>56.111111111111114</v>
      </c>
      <c r="L327" s="414"/>
      <c r="M327" s="414"/>
      <c r="N327" s="414"/>
      <c r="O327" s="414"/>
      <c r="P327" s="414"/>
    </row>
    <row r="328" spans="1:26" ht="19.5">
      <c r="A328" s="147"/>
      <c r="B328" s="148"/>
      <c r="C328" s="149" t="s">
        <v>16</v>
      </c>
      <c r="D328" s="817" t="s">
        <v>17</v>
      </c>
      <c r="E328" s="148"/>
      <c r="F328" s="148"/>
      <c r="G328" s="151"/>
      <c r="H328" s="152" t="s">
        <v>12</v>
      </c>
      <c r="I328" s="388"/>
      <c r="J328" s="388"/>
      <c r="K328" s="154"/>
      <c r="L328" s="155">
        <f t="shared" ref="L328:N328" ca="1" si="148">L329+L330</f>
        <v>175000</v>
      </c>
      <c r="M328" s="155">
        <f t="shared" ca="1" si="148"/>
        <v>87500</v>
      </c>
      <c r="N328" s="155">
        <f t="shared" ca="1" si="148"/>
        <v>22903.5</v>
      </c>
      <c r="O328" s="155">
        <f t="shared" ref="O328:O336" ca="1" si="149">IF(L328&gt;0,N328*100/L328,0)</f>
        <v>13.087714285714286</v>
      </c>
      <c r="P328" s="155">
        <f t="shared" ref="P328:P336" ca="1" si="150">IF(M328&gt;0,N328*100/M328,0)</f>
        <v>26.175428571428572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2" t="s">
        <v>18</v>
      </c>
      <c r="F329" s="40"/>
      <c r="G329" s="157"/>
      <c r="H329" s="158" t="s">
        <v>12</v>
      </c>
      <c r="I329" s="583"/>
      <c r="J329" s="583"/>
      <c r="K329" s="93"/>
      <c r="L329" s="93">
        <f t="shared" ref="L329:N330" si="151">L332+L335</f>
        <v>0</v>
      </c>
      <c r="M329" s="93">
        <f t="shared" si="151"/>
        <v>0</v>
      </c>
      <c r="N329" s="93">
        <f t="shared" si="151"/>
        <v>0</v>
      </c>
      <c r="O329" s="93">
        <f t="shared" si="149"/>
        <v>0</v>
      </c>
      <c r="P329" s="93">
        <f t="shared" si="150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2" t="s">
        <v>19</v>
      </c>
      <c r="F330" s="40"/>
      <c r="G330" s="157"/>
      <c r="H330" s="158" t="s">
        <v>12</v>
      </c>
      <c r="I330" s="583"/>
      <c r="J330" s="583"/>
      <c r="K330" s="93"/>
      <c r="L330" s="93">
        <f t="shared" ca="1" si="151"/>
        <v>175000</v>
      </c>
      <c r="M330" s="93">
        <f t="shared" ca="1" si="151"/>
        <v>87500</v>
      </c>
      <c r="N330" s="93">
        <f t="shared" ca="1" si="151"/>
        <v>22903.5</v>
      </c>
      <c r="O330" s="93">
        <f t="shared" ca="1" si="149"/>
        <v>13.087714285714286</v>
      </c>
      <c r="P330" s="93">
        <f t="shared" ca="1" si="150"/>
        <v>26.175428571428572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1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65">
        <f t="shared" ref="L331:N331" ca="1" si="152">L332+L333</f>
        <v>175000</v>
      </c>
      <c r="M331" s="465">
        <f t="shared" ca="1" si="152"/>
        <v>87500</v>
      </c>
      <c r="N331" s="465">
        <f t="shared" ca="1" si="152"/>
        <v>22903.5</v>
      </c>
      <c r="O331" s="465">
        <f t="shared" ca="1" si="149"/>
        <v>13.087714285714286</v>
      </c>
      <c r="P331" s="465">
        <f t="shared" ca="1" si="150"/>
        <v>26.175428571428572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2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49"/>
        <v>0</v>
      </c>
      <c r="P332" s="93">
        <f t="shared" si="150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2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IFERROR(__xludf.DUMMYFUNCTION("IMPORTRANGE(""https://docs.google.com/spreadsheets/d/1MeEWN-I1oV_STSDYn1IFDPWt_1FKiwhDph83XaGc0o0/edit?usp=sharing"",""งบพรบ!EM29"")"),175000)</f>
        <v>175000</v>
      </c>
      <c r="M333" s="93">
        <f ca="1">IFERROR(__xludf.DUMMYFUNCTION("IMPORTRANGE(""https://docs.google.com/spreadsheets/d/1MeEWN-I1oV_STSDYn1IFDPWt_1FKiwhDph83XaGc0o0/edit?usp=sharing"",""งบพรบ!ER29"")"),87500)</f>
        <v>87500</v>
      </c>
      <c r="N333" s="93">
        <f ca="1">IFERROR(__xludf.DUMMYFUNCTION("IMPORTRANGE(""https://docs.google.com/spreadsheets/d/1MeEWN-I1oV_STSDYn1IFDPWt_1FKiwhDph83XaGc0o0/edit?usp=sharing"",""งบพรบ!ET29"")"),22903.5)</f>
        <v>22903.5</v>
      </c>
      <c r="O333" s="93">
        <f t="shared" ca="1" si="149"/>
        <v>13.087714285714286</v>
      </c>
      <c r="P333" s="93">
        <f t="shared" ca="1" si="150"/>
        <v>26.175428571428572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1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65">
        <f t="shared" ref="L334:N334" ca="1" si="153">L335+L336</f>
        <v>0</v>
      </c>
      <c r="M334" s="465">
        <f t="shared" ca="1" si="153"/>
        <v>0</v>
      </c>
      <c r="N334" s="465">
        <f t="shared" ca="1" si="153"/>
        <v>0</v>
      </c>
      <c r="O334" s="465">
        <f t="shared" ca="1" si="149"/>
        <v>0</v>
      </c>
      <c r="P334" s="465">
        <f t="shared" ca="1" si="150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2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49"/>
        <v>0</v>
      </c>
      <c r="P335" s="93">
        <f t="shared" si="150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2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IFERROR(__xludf.DUMMYFUNCTION("IMPORTRANGE(""https://docs.google.com/spreadsheets/d/1MeEWN-I1oV_STSDYn1IFDPWt_1FKiwhDph83XaGc0o0/edit?usp=sharing"",""งบพรบ!EP29"")"),0)</f>
        <v>0</v>
      </c>
      <c r="M336" s="93">
        <f ca="1">IFERROR(__xludf.DUMMYFUNCTION("IMPORTRANGE(""https://docs.google.com/spreadsheets/d/1MeEWN-I1oV_STSDYn1IFDPWt_1FKiwhDph83XaGc0o0/edit?usp=sharing"",""งบพรบ!ES29"")"),0)</f>
        <v>0</v>
      </c>
      <c r="N336" s="93">
        <f ca="1">IFERROR(__xludf.DUMMYFUNCTION("IMPORTRANGE(""https://docs.google.com/spreadsheets/d/1MeEWN-I1oV_STSDYn1IFDPWt_1FKiwhDph83XaGc0o0/edit?usp=sharing"",""งบพรบ!EU29"")"),0)</f>
        <v>0</v>
      </c>
      <c r="O336" s="93">
        <f t="shared" ca="1" si="149"/>
        <v>0</v>
      </c>
      <c r="P336" s="93">
        <f t="shared" ca="1" si="150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18" t="s">
        <v>38</v>
      </c>
      <c r="E337" s="173"/>
      <c r="F337" s="173"/>
      <c r="G337" s="174"/>
      <c r="H337" s="726"/>
      <c r="I337" s="184"/>
      <c r="J337" s="269"/>
      <c r="K337" s="465"/>
      <c r="L337" s="465"/>
      <c r="M337" s="465"/>
      <c r="N337" s="465"/>
      <c r="O337" s="163"/>
      <c r="P337" s="163"/>
    </row>
    <row r="338" spans="1:26" ht="18.75">
      <c r="A338" s="283"/>
      <c r="B338" s="33"/>
      <c r="C338" s="280"/>
      <c r="D338" s="415" t="s">
        <v>150</v>
      </c>
      <c r="E338" s="171"/>
      <c r="F338" s="33"/>
      <c r="G338" s="35"/>
      <c r="H338" s="276" t="s">
        <v>35</v>
      </c>
      <c r="I338" s="269">
        <f ca="1">IFERROR(__xludf.DUMMYFUNCTION("IMPORTRANGE(""https://docs.google.com/spreadsheets/d/1QqKyyYR6Q21VydFLVH3TRQUabQu_ym0Zz7PgGX0-kHA/edit?usp=sharing"",""แผน!EG29"")"),1800)</f>
        <v>1800</v>
      </c>
      <c r="J338" s="269">
        <f ca="1">IFERROR(__xludf.DUMMYFUNCTION("IMPORTRANGE(""https://docs.google.com/spreadsheets/d/1kVcqe37tkHyjCSG3S0O1AXqVkqjo8mSIZil3BcpIysc/edit?usp=sharing"",""ศูนย์!D29"")"),626)</f>
        <v>626</v>
      </c>
      <c r="K338" s="465">
        <f ca="1">IF(I338&gt;0,J338*100/I338,0)</f>
        <v>34.777777777777779</v>
      </c>
      <c r="L338" s="465"/>
      <c r="M338" s="465"/>
      <c r="N338" s="465"/>
      <c r="O338" s="465"/>
      <c r="P338" s="465"/>
    </row>
    <row r="339" spans="1:26" ht="18.75">
      <c r="A339" s="283"/>
      <c r="B339" s="33"/>
      <c r="C339" s="280"/>
      <c r="D339" s="415" t="s">
        <v>151</v>
      </c>
      <c r="E339" s="171"/>
      <c r="F339" s="33"/>
      <c r="G339" s="35"/>
      <c r="H339" s="276"/>
      <c r="I339" s="269"/>
      <c r="J339" s="269"/>
      <c r="K339" s="465"/>
      <c r="L339" s="465"/>
      <c r="M339" s="465"/>
      <c r="N339" s="465"/>
      <c r="O339" s="465"/>
      <c r="P339" s="465"/>
    </row>
    <row r="340" spans="1:26" ht="18.75">
      <c r="A340" s="283"/>
      <c r="B340" s="33"/>
      <c r="C340" s="280"/>
      <c r="D340" s="342"/>
      <c r="E340" s="415" t="s">
        <v>152</v>
      </c>
      <c r="F340" s="33"/>
      <c r="G340" s="35"/>
      <c r="H340" s="276" t="s">
        <v>153</v>
      </c>
      <c r="I340" s="269">
        <f ca="1">IFERROR(__xludf.DUMMYFUNCTION("IMPORTRANGE(""https://docs.google.com/spreadsheets/d/1QqKyyYR6Q21VydFLVH3TRQUabQu_ym0Zz7PgGX0-kHA/edit?usp=sharing"",""แผน!EH29"")"),6)</f>
        <v>6</v>
      </c>
      <c r="J340" s="269">
        <f ca="1">IFERROR(__xludf.DUMMYFUNCTION("IMPORTRANGE(""https://docs.google.com/spreadsheets/d/1kVcqe37tkHyjCSG3S0O1AXqVkqjo8mSIZil3BcpIysc/edit?usp=sharing"",""ศูนย์!E29"")"),1)</f>
        <v>1</v>
      </c>
      <c r="K340" s="465">
        <f ca="1">IF(I340&gt;0,J340*100/I340,0)</f>
        <v>16.666666666666668</v>
      </c>
      <c r="L340" s="465"/>
      <c r="M340" s="465"/>
      <c r="N340" s="465"/>
      <c r="O340" s="465"/>
      <c r="P340" s="465"/>
    </row>
    <row r="341" spans="1:26" ht="18.75">
      <c r="A341" s="283"/>
      <c r="B341" s="33"/>
      <c r="C341" s="280"/>
      <c r="D341" s="342"/>
      <c r="E341" s="415" t="s">
        <v>154</v>
      </c>
      <c r="F341" s="33"/>
      <c r="G341" s="35"/>
      <c r="H341" s="276" t="s">
        <v>35</v>
      </c>
      <c r="I341" s="269"/>
      <c r="J341" s="269">
        <f ca="1">IFERROR(__xludf.DUMMYFUNCTION("IMPORTRANGE(""https://docs.google.com/spreadsheets/d/1kVcqe37tkHyjCSG3S0O1AXqVkqjo8mSIZil3BcpIysc/edit?usp=sharing"",""ศูนย์!F29"")"),71)</f>
        <v>71</v>
      </c>
      <c r="K341" s="465"/>
      <c r="L341" s="465"/>
      <c r="M341" s="465"/>
      <c r="N341" s="465"/>
      <c r="O341" s="465"/>
      <c r="P341" s="465"/>
    </row>
    <row r="342" spans="1:26" ht="18.75">
      <c r="A342" s="283"/>
      <c r="B342" s="33"/>
      <c r="C342" s="280"/>
      <c r="D342" s="415" t="s">
        <v>155</v>
      </c>
      <c r="E342" s="342"/>
      <c r="F342" s="342"/>
      <c r="G342" s="35"/>
      <c r="H342" s="276" t="s">
        <v>35</v>
      </c>
      <c r="I342" s="269"/>
      <c r="J342" s="269">
        <f ca="1">IFERROR(__xludf.DUMMYFUNCTION("IMPORTRANGE(""https://docs.google.com/spreadsheets/d/1kVcqe37tkHyjCSG3S0O1AXqVkqjo8mSIZil3BcpIysc/edit?usp=sharing"",""ศูนย์!G29"")"),0)</f>
        <v>0</v>
      </c>
      <c r="K342" s="465"/>
      <c r="L342" s="465"/>
      <c r="M342" s="465"/>
      <c r="N342" s="465"/>
      <c r="O342" s="465"/>
      <c r="P342" s="465"/>
    </row>
    <row r="343" spans="1:26" ht="18.75">
      <c r="A343" s="283"/>
      <c r="B343" s="33"/>
      <c r="C343" s="280"/>
      <c r="D343" s="415" t="s">
        <v>156</v>
      </c>
      <c r="E343" s="342"/>
      <c r="F343" s="342"/>
      <c r="G343" s="35"/>
      <c r="H343" s="276" t="s">
        <v>35</v>
      </c>
      <c r="I343" s="269"/>
      <c r="J343" s="269">
        <f ca="1">IFERROR(__xludf.DUMMYFUNCTION("IMPORTRANGE(""https://docs.google.com/spreadsheets/d/1kVcqe37tkHyjCSG3S0O1AXqVkqjo8mSIZil3BcpIysc/edit?usp=sharing"",""ศูนย์!H29"")"),313)</f>
        <v>313</v>
      </c>
      <c r="K343" s="465"/>
      <c r="L343" s="465"/>
      <c r="M343" s="465"/>
      <c r="N343" s="465"/>
      <c r="O343" s="465"/>
      <c r="P343" s="465"/>
    </row>
    <row r="344" spans="1:26" ht="19.5">
      <c r="A344" s="407"/>
      <c r="B344" s="408" t="s">
        <v>157</v>
      </c>
      <c r="C344" s="420"/>
      <c r="D344" s="409"/>
      <c r="E344" s="409"/>
      <c r="F344" s="409"/>
      <c r="G344" s="410"/>
      <c r="H344" s="411"/>
      <c r="I344" s="421"/>
      <c r="J344" s="421"/>
      <c r="K344" s="414"/>
      <c r="L344" s="414"/>
      <c r="M344" s="414"/>
      <c r="N344" s="414"/>
      <c r="O344" s="414"/>
      <c r="P344" s="414"/>
    </row>
    <row r="345" spans="1:26" ht="19.5">
      <c r="A345" s="147"/>
      <c r="B345" s="148"/>
      <c r="C345" s="149" t="s">
        <v>16</v>
      </c>
      <c r="D345" s="817" t="s">
        <v>17</v>
      </c>
      <c r="E345" s="148"/>
      <c r="F345" s="148"/>
      <c r="G345" s="151"/>
      <c r="H345" s="152" t="s">
        <v>12</v>
      </c>
      <c r="I345" s="388"/>
      <c r="J345" s="388"/>
      <c r="K345" s="154"/>
      <c r="L345" s="155">
        <f t="shared" ref="L345:N345" ca="1" si="154">L346+L347</f>
        <v>959100</v>
      </c>
      <c r="M345" s="155">
        <f t="shared" ca="1" si="154"/>
        <v>513450</v>
      </c>
      <c r="N345" s="155">
        <f t="shared" ca="1" si="154"/>
        <v>174564.5</v>
      </c>
      <c r="O345" s="155">
        <f t="shared" ref="O345:O353" ca="1" si="155">IF(L345&gt;0,N345*100/L345,0)</f>
        <v>18.200865394640807</v>
      </c>
      <c r="P345" s="155">
        <f t="shared" ref="P345:P353" ca="1" si="156">IF(M345&gt;0,N345*100/M345,0)</f>
        <v>33.998344532086861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2" t="s">
        <v>18</v>
      </c>
      <c r="F346" s="40"/>
      <c r="G346" s="157"/>
      <c r="H346" s="158" t="s">
        <v>12</v>
      </c>
      <c r="I346" s="583"/>
      <c r="J346" s="583"/>
      <c r="K346" s="93"/>
      <c r="L346" s="93">
        <f t="shared" ref="L346:N347" si="157">L349+L352</f>
        <v>0</v>
      </c>
      <c r="M346" s="93">
        <f t="shared" si="157"/>
        <v>0</v>
      </c>
      <c r="N346" s="93">
        <f t="shared" si="157"/>
        <v>0</v>
      </c>
      <c r="O346" s="93">
        <f t="shared" si="155"/>
        <v>0</v>
      </c>
      <c r="P346" s="93">
        <f t="shared" si="156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2" t="s">
        <v>19</v>
      </c>
      <c r="F347" s="40"/>
      <c r="G347" s="157"/>
      <c r="H347" s="158" t="s">
        <v>12</v>
      </c>
      <c r="I347" s="583"/>
      <c r="J347" s="583"/>
      <c r="K347" s="93"/>
      <c r="L347" s="93">
        <f t="shared" ca="1" si="157"/>
        <v>959100</v>
      </c>
      <c r="M347" s="93">
        <f t="shared" ca="1" si="157"/>
        <v>513450</v>
      </c>
      <c r="N347" s="93">
        <f t="shared" ca="1" si="157"/>
        <v>174564.5</v>
      </c>
      <c r="O347" s="93">
        <f t="shared" ca="1" si="155"/>
        <v>18.200865394640807</v>
      </c>
      <c r="P347" s="93">
        <f t="shared" ca="1" si="156"/>
        <v>33.998344532086861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1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65">
        <f t="shared" ref="L348:N348" ca="1" si="158">L349+L350</f>
        <v>890300</v>
      </c>
      <c r="M348" s="465">
        <f t="shared" ca="1" si="158"/>
        <v>445150</v>
      </c>
      <c r="N348" s="465">
        <f t="shared" ca="1" si="158"/>
        <v>106264.5</v>
      </c>
      <c r="O348" s="465">
        <f t="shared" ca="1" si="155"/>
        <v>11.935808154554644</v>
      </c>
      <c r="P348" s="465">
        <f t="shared" ca="1" si="156"/>
        <v>23.871616309109289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2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5"/>
        <v>0</v>
      </c>
      <c r="P349" s="93">
        <f t="shared" si="156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2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IFERROR(__xludf.DUMMYFUNCTION("IMPORTRANGE(""https://docs.google.com/spreadsheets/d/1MeEWN-I1oV_STSDYn1IFDPWt_1FKiwhDph83XaGc0o0/edit?usp=sharing"",""งบพรบ!EW29"")"),890300)</f>
        <v>890300</v>
      </c>
      <c r="M350" s="93">
        <f ca="1">IFERROR(__xludf.DUMMYFUNCTION("IMPORTRANGE(""https://docs.google.com/spreadsheets/d/1MeEWN-I1oV_STSDYn1IFDPWt_1FKiwhDph83XaGc0o0/edit?usp=sharing"",""งบพรบ!FB29"")"),445150)</f>
        <v>445150</v>
      </c>
      <c r="N350" s="93">
        <f ca="1">IFERROR(__xludf.DUMMYFUNCTION("IMPORTRANGE(""https://docs.google.com/spreadsheets/d/1MeEWN-I1oV_STSDYn1IFDPWt_1FKiwhDph83XaGc0o0/edit?usp=sharing"",""งบพรบ!FD29"")"),106264.5)</f>
        <v>106264.5</v>
      </c>
      <c r="O350" s="93">
        <f t="shared" ca="1" si="155"/>
        <v>11.935808154554644</v>
      </c>
      <c r="P350" s="93">
        <f t="shared" ca="1" si="156"/>
        <v>23.871616309109289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1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65">
        <f t="shared" ref="L351:N351" ca="1" si="159">L352+L353</f>
        <v>68800</v>
      </c>
      <c r="M351" s="465">
        <f t="shared" ca="1" si="159"/>
        <v>68300</v>
      </c>
      <c r="N351" s="465">
        <f t="shared" ca="1" si="159"/>
        <v>68300</v>
      </c>
      <c r="O351" s="465">
        <f t="shared" ca="1" si="155"/>
        <v>99.273255813953483</v>
      </c>
      <c r="P351" s="465">
        <f t="shared" ca="1" si="156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2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5"/>
        <v>0</v>
      </c>
      <c r="P352" s="93">
        <f t="shared" si="156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2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IFERROR(__xludf.DUMMYFUNCTION("IMPORTRANGE(""https://docs.google.com/spreadsheets/d/1MeEWN-I1oV_STSDYn1IFDPWt_1FKiwhDph83XaGc0o0/edit?usp=sharing"",""งบพรบ!EZ29"")"),68800)</f>
        <v>68800</v>
      </c>
      <c r="M353" s="93">
        <f ca="1">IFERROR(__xludf.DUMMYFUNCTION("IMPORTRANGE(""https://docs.google.com/spreadsheets/d/1MeEWN-I1oV_STSDYn1IFDPWt_1FKiwhDph83XaGc0o0/edit?usp=sharing"",""งบพรบ!FC29"")"),68300)</f>
        <v>68300</v>
      </c>
      <c r="N353" s="93">
        <f ca="1">IFERROR(__xludf.DUMMYFUNCTION("IMPORTRANGE(""https://docs.google.com/spreadsheets/d/1MeEWN-I1oV_STSDYn1IFDPWt_1FKiwhDph83XaGc0o0/edit?usp=sharing"",""งบพรบ!FE29"")"),68300)</f>
        <v>68300</v>
      </c>
      <c r="O353" s="93">
        <f t="shared" ca="1" si="155"/>
        <v>99.273255813953483</v>
      </c>
      <c r="P353" s="93">
        <f t="shared" ca="1" si="156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5"/>
      <c r="B354" s="263"/>
      <c r="C354" s="256"/>
      <c r="D354" s="845" t="s">
        <v>158</v>
      </c>
      <c r="E354" s="256"/>
      <c r="F354" s="256"/>
      <c r="G354" s="258"/>
      <c r="H354" s="423"/>
      <c r="I354" s="260"/>
      <c r="J354" s="260"/>
      <c r="K354" s="261"/>
      <c r="L354" s="261"/>
      <c r="M354" s="261"/>
      <c r="N354" s="261"/>
      <c r="O354" s="261"/>
      <c r="P354" s="261"/>
    </row>
    <row r="355" spans="1:26" ht="19.5">
      <c r="A355" s="424"/>
      <c r="B355" s="425"/>
      <c r="C355" s="426"/>
      <c r="D355" s="846" t="s">
        <v>159</v>
      </c>
      <c r="E355" s="428"/>
      <c r="F355" s="428"/>
      <c r="G355" s="429"/>
      <c r="H355" s="430" t="s">
        <v>35</v>
      </c>
      <c r="I355" s="432">
        <f ca="1">IFERROR(__xludf.DUMMYFUNCTION("IMPORTRANGE(""https://docs.google.com/spreadsheets/d/1QqKyyYR6Q21VydFLVH3TRQUabQu_ym0Zz7PgGX0-kHA/edit?usp=sharing"",""แผน!EP29"")"),170)</f>
        <v>170</v>
      </c>
      <c r="J355" s="432">
        <f ca="1">J362</f>
        <v>6</v>
      </c>
      <c r="K355" s="433">
        <f ca="1">IF(I355&gt;0,J355*100/I355,0)</f>
        <v>3.5294117647058822</v>
      </c>
      <c r="L355" s="434"/>
      <c r="M355" s="434"/>
      <c r="N355" s="434"/>
      <c r="O355" s="434"/>
      <c r="P355" s="434"/>
    </row>
    <row r="356" spans="1:26" ht="19.5">
      <c r="A356" s="424"/>
      <c r="B356" s="425"/>
      <c r="C356" s="426"/>
      <c r="D356" s="435" t="s">
        <v>160</v>
      </c>
      <c r="E356" s="428"/>
      <c r="F356" s="428"/>
      <c r="G356" s="429"/>
      <c r="H356" s="436"/>
      <c r="I356" s="437"/>
      <c r="J356" s="437"/>
      <c r="K356" s="434"/>
      <c r="L356" s="434"/>
      <c r="M356" s="434"/>
      <c r="N356" s="434"/>
      <c r="O356" s="434"/>
      <c r="P356" s="434"/>
    </row>
    <row r="357" spans="1:26" ht="19.5">
      <c r="A357" s="170"/>
      <c r="B357" s="171"/>
      <c r="C357" s="164" t="s">
        <v>16</v>
      </c>
      <c r="D357" s="818" t="s">
        <v>38</v>
      </c>
      <c r="E357" s="173"/>
      <c r="F357" s="173"/>
      <c r="G357" s="174"/>
      <c r="H357" s="726"/>
      <c r="I357" s="269"/>
      <c r="J357" s="269"/>
      <c r="K357" s="465"/>
      <c r="L357" s="163"/>
      <c r="M357" s="163"/>
      <c r="N357" s="163"/>
      <c r="O357" s="163"/>
      <c r="P357" s="163"/>
    </row>
    <row r="358" spans="1:26" ht="18.75">
      <c r="A358" s="170"/>
      <c r="B358" s="342"/>
      <c r="C358" s="171"/>
      <c r="D358" s="342"/>
      <c r="E358" s="343" t="s">
        <v>161</v>
      </c>
      <c r="F358" s="342"/>
      <c r="G358" s="179"/>
      <c r="H358" s="185" t="s">
        <v>35</v>
      </c>
      <c r="I358" s="269">
        <v>0</v>
      </c>
      <c r="J358" s="269">
        <f ca="1">IFERROR(__xludf.DUMMYFUNCTION("IMPORTRANGE(""https://docs.google.com/spreadsheets/d/1XWAQStnk-4SwqDmLtmXYiTMKHgktTP8We1SCoS47DrQ/edit?usp=sharing"",""จัดที่ดิน!W29"")"),6)</f>
        <v>6</v>
      </c>
      <c r="K358" s="465">
        <f t="shared" ref="K358:K365" si="160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342"/>
      <c r="C359" s="171"/>
      <c r="D359" s="342"/>
      <c r="E359" s="342"/>
      <c r="F359" s="342"/>
      <c r="G359" s="179"/>
      <c r="H359" s="185" t="s">
        <v>46</v>
      </c>
      <c r="I359" s="269">
        <f ca="1">IFERROR(__xludf.DUMMYFUNCTION("IMPORTRANGE(""https://docs.google.com/spreadsheets/d/1QqKyyYR6Q21VydFLVH3TRQUabQu_ym0Zz7PgGX0-kHA/edit?usp=sharing"",""แผน!EO29"")"),1650)</f>
        <v>1650</v>
      </c>
      <c r="J359" s="269">
        <f ca="1">IFERROR(__xludf.DUMMYFUNCTION("IMPORTRANGE(""https://docs.google.com/spreadsheets/d/1XWAQStnk-4SwqDmLtmXYiTMKHgktTP8We1SCoS47DrQ/edit?usp=sharing"",""จัดที่ดิน!X29"")"),37.0899999999999)</f>
        <v>37.089999999999897</v>
      </c>
      <c r="K359" s="465">
        <f t="shared" ca="1" si="160"/>
        <v>2.2478787878787814</v>
      </c>
      <c r="L359" s="163"/>
      <c r="M359" s="163"/>
      <c r="N359" s="163"/>
      <c r="O359" s="163"/>
      <c r="P359" s="163"/>
    </row>
    <row r="360" spans="1:26" ht="18.75">
      <c r="A360" s="170"/>
      <c r="B360" s="342"/>
      <c r="C360" s="171"/>
      <c r="D360" s="342"/>
      <c r="E360" s="343" t="s">
        <v>162</v>
      </c>
      <c r="F360" s="342"/>
      <c r="G360" s="179"/>
      <c r="H360" s="728" t="s">
        <v>35</v>
      </c>
      <c r="I360" s="269">
        <f ca="1">IFERROR(__xludf.DUMMYFUNCTION("IMPORTRANGE(""https://docs.google.com/spreadsheets/d/1QqKyyYR6Q21VydFLVH3TRQUabQu_ym0Zz7PgGX0-kHA/edit?usp=sharing"",""แผน!EP29"")"),170)</f>
        <v>170</v>
      </c>
      <c r="J360" s="269">
        <f ca="1">IFERROR(__xludf.DUMMYFUNCTION("IMPORTRANGE(""https://docs.google.com/spreadsheets/d/1XWAQStnk-4SwqDmLtmXYiTMKHgktTP8We1SCoS47DrQ/edit?usp=sharing"",""จัดที่ดิน!Y29"")"),6)</f>
        <v>6</v>
      </c>
      <c r="K360" s="465">
        <f t="shared" ca="1" si="160"/>
        <v>3.5294117647058822</v>
      </c>
      <c r="L360" s="163"/>
      <c r="M360" s="163"/>
      <c r="N360" s="163"/>
      <c r="O360" s="163"/>
      <c r="P360" s="163"/>
    </row>
    <row r="361" spans="1:26" ht="18.75">
      <c r="A361" s="170"/>
      <c r="B361" s="342"/>
      <c r="C361" s="171"/>
      <c r="D361" s="342"/>
      <c r="E361" s="342"/>
      <c r="F361" s="342"/>
      <c r="G361" s="179"/>
      <c r="H361" s="728" t="s">
        <v>46</v>
      </c>
      <c r="I361" s="269">
        <v>0</v>
      </c>
      <c r="J361" s="269">
        <f ca="1">IFERROR(__xludf.DUMMYFUNCTION("IMPORTRANGE(""https://docs.google.com/spreadsheets/d/1XWAQStnk-4SwqDmLtmXYiTMKHgktTP8We1SCoS47DrQ/edit?usp=sharing"",""จัดที่ดิน!Z29"")"),36.15)</f>
        <v>36.15</v>
      </c>
      <c r="K361" s="465">
        <f t="shared" si="160"/>
        <v>0</v>
      </c>
      <c r="L361" s="163"/>
      <c r="M361" s="163"/>
      <c r="N361" s="163"/>
      <c r="O361" s="163"/>
      <c r="P361" s="163"/>
    </row>
    <row r="362" spans="1:26" ht="18.75">
      <c r="A362" s="170"/>
      <c r="B362" s="342"/>
      <c r="C362" s="171"/>
      <c r="D362" s="342"/>
      <c r="E362" s="343" t="s">
        <v>163</v>
      </c>
      <c r="F362" s="342"/>
      <c r="G362" s="179"/>
      <c r="H362" s="728" t="s">
        <v>35</v>
      </c>
      <c r="I362" s="269">
        <f ca="1">IFERROR(__xludf.DUMMYFUNCTION("IMPORTRANGE(""https://docs.google.com/spreadsheets/d/1QqKyyYR6Q21VydFLVH3TRQUabQu_ym0Zz7PgGX0-kHA/edit?usp=sharing"",""แผน!EP29"")"),170)</f>
        <v>170</v>
      </c>
      <c r="J362" s="269">
        <f ca="1">IFERROR(__xludf.DUMMYFUNCTION("IMPORTRANGE(""https://docs.google.com/spreadsheets/d/1XWAQStnk-4SwqDmLtmXYiTMKHgktTP8We1SCoS47DrQ/edit?usp=sharing"",""จัดที่ดิน!AA29"")"),6)</f>
        <v>6</v>
      </c>
      <c r="K362" s="465">
        <f t="shared" ca="1" si="160"/>
        <v>3.5294117647058822</v>
      </c>
      <c r="L362" s="163"/>
      <c r="M362" s="163"/>
      <c r="N362" s="163"/>
      <c r="O362" s="163"/>
      <c r="P362" s="163"/>
    </row>
    <row r="363" spans="1:26" ht="18.75">
      <c r="A363" s="438" t="s">
        <v>164</v>
      </c>
      <c r="B363" s="342"/>
      <c r="C363" s="171"/>
      <c r="D363" s="342"/>
      <c r="E363" s="415"/>
      <c r="F363" s="342"/>
      <c r="G363" s="179"/>
      <c r="H363" s="728" t="s">
        <v>46</v>
      </c>
      <c r="I363" s="269">
        <v>0</v>
      </c>
      <c r="J363" s="269">
        <f ca="1">IFERROR(__xludf.DUMMYFUNCTION("IMPORTRANGE(""https://docs.google.com/spreadsheets/d/1XWAQStnk-4SwqDmLtmXYiTMKHgktTP8We1SCoS47DrQ/edit?usp=sharing"",""จัดที่ดิน!AB29"")"),37.0899999999999)</f>
        <v>37.089999999999897</v>
      </c>
      <c r="K363" s="465">
        <f t="shared" si="160"/>
        <v>0</v>
      </c>
      <c r="L363" s="163"/>
      <c r="M363" s="163"/>
      <c r="N363" s="163"/>
      <c r="O363" s="163"/>
      <c r="P363" s="163"/>
    </row>
    <row r="364" spans="1:26" ht="19.5">
      <c r="A364" s="439"/>
      <c r="B364" s="440"/>
      <c r="C364" s="441"/>
      <c r="D364" s="442" t="s">
        <v>165</v>
      </c>
      <c r="E364" s="443"/>
      <c r="F364" s="443"/>
      <c r="G364" s="444"/>
      <c r="H364" s="445" t="s">
        <v>35</v>
      </c>
      <c r="I364" s="446">
        <f t="shared" ref="I364:J364" ca="1" si="161">I365+I374</f>
        <v>420</v>
      </c>
      <c r="J364" s="446">
        <f t="shared" ca="1" si="161"/>
        <v>136</v>
      </c>
      <c r="K364" s="447">
        <f t="shared" ca="1" si="160"/>
        <v>32.38095238095238</v>
      </c>
      <c r="L364" s="448"/>
      <c r="M364" s="448"/>
      <c r="N364" s="448"/>
      <c r="O364" s="448"/>
      <c r="P364" s="448"/>
      <c r="Q364" s="449"/>
      <c r="R364" s="449"/>
      <c r="S364" s="449"/>
      <c r="T364" s="449"/>
      <c r="U364" s="449"/>
      <c r="V364" s="449"/>
      <c r="W364" s="449"/>
      <c r="X364" s="449"/>
      <c r="Y364" s="449"/>
      <c r="Z364" s="449"/>
    </row>
    <row r="365" spans="1:26" ht="19.5">
      <c r="A365" s="450"/>
      <c r="B365" s="451"/>
      <c r="C365" s="453"/>
      <c r="D365" s="453" t="s">
        <v>166</v>
      </c>
      <c r="E365" s="454"/>
      <c r="F365" s="454"/>
      <c r="G365" s="455"/>
      <c r="H365" s="456" t="s">
        <v>35</v>
      </c>
      <c r="I365" s="458">
        <f ca="1">IFERROR(__xludf.DUMMYFUNCTION("IMPORTRANGE(""https://docs.google.com/spreadsheets/d/1QqKyyYR6Q21VydFLVH3TRQUabQu_ym0Zz7PgGX0-kHA/edit?usp=sharing"",""แผน!EJ29"")"),40)</f>
        <v>40</v>
      </c>
      <c r="J365" s="458">
        <f ca="1">J372</f>
        <v>2</v>
      </c>
      <c r="K365" s="459">
        <f t="shared" ca="1" si="160"/>
        <v>5</v>
      </c>
      <c r="L365" s="460"/>
      <c r="M365" s="460"/>
      <c r="N365" s="460"/>
      <c r="O365" s="460"/>
      <c r="P365" s="460"/>
      <c r="Q365" s="449"/>
      <c r="R365" s="449"/>
      <c r="S365" s="449"/>
      <c r="T365" s="449"/>
      <c r="U365" s="449"/>
      <c r="V365" s="449"/>
      <c r="W365" s="449"/>
      <c r="X365" s="449"/>
      <c r="Y365" s="449"/>
      <c r="Z365" s="449"/>
    </row>
    <row r="366" spans="1:26" ht="19.5">
      <c r="A366" s="450"/>
      <c r="B366" s="451"/>
      <c r="C366" s="453"/>
      <c r="D366" s="461" t="s">
        <v>167</v>
      </c>
      <c r="E366" s="454"/>
      <c r="F366" s="454"/>
      <c r="G366" s="455"/>
      <c r="H366" s="462"/>
      <c r="I366" s="463"/>
      <c r="J366" s="463"/>
      <c r="K366" s="460"/>
      <c r="L366" s="460"/>
      <c r="M366" s="460"/>
      <c r="N366" s="460"/>
      <c r="O366" s="460"/>
      <c r="P366" s="460"/>
      <c r="Q366" s="449"/>
      <c r="R366" s="449"/>
      <c r="S366" s="449"/>
      <c r="T366" s="449"/>
      <c r="U366" s="449"/>
      <c r="V366" s="449"/>
      <c r="W366" s="449"/>
      <c r="X366" s="449"/>
      <c r="Y366" s="449"/>
      <c r="Z366" s="449"/>
    </row>
    <row r="367" spans="1:26" ht="19.5">
      <c r="A367" s="170"/>
      <c r="B367" s="171"/>
      <c r="C367" s="164" t="s">
        <v>16</v>
      </c>
      <c r="D367" s="818" t="s">
        <v>38</v>
      </c>
      <c r="E367" s="173"/>
      <c r="F367" s="173"/>
      <c r="G367" s="174"/>
      <c r="H367" s="726"/>
      <c r="I367" s="269"/>
      <c r="J367" s="269"/>
      <c r="K367" s="465"/>
      <c r="L367" s="163"/>
      <c r="M367" s="163"/>
      <c r="N367" s="163"/>
      <c r="O367" s="163"/>
      <c r="P367" s="163"/>
    </row>
    <row r="368" spans="1:26" ht="18.75">
      <c r="A368" s="170"/>
      <c r="B368" s="342"/>
      <c r="C368" s="171"/>
      <c r="D368" s="342"/>
      <c r="E368" s="343" t="s">
        <v>161</v>
      </c>
      <c r="F368" s="342"/>
      <c r="G368" s="179"/>
      <c r="H368" s="185" t="s">
        <v>35</v>
      </c>
      <c r="I368" s="269">
        <v>0</v>
      </c>
      <c r="J368" s="269">
        <f ca="1">IFERROR(__xludf.DUMMYFUNCTION("IMPORTRANGE(""https://docs.google.com/spreadsheets/d/1XWAQStnk-4SwqDmLtmXYiTMKHgktTP8We1SCoS47DrQ/edit?usp=sharing"",""จัดที่ดิน!E29"")"),2)</f>
        <v>2</v>
      </c>
      <c r="K368" s="465">
        <f t="shared" ref="K368:K374" si="162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342"/>
      <c r="C369" s="171"/>
      <c r="D369" s="342"/>
      <c r="E369" s="342"/>
      <c r="F369" s="342"/>
      <c r="G369" s="179"/>
      <c r="H369" s="185" t="s">
        <v>46</v>
      </c>
      <c r="I369" s="269">
        <f ca="1">IFERROR(__xludf.DUMMYFUNCTION("IMPORTRANGE(""https://docs.google.com/spreadsheets/d/1QqKyyYR6Q21VydFLVH3TRQUabQu_ym0Zz7PgGX0-kHA/edit?usp=sharing"",""แผน!EI29"")"),400)</f>
        <v>400</v>
      </c>
      <c r="J369" s="269">
        <f ca="1">IFERROR(__xludf.DUMMYFUNCTION("IMPORTRANGE(""https://docs.google.com/spreadsheets/d/1XWAQStnk-4SwqDmLtmXYiTMKHgktTP8We1SCoS47DrQ/edit?usp=sharing"",""จัดที่ดิน!F29"")"),4.15)</f>
        <v>4.1500000000000004</v>
      </c>
      <c r="K369" s="465">
        <f t="shared" ca="1" si="162"/>
        <v>1.0375000000000001</v>
      </c>
      <c r="L369" s="163"/>
      <c r="M369" s="163"/>
      <c r="N369" s="163"/>
      <c r="O369" s="163"/>
      <c r="P369" s="163"/>
    </row>
    <row r="370" spans="1:26" ht="18.75">
      <c r="A370" s="170"/>
      <c r="B370" s="342"/>
      <c r="C370" s="171"/>
      <c r="D370" s="342"/>
      <c r="E370" s="343" t="s">
        <v>162</v>
      </c>
      <c r="F370" s="342"/>
      <c r="G370" s="179"/>
      <c r="H370" s="728" t="s">
        <v>35</v>
      </c>
      <c r="I370" s="269">
        <f ca="1">IFERROR(__xludf.DUMMYFUNCTION("IMPORTRANGE(""https://docs.google.com/spreadsheets/d/1QqKyyYR6Q21VydFLVH3TRQUabQu_ym0Zz7PgGX0-kHA/edit?usp=sharing"",""แผน!EJ29"")"),40)</f>
        <v>40</v>
      </c>
      <c r="J370" s="269">
        <f ca="1">IFERROR(__xludf.DUMMYFUNCTION("IMPORTRANGE(""https://docs.google.com/spreadsheets/d/1XWAQStnk-4SwqDmLtmXYiTMKHgktTP8We1SCoS47DrQ/edit?usp=sharing"",""จัดที่ดิน!G29"")"),2)</f>
        <v>2</v>
      </c>
      <c r="K370" s="465">
        <f t="shared" ca="1" si="162"/>
        <v>5</v>
      </c>
      <c r="L370" s="163"/>
      <c r="M370" s="163"/>
      <c r="N370" s="163"/>
      <c r="O370" s="163"/>
      <c r="P370" s="163"/>
    </row>
    <row r="371" spans="1:26" ht="18.75">
      <c r="A371" s="170"/>
      <c r="B371" s="342"/>
      <c r="C371" s="171"/>
      <c r="D371" s="342"/>
      <c r="E371" s="342"/>
      <c r="F371" s="342"/>
      <c r="G371" s="179"/>
      <c r="H371" s="728" t="s">
        <v>46</v>
      </c>
      <c r="I371" s="269">
        <v>0</v>
      </c>
      <c r="J371" s="269">
        <f ca="1">IFERROR(__xludf.DUMMYFUNCTION("IMPORTRANGE(""https://docs.google.com/spreadsheets/d/1XWAQStnk-4SwqDmLtmXYiTMKHgktTP8We1SCoS47DrQ/edit?usp=sharing"",""จัดที่ดิน!H29"")"),3.21)</f>
        <v>3.21</v>
      </c>
      <c r="K371" s="465">
        <f t="shared" si="162"/>
        <v>0</v>
      </c>
      <c r="L371" s="163"/>
      <c r="M371" s="163"/>
      <c r="N371" s="163"/>
      <c r="O371" s="163"/>
      <c r="P371" s="163"/>
    </row>
    <row r="372" spans="1:26" ht="18.75">
      <c r="A372" s="170"/>
      <c r="B372" s="342"/>
      <c r="C372" s="171"/>
      <c r="D372" s="342"/>
      <c r="E372" s="343" t="s">
        <v>163</v>
      </c>
      <c r="F372" s="342"/>
      <c r="G372" s="179"/>
      <c r="H372" s="728" t="s">
        <v>35</v>
      </c>
      <c r="I372" s="269">
        <f ca="1">IFERROR(__xludf.DUMMYFUNCTION("IMPORTRANGE(""https://docs.google.com/spreadsheets/d/1QqKyyYR6Q21VydFLVH3TRQUabQu_ym0Zz7PgGX0-kHA/edit?usp=sharing"",""แผน!EJ29"")"),40)</f>
        <v>40</v>
      </c>
      <c r="J372" s="269">
        <f ca="1">IFERROR(__xludf.DUMMYFUNCTION("IMPORTRANGE(""https://docs.google.com/spreadsheets/d/1XWAQStnk-4SwqDmLtmXYiTMKHgktTP8We1SCoS47DrQ/edit?usp=sharing"",""จัดที่ดิน!I29"")"),2)</f>
        <v>2</v>
      </c>
      <c r="K372" s="465">
        <f t="shared" ca="1" si="162"/>
        <v>5</v>
      </c>
      <c r="L372" s="163"/>
      <c r="M372" s="163"/>
      <c r="N372" s="163"/>
      <c r="O372" s="163"/>
      <c r="P372" s="163"/>
    </row>
    <row r="373" spans="1:26" ht="18.75">
      <c r="A373" s="438" t="s">
        <v>164</v>
      </c>
      <c r="B373" s="342"/>
      <c r="C373" s="171"/>
      <c r="D373" s="342"/>
      <c r="E373" s="415"/>
      <c r="F373" s="342"/>
      <c r="G373" s="179"/>
      <c r="H373" s="728" t="s">
        <v>46</v>
      </c>
      <c r="I373" s="269">
        <v>0</v>
      </c>
      <c r="J373" s="269">
        <f ca="1">IFERROR(__xludf.DUMMYFUNCTION("IMPORTRANGE(""https://docs.google.com/spreadsheets/d/1XWAQStnk-4SwqDmLtmXYiTMKHgktTP8We1SCoS47DrQ/edit?usp=sharing"",""จัดที่ดิน!J29"")"),4.15)</f>
        <v>4.1500000000000004</v>
      </c>
      <c r="K373" s="465">
        <f t="shared" si="162"/>
        <v>0</v>
      </c>
      <c r="L373" s="163"/>
      <c r="M373" s="163"/>
      <c r="N373" s="163"/>
      <c r="O373" s="163"/>
      <c r="P373" s="163"/>
    </row>
    <row r="374" spans="1:26" ht="19.5">
      <c r="A374" s="450"/>
      <c r="B374" s="451"/>
      <c r="C374" s="453"/>
      <c r="D374" s="453" t="s">
        <v>168</v>
      </c>
      <c r="E374" s="454"/>
      <c r="F374" s="454"/>
      <c r="G374" s="455"/>
      <c r="H374" s="456" t="s">
        <v>35</v>
      </c>
      <c r="I374" s="464">
        <f ca="1">IFERROR(__xludf.DUMMYFUNCTION("IMPORTRANGE(""https://docs.google.com/spreadsheets/d/1QqKyyYR6Q21VydFLVH3TRQUabQu_ym0Zz7PgGX0-kHA/edit?usp=sharing"",""แผน!EU29"")"),380)</f>
        <v>380</v>
      </c>
      <c r="J374" s="458">
        <f ca="1">J381</f>
        <v>134</v>
      </c>
      <c r="K374" s="459">
        <f t="shared" ca="1" si="162"/>
        <v>35.263157894736842</v>
      </c>
      <c r="L374" s="460"/>
      <c r="M374" s="460"/>
      <c r="N374" s="460"/>
      <c r="O374" s="460"/>
      <c r="P374" s="460"/>
      <c r="Q374" s="449"/>
      <c r="R374" s="449"/>
      <c r="S374" s="449"/>
      <c r="T374" s="449"/>
      <c r="U374" s="449"/>
      <c r="V374" s="449"/>
      <c r="W374" s="449"/>
      <c r="X374" s="449"/>
      <c r="Y374" s="449"/>
      <c r="Z374" s="449"/>
    </row>
    <row r="375" spans="1:26" ht="19.5">
      <c r="A375" s="450"/>
      <c r="B375" s="451"/>
      <c r="C375" s="453"/>
      <c r="D375" s="461" t="s">
        <v>169</v>
      </c>
      <c r="E375" s="454"/>
      <c r="F375" s="454"/>
      <c r="G375" s="455"/>
      <c r="H375" s="462"/>
      <c r="I375" s="463"/>
      <c r="J375" s="463"/>
      <c r="K375" s="460"/>
      <c r="L375" s="460"/>
      <c r="M375" s="460"/>
      <c r="N375" s="460"/>
      <c r="O375" s="460"/>
      <c r="P375" s="460"/>
      <c r="Q375" s="449"/>
      <c r="R375" s="449"/>
      <c r="S375" s="449"/>
      <c r="T375" s="449"/>
      <c r="U375" s="449"/>
      <c r="V375" s="449"/>
      <c r="W375" s="449"/>
      <c r="X375" s="449"/>
      <c r="Y375" s="449"/>
      <c r="Z375" s="449"/>
    </row>
    <row r="376" spans="1:26" ht="19.5">
      <c r="A376" s="170"/>
      <c r="B376" s="171"/>
      <c r="C376" s="164" t="s">
        <v>16</v>
      </c>
      <c r="D376" s="818" t="s">
        <v>38</v>
      </c>
      <c r="E376" s="173"/>
      <c r="F376" s="173"/>
      <c r="G376" s="174"/>
      <c r="H376" s="726"/>
      <c r="I376" s="269"/>
      <c r="J376" s="269"/>
      <c r="K376" s="465"/>
      <c r="L376" s="163"/>
      <c r="M376" s="163"/>
      <c r="N376" s="163"/>
      <c r="O376" s="163"/>
      <c r="P376" s="163"/>
    </row>
    <row r="377" spans="1:26" ht="18.75">
      <c r="A377" s="170"/>
      <c r="B377" s="342"/>
      <c r="C377" s="171"/>
      <c r="D377" s="342"/>
      <c r="E377" s="343" t="s">
        <v>161</v>
      </c>
      <c r="F377" s="342"/>
      <c r="G377" s="179"/>
      <c r="H377" s="185" t="s">
        <v>35</v>
      </c>
      <c r="I377" s="269">
        <v>0</v>
      </c>
      <c r="J377" s="269">
        <f ca="1">IFERROR(__xludf.DUMMYFUNCTION("IMPORTRANGE(""https://docs.google.com/spreadsheets/d/1XWAQStnk-4SwqDmLtmXYiTMKHgktTP8We1SCoS47DrQ/edit?usp=sharing"",""จัดที่ดิน!AH29"")"),4)</f>
        <v>4</v>
      </c>
      <c r="K377" s="465">
        <f t="shared" ref="K377:K382" si="163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342"/>
      <c r="C378" s="171"/>
      <c r="D378" s="342"/>
      <c r="E378" s="342"/>
      <c r="F378" s="342"/>
      <c r="G378" s="179"/>
      <c r="H378" s="185" t="s">
        <v>46</v>
      </c>
      <c r="I378" s="269">
        <f ca="1">IFERROR(__xludf.DUMMYFUNCTION("IMPORTRANGE(""https://docs.google.com/spreadsheets/d/1QqKyyYR6Q21VydFLVH3TRQUabQu_ym0Zz7PgGX0-kHA/edit?usp=sharing"",""แผน!ET29"")"),1250)</f>
        <v>1250</v>
      </c>
      <c r="J378" s="269">
        <f ca="1">IFERROR(__xludf.DUMMYFUNCTION("IMPORTRANGE(""https://docs.google.com/spreadsheets/d/1XWAQStnk-4SwqDmLtmXYiTMKHgktTP8We1SCoS47DrQ/edit?usp=sharing"",""จัดที่ดิน!AI29"")"),32.94)</f>
        <v>32.94</v>
      </c>
      <c r="K378" s="465">
        <f t="shared" ca="1" si="163"/>
        <v>2.6352000000000002</v>
      </c>
      <c r="L378" s="163"/>
      <c r="M378" s="163"/>
      <c r="N378" s="163"/>
      <c r="O378" s="163"/>
      <c r="P378" s="163"/>
    </row>
    <row r="379" spans="1:26" ht="18.75">
      <c r="A379" s="170"/>
      <c r="B379" s="342"/>
      <c r="C379" s="171"/>
      <c r="D379" s="342"/>
      <c r="E379" s="343" t="s">
        <v>162</v>
      </c>
      <c r="F379" s="342"/>
      <c r="G379" s="179"/>
      <c r="H379" s="728" t="s">
        <v>35</v>
      </c>
      <c r="I379" s="269">
        <f ca="1">IFERROR(__xludf.DUMMYFUNCTION("IMPORTRANGE(""https://docs.google.com/spreadsheets/d/1QqKyyYR6Q21VydFLVH3TRQUabQu_ym0Zz7PgGX0-kHA/edit?usp=sharing"",""แผน!EU29"")"),380)</f>
        <v>380</v>
      </c>
      <c r="J379" s="269">
        <f ca="1">IFERROR(__xludf.DUMMYFUNCTION("IMPORTRANGE(""https://docs.google.com/spreadsheets/d/1XWAQStnk-4SwqDmLtmXYiTMKHgktTP8We1SCoS47DrQ/edit?usp=sharing"",""จัดที่ดิน!AJ29"")"),138)</f>
        <v>138</v>
      </c>
      <c r="K379" s="465">
        <f t="shared" ca="1" si="163"/>
        <v>36.315789473684212</v>
      </c>
      <c r="L379" s="163"/>
      <c r="M379" s="163"/>
      <c r="N379" s="163"/>
      <c r="O379" s="163"/>
      <c r="P379" s="163"/>
    </row>
    <row r="380" spans="1:26" ht="18.75">
      <c r="A380" s="170"/>
      <c r="B380" s="342"/>
      <c r="C380" s="171"/>
      <c r="D380" s="342"/>
      <c r="E380" s="342"/>
      <c r="F380" s="342"/>
      <c r="G380" s="179"/>
      <c r="H380" s="728" t="s">
        <v>46</v>
      </c>
      <c r="I380" s="269">
        <v>0</v>
      </c>
      <c r="J380" s="269">
        <f ca="1">IFERROR(__xludf.DUMMYFUNCTION("IMPORTRANGE(""https://docs.google.com/spreadsheets/d/1XWAQStnk-4SwqDmLtmXYiTMKHgktTP8We1SCoS47DrQ/edit?usp=sharing"",""จัดที่ดิน!AK29"")"),1673.37)</f>
        <v>1673.37</v>
      </c>
      <c r="K380" s="465">
        <f t="shared" si="163"/>
        <v>0</v>
      </c>
      <c r="L380" s="163"/>
      <c r="M380" s="163"/>
      <c r="N380" s="163"/>
      <c r="O380" s="163"/>
      <c r="P380" s="163"/>
    </row>
    <row r="381" spans="1:26" ht="18.75">
      <c r="A381" s="170"/>
      <c r="B381" s="342"/>
      <c r="C381" s="171"/>
      <c r="D381" s="342"/>
      <c r="E381" s="343" t="s">
        <v>163</v>
      </c>
      <c r="F381" s="342"/>
      <c r="G381" s="179"/>
      <c r="H381" s="728" t="s">
        <v>35</v>
      </c>
      <c r="I381" s="269">
        <f ca="1">IFERROR(__xludf.DUMMYFUNCTION("IMPORTRANGE(""https://docs.google.com/spreadsheets/d/1QqKyyYR6Q21VydFLVH3TRQUabQu_ym0Zz7PgGX0-kHA/edit?usp=sharing"",""แผน!EU29"")"),380)</f>
        <v>380</v>
      </c>
      <c r="J381" s="269">
        <f ca="1">IFERROR(__xludf.DUMMYFUNCTION("IMPORTRANGE(""https://docs.google.com/spreadsheets/d/1XWAQStnk-4SwqDmLtmXYiTMKHgktTP8We1SCoS47DrQ/edit?usp=sharing"",""จัดที่ดิน!AL29"")"),134)</f>
        <v>134</v>
      </c>
      <c r="K381" s="465">
        <f t="shared" ca="1" si="163"/>
        <v>35.263157894736842</v>
      </c>
      <c r="L381" s="163"/>
      <c r="M381" s="163"/>
      <c r="N381" s="163"/>
      <c r="O381" s="163"/>
      <c r="P381" s="163"/>
    </row>
    <row r="382" spans="1:26" ht="18.75">
      <c r="A382" s="438" t="s">
        <v>164</v>
      </c>
      <c r="B382" s="342"/>
      <c r="C382" s="171"/>
      <c r="D382" s="342"/>
      <c r="E382" s="415"/>
      <c r="F382" s="342"/>
      <c r="G382" s="179"/>
      <c r="H382" s="728" t="s">
        <v>46</v>
      </c>
      <c r="I382" s="269">
        <v>0</v>
      </c>
      <c r="J382" s="269">
        <f ca="1">IFERROR(__xludf.DUMMYFUNCTION("IMPORTRANGE(""https://docs.google.com/spreadsheets/d/1XWAQStnk-4SwqDmLtmXYiTMKHgktTP8We1SCoS47DrQ/edit?usp=sharing"",""จัดที่ดิน!AM29"")"),1654.64)</f>
        <v>1654.64</v>
      </c>
      <c r="K382" s="465">
        <f t="shared" si="163"/>
        <v>0</v>
      </c>
      <c r="L382" s="163"/>
      <c r="M382" s="163"/>
      <c r="N382" s="163"/>
      <c r="O382" s="163"/>
      <c r="P382" s="163"/>
    </row>
    <row r="383" spans="1:26" ht="19.5">
      <c r="A383" s="255"/>
      <c r="B383" s="263"/>
      <c r="C383" s="256"/>
      <c r="D383" s="845" t="s">
        <v>170</v>
      </c>
      <c r="E383" s="256"/>
      <c r="F383" s="256"/>
      <c r="G383" s="258"/>
      <c r="H383" s="423"/>
      <c r="I383" s="260"/>
      <c r="J383" s="260"/>
      <c r="K383" s="261"/>
      <c r="L383" s="261"/>
      <c r="M383" s="261"/>
      <c r="N383" s="261"/>
      <c r="O383" s="261"/>
      <c r="P383" s="261"/>
    </row>
    <row r="384" spans="1:26" ht="19.5">
      <c r="A384" s="170"/>
      <c r="B384" s="171"/>
      <c r="C384" s="33" t="s">
        <v>16</v>
      </c>
      <c r="D384" s="818" t="s">
        <v>38</v>
      </c>
      <c r="E384" s="173"/>
      <c r="F384" s="173"/>
      <c r="G384" s="174"/>
      <c r="H384" s="726"/>
      <c r="I384" s="269"/>
      <c r="J384" s="269"/>
      <c r="K384" s="465"/>
      <c r="L384" s="163"/>
      <c r="M384" s="163"/>
      <c r="N384" s="163"/>
      <c r="O384" s="163"/>
      <c r="P384" s="163"/>
    </row>
    <row r="385" spans="1:26" ht="18.75">
      <c r="A385" s="346"/>
      <c r="B385" s="349"/>
      <c r="C385" s="347"/>
      <c r="D385" s="349"/>
      <c r="E385" s="466" t="s">
        <v>163</v>
      </c>
      <c r="F385" s="349"/>
      <c r="G385" s="350"/>
      <c r="H385" s="467" t="s">
        <v>35</v>
      </c>
      <c r="I385" s="468">
        <f ca="1">IFERROR(__xludf.DUMMYFUNCTION("IMPORTRANGE(""https://docs.google.com/spreadsheets/d/1QqKyyYR6Q21VydFLVH3TRQUabQu_ym0Zz7PgGX0-kHA/edit?usp=sharing"",""แผน!EW29"")"),10)</f>
        <v>10</v>
      </c>
      <c r="J385" s="468">
        <f ca="1">IFERROR(__xludf.DUMMYFUNCTION("IMPORTRANGE(""https://docs.google.com/spreadsheets/d/1XWAQStnk-4SwqDmLtmXYiTMKHgktTP8We1SCoS47DrQ/edit?usp=sharing"",""จัดที่ดิน!AP29"")"),0)</f>
        <v>0</v>
      </c>
      <c r="K385" s="469">
        <f ca="1">IF(I385&gt;0,J385*100/I385,0)</f>
        <v>0</v>
      </c>
      <c r="L385" s="353"/>
      <c r="M385" s="353"/>
      <c r="N385" s="353"/>
      <c r="O385" s="353"/>
      <c r="P385" s="353"/>
    </row>
    <row r="386" spans="1:26" ht="19.5" hidden="1">
      <c r="A386" s="470" t="s">
        <v>171</v>
      </c>
      <c r="B386" s="471"/>
      <c r="C386" s="471"/>
      <c r="D386" s="471"/>
      <c r="E386" s="472"/>
      <c r="F386" s="472"/>
      <c r="G386" s="473"/>
      <c r="H386" s="474"/>
      <c r="I386" s="475"/>
      <c r="J386" s="475"/>
      <c r="K386" s="476"/>
      <c r="L386" s="476"/>
      <c r="M386" s="476"/>
      <c r="N386" s="476"/>
      <c r="O386" s="476"/>
      <c r="P386" s="476"/>
    </row>
    <row r="387" spans="1:26" ht="19.5" hidden="1">
      <c r="A387" s="477" t="s">
        <v>172</v>
      </c>
      <c r="B387" s="478"/>
      <c r="C387" s="478"/>
      <c r="D387" s="479"/>
      <c r="E387" s="478"/>
      <c r="F387" s="478"/>
      <c r="G387" s="478"/>
      <c r="H387" s="480"/>
      <c r="I387" s="481"/>
      <c r="J387" s="481"/>
      <c r="K387" s="482"/>
      <c r="L387" s="482"/>
      <c r="M387" s="482"/>
      <c r="N387" s="482"/>
      <c r="O387" s="482"/>
      <c r="P387" s="482"/>
    </row>
    <row r="388" spans="1:26" ht="19.5" hidden="1">
      <c r="A388" s="483"/>
      <c r="B388" s="484" t="s">
        <v>173</v>
      </c>
      <c r="C388" s="485"/>
      <c r="D388" s="486"/>
      <c r="E388" s="486"/>
      <c r="F388" s="486"/>
      <c r="G388" s="487"/>
      <c r="H388" s="488" t="s">
        <v>69</v>
      </c>
      <c r="I388" s="489">
        <f t="shared" ref="I388:J388" si="164">I400</f>
        <v>0</v>
      </c>
      <c r="J388" s="489">
        <f t="shared" si="164"/>
        <v>0</v>
      </c>
      <c r="K388" s="490">
        <f>IF(I388&gt;0,J388*100/I388,0)</f>
        <v>0</v>
      </c>
      <c r="L388" s="491"/>
      <c r="M388" s="491"/>
      <c r="N388" s="491"/>
      <c r="O388" s="491"/>
      <c r="P388" s="491"/>
    </row>
    <row r="389" spans="1:26" ht="19.5" hidden="1">
      <c r="A389" s="147"/>
      <c r="B389" s="148"/>
      <c r="C389" s="149" t="s">
        <v>16</v>
      </c>
      <c r="D389" s="817" t="s">
        <v>17</v>
      </c>
      <c r="E389" s="148"/>
      <c r="F389" s="148"/>
      <c r="G389" s="151"/>
      <c r="H389" s="152" t="s">
        <v>12</v>
      </c>
      <c r="I389" s="388"/>
      <c r="J389" s="388"/>
      <c r="K389" s="154"/>
      <c r="L389" s="155">
        <f t="shared" ref="L389:N389" ca="1" si="165">L390+L391</f>
        <v>0</v>
      </c>
      <c r="M389" s="155">
        <f t="shared" ca="1" si="165"/>
        <v>0</v>
      </c>
      <c r="N389" s="155">
        <f t="shared" ca="1" si="165"/>
        <v>0</v>
      </c>
      <c r="O389" s="155">
        <f t="shared" ref="O389:O397" ca="1" si="166">IF(L389&gt;0,N389*100/L389,0)</f>
        <v>0</v>
      </c>
      <c r="P389" s="155">
        <f t="shared" ref="P389:P397" ca="1" si="167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2" t="s">
        <v>18</v>
      </c>
      <c r="F390" s="40"/>
      <c r="G390" s="157"/>
      <c r="H390" s="158" t="s">
        <v>12</v>
      </c>
      <c r="I390" s="583"/>
      <c r="J390" s="583"/>
      <c r="K390" s="93"/>
      <c r="L390" s="93">
        <f t="shared" ref="L390:N391" si="168">L393+L396</f>
        <v>0</v>
      </c>
      <c r="M390" s="93">
        <f t="shared" si="168"/>
        <v>0</v>
      </c>
      <c r="N390" s="93">
        <f t="shared" si="168"/>
        <v>0</v>
      </c>
      <c r="O390" s="93">
        <f t="shared" si="166"/>
        <v>0</v>
      </c>
      <c r="P390" s="93">
        <f t="shared" si="167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2" t="s">
        <v>19</v>
      </c>
      <c r="F391" s="40"/>
      <c r="G391" s="157"/>
      <c r="H391" s="158" t="s">
        <v>12</v>
      </c>
      <c r="I391" s="583"/>
      <c r="J391" s="583"/>
      <c r="K391" s="93"/>
      <c r="L391" s="93">
        <f t="shared" ca="1" si="168"/>
        <v>0</v>
      </c>
      <c r="M391" s="93">
        <f t="shared" ca="1" si="168"/>
        <v>0</v>
      </c>
      <c r="N391" s="93">
        <f t="shared" ca="1" si="168"/>
        <v>0</v>
      </c>
      <c r="O391" s="93">
        <f t="shared" ca="1" si="166"/>
        <v>0</v>
      </c>
      <c r="P391" s="93">
        <f t="shared" ca="1" si="167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1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65">
        <f t="shared" ref="L392:N392" ca="1" si="169">L393+L394</f>
        <v>0</v>
      </c>
      <c r="M392" s="465">
        <f t="shared" ca="1" si="169"/>
        <v>0</v>
      </c>
      <c r="N392" s="465">
        <f t="shared" ca="1" si="169"/>
        <v>0</v>
      </c>
      <c r="O392" s="465">
        <f t="shared" ca="1" si="166"/>
        <v>0</v>
      </c>
      <c r="P392" s="465">
        <f t="shared" ca="1" si="167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2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6"/>
        <v>0</v>
      </c>
      <c r="P393" s="93">
        <f t="shared" si="167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2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IFERROR(__xludf.DUMMYFUNCTION("IMPORTRANGE(""https://docs.google.com/spreadsheets/d/1MeEWN-I1oV_STSDYn1IFDPWt_1FKiwhDph83XaGc0o0/edit?usp=sharing"",""งบพรบ!FG29"")"),0)</f>
        <v>0</v>
      </c>
      <c r="M394" s="93">
        <f ca="1">IFERROR(__xludf.DUMMYFUNCTION("IMPORTRANGE(""https://docs.google.com/spreadsheets/d/1MeEWN-I1oV_STSDYn1IFDPWt_1FKiwhDph83XaGc0o0/edit?usp=sharing"",""งบพรบ!FL29"")"),0)</f>
        <v>0</v>
      </c>
      <c r="N394" s="93">
        <f ca="1">IFERROR(__xludf.DUMMYFUNCTION("IMPORTRANGE(""https://docs.google.com/spreadsheets/d/1MeEWN-I1oV_STSDYn1IFDPWt_1FKiwhDph83XaGc0o0/edit?usp=sharing"",""งบพรบ!FN29"")"),0)</f>
        <v>0</v>
      </c>
      <c r="O394" s="93">
        <f t="shared" ca="1" si="166"/>
        <v>0</v>
      </c>
      <c r="P394" s="93">
        <f t="shared" ca="1" si="167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1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65">
        <f t="shared" ref="L395:N395" ca="1" si="170">L396+L397</f>
        <v>0</v>
      </c>
      <c r="M395" s="465">
        <f t="shared" ca="1" si="170"/>
        <v>0</v>
      </c>
      <c r="N395" s="465">
        <f t="shared" ca="1" si="170"/>
        <v>0</v>
      </c>
      <c r="O395" s="465">
        <f t="shared" ca="1" si="166"/>
        <v>0</v>
      </c>
      <c r="P395" s="465">
        <f t="shared" ca="1" si="167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2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6"/>
        <v>0</v>
      </c>
      <c r="P396" s="93">
        <f t="shared" si="167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2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IFERROR(__xludf.DUMMYFUNCTION("IMPORTRANGE(""https://docs.google.com/spreadsheets/d/1MeEWN-I1oV_STSDYn1IFDPWt_1FKiwhDph83XaGc0o0/edit?usp=sharing"",""งบพรบ!FJ29"")"),0)</f>
        <v>0</v>
      </c>
      <c r="M397" s="93">
        <f ca="1">IFERROR(__xludf.DUMMYFUNCTION("IMPORTRANGE(""https://docs.google.com/spreadsheets/d/1MeEWN-I1oV_STSDYn1IFDPWt_1FKiwhDph83XaGc0o0/edit?usp=sharing"",""งบพรบ!FM29"")"),0)</f>
        <v>0</v>
      </c>
      <c r="N397" s="93">
        <f ca="1">IFERROR(__xludf.DUMMYFUNCTION("IMPORTRANGE(""https://docs.google.com/spreadsheets/d/1MeEWN-I1oV_STSDYn1IFDPWt_1FKiwhDph83XaGc0o0/edit?usp=sharing"",""งบพรบ!FO29"")"),0)</f>
        <v>0</v>
      </c>
      <c r="O397" s="93">
        <f t="shared" ca="1" si="166"/>
        <v>0</v>
      </c>
      <c r="P397" s="93">
        <f t="shared" ca="1" si="167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18" t="s">
        <v>38</v>
      </c>
      <c r="E398" s="173"/>
      <c r="F398" s="173"/>
      <c r="G398" s="174"/>
      <c r="H398" s="726"/>
      <c r="I398" s="184"/>
      <c r="J398" s="269"/>
      <c r="K398" s="465"/>
      <c r="L398" s="465"/>
      <c r="M398" s="465"/>
      <c r="N398" s="465"/>
      <c r="O398" s="163"/>
      <c r="P398" s="163"/>
    </row>
    <row r="399" spans="1:26" ht="18.75" hidden="1">
      <c r="A399" s="492"/>
      <c r="B399" s="148"/>
      <c r="C399" s="493"/>
      <c r="D399" s="494" t="s">
        <v>174</v>
      </c>
      <c r="E399" s="383"/>
      <c r="F399" s="148"/>
      <c r="G399" s="151"/>
      <c r="H399" s="495" t="s">
        <v>9</v>
      </c>
      <c r="I399" s="269">
        <v>0</v>
      </c>
      <c r="J399" s="214">
        <v>0</v>
      </c>
      <c r="K399" s="465">
        <f t="shared" ref="K399:K401" si="171">IF(I399&gt;0,J399*100/I399,0)</f>
        <v>0</v>
      </c>
      <c r="L399" s="496"/>
      <c r="M399" s="496"/>
      <c r="N399" s="496"/>
      <c r="O399" s="496"/>
      <c r="P399" s="496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3"/>
      <c r="B400" s="33"/>
      <c r="C400" s="280"/>
      <c r="D400" s="415" t="s">
        <v>175</v>
      </c>
      <c r="E400" s="171"/>
      <c r="F400" s="33"/>
      <c r="G400" s="35"/>
      <c r="H400" s="276" t="s">
        <v>69</v>
      </c>
      <c r="I400" s="269">
        <v>0</v>
      </c>
      <c r="J400" s="214">
        <v>0</v>
      </c>
      <c r="K400" s="465">
        <f t="shared" si="171"/>
        <v>0</v>
      </c>
      <c r="L400" s="465"/>
      <c r="M400" s="465"/>
      <c r="N400" s="465"/>
      <c r="O400" s="465"/>
      <c r="P400" s="465"/>
    </row>
    <row r="401" spans="1:26" ht="19.5" hidden="1">
      <c r="A401" s="483"/>
      <c r="B401" s="484" t="s">
        <v>176</v>
      </c>
      <c r="C401" s="485"/>
      <c r="D401" s="486"/>
      <c r="E401" s="486"/>
      <c r="F401" s="486"/>
      <c r="G401" s="487"/>
      <c r="H401" s="488" t="s">
        <v>69</v>
      </c>
      <c r="I401" s="489">
        <f t="shared" ref="I401:J401" si="172">I412</f>
        <v>0</v>
      </c>
      <c r="J401" s="489">
        <f t="shared" si="172"/>
        <v>0</v>
      </c>
      <c r="K401" s="490">
        <f t="shared" si="171"/>
        <v>0</v>
      </c>
      <c r="L401" s="491"/>
      <c r="M401" s="491"/>
      <c r="N401" s="491"/>
      <c r="O401" s="491"/>
      <c r="P401" s="491"/>
    </row>
    <row r="402" spans="1:26" ht="19.5" hidden="1">
      <c r="A402" s="147"/>
      <c r="B402" s="148"/>
      <c r="C402" s="149" t="s">
        <v>16</v>
      </c>
      <c r="D402" s="817" t="s">
        <v>17</v>
      </c>
      <c r="E402" s="148"/>
      <c r="F402" s="148"/>
      <c r="G402" s="151"/>
      <c r="H402" s="152" t="s">
        <v>12</v>
      </c>
      <c r="I402" s="388"/>
      <c r="J402" s="388"/>
      <c r="K402" s="154"/>
      <c r="L402" s="155">
        <f t="shared" ref="L402:N402" ca="1" si="173">L403+L404</f>
        <v>0</v>
      </c>
      <c r="M402" s="155">
        <f t="shared" ca="1" si="173"/>
        <v>0</v>
      </c>
      <c r="N402" s="155">
        <f t="shared" ca="1" si="173"/>
        <v>0</v>
      </c>
      <c r="O402" s="155">
        <f t="shared" ref="O402:O410" ca="1" si="174">IF(L402&gt;0,N402*100/L402,0)</f>
        <v>0</v>
      </c>
      <c r="P402" s="155">
        <f t="shared" ref="P402:P410" ca="1" si="175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2" t="s">
        <v>18</v>
      </c>
      <c r="F403" s="40"/>
      <c r="G403" s="157"/>
      <c r="H403" s="158" t="s">
        <v>12</v>
      </c>
      <c r="I403" s="583"/>
      <c r="J403" s="583"/>
      <c r="K403" s="93"/>
      <c r="L403" s="93">
        <f t="shared" ref="L403:N404" si="176">L406+L409</f>
        <v>0</v>
      </c>
      <c r="M403" s="93">
        <f t="shared" si="176"/>
        <v>0</v>
      </c>
      <c r="N403" s="93">
        <f t="shared" si="176"/>
        <v>0</v>
      </c>
      <c r="O403" s="93">
        <f t="shared" si="174"/>
        <v>0</v>
      </c>
      <c r="P403" s="93">
        <f t="shared" si="175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2" t="s">
        <v>19</v>
      </c>
      <c r="F404" s="40"/>
      <c r="G404" s="157"/>
      <c r="H404" s="158" t="s">
        <v>12</v>
      </c>
      <c r="I404" s="583"/>
      <c r="J404" s="583"/>
      <c r="K404" s="93"/>
      <c r="L404" s="93">
        <f t="shared" ca="1" si="176"/>
        <v>0</v>
      </c>
      <c r="M404" s="93">
        <f t="shared" ca="1" si="176"/>
        <v>0</v>
      </c>
      <c r="N404" s="93">
        <f t="shared" ca="1" si="176"/>
        <v>0</v>
      </c>
      <c r="O404" s="93">
        <f t="shared" ca="1" si="174"/>
        <v>0</v>
      </c>
      <c r="P404" s="93">
        <f t="shared" ca="1" si="175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1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65">
        <f t="shared" ref="L405:N405" ca="1" si="177">L406+L407</f>
        <v>0</v>
      </c>
      <c r="M405" s="465">
        <f t="shared" ca="1" si="177"/>
        <v>0</v>
      </c>
      <c r="N405" s="465">
        <f t="shared" ca="1" si="177"/>
        <v>0</v>
      </c>
      <c r="O405" s="465">
        <f t="shared" ca="1" si="174"/>
        <v>0</v>
      </c>
      <c r="P405" s="465">
        <f t="shared" ca="1" si="175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2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4"/>
        <v>0</v>
      </c>
      <c r="P406" s="93">
        <f t="shared" si="175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2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IFERROR(__xludf.DUMMYFUNCTION("IMPORTRANGE(""https://docs.google.com/spreadsheets/d/1MeEWN-I1oV_STSDYn1IFDPWt_1FKiwhDph83XaGc0o0/edit?usp=sharing"",""งบพรบ!FQ29"")"),0)</f>
        <v>0</v>
      </c>
      <c r="M407" s="93">
        <f ca="1">IFERROR(__xludf.DUMMYFUNCTION("IMPORTRANGE(""https://docs.google.com/spreadsheets/d/1MeEWN-I1oV_STSDYn1IFDPWt_1FKiwhDph83XaGc0o0/edit?usp=sharing"",""งบพรบ!FV29"")"),0)</f>
        <v>0</v>
      </c>
      <c r="N407" s="93">
        <f ca="1">IFERROR(__xludf.DUMMYFUNCTION("IMPORTRANGE(""https://docs.google.com/spreadsheets/d/1MeEWN-I1oV_STSDYn1IFDPWt_1FKiwhDph83XaGc0o0/edit?usp=sharing"",""งบพรบ!FX29"")"),0)</f>
        <v>0</v>
      </c>
      <c r="O407" s="93">
        <f t="shared" ca="1" si="174"/>
        <v>0</v>
      </c>
      <c r="P407" s="93">
        <f t="shared" ca="1" si="175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1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65">
        <f t="shared" ref="L408:N408" ca="1" si="178">L409+L410</f>
        <v>0</v>
      </c>
      <c r="M408" s="465">
        <f t="shared" ca="1" si="178"/>
        <v>0</v>
      </c>
      <c r="N408" s="465">
        <f t="shared" ca="1" si="178"/>
        <v>0</v>
      </c>
      <c r="O408" s="465">
        <f t="shared" ca="1" si="174"/>
        <v>0</v>
      </c>
      <c r="P408" s="465">
        <f t="shared" ca="1" si="175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2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4"/>
        <v>0</v>
      </c>
      <c r="P409" s="93">
        <f t="shared" si="175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2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IFERROR(__xludf.DUMMYFUNCTION("IMPORTRANGE(""https://docs.google.com/spreadsheets/d/1MeEWN-I1oV_STSDYn1IFDPWt_1FKiwhDph83XaGc0o0/edit?usp=sharing"",""งบพรบ!FT29"")"),0)</f>
        <v>0</v>
      </c>
      <c r="M410" s="93">
        <f ca="1">IFERROR(__xludf.DUMMYFUNCTION("IMPORTRANGE(""https://docs.google.com/spreadsheets/d/1MeEWN-I1oV_STSDYn1IFDPWt_1FKiwhDph83XaGc0o0/edit?usp=sharing"",""งบพรบ!FW29"")"),0)</f>
        <v>0</v>
      </c>
      <c r="N410" s="93">
        <f ca="1">IFERROR(__xludf.DUMMYFUNCTION("IMPORTRANGE(""https://docs.google.com/spreadsheets/d/1MeEWN-I1oV_STSDYn1IFDPWt_1FKiwhDph83XaGc0o0/edit?usp=sharing"",""งบพรบ!FY29"")"),0)</f>
        <v>0</v>
      </c>
      <c r="O410" s="93">
        <f t="shared" ca="1" si="174"/>
        <v>0</v>
      </c>
      <c r="P410" s="93">
        <f t="shared" ca="1" si="175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47" t="s">
        <v>38</v>
      </c>
      <c r="E411" s="498"/>
      <c r="F411" s="498"/>
      <c r="G411" s="499"/>
      <c r="H411" s="726"/>
      <c r="I411" s="269"/>
      <c r="J411" s="269"/>
      <c r="K411" s="465"/>
      <c r="L411" s="163"/>
      <c r="M411" s="163"/>
      <c r="N411" s="163"/>
      <c r="O411" s="163"/>
      <c r="P411" s="163"/>
    </row>
    <row r="412" spans="1:26" ht="18.75" hidden="1">
      <c r="A412" s="170"/>
      <c r="B412" s="342"/>
      <c r="C412" s="342"/>
      <c r="D412" s="415" t="s">
        <v>177</v>
      </c>
      <c r="E412" s="342"/>
      <c r="F412" s="342"/>
      <c r="G412" s="179"/>
      <c r="H412" s="500" t="s">
        <v>69</v>
      </c>
      <c r="I412" s="269">
        <v>0</v>
      </c>
      <c r="J412" s="214">
        <v>0</v>
      </c>
      <c r="K412" s="465">
        <f t="shared" ref="K412:K413" si="179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01"/>
      <c r="B413" s="502"/>
      <c r="C413" s="502"/>
      <c r="D413" s="503" t="s">
        <v>178</v>
      </c>
      <c r="E413" s="502"/>
      <c r="F413" s="502"/>
      <c r="G413" s="504"/>
      <c r="H413" s="505" t="s">
        <v>179</v>
      </c>
      <c r="I413" s="506">
        <v>0</v>
      </c>
      <c r="J413" s="507">
        <v>0</v>
      </c>
      <c r="K413" s="508">
        <f t="shared" si="179"/>
        <v>0</v>
      </c>
      <c r="L413" s="509"/>
      <c r="M413" s="509"/>
      <c r="N413" s="509"/>
      <c r="O413" s="509"/>
      <c r="P413" s="509"/>
    </row>
    <row r="414" spans="1:26" ht="19.5">
      <c r="A414" s="510" t="s">
        <v>180</v>
      </c>
      <c r="B414" s="511"/>
      <c r="C414" s="511"/>
      <c r="D414" s="511"/>
      <c r="E414" s="511"/>
      <c r="F414" s="511"/>
      <c r="G414" s="512"/>
      <c r="H414" s="513"/>
      <c r="I414" s="514"/>
      <c r="J414" s="514"/>
      <c r="K414" s="515"/>
      <c r="L414" s="516">
        <f t="shared" ref="L414:N414" ca="1" si="180">L419+L444+L467+L502+L523+L544+L629+L655+L685+L737+L754+L770+L786+L805</f>
        <v>1546522</v>
      </c>
      <c r="M414" s="516">
        <f t="shared" si="180"/>
        <v>0</v>
      </c>
      <c r="N414" s="516">
        <f t="shared" si="180"/>
        <v>0</v>
      </c>
      <c r="O414" s="516">
        <f ca="1">IF(L414&gt;0,N414*100/L414,0)</f>
        <v>0</v>
      </c>
      <c r="P414" s="516">
        <f>IF(M414&gt;0,N414*100/M414,0)</f>
        <v>0</v>
      </c>
    </row>
    <row r="415" spans="1:26" ht="19.5">
      <c r="A415" s="517" t="s">
        <v>181</v>
      </c>
      <c r="B415" s="518"/>
      <c r="C415" s="518"/>
      <c r="D415" s="518"/>
      <c r="E415" s="518"/>
      <c r="F415" s="518"/>
      <c r="G415" s="518"/>
      <c r="H415" s="519"/>
      <c r="I415" s="520"/>
      <c r="J415" s="520"/>
      <c r="K415" s="521"/>
      <c r="L415" s="522"/>
      <c r="M415" s="522"/>
      <c r="N415" s="522"/>
      <c r="O415" s="522"/>
      <c r="P415" s="522"/>
    </row>
    <row r="416" spans="1:26" ht="19.5">
      <c r="A416" s="517" t="s">
        <v>182</v>
      </c>
      <c r="B416" s="518"/>
      <c r="C416" s="518"/>
      <c r="D416" s="518"/>
      <c r="E416" s="518"/>
      <c r="F416" s="518"/>
      <c r="G416" s="523"/>
      <c r="H416" s="524"/>
      <c r="I416" s="525"/>
      <c r="J416" s="525"/>
      <c r="K416" s="522"/>
      <c r="L416" s="522"/>
      <c r="M416" s="522"/>
      <c r="N416" s="522"/>
      <c r="O416" s="522"/>
      <c r="P416" s="522"/>
    </row>
    <row r="417" spans="1:26" ht="39">
      <c r="A417" s="526">
        <v>1</v>
      </c>
      <c r="B417" s="528" t="s">
        <v>183</v>
      </c>
      <c r="C417" s="528"/>
      <c r="D417" s="529"/>
      <c r="E417" s="529"/>
      <c r="F417" s="529"/>
      <c r="G417" s="530"/>
      <c r="H417" s="531" t="s">
        <v>35</v>
      </c>
      <c r="I417" s="532">
        <f t="shared" ref="I417:J418" ca="1" si="181">I433</f>
        <v>20</v>
      </c>
      <c r="J417" s="532">
        <f t="shared" ca="1" si="181"/>
        <v>0</v>
      </c>
      <c r="K417" s="533">
        <f t="shared" ref="K417:K418" ca="1" si="182">IF(I417&gt;0,J417*100/I417,0)</f>
        <v>0</v>
      </c>
      <c r="L417" s="534"/>
      <c r="M417" s="534"/>
      <c r="N417" s="534"/>
      <c r="O417" s="534"/>
      <c r="P417" s="534"/>
    </row>
    <row r="418" spans="1:26" ht="19.5">
      <c r="A418" s="535"/>
      <c r="B418" s="526"/>
      <c r="C418" s="528"/>
      <c r="D418" s="529"/>
      <c r="E418" s="529"/>
      <c r="F418" s="529"/>
      <c r="G418" s="530"/>
      <c r="H418" s="531" t="s">
        <v>49</v>
      </c>
      <c r="I418" s="532">
        <f t="shared" ca="1" si="181"/>
        <v>1</v>
      </c>
      <c r="J418" s="532">
        <f t="shared" si="181"/>
        <v>0</v>
      </c>
      <c r="K418" s="533">
        <f t="shared" ca="1" si="182"/>
        <v>0</v>
      </c>
      <c r="L418" s="534"/>
      <c r="M418" s="534"/>
      <c r="N418" s="534"/>
      <c r="O418" s="534"/>
      <c r="P418" s="534"/>
    </row>
    <row r="419" spans="1:26" ht="19.5">
      <c r="A419" s="147"/>
      <c r="B419" s="148"/>
      <c r="C419" s="148" t="s">
        <v>16</v>
      </c>
      <c r="D419" s="848" t="s">
        <v>17</v>
      </c>
      <c r="E419" s="810"/>
      <c r="F419" s="810"/>
      <c r="G419" s="151"/>
      <c r="H419" s="274" t="s">
        <v>12</v>
      </c>
      <c r="I419" s="388"/>
      <c r="J419" s="388"/>
      <c r="K419" s="154"/>
      <c r="L419" s="155">
        <f t="shared" ref="L419:N419" ca="1" si="183">L420+L421</f>
        <v>78660</v>
      </c>
      <c r="M419" s="155">
        <f t="shared" si="183"/>
        <v>0</v>
      </c>
      <c r="N419" s="155">
        <f t="shared" si="183"/>
        <v>0</v>
      </c>
      <c r="O419" s="155">
        <f t="shared" ref="O419:O424" ca="1" si="184">IF(L419&gt;0,N419*100/L419,0)</f>
        <v>0</v>
      </c>
      <c r="P419" s="155">
        <f t="shared" ref="P419:P424" si="185">IF(M419&gt;0,N419*100/M419,0)</f>
        <v>0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536"/>
      <c r="E420" s="222" t="s">
        <v>184</v>
      </c>
      <c r="F420" s="40"/>
      <c r="G420" s="157"/>
      <c r="H420" s="165" t="s">
        <v>12</v>
      </c>
      <c r="I420" s="583"/>
      <c r="J420" s="583"/>
      <c r="K420" s="93"/>
      <c r="L420" s="93">
        <f t="shared" ref="L420:N421" si="186">L423+L430</f>
        <v>0</v>
      </c>
      <c r="M420" s="93">
        <f t="shared" si="186"/>
        <v>0</v>
      </c>
      <c r="N420" s="93">
        <f t="shared" si="186"/>
        <v>0</v>
      </c>
      <c r="O420" s="93">
        <f t="shared" si="184"/>
        <v>0</v>
      </c>
      <c r="P420" s="93">
        <f t="shared" si="185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536"/>
      <c r="E421" s="222" t="s">
        <v>185</v>
      </c>
      <c r="F421" s="40"/>
      <c r="G421" s="157"/>
      <c r="H421" s="165" t="s">
        <v>12</v>
      </c>
      <c r="I421" s="583"/>
      <c r="J421" s="583"/>
      <c r="K421" s="93"/>
      <c r="L421" s="93">
        <f t="shared" ca="1" si="186"/>
        <v>78660</v>
      </c>
      <c r="M421" s="93">
        <f t="shared" si="186"/>
        <v>0</v>
      </c>
      <c r="N421" s="93">
        <f t="shared" si="186"/>
        <v>0</v>
      </c>
      <c r="O421" s="93">
        <f t="shared" ca="1" si="184"/>
        <v>0</v>
      </c>
      <c r="P421" s="93">
        <f t="shared" si="185"/>
        <v>0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0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65">
        <f t="shared" ref="L422:N422" ca="1" si="187">L423+L424</f>
        <v>78660</v>
      </c>
      <c r="M422" s="465">
        <f t="shared" si="187"/>
        <v>0</v>
      </c>
      <c r="N422" s="465">
        <f t="shared" si="187"/>
        <v>0</v>
      </c>
      <c r="O422" s="465">
        <f t="shared" ca="1" si="184"/>
        <v>0</v>
      </c>
      <c r="P422" s="465">
        <f t="shared" si="185"/>
        <v>0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536"/>
      <c r="E423" s="222" t="s">
        <v>184</v>
      </c>
      <c r="F423" s="40"/>
      <c r="G423" s="157"/>
      <c r="H423" s="165" t="s">
        <v>12</v>
      </c>
      <c r="I423" s="583"/>
      <c r="J423" s="583"/>
      <c r="K423" s="93"/>
      <c r="L423" s="93">
        <v>0</v>
      </c>
      <c r="M423" s="93">
        <v>0</v>
      </c>
      <c r="N423" s="93">
        <v>0</v>
      </c>
      <c r="O423" s="93">
        <f t="shared" si="184"/>
        <v>0</v>
      </c>
      <c r="P423" s="93">
        <f t="shared" si="185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536"/>
      <c r="E424" s="222" t="s">
        <v>185</v>
      </c>
      <c r="F424" s="40"/>
      <c r="G424" s="157"/>
      <c r="H424" s="165" t="s">
        <v>12</v>
      </c>
      <c r="I424" s="583"/>
      <c r="J424" s="583"/>
      <c r="K424" s="93"/>
      <c r="L424" s="93">
        <f ca="1">IFERROR(__xludf.DUMMYFUNCTION("IMPORTRANGE(""https://docs.google.com/spreadsheets/d/1QqKyyYR6Q21VydFLVH3TRQUabQu_ym0Zz7PgGX0-kHA/edit?usp=sharing"",""แผน!EY29"")"),78660)</f>
        <v>78660</v>
      </c>
      <c r="M424" s="93">
        <v>0</v>
      </c>
      <c r="N424" s="93">
        <f>N425+N426+N427+N428</f>
        <v>0</v>
      </c>
      <c r="O424" s="93">
        <f t="shared" ca="1" si="184"/>
        <v>0</v>
      </c>
      <c r="P424" s="93">
        <f t="shared" si="185"/>
        <v>0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37"/>
      <c r="B425" s="538"/>
      <c r="C425" s="727"/>
      <c r="D425" s="727"/>
      <c r="E425" s="727"/>
      <c r="F425" s="727" t="s">
        <v>186</v>
      </c>
      <c r="G425" s="189"/>
      <c r="H425" s="161" t="s">
        <v>12</v>
      </c>
      <c r="I425" s="269"/>
      <c r="J425" s="269"/>
      <c r="K425" s="465"/>
      <c r="L425" s="465"/>
      <c r="M425" s="465"/>
      <c r="N425" s="789">
        <v>0</v>
      </c>
      <c r="O425" s="465"/>
      <c r="P425" s="465"/>
      <c r="Q425" s="541"/>
      <c r="R425" s="541"/>
      <c r="S425" s="541"/>
      <c r="T425" s="541"/>
      <c r="U425" s="541"/>
      <c r="V425" s="541"/>
      <c r="W425" s="541"/>
      <c r="X425" s="541"/>
      <c r="Y425" s="541"/>
      <c r="Z425" s="541"/>
    </row>
    <row r="426" spans="1:26" ht="18.75">
      <c r="A426" s="537"/>
      <c r="B426" s="538"/>
      <c r="C426" s="727"/>
      <c r="D426" s="727"/>
      <c r="E426" s="727"/>
      <c r="F426" s="727" t="s">
        <v>187</v>
      </c>
      <c r="G426" s="189"/>
      <c r="H426" s="161" t="s">
        <v>12</v>
      </c>
      <c r="I426" s="269"/>
      <c r="J426" s="269"/>
      <c r="K426" s="465"/>
      <c r="L426" s="465"/>
      <c r="M426" s="465"/>
      <c r="N426" s="789">
        <v>0</v>
      </c>
      <c r="O426" s="465"/>
      <c r="P426" s="465"/>
      <c r="Q426" s="541"/>
      <c r="R426" s="541"/>
      <c r="S426" s="541"/>
      <c r="T426" s="541"/>
      <c r="U426" s="541"/>
      <c r="V426" s="541"/>
      <c r="W426" s="541"/>
      <c r="X426" s="541"/>
      <c r="Y426" s="541"/>
      <c r="Z426" s="541"/>
    </row>
    <row r="427" spans="1:26" ht="18.75">
      <c r="A427" s="537"/>
      <c r="B427" s="538"/>
      <c r="C427" s="727"/>
      <c r="D427" s="727"/>
      <c r="E427" s="727"/>
      <c r="F427" s="727" t="s">
        <v>188</v>
      </c>
      <c r="G427" s="189"/>
      <c r="H427" s="161" t="s">
        <v>12</v>
      </c>
      <c r="I427" s="269"/>
      <c r="J427" s="269"/>
      <c r="K427" s="465"/>
      <c r="L427" s="465"/>
      <c r="M427" s="465"/>
      <c r="N427" s="789">
        <v>0</v>
      </c>
      <c r="O427" s="465"/>
      <c r="P427" s="465"/>
      <c r="Q427" s="541"/>
      <c r="R427" s="541"/>
      <c r="S427" s="541"/>
      <c r="T427" s="541"/>
      <c r="U427" s="541"/>
      <c r="V427" s="541"/>
      <c r="W427" s="541"/>
      <c r="X427" s="541"/>
      <c r="Y427" s="541"/>
      <c r="Z427" s="541"/>
    </row>
    <row r="428" spans="1:26" ht="18.75">
      <c r="A428" s="283"/>
      <c r="B428" s="280"/>
      <c r="C428" s="33"/>
      <c r="D428" s="33"/>
      <c r="E428" s="33"/>
      <c r="F428" s="281" t="s">
        <v>189</v>
      </c>
      <c r="G428" s="213"/>
      <c r="H428" s="161" t="s">
        <v>12</v>
      </c>
      <c r="I428" s="269"/>
      <c r="J428" s="269"/>
      <c r="K428" s="465"/>
      <c r="L428" s="465"/>
      <c r="M428" s="465"/>
      <c r="N428" s="789">
        <v>0</v>
      </c>
      <c r="O428" s="465"/>
      <c r="P428" s="465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0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65">
        <f t="shared" ref="L429:N429" ca="1" si="188">L430+L431</f>
        <v>0</v>
      </c>
      <c r="M429" s="465">
        <f t="shared" si="188"/>
        <v>0</v>
      </c>
      <c r="N429" s="465">
        <f t="shared" si="188"/>
        <v>0</v>
      </c>
      <c r="O429" s="465">
        <f t="shared" ref="O429:O431" ca="1" si="189">IF(L429&gt;0,N429*100/L429,0)</f>
        <v>0</v>
      </c>
      <c r="P429" s="465">
        <f t="shared" ref="P429:P431" si="190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542"/>
      <c r="C430" s="40"/>
      <c r="D430" s="40"/>
      <c r="E430" s="222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89"/>
        <v>0</v>
      </c>
      <c r="P430" s="93">
        <f t="shared" si="190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542"/>
      <c r="C431" s="40"/>
      <c r="D431" s="40"/>
      <c r="E431" s="222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IFERROR(__xludf.DUMMYFUNCTION("IMPORTRANGE(""https://docs.google.com/spreadsheets/d/1QqKyyYR6Q21VydFLVH3TRQUabQu_ym0Zz7PgGX0-kHA/edit?usp=sharing"",""แผน!FB29"")"),0)</f>
        <v>0</v>
      </c>
      <c r="M431" s="93">
        <v>0</v>
      </c>
      <c r="N431" s="93">
        <v>0</v>
      </c>
      <c r="O431" s="93">
        <f t="shared" ca="1" si="189"/>
        <v>0</v>
      </c>
      <c r="P431" s="93">
        <f t="shared" si="190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382"/>
      <c r="B432" s="383"/>
      <c r="C432" s="148" t="s">
        <v>16</v>
      </c>
      <c r="D432" s="849" t="s">
        <v>38</v>
      </c>
      <c r="E432" s="544"/>
      <c r="F432" s="544"/>
      <c r="G432" s="545"/>
      <c r="H432" s="546"/>
      <c r="I432" s="388"/>
      <c r="J432" s="388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190</v>
      </c>
      <c r="E433" s="342"/>
      <c r="F433" s="342"/>
      <c r="G433" s="179"/>
      <c r="H433" s="196" t="s">
        <v>35</v>
      </c>
      <c r="I433" s="647">
        <f ca="1">I435</f>
        <v>20</v>
      </c>
      <c r="J433" s="647">
        <f ca="1">IF(AND(J435=I435,J437=I437,J439=I439),I437+I439,IF(AND(J435=I437,J437=I437),I437,IF(AND(J435=I439,J439=I439),I439,0)))</f>
        <v>0</v>
      </c>
      <c r="K433" s="195">
        <f t="shared" ref="K433:K435" ca="1" si="191">IF(I433&gt;0,J433*100/I433,0)</f>
        <v>0</v>
      </c>
      <c r="L433" s="465"/>
      <c r="M433" s="465"/>
      <c r="N433" s="465"/>
      <c r="O433" s="465"/>
      <c r="P433" s="465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191</v>
      </c>
      <c r="E434" s="342"/>
      <c r="F434" s="342"/>
      <c r="G434" s="179"/>
      <c r="H434" s="196" t="s">
        <v>49</v>
      </c>
      <c r="I434" s="647">
        <f t="shared" ref="I434:J434" ca="1" si="192">I438+I440</f>
        <v>1</v>
      </c>
      <c r="J434" s="647">
        <f t="shared" si="192"/>
        <v>0</v>
      </c>
      <c r="K434" s="195">
        <f t="shared" ca="1" si="191"/>
        <v>0</v>
      </c>
      <c r="L434" s="465"/>
      <c r="M434" s="465"/>
      <c r="N434" s="465"/>
      <c r="O434" s="465"/>
      <c r="P434" s="465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15" t="s">
        <v>192</v>
      </c>
      <c r="E435" s="342"/>
      <c r="F435" s="342"/>
      <c r="G435" s="179"/>
      <c r="H435" s="589" t="s">
        <v>35</v>
      </c>
      <c r="I435" s="547">
        <f ca="1">IFERROR(__xludf.DUMMYFUNCTION("IMPORTRANGE(""https://docs.google.com/spreadsheets/d/1QqKyyYR6Q21VydFLVH3TRQUabQu_ym0Zz7PgGX0-kHA/edit?usp=sharing"",""แผน!FC29"")"),20)</f>
        <v>20</v>
      </c>
      <c r="J435" s="548">
        <v>0</v>
      </c>
      <c r="K435" s="465">
        <f t="shared" ca="1" si="191"/>
        <v>0</v>
      </c>
      <c r="L435" s="465"/>
      <c r="M435" s="465"/>
      <c r="N435" s="465"/>
      <c r="O435" s="465"/>
      <c r="P435" s="465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15" t="s">
        <v>193</v>
      </c>
      <c r="E436" s="342"/>
      <c r="F436" s="342"/>
      <c r="G436" s="179"/>
      <c r="H436" s="589"/>
      <c r="I436" s="269"/>
      <c r="J436" s="269"/>
      <c r="K436" s="465"/>
      <c r="L436" s="465"/>
      <c r="M436" s="465"/>
      <c r="N436" s="465"/>
      <c r="O436" s="465"/>
      <c r="P436" s="465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15" t="s">
        <v>194</v>
      </c>
      <c r="E437" s="342"/>
      <c r="F437" s="342"/>
      <c r="G437" s="179"/>
      <c r="H437" s="589" t="s">
        <v>35</v>
      </c>
      <c r="I437" s="547">
        <f ca="1">IFERROR(__xludf.DUMMYFUNCTION("IMPORTRANGE(""https://docs.google.com/spreadsheets/d/1QqKyyYR6Q21VydFLVH3TRQUabQu_ym0Zz7PgGX0-kHA/edit?usp=sharing"",""แผน!FD29"")"),0)</f>
        <v>0</v>
      </c>
      <c r="J437" s="548">
        <v>0</v>
      </c>
      <c r="K437" s="465">
        <f t="shared" ref="K437:K443" ca="1" si="193">IF(I437&gt;0,J437*100/I437,0)</f>
        <v>0</v>
      </c>
      <c r="L437" s="465"/>
      <c r="M437" s="465"/>
      <c r="N437" s="465"/>
      <c r="O437" s="465"/>
      <c r="P437" s="465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15" t="s">
        <v>195</v>
      </c>
      <c r="E438" s="342"/>
      <c r="F438" s="342"/>
      <c r="G438" s="179"/>
      <c r="H438" s="589" t="s">
        <v>49</v>
      </c>
      <c r="I438" s="269">
        <f ca="1">IFERROR(__xludf.DUMMYFUNCTION("IMPORTRANGE(""https://docs.google.com/spreadsheets/d/1QqKyyYR6Q21VydFLVH3TRQUabQu_ym0Zz7PgGX0-kHA/edit?usp=sharing"",""แผน!FE29"")"),0)</f>
        <v>0</v>
      </c>
      <c r="J438" s="214">
        <v>0</v>
      </c>
      <c r="K438" s="465">
        <f t="shared" ca="1" si="193"/>
        <v>0</v>
      </c>
      <c r="L438" s="465"/>
      <c r="M438" s="465"/>
      <c r="N438" s="465"/>
      <c r="O438" s="465"/>
      <c r="P438" s="465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15" t="s">
        <v>196</v>
      </c>
      <c r="E439" s="342"/>
      <c r="F439" s="342"/>
      <c r="G439" s="179"/>
      <c r="H439" s="589" t="s">
        <v>35</v>
      </c>
      <c r="I439" s="547">
        <f ca="1">IFERROR(__xludf.DUMMYFUNCTION("IMPORTRANGE(""https://docs.google.com/spreadsheets/d/1QqKyyYR6Q21VydFLVH3TRQUabQu_ym0Zz7PgGX0-kHA/edit?usp=sharing"",""แผน!FF29"")"),20)</f>
        <v>20</v>
      </c>
      <c r="J439" s="548">
        <v>0</v>
      </c>
      <c r="K439" s="465">
        <f t="shared" ca="1" si="193"/>
        <v>0</v>
      </c>
      <c r="L439" s="465"/>
      <c r="M439" s="465"/>
      <c r="N439" s="465"/>
      <c r="O439" s="465"/>
      <c r="P439" s="465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15" t="s">
        <v>197</v>
      </c>
      <c r="E440" s="342"/>
      <c r="F440" s="342"/>
      <c r="G440" s="179"/>
      <c r="H440" s="589" t="s">
        <v>49</v>
      </c>
      <c r="I440" s="269">
        <f ca="1">IFERROR(__xludf.DUMMYFUNCTION("IMPORTRANGE(""https://docs.google.com/spreadsheets/d/1QqKyyYR6Q21VydFLVH3TRQUabQu_ym0Zz7PgGX0-kHA/edit?usp=sharing"",""แผน!FG29"")"),1)</f>
        <v>1</v>
      </c>
      <c r="J440" s="214">
        <v>0</v>
      </c>
      <c r="K440" s="465">
        <f t="shared" ca="1" si="193"/>
        <v>0</v>
      </c>
      <c r="L440" s="465"/>
      <c r="M440" s="465"/>
      <c r="N440" s="465"/>
      <c r="O440" s="465"/>
      <c r="P440" s="465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 hidden="1">
      <c r="A441" s="170"/>
      <c r="B441" s="171"/>
      <c r="C441" s="171"/>
      <c r="D441" s="415" t="s">
        <v>198</v>
      </c>
      <c r="E441" s="342"/>
      <c r="F441" s="342"/>
      <c r="G441" s="179"/>
      <c r="H441" s="589" t="s">
        <v>35</v>
      </c>
      <c r="I441" s="269">
        <f ca="1">IFERROR(__xludf.DUMMYFUNCTION("IMPORTRANGE(""https://docs.google.com/spreadsheets/d/1QqKyyYR6Q21VydFLVH3TRQUabQu_ym0Zz7PgGX0-kHA/edit?usp=sharing"",""แผน!FH29"")"),0)</f>
        <v>0</v>
      </c>
      <c r="J441" s="269">
        <v>0</v>
      </c>
      <c r="K441" s="465">
        <f t="shared" ca="1" si="193"/>
        <v>0</v>
      </c>
      <c r="L441" s="465"/>
      <c r="M441" s="465"/>
      <c r="N441" s="465"/>
      <c r="O441" s="465"/>
      <c r="P441" s="465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49">
        <v>2</v>
      </c>
      <c r="B442" s="550" t="s">
        <v>199</v>
      </c>
      <c r="C442" s="551"/>
      <c r="D442" s="551"/>
      <c r="E442" s="551"/>
      <c r="F442" s="551"/>
      <c r="G442" s="552"/>
      <c r="H442" s="553" t="s">
        <v>35</v>
      </c>
      <c r="I442" s="554">
        <f t="shared" ref="I442:J442" ca="1" si="194">I460</f>
        <v>30</v>
      </c>
      <c r="J442" s="554">
        <f t="shared" si="194"/>
        <v>0</v>
      </c>
      <c r="K442" s="555">
        <f t="shared" ca="1" si="193"/>
        <v>0</v>
      </c>
      <c r="L442" s="556"/>
      <c r="M442" s="556"/>
      <c r="N442" s="556"/>
      <c r="O442" s="556"/>
      <c r="P442" s="556"/>
      <c r="Q442" s="541"/>
      <c r="R442" s="541"/>
      <c r="S442" s="541"/>
      <c r="T442" s="541"/>
      <c r="U442" s="541"/>
      <c r="V442" s="541"/>
      <c r="W442" s="541"/>
      <c r="X442" s="541"/>
      <c r="Y442" s="541"/>
      <c r="Z442" s="541"/>
    </row>
    <row r="443" spans="1:26" ht="19.5">
      <c r="A443" s="557"/>
      <c r="B443" s="558"/>
      <c r="C443" s="559"/>
      <c r="D443" s="559"/>
      <c r="E443" s="559"/>
      <c r="F443" s="559"/>
      <c r="G443" s="560"/>
      <c r="H443" s="531" t="s">
        <v>46</v>
      </c>
      <c r="I443" s="532">
        <f t="shared" ref="I443:J443" ca="1" si="195">I462</f>
        <v>50</v>
      </c>
      <c r="J443" s="532">
        <f t="shared" si="195"/>
        <v>0</v>
      </c>
      <c r="K443" s="533">
        <f t="shared" ca="1" si="193"/>
        <v>0</v>
      </c>
      <c r="L443" s="534"/>
      <c r="M443" s="534"/>
      <c r="N443" s="534"/>
      <c r="O443" s="534"/>
      <c r="P443" s="534"/>
      <c r="Q443" s="541"/>
      <c r="R443" s="541"/>
      <c r="S443" s="541"/>
      <c r="T443" s="541"/>
      <c r="U443" s="541"/>
      <c r="V443" s="541"/>
      <c r="W443" s="541"/>
      <c r="X443" s="541"/>
      <c r="Y443" s="541"/>
      <c r="Z443" s="541"/>
    </row>
    <row r="444" spans="1:26" ht="19.5">
      <c r="A444" s="561"/>
      <c r="B444" s="727"/>
      <c r="C444" s="727" t="s">
        <v>16</v>
      </c>
      <c r="D444" s="811" t="s">
        <v>17</v>
      </c>
      <c r="E444" s="805"/>
      <c r="F444" s="805"/>
      <c r="G444" s="189"/>
      <c r="H444" s="562" t="s">
        <v>12</v>
      </c>
      <c r="I444" s="269"/>
      <c r="J444" s="269"/>
      <c r="K444" s="465"/>
      <c r="L444" s="195">
        <f t="shared" ref="L444:N444" ca="1" si="196">L445+L446</f>
        <v>137480</v>
      </c>
      <c r="M444" s="195">
        <f t="shared" si="196"/>
        <v>0</v>
      </c>
      <c r="N444" s="195">
        <f t="shared" si="196"/>
        <v>0</v>
      </c>
      <c r="O444" s="195">
        <f t="shared" ref="O444:O449" ca="1" si="197">IF(L444&gt;0,N444*100/L444,0)</f>
        <v>0</v>
      </c>
      <c r="P444" s="195">
        <f t="shared" ref="P444:P449" si="198">IF(M444&gt;0,N444*100/M444,0)</f>
        <v>0</v>
      </c>
      <c r="Q444" s="541"/>
      <c r="R444" s="541"/>
      <c r="S444" s="541"/>
      <c r="T444" s="541"/>
      <c r="U444" s="541"/>
      <c r="V444" s="541"/>
      <c r="W444" s="541"/>
      <c r="X444" s="541"/>
      <c r="Y444" s="541"/>
      <c r="Z444" s="541"/>
    </row>
    <row r="445" spans="1:26" ht="18.75" hidden="1">
      <c r="A445" s="563"/>
      <c r="B445" s="723"/>
      <c r="C445" s="723"/>
      <c r="D445" s="684"/>
      <c r="E445" s="723" t="s">
        <v>184</v>
      </c>
      <c r="F445" s="723"/>
      <c r="G445" s="567"/>
      <c r="H445" s="165" t="s">
        <v>12</v>
      </c>
      <c r="I445" s="583"/>
      <c r="J445" s="583"/>
      <c r="K445" s="93"/>
      <c r="L445" s="93">
        <f t="shared" ref="L445:N446" si="199">L448+L455</f>
        <v>0</v>
      </c>
      <c r="M445" s="93">
        <f t="shared" si="199"/>
        <v>0</v>
      </c>
      <c r="N445" s="93">
        <f t="shared" si="199"/>
        <v>0</v>
      </c>
      <c r="O445" s="93">
        <f t="shared" si="197"/>
        <v>0</v>
      </c>
      <c r="P445" s="93">
        <f t="shared" si="198"/>
        <v>0</v>
      </c>
      <c r="Q445" s="568"/>
      <c r="R445" s="568"/>
      <c r="S445" s="568"/>
      <c r="T445" s="568"/>
      <c r="U445" s="568"/>
      <c r="V445" s="568"/>
      <c r="W445" s="568"/>
      <c r="X445" s="568"/>
      <c r="Y445" s="568"/>
      <c r="Z445" s="568"/>
    </row>
    <row r="446" spans="1:26" ht="18.75" hidden="1">
      <c r="A446" s="563"/>
      <c r="B446" s="571"/>
      <c r="C446" s="723"/>
      <c r="D446" s="684"/>
      <c r="E446" s="723" t="s">
        <v>185</v>
      </c>
      <c r="F446" s="723"/>
      <c r="G446" s="567"/>
      <c r="H446" s="165" t="s">
        <v>12</v>
      </c>
      <c r="I446" s="583"/>
      <c r="J446" s="583"/>
      <c r="K446" s="93"/>
      <c r="L446" s="93">
        <f t="shared" ca="1" si="199"/>
        <v>137480</v>
      </c>
      <c r="M446" s="93">
        <f t="shared" si="199"/>
        <v>0</v>
      </c>
      <c r="N446" s="93">
        <f t="shared" si="199"/>
        <v>0</v>
      </c>
      <c r="O446" s="93">
        <f t="shared" ca="1" si="197"/>
        <v>0</v>
      </c>
      <c r="P446" s="93">
        <f t="shared" si="198"/>
        <v>0</v>
      </c>
      <c r="Q446" s="568"/>
      <c r="R446" s="568"/>
      <c r="S446" s="568"/>
      <c r="T446" s="568"/>
      <c r="U446" s="568"/>
      <c r="V446" s="568"/>
      <c r="W446" s="568"/>
      <c r="X446" s="568"/>
      <c r="Y446" s="568"/>
      <c r="Z446" s="568"/>
    </row>
    <row r="447" spans="1:26" ht="18.75">
      <c r="A447" s="561"/>
      <c r="B447" s="538"/>
      <c r="C447" s="727"/>
      <c r="D447" s="570" t="s">
        <v>20</v>
      </c>
      <c r="E447" s="727"/>
      <c r="F447" s="727"/>
      <c r="G447" s="189"/>
      <c r="H447" s="161" t="s">
        <v>12</v>
      </c>
      <c r="I447" s="184"/>
      <c r="J447" s="184"/>
      <c r="K447" s="163"/>
      <c r="L447" s="465">
        <f t="shared" ref="L447:N447" ca="1" si="200">L448+L449</f>
        <v>137480</v>
      </c>
      <c r="M447" s="465">
        <f t="shared" si="200"/>
        <v>0</v>
      </c>
      <c r="N447" s="465">
        <f t="shared" si="200"/>
        <v>0</v>
      </c>
      <c r="O447" s="465">
        <f t="shared" ca="1" si="197"/>
        <v>0</v>
      </c>
      <c r="P447" s="465">
        <f t="shared" si="198"/>
        <v>0</v>
      </c>
      <c r="Q447" s="541"/>
      <c r="R447" s="541"/>
      <c r="S447" s="541"/>
      <c r="T447" s="541"/>
      <c r="U447" s="541"/>
      <c r="V447" s="541"/>
      <c r="W447" s="541"/>
      <c r="X447" s="541"/>
      <c r="Y447" s="541"/>
      <c r="Z447" s="541"/>
    </row>
    <row r="448" spans="1:26" ht="18.75" hidden="1">
      <c r="A448" s="563"/>
      <c r="B448" s="571"/>
      <c r="C448" s="723"/>
      <c r="D448" s="684"/>
      <c r="E448" s="723" t="s">
        <v>184</v>
      </c>
      <c r="F448" s="723"/>
      <c r="G448" s="567"/>
      <c r="H448" s="165" t="s">
        <v>12</v>
      </c>
      <c r="I448" s="583"/>
      <c r="J448" s="583"/>
      <c r="K448" s="93"/>
      <c r="L448" s="93">
        <v>0</v>
      </c>
      <c r="M448" s="93">
        <v>0</v>
      </c>
      <c r="N448" s="93">
        <v>0</v>
      </c>
      <c r="O448" s="93">
        <f t="shared" si="197"/>
        <v>0</v>
      </c>
      <c r="P448" s="93">
        <f t="shared" si="198"/>
        <v>0</v>
      </c>
      <c r="Q448" s="568"/>
      <c r="R448" s="568"/>
      <c r="S448" s="568"/>
      <c r="T448" s="568"/>
      <c r="U448" s="568"/>
      <c r="V448" s="568"/>
      <c r="W448" s="568"/>
      <c r="X448" s="568"/>
      <c r="Y448" s="568"/>
      <c r="Z448" s="568"/>
    </row>
    <row r="449" spans="1:26" ht="18.75" hidden="1">
      <c r="A449" s="563"/>
      <c r="B449" s="571"/>
      <c r="C449" s="723"/>
      <c r="D449" s="684"/>
      <c r="E449" s="723" t="s">
        <v>185</v>
      </c>
      <c r="F449" s="723"/>
      <c r="G449" s="567"/>
      <c r="H449" s="165" t="s">
        <v>12</v>
      </c>
      <c r="I449" s="583"/>
      <c r="J449" s="583"/>
      <c r="K449" s="93"/>
      <c r="L449" s="93">
        <f ca="1">IFERROR(__xludf.DUMMYFUNCTION("IMPORTRANGE(""https://docs.google.com/spreadsheets/d/1QqKyyYR6Q21VydFLVH3TRQUabQu_ym0Zz7PgGX0-kHA/edit?usp=sharing"",""แผน!FJ29"")"),137480)</f>
        <v>137480</v>
      </c>
      <c r="M449" s="93">
        <v>0</v>
      </c>
      <c r="N449" s="93">
        <f>N450+N451+N452+N453</f>
        <v>0</v>
      </c>
      <c r="O449" s="93">
        <f t="shared" ca="1" si="197"/>
        <v>0</v>
      </c>
      <c r="P449" s="93">
        <f t="shared" si="198"/>
        <v>0</v>
      </c>
      <c r="Q449" s="568"/>
      <c r="R449" s="568"/>
      <c r="S449" s="568"/>
      <c r="T449" s="568"/>
      <c r="U449" s="568"/>
      <c r="V449" s="568"/>
      <c r="W449" s="568"/>
      <c r="X449" s="568"/>
      <c r="Y449" s="568"/>
      <c r="Z449" s="568"/>
    </row>
    <row r="450" spans="1:26" ht="18.75">
      <c r="A450" s="537"/>
      <c r="B450" s="538"/>
      <c r="C450" s="727"/>
      <c r="D450" s="727"/>
      <c r="E450" s="727"/>
      <c r="F450" s="727" t="s">
        <v>186</v>
      </c>
      <c r="G450" s="189"/>
      <c r="H450" s="161" t="s">
        <v>12</v>
      </c>
      <c r="I450" s="269"/>
      <c r="J450" s="269"/>
      <c r="K450" s="465"/>
      <c r="L450" s="465"/>
      <c r="M450" s="465"/>
      <c r="N450" s="789">
        <v>0</v>
      </c>
      <c r="O450" s="465"/>
      <c r="P450" s="465"/>
      <c r="Q450" s="541"/>
      <c r="R450" s="541"/>
      <c r="S450" s="541"/>
      <c r="T450" s="541"/>
      <c r="U450" s="541"/>
      <c r="V450" s="541"/>
      <c r="W450" s="541"/>
      <c r="X450" s="541"/>
      <c r="Y450" s="541"/>
      <c r="Z450" s="541"/>
    </row>
    <row r="451" spans="1:26" ht="18.75">
      <c r="A451" s="537"/>
      <c r="B451" s="538"/>
      <c r="C451" s="727"/>
      <c r="D451" s="727"/>
      <c r="E451" s="727"/>
      <c r="F451" s="727" t="s">
        <v>187</v>
      </c>
      <c r="G451" s="189"/>
      <c r="H451" s="161" t="s">
        <v>12</v>
      </c>
      <c r="I451" s="269"/>
      <c r="J451" s="269"/>
      <c r="K451" s="465"/>
      <c r="L451" s="465"/>
      <c r="M451" s="465"/>
      <c r="N451" s="789">
        <v>0</v>
      </c>
      <c r="O451" s="465"/>
      <c r="P451" s="465"/>
      <c r="Q451" s="541"/>
      <c r="R451" s="541"/>
      <c r="S451" s="541"/>
      <c r="T451" s="541"/>
      <c r="U451" s="541"/>
      <c r="V451" s="541"/>
      <c r="W451" s="541"/>
      <c r="X451" s="541"/>
      <c r="Y451" s="541"/>
      <c r="Z451" s="541"/>
    </row>
    <row r="452" spans="1:26" ht="18.75">
      <c r="A452" s="537"/>
      <c r="B452" s="538"/>
      <c r="C452" s="538"/>
      <c r="D452" s="538"/>
      <c r="E452" s="538"/>
      <c r="F452" s="727" t="s">
        <v>188</v>
      </c>
      <c r="G452" s="189"/>
      <c r="H452" s="161" t="s">
        <v>12</v>
      </c>
      <c r="I452" s="269"/>
      <c r="J452" s="269"/>
      <c r="K452" s="465"/>
      <c r="L452" s="465"/>
      <c r="M452" s="465"/>
      <c r="N452" s="789">
        <v>0</v>
      </c>
      <c r="O452" s="465"/>
      <c r="P452" s="465"/>
      <c r="Q452" s="541"/>
      <c r="R452" s="541"/>
      <c r="S452" s="541"/>
      <c r="T452" s="541"/>
      <c r="U452" s="541"/>
      <c r="V452" s="541"/>
      <c r="W452" s="541"/>
      <c r="X452" s="541"/>
      <c r="Y452" s="541"/>
      <c r="Z452" s="541"/>
    </row>
    <row r="453" spans="1:26" ht="18.75">
      <c r="A453" s="537"/>
      <c r="B453" s="538"/>
      <c r="C453" s="538"/>
      <c r="D453" s="538"/>
      <c r="E453" s="538"/>
      <c r="F453" s="727" t="s">
        <v>189</v>
      </c>
      <c r="G453" s="189"/>
      <c r="H453" s="161" t="s">
        <v>12</v>
      </c>
      <c r="I453" s="269"/>
      <c r="J453" s="269"/>
      <c r="K453" s="465"/>
      <c r="L453" s="465"/>
      <c r="M453" s="465"/>
      <c r="N453" s="789">
        <v>0</v>
      </c>
      <c r="O453" s="465"/>
      <c r="P453" s="465"/>
      <c r="Q453" s="541"/>
      <c r="R453" s="541"/>
      <c r="S453" s="541"/>
      <c r="T453" s="541"/>
      <c r="U453" s="541"/>
      <c r="V453" s="541"/>
      <c r="W453" s="541"/>
      <c r="X453" s="541"/>
      <c r="Y453" s="541"/>
      <c r="Z453" s="541"/>
    </row>
    <row r="454" spans="1:26" ht="18.75">
      <c r="A454" s="561"/>
      <c r="B454" s="538"/>
      <c r="C454" s="538"/>
      <c r="D454" s="570" t="s">
        <v>21</v>
      </c>
      <c r="E454" s="538"/>
      <c r="F454" s="727"/>
      <c r="G454" s="189"/>
      <c r="H454" s="168" t="s">
        <v>12</v>
      </c>
      <c r="I454" s="184"/>
      <c r="J454" s="184"/>
      <c r="K454" s="163"/>
      <c r="L454" s="465">
        <f t="shared" ref="L454:N454" ca="1" si="201">L455+L456</f>
        <v>0</v>
      </c>
      <c r="M454" s="465">
        <f t="shared" si="201"/>
        <v>0</v>
      </c>
      <c r="N454" s="465">
        <f t="shared" si="201"/>
        <v>0</v>
      </c>
      <c r="O454" s="465">
        <f t="shared" ref="O454:O456" ca="1" si="202">IF(L454&gt;0,N454*100/L454,0)</f>
        <v>0</v>
      </c>
      <c r="P454" s="465">
        <f t="shared" ref="P454:P456" si="203">IF(M454&gt;0,N454*100/M454,0)</f>
        <v>0</v>
      </c>
      <c r="Q454" s="541"/>
      <c r="R454" s="541"/>
      <c r="S454" s="541"/>
      <c r="T454" s="541"/>
      <c r="U454" s="541"/>
      <c r="V454" s="541"/>
      <c r="W454" s="541"/>
      <c r="X454" s="541"/>
      <c r="Y454" s="541"/>
      <c r="Z454" s="541"/>
    </row>
    <row r="455" spans="1:26" ht="18.75" hidden="1">
      <c r="A455" s="563"/>
      <c r="B455" s="571"/>
      <c r="C455" s="571"/>
      <c r="D455" s="571"/>
      <c r="E455" s="571" t="s">
        <v>18</v>
      </c>
      <c r="F455" s="723"/>
      <c r="G455" s="567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2"/>
        <v>0</v>
      </c>
      <c r="P455" s="93">
        <f t="shared" si="203"/>
        <v>0</v>
      </c>
      <c r="Q455" s="568"/>
      <c r="R455" s="568"/>
      <c r="S455" s="568"/>
      <c r="T455" s="568"/>
      <c r="U455" s="568"/>
      <c r="V455" s="568"/>
      <c r="W455" s="568"/>
      <c r="X455" s="568"/>
      <c r="Y455" s="568"/>
      <c r="Z455" s="568"/>
    </row>
    <row r="456" spans="1:26" ht="18.75" hidden="1">
      <c r="A456" s="563"/>
      <c r="B456" s="571"/>
      <c r="C456" s="571"/>
      <c r="D456" s="571"/>
      <c r="E456" s="571" t="s">
        <v>19</v>
      </c>
      <c r="F456" s="723"/>
      <c r="G456" s="567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IFERROR(__xludf.DUMMYFUNCTION("IMPORTRANGE(""https://docs.google.com/spreadsheets/d/1QqKyyYR6Q21VydFLVH3TRQUabQu_ym0Zz7PgGX0-kHA/edit?usp=sharing"",""แผน!FM29"")"),0)</f>
        <v>0</v>
      </c>
      <c r="M456" s="93">
        <v>0</v>
      </c>
      <c r="N456" s="93">
        <v>0</v>
      </c>
      <c r="O456" s="93">
        <f t="shared" ca="1" si="202"/>
        <v>0</v>
      </c>
      <c r="P456" s="93">
        <f t="shared" si="203"/>
        <v>0</v>
      </c>
      <c r="Q456" s="568"/>
      <c r="R456" s="568"/>
      <c r="S456" s="568"/>
      <c r="T456" s="568"/>
      <c r="U456" s="568"/>
      <c r="V456" s="568"/>
      <c r="W456" s="568"/>
      <c r="X456" s="568"/>
      <c r="Y456" s="568"/>
      <c r="Z456" s="568"/>
    </row>
    <row r="457" spans="1:26" ht="19.5">
      <c r="A457" s="572"/>
      <c r="B457" s="584"/>
      <c r="C457" s="538" t="s">
        <v>16</v>
      </c>
      <c r="D457" s="850" t="s">
        <v>38</v>
      </c>
      <c r="E457" s="575"/>
      <c r="F457" s="725"/>
      <c r="G457" s="577"/>
      <c r="H457" s="726"/>
      <c r="I457" s="269"/>
      <c r="J457" s="269"/>
      <c r="K457" s="465"/>
      <c r="L457" s="465"/>
      <c r="M457" s="465"/>
      <c r="N457" s="465"/>
      <c r="O457" s="465"/>
      <c r="P457" s="465"/>
      <c r="Q457" s="541"/>
      <c r="R457" s="541"/>
      <c r="S457" s="541"/>
      <c r="T457" s="541"/>
      <c r="U457" s="541"/>
      <c r="V457" s="541"/>
      <c r="W457" s="541"/>
      <c r="X457" s="541"/>
      <c r="Y457" s="541"/>
      <c r="Z457" s="541"/>
    </row>
    <row r="458" spans="1:26" ht="18.75" hidden="1">
      <c r="A458" s="578"/>
      <c r="B458" s="580"/>
      <c r="C458" s="580"/>
      <c r="D458" s="580" t="s">
        <v>200</v>
      </c>
      <c r="E458" s="580"/>
      <c r="F458" s="684"/>
      <c r="G458" s="581"/>
      <c r="H458" s="582" t="s">
        <v>35</v>
      </c>
      <c r="I458" s="583">
        <v>0</v>
      </c>
      <c r="J458" s="583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568"/>
      <c r="R458" s="568"/>
      <c r="S458" s="568"/>
      <c r="T458" s="568"/>
      <c r="U458" s="568"/>
      <c r="V458" s="568"/>
      <c r="W458" s="568"/>
      <c r="X458" s="568"/>
      <c r="Y458" s="568"/>
      <c r="Z458" s="568"/>
    </row>
    <row r="459" spans="1:26" ht="18.75" hidden="1">
      <c r="A459" s="578"/>
      <c r="B459" s="580"/>
      <c r="C459" s="580"/>
      <c r="D459" s="580" t="s">
        <v>201</v>
      </c>
      <c r="E459" s="580"/>
      <c r="F459" s="684"/>
      <c r="G459" s="581"/>
      <c r="H459" s="582"/>
      <c r="I459" s="583"/>
      <c r="J459" s="583"/>
      <c r="K459" s="93"/>
      <c r="L459" s="93"/>
      <c r="M459" s="93"/>
      <c r="N459" s="93"/>
      <c r="O459" s="93"/>
      <c r="P459" s="93"/>
      <c r="Q459" s="568"/>
      <c r="R459" s="568"/>
      <c r="S459" s="568"/>
      <c r="T459" s="568"/>
      <c r="U459" s="568"/>
      <c r="V459" s="568"/>
      <c r="W459" s="568"/>
      <c r="X459" s="568"/>
      <c r="Y459" s="568"/>
      <c r="Z459" s="568"/>
    </row>
    <row r="460" spans="1:26" ht="18.75">
      <c r="A460" s="572"/>
      <c r="B460" s="584"/>
      <c r="C460" s="584"/>
      <c r="D460" s="584" t="s">
        <v>202</v>
      </c>
      <c r="E460" s="584"/>
      <c r="F460" s="592"/>
      <c r="G460" s="726"/>
      <c r="H460" s="728" t="s">
        <v>35</v>
      </c>
      <c r="I460" s="269">
        <f ca="1">IFERROR(__xludf.DUMMYFUNCTION("IMPORTRANGE(""https://docs.google.com/spreadsheets/d/1QqKyyYR6Q21VydFLVH3TRQUabQu_ym0Zz7PgGX0-kHA/edit?usp=sharing"",""แผน!FN29"")"),30)</f>
        <v>30</v>
      </c>
      <c r="J460" s="214">
        <v>0</v>
      </c>
      <c r="K460" s="465">
        <f ca="1">IF(I460&gt;0,J460*100/I460,0)</f>
        <v>0</v>
      </c>
      <c r="L460" s="465"/>
      <c r="M460" s="465"/>
      <c r="N460" s="465"/>
      <c r="O460" s="465"/>
      <c r="P460" s="465"/>
      <c r="Q460" s="541"/>
      <c r="R460" s="541"/>
      <c r="S460" s="541"/>
      <c r="T460" s="541"/>
      <c r="U460" s="541"/>
      <c r="V460" s="541"/>
      <c r="W460" s="541"/>
      <c r="X460" s="541"/>
      <c r="Y460" s="541"/>
      <c r="Z460" s="541"/>
    </row>
    <row r="461" spans="1:26" ht="18.75">
      <c r="A461" s="572"/>
      <c r="B461" s="584"/>
      <c r="C461" s="584"/>
      <c r="D461" s="584" t="s">
        <v>203</v>
      </c>
      <c r="E461" s="592"/>
      <c r="F461" s="592"/>
      <c r="G461" s="726"/>
      <c r="H461" s="728"/>
      <c r="I461" s="269"/>
      <c r="J461" s="269"/>
      <c r="K461" s="465"/>
      <c r="L461" s="465"/>
      <c r="M461" s="465"/>
      <c r="N461" s="465"/>
      <c r="O461" s="465"/>
      <c r="P461" s="465"/>
      <c r="Q461" s="541"/>
      <c r="R461" s="541"/>
      <c r="S461" s="541"/>
      <c r="T461" s="541"/>
      <c r="U461" s="541"/>
      <c r="V461" s="541"/>
      <c r="W461" s="541"/>
      <c r="X461" s="541"/>
      <c r="Y461" s="541"/>
      <c r="Z461" s="541"/>
    </row>
    <row r="462" spans="1:26" ht="18.75">
      <c r="A462" s="572"/>
      <c r="B462" s="584"/>
      <c r="C462" s="584"/>
      <c r="D462" s="584" t="s">
        <v>204</v>
      </c>
      <c r="E462" s="592"/>
      <c r="F462" s="592"/>
      <c r="G462" s="726"/>
      <c r="H462" s="728" t="s">
        <v>46</v>
      </c>
      <c r="I462" s="269">
        <f ca="1">IFERROR(__xludf.DUMMYFUNCTION("IMPORTRANGE(""https://docs.google.com/spreadsheets/d/1QqKyyYR6Q21VydFLVH3TRQUabQu_ym0Zz7PgGX0-kHA/edit?usp=sharing"",""แผน!FO29"")"),50)</f>
        <v>50</v>
      </c>
      <c r="J462" s="214">
        <v>0</v>
      </c>
      <c r="K462" s="465">
        <f ca="1">IF(I462&gt;0,J462*100/I462,0)</f>
        <v>0</v>
      </c>
      <c r="L462" s="465"/>
      <c r="M462" s="465"/>
      <c r="N462" s="465"/>
      <c r="O462" s="465"/>
      <c r="P462" s="465"/>
      <c r="Q462" s="541"/>
      <c r="R462" s="541"/>
      <c r="S462" s="541"/>
      <c r="T462" s="541"/>
      <c r="U462" s="541"/>
      <c r="V462" s="541"/>
      <c r="W462" s="541"/>
      <c r="X462" s="541"/>
      <c r="Y462" s="541"/>
      <c r="Z462" s="541"/>
    </row>
    <row r="463" spans="1:26" ht="18.75">
      <c r="A463" s="572"/>
      <c r="B463" s="584"/>
      <c r="C463" s="584"/>
      <c r="D463" s="584" t="s">
        <v>59</v>
      </c>
      <c r="E463" s="592"/>
      <c r="F463" s="727"/>
      <c r="G463" s="189"/>
      <c r="H463" s="728" t="s">
        <v>46</v>
      </c>
      <c r="I463" s="269">
        <f ca="1">IFERROR(__xludf.DUMMYFUNCTION("IMPORTRANGE(""https://docs.google.com/spreadsheets/d/1QqKyyYR6Q21VydFLVH3TRQUabQu_ym0Zz7PgGX0-kHA/edit?usp=sharing"",""แผน!FO29"")"),50)</f>
        <v>50</v>
      </c>
      <c r="J463" s="214">
        <v>0</v>
      </c>
      <c r="K463" s="465"/>
      <c r="L463" s="465"/>
      <c r="M463" s="465"/>
      <c r="N463" s="465"/>
      <c r="O463" s="465"/>
      <c r="P463" s="465"/>
      <c r="Q463" s="541"/>
      <c r="R463" s="541"/>
      <c r="S463" s="541"/>
      <c r="T463" s="541"/>
      <c r="U463" s="541"/>
      <c r="V463" s="541"/>
      <c r="W463" s="541"/>
      <c r="X463" s="541"/>
      <c r="Y463" s="541"/>
      <c r="Z463" s="541"/>
    </row>
    <row r="464" spans="1:26" ht="19.5">
      <c r="A464" s="572"/>
      <c r="B464" s="584"/>
      <c r="C464" s="584"/>
      <c r="D464" s="584"/>
      <c r="E464" s="592"/>
      <c r="F464" s="592"/>
      <c r="G464" s="586"/>
      <c r="H464" s="728" t="s">
        <v>35</v>
      </c>
      <c r="I464" s="269">
        <f ca="1">IFERROR(__xludf.DUMMYFUNCTION("IMPORTRANGE(""https://docs.google.com/spreadsheets/d/1QqKyyYR6Q21VydFLVH3TRQUabQu_ym0Zz7PgGX0-kHA/edit?usp=sharing"",""แผน!FN29"")"),30)</f>
        <v>30</v>
      </c>
      <c r="J464" s="214">
        <v>0</v>
      </c>
      <c r="K464" s="465"/>
      <c r="L464" s="465"/>
      <c r="M464" s="465"/>
      <c r="N464" s="465"/>
      <c r="O464" s="465"/>
      <c r="P464" s="465"/>
      <c r="Q464" s="541"/>
      <c r="R464" s="541"/>
      <c r="S464" s="541"/>
      <c r="T464" s="541"/>
      <c r="U464" s="541"/>
      <c r="V464" s="541"/>
      <c r="W464" s="541"/>
      <c r="X464" s="541"/>
      <c r="Y464" s="541"/>
      <c r="Z464" s="541"/>
    </row>
    <row r="465" spans="1:26" ht="19.5">
      <c r="A465" s="549">
        <v>3</v>
      </c>
      <c r="B465" s="550" t="s">
        <v>205</v>
      </c>
      <c r="C465" s="551"/>
      <c r="D465" s="551"/>
      <c r="E465" s="551"/>
      <c r="F465" s="551"/>
      <c r="G465" s="552"/>
      <c r="H465" s="553" t="s">
        <v>35</v>
      </c>
      <c r="I465" s="554">
        <f ca="1">IFERROR(__xludf.DUMMYFUNCTION("IMPORTRANGE(""https://docs.google.com/spreadsheets/d/1QqKyyYR6Q21VydFLVH3TRQUabQu_ym0Zz7PgGX0-kHA/edit?usp=sharing"",""แผน!FX29"")"),61)</f>
        <v>61</v>
      </c>
      <c r="J465" s="554">
        <f>J485+J489+J492</f>
        <v>0</v>
      </c>
      <c r="K465" s="555">
        <f t="shared" ref="K465:K466" ca="1" si="204">IF(I465&gt;0,J465*100/I465,0)</f>
        <v>0</v>
      </c>
      <c r="L465" s="556"/>
      <c r="M465" s="556"/>
      <c r="N465" s="556"/>
      <c r="O465" s="556"/>
      <c r="P465" s="556"/>
      <c r="Q465" s="541"/>
      <c r="R465" s="541"/>
      <c r="S465" s="541"/>
      <c r="T465" s="541"/>
      <c r="U465" s="541"/>
      <c r="V465" s="541"/>
      <c r="W465" s="541"/>
      <c r="X465" s="541"/>
      <c r="Y465" s="541"/>
      <c r="Z465" s="541"/>
    </row>
    <row r="466" spans="1:26" ht="19.5">
      <c r="A466" s="557"/>
      <c r="B466" s="558"/>
      <c r="C466" s="559"/>
      <c r="D466" s="559"/>
      <c r="E466" s="559"/>
      <c r="F466" s="559"/>
      <c r="G466" s="560"/>
      <c r="H466" s="531" t="s">
        <v>46</v>
      </c>
      <c r="I466" s="532">
        <f ca="1">IFERROR(__xludf.DUMMYFUNCTION("IMPORTRANGE(""https://docs.google.com/spreadsheets/d/1QqKyyYR6Q21VydFLVH3TRQUabQu_ym0Zz7PgGX0-kHA/edit?usp=sharing"",""แผน!FW29"")"),600)</f>
        <v>600</v>
      </c>
      <c r="J466" s="532">
        <f>J483+J487</f>
        <v>0</v>
      </c>
      <c r="K466" s="533">
        <f t="shared" ca="1" si="204"/>
        <v>0</v>
      </c>
      <c r="L466" s="534"/>
      <c r="M466" s="534"/>
      <c r="N466" s="534"/>
      <c r="O466" s="534"/>
      <c r="P466" s="534"/>
      <c r="Q466" s="541"/>
      <c r="R466" s="541"/>
      <c r="S466" s="541"/>
      <c r="T466" s="541"/>
      <c r="U466" s="541"/>
      <c r="V466" s="541"/>
      <c r="W466" s="541"/>
      <c r="X466" s="541"/>
      <c r="Y466" s="541"/>
      <c r="Z466" s="541"/>
    </row>
    <row r="467" spans="1:26" ht="19.5">
      <c r="A467" s="561"/>
      <c r="B467" s="727"/>
      <c r="C467" s="727" t="s">
        <v>16</v>
      </c>
      <c r="D467" s="811" t="s">
        <v>17</v>
      </c>
      <c r="E467" s="805"/>
      <c r="F467" s="805"/>
      <c r="G467" s="189"/>
      <c r="H467" s="562" t="s">
        <v>12</v>
      </c>
      <c r="I467" s="269"/>
      <c r="J467" s="269"/>
      <c r="K467" s="465"/>
      <c r="L467" s="195">
        <f t="shared" ref="L467:N467" ca="1" si="205">L468+L469</f>
        <v>481323</v>
      </c>
      <c r="M467" s="195">
        <f t="shared" si="205"/>
        <v>0</v>
      </c>
      <c r="N467" s="195">
        <f t="shared" si="205"/>
        <v>0</v>
      </c>
      <c r="O467" s="195">
        <f t="shared" ref="O467:O472" ca="1" si="206">IF(L467&gt;0,N467*100/L467,0)</f>
        <v>0</v>
      </c>
      <c r="P467" s="195">
        <f t="shared" ref="P467:P472" si="207">IF(M467&gt;0,N467*100/M467,0)</f>
        <v>0</v>
      </c>
      <c r="Q467" s="541"/>
      <c r="R467" s="541"/>
      <c r="S467" s="541"/>
      <c r="T467" s="541"/>
      <c r="U467" s="541"/>
      <c r="V467" s="541"/>
      <c r="W467" s="541"/>
      <c r="X467" s="541"/>
      <c r="Y467" s="541"/>
      <c r="Z467" s="541"/>
    </row>
    <row r="468" spans="1:26" ht="18.75" hidden="1">
      <c r="A468" s="563"/>
      <c r="B468" s="723"/>
      <c r="C468" s="723"/>
      <c r="D468" s="684"/>
      <c r="E468" s="723" t="s">
        <v>184</v>
      </c>
      <c r="F468" s="723"/>
      <c r="G468" s="567"/>
      <c r="H468" s="165" t="s">
        <v>12</v>
      </c>
      <c r="I468" s="583"/>
      <c r="J468" s="583"/>
      <c r="K468" s="93"/>
      <c r="L468" s="93">
        <f t="shared" ref="L468:N469" si="208">L471+L478</f>
        <v>0</v>
      </c>
      <c r="M468" s="93">
        <f t="shared" si="208"/>
        <v>0</v>
      </c>
      <c r="N468" s="93">
        <f t="shared" si="208"/>
        <v>0</v>
      </c>
      <c r="O468" s="93">
        <f t="shared" si="206"/>
        <v>0</v>
      </c>
      <c r="P468" s="93">
        <f t="shared" si="207"/>
        <v>0</v>
      </c>
      <c r="Q468" s="568"/>
      <c r="R468" s="568"/>
      <c r="S468" s="568"/>
      <c r="T468" s="568"/>
      <c r="U468" s="568"/>
      <c r="V468" s="568"/>
      <c r="W468" s="568"/>
      <c r="X468" s="568"/>
      <c r="Y468" s="568"/>
      <c r="Z468" s="568"/>
    </row>
    <row r="469" spans="1:26" ht="18.75" hidden="1">
      <c r="A469" s="563"/>
      <c r="B469" s="571"/>
      <c r="C469" s="723"/>
      <c r="D469" s="684"/>
      <c r="E469" s="723" t="s">
        <v>185</v>
      </c>
      <c r="F469" s="723"/>
      <c r="G469" s="567"/>
      <c r="H469" s="165" t="s">
        <v>12</v>
      </c>
      <c r="I469" s="583"/>
      <c r="J469" s="583"/>
      <c r="K469" s="93"/>
      <c r="L469" s="93">
        <f t="shared" ca="1" si="208"/>
        <v>481323</v>
      </c>
      <c r="M469" s="93">
        <f t="shared" si="208"/>
        <v>0</v>
      </c>
      <c r="N469" s="93">
        <f t="shared" si="208"/>
        <v>0</v>
      </c>
      <c r="O469" s="93">
        <f t="shared" ca="1" si="206"/>
        <v>0</v>
      </c>
      <c r="P469" s="93">
        <f t="shared" si="207"/>
        <v>0</v>
      </c>
      <c r="Q469" s="568"/>
      <c r="R469" s="568"/>
      <c r="S469" s="568"/>
      <c r="T469" s="568"/>
      <c r="U469" s="568"/>
      <c r="V469" s="568"/>
      <c r="W469" s="568"/>
      <c r="X469" s="568"/>
      <c r="Y469" s="568"/>
      <c r="Z469" s="568"/>
    </row>
    <row r="470" spans="1:26" ht="18.75">
      <c r="A470" s="561"/>
      <c r="B470" s="538"/>
      <c r="C470" s="727"/>
      <c r="D470" s="570" t="s">
        <v>20</v>
      </c>
      <c r="E470" s="727"/>
      <c r="F470" s="727"/>
      <c r="G470" s="189"/>
      <c r="H470" s="161" t="s">
        <v>12</v>
      </c>
      <c r="I470" s="184"/>
      <c r="J470" s="184"/>
      <c r="K470" s="163"/>
      <c r="L470" s="465">
        <f t="shared" ref="L470:N470" ca="1" si="209">L471+L472</f>
        <v>481323</v>
      </c>
      <c r="M470" s="465">
        <f t="shared" si="209"/>
        <v>0</v>
      </c>
      <c r="N470" s="465">
        <f t="shared" si="209"/>
        <v>0</v>
      </c>
      <c r="O470" s="465">
        <f t="shared" ca="1" si="206"/>
        <v>0</v>
      </c>
      <c r="P470" s="465">
        <f t="shared" si="207"/>
        <v>0</v>
      </c>
      <c r="Q470" s="541"/>
      <c r="R470" s="541"/>
      <c r="S470" s="541"/>
      <c r="T470" s="541"/>
      <c r="U470" s="541"/>
      <c r="V470" s="541"/>
      <c r="W470" s="541"/>
      <c r="X470" s="541"/>
      <c r="Y470" s="541"/>
      <c r="Z470" s="541"/>
    </row>
    <row r="471" spans="1:26" ht="18.75" hidden="1">
      <c r="A471" s="563"/>
      <c r="B471" s="571"/>
      <c r="C471" s="723"/>
      <c r="D471" s="684"/>
      <c r="E471" s="723" t="s">
        <v>184</v>
      </c>
      <c r="F471" s="723"/>
      <c r="G471" s="567"/>
      <c r="H471" s="165" t="s">
        <v>12</v>
      </c>
      <c r="I471" s="583"/>
      <c r="J471" s="583"/>
      <c r="K471" s="93"/>
      <c r="L471" s="93">
        <v>0</v>
      </c>
      <c r="M471" s="93">
        <v>0</v>
      </c>
      <c r="N471" s="93">
        <v>0</v>
      </c>
      <c r="O471" s="93">
        <f t="shared" si="206"/>
        <v>0</v>
      </c>
      <c r="P471" s="93">
        <f t="shared" si="207"/>
        <v>0</v>
      </c>
      <c r="Q471" s="568"/>
      <c r="R471" s="568"/>
      <c r="S471" s="568"/>
      <c r="T471" s="568"/>
      <c r="U471" s="568"/>
      <c r="V471" s="568"/>
      <c r="W471" s="568"/>
      <c r="X471" s="568"/>
      <c r="Y471" s="568"/>
      <c r="Z471" s="568"/>
    </row>
    <row r="472" spans="1:26" ht="18.75" hidden="1">
      <c r="A472" s="563"/>
      <c r="B472" s="571"/>
      <c r="C472" s="723"/>
      <c r="D472" s="684"/>
      <c r="E472" s="723" t="s">
        <v>185</v>
      </c>
      <c r="F472" s="723"/>
      <c r="G472" s="567"/>
      <c r="H472" s="165" t="s">
        <v>12</v>
      </c>
      <c r="I472" s="583"/>
      <c r="J472" s="583"/>
      <c r="K472" s="93"/>
      <c r="L472" s="93">
        <f ca="1">IFERROR(__xludf.DUMMYFUNCTION("IMPORTRANGE(""https://docs.google.com/spreadsheets/d/1QqKyyYR6Q21VydFLVH3TRQUabQu_ym0Zz7PgGX0-kHA/edit?usp=sharing"",""แผน!FS29"")"),481323)</f>
        <v>481323</v>
      </c>
      <c r="M472" s="93">
        <v>0</v>
      </c>
      <c r="N472" s="93">
        <f>N473+N474+N475+N476</f>
        <v>0</v>
      </c>
      <c r="O472" s="93">
        <f t="shared" ca="1" si="206"/>
        <v>0</v>
      </c>
      <c r="P472" s="93">
        <f t="shared" si="207"/>
        <v>0</v>
      </c>
      <c r="Q472" s="568"/>
      <c r="R472" s="568"/>
      <c r="S472" s="568"/>
      <c r="T472" s="568"/>
      <c r="U472" s="568"/>
      <c r="V472" s="568"/>
      <c r="W472" s="568"/>
      <c r="X472" s="568"/>
      <c r="Y472" s="568"/>
      <c r="Z472" s="568"/>
    </row>
    <row r="473" spans="1:26" ht="18.75">
      <c r="A473" s="537"/>
      <c r="B473" s="538"/>
      <c r="C473" s="727"/>
      <c r="D473" s="727"/>
      <c r="E473" s="727"/>
      <c r="F473" s="727" t="s">
        <v>186</v>
      </c>
      <c r="G473" s="189"/>
      <c r="H473" s="161" t="s">
        <v>12</v>
      </c>
      <c r="I473" s="269"/>
      <c r="J473" s="269"/>
      <c r="K473" s="465"/>
      <c r="L473" s="465"/>
      <c r="M473" s="465"/>
      <c r="N473" s="789">
        <v>0</v>
      </c>
      <c r="O473" s="465"/>
      <c r="P473" s="465"/>
      <c r="Q473" s="541"/>
      <c r="R473" s="541"/>
      <c r="S473" s="541"/>
      <c r="T473" s="541"/>
      <c r="U473" s="541"/>
      <c r="V473" s="541"/>
      <c r="W473" s="541"/>
      <c r="X473" s="541"/>
      <c r="Y473" s="541"/>
      <c r="Z473" s="541"/>
    </row>
    <row r="474" spans="1:26" ht="18.75">
      <c r="A474" s="537"/>
      <c r="B474" s="538"/>
      <c r="C474" s="727"/>
      <c r="D474" s="727"/>
      <c r="E474" s="727"/>
      <c r="F474" s="727" t="s">
        <v>187</v>
      </c>
      <c r="G474" s="189"/>
      <c r="H474" s="161" t="s">
        <v>12</v>
      </c>
      <c r="I474" s="269"/>
      <c r="J474" s="269"/>
      <c r="K474" s="465"/>
      <c r="L474" s="465"/>
      <c r="M474" s="465"/>
      <c r="N474" s="789">
        <v>0</v>
      </c>
      <c r="O474" s="465"/>
      <c r="P474" s="465"/>
      <c r="Q474" s="541"/>
      <c r="R474" s="541"/>
      <c r="S474" s="541"/>
      <c r="T474" s="541"/>
      <c r="U474" s="541"/>
      <c r="V474" s="541"/>
      <c r="W474" s="541"/>
      <c r="X474" s="541"/>
      <c r="Y474" s="541"/>
      <c r="Z474" s="541"/>
    </row>
    <row r="475" spans="1:26" ht="18.75">
      <c r="A475" s="537"/>
      <c r="B475" s="538"/>
      <c r="C475" s="538"/>
      <c r="D475" s="538"/>
      <c r="E475" s="538"/>
      <c r="F475" s="727" t="s">
        <v>188</v>
      </c>
      <c r="G475" s="189"/>
      <c r="H475" s="161" t="s">
        <v>12</v>
      </c>
      <c r="I475" s="269"/>
      <c r="J475" s="269"/>
      <c r="K475" s="465"/>
      <c r="L475" s="465"/>
      <c r="M475" s="465"/>
      <c r="N475" s="789">
        <v>0</v>
      </c>
      <c r="O475" s="465"/>
      <c r="P475" s="465"/>
      <c r="Q475" s="541"/>
      <c r="R475" s="541"/>
      <c r="S475" s="541"/>
      <c r="T475" s="541"/>
      <c r="U475" s="541"/>
      <c r="V475" s="541"/>
      <c r="W475" s="541"/>
      <c r="X475" s="541"/>
      <c r="Y475" s="541"/>
      <c r="Z475" s="541"/>
    </row>
    <row r="476" spans="1:26" ht="18.75">
      <c r="A476" s="537"/>
      <c r="B476" s="538"/>
      <c r="C476" s="538"/>
      <c r="D476" s="538"/>
      <c r="E476" s="538"/>
      <c r="F476" s="727" t="s">
        <v>189</v>
      </c>
      <c r="G476" s="189"/>
      <c r="H476" s="161" t="s">
        <v>12</v>
      </c>
      <c r="I476" s="269"/>
      <c r="J476" s="269"/>
      <c r="K476" s="465"/>
      <c r="L476" s="465"/>
      <c r="M476" s="465"/>
      <c r="N476" s="789">
        <v>0</v>
      </c>
      <c r="O476" s="465"/>
      <c r="P476" s="465"/>
      <c r="Q476" s="541"/>
      <c r="R476" s="541"/>
      <c r="S476" s="541"/>
      <c r="T476" s="541"/>
      <c r="U476" s="541"/>
      <c r="V476" s="541"/>
      <c r="W476" s="541"/>
      <c r="X476" s="541"/>
      <c r="Y476" s="541"/>
      <c r="Z476" s="541"/>
    </row>
    <row r="477" spans="1:26" ht="18.75">
      <c r="A477" s="561"/>
      <c r="B477" s="538"/>
      <c r="C477" s="538"/>
      <c r="D477" s="570" t="s">
        <v>21</v>
      </c>
      <c r="E477" s="538"/>
      <c r="F477" s="538"/>
      <c r="G477" s="189"/>
      <c r="H477" s="168" t="s">
        <v>12</v>
      </c>
      <c r="I477" s="184"/>
      <c r="J477" s="184"/>
      <c r="K477" s="163"/>
      <c r="L477" s="465">
        <f t="shared" ref="L477:N477" ca="1" si="210">L478+L479</f>
        <v>0</v>
      </c>
      <c r="M477" s="465">
        <f t="shared" si="210"/>
        <v>0</v>
      </c>
      <c r="N477" s="465">
        <f t="shared" si="210"/>
        <v>0</v>
      </c>
      <c r="O477" s="465">
        <f t="shared" ref="O477:O479" ca="1" si="211">IF(L477&gt;0,N477*100/L477,0)</f>
        <v>0</v>
      </c>
      <c r="P477" s="465">
        <f t="shared" ref="P477:P479" si="212">IF(M477&gt;0,N477*100/M477,0)</f>
        <v>0</v>
      </c>
      <c r="Q477" s="541"/>
      <c r="R477" s="541"/>
      <c r="S477" s="541"/>
      <c r="T477" s="541"/>
      <c r="U477" s="541"/>
      <c r="V477" s="541"/>
      <c r="W477" s="541"/>
      <c r="X477" s="541"/>
      <c r="Y477" s="541"/>
      <c r="Z477" s="541"/>
    </row>
    <row r="478" spans="1:26" ht="18.75" hidden="1">
      <c r="A478" s="563"/>
      <c r="B478" s="571"/>
      <c r="C478" s="571"/>
      <c r="D478" s="571"/>
      <c r="E478" s="571" t="s">
        <v>18</v>
      </c>
      <c r="F478" s="571"/>
      <c r="G478" s="567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1"/>
        <v>0</v>
      </c>
      <c r="P478" s="93">
        <f t="shared" si="212"/>
        <v>0</v>
      </c>
      <c r="Q478" s="568"/>
      <c r="R478" s="568"/>
      <c r="S478" s="568"/>
      <c r="T478" s="568"/>
      <c r="U478" s="568"/>
      <c r="V478" s="568"/>
      <c r="W478" s="568"/>
      <c r="X478" s="568"/>
      <c r="Y478" s="568"/>
      <c r="Z478" s="568"/>
    </row>
    <row r="479" spans="1:26" ht="18.75" hidden="1">
      <c r="A479" s="563"/>
      <c r="B479" s="571"/>
      <c r="C479" s="571"/>
      <c r="D479" s="571"/>
      <c r="E479" s="571" t="s">
        <v>19</v>
      </c>
      <c r="F479" s="571"/>
      <c r="G479" s="567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IFERROR(__xludf.DUMMYFUNCTION("IMPORTRANGE(""https://docs.google.com/spreadsheets/d/1QqKyyYR6Q21VydFLVH3TRQUabQu_ym0Zz7PgGX0-kHA/edit?usp=sharing"",""แผน!FV29"")"),0)</f>
        <v>0</v>
      </c>
      <c r="M479" s="93">
        <v>0</v>
      </c>
      <c r="N479" s="93">
        <v>0</v>
      </c>
      <c r="O479" s="93">
        <f t="shared" ca="1" si="211"/>
        <v>0</v>
      </c>
      <c r="P479" s="93">
        <f t="shared" si="212"/>
        <v>0</v>
      </c>
      <c r="Q479" s="568"/>
      <c r="R479" s="568"/>
      <c r="S479" s="568"/>
      <c r="T479" s="568"/>
      <c r="U479" s="568"/>
      <c r="V479" s="568"/>
      <c r="W479" s="568"/>
      <c r="X479" s="568"/>
      <c r="Y479" s="568"/>
      <c r="Z479" s="568"/>
    </row>
    <row r="480" spans="1:26" ht="19.5">
      <c r="A480" s="572"/>
      <c r="B480" s="584"/>
      <c r="C480" s="538" t="s">
        <v>16</v>
      </c>
      <c r="D480" s="851" t="s">
        <v>38</v>
      </c>
      <c r="E480" s="575"/>
      <c r="F480" s="725"/>
      <c r="G480" s="577"/>
      <c r="H480" s="726"/>
      <c r="I480" s="269"/>
      <c r="J480" s="269"/>
      <c r="K480" s="465"/>
      <c r="L480" s="465"/>
      <c r="M480" s="465"/>
      <c r="N480" s="465"/>
      <c r="O480" s="465"/>
      <c r="P480" s="465"/>
      <c r="Q480" s="541"/>
      <c r="R480" s="541"/>
      <c r="S480" s="541"/>
      <c r="T480" s="541"/>
      <c r="U480" s="541"/>
      <c r="V480" s="541"/>
      <c r="W480" s="541"/>
      <c r="X480" s="541"/>
      <c r="Y480" s="541"/>
      <c r="Z480" s="541"/>
    </row>
    <row r="481" spans="1:26" ht="19.5">
      <c r="A481" s="572"/>
      <c r="B481" s="584"/>
      <c r="C481" s="584"/>
      <c r="D481" s="591" t="s">
        <v>206</v>
      </c>
      <c r="E481" s="584"/>
      <c r="F481" s="584"/>
      <c r="G481" s="726"/>
      <c r="H481" s="189"/>
      <c r="I481" s="269"/>
      <c r="J481" s="269"/>
      <c r="K481" s="465"/>
      <c r="L481" s="465"/>
      <c r="M481" s="465"/>
      <c r="N481" s="465"/>
      <c r="O481" s="465"/>
      <c r="P481" s="465"/>
      <c r="Q481" s="541"/>
      <c r="R481" s="541"/>
      <c r="S481" s="541"/>
      <c r="T481" s="541"/>
      <c r="U481" s="541"/>
      <c r="V481" s="541"/>
      <c r="W481" s="541"/>
      <c r="X481" s="541"/>
      <c r="Y481" s="541"/>
      <c r="Z481" s="541"/>
    </row>
    <row r="482" spans="1:26" ht="18.75">
      <c r="A482" s="572"/>
      <c r="B482" s="584"/>
      <c r="C482" s="584"/>
      <c r="D482" s="584"/>
      <c r="E482" s="584" t="s">
        <v>207</v>
      </c>
      <c r="F482" s="584"/>
      <c r="G482" s="726"/>
      <c r="H482" s="189"/>
      <c r="I482" s="269"/>
      <c r="J482" s="269"/>
      <c r="K482" s="465"/>
      <c r="L482" s="465"/>
      <c r="M482" s="465"/>
      <c r="N482" s="465"/>
      <c r="O482" s="465"/>
      <c r="P482" s="465"/>
      <c r="Q482" s="541"/>
      <c r="R482" s="541"/>
      <c r="S482" s="541"/>
      <c r="T482" s="541"/>
      <c r="U482" s="541"/>
      <c r="V482" s="541"/>
      <c r="W482" s="541"/>
      <c r="X482" s="541"/>
      <c r="Y482" s="541"/>
      <c r="Z482" s="541"/>
    </row>
    <row r="483" spans="1:26" ht="18.75">
      <c r="A483" s="572"/>
      <c r="B483" s="584"/>
      <c r="C483" s="584"/>
      <c r="D483" s="584"/>
      <c r="E483" s="584"/>
      <c r="F483" s="584" t="s">
        <v>208</v>
      </c>
      <c r="G483" s="726"/>
      <c r="H483" s="589" t="s">
        <v>46</v>
      </c>
      <c r="I483" s="269">
        <f ca="1">IFERROR(__xludf.DUMMYFUNCTION("IMPORTRANGE(""https://docs.google.com/spreadsheets/d/1QqKyyYR6Q21VydFLVH3TRQUabQu_ym0Zz7PgGX0-kHA/edit?usp=sharing"",""แผน!FY29"")"),540)</f>
        <v>540</v>
      </c>
      <c r="J483" s="214">
        <v>0</v>
      </c>
      <c r="K483" s="465">
        <f ca="1">IF(I483&gt;0,J483*100/I483,0)</f>
        <v>0</v>
      </c>
      <c r="L483" s="465"/>
      <c r="M483" s="465"/>
      <c r="N483" s="465"/>
      <c r="O483" s="465"/>
      <c r="P483" s="465"/>
      <c r="Q483" s="541"/>
      <c r="R483" s="541"/>
      <c r="S483" s="541"/>
      <c r="T483" s="541"/>
      <c r="U483" s="541"/>
      <c r="V483" s="541"/>
      <c r="W483" s="541"/>
      <c r="X483" s="541"/>
      <c r="Y483" s="541"/>
      <c r="Z483" s="541"/>
    </row>
    <row r="484" spans="1:26" ht="18.75">
      <c r="A484" s="572"/>
      <c r="B484" s="584"/>
      <c r="C484" s="584"/>
      <c r="D484" s="584"/>
      <c r="E484" s="584"/>
      <c r="F484" s="584" t="s">
        <v>209</v>
      </c>
      <c r="G484" s="726"/>
      <c r="H484" s="589" t="s">
        <v>35</v>
      </c>
      <c r="I484" s="269"/>
      <c r="J484" s="214">
        <v>0</v>
      </c>
      <c r="K484" s="465"/>
      <c r="L484" s="465"/>
      <c r="M484" s="465"/>
      <c r="N484" s="465"/>
      <c r="O484" s="465"/>
      <c r="P484" s="465"/>
      <c r="Q484" s="541"/>
      <c r="R484" s="541"/>
      <c r="S484" s="541"/>
      <c r="T484" s="541"/>
      <c r="U484" s="541"/>
      <c r="V484" s="541"/>
      <c r="W484" s="541"/>
      <c r="X484" s="541"/>
      <c r="Y484" s="541"/>
      <c r="Z484" s="541"/>
    </row>
    <row r="485" spans="1:26" ht="18.75">
      <c r="A485" s="572"/>
      <c r="B485" s="584"/>
      <c r="C485" s="584"/>
      <c r="D485" s="584"/>
      <c r="E485" s="584"/>
      <c r="F485" s="584" t="s">
        <v>210</v>
      </c>
      <c r="G485" s="726"/>
      <c r="H485" s="589" t="s">
        <v>35</v>
      </c>
      <c r="I485" s="269">
        <f ca="1">IFERROR(__xludf.DUMMYFUNCTION("IMPORTRANGE(""https://docs.google.com/spreadsheets/d/1QqKyyYR6Q21VydFLVH3TRQUabQu_ym0Zz7PgGX0-kHA/edit?usp=sharing"",""แผน!FZ29"")"),54)</f>
        <v>54</v>
      </c>
      <c r="J485" s="214">
        <v>0</v>
      </c>
      <c r="K485" s="465">
        <f ca="1">IF(I485&gt;0,J485*100/I485,0)</f>
        <v>0</v>
      </c>
      <c r="L485" s="465"/>
      <c r="M485" s="465"/>
      <c r="N485" s="465"/>
      <c r="O485" s="465"/>
      <c r="P485" s="465"/>
      <c r="Q485" s="541"/>
      <c r="R485" s="541"/>
      <c r="S485" s="541"/>
      <c r="T485" s="541"/>
      <c r="U485" s="541"/>
      <c r="V485" s="541"/>
      <c r="W485" s="541"/>
      <c r="X485" s="541"/>
      <c r="Y485" s="541"/>
      <c r="Z485" s="541"/>
    </row>
    <row r="486" spans="1:26" ht="18.75">
      <c r="A486" s="572"/>
      <c r="B486" s="584"/>
      <c r="C486" s="584"/>
      <c r="D486" s="584"/>
      <c r="E486" s="584" t="s">
        <v>62</v>
      </c>
      <c r="F486" s="584"/>
      <c r="G486" s="726"/>
      <c r="H486" s="589"/>
      <c r="I486" s="269"/>
      <c r="J486" s="269"/>
      <c r="K486" s="465"/>
      <c r="L486" s="465"/>
      <c r="M486" s="465"/>
      <c r="N486" s="465"/>
      <c r="O486" s="465"/>
      <c r="P486" s="465"/>
      <c r="Q486" s="541"/>
      <c r="R486" s="541"/>
      <c r="S486" s="541"/>
      <c r="T486" s="541"/>
      <c r="U486" s="541"/>
      <c r="V486" s="541"/>
      <c r="W486" s="541"/>
      <c r="X486" s="541"/>
      <c r="Y486" s="541"/>
      <c r="Z486" s="541"/>
    </row>
    <row r="487" spans="1:26" ht="18.75">
      <c r="A487" s="572"/>
      <c r="B487" s="584"/>
      <c r="C487" s="584"/>
      <c r="D487" s="584"/>
      <c r="E487" s="584"/>
      <c r="F487" s="584" t="s">
        <v>208</v>
      </c>
      <c r="G487" s="726"/>
      <c r="H487" s="589" t="s">
        <v>46</v>
      </c>
      <c r="I487" s="269">
        <f ca="1">IFERROR(__xludf.DUMMYFUNCTION("IMPORTRANGE(""https://docs.google.com/spreadsheets/d/1QqKyyYR6Q21VydFLVH3TRQUabQu_ym0Zz7PgGX0-kHA/edit?usp=sharing"",""แผน!GA29"")"),60)</f>
        <v>60</v>
      </c>
      <c r="J487" s="214">
        <v>0</v>
      </c>
      <c r="K487" s="465">
        <f ca="1">IF(I487&gt;0,J487*100/I487,0)</f>
        <v>0</v>
      </c>
      <c r="L487" s="465"/>
      <c r="M487" s="465"/>
      <c r="N487" s="465"/>
      <c r="O487" s="465"/>
      <c r="P487" s="465"/>
      <c r="Q487" s="541"/>
      <c r="R487" s="541"/>
      <c r="S487" s="541"/>
      <c r="T487" s="541"/>
      <c r="U487" s="541"/>
      <c r="V487" s="541"/>
      <c r="W487" s="541"/>
      <c r="X487" s="541"/>
      <c r="Y487" s="541"/>
      <c r="Z487" s="541"/>
    </row>
    <row r="488" spans="1:26" ht="18.75">
      <c r="A488" s="572"/>
      <c r="B488" s="584"/>
      <c r="C488" s="584"/>
      <c r="D488" s="584"/>
      <c r="E488" s="584"/>
      <c r="F488" s="584" t="s">
        <v>211</v>
      </c>
      <c r="G488" s="726"/>
      <c r="H488" s="589" t="s">
        <v>35</v>
      </c>
      <c r="I488" s="269"/>
      <c r="J488" s="214">
        <v>0</v>
      </c>
      <c r="K488" s="465"/>
      <c r="L488" s="465"/>
      <c r="M488" s="465"/>
      <c r="N488" s="465"/>
      <c r="O488" s="465"/>
      <c r="P488" s="465"/>
      <c r="Q488" s="541"/>
      <c r="R488" s="541"/>
      <c r="S488" s="541"/>
      <c r="T488" s="541"/>
      <c r="U488" s="541"/>
      <c r="V488" s="541"/>
      <c r="W488" s="541"/>
      <c r="X488" s="541"/>
      <c r="Y488" s="541"/>
      <c r="Z488" s="541"/>
    </row>
    <row r="489" spans="1:26" ht="18.75">
      <c r="A489" s="572"/>
      <c r="B489" s="584"/>
      <c r="C489" s="584"/>
      <c r="D489" s="584"/>
      <c r="E489" s="584"/>
      <c r="F489" s="584" t="s">
        <v>212</v>
      </c>
      <c r="G489" s="726"/>
      <c r="H489" s="589" t="s">
        <v>35</v>
      </c>
      <c r="I489" s="269">
        <f ca="1">IFERROR(__xludf.DUMMYFUNCTION("IMPORTRANGE(""https://docs.google.com/spreadsheets/d/1QqKyyYR6Q21VydFLVH3TRQUabQu_ym0Zz7PgGX0-kHA/edit?usp=sharing"",""แผน!GB29"")"),6)</f>
        <v>6</v>
      </c>
      <c r="J489" s="214">
        <v>0</v>
      </c>
      <c r="K489" s="465">
        <f ca="1">IF(I489&gt;0,J489*100/I489,0)</f>
        <v>0</v>
      </c>
      <c r="L489" s="465"/>
      <c r="M489" s="465"/>
      <c r="N489" s="465"/>
      <c r="O489" s="465"/>
      <c r="P489" s="465"/>
      <c r="Q489" s="541"/>
      <c r="R489" s="541"/>
      <c r="S489" s="541"/>
      <c r="T489" s="541"/>
      <c r="U489" s="541"/>
      <c r="V489" s="541"/>
      <c r="W489" s="541"/>
      <c r="X489" s="541"/>
      <c r="Y489" s="541"/>
      <c r="Z489" s="541"/>
    </row>
    <row r="490" spans="1:26" ht="18.75">
      <c r="A490" s="572"/>
      <c r="B490" s="584"/>
      <c r="C490" s="584"/>
      <c r="D490" s="584"/>
      <c r="E490" s="584" t="s">
        <v>63</v>
      </c>
      <c r="F490" s="592"/>
      <c r="G490" s="726"/>
      <c r="H490" s="589"/>
      <c r="I490" s="269"/>
      <c r="J490" s="269"/>
      <c r="K490" s="465"/>
      <c r="L490" s="465"/>
      <c r="M490" s="465"/>
      <c r="N490" s="465"/>
      <c r="O490" s="465"/>
      <c r="P490" s="465"/>
      <c r="Q490" s="541"/>
      <c r="R490" s="541"/>
      <c r="S490" s="541"/>
      <c r="T490" s="541"/>
      <c r="U490" s="541"/>
      <c r="V490" s="541"/>
      <c r="W490" s="541"/>
      <c r="X490" s="541"/>
      <c r="Y490" s="541"/>
      <c r="Z490" s="541"/>
    </row>
    <row r="491" spans="1:26" ht="18.75">
      <c r="A491" s="572"/>
      <c r="B491" s="584"/>
      <c r="C491" s="584"/>
      <c r="D491" s="584"/>
      <c r="E491" s="584"/>
      <c r="F491" s="584" t="s">
        <v>213</v>
      </c>
      <c r="G491" s="726"/>
      <c r="H491" s="589" t="s">
        <v>35</v>
      </c>
      <c r="I491" s="269"/>
      <c r="J491" s="214">
        <v>0</v>
      </c>
      <c r="K491" s="465"/>
      <c r="L491" s="465"/>
      <c r="M491" s="465"/>
      <c r="N491" s="465"/>
      <c r="O491" s="465"/>
      <c r="P491" s="465"/>
      <c r="Q491" s="541"/>
      <c r="R491" s="541"/>
      <c r="S491" s="541"/>
      <c r="T491" s="541"/>
      <c r="U491" s="541"/>
      <c r="V491" s="541"/>
      <c r="W491" s="541"/>
      <c r="X491" s="541"/>
      <c r="Y491" s="541"/>
      <c r="Z491" s="541"/>
    </row>
    <row r="492" spans="1:26" ht="18.75">
      <c r="A492" s="572"/>
      <c r="B492" s="584"/>
      <c r="C492" s="584"/>
      <c r="D492" s="584"/>
      <c r="E492" s="584"/>
      <c r="F492" s="584" t="s">
        <v>214</v>
      </c>
      <c r="G492" s="726"/>
      <c r="H492" s="589" t="s">
        <v>35</v>
      </c>
      <c r="I492" s="269">
        <f ca="1">IFERROR(__xludf.DUMMYFUNCTION("IMPORTRANGE(""https://docs.google.com/spreadsheets/d/1QqKyyYR6Q21VydFLVH3TRQUabQu_ym0Zz7PgGX0-kHA/edit?usp=sharing"",""แผน!GC29"")"),1)</f>
        <v>1</v>
      </c>
      <c r="J492" s="214">
        <v>0</v>
      </c>
      <c r="K492" s="465">
        <f ca="1">IF(I492&gt;0,J492*100/I492,0)</f>
        <v>0</v>
      </c>
      <c r="L492" s="465"/>
      <c r="M492" s="465"/>
      <c r="N492" s="465"/>
      <c r="O492" s="465"/>
      <c r="P492" s="465"/>
      <c r="Q492" s="541"/>
      <c r="R492" s="541"/>
      <c r="S492" s="541"/>
      <c r="T492" s="541"/>
      <c r="U492" s="541"/>
      <c r="V492" s="541"/>
      <c r="W492" s="541"/>
      <c r="X492" s="541"/>
      <c r="Y492" s="541"/>
      <c r="Z492" s="541"/>
    </row>
    <row r="493" spans="1:26" ht="19.5">
      <c r="A493" s="572"/>
      <c r="B493" s="584"/>
      <c r="C493" s="584"/>
      <c r="D493" s="591" t="s">
        <v>59</v>
      </c>
      <c r="E493" s="584"/>
      <c r="F493" s="592"/>
      <c r="G493" s="726"/>
      <c r="H493" s="189"/>
      <c r="I493" s="269"/>
      <c r="J493" s="269"/>
      <c r="K493" s="465"/>
      <c r="L493" s="465"/>
      <c r="M493" s="465"/>
      <c r="N493" s="465"/>
      <c r="O493" s="465"/>
      <c r="P493" s="465"/>
      <c r="Q493" s="541"/>
      <c r="R493" s="541"/>
      <c r="S493" s="541"/>
      <c r="T493" s="541"/>
      <c r="U493" s="541"/>
      <c r="V493" s="541"/>
      <c r="W493" s="541"/>
      <c r="X493" s="541"/>
      <c r="Y493" s="541"/>
      <c r="Z493" s="541"/>
    </row>
    <row r="494" spans="1:26" ht="18.75">
      <c r="A494" s="572"/>
      <c r="B494" s="584"/>
      <c r="C494" s="584"/>
      <c r="D494" s="584"/>
      <c r="E494" s="584" t="s">
        <v>207</v>
      </c>
      <c r="F494" s="592"/>
      <c r="G494" s="726"/>
      <c r="H494" s="189"/>
      <c r="I494" s="269"/>
      <c r="J494" s="269"/>
      <c r="K494" s="465"/>
      <c r="L494" s="465"/>
      <c r="M494" s="465"/>
      <c r="N494" s="465"/>
      <c r="O494" s="465"/>
      <c r="P494" s="465"/>
      <c r="Q494" s="541"/>
      <c r="R494" s="541"/>
      <c r="S494" s="541"/>
      <c r="T494" s="541"/>
      <c r="U494" s="541"/>
      <c r="V494" s="541"/>
      <c r="W494" s="541"/>
      <c r="X494" s="541"/>
      <c r="Y494" s="541"/>
      <c r="Z494" s="541"/>
    </row>
    <row r="495" spans="1:26" ht="18.75">
      <c r="A495" s="572"/>
      <c r="B495" s="584"/>
      <c r="C495" s="584"/>
      <c r="D495" s="584"/>
      <c r="E495" s="584"/>
      <c r="F495" s="592" t="s">
        <v>215</v>
      </c>
      <c r="G495" s="726"/>
      <c r="H495" s="589" t="s">
        <v>46</v>
      </c>
      <c r="I495" s="269">
        <f ca="1">IFERROR(__xludf.DUMMYFUNCTION("IMPORTRANGE(""https://docs.google.com/spreadsheets/d/1QqKyyYR6Q21VydFLVH3TRQUabQu_ym0Zz7PgGX0-kHA/edit?usp=sharing"",""แผน!FY29"")"),540)</f>
        <v>540</v>
      </c>
      <c r="J495" s="214">
        <v>0</v>
      </c>
      <c r="K495" s="465">
        <f ca="1">IF(I495&gt;0,J495*100/I495,0)</f>
        <v>0</v>
      </c>
      <c r="L495" s="465"/>
      <c r="M495" s="465"/>
      <c r="N495" s="465"/>
      <c r="O495" s="465"/>
      <c r="P495" s="465"/>
      <c r="Q495" s="541"/>
      <c r="R495" s="541"/>
      <c r="S495" s="541"/>
      <c r="T495" s="541"/>
      <c r="U495" s="541"/>
      <c r="V495" s="541"/>
      <c r="W495" s="541"/>
      <c r="X495" s="541"/>
      <c r="Y495" s="541"/>
      <c r="Z495" s="541"/>
    </row>
    <row r="496" spans="1:26" ht="18.75">
      <c r="A496" s="572"/>
      <c r="B496" s="584"/>
      <c r="C496" s="584"/>
      <c r="D496" s="584"/>
      <c r="E496" s="584"/>
      <c r="F496" s="592" t="s">
        <v>216</v>
      </c>
      <c r="G496" s="726"/>
      <c r="H496" s="589" t="s">
        <v>46</v>
      </c>
      <c r="I496" s="269"/>
      <c r="J496" s="214">
        <v>0</v>
      </c>
      <c r="K496" s="465"/>
      <c r="L496" s="465"/>
      <c r="M496" s="465"/>
      <c r="N496" s="465"/>
      <c r="O496" s="465"/>
      <c r="P496" s="465"/>
      <c r="Q496" s="541"/>
      <c r="R496" s="541"/>
      <c r="S496" s="541"/>
      <c r="T496" s="541"/>
      <c r="U496" s="541"/>
      <c r="V496" s="541"/>
      <c r="W496" s="541"/>
      <c r="X496" s="541"/>
      <c r="Y496" s="541"/>
      <c r="Z496" s="541"/>
    </row>
    <row r="497" spans="1:26" ht="18.75">
      <c r="A497" s="572"/>
      <c r="B497" s="584"/>
      <c r="C497" s="584"/>
      <c r="D497" s="584"/>
      <c r="E497" s="584" t="s">
        <v>62</v>
      </c>
      <c r="F497" s="592"/>
      <c r="G497" s="726"/>
      <c r="H497" s="189"/>
      <c r="I497" s="269"/>
      <c r="J497" s="269"/>
      <c r="K497" s="465"/>
      <c r="L497" s="465"/>
      <c r="M497" s="465"/>
      <c r="N497" s="465"/>
      <c r="O497" s="465"/>
      <c r="P497" s="465"/>
      <c r="Q497" s="541"/>
      <c r="R497" s="541"/>
      <c r="S497" s="541"/>
      <c r="T497" s="541"/>
      <c r="U497" s="541"/>
      <c r="V497" s="541"/>
      <c r="W497" s="541"/>
      <c r="X497" s="541"/>
      <c r="Y497" s="541"/>
      <c r="Z497" s="541"/>
    </row>
    <row r="498" spans="1:26" ht="18.75">
      <c r="A498" s="572"/>
      <c r="B498" s="584"/>
      <c r="C498" s="584"/>
      <c r="D498" s="584"/>
      <c r="E498" s="592"/>
      <c r="F498" s="592" t="s">
        <v>217</v>
      </c>
      <c r="G498" s="726"/>
      <c r="H498" s="589" t="s">
        <v>46</v>
      </c>
      <c r="I498" s="269">
        <f ca="1">IFERROR(__xludf.DUMMYFUNCTION("IMPORTRANGE(""https://docs.google.com/spreadsheets/d/1QqKyyYR6Q21VydFLVH3TRQUabQu_ym0Zz7PgGX0-kHA/edit?usp=sharing"",""แผน!GA29"")"),60)</f>
        <v>60</v>
      </c>
      <c r="J498" s="214">
        <v>0</v>
      </c>
      <c r="K498" s="465">
        <f ca="1">IF(I498&gt;0,J498*100/I498,0)</f>
        <v>0</v>
      </c>
      <c r="L498" s="465"/>
      <c r="M498" s="465"/>
      <c r="N498" s="465"/>
      <c r="O498" s="465"/>
      <c r="P498" s="465"/>
      <c r="Q498" s="541"/>
      <c r="R498" s="541"/>
      <c r="S498" s="541"/>
      <c r="T498" s="541"/>
      <c r="U498" s="541"/>
      <c r="V498" s="541"/>
      <c r="W498" s="541"/>
      <c r="X498" s="541"/>
      <c r="Y498" s="541"/>
      <c r="Z498" s="541"/>
    </row>
    <row r="499" spans="1:26" ht="18.75">
      <c r="A499" s="572"/>
      <c r="B499" s="584"/>
      <c r="C499" s="584"/>
      <c r="D499" s="584"/>
      <c r="E499" s="592"/>
      <c r="F499" s="592" t="s">
        <v>218</v>
      </c>
      <c r="G499" s="726"/>
      <c r="H499" s="589" t="s">
        <v>46</v>
      </c>
      <c r="I499" s="269"/>
      <c r="J499" s="214">
        <v>0</v>
      </c>
      <c r="K499" s="465"/>
      <c r="L499" s="465"/>
      <c r="M499" s="465"/>
      <c r="N499" s="465"/>
      <c r="O499" s="465"/>
      <c r="P499" s="465"/>
      <c r="Q499" s="541"/>
      <c r="R499" s="541"/>
      <c r="S499" s="541"/>
      <c r="T499" s="541"/>
      <c r="U499" s="541"/>
      <c r="V499" s="541"/>
      <c r="W499" s="541"/>
      <c r="X499" s="541"/>
      <c r="Y499" s="541"/>
      <c r="Z499" s="541"/>
    </row>
    <row r="500" spans="1:26" ht="19.5" hidden="1">
      <c r="A500" s="593">
        <v>4</v>
      </c>
      <c r="B500" s="594" t="s">
        <v>219</v>
      </c>
      <c r="C500" s="595"/>
      <c r="D500" s="596"/>
      <c r="E500" s="596"/>
      <c r="F500" s="596"/>
      <c r="G500" s="597"/>
      <c r="H500" s="598" t="s">
        <v>109</v>
      </c>
      <c r="I500" s="599"/>
      <c r="J500" s="599">
        <f t="shared" ref="J500:J501" si="213">J516</f>
        <v>0</v>
      </c>
      <c r="K500" s="600">
        <f t="shared" ref="K500:K501" si="214">IF(I500&gt;0,J500*100/I500,0)</f>
        <v>0</v>
      </c>
      <c r="L500" s="601"/>
      <c r="M500" s="601"/>
      <c r="N500" s="601"/>
      <c r="O500" s="601"/>
      <c r="P500" s="601"/>
      <c r="Q500" s="568"/>
      <c r="R500" s="568"/>
      <c r="S500" s="568"/>
      <c r="T500" s="568"/>
      <c r="U500" s="568"/>
      <c r="V500" s="568"/>
      <c r="W500" s="568"/>
      <c r="X500" s="568"/>
      <c r="Y500" s="568"/>
      <c r="Z500" s="568"/>
    </row>
    <row r="501" spans="1:26" ht="19.5" hidden="1">
      <c r="A501" s="602"/>
      <c r="B501" s="604" t="s">
        <v>220</v>
      </c>
      <c r="C501" s="604"/>
      <c r="D501" s="605"/>
      <c r="E501" s="605"/>
      <c r="F501" s="605"/>
      <c r="G501" s="606"/>
      <c r="H501" s="607" t="s">
        <v>35</v>
      </c>
      <c r="I501" s="608"/>
      <c r="J501" s="608">
        <f t="shared" si="213"/>
        <v>0</v>
      </c>
      <c r="K501" s="609">
        <f t="shared" si="214"/>
        <v>0</v>
      </c>
      <c r="L501" s="610"/>
      <c r="M501" s="610"/>
      <c r="N501" s="610"/>
      <c r="O501" s="610"/>
      <c r="P501" s="610"/>
      <c r="Q501" s="568"/>
      <c r="R501" s="568"/>
      <c r="S501" s="568"/>
      <c r="T501" s="568"/>
      <c r="U501" s="568"/>
      <c r="V501" s="568"/>
      <c r="W501" s="568"/>
      <c r="X501" s="568"/>
      <c r="Y501" s="568"/>
      <c r="Z501" s="568"/>
    </row>
    <row r="502" spans="1:26" ht="19.5" hidden="1">
      <c r="A502" s="563"/>
      <c r="B502" s="723"/>
      <c r="C502" s="723" t="s">
        <v>16</v>
      </c>
      <c r="D502" s="812" t="s">
        <v>17</v>
      </c>
      <c r="E502" s="805"/>
      <c r="F502" s="805"/>
      <c r="G502" s="567"/>
      <c r="H502" s="612" t="s">
        <v>12</v>
      </c>
      <c r="I502" s="583"/>
      <c r="J502" s="583"/>
      <c r="K502" s="93"/>
      <c r="L502" s="613">
        <f t="shared" ref="L502:N502" si="215">L503+L504</f>
        <v>0</v>
      </c>
      <c r="M502" s="613">
        <f t="shared" si="215"/>
        <v>0</v>
      </c>
      <c r="N502" s="613">
        <f t="shared" si="215"/>
        <v>0</v>
      </c>
      <c r="O502" s="613">
        <f t="shared" ref="O502:O507" si="216">IF(L502&gt;0,N502*100/L502,0)</f>
        <v>0</v>
      </c>
      <c r="P502" s="613">
        <f t="shared" ref="P502:P507" si="217">IF(M502&gt;0,N502*100/M502,0)</f>
        <v>0</v>
      </c>
      <c r="Q502" s="568"/>
      <c r="R502" s="568"/>
      <c r="S502" s="568"/>
      <c r="T502" s="568"/>
      <c r="U502" s="568"/>
      <c r="V502" s="568"/>
      <c r="W502" s="568"/>
      <c r="X502" s="568"/>
      <c r="Y502" s="568"/>
      <c r="Z502" s="568"/>
    </row>
    <row r="503" spans="1:26" ht="18.75" hidden="1">
      <c r="A503" s="563"/>
      <c r="B503" s="723"/>
      <c r="C503" s="723"/>
      <c r="D503" s="684"/>
      <c r="E503" s="723" t="s">
        <v>184</v>
      </c>
      <c r="F503" s="723"/>
      <c r="G503" s="567"/>
      <c r="H503" s="165" t="s">
        <v>12</v>
      </c>
      <c r="I503" s="583"/>
      <c r="J503" s="583"/>
      <c r="K503" s="93"/>
      <c r="L503" s="93">
        <f t="shared" ref="L503:N504" si="218">L506+L513</f>
        <v>0</v>
      </c>
      <c r="M503" s="93">
        <f t="shared" si="218"/>
        <v>0</v>
      </c>
      <c r="N503" s="93">
        <f t="shared" si="218"/>
        <v>0</v>
      </c>
      <c r="O503" s="93">
        <f t="shared" si="216"/>
        <v>0</v>
      </c>
      <c r="P503" s="93">
        <f t="shared" si="217"/>
        <v>0</v>
      </c>
      <c r="Q503" s="568"/>
      <c r="R503" s="568"/>
      <c r="S503" s="568"/>
      <c r="T503" s="568"/>
      <c r="U503" s="568"/>
      <c r="V503" s="568"/>
      <c r="W503" s="568"/>
      <c r="X503" s="568"/>
      <c r="Y503" s="568"/>
      <c r="Z503" s="568"/>
    </row>
    <row r="504" spans="1:26" ht="18.75" hidden="1">
      <c r="A504" s="563"/>
      <c r="B504" s="571"/>
      <c r="C504" s="723"/>
      <c r="D504" s="684"/>
      <c r="E504" s="723" t="s">
        <v>185</v>
      </c>
      <c r="F504" s="723"/>
      <c r="G504" s="567"/>
      <c r="H504" s="165" t="s">
        <v>12</v>
      </c>
      <c r="I504" s="583"/>
      <c r="J504" s="583"/>
      <c r="K504" s="93"/>
      <c r="L504" s="93">
        <f t="shared" si="218"/>
        <v>0</v>
      </c>
      <c r="M504" s="93">
        <f t="shared" si="218"/>
        <v>0</v>
      </c>
      <c r="N504" s="93">
        <f t="shared" si="218"/>
        <v>0</v>
      </c>
      <c r="O504" s="93">
        <f t="shared" si="216"/>
        <v>0</v>
      </c>
      <c r="P504" s="93">
        <f t="shared" si="217"/>
        <v>0</v>
      </c>
      <c r="Q504" s="568"/>
      <c r="R504" s="568"/>
      <c r="S504" s="568"/>
      <c r="T504" s="568"/>
      <c r="U504" s="568"/>
      <c r="V504" s="568"/>
      <c r="W504" s="568"/>
      <c r="X504" s="568"/>
      <c r="Y504" s="568"/>
      <c r="Z504" s="568"/>
    </row>
    <row r="505" spans="1:26" ht="18.75" hidden="1">
      <c r="A505" s="563"/>
      <c r="B505" s="571"/>
      <c r="C505" s="723"/>
      <c r="D505" s="614" t="s">
        <v>20</v>
      </c>
      <c r="E505" s="723"/>
      <c r="F505" s="723"/>
      <c r="G505" s="567"/>
      <c r="H505" s="165" t="s">
        <v>12</v>
      </c>
      <c r="I505" s="166"/>
      <c r="J505" s="166"/>
      <c r="K505" s="167"/>
      <c r="L505" s="93">
        <f t="shared" ref="L505:N505" si="219">L506+L507</f>
        <v>0</v>
      </c>
      <c r="M505" s="93">
        <f t="shared" si="219"/>
        <v>0</v>
      </c>
      <c r="N505" s="93">
        <f t="shared" si="219"/>
        <v>0</v>
      </c>
      <c r="O505" s="93">
        <f t="shared" si="216"/>
        <v>0</v>
      </c>
      <c r="P505" s="93">
        <f t="shared" si="217"/>
        <v>0</v>
      </c>
      <c r="Q505" s="568"/>
      <c r="R505" s="568"/>
      <c r="S505" s="568"/>
      <c r="T505" s="568"/>
      <c r="U505" s="568"/>
      <c r="V505" s="568"/>
      <c r="W505" s="568"/>
      <c r="X505" s="568"/>
      <c r="Y505" s="568"/>
      <c r="Z505" s="568"/>
    </row>
    <row r="506" spans="1:26" ht="18.75" hidden="1">
      <c r="A506" s="563"/>
      <c r="B506" s="571"/>
      <c r="C506" s="723"/>
      <c r="D506" s="684"/>
      <c r="E506" s="723" t="s">
        <v>184</v>
      </c>
      <c r="F506" s="723"/>
      <c r="G506" s="567"/>
      <c r="H506" s="165" t="s">
        <v>12</v>
      </c>
      <c r="I506" s="583"/>
      <c r="J506" s="583"/>
      <c r="K506" s="93"/>
      <c r="L506" s="93">
        <v>0</v>
      </c>
      <c r="M506" s="93">
        <v>0</v>
      </c>
      <c r="N506" s="93">
        <v>0</v>
      </c>
      <c r="O506" s="93">
        <f t="shared" si="216"/>
        <v>0</v>
      </c>
      <c r="P506" s="93">
        <f t="shared" si="217"/>
        <v>0</v>
      </c>
      <c r="Q506" s="568"/>
      <c r="R506" s="568"/>
      <c r="S506" s="568"/>
      <c r="T506" s="568"/>
      <c r="U506" s="568"/>
      <c r="V506" s="568"/>
      <c r="W506" s="568"/>
      <c r="X506" s="568"/>
      <c r="Y506" s="568"/>
      <c r="Z506" s="568"/>
    </row>
    <row r="507" spans="1:26" ht="18.75" hidden="1">
      <c r="A507" s="563"/>
      <c r="B507" s="571"/>
      <c r="C507" s="723"/>
      <c r="D507" s="684"/>
      <c r="E507" s="723" t="s">
        <v>185</v>
      </c>
      <c r="F507" s="723"/>
      <c r="G507" s="567"/>
      <c r="H507" s="165" t="s">
        <v>12</v>
      </c>
      <c r="I507" s="583"/>
      <c r="J507" s="583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6"/>
        <v>0</v>
      </c>
      <c r="P507" s="93">
        <f t="shared" si="217"/>
        <v>0</v>
      </c>
      <c r="Q507" s="568"/>
      <c r="R507" s="568"/>
      <c r="S507" s="568"/>
      <c r="T507" s="568"/>
      <c r="U507" s="568"/>
      <c r="V507" s="568"/>
      <c r="W507" s="568"/>
      <c r="X507" s="568"/>
      <c r="Y507" s="568"/>
      <c r="Z507" s="568"/>
    </row>
    <row r="508" spans="1:26" ht="18.75" hidden="1">
      <c r="A508" s="615"/>
      <c r="B508" s="571"/>
      <c r="C508" s="723"/>
      <c r="D508" s="723"/>
      <c r="E508" s="723"/>
      <c r="F508" s="723" t="s">
        <v>186</v>
      </c>
      <c r="G508" s="567"/>
      <c r="H508" s="165" t="s">
        <v>12</v>
      </c>
      <c r="I508" s="583"/>
      <c r="J508" s="583"/>
      <c r="K508" s="93"/>
      <c r="L508" s="93"/>
      <c r="M508" s="93"/>
      <c r="N508" s="93">
        <v>0</v>
      </c>
      <c r="O508" s="93"/>
      <c r="P508" s="93"/>
      <c r="Q508" s="568"/>
      <c r="R508" s="568"/>
      <c r="S508" s="568"/>
      <c r="T508" s="568"/>
      <c r="U508" s="568"/>
      <c r="V508" s="568"/>
      <c r="W508" s="568"/>
      <c r="X508" s="568"/>
      <c r="Y508" s="568"/>
      <c r="Z508" s="568"/>
    </row>
    <row r="509" spans="1:26" ht="18.75" hidden="1">
      <c r="A509" s="615"/>
      <c r="B509" s="571"/>
      <c r="C509" s="723"/>
      <c r="D509" s="723"/>
      <c r="E509" s="723"/>
      <c r="F509" s="723" t="s">
        <v>187</v>
      </c>
      <c r="G509" s="567"/>
      <c r="H509" s="165" t="s">
        <v>12</v>
      </c>
      <c r="I509" s="583"/>
      <c r="J509" s="583"/>
      <c r="K509" s="93"/>
      <c r="L509" s="93"/>
      <c r="M509" s="93"/>
      <c r="N509" s="93">
        <v>0</v>
      </c>
      <c r="O509" s="93"/>
      <c r="P509" s="93"/>
      <c r="Q509" s="568"/>
      <c r="R509" s="568"/>
      <c r="S509" s="568"/>
      <c r="T509" s="568"/>
      <c r="U509" s="568"/>
      <c r="V509" s="568"/>
      <c r="W509" s="568"/>
      <c r="X509" s="568"/>
      <c r="Y509" s="568"/>
      <c r="Z509" s="568"/>
    </row>
    <row r="510" spans="1:26" ht="18.75" hidden="1">
      <c r="A510" s="615"/>
      <c r="B510" s="571"/>
      <c r="C510" s="571"/>
      <c r="D510" s="571"/>
      <c r="E510" s="723"/>
      <c r="F510" s="723" t="s">
        <v>188</v>
      </c>
      <c r="G510" s="567"/>
      <c r="H510" s="165" t="s">
        <v>12</v>
      </c>
      <c r="I510" s="583"/>
      <c r="J510" s="583"/>
      <c r="K510" s="93"/>
      <c r="L510" s="93"/>
      <c r="M510" s="93"/>
      <c r="N510" s="93">
        <v>0</v>
      </c>
      <c r="O510" s="93"/>
      <c r="P510" s="93"/>
      <c r="Q510" s="568"/>
      <c r="R510" s="568"/>
      <c r="S510" s="568"/>
      <c r="T510" s="568"/>
      <c r="U510" s="568"/>
      <c r="V510" s="568"/>
      <c r="W510" s="568"/>
      <c r="X510" s="568"/>
      <c r="Y510" s="568"/>
      <c r="Z510" s="568"/>
    </row>
    <row r="511" spans="1:26" ht="18.75" hidden="1">
      <c r="A511" s="615"/>
      <c r="B511" s="571"/>
      <c r="C511" s="571"/>
      <c r="D511" s="571"/>
      <c r="E511" s="723"/>
      <c r="F511" s="723" t="s">
        <v>189</v>
      </c>
      <c r="G511" s="567"/>
      <c r="H511" s="165" t="s">
        <v>12</v>
      </c>
      <c r="I511" s="583"/>
      <c r="J511" s="583"/>
      <c r="K511" s="93"/>
      <c r="L511" s="93"/>
      <c r="M511" s="93"/>
      <c r="N511" s="93">
        <v>0</v>
      </c>
      <c r="O511" s="93"/>
      <c r="P511" s="93"/>
      <c r="Q511" s="568"/>
      <c r="R511" s="568"/>
      <c r="S511" s="568"/>
      <c r="T511" s="568"/>
      <c r="U511" s="568"/>
      <c r="V511" s="568"/>
      <c r="W511" s="568"/>
      <c r="X511" s="568"/>
      <c r="Y511" s="568"/>
      <c r="Z511" s="568"/>
    </row>
    <row r="512" spans="1:26" ht="18.75" hidden="1">
      <c r="A512" s="563"/>
      <c r="B512" s="571"/>
      <c r="C512" s="571"/>
      <c r="D512" s="614" t="s">
        <v>21</v>
      </c>
      <c r="E512" s="571"/>
      <c r="F512" s="723"/>
      <c r="G512" s="567"/>
      <c r="H512" s="169" t="s">
        <v>12</v>
      </c>
      <c r="I512" s="166"/>
      <c r="J512" s="166"/>
      <c r="K512" s="167"/>
      <c r="L512" s="93">
        <f t="shared" ref="L512:N512" si="220">L513+L514</f>
        <v>0</v>
      </c>
      <c r="M512" s="93">
        <f t="shared" si="220"/>
        <v>0</v>
      </c>
      <c r="N512" s="93">
        <f t="shared" si="220"/>
        <v>0</v>
      </c>
      <c r="O512" s="93">
        <f t="shared" ref="O512:O514" si="221">IF(L512&gt;0,N512*100/L512,0)</f>
        <v>0</v>
      </c>
      <c r="P512" s="93">
        <f t="shared" ref="P512:P514" si="222">IF(M512&gt;0,N512*100/M512,0)</f>
        <v>0</v>
      </c>
      <c r="Q512" s="568"/>
      <c r="R512" s="568"/>
      <c r="S512" s="568"/>
      <c r="T512" s="568"/>
      <c r="U512" s="568"/>
      <c r="V512" s="568"/>
      <c r="W512" s="568"/>
      <c r="X512" s="568"/>
      <c r="Y512" s="568"/>
      <c r="Z512" s="568"/>
    </row>
    <row r="513" spans="1:26" ht="18.75" hidden="1">
      <c r="A513" s="563"/>
      <c r="B513" s="571"/>
      <c r="C513" s="571"/>
      <c r="D513" s="571"/>
      <c r="E513" s="571" t="s">
        <v>18</v>
      </c>
      <c r="F513" s="723"/>
      <c r="G513" s="567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1"/>
        <v>0</v>
      </c>
      <c r="P513" s="93">
        <f t="shared" si="222"/>
        <v>0</v>
      </c>
      <c r="Q513" s="568"/>
      <c r="R513" s="568"/>
      <c r="S513" s="568"/>
      <c r="T513" s="568"/>
      <c r="U513" s="568"/>
      <c r="V513" s="568"/>
      <c r="W513" s="568"/>
      <c r="X513" s="568"/>
      <c r="Y513" s="568"/>
      <c r="Z513" s="568"/>
    </row>
    <row r="514" spans="1:26" ht="18.75" hidden="1">
      <c r="A514" s="563"/>
      <c r="B514" s="571"/>
      <c r="C514" s="571"/>
      <c r="D514" s="723"/>
      <c r="E514" s="571" t="s">
        <v>19</v>
      </c>
      <c r="F514" s="723"/>
      <c r="G514" s="567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1"/>
        <v>0</v>
      </c>
      <c r="P514" s="93">
        <f t="shared" si="222"/>
        <v>0</v>
      </c>
      <c r="Q514" s="568"/>
      <c r="R514" s="568"/>
      <c r="S514" s="568"/>
      <c r="T514" s="568"/>
      <c r="U514" s="568"/>
      <c r="V514" s="568"/>
      <c r="W514" s="568"/>
      <c r="X514" s="568"/>
      <c r="Y514" s="568"/>
      <c r="Z514" s="568"/>
    </row>
    <row r="515" spans="1:26" ht="19.5" hidden="1">
      <c r="A515" s="578"/>
      <c r="B515" s="580"/>
      <c r="C515" s="571" t="s">
        <v>16</v>
      </c>
      <c r="D515" s="852" t="s">
        <v>38</v>
      </c>
      <c r="E515" s="617"/>
      <c r="F515" s="617"/>
      <c r="G515" s="618"/>
      <c r="H515" s="581"/>
      <c r="I515" s="166"/>
      <c r="J515" s="166"/>
      <c r="K515" s="167"/>
      <c r="L515" s="167"/>
      <c r="M515" s="167"/>
      <c r="N515" s="167"/>
      <c r="O515" s="167"/>
      <c r="P515" s="167"/>
      <c r="Q515" s="568"/>
      <c r="R515" s="568"/>
      <c r="S515" s="568"/>
      <c r="T515" s="568"/>
      <c r="U515" s="568"/>
      <c r="V515" s="568"/>
      <c r="W515" s="568"/>
      <c r="X515" s="568"/>
      <c r="Y515" s="568"/>
      <c r="Z515" s="568"/>
    </row>
    <row r="516" spans="1:26" ht="18.75" hidden="1">
      <c r="A516" s="578"/>
      <c r="B516" s="580"/>
      <c r="C516" s="580"/>
      <c r="D516" s="580" t="s">
        <v>221</v>
      </c>
      <c r="E516" s="684"/>
      <c r="F516" s="684"/>
      <c r="G516" s="581"/>
      <c r="H516" s="619" t="s">
        <v>109</v>
      </c>
      <c r="I516" s="583"/>
      <c r="J516" s="583">
        <v>0</v>
      </c>
      <c r="K516" s="167">
        <f t="shared" ref="K516:K517" si="223">IF(I516&gt;0,J516*100/I516,0)</f>
        <v>0</v>
      </c>
      <c r="L516" s="167"/>
      <c r="M516" s="167"/>
      <c r="N516" s="167"/>
      <c r="O516" s="167"/>
      <c r="P516" s="167"/>
      <c r="Q516" s="568"/>
      <c r="R516" s="568"/>
      <c r="S516" s="568"/>
      <c r="T516" s="568"/>
      <c r="U516" s="568"/>
      <c r="V516" s="568"/>
      <c r="W516" s="568"/>
      <c r="X516" s="568"/>
      <c r="Y516" s="568"/>
      <c r="Z516" s="568"/>
    </row>
    <row r="517" spans="1:26" ht="19.5" hidden="1">
      <c r="A517" s="578"/>
      <c r="B517" s="580"/>
      <c r="C517" s="580"/>
      <c r="D517" s="580" t="s">
        <v>222</v>
      </c>
      <c r="E517" s="684"/>
      <c r="F517" s="684"/>
      <c r="G517" s="581"/>
      <c r="H517" s="620" t="s">
        <v>35</v>
      </c>
      <c r="I517" s="621"/>
      <c r="J517" s="621">
        <f>J518+J519</f>
        <v>0</v>
      </c>
      <c r="K517" s="622">
        <f t="shared" si="223"/>
        <v>0</v>
      </c>
      <c r="L517" s="167"/>
      <c r="M517" s="167"/>
      <c r="N517" s="167"/>
      <c r="O517" s="167"/>
      <c r="P517" s="167"/>
      <c r="Q517" s="568"/>
      <c r="R517" s="568"/>
      <c r="S517" s="568"/>
      <c r="T517" s="568"/>
      <c r="U517" s="568"/>
      <c r="V517" s="568"/>
      <c r="W517" s="568"/>
      <c r="X517" s="568"/>
      <c r="Y517" s="568"/>
      <c r="Z517" s="568"/>
    </row>
    <row r="518" spans="1:26" ht="18.75" hidden="1">
      <c r="A518" s="578"/>
      <c r="B518" s="580"/>
      <c r="C518" s="580"/>
      <c r="D518" s="580"/>
      <c r="E518" s="580" t="s">
        <v>223</v>
      </c>
      <c r="F518" s="684"/>
      <c r="G518" s="581"/>
      <c r="H518" s="582" t="s">
        <v>35</v>
      </c>
      <c r="I518" s="583"/>
      <c r="J518" s="583"/>
      <c r="K518" s="167"/>
      <c r="L518" s="167"/>
      <c r="M518" s="167"/>
      <c r="N518" s="167"/>
      <c r="O518" s="167"/>
      <c r="P518" s="167"/>
      <c r="Q518" s="568"/>
      <c r="R518" s="568"/>
      <c r="S518" s="568"/>
      <c r="T518" s="568"/>
      <c r="U518" s="568"/>
      <c r="V518" s="568"/>
      <c r="W518" s="568"/>
      <c r="X518" s="568"/>
      <c r="Y518" s="568"/>
      <c r="Z518" s="568"/>
    </row>
    <row r="519" spans="1:26" ht="18.75" hidden="1">
      <c r="A519" s="578"/>
      <c r="B519" s="580"/>
      <c r="C519" s="580"/>
      <c r="D519" s="580"/>
      <c r="E519" s="580" t="s">
        <v>224</v>
      </c>
      <c r="F519" s="684"/>
      <c r="G519" s="581"/>
      <c r="H519" s="619" t="s">
        <v>35</v>
      </c>
      <c r="I519" s="583"/>
      <c r="J519" s="583"/>
      <c r="K519" s="167"/>
      <c r="L519" s="167"/>
      <c r="M519" s="167"/>
      <c r="N519" s="167"/>
      <c r="O519" s="167"/>
      <c r="P519" s="167"/>
      <c r="Q519" s="568"/>
      <c r="R519" s="568"/>
      <c r="S519" s="568"/>
      <c r="T519" s="568"/>
      <c r="U519" s="568"/>
      <c r="V519" s="568"/>
      <c r="W519" s="568"/>
      <c r="X519" s="568"/>
      <c r="Y519" s="568"/>
      <c r="Z519" s="568"/>
    </row>
    <row r="520" spans="1:26" ht="19.5">
      <c r="A520" s="623" t="s">
        <v>137</v>
      </c>
      <c r="B520" s="624"/>
      <c r="C520" s="624"/>
      <c r="D520" s="625"/>
      <c r="E520" s="625"/>
      <c r="F520" s="625"/>
      <c r="G520" s="626"/>
      <c r="H520" s="627"/>
      <c r="I520" s="628"/>
      <c r="J520" s="628"/>
      <c r="K520" s="629"/>
      <c r="L520" s="629"/>
      <c r="M520" s="629"/>
      <c r="N520" s="629"/>
      <c r="O520" s="629"/>
      <c r="P520" s="629"/>
    </row>
    <row r="521" spans="1:26" ht="19.5" hidden="1">
      <c r="A521" s="630">
        <v>5</v>
      </c>
      <c r="B521" s="631" t="s">
        <v>225</v>
      </c>
      <c r="C521" s="632"/>
      <c r="D521" s="633"/>
      <c r="E521" s="633"/>
      <c r="F521" s="633"/>
      <c r="G521" s="633"/>
      <c r="H521" s="634"/>
      <c r="I521" s="635"/>
      <c r="J521" s="635"/>
      <c r="K521" s="636"/>
      <c r="L521" s="636"/>
      <c r="M521" s="636"/>
      <c r="N521" s="636"/>
      <c r="O521" s="636"/>
      <c r="P521" s="636"/>
      <c r="Q521" s="541"/>
      <c r="R521" s="541"/>
      <c r="S521" s="541"/>
      <c r="T521" s="541"/>
      <c r="U521" s="541"/>
      <c r="V521" s="541"/>
      <c r="W521" s="541"/>
      <c r="X521" s="541"/>
      <c r="Y521" s="541"/>
      <c r="Z521" s="541"/>
    </row>
    <row r="522" spans="1:26" ht="19.5" hidden="1">
      <c r="A522" s="637"/>
      <c r="B522" s="638" t="s">
        <v>226</v>
      </c>
      <c r="C522" s="639"/>
      <c r="D522" s="639"/>
      <c r="E522" s="639"/>
      <c r="F522" s="639"/>
      <c r="G522" s="640"/>
      <c r="H522" s="641" t="s">
        <v>35</v>
      </c>
      <c r="I522" s="672">
        <f t="shared" ref="I522:J522" ca="1" si="224">I537</f>
        <v>0</v>
      </c>
      <c r="J522" s="672">
        <f t="shared" ca="1" si="224"/>
        <v>0</v>
      </c>
      <c r="K522" s="643">
        <f ca="1">IF(I522&gt;0,J522*100/I522,0)</f>
        <v>0</v>
      </c>
      <c r="L522" s="644"/>
      <c r="M522" s="644"/>
      <c r="N522" s="644"/>
      <c r="O522" s="644"/>
      <c r="P522" s="644"/>
      <c r="Q522" s="541"/>
      <c r="R522" s="541"/>
      <c r="S522" s="541"/>
      <c r="T522" s="541"/>
      <c r="U522" s="541"/>
      <c r="V522" s="541"/>
      <c r="W522" s="541"/>
      <c r="X522" s="541"/>
      <c r="Y522" s="541"/>
      <c r="Z522" s="541"/>
    </row>
    <row r="523" spans="1:26" ht="19.5" hidden="1">
      <c r="A523" s="561"/>
      <c r="B523" s="727"/>
      <c r="C523" s="727" t="s">
        <v>16</v>
      </c>
      <c r="D523" s="811" t="s">
        <v>17</v>
      </c>
      <c r="E523" s="805"/>
      <c r="F523" s="805"/>
      <c r="G523" s="189"/>
      <c r="H523" s="562" t="s">
        <v>12</v>
      </c>
      <c r="I523" s="269"/>
      <c r="J523" s="269"/>
      <c r="K523" s="465"/>
      <c r="L523" s="195">
        <f t="shared" ref="L523:N523" ca="1" si="225">L524+L525</f>
        <v>0</v>
      </c>
      <c r="M523" s="195">
        <f t="shared" si="225"/>
        <v>0</v>
      </c>
      <c r="N523" s="195">
        <f t="shared" si="225"/>
        <v>0</v>
      </c>
      <c r="O523" s="195">
        <f t="shared" ref="O523:O528" ca="1" si="226">IF(L523&gt;0,N523*100/L523,0)</f>
        <v>0</v>
      </c>
      <c r="P523" s="195">
        <f t="shared" ref="P523:P528" si="227">IF(M523&gt;0,N523*100/M523,0)</f>
        <v>0</v>
      </c>
      <c r="Q523" s="541"/>
      <c r="R523" s="541"/>
      <c r="S523" s="541"/>
      <c r="T523" s="541"/>
      <c r="U523" s="541"/>
      <c r="V523" s="541"/>
      <c r="W523" s="541"/>
      <c r="X523" s="541"/>
      <c r="Y523" s="541"/>
      <c r="Z523" s="541"/>
    </row>
    <row r="524" spans="1:26" ht="18.75" hidden="1">
      <c r="A524" s="563"/>
      <c r="B524" s="723"/>
      <c r="C524" s="723"/>
      <c r="D524" s="684"/>
      <c r="E524" s="723" t="s">
        <v>184</v>
      </c>
      <c r="F524" s="723"/>
      <c r="G524" s="567"/>
      <c r="H524" s="165" t="s">
        <v>12</v>
      </c>
      <c r="I524" s="583"/>
      <c r="J524" s="583"/>
      <c r="K524" s="93"/>
      <c r="L524" s="93">
        <f t="shared" ref="L524:N525" si="228">L527+L534</f>
        <v>0</v>
      </c>
      <c r="M524" s="93">
        <f t="shared" si="228"/>
        <v>0</v>
      </c>
      <c r="N524" s="93">
        <f t="shared" si="228"/>
        <v>0</v>
      </c>
      <c r="O524" s="93">
        <f t="shared" si="226"/>
        <v>0</v>
      </c>
      <c r="P524" s="93">
        <f t="shared" si="227"/>
        <v>0</v>
      </c>
      <c r="Q524" s="568"/>
      <c r="R524" s="568"/>
      <c r="S524" s="568"/>
      <c r="T524" s="568"/>
      <c r="U524" s="568"/>
      <c r="V524" s="568"/>
      <c r="W524" s="568"/>
      <c r="X524" s="568"/>
      <c r="Y524" s="568"/>
      <c r="Z524" s="568"/>
    </row>
    <row r="525" spans="1:26" ht="18.75" hidden="1">
      <c r="A525" s="563"/>
      <c r="B525" s="571"/>
      <c r="C525" s="723"/>
      <c r="D525" s="684"/>
      <c r="E525" s="723" t="s">
        <v>185</v>
      </c>
      <c r="F525" s="723"/>
      <c r="G525" s="567"/>
      <c r="H525" s="165" t="s">
        <v>12</v>
      </c>
      <c r="I525" s="583"/>
      <c r="J525" s="583"/>
      <c r="K525" s="93"/>
      <c r="L525" s="93">
        <f t="shared" ca="1" si="228"/>
        <v>0</v>
      </c>
      <c r="M525" s="93">
        <f t="shared" si="228"/>
        <v>0</v>
      </c>
      <c r="N525" s="93">
        <f t="shared" si="228"/>
        <v>0</v>
      </c>
      <c r="O525" s="93">
        <f t="shared" ca="1" si="226"/>
        <v>0</v>
      </c>
      <c r="P525" s="93">
        <f t="shared" si="227"/>
        <v>0</v>
      </c>
      <c r="Q525" s="568"/>
      <c r="R525" s="568"/>
      <c r="S525" s="568"/>
      <c r="T525" s="568"/>
      <c r="U525" s="568"/>
      <c r="V525" s="568"/>
      <c r="W525" s="568"/>
      <c r="X525" s="568"/>
      <c r="Y525" s="568"/>
      <c r="Z525" s="568"/>
    </row>
    <row r="526" spans="1:26" ht="18.75" hidden="1">
      <c r="A526" s="561"/>
      <c r="B526" s="538"/>
      <c r="C526" s="727"/>
      <c r="D526" s="570" t="s">
        <v>20</v>
      </c>
      <c r="E526" s="727"/>
      <c r="F526" s="727"/>
      <c r="G526" s="189"/>
      <c r="H526" s="161" t="s">
        <v>12</v>
      </c>
      <c r="I526" s="184"/>
      <c r="J526" s="184"/>
      <c r="K526" s="163"/>
      <c r="L526" s="465">
        <f t="shared" ref="L526:N526" ca="1" si="229">L527+L528</f>
        <v>0</v>
      </c>
      <c r="M526" s="465">
        <f t="shared" si="229"/>
        <v>0</v>
      </c>
      <c r="N526" s="465">
        <f t="shared" si="229"/>
        <v>0</v>
      </c>
      <c r="O526" s="465">
        <f t="shared" ca="1" si="226"/>
        <v>0</v>
      </c>
      <c r="P526" s="465">
        <f t="shared" si="227"/>
        <v>0</v>
      </c>
      <c r="Q526" s="541"/>
      <c r="R526" s="541"/>
      <c r="S526" s="541"/>
      <c r="T526" s="541"/>
      <c r="U526" s="541"/>
      <c r="V526" s="541"/>
      <c r="W526" s="541"/>
      <c r="X526" s="541"/>
      <c r="Y526" s="541"/>
      <c r="Z526" s="541"/>
    </row>
    <row r="527" spans="1:26" ht="18.75" hidden="1">
      <c r="A527" s="563"/>
      <c r="B527" s="571"/>
      <c r="C527" s="723"/>
      <c r="D527" s="684"/>
      <c r="E527" s="723" t="s">
        <v>184</v>
      </c>
      <c r="F527" s="723"/>
      <c r="G527" s="567"/>
      <c r="H527" s="165" t="s">
        <v>12</v>
      </c>
      <c r="I527" s="583"/>
      <c r="J527" s="583"/>
      <c r="K527" s="93"/>
      <c r="L527" s="93">
        <v>0</v>
      </c>
      <c r="M527" s="93">
        <v>0</v>
      </c>
      <c r="N527" s="93">
        <v>0</v>
      </c>
      <c r="O527" s="93">
        <f t="shared" si="226"/>
        <v>0</v>
      </c>
      <c r="P527" s="93">
        <f t="shared" si="227"/>
        <v>0</v>
      </c>
      <c r="Q527" s="568"/>
      <c r="R527" s="568"/>
      <c r="S527" s="568"/>
      <c r="T527" s="568"/>
      <c r="U527" s="568"/>
      <c r="V527" s="568"/>
      <c r="W527" s="568"/>
      <c r="X527" s="568"/>
      <c r="Y527" s="568"/>
      <c r="Z527" s="568"/>
    </row>
    <row r="528" spans="1:26" ht="18.75" hidden="1">
      <c r="A528" s="563"/>
      <c r="B528" s="571"/>
      <c r="C528" s="723"/>
      <c r="D528" s="684"/>
      <c r="E528" s="723" t="s">
        <v>185</v>
      </c>
      <c r="F528" s="723"/>
      <c r="G528" s="567"/>
      <c r="H528" s="165" t="s">
        <v>12</v>
      </c>
      <c r="I528" s="583"/>
      <c r="J528" s="583"/>
      <c r="K528" s="93"/>
      <c r="L528" s="93">
        <f ca="1">IFERROR(__xludf.DUMMYFUNCTION("IMPORTRANGE(""https://docs.google.com/spreadsheets/d/1QqKyyYR6Q21VydFLVH3TRQUabQu_ym0Zz7PgGX0-kHA/edit?usp=sharing"",""แผน!GQ29"")"),0)</f>
        <v>0</v>
      </c>
      <c r="M528" s="93">
        <v>0</v>
      </c>
      <c r="N528" s="93">
        <f>N529+N530+N531+N532</f>
        <v>0</v>
      </c>
      <c r="O528" s="93">
        <f t="shared" ca="1" si="226"/>
        <v>0</v>
      </c>
      <c r="P528" s="93">
        <f t="shared" si="227"/>
        <v>0</v>
      </c>
      <c r="Q528" s="568"/>
      <c r="R528" s="568"/>
      <c r="S528" s="568"/>
      <c r="T528" s="568"/>
      <c r="U528" s="568"/>
      <c r="V528" s="568"/>
      <c r="W528" s="568"/>
      <c r="X528" s="568"/>
      <c r="Y528" s="568"/>
      <c r="Z528" s="568"/>
    </row>
    <row r="529" spans="1:26" ht="18.75" hidden="1">
      <c r="A529" s="537"/>
      <c r="B529" s="538"/>
      <c r="C529" s="727"/>
      <c r="D529" s="727"/>
      <c r="E529" s="727"/>
      <c r="F529" s="727" t="s">
        <v>186</v>
      </c>
      <c r="G529" s="189"/>
      <c r="H529" s="161" t="s">
        <v>12</v>
      </c>
      <c r="I529" s="269"/>
      <c r="J529" s="269"/>
      <c r="K529" s="465"/>
      <c r="L529" s="465"/>
      <c r="M529" s="465"/>
      <c r="N529" s="789">
        <v>0</v>
      </c>
      <c r="O529" s="465"/>
      <c r="P529" s="465"/>
      <c r="Q529" s="541"/>
      <c r="R529" s="541"/>
      <c r="S529" s="541"/>
      <c r="T529" s="541"/>
      <c r="U529" s="541"/>
      <c r="V529" s="541"/>
      <c r="W529" s="541"/>
      <c r="X529" s="541"/>
      <c r="Y529" s="541"/>
      <c r="Z529" s="541"/>
    </row>
    <row r="530" spans="1:26" ht="18.75" hidden="1">
      <c r="A530" s="537"/>
      <c r="B530" s="538"/>
      <c r="C530" s="727"/>
      <c r="D530" s="727"/>
      <c r="E530" s="727"/>
      <c r="F530" s="727" t="s">
        <v>187</v>
      </c>
      <c r="G530" s="189"/>
      <c r="H530" s="161" t="s">
        <v>12</v>
      </c>
      <c r="I530" s="269"/>
      <c r="J530" s="269"/>
      <c r="K530" s="465"/>
      <c r="L530" s="465"/>
      <c r="M530" s="465"/>
      <c r="N530" s="789">
        <v>0</v>
      </c>
      <c r="O530" s="465"/>
      <c r="P530" s="465"/>
      <c r="Q530" s="541"/>
      <c r="R530" s="541"/>
      <c r="S530" s="541"/>
      <c r="T530" s="541"/>
      <c r="U530" s="541"/>
      <c r="V530" s="541"/>
      <c r="W530" s="541"/>
      <c r="X530" s="541"/>
      <c r="Y530" s="541"/>
      <c r="Z530" s="541"/>
    </row>
    <row r="531" spans="1:26" ht="18.75" hidden="1">
      <c r="A531" s="537"/>
      <c r="B531" s="538"/>
      <c r="C531" s="727"/>
      <c r="D531" s="727"/>
      <c r="E531" s="727"/>
      <c r="F531" s="727" t="s">
        <v>188</v>
      </c>
      <c r="G531" s="189"/>
      <c r="H531" s="161" t="s">
        <v>12</v>
      </c>
      <c r="I531" s="269"/>
      <c r="J531" s="269"/>
      <c r="K531" s="465"/>
      <c r="L531" s="465"/>
      <c r="M531" s="465"/>
      <c r="N531" s="789">
        <v>0</v>
      </c>
      <c r="O531" s="465"/>
      <c r="P531" s="465"/>
      <c r="Q531" s="541"/>
      <c r="R531" s="541"/>
      <c r="S531" s="541"/>
      <c r="T531" s="541"/>
      <c r="U531" s="541"/>
      <c r="V531" s="541"/>
      <c r="W531" s="541"/>
      <c r="X531" s="541"/>
      <c r="Y531" s="541"/>
      <c r="Z531" s="541"/>
    </row>
    <row r="532" spans="1:26" ht="18.75" hidden="1">
      <c r="A532" s="537"/>
      <c r="B532" s="538"/>
      <c r="C532" s="727"/>
      <c r="D532" s="727"/>
      <c r="E532" s="727"/>
      <c r="F532" s="727" t="s">
        <v>189</v>
      </c>
      <c r="G532" s="189"/>
      <c r="H532" s="161" t="s">
        <v>12</v>
      </c>
      <c r="I532" s="269"/>
      <c r="J532" s="269"/>
      <c r="K532" s="465"/>
      <c r="L532" s="465"/>
      <c r="M532" s="465"/>
      <c r="N532" s="789">
        <v>0</v>
      </c>
      <c r="O532" s="465"/>
      <c r="P532" s="465"/>
      <c r="Q532" s="541"/>
      <c r="R532" s="541"/>
      <c r="S532" s="541"/>
      <c r="T532" s="541"/>
      <c r="U532" s="541"/>
      <c r="V532" s="541"/>
      <c r="W532" s="541"/>
      <c r="X532" s="541"/>
      <c r="Y532" s="541"/>
      <c r="Z532" s="541"/>
    </row>
    <row r="533" spans="1:26" ht="18.75" hidden="1">
      <c r="A533" s="561"/>
      <c r="B533" s="538"/>
      <c r="C533" s="727"/>
      <c r="D533" s="570" t="s">
        <v>21</v>
      </c>
      <c r="E533" s="727"/>
      <c r="F533" s="727"/>
      <c r="G533" s="189"/>
      <c r="H533" s="168" t="s">
        <v>12</v>
      </c>
      <c r="I533" s="184"/>
      <c r="J533" s="184"/>
      <c r="K533" s="163"/>
      <c r="L533" s="465">
        <f t="shared" ref="L533:N533" ca="1" si="230">L534+L535</f>
        <v>0</v>
      </c>
      <c r="M533" s="465">
        <f t="shared" si="230"/>
        <v>0</v>
      </c>
      <c r="N533" s="465">
        <f t="shared" si="230"/>
        <v>0</v>
      </c>
      <c r="O533" s="465">
        <f t="shared" ref="O533:O535" ca="1" si="231">IF(L533&gt;0,N533*100/L533,0)</f>
        <v>0</v>
      </c>
      <c r="P533" s="465">
        <f t="shared" ref="P533:P535" si="232">IF(M533&gt;0,N533*100/M533,0)</f>
        <v>0</v>
      </c>
      <c r="Q533" s="541"/>
      <c r="R533" s="541"/>
      <c r="S533" s="541"/>
      <c r="T533" s="541"/>
      <c r="U533" s="541"/>
      <c r="V533" s="541"/>
      <c r="W533" s="541"/>
      <c r="X533" s="541"/>
      <c r="Y533" s="541"/>
      <c r="Z533" s="541"/>
    </row>
    <row r="534" spans="1:26" ht="18.75" hidden="1">
      <c r="A534" s="563"/>
      <c r="B534" s="571"/>
      <c r="C534" s="723"/>
      <c r="D534" s="723"/>
      <c r="E534" s="723" t="s">
        <v>18</v>
      </c>
      <c r="F534" s="723"/>
      <c r="G534" s="567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1"/>
        <v>0</v>
      </c>
      <c r="P534" s="93">
        <f t="shared" si="232"/>
        <v>0</v>
      </c>
      <c r="Q534" s="568"/>
      <c r="R534" s="568"/>
      <c r="S534" s="568"/>
      <c r="T534" s="568"/>
      <c r="U534" s="568"/>
      <c r="V534" s="568"/>
      <c r="W534" s="568"/>
      <c r="X534" s="568"/>
      <c r="Y534" s="568"/>
      <c r="Z534" s="568"/>
    </row>
    <row r="535" spans="1:26" ht="18.75" hidden="1">
      <c r="A535" s="563"/>
      <c r="B535" s="571"/>
      <c r="C535" s="723"/>
      <c r="D535" s="723"/>
      <c r="E535" s="723" t="s">
        <v>19</v>
      </c>
      <c r="F535" s="723"/>
      <c r="G535" s="567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IFERROR(__xludf.DUMMYFUNCTION("IMPORTRANGE(""https://docs.google.com/spreadsheets/d/1QqKyyYR6Q21VydFLVH3TRQUabQu_ym0Zz7PgGX0-kHA/edit?usp=sharing"",""แผน!GT29"")"),0)</f>
        <v>0</v>
      </c>
      <c r="M535" s="93">
        <v>0</v>
      </c>
      <c r="N535" s="93">
        <v>0</v>
      </c>
      <c r="O535" s="93">
        <f t="shared" ca="1" si="231"/>
        <v>0</v>
      </c>
      <c r="P535" s="93">
        <f t="shared" si="232"/>
        <v>0</v>
      </c>
      <c r="Q535" s="568"/>
      <c r="R535" s="568"/>
      <c r="S535" s="568"/>
      <c r="T535" s="568"/>
      <c r="U535" s="568"/>
      <c r="V535" s="568"/>
      <c r="W535" s="568"/>
      <c r="X535" s="568"/>
      <c r="Y535" s="568"/>
      <c r="Z535" s="568"/>
    </row>
    <row r="536" spans="1:26" ht="19.5" hidden="1">
      <c r="A536" s="572"/>
      <c r="B536" s="584"/>
      <c r="C536" s="727" t="s">
        <v>16</v>
      </c>
      <c r="D536" s="853" t="s">
        <v>38</v>
      </c>
      <c r="E536" s="725"/>
      <c r="F536" s="725"/>
      <c r="G536" s="577"/>
      <c r="H536" s="726"/>
      <c r="I536" s="184"/>
      <c r="J536" s="184"/>
      <c r="K536" s="163"/>
      <c r="L536" s="163"/>
      <c r="M536" s="163"/>
      <c r="N536" s="163"/>
      <c r="O536" s="163"/>
      <c r="P536" s="163"/>
      <c r="Q536" s="541"/>
      <c r="R536" s="541"/>
      <c r="S536" s="541"/>
      <c r="T536" s="541"/>
      <c r="U536" s="541"/>
      <c r="V536" s="541"/>
      <c r="W536" s="541"/>
      <c r="X536" s="541"/>
      <c r="Y536" s="541"/>
      <c r="Z536" s="541"/>
    </row>
    <row r="537" spans="1:26" ht="19.5" hidden="1">
      <c r="A537" s="537"/>
      <c r="B537" s="538"/>
      <c r="C537" s="727"/>
      <c r="D537" s="727" t="s">
        <v>227</v>
      </c>
      <c r="E537" s="727"/>
      <c r="F537" s="727"/>
      <c r="G537" s="189"/>
      <c r="H537" s="589" t="s">
        <v>35</v>
      </c>
      <c r="I537" s="647">
        <f ca="1">IFERROR(__xludf.DUMMYFUNCTION("IMPORTRANGE(""https://docs.google.com/spreadsheets/d/1QqKyyYR6Q21VydFLVH3TRQUabQu_ym0Zz7PgGX0-kHA/edit?usp=sharing"",""แผน!GU29"")"),0)</f>
        <v>0</v>
      </c>
      <c r="J537" s="647">
        <f ca="1">IF(AND(J538=I538,J539=I539,J540=I540,J541=I541),I537,0)</f>
        <v>0</v>
      </c>
      <c r="K537" s="465">
        <f t="shared" ref="K537:K543" ca="1" si="233">IF(I537&gt;0,J537*100/I537,0)</f>
        <v>0</v>
      </c>
      <c r="L537" s="465"/>
      <c r="M537" s="465"/>
      <c r="N537" s="465"/>
      <c r="O537" s="465"/>
      <c r="P537" s="465"/>
      <c r="Q537" s="648"/>
      <c r="R537" s="648"/>
      <c r="S537" s="648"/>
      <c r="T537" s="648"/>
      <c r="U537" s="648"/>
      <c r="V537" s="648"/>
      <c r="W537" s="648"/>
      <c r="X537" s="648"/>
      <c r="Y537" s="648"/>
      <c r="Z537" s="648"/>
    </row>
    <row r="538" spans="1:26" ht="18.75" hidden="1">
      <c r="A538" s="537"/>
      <c r="B538" s="538"/>
      <c r="C538" s="727"/>
      <c r="D538" s="727"/>
      <c r="E538" s="727" t="s">
        <v>228</v>
      </c>
      <c r="F538" s="727"/>
      <c r="G538" s="189"/>
      <c r="H538" s="589" t="s">
        <v>35</v>
      </c>
      <c r="I538" s="269">
        <f ca="1">IFERROR(__xludf.DUMMYFUNCTION("IMPORTRANGE(""https://docs.google.com/spreadsheets/d/1QqKyyYR6Q21VydFLVH3TRQUabQu_ym0Zz7PgGX0-kHA/edit?usp=sharing"",""แผน!GV29"")"),0)</f>
        <v>0</v>
      </c>
      <c r="J538" s="214">
        <v>0</v>
      </c>
      <c r="K538" s="465">
        <f t="shared" ca="1" si="233"/>
        <v>0</v>
      </c>
      <c r="L538" s="465"/>
      <c r="M538" s="465"/>
      <c r="N538" s="465"/>
      <c r="O538" s="465"/>
      <c r="P538" s="465"/>
      <c r="Q538" s="648"/>
      <c r="R538" s="648"/>
      <c r="S538" s="648"/>
      <c r="T538" s="648"/>
      <c r="U538" s="648"/>
      <c r="V538" s="648"/>
      <c r="W538" s="648"/>
      <c r="X538" s="648"/>
      <c r="Y538" s="648"/>
      <c r="Z538" s="648"/>
    </row>
    <row r="539" spans="1:26" ht="18.75" hidden="1">
      <c r="A539" s="537"/>
      <c r="B539" s="538"/>
      <c r="C539" s="727"/>
      <c r="D539" s="727"/>
      <c r="E539" s="727" t="s">
        <v>229</v>
      </c>
      <c r="F539" s="727"/>
      <c r="G539" s="189"/>
      <c r="H539" s="589" t="s">
        <v>35</v>
      </c>
      <c r="I539" s="269">
        <f ca="1">IFERROR(__xludf.DUMMYFUNCTION("IMPORTRANGE(""https://docs.google.com/spreadsheets/d/1QqKyyYR6Q21VydFLVH3TRQUabQu_ym0Zz7PgGX0-kHA/edit?usp=sharing"",""แผน!GW29"")"),0)</f>
        <v>0</v>
      </c>
      <c r="J539" s="214">
        <v>0</v>
      </c>
      <c r="K539" s="465">
        <f t="shared" ca="1" si="233"/>
        <v>0</v>
      </c>
      <c r="L539" s="465"/>
      <c r="M539" s="465"/>
      <c r="N539" s="465"/>
      <c r="O539" s="465"/>
      <c r="P539" s="465"/>
      <c r="Q539" s="648"/>
      <c r="R539" s="648"/>
      <c r="S539" s="648"/>
      <c r="T539" s="648"/>
      <c r="U539" s="648"/>
      <c r="V539" s="648"/>
      <c r="W539" s="648"/>
      <c r="X539" s="648"/>
      <c r="Y539" s="648"/>
      <c r="Z539" s="648"/>
    </row>
    <row r="540" spans="1:26" ht="18.75" hidden="1">
      <c r="A540" s="537"/>
      <c r="B540" s="538"/>
      <c r="C540" s="727"/>
      <c r="D540" s="727"/>
      <c r="E540" s="727" t="s">
        <v>230</v>
      </c>
      <c r="F540" s="727"/>
      <c r="G540" s="189"/>
      <c r="H540" s="589" t="s">
        <v>35</v>
      </c>
      <c r="I540" s="269">
        <f ca="1">IFERROR(__xludf.DUMMYFUNCTION("IMPORTRANGE(""https://docs.google.com/spreadsheets/d/1QqKyyYR6Q21VydFLVH3TRQUabQu_ym0Zz7PgGX0-kHA/edit?usp=sharing"",""แผน!GX29"")"),0)</f>
        <v>0</v>
      </c>
      <c r="J540" s="214">
        <v>0</v>
      </c>
      <c r="K540" s="465">
        <f t="shared" ca="1" si="233"/>
        <v>0</v>
      </c>
      <c r="L540" s="465"/>
      <c r="M540" s="465"/>
      <c r="N540" s="465"/>
      <c r="O540" s="465"/>
      <c r="P540" s="465"/>
      <c r="Q540" s="648"/>
      <c r="R540" s="648"/>
      <c r="S540" s="648"/>
      <c r="T540" s="648"/>
      <c r="U540" s="648"/>
      <c r="V540" s="648"/>
      <c r="W540" s="648"/>
      <c r="X540" s="648"/>
      <c r="Y540" s="648"/>
      <c r="Z540" s="648"/>
    </row>
    <row r="541" spans="1:26" ht="18.75" hidden="1">
      <c r="A541" s="537"/>
      <c r="B541" s="538"/>
      <c r="C541" s="727"/>
      <c r="D541" s="727"/>
      <c r="E541" s="733" t="s">
        <v>231</v>
      </c>
      <c r="F541" s="727"/>
      <c r="G541" s="189"/>
      <c r="H541" s="589" t="s">
        <v>35</v>
      </c>
      <c r="I541" s="269">
        <f ca="1">IFERROR(__xludf.DUMMYFUNCTION("IMPORTRANGE(""https://docs.google.com/spreadsheets/d/1QqKyyYR6Q21VydFLVH3TRQUabQu_ym0Zz7PgGX0-kHA/edit?usp=sharing"",""แผน!GY29"")"),0)</f>
        <v>0</v>
      </c>
      <c r="J541" s="214">
        <v>0</v>
      </c>
      <c r="K541" s="465">
        <f t="shared" ca="1" si="233"/>
        <v>0</v>
      </c>
      <c r="L541" s="465"/>
      <c r="M541" s="465"/>
      <c r="N541" s="465"/>
      <c r="O541" s="465"/>
      <c r="P541" s="465"/>
      <c r="Q541" s="648"/>
      <c r="R541" s="648"/>
      <c r="S541" s="648"/>
      <c r="T541" s="648"/>
      <c r="U541" s="648"/>
      <c r="V541" s="648"/>
      <c r="W541" s="648"/>
      <c r="X541" s="648"/>
      <c r="Y541" s="648"/>
      <c r="Z541" s="648"/>
    </row>
    <row r="542" spans="1:26" ht="18.75" hidden="1">
      <c r="A542" s="537"/>
      <c r="B542" s="538"/>
      <c r="C542" s="727"/>
      <c r="D542" s="727" t="s">
        <v>59</v>
      </c>
      <c r="E542" s="727"/>
      <c r="F542" s="727"/>
      <c r="G542" s="189"/>
      <c r="H542" s="589" t="s">
        <v>35</v>
      </c>
      <c r="I542" s="269">
        <f ca="1">IFERROR(__xludf.DUMMYFUNCTION("IMPORTRANGE(""https://docs.google.com/spreadsheets/d/1QqKyyYR6Q21VydFLVH3TRQUabQu_ym0Zz7PgGX0-kHA/edit?usp=sharing"",""แผน!GZ29"")"),0)</f>
        <v>0</v>
      </c>
      <c r="J542" s="214">
        <v>0</v>
      </c>
      <c r="K542" s="465">
        <f t="shared" ca="1" si="233"/>
        <v>0</v>
      </c>
      <c r="L542" s="465"/>
      <c r="M542" s="465"/>
      <c r="N542" s="465"/>
      <c r="O542" s="465"/>
      <c r="P542" s="465"/>
      <c r="Q542" s="648"/>
      <c r="R542" s="648"/>
      <c r="S542" s="648"/>
      <c r="T542" s="648"/>
      <c r="U542" s="648"/>
      <c r="V542" s="648"/>
      <c r="W542" s="648"/>
      <c r="X542" s="648"/>
      <c r="Y542" s="648"/>
      <c r="Z542" s="648"/>
    </row>
    <row r="543" spans="1:26" ht="19.5">
      <c r="A543" s="630">
        <v>6</v>
      </c>
      <c r="B543" s="651" t="s">
        <v>232</v>
      </c>
      <c r="C543" s="633"/>
      <c r="D543" s="633"/>
      <c r="E543" s="633"/>
      <c r="F543" s="633"/>
      <c r="G543" s="634"/>
      <c r="H543" s="652" t="s">
        <v>46</v>
      </c>
      <c r="I543" s="653">
        <f t="shared" ref="I543:J543" ca="1" si="234">I559</f>
        <v>60744</v>
      </c>
      <c r="J543" s="653">
        <f t="shared" si="234"/>
        <v>0</v>
      </c>
      <c r="K543" s="654">
        <f t="shared" ca="1" si="233"/>
        <v>0</v>
      </c>
      <c r="L543" s="636"/>
      <c r="M543" s="636"/>
      <c r="N543" s="636"/>
      <c r="O543" s="636"/>
      <c r="P543" s="636"/>
      <c r="Q543" s="541"/>
      <c r="R543" s="541"/>
      <c r="S543" s="541"/>
      <c r="T543" s="541"/>
      <c r="U543" s="541"/>
      <c r="V543" s="541"/>
      <c r="W543" s="541"/>
      <c r="X543" s="541"/>
      <c r="Y543" s="541"/>
      <c r="Z543" s="541"/>
    </row>
    <row r="544" spans="1:26" ht="19.5">
      <c r="A544" s="655"/>
      <c r="B544" s="656"/>
      <c r="C544" s="656" t="s">
        <v>16</v>
      </c>
      <c r="D544" s="854" t="s">
        <v>17</v>
      </c>
      <c r="E544" s="810"/>
      <c r="F544" s="810"/>
      <c r="G544" s="657"/>
      <c r="H544" s="274" t="s">
        <v>12</v>
      </c>
      <c r="I544" s="388"/>
      <c r="J544" s="388"/>
      <c r="K544" s="154"/>
      <c r="L544" s="155">
        <f t="shared" ref="L544:N544" ca="1" si="235">L545+L546</f>
        <v>354759</v>
      </c>
      <c r="M544" s="155">
        <f t="shared" si="235"/>
        <v>0</v>
      </c>
      <c r="N544" s="155">
        <f t="shared" si="235"/>
        <v>0</v>
      </c>
      <c r="O544" s="155">
        <f t="shared" ref="O544:O549" ca="1" si="236">IF(L544&gt;0,N544*100/L544,0)</f>
        <v>0</v>
      </c>
      <c r="P544" s="155">
        <f t="shared" ref="P544:P549" si="237">IF(M544&gt;0,N544*100/M544,0)</f>
        <v>0</v>
      </c>
      <c r="Q544" s="541"/>
      <c r="R544" s="541"/>
      <c r="S544" s="541"/>
      <c r="T544" s="541"/>
      <c r="U544" s="541"/>
      <c r="V544" s="541"/>
      <c r="W544" s="541"/>
      <c r="X544" s="541"/>
      <c r="Y544" s="541"/>
      <c r="Z544" s="541"/>
    </row>
    <row r="545" spans="1:26" ht="18.75" hidden="1">
      <c r="A545" s="563"/>
      <c r="B545" s="723"/>
      <c r="C545" s="723"/>
      <c r="D545" s="723"/>
      <c r="E545" s="723" t="s">
        <v>184</v>
      </c>
      <c r="F545" s="723"/>
      <c r="G545" s="567"/>
      <c r="H545" s="165" t="s">
        <v>12</v>
      </c>
      <c r="I545" s="583"/>
      <c r="J545" s="583"/>
      <c r="K545" s="93"/>
      <c r="L545" s="93">
        <f t="shared" ref="L545:L546" si="238">L548+L556</f>
        <v>0</v>
      </c>
      <c r="M545" s="93">
        <f t="shared" ref="M545:N546" si="239">M548+M555</f>
        <v>0</v>
      </c>
      <c r="N545" s="93">
        <f t="shared" si="239"/>
        <v>0</v>
      </c>
      <c r="O545" s="93">
        <f t="shared" si="236"/>
        <v>0</v>
      </c>
      <c r="P545" s="93">
        <f t="shared" si="237"/>
        <v>0</v>
      </c>
      <c r="Q545" s="568"/>
      <c r="R545" s="568"/>
      <c r="S545" s="568"/>
      <c r="T545" s="568"/>
      <c r="U545" s="568"/>
      <c r="V545" s="568"/>
      <c r="W545" s="568"/>
      <c r="X545" s="568"/>
      <c r="Y545" s="568"/>
      <c r="Z545" s="568"/>
    </row>
    <row r="546" spans="1:26" ht="18.75" hidden="1">
      <c r="A546" s="563"/>
      <c r="B546" s="571"/>
      <c r="C546" s="723"/>
      <c r="D546" s="723"/>
      <c r="E546" s="723" t="s">
        <v>185</v>
      </c>
      <c r="F546" s="723"/>
      <c r="G546" s="567"/>
      <c r="H546" s="165" t="s">
        <v>12</v>
      </c>
      <c r="I546" s="583"/>
      <c r="J546" s="583"/>
      <c r="K546" s="93"/>
      <c r="L546" s="93">
        <f t="shared" ca="1" si="238"/>
        <v>354759</v>
      </c>
      <c r="M546" s="93">
        <f t="shared" si="239"/>
        <v>0</v>
      </c>
      <c r="N546" s="93">
        <f t="shared" si="239"/>
        <v>0</v>
      </c>
      <c r="O546" s="93">
        <f t="shared" ca="1" si="236"/>
        <v>0</v>
      </c>
      <c r="P546" s="93">
        <f t="shared" si="237"/>
        <v>0</v>
      </c>
      <c r="Q546" s="568"/>
      <c r="R546" s="568"/>
      <c r="S546" s="568"/>
      <c r="T546" s="568"/>
      <c r="U546" s="568"/>
      <c r="V546" s="568"/>
      <c r="W546" s="568"/>
      <c r="X546" s="568"/>
      <c r="Y546" s="568"/>
      <c r="Z546" s="568"/>
    </row>
    <row r="547" spans="1:26" ht="18.75">
      <c r="A547" s="561"/>
      <c r="B547" s="538"/>
      <c r="C547" s="727"/>
      <c r="D547" s="570" t="s">
        <v>20</v>
      </c>
      <c r="E547" s="727"/>
      <c r="F547" s="727"/>
      <c r="G547" s="189"/>
      <c r="H547" s="161" t="s">
        <v>12</v>
      </c>
      <c r="I547" s="184"/>
      <c r="J547" s="184"/>
      <c r="K547" s="163"/>
      <c r="L547" s="465">
        <f t="shared" ref="L547:N547" ca="1" si="240">L548+L549</f>
        <v>354759</v>
      </c>
      <c r="M547" s="465">
        <f t="shared" si="240"/>
        <v>0</v>
      </c>
      <c r="N547" s="465">
        <f t="shared" si="240"/>
        <v>0</v>
      </c>
      <c r="O547" s="465">
        <f t="shared" ca="1" si="236"/>
        <v>0</v>
      </c>
      <c r="P547" s="465">
        <f t="shared" si="237"/>
        <v>0</v>
      </c>
      <c r="Q547" s="541"/>
      <c r="R547" s="541"/>
      <c r="S547" s="541"/>
      <c r="T547" s="541"/>
      <c r="U547" s="541"/>
      <c r="V547" s="541"/>
      <c r="W547" s="541"/>
      <c r="X547" s="541"/>
      <c r="Y547" s="541"/>
      <c r="Z547" s="541"/>
    </row>
    <row r="548" spans="1:26" ht="18.75" hidden="1">
      <c r="A548" s="563"/>
      <c r="B548" s="571"/>
      <c r="C548" s="723"/>
      <c r="D548" s="684"/>
      <c r="E548" s="723" t="s">
        <v>184</v>
      </c>
      <c r="F548" s="723"/>
      <c r="G548" s="567"/>
      <c r="H548" s="165" t="s">
        <v>12</v>
      </c>
      <c r="I548" s="583"/>
      <c r="J548" s="583"/>
      <c r="K548" s="93"/>
      <c r="L548" s="93">
        <v>0</v>
      </c>
      <c r="M548" s="93">
        <v>0</v>
      </c>
      <c r="N548" s="93">
        <v>0</v>
      </c>
      <c r="O548" s="93">
        <f t="shared" si="236"/>
        <v>0</v>
      </c>
      <c r="P548" s="93">
        <f t="shared" si="237"/>
        <v>0</v>
      </c>
      <c r="Q548" s="568"/>
      <c r="R548" s="568"/>
      <c r="S548" s="568"/>
      <c r="T548" s="568"/>
      <c r="U548" s="568"/>
      <c r="V548" s="568"/>
      <c r="W548" s="568"/>
      <c r="X548" s="568"/>
      <c r="Y548" s="568"/>
      <c r="Z548" s="568"/>
    </row>
    <row r="549" spans="1:26" ht="18.75" hidden="1">
      <c r="A549" s="563"/>
      <c r="B549" s="571"/>
      <c r="C549" s="723"/>
      <c r="D549" s="684"/>
      <c r="E549" s="723" t="s">
        <v>185</v>
      </c>
      <c r="F549" s="723"/>
      <c r="G549" s="567"/>
      <c r="H549" s="165" t="s">
        <v>12</v>
      </c>
      <c r="I549" s="583"/>
      <c r="J549" s="583"/>
      <c r="K549" s="93"/>
      <c r="L549" s="93">
        <f ca="1">IFERROR(__xludf.DUMMYFUNCTION("IMPORTRANGE(""https://docs.google.com/spreadsheets/d/1QqKyyYR6Q21VydFLVH3TRQUabQu_ym0Zz7PgGX0-kHA/edit?usp=sharing"",""แผน!HB29"")"),354759)</f>
        <v>354759</v>
      </c>
      <c r="M549" s="93">
        <v>0</v>
      </c>
      <c r="N549" s="93">
        <f>N550+N551+N552+N553+N554</f>
        <v>0</v>
      </c>
      <c r="O549" s="93">
        <f t="shared" ca="1" si="236"/>
        <v>0</v>
      </c>
      <c r="P549" s="93">
        <f t="shared" si="237"/>
        <v>0</v>
      </c>
      <c r="Q549" s="568"/>
      <c r="R549" s="568"/>
      <c r="S549" s="568"/>
      <c r="T549" s="568"/>
      <c r="U549" s="568"/>
      <c r="V549" s="568"/>
      <c r="W549" s="568"/>
      <c r="X549" s="568"/>
      <c r="Y549" s="568"/>
      <c r="Z549" s="568"/>
    </row>
    <row r="550" spans="1:26" ht="18.75">
      <c r="A550" s="537"/>
      <c r="B550" s="538"/>
      <c r="C550" s="727"/>
      <c r="D550" s="727"/>
      <c r="E550" s="727"/>
      <c r="F550" s="727" t="s">
        <v>186</v>
      </c>
      <c r="G550" s="189"/>
      <c r="H550" s="161" t="s">
        <v>12</v>
      </c>
      <c r="I550" s="269"/>
      <c r="J550" s="269"/>
      <c r="K550" s="465"/>
      <c r="L550" s="465"/>
      <c r="M550" s="465"/>
      <c r="N550" s="789">
        <v>0</v>
      </c>
      <c r="O550" s="465"/>
      <c r="P550" s="465"/>
      <c r="Q550" s="541"/>
      <c r="R550" s="541"/>
      <c r="S550" s="541"/>
      <c r="T550" s="541"/>
      <c r="U550" s="541"/>
      <c r="V550" s="541"/>
      <c r="W550" s="541"/>
      <c r="X550" s="541"/>
      <c r="Y550" s="541"/>
      <c r="Z550" s="541"/>
    </row>
    <row r="551" spans="1:26" ht="18.75">
      <c r="A551" s="537"/>
      <c r="B551" s="538"/>
      <c r="C551" s="538"/>
      <c r="D551" s="538"/>
      <c r="E551" s="727"/>
      <c r="F551" s="727" t="s">
        <v>187</v>
      </c>
      <c r="G551" s="189"/>
      <c r="H551" s="161" t="s">
        <v>12</v>
      </c>
      <c r="I551" s="269"/>
      <c r="J551" s="269"/>
      <c r="K551" s="465"/>
      <c r="L551" s="465"/>
      <c r="M551" s="465"/>
      <c r="N551" s="789">
        <v>0</v>
      </c>
      <c r="O551" s="465"/>
      <c r="P551" s="465"/>
      <c r="Q551" s="541"/>
      <c r="R551" s="541"/>
      <c r="S551" s="541"/>
      <c r="T551" s="541"/>
      <c r="U551" s="541"/>
      <c r="V551" s="541"/>
      <c r="W551" s="541"/>
      <c r="X551" s="541"/>
      <c r="Y551" s="541"/>
      <c r="Z551" s="541"/>
    </row>
    <row r="552" spans="1:26" ht="18.75">
      <c r="A552" s="537"/>
      <c r="B552" s="538"/>
      <c r="C552" s="727"/>
      <c r="D552" s="727"/>
      <c r="E552" s="727"/>
      <c r="F552" s="727" t="s">
        <v>188</v>
      </c>
      <c r="G552" s="189"/>
      <c r="H552" s="161" t="s">
        <v>12</v>
      </c>
      <c r="I552" s="269"/>
      <c r="J552" s="269"/>
      <c r="K552" s="465"/>
      <c r="L552" s="465"/>
      <c r="M552" s="465"/>
      <c r="N552" s="789">
        <v>0</v>
      </c>
      <c r="O552" s="465"/>
      <c r="P552" s="465"/>
      <c r="Q552" s="541"/>
      <c r="R552" s="541"/>
      <c r="S552" s="541"/>
      <c r="T552" s="541"/>
      <c r="U552" s="541"/>
      <c r="V552" s="541"/>
      <c r="W552" s="541"/>
      <c r="X552" s="541"/>
      <c r="Y552" s="541"/>
      <c r="Z552" s="541"/>
    </row>
    <row r="553" spans="1:26" ht="18.75">
      <c r="A553" s="537"/>
      <c r="B553" s="538"/>
      <c r="C553" s="538"/>
      <c r="D553" s="538"/>
      <c r="E553" s="727"/>
      <c r="F553" s="727" t="s">
        <v>189</v>
      </c>
      <c r="G553" s="189"/>
      <c r="H553" s="161" t="s">
        <v>12</v>
      </c>
      <c r="I553" s="269"/>
      <c r="J553" s="269"/>
      <c r="K553" s="465"/>
      <c r="L553" s="465"/>
      <c r="M553" s="465"/>
      <c r="N553" s="789">
        <v>0</v>
      </c>
      <c r="O553" s="465"/>
      <c r="P553" s="465"/>
      <c r="Q553" s="541"/>
      <c r="R553" s="541"/>
      <c r="S553" s="541"/>
      <c r="T553" s="541"/>
      <c r="U553" s="541"/>
      <c r="V553" s="541"/>
      <c r="W553" s="541"/>
      <c r="X553" s="541"/>
      <c r="Y553" s="541"/>
      <c r="Z553" s="541"/>
    </row>
    <row r="554" spans="1:26" ht="18.75">
      <c r="A554" s="537"/>
      <c r="B554" s="538"/>
      <c r="C554" s="538"/>
      <c r="D554" s="538"/>
      <c r="E554" s="727"/>
      <c r="F554" s="727" t="s">
        <v>233</v>
      </c>
      <c r="G554" s="189"/>
      <c r="H554" s="161" t="s">
        <v>12</v>
      </c>
      <c r="I554" s="269"/>
      <c r="J554" s="269"/>
      <c r="K554" s="465"/>
      <c r="L554" s="465"/>
      <c r="M554" s="465"/>
      <c r="N554" s="789">
        <v>0</v>
      </c>
      <c r="O554" s="465"/>
      <c r="P554" s="465"/>
      <c r="Q554" s="541"/>
      <c r="R554" s="541"/>
      <c r="S554" s="541"/>
      <c r="T554" s="541"/>
      <c r="U554" s="541"/>
      <c r="V554" s="541"/>
      <c r="W554" s="541"/>
      <c r="X554" s="541"/>
      <c r="Y554" s="541"/>
      <c r="Z554" s="541"/>
    </row>
    <row r="555" spans="1:26" ht="18.75">
      <c r="A555" s="561"/>
      <c r="B555" s="538"/>
      <c r="C555" s="538"/>
      <c r="D555" s="570" t="s">
        <v>21</v>
      </c>
      <c r="E555" s="727"/>
      <c r="F555" s="727"/>
      <c r="G555" s="189"/>
      <c r="H555" s="168" t="s">
        <v>12</v>
      </c>
      <c r="I555" s="184"/>
      <c r="J555" s="184"/>
      <c r="K555" s="163"/>
      <c r="L555" s="465">
        <f t="shared" ref="L555:N555" ca="1" si="241">L556+L557</f>
        <v>0</v>
      </c>
      <c r="M555" s="465">
        <f t="shared" si="241"/>
        <v>0</v>
      </c>
      <c r="N555" s="465">
        <f t="shared" si="241"/>
        <v>0</v>
      </c>
      <c r="O555" s="465">
        <f t="shared" ref="O555:O557" ca="1" si="242">IF(L555&gt;0,N555*100/L555,0)</f>
        <v>0</v>
      </c>
      <c r="P555" s="465">
        <f t="shared" ref="P555:P557" si="243">IF(M555&gt;0,N555*100/M555,0)</f>
        <v>0</v>
      </c>
      <c r="Q555" s="541"/>
      <c r="R555" s="541"/>
      <c r="S555" s="541"/>
      <c r="T555" s="541"/>
      <c r="U555" s="541"/>
      <c r="V555" s="541"/>
      <c r="W555" s="541"/>
      <c r="X555" s="541"/>
      <c r="Y555" s="541"/>
      <c r="Z555" s="541"/>
    </row>
    <row r="556" spans="1:26" ht="18.75" hidden="1">
      <c r="A556" s="563"/>
      <c r="B556" s="571"/>
      <c r="C556" s="571"/>
      <c r="D556" s="723"/>
      <c r="E556" s="723" t="s">
        <v>18</v>
      </c>
      <c r="F556" s="723"/>
      <c r="G556" s="567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2"/>
        <v>0</v>
      </c>
      <c r="P556" s="93">
        <f t="shared" si="243"/>
        <v>0</v>
      </c>
      <c r="Q556" s="568"/>
      <c r="R556" s="568"/>
      <c r="S556" s="568"/>
      <c r="T556" s="568"/>
      <c r="U556" s="568"/>
      <c r="V556" s="568"/>
      <c r="W556" s="568"/>
      <c r="X556" s="568"/>
      <c r="Y556" s="568"/>
      <c r="Z556" s="568"/>
    </row>
    <row r="557" spans="1:26" ht="18.75" hidden="1">
      <c r="A557" s="563"/>
      <c r="B557" s="571"/>
      <c r="C557" s="571"/>
      <c r="D557" s="723"/>
      <c r="E557" s="723" t="s">
        <v>19</v>
      </c>
      <c r="F557" s="723"/>
      <c r="G557" s="567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IFERROR(__xludf.DUMMYFUNCTION("IMPORTRANGE(""https://docs.google.com/spreadsheets/d/1QqKyyYR6Q21VydFLVH3TRQUabQu_ym0Zz7PgGX0-kHA/edit?usp=sharing"",""แผน!HF29"")"),0)</f>
        <v>0</v>
      </c>
      <c r="M557" s="93">
        <v>0</v>
      </c>
      <c r="N557" s="93">
        <v>0</v>
      </c>
      <c r="O557" s="93">
        <f t="shared" ca="1" si="242"/>
        <v>0</v>
      </c>
      <c r="P557" s="93">
        <f t="shared" si="243"/>
        <v>0</v>
      </c>
      <c r="Q557" s="568"/>
      <c r="R557" s="568"/>
      <c r="S557" s="568"/>
      <c r="T557" s="568"/>
      <c r="U557" s="568"/>
      <c r="V557" s="568"/>
      <c r="W557" s="568"/>
      <c r="X557" s="568"/>
      <c r="Y557" s="568"/>
      <c r="Z557" s="568"/>
    </row>
    <row r="558" spans="1:26" ht="19.5">
      <c r="A558" s="572"/>
      <c r="B558" s="584"/>
      <c r="C558" s="538" t="s">
        <v>16</v>
      </c>
      <c r="D558" s="853" t="s">
        <v>38</v>
      </c>
      <c r="E558" s="725"/>
      <c r="F558" s="725"/>
      <c r="G558" s="577"/>
      <c r="H558" s="726"/>
      <c r="I558" s="184"/>
      <c r="J558" s="184"/>
      <c r="K558" s="163"/>
      <c r="L558" s="163"/>
      <c r="M558" s="163"/>
      <c r="N558" s="163"/>
      <c r="O558" s="163"/>
      <c r="P558" s="163"/>
      <c r="Q558" s="541"/>
      <c r="R558" s="541"/>
      <c r="S558" s="541"/>
      <c r="T558" s="541"/>
      <c r="U558" s="541"/>
      <c r="V558" s="541"/>
      <c r="W558" s="541"/>
      <c r="X558" s="541"/>
      <c r="Y558" s="541"/>
      <c r="Z558" s="541"/>
    </row>
    <row r="559" spans="1:26" ht="19.5">
      <c r="A559" s="658"/>
      <c r="B559" s="659" t="s">
        <v>234</v>
      </c>
      <c r="C559" s="660"/>
      <c r="D559" s="660"/>
      <c r="E559" s="639"/>
      <c r="F559" s="639"/>
      <c r="G559" s="640"/>
      <c r="H559" s="661" t="s">
        <v>46</v>
      </c>
      <c r="I559" s="672">
        <f t="shared" ref="I559:J559" ca="1" si="244">I576</f>
        <v>60744</v>
      </c>
      <c r="J559" s="672">
        <f t="shared" si="244"/>
        <v>0</v>
      </c>
      <c r="K559" s="643">
        <f t="shared" ref="K559:K561" ca="1" si="245">IF(I559&gt;0,J559*100/I559,0)</f>
        <v>0</v>
      </c>
      <c r="L559" s="644"/>
      <c r="M559" s="644"/>
      <c r="N559" s="644"/>
      <c r="O559" s="644"/>
      <c r="P559" s="644"/>
      <c r="Q559" s="541"/>
      <c r="R559" s="541"/>
      <c r="S559" s="541"/>
      <c r="T559" s="541"/>
      <c r="U559" s="541"/>
      <c r="V559" s="541"/>
      <c r="W559" s="541"/>
      <c r="X559" s="541"/>
      <c r="Y559" s="541"/>
      <c r="Z559" s="541"/>
    </row>
    <row r="560" spans="1:26" ht="19.5">
      <c r="A560" s="572"/>
      <c r="B560" s="584"/>
      <c r="C560" s="591" t="s">
        <v>235</v>
      </c>
      <c r="D560" s="584"/>
      <c r="E560" s="592"/>
      <c r="F560" s="592"/>
      <c r="G560" s="726"/>
      <c r="H560" s="731" t="s">
        <v>46</v>
      </c>
      <c r="I560" s="193">
        <f ca="1">IFERROR(__xludf.DUMMYFUNCTION("IMPORTRANGE(""https://docs.google.com/spreadsheets/d/1QqKyyYR6Q21VydFLVH3TRQUabQu_ym0Zz7PgGX0-kHA/edit?usp=sharing"",""แผน!HH29"")"),60744)</f>
        <v>60744</v>
      </c>
      <c r="J560" s="193">
        <f t="shared" ref="J560:J561" si="246">J562+J564+J566</f>
        <v>0</v>
      </c>
      <c r="K560" s="379">
        <f t="shared" ca="1" si="245"/>
        <v>0</v>
      </c>
      <c r="L560" s="163"/>
      <c r="M560" s="163"/>
      <c r="N560" s="163"/>
      <c r="O560" s="163"/>
      <c r="P560" s="163"/>
      <c r="Q560" s="541"/>
      <c r="R560" s="541"/>
      <c r="S560" s="541"/>
      <c r="T560" s="541"/>
      <c r="U560" s="541"/>
      <c r="V560" s="541"/>
      <c r="W560" s="541"/>
      <c r="X560" s="541"/>
      <c r="Y560" s="541"/>
      <c r="Z560" s="541"/>
    </row>
    <row r="561" spans="1:26" ht="19.5">
      <c r="A561" s="572"/>
      <c r="B561" s="584"/>
      <c r="C561" s="584"/>
      <c r="D561" s="592"/>
      <c r="E561" s="592"/>
      <c r="F561" s="592"/>
      <c r="G561" s="726"/>
      <c r="H561" s="731" t="s">
        <v>34</v>
      </c>
      <c r="I561" s="193">
        <f ca="1">IFERROR(__xludf.DUMMYFUNCTION("IMPORTRANGE(""https://docs.google.com/spreadsheets/d/1QqKyyYR6Q21VydFLVH3TRQUabQu_ym0Zz7PgGX0-kHA/edit?usp=sharing"",""แผน!HG29"")"),8156)</f>
        <v>8156</v>
      </c>
      <c r="J561" s="193">
        <f t="shared" si="246"/>
        <v>0</v>
      </c>
      <c r="K561" s="379">
        <f t="shared" ca="1" si="245"/>
        <v>0</v>
      </c>
      <c r="L561" s="163"/>
      <c r="M561" s="163"/>
      <c r="N561" s="163"/>
      <c r="O561" s="163"/>
      <c r="P561" s="163"/>
      <c r="Q561" s="541"/>
      <c r="R561" s="541"/>
      <c r="S561" s="541"/>
      <c r="T561" s="541"/>
      <c r="U561" s="541"/>
      <c r="V561" s="541"/>
      <c r="W561" s="541"/>
      <c r="X561" s="541"/>
      <c r="Y561" s="541"/>
      <c r="Z561" s="541"/>
    </row>
    <row r="562" spans="1:26" ht="18.75">
      <c r="A562" s="572"/>
      <c r="B562" s="584"/>
      <c r="C562" s="584"/>
      <c r="D562" s="592" t="s">
        <v>236</v>
      </c>
      <c r="E562" s="592"/>
      <c r="F562" s="592"/>
      <c r="G562" s="726"/>
      <c r="H562" s="728" t="s">
        <v>46</v>
      </c>
      <c r="I562" s="184"/>
      <c r="J562" s="214">
        <v>0</v>
      </c>
      <c r="K562" s="163"/>
      <c r="L562" s="163"/>
      <c r="M562" s="163"/>
      <c r="N562" s="163"/>
      <c r="O562" s="163"/>
      <c r="P562" s="163"/>
      <c r="Q562" s="541"/>
      <c r="R562" s="541"/>
      <c r="S562" s="541"/>
      <c r="T562" s="541"/>
      <c r="U562" s="541"/>
      <c r="V562" s="541"/>
      <c r="W562" s="541"/>
      <c r="X562" s="541"/>
      <c r="Y562" s="541"/>
      <c r="Z562" s="541"/>
    </row>
    <row r="563" spans="1:26" ht="18.75">
      <c r="A563" s="572"/>
      <c r="B563" s="584"/>
      <c r="C563" s="584"/>
      <c r="D563" s="584"/>
      <c r="E563" s="592"/>
      <c r="F563" s="592"/>
      <c r="G563" s="726"/>
      <c r="H563" s="728" t="s">
        <v>34</v>
      </c>
      <c r="I563" s="184"/>
      <c r="J563" s="214">
        <v>0</v>
      </c>
      <c r="K563" s="163"/>
      <c r="L563" s="163"/>
      <c r="M563" s="163"/>
      <c r="N563" s="163"/>
      <c r="O563" s="163"/>
      <c r="P563" s="163"/>
      <c r="Q563" s="541"/>
      <c r="R563" s="541"/>
      <c r="S563" s="541"/>
      <c r="T563" s="541"/>
      <c r="U563" s="541"/>
      <c r="V563" s="541"/>
      <c r="W563" s="541"/>
      <c r="X563" s="541"/>
      <c r="Y563" s="541"/>
      <c r="Z563" s="541"/>
    </row>
    <row r="564" spans="1:26" ht="18.75">
      <c r="A564" s="572"/>
      <c r="B564" s="584"/>
      <c r="C564" s="584"/>
      <c r="D564" s="592" t="s">
        <v>237</v>
      </c>
      <c r="E564" s="592"/>
      <c r="F564" s="592"/>
      <c r="G564" s="726"/>
      <c r="H564" s="728" t="s">
        <v>46</v>
      </c>
      <c r="I564" s="184"/>
      <c r="J564" s="214">
        <v>0</v>
      </c>
      <c r="K564" s="163"/>
      <c r="L564" s="163"/>
      <c r="M564" s="163"/>
      <c r="N564" s="163"/>
      <c r="O564" s="163"/>
      <c r="P564" s="163"/>
      <c r="Q564" s="541"/>
      <c r="R564" s="541"/>
      <c r="S564" s="541"/>
      <c r="T564" s="541"/>
      <c r="U564" s="541"/>
      <c r="V564" s="541"/>
      <c r="W564" s="541"/>
      <c r="X564" s="541"/>
      <c r="Y564" s="541"/>
      <c r="Z564" s="541"/>
    </row>
    <row r="565" spans="1:26" ht="18.75">
      <c r="A565" s="572"/>
      <c r="B565" s="584"/>
      <c r="C565" s="584"/>
      <c r="D565" s="592"/>
      <c r="E565" s="592"/>
      <c r="F565" s="592"/>
      <c r="G565" s="726"/>
      <c r="H565" s="728" t="s">
        <v>34</v>
      </c>
      <c r="I565" s="184"/>
      <c r="J565" s="214">
        <v>0</v>
      </c>
      <c r="K565" s="163"/>
      <c r="L565" s="163"/>
      <c r="M565" s="163"/>
      <c r="N565" s="163"/>
      <c r="O565" s="163"/>
      <c r="P565" s="163"/>
      <c r="Q565" s="541"/>
      <c r="R565" s="541"/>
      <c r="S565" s="541"/>
      <c r="T565" s="541"/>
      <c r="U565" s="541"/>
      <c r="V565" s="541"/>
      <c r="W565" s="541"/>
      <c r="X565" s="541"/>
      <c r="Y565" s="541"/>
      <c r="Z565" s="541"/>
    </row>
    <row r="566" spans="1:26" ht="18.75">
      <c r="A566" s="572"/>
      <c r="B566" s="584"/>
      <c r="C566" s="584"/>
      <c r="D566" s="592" t="s">
        <v>238</v>
      </c>
      <c r="E566" s="592"/>
      <c r="F566" s="592"/>
      <c r="G566" s="726"/>
      <c r="H566" s="728" t="s">
        <v>46</v>
      </c>
      <c r="I566" s="184"/>
      <c r="J566" s="214">
        <v>0</v>
      </c>
      <c r="K566" s="163"/>
      <c r="L566" s="163"/>
      <c r="M566" s="163"/>
      <c r="N566" s="163"/>
      <c r="O566" s="163"/>
      <c r="P566" s="163"/>
      <c r="Q566" s="541"/>
      <c r="R566" s="541"/>
      <c r="S566" s="541"/>
      <c r="T566" s="541"/>
      <c r="U566" s="541"/>
      <c r="V566" s="541"/>
      <c r="W566" s="541"/>
      <c r="X566" s="541"/>
      <c r="Y566" s="541"/>
      <c r="Z566" s="541"/>
    </row>
    <row r="567" spans="1:26" ht="18.75">
      <c r="A567" s="572"/>
      <c r="B567" s="584"/>
      <c r="C567" s="584"/>
      <c r="D567" s="592"/>
      <c r="E567" s="592"/>
      <c r="F567" s="592"/>
      <c r="G567" s="726"/>
      <c r="H567" s="728" t="s">
        <v>34</v>
      </c>
      <c r="I567" s="184"/>
      <c r="J567" s="214">
        <v>0</v>
      </c>
      <c r="K567" s="163"/>
      <c r="L567" s="163"/>
      <c r="M567" s="163"/>
      <c r="N567" s="163"/>
      <c r="O567" s="163"/>
      <c r="P567" s="163"/>
      <c r="Q567" s="541"/>
      <c r="R567" s="541"/>
      <c r="S567" s="541"/>
      <c r="T567" s="541"/>
      <c r="U567" s="541"/>
      <c r="V567" s="541"/>
      <c r="W567" s="541"/>
      <c r="X567" s="541"/>
      <c r="Y567" s="541"/>
      <c r="Z567" s="541"/>
    </row>
    <row r="568" spans="1:26" ht="19.5">
      <c r="A568" s="572"/>
      <c r="B568" s="584"/>
      <c r="C568" s="591" t="s">
        <v>239</v>
      </c>
      <c r="D568" s="592"/>
      <c r="E568" s="592"/>
      <c r="F568" s="592"/>
      <c r="G568" s="726"/>
      <c r="H568" s="731" t="s">
        <v>46</v>
      </c>
      <c r="I568" s="193">
        <f ca="1">IFERROR(__xludf.DUMMYFUNCTION("IMPORTRANGE(""https://docs.google.com/spreadsheets/d/1QqKyyYR6Q21VydFLVH3TRQUabQu_ym0Zz7PgGX0-kHA/edit?usp=sharing"",""แผน!HH29"")"),60744)</f>
        <v>60744</v>
      </c>
      <c r="J568" s="647">
        <f t="shared" ref="J568:J569" si="247">J570+J572+J574</f>
        <v>0</v>
      </c>
      <c r="K568" s="379">
        <f t="shared" ref="K568:K569" ca="1" si="248">IF(I568&gt;0,J568*100/I568,0)</f>
        <v>0</v>
      </c>
      <c r="L568" s="163"/>
      <c r="M568" s="163"/>
      <c r="N568" s="163"/>
      <c r="O568" s="163"/>
      <c r="P568" s="163"/>
      <c r="Q568" s="541"/>
      <c r="R568" s="541"/>
      <c r="S568" s="541"/>
      <c r="T568" s="541"/>
      <c r="U568" s="541"/>
      <c r="V568" s="541"/>
      <c r="W568" s="541"/>
      <c r="X568" s="541"/>
      <c r="Y568" s="541"/>
      <c r="Z568" s="541"/>
    </row>
    <row r="569" spans="1:26" ht="19.5">
      <c r="A569" s="572"/>
      <c r="B569" s="584"/>
      <c r="C569" s="584"/>
      <c r="D569" s="584"/>
      <c r="E569" s="592"/>
      <c r="F569" s="592"/>
      <c r="G569" s="726"/>
      <c r="H569" s="731" t="s">
        <v>34</v>
      </c>
      <c r="I569" s="193">
        <f ca="1">IFERROR(__xludf.DUMMYFUNCTION("IMPORTRANGE(""https://docs.google.com/spreadsheets/d/1QqKyyYR6Q21VydFLVH3TRQUabQu_ym0Zz7PgGX0-kHA/edit?usp=sharing"",""แผน!HG29"")"),8156)</f>
        <v>8156</v>
      </c>
      <c r="J569" s="647">
        <f t="shared" si="247"/>
        <v>0</v>
      </c>
      <c r="K569" s="379">
        <f t="shared" ca="1" si="248"/>
        <v>0</v>
      </c>
      <c r="L569" s="163"/>
      <c r="M569" s="163"/>
      <c r="N569" s="163"/>
      <c r="O569" s="163"/>
      <c r="P569" s="163"/>
      <c r="Q569" s="541"/>
      <c r="R569" s="541"/>
      <c r="S569" s="541"/>
      <c r="T569" s="541"/>
      <c r="U569" s="541"/>
      <c r="V569" s="541"/>
      <c r="W569" s="541"/>
      <c r="X569" s="541"/>
      <c r="Y569" s="541"/>
      <c r="Z569" s="541"/>
    </row>
    <row r="570" spans="1:26" ht="18.75">
      <c r="A570" s="572"/>
      <c r="B570" s="584"/>
      <c r="C570" s="584"/>
      <c r="D570" s="592" t="s">
        <v>240</v>
      </c>
      <c r="E570" s="584"/>
      <c r="F570" s="592"/>
      <c r="G570" s="726"/>
      <c r="H570" s="728" t="s">
        <v>46</v>
      </c>
      <c r="I570" s="184"/>
      <c r="J570" s="214">
        <v>0</v>
      </c>
      <c r="K570" s="163"/>
      <c r="L570" s="163"/>
      <c r="M570" s="163"/>
      <c r="N570" s="163"/>
      <c r="O570" s="163"/>
      <c r="P570" s="163"/>
      <c r="Q570" s="541"/>
      <c r="R570" s="541"/>
      <c r="S570" s="541"/>
      <c r="T570" s="541"/>
      <c r="U570" s="541"/>
      <c r="V570" s="541"/>
      <c r="W570" s="541"/>
      <c r="X570" s="541"/>
      <c r="Y570" s="541"/>
      <c r="Z570" s="541"/>
    </row>
    <row r="571" spans="1:26" ht="18.75">
      <c r="A571" s="572"/>
      <c r="B571" s="584"/>
      <c r="C571" s="584"/>
      <c r="D571" s="584"/>
      <c r="E571" s="592"/>
      <c r="F571" s="592"/>
      <c r="G571" s="726"/>
      <c r="H571" s="728" t="s">
        <v>34</v>
      </c>
      <c r="I571" s="184"/>
      <c r="J571" s="214">
        <v>0</v>
      </c>
      <c r="K571" s="163"/>
      <c r="L571" s="163"/>
      <c r="M571" s="163"/>
      <c r="N571" s="163"/>
      <c r="O571" s="163"/>
      <c r="P571" s="163"/>
      <c r="Q571" s="541"/>
      <c r="R571" s="541"/>
      <c r="S571" s="541"/>
      <c r="T571" s="541"/>
      <c r="U571" s="541"/>
      <c r="V571" s="541"/>
      <c r="W571" s="541"/>
      <c r="X571" s="541"/>
      <c r="Y571" s="541"/>
      <c r="Z571" s="541"/>
    </row>
    <row r="572" spans="1:26" ht="18.75">
      <c r="A572" s="572"/>
      <c r="B572" s="584"/>
      <c r="C572" s="584"/>
      <c r="D572" s="592" t="s">
        <v>241</v>
      </c>
      <c r="E572" s="592"/>
      <c r="F572" s="592"/>
      <c r="G572" s="726"/>
      <c r="H572" s="728" t="s">
        <v>46</v>
      </c>
      <c r="I572" s="184"/>
      <c r="J572" s="214">
        <v>0</v>
      </c>
      <c r="K572" s="163"/>
      <c r="L572" s="163"/>
      <c r="M572" s="163"/>
      <c r="N572" s="163"/>
      <c r="O572" s="163"/>
      <c r="P572" s="163"/>
      <c r="Q572" s="541"/>
      <c r="R572" s="541"/>
      <c r="S572" s="541"/>
      <c r="T572" s="541"/>
      <c r="U572" s="541"/>
      <c r="V572" s="541"/>
      <c r="W572" s="541"/>
      <c r="X572" s="541"/>
      <c r="Y572" s="541"/>
      <c r="Z572" s="541"/>
    </row>
    <row r="573" spans="1:26" ht="18.75">
      <c r="A573" s="572"/>
      <c r="B573" s="584"/>
      <c r="C573" s="584"/>
      <c r="D573" s="592"/>
      <c r="E573" s="592"/>
      <c r="F573" s="592"/>
      <c r="G573" s="726"/>
      <c r="H573" s="728" t="s">
        <v>34</v>
      </c>
      <c r="I573" s="184"/>
      <c r="J573" s="214">
        <v>0</v>
      </c>
      <c r="K573" s="163"/>
      <c r="L573" s="163"/>
      <c r="M573" s="163"/>
      <c r="N573" s="163"/>
      <c r="O573" s="163"/>
      <c r="P573" s="163"/>
      <c r="Q573" s="541"/>
      <c r="R573" s="541"/>
      <c r="S573" s="541"/>
      <c r="T573" s="541"/>
      <c r="U573" s="541"/>
      <c r="V573" s="541"/>
      <c r="W573" s="541"/>
      <c r="X573" s="541"/>
      <c r="Y573" s="541"/>
      <c r="Z573" s="541"/>
    </row>
    <row r="574" spans="1:26" ht="18.75">
      <c r="A574" s="572"/>
      <c r="B574" s="584"/>
      <c r="C574" s="584"/>
      <c r="D574" s="592" t="s">
        <v>242</v>
      </c>
      <c r="E574" s="592"/>
      <c r="F574" s="592"/>
      <c r="G574" s="726"/>
      <c r="H574" s="728" t="s">
        <v>46</v>
      </c>
      <c r="I574" s="184"/>
      <c r="J574" s="214">
        <v>0</v>
      </c>
      <c r="K574" s="163"/>
      <c r="L574" s="163"/>
      <c r="M574" s="163"/>
      <c r="N574" s="163"/>
      <c r="O574" s="163"/>
      <c r="P574" s="163"/>
      <c r="Q574" s="541"/>
      <c r="R574" s="541"/>
      <c r="S574" s="541"/>
      <c r="T574" s="541"/>
      <c r="U574" s="541"/>
      <c r="V574" s="541"/>
      <c r="W574" s="541"/>
      <c r="X574" s="541"/>
      <c r="Y574" s="541"/>
      <c r="Z574" s="541"/>
    </row>
    <row r="575" spans="1:26" ht="18.75">
      <c r="A575" s="572"/>
      <c r="B575" s="584"/>
      <c r="C575" s="584"/>
      <c r="D575" s="584"/>
      <c r="E575" s="592"/>
      <c r="F575" s="592"/>
      <c r="G575" s="726"/>
      <c r="H575" s="728" t="s">
        <v>34</v>
      </c>
      <c r="I575" s="184"/>
      <c r="J575" s="214">
        <v>0</v>
      </c>
      <c r="K575" s="163"/>
      <c r="L575" s="163"/>
      <c r="M575" s="163"/>
      <c r="N575" s="163"/>
      <c r="O575" s="163"/>
      <c r="P575" s="163"/>
      <c r="Q575" s="541"/>
      <c r="R575" s="541"/>
      <c r="S575" s="541"/>
      <c r="T575" s="541"/>
      <c r="U575" s="541"/>
      <c r="V575" s="541"/>
      <c r="W575" s="541"/>
      <c r="X575" s="541"/>
      <c r="Y575" s="541"/>
      <c r="Z575" s="541"/>
    </row>
    <row r="576" spans="1:26" ht="19.5">
      <c r="A576" s="572"/>
      <c r="B576" s="584"/>
      <c r="C576" s="591" t="s">
        <v>243</v>
      </c>
      <c r="D576" s="584"/>
      <c r="E576" s="584"/>
      <c r="F576" s="592"/>
      <c r="G576" s="726"/>
      <c r="H576" s="731" t="s">
        <v>46</v>
      </c>
      <c r="I576" s="193">
        <f ca="1">IFERROR(__xludf.DUMMYFUNCTION("IMPORTRANGE(""https://docs.google.com/spreadsheets/d/1QqKyyYR6Q21VydFLVH3TRQUabQu_ym0Zz7PgGX0-kHA/edit?usp=sharing"",""แผน!HH29"")"),60744)</f>
        <v>60744</v>
      </c>
      <c r="J576" s="647">
        <f t="shared" ref="J576:J577" si="249">J578+J580+J582+J588+J590</f>
        <v>0</v>
      </c>
      <c r="K576" s="379">
        <f t="shared" ref="K576:K577" ca="1" si="250">IF(I576&gt;0,J576*100/I576,0)</f>
        <v>0</v>
      </c>
      <c r="L576" s="163"/>
      <c r="M576" s="163"/>
      <c r="N576" s="163"/>
      <c r="O576" s="163"/>
      <c r="P576" s="163"/>
      <c r="Q576" s="541"/>
      <c r="R576" s="541"/>
      <c r="S576" s="541"/>
      <c r="T576" s="541"/>
      <c r="U576" s="541"/>
      <c r="V576" s="541"/>
      <c r="W576" s="541"/>
      <c r="X576" s="541"/>
      <c r="Y576" s="541"/>
      <c r="Z576" s="541"/>
    </row>
    <row r="577" spans="1:26" ht="19.5">
      <c r="A577" s="572"/>
      <c r="B577" s="584"/>
      <c r="C577" s="584"/>
      <c r="D577" s="584"/>
      <c r="E577" s="592"/>
      <c r="F577" s="592"/>
      <c r="G577" s="726"/>
      <c r="H577" s="731" t="s">
        <v>34</v>
      </c>
      <c r="I577" s="193">
        <f ca="1">IFERROR(__xludf.DUMMYFUNCTION("IMPORTRANGE(""https://docs.google.com/spreadsheets/d/1QqKyyYR6Q21VydFLVH3TRQUabQu_ym0Zz7PgGX0-kHA/edit?usp=sharing"",""แผน!HG29"")"),8156)</f>
        <v>8156</v>
      </c>
      <c r="J577" s="647">
        <f t="shared" si="249"/>
        <v>0</v>
      </c>
      <c r="K577" s="379">
        <f t="shared" ca="1" si="250"/>
        <v>0</v>
      </c>
      <c r="L577" s="163"/>
      <c r="M577" s="163"/>
      <c r="N577" s="163"/>
      <c r="O577" s="163"/>
      <c r="P577" s="163"/>
      <c r="Q577" s="541"/>
      <c r="R577" s="541"/>
      <c r="S577" s="541"/>
      <c r="T577" s="541"/>
      <c r="U577" s="541"/>
      <c r="V577" s="541"/>
      <c r="W577" s="541"/>
      <c r="X577" s="541"/>
      <c r="Y577" s="541"/>
      <c r="Z577" s="541"/>
    </row>
    <row r="578" spans="1:26" ht="18.75">
      <c r="A578" s="572"/>
      <c r="B578" s="584"/>
      <c r="C578" s="584"/>
      <c r="D578" s="592" t="s">
        <v>244</v>
      </c>
      <c r="E578" s="592"/>
      <c r="F578" s="592"/>
      <c r="G578" s="726"/>
      <c r="H578" s="728" t="s">
        <v>46</v>
      </c>
      <c r="I578" s="184"/>
      <c r="J578" s="214">
        <v>0</v>
      </c>
      <c r="K578" s="163"/>
      <c r="L578" s="163"/>
      <c r="M578" s="163"/>
      <c r="N578" s="163"/>
      <c r="O578" s="163"/>
      <c r="P578" s="163"/>
      <c r="Q578" s="541"/>
      <c r="R578" s="541"/>
      <c r="S578" s="541"/>
      <c r="T578" s="541"/>
      <c r="U578" s="541"/>
      <c r="V578" s="541"/>
      <c r="W578" s="541"/>
      <c r="X578" s="541"/>
      <c r="Y578" s="541"/>
      <c r="Z578" s="541"/>
    </row>
    <row r="579" spans="1:26" ht="18.75">
      <c r="A579" s="572"/>
      <c r="B579" s="584"/>
      <c r="C579" s="584"/>
      <c r="D579" s="584"/>
      <c r="E579" s="592"/>
      <c r="F579" s="592"/>
      <c r="G579" s="726"/>
      <c r="H579" s="728" t="s">
        <v>34</v>
      </c>
      <c r="I579" s="184"/>
      <c r="J579" s="214">
        <v>0</v>
      </c>
      <c r="K579" s="163"/>
      <c r="L579" s="163"/>
      <c r="M579" s="163"/>
      <c r="N579" s="163"/>
      <c r="O579" s="163"/>
      <c r="P579" s="163"/>
      <c r="Q579" s="541"/>
      <c r="R579" s="541"/>
      <c r="S579" s="541"/>
      <c r="T579" s="541"/>
      <c r="U579" s="541"/>
      <c r="V579" s="541"/>
      <c r="W579" s="541"/>
      <c r="X579" s="541"/>
      <c r="Y579" s="541"/>
      <c r="Z579" s="541"/>
    </row>
    <row r="580" spans="1:26" ht="18.75">
      <c r="A580" s="572"/>
      <c r="B580" s="584"/>
      <c r="C580" s="584"/>
      <c r="D580" s="592" t="s">
        <v>245</v>
      </c>
      <c r="E580" s="592"/>
      <c r="F580" s="592"/>
      <c r="G580" s="726"/>
      <c r="H580" s="728" t="s">
        <v>46</v>
      </c>
      <c r="I580" s="184"/>
      <c r="J580" s="214">
        <v>0</v>
      </c>
      <c r="K580" s="163"/>
      <c r="L580" s="163"/>
      <c r="M580" s="163"/>
      <c r="N580" s="163"/>
      <c r="O580" s="163"/>
      <c r="P580" s="163"/>
      <c r="Q580" s="541"/>
      <c r="R580" s="541"/>
      <c r="S580" s="541"/>
      <c r="T580" s="541"/>
      <c r="U580" s="541"/>
      <c r="V580" s="541"/>
      <c r="W580" s="541"/>
      <c r="X580" s="541"/>
      <c r="Y580" s="541"/>
      <c r="Z580" s="541"/>
    </row>
    <row r="581" spans="1:26" ht="18.75">
      <c r="A581" s="572"/>
      <c r="B581" s="584"/>
      <c r="C581" s="584"/>
      <c r="D581" s="584"/>
      <c r="E581" s="592"/>
      <c r="F581" s="592"/>
      <c r="G581" s="726"/>
      <c r="H581" s="728" t="s">
        <v>34</v>
      </c>
      <c r="I581" s="184"/>
      <c r="J581" s="214">
        <v>0</v>
      </c>
      <c r="K581" s="163"/>
      <c r="L581" s="163"/>
      <c r="M581" s="163"/>
      <c r="N581" s="163"/>
      <c r="O581" s="163"/>
      <c r="P581" s="163"/>
      <c r="Q581" s="541"/>
      <c r="R581" s="541"/>
      <c r="S581" s="541"/>
      <c r="T581" s="541"/>
      <c r="U581" s="541"/>
      <c r="V581" s="541"/>
      <c r="W581" s="541"/>
      <c r="X581" s="541"/>
      <c r="Y581" s="541"/>
      <c r="Z581" s="541"/>
    </row>
    <row r="582" spans="1:26" ht="19.5">
      <c r="A582" s="572"/>
      <c r="B582" s="584"/>
      <c r="C582" s="584"/>
      <c r="D582" s="592" t="s">
        <v>246</v>
      </c>
      <c r="E582" s="592"/>
      <c r="F582" s="592"/>
      <c r="G582" s="726"/>
      <c r="H582" s="728" t="s">
        <v>46</v>
      </c>
      <c r="I582" s="184"/>
      <c r="J582" s="647">
        <f t="shared" ref="J582:J583" si="251">J584+J586</f>
        <v>0</v>
      </c>
      <c r="K582" s="379"/>
      <c r="L582" s="163"/>
      <c r="M582" s="163"/>
      <c r="N582" s="163"/>
      <c r="O582" s="163"/>
      <c r="P582" s="163"/>
      <c r="Q582" s="541"/>
      <c r="R582" s="541"/>
      <c r="S582" s="541"/>
      <c r="T582" s="541"/>
      <c r="U582" s="541"/>
      <c r="V582" s="541"/>
      <c r="W582" s="541"/>
      <c r="X582" s="541"/>
      <c r="Y582" s="541"/>
      <c r="Z582" s="541"/>
    </row>
    <row r="583" spans="1:26" ht="19.5">
      <c r="A583" s="572"/>
      <c r="B583" s="584"/>
      <c r="C583" s="584"/>
      <c r="D583" s="584"/>
      <c r="E583" s="592"/>
      <c r="F583" s="592"/>
      <c r="G583" s="726"/>
      <c r="H583" s="728" t="s">
        <v>34</v>
      </c>
      <c r="I583" s="184"/>
      <c r="J583" s="647">
        <f t="shared" si="251"/>
        <v>0</v>
      </c>
      <c r="K583" s="379"/>
      <c r="L583" s="163"/>
      <c r="M583" s="163"/>
      <c r="N583" s="163"/>
      <c r="O583" s="163"/>
      <c r="P583" s="163"/>
      <c r="Q583" s="541"/>
      <c r="R583" s="541"/>
      <c r="S583" s="541"/>
      <c r="T583" s="541"/>
      <c r="U583" s="541"/>
      <c r="V583" s="541"/>
      <c r="W583" s="541"/>
      <c r="X583" s="541"/>
      <c r="Y583" s="541"/>
      <c r="Z583" s="541"/>
    </row>
    <row r="584" spans="1:26" ht="18.75">
      <c r="A584" s="572"/>
      <c r="B584" s="584"/>
      <c r="C584" s="584"/>
      <c r="D584" s="584"/>
      <c r="E584" s="592" t="s">
        <v>247</v>
      </c>
      <c r="F584" s="592"/>
      <c r="G584" s="726"/>
      <c r="H584" s="728" t="s">
        <v>46</v>
      </c>
      <c r="I584" s="184"/>
      <c r="J584" s="214">
        <v>0</v>
      </c>
      <c r="K584" s="163"/>
      <c r="L584" s="163"/>
      <c r="M584" s="163"/>
      <c r="N584" s="163"/>
      <c r="O584" s="163"/>
      <c r="P584" s="163"/>
      <c r="Q584" s="541"/>
      <c r="R584" s="541"/>
      <c r="S584" s="541"/>
      <c r="T584" s="541"/>
      <c r="U584" s="541"/>
      <c r="V584" s="541"/>
      <c r="W584" s="541"/>
      <c r="X584" s="541"/>
      <c r="Y584" s="541"/>
      <c r="Z584" s="541"/>
    </row>
    <row r="585" spans="1:26" ht="18.75">
      <c r="A585" s="572"/>
      <c r="B585" s="584"/>
      <c r="C585" s="584"/>
      <c r="D585" s="584"/>
      <c r="E585" s="592"/>
      <c r="F585" s="592"/>
      <c r="G585" s="726"/>
      <c r="H585" s="728" t="s">
        <v>34</v>
      </c>
      <c r="I585" s="184"/>
      <c r="J585" s="214">
        <v>0</v>
      </c>
      <c r="K585" s="163"/>
      <c r="L585" s="163"/>
      <c r="M585" s="163"/>
      <c r="N585" s="163"/>
      <c r="O585" s="163"/>
      <c r="P585" s="163"/>
      <c r="Q585" s="541"/>
      <c r="R585" s="541"/>
      <c r="S585" s="541"/>
      <c r="T585" s="541"/>
      <c r="U585" s="541"/>
      <c r="V585" s="541"/>
      <c r="W585" s="541"/>
      <c r="X585" s="541"/>
      <c r="Y585" s="541"/>
      <c r="Z585" s="541"/>
    </row>
    <row r="586" spans="1:26" ht="18.75">
      <c r="A586" s="572"/>
      <c r="B586" s="584"/>
      <c r="C586" s="584"/>
      <c r="D586" s="584"/>
      <c r="E586" s="592" t="s">
        <v>248</v>
      </c>
      <c r="F586" s="592"/>
      <c r="G586" s="726"/>
      <c r="H586" s="728" t="s">
        <v>46</v>
      </c>
      <c r="I586" s="184"/>
      <c r="J586" s="214">
        <v>0</v>
      </c>
      <c r="K586" s="163"/>
      <c r="L586" s="163"/>
      <c r="M586" s="163"/>
      <c r="N586" s="163"/>
      <c r="O586" s="163"/>
      <c r="P586" s="163"/>
      <c r="Q586" s="541"/>
      <c r="R586" s="541"/>
      <c r="S586" s="541"/>
      <c r="T586" s="541"/>
      <c r="U586" s="541"/>
      <c r="V586" s="541"/>
      <c r="W586" s="541"/>
      <c r="X586" s="541"/>
      <c r="Y586" s="541"/>
      <c r="Z586" s="541"/>
    </row>
    <row r="587" spans="1:26" ht="18.75">
      <c r="A587" s="572"/>
      <c r="B587" s="584"/>
      <c r="C587" s="584"/>
      <c r="D587" s="584"/>
      <c r="E587" s="584"/>
      <c r="F587" s="592"/>
      <c r="G587" s="726"/>
      <c r="H587" s="728" t="s">
        <v>34</v>
      </c>
      <c r="I587" s="184"/>
      <c r="J587" s="214">
        <v>0</v>
      </c>
      <c r="K587" s="163"/>
      <c r="L587" s="163"/>
      <c r="M587" s="163"/>
      <c r="N587" s="163"/>
      <c r="O587" s="163"/>
      <c r="P587" s="163"/>
      <c r="Q587" s="541"/>
      <c r="R587" s="541"/>
      <c r="S587" s="541"/>
      <c r="T587" s="541"/>
      <c r="U587" s="541"/>
      <c r="V587" s="541"/>
      <c r="W587" s="541"/>
      <c r="X587" s="541"/>
      <c r="Y587" s="541"/>
      <c r="Z587" s="541"/>
    </row>
    <row r="588" spans="1:26" ht="18.75">
      <c r="A588" s="572"/>
      <c r="B588" s="584"/>
      <c r="C588" s="584"/>
      <c r="D588" s="592" t="s">
        <v>249</v>
      </c>
      <c r="E588" s="592"/>
      <c r="F588" s="592"/>
      <c r="G588" s="726"/>
      <c r="H588" s="728" t="s">
        <v>46</v>
      </c>
      <c r="I588" s="184"/>
      <c r="J588" s="214">
        <v>0</v>
      </c>
      <c r="K588" s="163"/>
      <c r="L588" s="163"/>
      <c r="M588" s="163"/>
      <c r="N588" s="163"/>
      <c r="O588" s="163"/>
      <c r="P588" s="163"/>
      <c r="Q588" s="541"/>
      <c r="R588" s="541"/>
      <c r="S588" s="541"/>
      <c r="T588" s="541"/>
      <c r="U588" s="541"/>
      <c r="V588" s="541"/>
      <c r="W588" s="541"/>
      <c r="X588" s="541"/>
      <c r="Y588" s="541"/>
      <c r="Z588" s="541"/>
    </row>
    <row r="589" spans="1:26" ht="18.75">
      <c r="A589" s="572"/>
      <c r="B589" s="584"/>
      <c r="C589" s="584"/>
      <c r="D589" s="584"/>
      <c r="E589" s="584"/>
      <c r="F589" s="592"/>
      <c r="G589" s="726"/>
      <c r="H589" s="728" t="s">
        <v>34</v>
      </c>
      <c r="I589" s="184"/>
      <c r="J589" s="214">
        <v>0</v>
      </c>
      <c r="K589" s="163"/>
      <c r="L589" s="163"/>
      <c r="M589" s="163"/>
      <c r="N589" s="163"/>
      <c r="O589" s="163"/>
      <c r="P589" s="163"/>
      <c r="Q589" s="541"/>
      <c r="R589" s="541"/>
      <c r="S589" s="541"/>
      <c r="T589" s="541"/>
      <c r="U589" s="541"/>
      <c r="V589" s="541"/>
      <c r="W589" s="541"/>
      <c r="X589" s="541"/>
      <c r="Y589" s="541"/>
      <c r="Z589" s="541"/>
    </row>
    <row r="590" spans="1:26" ht="18.75">
      <c r="A590" s="572"/>
      <c r="B590" s="584"/>
      <c r="C590" s="584"/>
      <c r="D590" s="592" t="s">
        <v>250</v>
      </c>
      <c r="E590" s="592"/>
      <c r="F590" s="592"/>
      <c r="G590" s="726"/>
      <c r="H590" s="728" t="s">
        <v>46</v>
      </c>
      <c r="I590" s="184"/>
      <c r="J590" s="214">
        <v>0</v>
      </c>
      <c r="K590" s="163"/>
      <c r="L590" s="163"/>
      <c r="M590" s="163"/>
      <c r="N590" s="163"/>
      <c r="O590" s="163"/>
      <c r="P590" s="163"/>
      <c r="Q590" s="541"/>
      <c r="R590" s="541"/>
      <c r="S590" s="541"/>
      <c r="T590" s="541"/>
      <c r="U590" s="541"/>
      <c r="V590" s="541"/>
      <c r="W590" s="541"/>
      <c r="X590" s="541"/>
      <c r="Y590" s="541"/>
      <c r="Z590" s="541"/>
    </row>
    <row r="591" spans="1:26" ht="18.75">
      <c r="A591" s="662"/>
      <c r="B591" s="663"/>
      <c r="C591" s="663"/>
      <c r="D591" s="663"/>
      <c r="E591" s="541"/>
      <c r="F591" s="541"/>
      <c r="G591" s="664"/>
      <c r="H591" s="665" t="s">
        <v>34</v>
      </c>
      <c r="I591" s="666"/>
      <c r="J591" s="667">
        <v>0</v>
      </c>
      <c r="K591" s="668"/>
      <c r="L591" s="668"/>
      <c r="M591" s="668"/>
      <c r="N591" s="668"/>
      <c r="O591" s="668"/>
      <c r="P591" s="668"/>
      <c r="Q591" s="541"/>
      <c r="R591" s="541"/>
      <c r="S591" s="541"/>
      <c r="T591" s="541"/>
      <c r="U591" s="541"/>
      <c r="V591" s="541"/>
      <c r="W591" s="541"/>
      <c r="X591" s="541"/>
      <c r="Y591" s="541"/>
      <c r="Z591" s="541"/>
    </row>
    <row r="592" spans="1:26" ht="19.5" hidden="1">
      <c r="A592" s="658"/>
      <c r="B592" s="659" t="s">
        <v>251</v>
      </c>
      <c r="C592" s="660"/>
      <c r="D592" s="660"/>
      <c r="E592" s="639"/>
      <c r="F592" s="639"/>
      <c r="G592" s="640"/>
      <c r="H592" s="661" t="s">
        <v>46</v>
      </c>
      <c r="I592" s="672">
        <f t="shared" ref="I592:J592" ca="1" si="252">I593</f>
        <v>0</v>
      </c>
      <c r="J592" s="672">
        <f t="shared" si="252"/>
        <v>0</v>
      </c>
      <c r="K592" s="643">
        <f t="shared" ref="K592:K594" ca="1" si="253">IF(I592&gt;0,J592*100/I592,0)</f>
        <v>0</v>
      </c>
      <c r="L592" s="644"/>
      <c r="M592" s="644"/>
      <c r="N592" s="644"/>
      <c r="O592" s="644"/>
      <c r="P592" s="644"/>
      <c r="Q592" s="541"/>
      <c r="R592" s="541"/>
      <c r="S592" s="541"/>
      <c r="T592" s="541"/>
      <c r="U592" s="541"/>
      <c r="V592" s="541"/>
      <c r="W592" s="541"/>
      <c r="X592" s="541"/>
      <c r="Y592" s="541"/>
      <c r="Z592" s="541"/>
    </row>
    <row r="593" spans="1:26" ht="19.5" hidden="1">
      <c r="A593" s="572"/>
      <c r="B593" s="584"/>
      <c r="C593" s="591" t="s">
        <v>252</v>
      </c>
      <c r="D593" s="584"/>
      <c r="E593" s="584"/>
      <c r="F593" s="592"/>
      <c r="G593" s="726"/>
      <c r="H593" s="731" t="s">
        <v>46</v>
      </c>
      <c r="I593" s="193">
        <f ca="1">IFERROR(__xludf.DUMMYFUNCTION("IMPORTRANGE(""https://docs.google.com/spreadsheets/d/1QqKyyYR6Q21VydFLVH3TRQUabQu_ym0Zz7PgGX0-kHA/edit?usp=sharing"",""แผน!HJ29"")"),0)</f>
        <v>0</v>
      </c>
      <c r="J593" s="193">
        <f t="shared" ref="J593:J594" si="254">J595+J603+J609</f>
        <v>0</v>
      </c>
      <c r="K593" s="379">
        <f t="shared" ca="1" si="253"/>
        <v>0</v>
      </c>
      <c r="L593" s="163"/>
      <c r="M593" s="163"/>
      <c r="N593" s="163"/>
      <c r="O593" s="163"/>
      <c r="P593" s="163"/>
      <c r="Q593" s="541"/>
      <c r="R593" s="541"/>
      <c r="S593" s="541"/>
      <c r="T593" s="541"/>
      <c r="U593" s="541"/>
      <c r="V593" s="541"/>
      <c r="W593" s="541"/>
      <c r="X593" s="541"/>
      <c r="Y593" s="541"/>
      <c r="Z593" s="541"/>
    </row>
    <row r="594" spans="1:26" ht="19.5" hidden="1">
      <c r="A594" s="572"/>
      <c r="B594" s="584"/>
      <c r="C594" s="584"/>
      <c r="D594" s="584"/>
      <c r="E594" s="592"/>
      <c r="F594" s="592"/>
      <c r="G594" s="726"/>
      <c r="H594" s="731" t="s">
        <v>34</v>
      </c>
      <c r="I594" s="193">
        <f ca="1">IFERROR(__xludf.DUMMYFUNCTION("IMPORTRANGE(""https://docs.google.com/spreadsheets/d/1QqKyyYR6Q21VydFLVH3TRQUabQu_ym0Zz7PgGX0-kHA/edit?usp=sharing"",""แผน!HI29"")"),0)</f>
        <v>0</v>
      </c>
      <c r="J594" s="193">
        <f t="shared" si="254"/>
        <v>0</v>
      </c>
      <c r="K594" s="379">
        <f t="shared" ca="1" si="253"/>
        <v>0</v>
      </c>
      <c r="L594" s="163"/>
      <c r="M594" s="163"/>
      <c r="N594" s="163"/>
      <c r="O594" s="163"/>
      <c r="P594" s="163"/>
      <c r="Q594" s="541"/>
      <c r="R594" s="541"/>
      <c r="S594" s="541"/>
      <c r="T594" s="541"/>
      <c r="U594" s="541"/>
      <c r="V594" s="541"/>
      <c r="W594" s="541"/>
      <c r="X594" s="541"/>
      <c r="Y594" s="541"/>
      <c r="Z594" s="541"/>
    </row>
    <row r="595" spans="1:26" ht="18.75" hidden="1">
      <c r="A595" s="572"/>
      <c r="B595" s="584"/>
      <c r="C595" s="584" t="s">
        <v>253</v>
      </c>
      <c r="D595" s="584"/>
      <c r="E595" s="584"/>
      <c r="F595" s="592"/>
      <c r="G595" s="726"/>
      <c r="H595" s="728" t="s">
        <v>46</v>
      </c>
      <c r="I595" s="184"/>
      <c r="J595" s="184">
        <f t="shared" ref="J595:J596" si="255">J597+J599</f>
        <v>0</v>
      </c>
      <c r="K595" s="163"/>
      <c r="L595" s="163"/>
      <c r="M595" s="163"/>
      <c r="N595" s="163"/>
      <c r="O595" s="163"/>
      <c r="P595" s="163"/>
      <c r="Q595" s="541"/>
      <c r="R595" s="541"/>
      <c r="S595" s="541"/>
      <c r="T595" s="541"/>
      <c r="U595" s="541"/>
      <c r="V595" s="541"/>
      <c r="W595" s="541"/>
      <c r="X595" s="541"/>
      <c r="Y595" s="541"/>
      <c r="Z595" s="541"/>
    </row>
    <row r="596" spans="1:26" ht="18.75" hidden="1">
      <c r="A596" s="572"/>
      <c r="B596" s="584"/>
      <c r="C596" s="584"/>
      <c r="D596" s="584"/>
      <c r="E596" s="592"/>
      <c r="F596" s="592"/>
      <c r="G596" s="726"/>
      <c r="H596" s="728" t="s">
        <v>34</v>
      </c>
      <c r="I596" s="184"/>
      <c r="J596" s="184">
        <f t="shared" si="255"/>
        <v>0</v>
      </c>
      <c r="K596" s="163"/>
      <c r="L596" s="163"/>
      <c r="M596" s="163"/>
      <c r="N596" s="163"/>
      <c r="O596" s="163"/>
      <c r="P596" s="163"/>
      <c r="Q596" s="541"/>
      <c r="R596" s="541"/>
      <c r="S596" s="541"/>
      <c r="T596" s="541"/>
      <c r="U596" s="541"/>
      <c r="V596" s="541"/>
      <c r="W596" s="541"/>
      <c r="X596" s="541"/>
      <c r="Y596" s="541"/>
      <c r="Z596" s="541"/>
    </row>
    <row r="597" spans="1:26" ht="18.75" hidden="1">
      <c r="A597" s="572"/>
      <c r="B597" s="584"/>
      <c r="C597" s="584"/>
      <c r="D597" s="710" t="s">
        <v>254</v>
      </c>
      <c r="E597" s="592"/>
      <c r="F597" s="592"/>
      <c r="G597" s="726"/>
      <c r="H597" s="728" t="s">
        <v>46</v>
      </c>
      <c r="I597" s="184"/>
      <c r="J597" s="214">
        <v>0</v>
      </c>
      <c r="K597" s="163"/>
      <c r="L597" s="163"/>
      <c r="M597" s="163"/>
      <c r="N597" s="163"/>
      <c r="O597" s="163"/>
      <c r="P597" s="163"/>
      <c r="Q597" s="541"/>
      <c r="R597" s="541"/>
      <c r="S597" s="541"/>
      <c r="T597" s="541"/>
      <c r="U597" s="541"/>
      <c r="V597" s="541"/>
      <c r="W597" s="541"/>
      <c r="X597" s="541"/>
      <c r="Y597" s="541"/>
      <c r="Z597" s="541"/>
    </row>
    <row r="598" spans="1:26" ht="18.75" hidden="1">
      <c r="A598" s="572"/>
      <c r="B598" s="584"/>
      <c r="C598" s="584"/>
      <c r="D598" s="584"/>
      <c r="E598" s="592"/>
      <c r="F598" s="592"/>
      <c r="G598" s="726"/>
      <c r="H598" s="728" t="s">
        <v>34</v>
      </c>
      <c r="I598" s="269"/>
      <c r="J598" s="214">
        <v>0</v>
      </c>
      <c r="K598" s="163"/>
      <c r="L598" s="163"/>
      <c r="M598" s="163"/>
      <c r="N598" s="163"/>
      <c r="O598" s="163"/>
      <c r="P598" s="163"/>
      <c r="Q598" s="541"/>
      <c r="R598" s="541"/>
      <c r="S598" s="541"/>
      <c r="T598" s="541"/>
      <c r="U598" s="541"/>
      <c r="V598" s="541"/>
      <c r="W598" s="541"/>
      <c r="X598" s="541"/>
      <c r="Y598" s="541"/>
      <c r="Z598" s="541"/>
    </row>
    <row r="599" spans="1:26" ht="18.75" hidden="1">
      <c r="A599" s="572"/>
      <c r="B599" s="584"/>
      <c r="C599" s="584"/>
      <c r="D599" s="710" t="s">
        <v>255</v>
      </c>
      <c r="E599" s="592"/>
      <c r="F599" s="592"/>
      <c r="G599" s="726"/>
      <c r="H599" s="728" t="s">
        <v>46</v>
      </c>
      <c r="I599" s="269"/>
      <c r="J599" s="214">
        <v>0</v>
      </c>
      <c r="K599" s="163"/>
      <c r="L599" s="163"/>
      <c r="M599" s="163"/>
      <c r="N599" s="163"/>
      <c r="O599" s="163"/>
      <c r="P599" s="163"/>
      <c r="Q599" s="541"/>
      <c r="R599" s="541"/>
      <c r="S599" s="541"/>
      <c r="T599" s="541"/>
      <c r="U599" s="541"/>
      <c r="V599" s="541"/>
      <c r="W599" s="541"/>
      <c r="X599" s="541"/>
      <c r="Y599" s="541"/>
      <c r="Z599" s="541"/>
    </row>
    <row r="600" spans="1:26" ht="18.75" hidden="1">
      <c r="A600" s="572"/>
      <c r="B600" s="584"/>
      <c r="C600" s="584"/>
      <c r="D600" s="584"/>
      <c r="E600" s="592"/>
      <c r="F600" s="592"/>
      <c r="G600" s="726"/>
      <c r="H600" s="728" t="s">
        <v>34</v>
      </c>
      <c r="I600" s="269"/>
      <c r="J600" s="214">
        <v>0</v>
      </c>
      <c r="K600" s="163"/>
      <c r="L600" s="163"/>
      <c r="M600" s="163"/>
      <c r="N600" s="163"/>
      <c r="O600" s="163"/>
      <c r="P600" s="163"/>
      <c r="Q600" s="541"/>
      <c r="R600" s="541"/>
      <c r="S600" s="541"/>
      <c r="T600" s="541"/>
      <c r="U600" s="541"/>
      <c r="V600" s="541"/>
      <c r="W600" s="541"/>
      <c r="X600" s="541"/>
      <c r="Y600" s="541"/>
      <c r="Z600" s="541"/>
    </row>
    <row r="601" spans="1:26" ht="18.75" hidden="1">
      <c r="A601" s="572"/>
      <c r="B601" s="584"/>
      <c r="C601" s="584"/>
      <c r="D601" s="710" t="s">
        <v>256</v>
      </c>
      <c r="E601" s="592"/>
      <c r="F601" s="592"/>
      <c r="G601" s="726"/>
      <c r="H601" s="728" t="s">
        <v>46</v>
      </c>
      <c r="I601" s="269"/>
      <c r="J601" s="214">
        <v>0</v>
      </c>
      <c r="K601" s="163"/>
      <c r="L601" s="163"/>
      <c r="M601" s="163"/>
      <c r="N601" s="163"/>
      <c r="O601" s="163"/>
      <c r="P601" s="163"/>
      <c r="Q601" s="541"/>
      <c r="R601" s="541"/>
      <c r="S601" s="541"/>
      <c r="T601" s="541"/>
      <c r="U601" s="541"/>
      <c r="V601" s="541"/>
      <c r="W601" s="541"/>
      <c r="X601" s="541"/>
      <c r="Y601" s="541"/>
      <c r="Z601" s="541"/>
    </row>
    <row r="602" spans="1:26" ht="18.75" hidden="1">
      <c r="A602" s="572"/>
      <c r="B602" s="584"/>
      <c r="C602" s="584"/>
      <c r="D602" s="584"/>
      <c r="E602" s="592"/>
      <c r="F602" s="592"/>
      <c r="G602" s="726"/>
      <c r="H602" s="728" t="s">
        <v>34</v>
      </c>
      <c r="I602" s="269"/>
      <c r="J602" s="214">
        <v>0</v>
      </c>
      <c r="K602" s="163"/>
      <c r="L602" s="163"/>
      <c r="M602" s="163"/>
      <c r="N602" s="163"/>
      <c r="O602" s="163"/>
      <c r="P602" s="163"/>
      <c r="Q602" s="541"/>
      <c r="R602" s="541"/>
      <c r="S602" s="541"/>
      <c r="T602" s="541"/>
      <c r="U602" s="541"/>
      <c r="V602" s="541"/>
      <c r="W602" s="541"/>
      <c r="X602" s="541"/>
      <c r="Y602" s="541"/>
      <c r="Z602" s="541"/>
    </row>
    <row r="603" spans="1:26" ht="18.75" hidden="1">
      <c r="A603" s="572"/>
      <c r="B603" s="584"/>
      <c r="C603" s="669" t="s">
        <v>257</v>
      </c>
      <c r="D603" s="584"/>
      <c r="E603" s="584"/>
      <c r="F603" s="592"/>
      <c r="G603" s="726"/>
      <c r="H603" s="728" t="s">
        <v>46</v>
      </c>
      <c r="I603" s="269"/>
      <c r="J603" s="269">
        <f t="shared" ref="J603:J604" si="256">J605+J607</f>
        <v>0</v>
      </c>
      <c r="K603" s="163"/>
      <c r="L603" s="163"/>
      <c r="M603" s="163"/>
      <c r="N603" s="163"/>
      <c r="O603" s="163"/>
      <c r="P603" s="163"/>
      <c r="Q603" s="541"/>
      <c r="R603" s="541"/>
      <c r="S603" s="541"/>
      <c r="T603" s="541"/>
      <c r="U603" s="541"/>
      <c r="V603" s="541"/>
      <c r="W603" s="541"/>
      <c r="X603" s="541"/>
      <c r="Y603" s="541"/>
      <c r="Z603" s="541"/>
    </row>
    <row r="604" spans="1:26" ht="18.75" hidden="1">
      <c r="A604" s="572"/>
      <c r="B604" s="584"/>
      <c r="C604" s="584"/>
      <c r="D604" s="584"/>
      <c r="E604" s="592"/>
      <c r="F604" s="592"/>
      <c r="G604" s="726"/>
      <c r="H604" s="728" t="s">
        <v>34</v>
      </c>
      <c r="I604" s="269"/>
      <c r="J604" s="269">
        <f t="shared" si="256"/>
        <v>0</v>
      </c>
      <c r="K604" s="163"/>
      <c r="L604" s="163"/>
      <c r="M604" s="163"/>
      <c r="N604" s="163"/>
      <c r="O604" s="163"/>
      <c r="P604" s="163"/>
      <c r="Q604" s="541"/>
      <c r="R604" s="541"/>
      <c r="S604" s="541"/>
      <c r="T604" s="541"/>
      <c r="U604" s="541"/>
      <c r="V604" s="541"/>
      <c r="W604" s="541"/>
      <c r="X604" s="541"/>
      <c r="Y604" s="541"/>
      <c r="Z604" s="541"/>
    </row>
    <row r="605" spans="1:26" ht="18.75" hidden="1">
      <c r="A605" s="572"/>
      <c r="B605" s="584"/>
      <c r="C605" s="584"/>
      <c r="D605" s="669" t="s">
        <v>258</v>
      </c>
      <c r="E605" s="592"/>
      <c r="F605" s="592"/>
      <c r="G605" s="726"/>
      <c r="H605" s="728" t="s">
        <v>46</v>
      </c>
      <c r="I605" s="269"/>
      <c r="J605" s="214">
        <v>0</v>
      </c>
      <c r="K605" s="163"/>
      <c r="L605" s="163"/>
      <c r="M605" s="163"/>
      <c r="N605" s="163"/>
      <c r="O605" s="163"/>
      <c r="P605" s="163"/>
      <c r="Q605" s="541"/>
      <c r="R605" s="541"/>
      <c r="S605" s="541"/>
      <c r="T605" s="541"/>
      <c r="U605" s="541"/>
      <c r="V605" s="541"/>
      <c r="W605" s="541"/>
      <c r="X605" s="541"/>
      <c r="Y605" s="541"/>
      <c r="Z605" s="541"/>
    </row>
    <row r="606" spans="1:26" ht="18.75" hidden="1">
      <c r="A606" s="572"/>
      <c r="B606" s="584"/>
      <c r="C606" s="584"/>
      <c r="D606" s="584"/>
      <c r="E606" s="584"/>
      <c r="F606" s="592"/>
      <c r="G606" s="726"/>
      <c r="H606" s="728" t="s">
        <v>34</v>
      </c>
      <c r="I606" s="269"/>
      <c r="J606" s="214">
        <v>0</v>
      </c>
      <c r="K606" s="163"/>
      <c r="L606" s="163"/>
      <c r="M606" s="163"/>
      <c r="N606" s="163"/>
      <c r="O606" s="163"/>
      <c r="P606" s="163"/>
      <c r="Q606" s="541"/>
      <c r="R606" s="541"/>
      <c r="S606" s="541"/>
      <c r="T606" s="541"/>
      <c r="U606" s="541"/>
      <c r="V606" s="541"/>
      <c r="W606" s="541"/>
      <c r="X606" s="541"/>
      <c r="Y606" s="541"/>
      <c r="Z606" s="541"/>
    </row>
    <row r="607" spans="1:26" ht="18.75" hidden="1">
      <c r="A607" s="572"/>
      <c r="B607" s="584"/>
      <c r="C607" s="584"/>
      <c r="D607" s="669" t="s">
        <v>259</v>
      </c>
      <c r="E607" s="584"/>
      <c r="F607" s="592"/>
      <c r="G607" s="726"/>
      <c r="H607" s="728" t="s">
        <v>46</v>
      </c>
      <c r="I607" s="269"/>
      <c r="J607" s="214">
        <v>0</v>
      </c>
      <c r="K607" s="163"/>
      <c r="L607" s="163"/>
      <c r="M607" s="163"/>
      <c r="N607" s="163"/>
      <c r="O607" s="163"/>
      <c r="P607" s="163"/>
      <c r="Q607" s="541"/>
      <c r="R607" s="541"/>
      <c r="S607" s="541"/>
      <c r="T607" s="541"/>
      <c r="U607" s="541"/>
      <c r="V607" s="541"/>
      <c r="W607" s="541"/>
      <c r="X607" s="541"/>
      <c r="Y607" s="541"/>
      <c r="Z607" s="541"/>
    </row>
    <row r="608" spans="1:26" ht="18.75" hidden="1">
      <c r="A608" s="572"/>
      <c r="B608" s="584"/>
      <c r="C608" s="584"/>
      <c r="D608" s="584"/>
      <c r="E608" s="592"/>
      <c r="F608" s="592"/>
      <c r="G608" s="726"/>
      <c r="H608" s="728" t="s">
        <v>34</v>
      </c>
      <c r="I608" s="269"/>
      <c r="J608" s="214">
        <v>0</v>
      </c>
      <c r="K608" s="163"/>
      <c r="L608" s="163"/>
      <c r="M608" s="163"/>
      <c r="N608" s="163"/>
      <c r="O608" s="163"/>
      <c r="P608" s="163"/>
      <c r="Q608" s="541"/>
      <c r="R608" s="541"/>
      <c r="S608" s="541"/>
      <c r="T608" s="541"/>
      <c r="U608" s="541"/>
      <c r="V608" s="541"/>
      <c r="W608" s="541"/>
      <c r="X608" s="541"/>
      <c r="Y608" s="541"/>
      <c r="Z608" s="541"/>
    </row>
    <row r="609" spans="1:26" ht="18.75" hidden="1">
      <c r="A609" s="572"/>
      <c r="B609" s="584"/>
      <c r="C609" s="584" t="s">
        <v>260</v>
      </c>
      <c r="D609" s="584"/>
      <c r="E609" s="584"/>
      <c r="F609" s="592"/>
      <c r="G609" s="726"/>
      <c r="H609" s="728" t="s">
        <v>46</v>
      </c>
      <c r="I609" s="269"/>
      <c r="J609" s="214">
        <v>0</v>
      </c>
      <c r="K609" s="163"/>
      <c r="L609" s="163"/>
      <c r="M609" s="163"/>
      <c r="N609" s="163"/>
      <c r="O609" s="163"/>
      <c r="P609" s="163"/>
      <c r="Q609" s="541"/>
      <c r="R609" s="541"/>
      <c r="S609" s="541"/>
      <c r="T609" s="541"/>
      <c r="U609" s="541"/>
      <c r="V609" s="541"/>
      <c r="W609" s="541"/>
      <c r="X609" s="541"/>
      <c r="Y609" s="541"/>
      <c r="Z609" s="541"/>
    </row>
    <row r="610" spans="1:26" ht="18.75" hidden="1">
      <c r="A610" s="572"/>
      <c r="B610" s="584"/>
      <c r="C610" s="584"/>
      <c r="D610" s="584"/>
      <c r="E610" s="592"/>
      <c r="F610" s="592"/>
      <c r="G610" s="726"/>
      <c r="H610" s="728" t="s">
        <v>34</v>
      </c>
      <c r="I610" s="269"/>
      <c r="J610" s="214">
        <v>0</v>
      </c>
      <c r="K610" s="163"/>
      <c r="L610" s="163"/>
      <c r="M610" s="163"/>
      <c r="N610" s="163"/>
      <c r="O610" s="163"/>
      <c r="P610" s="163"/>
      <c r="Q610" s="541"/>
      <c r="R610" s="541"/>
      <c r="S610" s="541"/>
      <c r="T610" s="541"/>
      <c r="U610" s="541"/>
      <c r="V610" s="541"/>
      <c r="W610" s="541"/>
      <c r="X610" s="541"/>
      <c r="Y610" s="541"/>
      <c r="Z610" s="541"/>
    </row>
    <row r="611" spans="1:26" ht="19.5">
      <c r="A611" s="658"/>
      <c r="B611" s="670" t="s">
        <v>261</v>
      </c>
      <c r="C611" s="660"/>
      <c r="D611" s="660"/>
      <c r="E611" s="639"/>
      <c r="F611" s="639"/>
      <c r="G611" s="640"/>
      <c r="H611" s="671" t="s">
        <v>46</v>
      </c>
      <c r="I611" s="672">
        <v>0</v>
      </c>
      <c r="J611" s="672">
        <f>J614+J616</f>
        <v>0</v>
      </c>
      <c r="K611" s="643">
        <f t="shared" ref="K611:K613" si="257">IF(I611&gt;0,J611*100/I611,0)</f>
        <v>0</v>
      </c>
      <c r="L611" s="644"/>
      <c r="M611" s="644"/>
      <c r="N611" s="644"/>
      <c r="O611" s="644"/>
      <c r="P611" s="644"/>
      <c r="Q611" s="541"/>
      <c r="R611" s="541"/>
      <c r="S611" s="541"/>
      <c r="T611" s="541"/>
      <c r="U611" s="541"/>
      <c r="V611" s="541"/>
      <c r="W611" s="541"/>
      <c r="X611" s="541"/>
      <c r="Y611" s="541"/>
      <c r="Z611" s="541"/>
    </row>
    <row r="612" spans="1:26" ht="19.5" hidden="1">
      <c r="A612" s="673"/>
      <c r="B612" s="683"/>
      <c r="C612" s="675" t="s">
        <v>262</v>
      </c>
      <c r="D612" s="683"/>
      <c r="E612" s="683"/>
      <c r="F612" s="676"/>
      <c r="G612" s="677"/>
      <c r="H612" s="678" t="s">
        <v>46</v>
      </c>
      <c r="I612" s="680">
        <v>0</v>
      </c>
      <c r="J612" s="680">
        <f t="shared" ref="J612:J613" si="258">J614+J616</f>
        <v>0</v>
      </c>
      <c r="K612" s="681">
        <f t="shared" si="257"/>
        <v>0</v>
      </c>
      <c r="L612" s="682"/>
      <c r="M612" s="682"/>
      <c r="N612" s="682"/>
      <c r="O612" s="682"/>
      <c r="P612" s="682"/>
      <c r="Q612" s="568"/>
      <c r="R612" s="568"/>
      <c r="S612" s="568"/>
      <c r="T612" s="568"/>
      <c r="U612" s="568"/>
      <c r="V612" s="568"/>
      <c r="W612" s="568"/>
      <c r="X612" s="568"/>
      <c r="Y612" s="568"/>
      <c r="Z612" s="568"/>
    </row>
    <row r="613" spans="1:26" ht="19.5" hidden="1">
      <c r="A613" s="673"/>
      <c r="B613" s="683"/>
      <c r="C613" s="683" t="s">
        <v>263</v>
      </c>
      <c r="D613" s="683"/>
      <c r="E613" s="683"/>
      <c r="F613" s="676"/>
      <c r="G613" s="677"/>
      <c r="H613" s="678" t="s">
        <v>34</v>
      </c>
      <c r="I613" s="680">
        <v>0</v>
      </c>
      <c r="J613" s="680">
        <f t="shared" si="258"/>
        <v>0</v>
      </c>
      <c r="K613" s="681">
        <f t="shared" si="257"/>
        <v>0</v>
      </c>
      <c r="L613" s="682"/>
      <c r="M613" s="682"/>
      <c r="N613" s="682"/>
      <c r="O613" s="682"/>
      <c r="P613" s="682"/>
      <c r="Q613" s="568"/>
      <c r="R613" s="568"/>
      <c r="S613" s="568"/>
      <c r="T613" s="568"/>
      <c r="U613" s="568"/>
      <c r="V613" s="568"/>
      <c r="W613" s="568"/>
      <c r="X613" s="568"/>
      <c r="Y613" s="568"/>
      <c r="Z613" s="568"/>
    </row>
    <row r="614" spans="1:26" ht="18.75" hidden="1">
      <c r="A614" s="578"/>
      <c r="B614" s="580"/>
      <c r="C614" s="580"/>
      <c r="D614" s="684" t="s">
        <v>264</v>
      </c>
      <c r="E614" s="580"/>
      <c r="F614" s="684"/>
      <c r="G614" s="581"/>
      <c r="H614" s="582" t="s">
        <v>46</v>
      </c>
      <c r="I614" s="583"/>
      <c r="J614" s="583">
        <v>0</v>
      </c>
      <c r="K614" s="167"/>
      <c r="L614" s="167"/>
      <c r="M614" s="167"/>
      <c r="N614" s="167"/>
      <c r="O614" s="167"/>
      <c r="P614" s="167"/>
      <c r="Q614" s="568"/>
      <c r="R614" s="568"/>
      <c r="S614" s="568"/>
      <c r="T614" s="568"/>
      <c r="U614" s="568"/>
      <c r="V614" s="568"/>
      <c r="W614" s="568"/>
      <c r="X614" s="568"/>
      <c r="Y614" s="568"/>
      <c r="Z614" s="568"/>
    </row>
    <row r="615" spans="1:26" ht="18.75" hidden="1">
      <c r="A615" s="578"/>
      <c r="B615" s="580"/>
      <c r="C615" s="580"/>
      <c r="D615" s="580"/>
      <c r="E615" s="580"/>
      <c r="F615" s="684"/>
      <c r="G615" s="581"/>
      <c r="H615" s="582" t="s">
        <v>34</v>
      </c>
      <c r="I615" s="583"/>
      <c r="J615" s="583">
        <v>0</v>
      </c>
      <c r="K615" s="167"/>
      <c r="L615" s="167"/>
      <c r="M615" s="167"/>
      <c r="N615" s="167"/>
      <c r="O615" s="167"/>
      <c r="P615" s="167"/>
      <c r="Q615" s="568"/>
      <c r="R615" s="568"/>
      <c r="S615" s="568"/>
      <c r="T615" s="568"/>
      <c r="U615" s="568"/>
      <c r="V615" s="568"/>
      <c r="W615" s="568"/>
      <c r="X615" s="568"/>
      <c r="Y615" s="568"/>
      <c r="Z615" s="568"/>
    </row>
    <row r="616" spans="1:26" ht="18.75" hidden="1">
      <c r="A616" s="578"/>
      <c r="B616" s="580"/>
      <c r="C616" s="580"/>
      <c r="D616" s="685" t="s">
        <v>264</v>
      </c>
      <c r="E616" s="684"/>
      <c r="F616" s="684"/>
      <c r="G616" s="581"/>
      <c r="H616" s="582" t="s">
        <v>46</v>
      </c>
      <c r="I616" s="583"/>
      <c r="J616" s="583">
        <v>0</v>
      </c>
      <c r="K616" s="167"/>
      <c r="L616" s="167"/>
      <c r="M616" s="167"/>
      <c r="N616" s="167"/>
      <c r="O616" s="167"/>
      <c r="P616" s="167"/>
      <c r="Q616" s="568"/>
      <c r="R616" s="568"/>
      <c r="S616" s="568"/>
      <c r="T616" s="568"/>
      <c r="U616" s="568"/>
      <c r="V616" s="568"/>
      <c r="W616" s="568"/>
      <c r="X616" s="568"/>
      <c r="Y616" s="568"/>
      <c r="Z616" s="568"/>
    </row>
    <row r="617" spans="1:26" ht="18.75" hidden="1">
      <c r="A617" s="578"/>
      <c r="B617" s="580"/>
      <c r="C617" s="580"/>
      <c r="D617" s="580"/>
      <c r="E617" s="684"/>
      <c r="F617" s="684"/>
      <c r="G617" s="581"/>
      <c r="H617" s="582" t="s">
        <v>34</v>
      </c>
      <c r="I617" s="583"/>
      <c r="J617" s="583">
        <v>0</v>
      </c>
      <c r="K617" s="167"/>
      <c r="L617" s="167"/>
      <c r="M617" s="167"/>
      <c r="N617" s="167"/>
      <c r="O617" s="167"/>
      <c r="P617" s="167"/>
      <c r="Q617" s="568"/>
      <c r="R617" s="568"/>
      <c r="S617" s="568"/>
      <c r="T617" s="568"/>
      <c r="U617" s="568"/>
      <c r="V617" s="568"/>
      <c r="W617" s="568"/>
      <c r="X617" s="568"/>
      <c r="Y617" s="568"/>
      <c r="Z617" s="568"/>
    </row>
    <row r="618" spans="1:26" ht="18.75" hidden="1">
      <c r="A618" s="578"/>
      <c r="B618" s="580"/>
      <c r="C618" s="580"/>
      <c r="D618" s="685" t="s">
        <v>265</v>
      </c>
      <c r="E618" s="684"/>
      <c r="F618" s="684"/>
      <c r="G618" s="581"/>
      <c r="H618" s="582" t="s">
        <v>46</v>
      </c>
      <c r="I618" s="583"/>
      <c r="J618" s="583">
        <v>0</v>
      </c>
      <c r="K618" s="167"/>
      <c r="L618" s="167"/>
      <c r="M618" s="167"/>
      <c r="N618" s="167"/>
      <c r="O618" s="167"/>
      <c r="P618" s="167"/>
      <c r="Q618" s="568"/>
      <c r="R618" s="568"/>
      <c r="S618" s="568"/>
      <c r="T618" s="568"/>
      <c r="U618" s="568"/>
      <c r="V618" s="568"/>
      <c r="W618" s="568"/>
      <c r="X618" s="568"/>
      <c r="Y618" s="568"/>
      <c r="Z618" s="568"/>
    </row>
    <row r="619" spans="1:26" ht="18.75" hidden="1">
      <c r="A619" s="578"/>
      <c r="B619" s="580"/>
      <c r="C619" s="580"/>
      <c r="D619" s="580"/>
      <c r="E619" s="684"/>
      <c r="F619" s="684"/>
      <c r="G619" s="581"/>
      <c r="H619" s="582" t="s">
        <v>34</v>
      </c>
      <c r="I619" s="583"/>
      <c r="J619" s="583">
        <v>0</v>
      </c>
      <c r="K619" s="167"/>
      <c r="L619" s="167"/>
      <c r="M619" s="167"/>
      <c r="N619" s="167"/>
      <c r="O619" s="167"/>
      <c r="P619" s="167"/>
      <c r="Q619" s="568"/>
      <c r="R619" s="568"/>
      <c r="S619" s="568"/>
      <c r="T619" s="568"/>
      <c r="U619" s="568"/>
      <c r="V619" s="568"/>
      <c r="W619" s="568"/>
      <c r="X619" s="568"/>
      <c r="Y619" s="568"/>
      <c r="Z619" s="568"/>
    </row>
    <row r="620" spans="1:26" ht="19.5">
      <c r="A620" s="686"/>
      <c r="B620" s="695"/>
      <c r="C620" s="688" t="s">
        <v>266</v>
      </c>
      <c r="D620" s="695"/>
      <c r="E620" s="695"/>
      <c r="F620" s="689"/>
      <c r="G620" s="690"/>
      <c r="H620" s="691" t="s">
        <v>46</v>
      </c>
      <c r="I620" s="692">
        <f ca="1">IFERROR(__xludf.DUMMYFUNCTION("IMPORTRANGE(""https://docs.google.com/spreadsheets/d/1QqKyyYR6Q21VydFLVH3TRQUabQu_ym0Zz7PgGX0-kHA/edit?usp=sharing"",""แผน!HL29"")"),0)</f>
        <v>0</v>
      </c>
      <c r="J620" s="692">
        <f t="shared" ref="J620:J621" si="259">J622+J624+J626</f>
        <v>0</v>
      </c>
      <c r="K620" s="693">
        <f t="shared" ref="K620:K621" ca="1" si="260">IF(I620&gt;0,J620*100/I620,0)</f>
        <v>0</v>
      </c>
      <c r="L620" s="694"/>
      <c r="M620" s="694"/>
      <c r="N620" s="694"/>
      <c r="O620" s="694"/>
      <c r="P620" s="694"/>
      <c r="Q620" s="541"/>
      <c r="R620" s="541"/>
      <c r="S620" s="541"/>
      <c r="T620" s="541"/>
      <c r="U620" s="541"/>
      <c r="V620" s="541"/>
      <c r="W620" s="541"/>
      <c r="X620" s="541"/>
      <c r="Y620" s="541"/>
      <c r="Z620" s="541"/>
    </row>
    <row r="621" spans="1:26" ht="19.5">
      <c r="A621" s="686"/>
      <c r="B621" s="695"/>
      <c r="C621" s="695" t="s">
        <v>267</v>
      </c>
      <c r="D621" s="695"/>
      <c r="E621" s="695"/>
      <c r="F621" s="689"/>
      <c r="G621" s="690"/>
      <c r="H621" s="691" t="s">
        <v>34</v>
      </c>
      <c r="I621" s="692">
        <f ca="1">IFERROR(__xludf.DUMMYFUNCTION("IMPORTRANGE(""https://docs.google.com/spreadsheets/d/1QqKyyYR6Q21VydFLVH3TRQUabQu_ym0Zz7PgGX0-kHA/edit?usp=sharing"",""แผน!HK29"")"),0)</f>
        <v>0</v>
      </c>
      <c r="J621" s="692">
        <f t="shared" si="259"/>
        <v>0</v>
      </c>
      <c r="K621" s="693">
        <f t="shared" ca="1" si="260"/>
        <v>0</v>
      </c>
      <c r="L621" s="694"/>
      <c r="M621" s="694"/>
      <c r="N621" s="694"/>
      <c r="O621" s="694"/>
      <c r="P621" s="694"/>
      <c r="Q621" s="541"/>
      <c r="R621" s="541"/>
      <c r="S621" s="541"/>
      <c r="T621" s="541"/>
      <c r="U621" s="541"/>
      <c r="V621" s="541"/>
      <c r="W621" s="541"/>
      <c r="X621" s="541"/>
      <c r="Y621" s="541"/>
      <c r="Z621" s="541"/>
    </row>
    <row r="622" spans="1:26" ht="18.75">
      <c r="A622" s="572"/>
      <c r="B622" s="584"/>
      <c r="C622" s="584"/>
      <c r="D622" s="710" t="s">
        <v>268</v>
      </c>
      <c r="E622" s="592"/>
      <c r="F622" s="592"/>
      <c r="G622" s="726"/>
      <c r="H622" s="728" t="s">
        <v>46</v>
      </c>
      <c r="I622" s="269"/>
      <c r="J622" s="214">
        <v>0</v>
      </c>
      <c r="K622" s="163"/>
      <c r="L622" s="163"/>
      <c r="M622" s="163"/>
      <c r="N622" s="163"/>
      <c r="O622" s="163"/>
      <c r="P622" s="163"/>
      <c r="Q622" s="541"/>
      <c r="R622" s="541"/>
      <c r="S622" s="541"/>
      <c r="T622" s="541"/>
      <c r="U622" s="541"/>
      <c r="V622" s="541"/>
      <c r="W622" s="541"/>
      <c r="X622" s="541"/>
      <c r="Y622" s="541"/>
      <c r="Z622" s="541"/>
    </row>
    <row r="623" spans="1:26" ht="18.75">
      <c r="A623" s="572"/>
      <c r="B623" s="584"/>
      <c r="C623" s="584"/>
      <c r="D623" s="584"/>
      <c r="E623" s="592"/>
      <c r="F623" s="592"/>
      <c r="G623" s="726"/>
      <c r="H623" s="728" t="s">
        <v>34</v>
      </c>
      <c r="I623" s="269"/>
      <c r="J623" s="214">
        <v>0</v>
      </c>
      <c r="K623" s="163"/>
      <c r="L623" s="163"/>
      <c r="M623" s="163"/>
      <c r="N623" s="163"/>
      <c r="O623" s="163"/>
      <c r="P623" s="163"/>
      <c r="Q623" s="541"/>
      <c r="R623" s="541"/>
      <c r="S623" s="541"/>
      <c r="T623" s="541"/>
      <c r="U623" s="541"/>
      <c r="V623" s="541"/>
      <c r="W623" s="541"/>
      <c r="X623" s="541"/>
      <c r="Y623" s="541"/>
      <c r="Z623" s="541"/>
    </row>
    <row r="624" spans="1:26" ht="18.75">
      <c r="A624" s="572"/>
      <c r="B624" s="584"/>
      <c r="C624" s="584"/>
      <c r="D624" s="710" t="s">
        <v>264</v>
      </c>
      <c r="E624" s="592"/>
      <c r="F624" s="592"/>
      <c r="G624" s="726"/>
      <c r="H624" s="728" t="s">
        <v>46</v>
      </c>
      <c r="I624" s="269"/>
      <c r="J624" s="214">
        <v>0</v>
      </c>
      <c r="K624" s="163"/>
      <c r="L624" s="163"/>
      <c r="M624" s="163"/>
      <c r="N624" s="163"/>
      <c r="O624" s="163"/>
      <c r="P624" s="163"/>
      <c r="Q624" s="541"/>
      <c r="R624" s="541"/>
      <c r="S624" s="541"/>
      <c r="T624" s="541"/>
      <c r="U624" s="541"/>
      <c r="V624" s="541"/>
      <c r="W624" s="541"/>
      <c r="X624" s="541"/>
      <c r="Y624" s="541"/>
      <c r="Z624" s="541"/>
    </row>
    <row r="625" spans="1:26" ht="18.75">
      <c r="A625" s="572"/>
      <c r="B625" s="584"/>
      <c r="C625" s="584"/>
      <c r="D625" s="584"/>
      <c r="E625" s="592"/>
      <c r="F625" s="592"/>
      <c r="G625" s="726"/>
      <c r="H625" s="728" t="s">
        <v>34</v>
      </c>
      <c r="I625" s="269"/>
      <c r="J625" s="214">
        <v>0</v>
      </c>
      <c r="K625" s="163"/>
      <c r="L625" s="163"/>
      <c r="M625" s="163"/>
      <c r="N625" s="163"/>
      <c r="O625" s="163"/>
      <c r="P625" s="163"/>
      <c r="Q625" s="541"/>
      <c r="R625" s="541"/>
      <c r="S625" s="541"/>
      <c r="T625" s="541"/>
      <c r="U625" s="541"/>
      <c r="V625" s="541"/>
      <c r="W625" s="541"/>
      <c r="X625" s="541"/>
      <c r="Y625" s="541"/>
      <c r="Z625" s="541"/>
    </row>
    <row r="626" spans="1:26" ht="18.75">
      <c r="A626" s="572"/>
      <c r="B626" s="584"/>
      <c r="C626" s="584"/>
      <c r="D626" s="710" t="s">
        <v>269</v>
      </c>
      <c r="E626" s="592"/>
      <c r="F626" s="592"/>
      <c r="G626" s="726"/>
      <c r="H626" s="728" t="s">
        <v>46</v>
      </c>
      <c r="I626" s="269"/>
      <c r="J626" s="214">
        <v>0</v>
      </c>
      <c r="K626" s="163"/>
      <c r="L626" s="163"/>
      <c r="M626" s="163"/>
      <c r="N626" s="163"/>
      <c r="O626" s="163"/>
      <c r="P626" s="163"/>
      <c r="Q626" s="541"/>
      <c r="R626" s="541"/>
      <c r="S626" s="541"/>
      <c r="T626" s="541"/>
      <c r="U626" s="541"/>
      <c r="V626" s="541"/>
      <c r="W626" s="541"/>
      <c r="X626" s="541"/>
      <c r="Y626" s="541"/>
      <c r="Z626" s="541"/>
    </row>
    <row r="627" spans="1:26" ht="18.75">
      <c r="A627" s="696"/>
      <c r="B627" s="697"/>
      <c r="C627" s="697"/>
      <c r="D627" s="697"/>
      <c r="E627" s="698"/>
      <c r="F627" s="698"/>
      <c r="G627" s="699"/>
      <c r="H627" s="390" t="s">
        <v>34</v>
      </c>
      <c r="I627" s="468"/>
      <c r="J627" s="392">
        <v>0</v>
      </c>
      <c r="K627" s="353"/>
      <c r="L627" s="353"/>
      <c r="M627" s="353"/>
      <c r="N627" s="353"/>
      <c r="O627" s="353"/>
      <c r="P627" s="353"/>
      <c r="Q627" s="541"/>
      <c r="R627" s="541"/>
      <c r="S627" s="541"/>
      <c r="T627" s="541"/>
      <c r="U627" s="541"/>
      <c r="V627" s="541"/>
      <c r="W627" s="541"/>
      <c r="X627" s="541"/>
      <c r="Y627" s="541"/>
      <c r="Z627" s="541"/>
    </row>
    <row r="628" spans="1:26" ht="19.5">
      <c r="A628" s="700">
        <v>7</v>
      </c>
      <c r="B628" s="701" t="s">
        <v>270</v>
      </c>
      <c r="C628" s="702"/>
      <c r="D628" s="702"/>
      <c r="E628" s="702"/>
      <c r="F628" s="702"/>
      <c r="G628" s="703"/>
      <c r="H628" s="704" t="s">
        <v>35</v>
      </c>
      <c r="I628" s="705">
        <f t="shared" ref="I628:J628" ca="1" si="261">I651</f>
        <v>10</v>
      </c>
      <c r="J628" s="705">
        <f t="shared" ca="1" si="261"/>
        <v>0</v>
      </c>
      <c r="K628" s="706">
        <f ca="1">IF(I628&gt;0,J628*100/I628,0)</f>
        <v>0</v>
      </c>
      <c r="L628" s="707"/>
      <c r="M628" s="707"/>
      <c r="N628" s="707"/>
      <c r="O628" s="707"/>
      <c r="P628" s="707"/>
      <c r="Q628" s="541"/>
      <c r="R628" s="541"/>
      <c r="S628" s="541"/>
      <c r="T628" s="541"/>
      <c r="U628" s="541"/>
      <c r="V628" s="541"/>
      <c r="W628" s="541"/>
      <c r="X628" s="541"/>
      <c r="Y628" s="541"/>
      <c r="Z628" s="541"/>
    </row>
    <row r="629" spans="1:26" ht="19.5">
      <c r="A629" s="561"/>
      <c r="B629" s="727"/>
      <c r="C629" s="727" t="s">
        <v>16</v>
      </c>
      <c r="D629" s="811" t="s">
        <v>17</v>
      </c>
      <c r="E629" s="805"/>
      <c r="F629" s="805"/>
      <c r="G629" s="189"/>
      <c r="H629" s="562" t="s">
        <v>12</v>
      </c>
      <c r="I629" s="269"/>
      <c r="J629" s="269"/>
      <c r="K629" s="465"/>
      <c r="L629" s="195">
        <f t="shared" ref="L629:N629" ca="1" si="262">L630+L631</f>
        <v>165700</v>
      </c>
      <c r="M629" s="195">
        <f t="shared" si="262"/>
        <v>0</v>
      </c>
      <c r="N629" s="195">
        <f t="shared" si="262"/>
        <v>0</v>
      </c>
      <c r="O629" s="195">
        <f t="shared" ref="O629:O634" ca="1" si="263">IF(L629&gt;0,N629*100/L629,0)</f>
        <v>0</v>
      </c>
      <c r="P629" s="195">
        <f t="shared" ref="P629:P634" si="264">IF(M629&gt;0,N629*100/M629,0)</f>
        <v>0</v>
      </c>
      <c r="Q629" s="541"/>
      <c r="R629" s="541"/>
      <c r="S629" s="541"/>
      <c r="T629" s="541"/>
      <c r="U629" s="541"/>
      <c r="V629" s="541"/>
      <c r="W629" s="541"/>
      <c r="X629" s="541"/>
      <c r="Y629" s="541"/>
      <c r="Z629" s="541"/>
    </row>
    <row r="630" spans="1:26" ht="18.75" hidden="1">
      <c r="A630" s="563"/>
      <c r="B630" s="723"/>
      <c r="C630" s="723"/>
      <c r="D630" s="684"/>
      <c r="E630" s="723" t="s">
        <v>184</v>
      </c>
      <c r="F630" s="723"/>
      <c r="G630" s="567"/>
      <c r="H630" s="165" t="s">
        <v>12</v>
      </c>
      <c r="I630" s="583"/>
      <c r="J630" s="583"/>
      <c r="K630" s="93"/>
      <c r="L630" s="93">
        <f t="shared" ref="L630:N631" si="265">L633+L640</f>
        <v>0</v>
      </c>
      <c r="M630" s="93">
        <f t="shared" si="265"/>
        <v>0</v>
      </c>
      <c r="N630" s="93">
        <f t="shared" si="265"/>
        <v>0</v>
      </c>
      <c r="O630" s="93">
        <f t="shared" si="263"/>
        <v>0</v>
      </c>
      <c r="P630" s="93">
        <f t="shared" si="264"/>
        <v>0</v>
      </c>
      <c r="Q630" s="568"/>
      <c r="R630" s="568"/>
      <c r="S630" s="568"/>
      <c r="T630" s="568"/>
      <c r="U630" s="568"/>
      <c r="V630" s="568"/>
      <c r="W630" s="568"/>
      <c r="X630" s="568"/>
      <c r="Y630" s="568"/>
      <c r="Z630" s="568"/>
    </row>
    <row r="631" spans="1:26" ht="18.75" hidden="1">
      <c r="A631" s="563"/>
      <c r="B631" s="571"/>
      <c r="C631" s="723"/>
      <c r="D631" s="684"/>
      <c r="E631" s="723" t="s">
        <v>185</v>
      </c>
      <c r="F631" s="723"/>
      <c r="G631" s="567"/>
      <c r="H631" s="165" t="s">
        <v>12</v>
      </c>
      <c r="I631" s="583"/>
      <c r="J631" s="583"/>
      <c r="K631" s="93"/>
      <c r="L631" s="93">
        <f t="shared" ca="1" si="265"/>
        <v>165700</v>
      </c>
      <c r="M631" s="93">
        <f t="shared" si="265"/>
        <v>0</v>
      </c>
      <c r="N631" s="93">
        <f t="shared" si="265"/>
        <v>0</v>
      </c>
      <c r="O631" s="93">
        <f t="shared" ca="1" si="263"/>
        <v>0</v>
      </c>
      <c r="P631" s="93">
        <f t="shared" si="264"/>
        <v>0</v>
      </c>
      <c r="Q631" s="568"/>
      <c r="R631" s="568"/>
      <c r="S631" s="568"/>
      <c r="T631" s="568"/>
      <c r="U631" s="568"/>
      <c r="V631" s="568"/>
      <c r="W631" s="568"/>
      <c r="X631" s="568"/>
      <c r="Y631" s="568"/>
      <c r="Z631" s="568"/>
    </row>
    <row r="632" spans="1:26" ht="18.75">
      <c r="A632" s="561"/>
      <c r="B632" s="538"/>
      <c r="C632" s="727"/>
      <c r="D632" s="570" t="s">
        <v>20</v>
      </c>
      <c r="E632" s="727"/>
      <c r="F632" s="727"/>
      <c r="G632" s="189"/>
      <c r="H632" s="161" t="s">
        <v>12</v>
      </c>
      <c r="I632" s="184"/>
      <c r="J632" s="184"/>
      <c r="K632" s="163"/>
      <c r="L632" s="465">
        <f t="shared" ref="L632:N632" ca="1" si="266">L633+L634</f>
        <v>165700</v>
      </c>
      <c r="M632" s="465">
        <f t="shared" si="266"/>
        <v>0</v>
      </c>
      <c r="N632" s="465">
        <f t="shared" si="266"/>
        <v>0</v>
      </c>
      <c r="O632" s="465">
        <f t="shared" ca="1" si="263"/>
        <v>0</v>
      </c>
      <c r="P632" s="465">
        <f t="shared" si="264"/>
        <v>0</v>
      </c>
      <c r="Q632" s="541"/>
      <c r="R632" s="541"/>
      <c r="S632" s="541"/>
      <c r="T632" s="541"/>
      <c r="U632" s="541"/>
      <c r="V632" s="541"/>
      <c r="W632" s="541"/>
      <c r="X632" s="541"/>
      <c r="Y632" s="541"/>
      <c r="Z632" s="541"/>
    </row>
    <row r="633" spans="1:26" ht="18.75" hidden="1">
      <c r="A633" s="563"/>
      <c r="B633" s="571"/>
      <c r="C633" s="723"/>
      <c r="D633" s="684"/>
      <c r="E633" s="723" t="s">
        <v>184</v>
      </c>
      <c r="F633" s="723"/>
      <c r="G633" s="567"/>
      <c r="H633" s="165" t="s">
        <v>12</v>
      </c>
      <c r="I633" s="583"/>
      <c r="J633" s="583"/>
      <c r="K633" s="93"/>
      <c r="L633" s="93">
        <v>0</v>
      </c>
      <c r="M633" s="93">
        <v>0</v>
      </c>
      <c r="N633" s="93">
        <v>0</v>
      </c>
      <c r="O633" s="93">
        <f t="shared" si="263"/>
        <v>0</v>
      </c>
      <c r="P633" s="93">
        <f t="shared" si="264"/>
        <v>0</v>
      </c>
      <c r="Q633" s="568"/>
      <c r="R633" s="568"/>
      <c r="S633" s="568"/>
      <c r="T633" s="568"/>
      <c r="U633" s="568"/>
      <c r="V633" s="568"/>
      <c r="W633" s="568"/>
      <c r="X633" s="568"/>
      <c r="Y633" s="568"/>
      <c r="Z633" s="568"/>
    </row>
    <row r="634" spans="1:26" ht="18.75" hidden="1">
      <c r="A634" s="563"/>
      <c r="B634" s="571"/>
      <c r="C634" s="723"/>
      <c r="D634" s="684"/>
      <c r="E634" s="723" t="s">
        <v>185</v>
      </c>
      <c r="F634" s="723"/>
      <c r="G634" s="567"/>
      <c r="H634" s="165" t="s">
        <v>12</v>
      </c>
      <c r="I634" s="583"/>
      <c r="J634" s="583"/>
      <c r="K634" s="93"/>
      <c r="L634" s="93">
        <f ca="1">IFERROR(__xludf.DUMMYFUNCTION("IMPORTRANGE(""https://docs.google.com/spreadsheets/d/1QqKyyYR6Q21VydFLVH3TRQUabQu_ym0Zz7PgGX0-kHA/edit?usp=sharing"",""แผน!HN29"")"),165700)</f>
        <v>165700</v>
      </c>
      <c r="M634" s="93">
        <v>0</v>
      </c>
      <c r="N634" s="93">
        <f>N635+N636+N637+N638</f>
        <v>0</v>
      </c>
      <c r="O634" s="93">
        <f t="shared" ca="1" si="263"/>
        <v>0</v>
      </c>
      <c r="P634" s="93">
        <f t="shared" si="264"/>
        <v>0</v>
      </c>
      <c r="Q634" s="568"/>
      <c r="R634" s="568"/>
      <c r="S634" s="568"/>
      <c r="T634" s="568"/>
      <c r="U634" s="568"/>
      <c r="V634" s="568"/>
      <c r="W634" s="568"/>
      <c r="X634" s="568"/>
      <c r="Y634" s="568"/>
      <c r="Z634" s="568"/>
    </row>
    <row r="635" spans="1:26" ht="18.75">
      <c r="A635" s="537"/>
      <c r="B635" s="538"/>
      <c r="C635" s="727"/>
      <c r="D635" s="727"/>
      <c r="E635" s="727"/>
      <c r="F635" s="727" t="s">
        <v>186</v>
      </c>
      <c r="G635" s="189"/>
      <c r="H635" s="161" t="s">
        <v>12</v>
      </c>
      <c r="I635" s="269"/>
      <c r="J635" s="269"/>
      <c r="K635" s="465"/>
      <c r="L635" s="465"/>
      <c r="M635" s="465"/>
      <c r="N635" s="789">
        <v>0</v>
      </c>
      <c r="O635" s="465"/>
      <c r="P635" s="465"/>
      <c r="Q635" s="541"/>
      <c r="R635" s="541"/>
      <c r="S635" s="541"/>
      <c r="T635" s="541"/>
      <c r="U635" s="541"/>
      <c r="V635" s="541"/>
      <c r="W635" s="541"/>
      <c r="X635" s="541"/>
      <c r="Y635" s="541"/>
      <c r="Z635" s="541"/>
    </row>
    <row r="636" spans="1:26" ht="18.75">
      <c r="A636" s="537"/>
      <c r="B636" s="538"/>
      <c r="C636" s="727"/>
      <c r="D636" s="727"/>
      <c r="E636" s="727"/>
      <c r="F636" s="727" t="s">
        <v>187</v>
      </c>
      <c r="G636" s="189"/>
      <c r="H636" s="161" t="s">
        <v>12</v>
      </c>
      <c r="I636" s="269"/>
      <c r="J636" s="269"/>
      <c r="K636" s="465"/>
      <c r="L636" s="465"/>
      <c r="M636" s="465"/>
      <c r="N636" s="789">
        <v>0</v>
      </c>
      <c r="O636" s="465"/>
      <c r="P636" s="465"/>
      <c r="Q636" s="541"/>
      <c r="R636" s="541"/>
      <c r="S636" s="541"/>
      <c r="T636" s="541"/>
      <c r="U636" s="541"/>
      <c r="V636" s="541"/>
      <c r="W636" s="541"/>
      <c r="X636" s="541"/>
      <c r="Y636" s="541"/>
      <c r="Z636" s="541"/>
    </row>
    <row r="637" spans="1:26" ht="18.75">
      <c r="A637" s="537"/>
      <c r="B637" s="538"/>
      <c r="C637" s="727"/>
      <c r="D637" s="727"/>
      <c r="E637" s="727"/>
      <c r="F637" s="727" t="s">
        <v>188</v>
      </c>
      <c r="G637" s="189"/>
      <c r="H637" s="161" t="s">
        <v>12</v>
      </c>
      <c r="I637" s="269"/>
      <c r="J637" s="269"/>
      <c r="K637" s="465"/>
      <c r="L637" s="465"/>
      <c r="M637" s="465"/>
      <c r="N637" s="789">
        <v>0</v>
      </c>
      <c r="O637" s="465"/>
      <c r="P637" s="465"/>
      <c r="Q637" s="541"/>
      <c r="R637" s="541"/>
      <c r="S637" s="541"/>
      <c r="T637" s="541"/>
      <c r="U637" s="541"/>
      <c r="V637" s="541"/>
      <c r="W637" s="541"/>
      <c r="X637" s="541"/>
      <c r="Y637" s="541"/>
      <c r="Z637" s="541"/>
    </row>
    <row r="638" spans="1:26" ht="18.75">
      <c r="A638" s="537"/>
      <c r="B638" s="538"/>
      <c r="C638" s="727"/>
      <c r="D638" s="727"/>
      <c r="E638" s="727"/>
      <c r="F638" s="727" t="s">
        <v>189</v>
      </c>
      <c r="G638" s="189"/>
      <c r="H638" s="161" t="s">
        <v>12</v>
      </c>
      <c r="I638" s="269"/>
      <c r="J638" s="269"/>
      <c r="K638" s="465"/>
      <c r="L638" s="465"/>
      <c r="M638" s="465"/>
      <c r="N638" s="789">
        <v>0</v>
      </c>
      <c r="O638" s="465"/>
      <c r="P638" s="465"/>
      <c r="Q638" s="541"/>
      <c r="R638" s="541"/>
      <c r="S638" s="541"/>
      <c r="T638" s="541"/>
      <c r="U638" s="541"/>
      <c r="V638" s="541"/>
      <c r="W638" s="541"/>
      <c r="X638" s="541"/>
      <c r="Y638" s="541"/>
      <c r="Z638" s="541"/>
    </row>
    <row r="639" spans="1:26" ht="18.75">
      <c r="A639" s="561"/>
      <c r="B639" s="538"/>
      <c r="C639" s="727"/>
      <c r="D639" s="570" t="s">
        <v>21</v>
      </c>
      <c r="E639" s="727"/>
      <c r="F639" s="727"/>
      <c r="G639" s="189"/>
      <c r="H639" s="168" t="s">
        <v>12</v>
      </c>
      <c r="I639" s="184"/>
      <c r="J639" s="184"/>
      <c r="K639" s="163"/>
      <c r="L639" s="465">
        <f t="shared" ref="L639:N639" ca="1" si="267">L640+L641</f>
        <v>0</v>
      </c>
      <c r="M639" s="465">
        <f t="shared" si="267"/>
        <v>0</v>
      </c>
      <c r="N639" s="465">
        <f t="shared" si="267"/>
        <v>0</v>
      </c>
      <c r="O639" s="465">
        <f t="shared" ref="O639:O641" ca="1" si="268">IF(L639&gt;0,N639*100/L639,0)</f>
        <v>0</v>
      </c>
      <c r="P639" s="465">
        <f t="shared" ref="P639:P641" si="269">IF(M639&gt;0,N639*100/M639,0)</f>
        <v>0</v>
      </c>
      <c r="Q639" s="541"/>
      <c r="R639" s="541"/>
      <c r="S639" s="541"/>
      <c r="T639" s="541"/>
      <c r="U639" s="541"/>
      <c r="V639" s="541"/>
      <c r="W639" s="541"/>
      <c r="X639" s="541"/>
      <c r="Y639" s="541"/>
      <c r="Z639" s="541"/>
    </row>
    <row r="640" spans="1:26" ht="18.75" hidden="1">
      <c r="A640" s="563"/>
      <c r="B640" s="571"/>
      <c r="C640" s="723"/>
      <c r="D640" s="723"/>
      <c r="E640" s="723" t="s">
        <v>18</v>
      </c>
      <c r="F640" s="723"/>
      <c r="G640" s="567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8"/>
        <v>0</v>
      </c>
      <c r="P640" s="93">
        <f t="shared" si="269"/>
        <v>0</v>
      </c>
      <c r="Q640" s="568"/>
      <c r="R640" s="568"/>
      <c r="S640" s="568"/>
      <c r="T640" s="568"/>
      <c r="U640" s="568"/>
      <c r="V640" s="568"/>
      <c r="W640" s="568"/>
      <c r="X640" s="568"/>
      <c r="Y640" s="568"/>
      <c r="Z640" s="568"/>
    </row>
    <row r="641" spans="1:26" ht="18.75" hidden="1">
      <c r="A641" s="563"/>
      <c r="B641" s="571"/>
      <c r="C641" s="723"/>
      <c r="D641" s="723"/>
      <c r="E641" s="723" t="s">
        <v>19</v>
      </c>
      <c r="F641" s="723"/>
      <c r="G641" s="567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IFERROR(__xludf.DUMMYFUNCTION("IMPORTRANGE(""https://docs.google.com/spreadsheets/d/1QqKyyYR6Q21VydFLVH3TRQUabQu_ym0Zz7PgGX0-kHA/edit?usp=sharing"",""แผน!HQ29"")"),0)</f>
        <v>0</v>
      </c>
      <c r="M641" s="93">
        <v>0</v>
      </c>
      <c r="N641" s="93">
        <v>0</v>
      </c>
      <c r="O641" s="93">
        <f t="shared" ca="1" si="268"/>
        <v>0</v>
      </c>
      <c r="P641" s="93">
        <f t="shared" si="269"/>
        <v>0</v>
      </c>
      <c r="Q641" s="568"/>
      <c r="R641" s="568"/>
      <c r="S641" s="568"/>
      <c r="T641" s="568"/>
      <c r="U641" s="568"/>
      <c r="V641" s="568"/>
      <c r="W641" s="568"/>
      <c r="X641" s="568"/>
      <c r="Y641" s="568"/>
      <c r="Z641" s="568"/>
    </row>
    <row r="642" spans="1:26" ht="19.5">
      <c r="A642" s="572"/>
      <c r="B642" s="584"/>
      <c r="C642" s="727" t="s">
        <v>16</v>
      </c>
      <c r="D642" s="853" t="s">
        <v>38</v>
      </c>
      <c r="E642" s="725"/>
      <c r="F642" s="725"/>
      <c r="G642" s="577"/>
      <c r="H642" s="726"/>
      <c r="I642" s="184"/>
      <c r="J642" s="184"/>
      <c r="K642" s="163"/>
      <c r="L642" s="163"/>
      <c r="M642" s="163"/>
      <c r="N642" s="163"/>
      <c r="O642" s="163"/>
      <c r="P642" s="163"/>
      <c r="Q642" s="541"/>
      <c r="R642" s="541"/>
      <c r="S642" s="541"/>
      <c r="T642" s="541"/>
      <c r="U642" s="541"/>
      <c r="V642" s="541"/>
      <c r="W642" s="541"/>
      <c r="X642" s="541"/>
      <c r="Y642" s="541"/>
      <c r="Z642" s="541"/>
    </row>
    <row r="643" spans="1:26" ht="18.75">
      <c r="A643" s="708"/>
      <c r="B643" s="538"/>
      <c r="C643" s="727"/>
      <c r="D643" s="592"/>
      <c r="E643" s="710" t="s">
        <v>271</v>
      </c>
      <c r="F643" s="592"/>
      <c r="G643" s="726"/>
      <c r="H643" s="728" t="s">
        <v>272</v>
      </c>
      <c r="I643" s="269">
        <f ca="1">IFERROR(__xludf.DUMMYFUNCTION("IMPORTRANGE(""https://docs.google.com/spreadsheets/d/1QqKyyYR6Q21VydFLVH3TRQUabQu_ym0Zz7PgGX0-kHA/edit?usp=sharing"",""แผน!HR29"")"),0)</f>
        <v>0</v>
      </c>
      <c r="J643" s="214">
        <v>0</v>
      </c>
      <c r="K643" s="163">
        <f t="shared" ref="K643:K652" ca="1" si="270">IF(I643&gt;0,J643*100/I643,0)</f>
        <v>0</v>
      </c>
      <c r="L643" s="163"/>
      <c r="M643" s="163"/>
      <c r="N643" s="465"/>
      <c r="O643" s="163"/>
      <c r="P643" s="163"/>
      <c r="Q643" s="541"/>
      <c r="R643" s="541"/>
      <c r="S643" s="541"/>
      <c r="T643" s="541"/>
      <c r="U643" s="541"/>
      <c r="V643" s="541"/>
      <c r="W643" s="541"/>
      <c r="X643" s="541"/>
      <c r="Y643" s="541"/>
      <c r="Z643" s="541"/>
    </row>
    <row r="644" spans="1:26" ht="18.75">
      <c r="A644" s="708"/>
      <c r="B644" s="538"/>
      <c r="C644" s="727"/>
      <c r="D644" s="592"/>
      <c r="E644" s="710" t="s">
        <v>273</v>
      </c>
      <c r="F644" s="592"/>
      <c r="G644" s="726"/>
      <c r="H644" s="728" t="s">
        <v>274</v>
      </c>
      <c r="I644" s="269">
        <f ca="1">IFERROR(__xludf.DUMMYFUNCTION("IMPORTRANGE(""https://docs.google.com/spreadsheets/d/1QqKyyYR6Q21VydFLVH3TRQUabQu_ym0Zz7PgGX0-kHA/edit?usp=sharing"",""แผน!HR29"")"),0)</f>
        <v>0</v>
      </c>
      <c r="J644" s="214">
        <v>0</v>
      </c>
      <c r="K644" s="163">
        <f t="shared" ca="1" si="270"/>
        <v>0</v>
      </c>
      <c r="L644" s="163"/>
      <c r="M644" s="163"/>
      <c r="N644" s="465"/>
      <c r="O644" s="163"/>
      <c r="P644" s="163"/>
      <c r="Q644" s="541"/>
      <c r="R644" s="541"/>
      <c r="S644" s="541"/>
      <c r="T644" s="541"/>
      <c r="U644" s="541"/>
      <c r="V644" s="541"/>
      <c r="W644" s="541"/>
      <c r="X644" s="541"/>
      <c r="Y644" s="541"/>
      <c r="Z644" s="541"/>
    </row>
    <row r="645" spans="1:26" ht="18.75">
      <c r="A645" s="708"/>
      <c r="B645" s="538"/>
      <c r="C645" s="727"/>
      <c r="D645" s="592"/>
      <c r="E645" s="710" t="s">
        <v>275</v>
      </c>
      <c r="F645" s="592"/>
      <c r="G645" s="726"/>
      <c r="H645" s="728" t="s">
        <v>34</v>
      </c>
      <c r="I645" s="269">
        <v>0</v>
      </c>
      <c r="J645" s="269">
        <f ca="1">IFERROR(__xludf.DUMMYFUNCTION("IMPORTRANGE(""https://docs.google.com/spreadsheets/d/1XWAQStnk-4SwqDmLtmXYiTMKHgktTP8We1SCoS47DrQ/edit?usp=sharing"",""จัดที่ดิน!AS29"")"),0)</f>
        <v>0</v>
      </c>
      <c r="K645" s="163">
        <f t="shared" si="270"/>
        <v>0</v>
      </c>
      <c r="L645" s="163"/>
      <c r="M645" s="163"/>
      <c r="N645" s="465"/>
      <c r="O645" s="163"/>
      <c r="P645" s="163"/>
      <c r="Q645" s="541"/>
      <c r="R645" s="541"/>
      <c r="S645" s="541"/>
      <c r="T645" s="541"/>
      <c r="U645" s="541"/>
      <c r="V645" s="541"/>
      <c r="W645" s="541"/>
      <c r="X645" s="541"/>
      <c r="Y645" s="541"/>
      <c r="Z645" s="541"/>
    </row>
    <row r="646" spans="1:26" ht="18.75">
      <c r="A646" s="708"/>
      <c r="B646" s="538"/>
      <c r="C646" s="727"/>
      <c r="D646" s="592"/>
      <c r="E646" s="592"/>
      <c r="F646" s="592"/>
      <c r="G646" s="726"/>
      <c r="H646" s="728" t="s">
        <v>46</v>
      </c>
      <c r="I646" s="269">
        <v>0</v>
      </c>
      <c r="J646" s="269">
        <f ca="1">IFERROR(__xludf.DUMMYFUNCTION("IMPORTRANGE(""https://docs.google.com/spreadsheets/d/1XWAQStnk-4SwqDmLtmXYiTMKHgktTP8We1SCoS47DrQ/edit?usp=sharing"",""จัดที่ดิน!AT29"")"),0)</f>
        <v>0</v>
      </c>
      <c r="K646" s="465">
        <f t="shared" si="270"/>
        <v>0</v>
      </c>
      <c r="L646" s="163"/>
      <c r="M646" s="163"/>
      <c r="N646" s="465"/>
      <c r="O646" s="163"/>
      <c r="P646" s="163"/>
      <c r="Q646" s="541"/>
      <c r="R646" s="541"/>
      <c r="S646" s="541"/>
      <c r="T646" s="541"/>
      <c r="U646" s="541"/>
      <c r="V646" s="541"/>
      <c r="W646" s="541"/>
      <c r="X646" s="541"/>
      <c r="Y646" s="541"/>
      <c r="Z646" s="541"/>
    </row>
    <row r="647" spans="1:26" ht="18.75">
      <c r="A647" s="708"/>
      <c r="B647" s="538"/>
      <c r="C647" s="727"/>
      <c r="D647" s="592"/>
      <c r="E647" s="710" t="s">
        <v>162</v>
      </c>
      <c r="F647" s="592"/>
      <c r="G647" s="726"/>
      <c r="H647" s="728" t="s">
        <v>35</v>
      </c>
      <c r="I647" s="269">
        <f ca="1">IFERROR(__xludf.DUMMYFUNCTION("IMPORTRANGE(""https://docs.google.com/spreadsheets/d/1QqKyyYR6Q21VydFLVH3TRQUabQu_ym0Zz7PgGX0-kHA/edit?usp=sharing"",""แผน!HS29"")"),10)</f>
        <v>10</v>
      </c>
      <c r="J647" s="269">
        <f ca="1">IFERROR(__xludf.DUMMYFUNCTION("IMPORTRANGE(""https://docs.google.com/spreadsheets/d/1XWAQStnk-4SwqDmLtmXYiTMKHgktTP8We1SCoS47DrQ/edit?usp=sharing"",""จัดที่ดิน!AU29"")"),0)</f>
        <v>0</v>
      </c>
      <c r="K647" s="163">
        <f t="shared" ca="1" si="270"/>
        <v>0</v>
      </c>
      <c r="L647" s="163"/>
      <c r="M647" s="163"/>
      <c r="N647" s="163"/>
      <c r="O647" s="163"/>
      <c r="P647" s="163"/>
      <c r="Q647" s="541"/>
      <c r="R647" s="541"/>
      <c r="S647" s="541"/>
      <c r="T647" s="541"/>
      <c r="U647" s="541"/>
      <c r="V647" s="541"/>
      <c r="W647" s="541"/>
      <c r="X647" s="541"/>
      <c r="Y647" s="541"/>
      <c r="Z647" s="541"/>
    </row>
    <row r="648" spans="1:26" ht="18.75">
      <c r="A648" s="708"/>
      <c r="B648" s="538"/>
      <c r="C648" s="727"/>
      <c r="D648" s="592"/>
      <c r="E648" s="592"/>
      <c r="F648" s="592"/>
      <c r="G648" s="726"/>
      <c r="H648" s="728" t="s">
        <v>46</v>
      </c>
      <c r="I648" s="269">
        <v>0</v>
      </c>
      <c r="J648" s="269">
        <f ca="1">IFERROR(__xludf.DUMMYFUNCTION("IMPORTRANGE(""https://docs.google.com/spreadsheets/d/1XWAQStnk-4SwqDmLtmXYiTMKHgktTP8We1SCoS47DrQ/edit?usp=sharing"",""จัดที่ดิน!AV29"")"),0)</f>
        <v>0</v>
      </c>
      <c r="K648" s="465">
        <f t="shared" si="270"/>
        <v>0</v>
      </c>
      <c r="L648" s="163"/>
      <c r="M648" s="163"/>
      <c r="N648" s="163"/>
      <c r="O648" s="163"/>
      <c r="P648" s="163"/>
      <c r="Q648" s="541"/>
      <c r="R648" s="541"/>
      <c r="S648" s="541"/>
      <c r="T648" s="541"/>
      <c r="U648" s="541"/>
      <c r="V648" s="541"/>
      <c r="W648" s="541"/>
      <c r="X648" s="541"/>
      <c r="Y648" s="541"/>
      <c r="Z648" s="541"/>
    </row>
    <row r="649" spans="1:26" ht="18.75">
      <c r="A649" s="708"/>
      <c r="B649" s="538"/>
      <c r="C649" s="727"/>
      <c r="D649" s="592"/>
      <c r="E649" s="710" t="s">
        <v>276</v>
      </c>
      <c r="F649" s="592"/>
      <c r="G649" s="726"/>
      <c r="H649" s="728" t="s">
        <v>35</v>
      </c>
      <c r="I649" s="269">
        <f ca="1">IFERROR(__xludf.DUMMYFUNCTION("IMPORTRANGE(""https://docs.google.com/spreadsheets/d/1QqKyyYR6Q21VydFLVH3TRQUabQu_ym0Zz7PgGX0-kHA/edit?usp=sharing"",""แผน!HS29"")"),10)</f>
        <v>10</v>
      </c>
      <c r="J649" s="269">
        <f ca="1">IFERROR(__xludf.DUMMYFUNCTION("IMPORTRANGE(""https://docs.google.com/spreadsheets/d/1XWAQStnk-4SwqDmLtmXYiTMKHgktTP8We1SCoS47DrQ/edit?usp=sharing"",""จัดที่ดิน!AW29"")"),0)</f>
        <v>0</v>
      </c>
      <c r="K649" s="163">
        <f t="shared" ca="1" si="270"/>
        <v>0</v>
      </c>
      <c r="L649" s="163"/>
      <c r="M649" s="163"/>
      <c r="N649" s="163"/>
      <c r="O649" s="163"/>
      <c r="P649" s="163"/>
      <c r="Q649" s="541"/>
      <c r="R649" s="541"/>
      <c r="S649" s="541"/>
      <c r="T649" s="541"/>
      <c r="U649" s="541"/>
      <c r="V649" s="541"/>
      <c r="W649" s="541"/>
      <c r="X649" s="541"/>
      <c r="Y649" s="541"/>
      <c r="Z649" s="541"/>
    </row>
    <row r="650" spans="1:26" ht="18.75">
      <c r="A650" s="708"/>
      <c r="B650" s="538"/>
      <c r="C650" s="727"/>
      <c r="D650" s="592"/>
      <c r="E650" s="592"/>
      <c r="F650" s="592"/>
      <c r="G650" s="726"/>
      <c r="H650" s="728" t="s">
        <v>46</v>
      </c>
      <c r="I650" s="269">
        <v>0</v>
      </c>
      <c r="J650" s="269">
        <f ca="1">IFERROR(__xludf.DUMMYFUNCTION("IMPORTRANGE(""https://docs.google.com/spreadsheets/d/1XWAQStnk-4SwqDmLtmXYiTMKHgktTP8We1SCoS47DrQ/edit?usp=sharing"",""จัดที่ดิน!AX29"")"),0)</f>
        <v>0</v>
      </c>
      <c r="K650" s="465">
        <f t="shared" si="270"/>
        <v>0</v>
      </c>
      <c r="L650" s="163"/>
      <c r="M650" s="163"/>
      <c r="N650" s="163"/>
      <c r="O650" s="163"/>
      <c r="P650" s="163"/>
      <c r="Q650" s="541"/>
      <c r="R650" s="541"/>
      <c r="S650" s="541"/>
      <c r="T650" s="541"/>
      <c r="U650" s="541"/>
      <c r="V650" s="541"/>
      <c r="W650" s="541"/>
      <c r="X650" s="541"/>
      <c r="Y650" s="541"/>
      <c r="Z650" s="541"/>
    </row>
    <row r="651" spans="1:26" ht="18.75">
      <c r="A651" s="708"/>
      <c r="B651" s="538"/>
      <c r="C651" s="727"/>
      <c r="D651" s="592"/>
      <c r="E651" s="710" t="s">
        <v>277</v>
      </c>
      <c r="F651" s="592"/>
      <c r="G651" s="726"/>
      <c r="H651" s="728" t="s">
        <v>35</v>
      </c>
      <c r="I651" s="269">
        <f ca="1">IFERROR(__xludf.DUMMYFUNCTION("IMPORTRANGE(""https://docs.google.com/spreadsheets/d/1QqKyyYR6Q21VydFLVH3TRQUabQu_ym0Zz7PgGX0-kHA/edit?usp=sharing"",""แผน!HS29"")"),10)</f>
        <v>10</v>
      </c>
      <c r="J651" s="269">
        <f ca="1">IFERROR(__xludf.DUMMYFUNCTION("IMPORTRANGE(""https://docs.google.com/spreadsheets/d/1XWAQStnk-4SwqDmLtmXYiTMKHgktTP8We1SCoS47DrQ/edit?usp=sharing"",""จัดที่ดิน!AY29"")"),0)</f>
        <v>0</v>
      </c>
      <c r="K651" s="163">
        <f t="shared" ca="1" si="270"/>
        <v>0</v>
      </c>
      <c r="L651" s="163"/>
      <c r="M651" s="163"/>
      <c r="N651" s="163"/>
      <c r="O651" s="163"/>
      <c r="P651" s="163"/>
      <c r="Q651" s="541"/>
      <c r="R651" s="541"/>
      <c r="S651" s="541"/>
      <c r="T651" s="541"/>
      <c r="U651" s="541"/>
      <c r="V651" s="541"/>
      <c r="W651" s="541"/>
      <c r="X651" s="541"/>
      <c r="Y651" s="541"/>
      <c r="Z651" s="541"/>
    </row>
    <row r="652" spans="1:26" ht="18.75">
      <c r="A652" s="711"/>
      <c r="B652" s="712"/>
      <c r="C652" s="713"/>
      <c r="D652" s="698"/>
      <c r="E652" s="698"/>
      <c r="F652" s="698"/>
      <c r="G652" s="699"/>
      <c r="H652" s="467" t="s">
        <v>46</v>
      </c>
      <c r="I652" s="468">
        <v>0</v>
      </c>
      <c r="J652" s="468">
        <f ca="1">IFERROR(__xludf.DUMMYFUNCTION("IMPORTRANGE(""https://docs.google.com/spreadsheets/d/1XWAQStnk-4SwqDmLtmXYiTMKHgktTP8We1SCoS47DrQ/edit?usp=sharing"",""จัดที่ดิน!AZ29"")"),0)</f>
        <v>0</v>
      </c>
      <c r="K652" s="469">
        <f t="shared" si="270"/>
        <v>0</v>
      </c>
      <c r="L652" s="353"/>
      <c r="M652" s="353"/>
      <c r="N652" s="353"/>
      <c r="O652" s="353"/>
      <c r="P652" s="353"/>
      <c r="Q652" s="541"/>
      <c r="R652" s="541"/>
      <c r="S652" s="541"/>
      <c r="T652" s="541"/>
      <c r="U652" s="541"/>
      <c r="V652" s="541"/>
      <c r="W652" s="541"/>
      <c r="X652" s="541"/>
      <c r="Y652" s="541"/>
      <c r="Z652" s="541"/>
    </row>
    <row r="653" spans="1:26" ht="19.5">
      <c r="A653" s="714">
        <v>8</v>
      </c>
      <c r="B653" s="701" t="s">
        <v>278</v>
      </c>
      <c r="C653" s="702"/>
      <c r="D653" s="702"/>
      <c r="E653" s="702"/>
      <c r="F653" s="702"/>
      <c r="G653" s="703"/>
      <c r="H653" s="703"/>
      <c r="I653" s="715"/>
      <c r="J653" s="715"/>
      <c r="K653" s="707"/>
      <c r="L653" s="707"/>
      <c r="M653" s="707"/>
      <c r="N653" s="707"/>
      <c r="O653" s="707"/>
      <c r="P653" s="707"/>
      <c r="Q653" s="541"/>
      <c r="R653" s="541"/>
      <c r="S653" s="541"/>
      <c r="T653" s="541"/>
      <c r="U653" s="541"/>
      <c r="V653" s="541"/>
      <c r="W653" s="541"/>
      <c r="X653" s="541"/>
      <c r="Y653" s="541"/>
      <c r="Z653" s="541"/>
    </row>
    <row r="654" spans="1:26" ht="19.5">
      <c r="A654" s="639"/>
      <c r="B654" s="638" t="s">
        <v>279</v>
      </c>
      <c r="C654" s="639"/>
      <c r="D654" s="639"/>
      <c r="E654" s="639"/>
      <c r="F654" s="639"/>
      <c r="G654" s="640"/>
      <c r="H654" s="671" t="s">
        <v>46</v>
      </c>
      <c r="I654" s="672">
        <f t="shared" ref="I654:J654" ca="1" si="271">I669</f>
        <v>50</v>
      </c>
      <c r="J654" s="672">
        <f t="shared" si="271"/>
        <v>0</v>
      </c>
      <c r="K654" s="643">
        <f ca="1">IF(I654&gt;0,J654*100/I654,0)</f>
        <v>0</v>
      </c>
      <c r="L654" s="644"/>
      <c r="M654" s="644"/>
      <c r="N654" s="644"/>
      <c r="O654" s="644"/>
      <c r="P654" s="644"/>
      <c r="Q654" s="541"/>
      <c r="R654" s="541"/>
      <c r="S654" s="541"/>
      <c r="T654" s="541"/>
      <c r="U654" s="541"/>
      <c r="V654" s="541"/>
      <c r="W654" s="541"/>
      <c r="X654" s="541"/>
      <c r="Y654" s="541"/>
      <c r="Z654" s="541"/>
    </row>
    <row r="655" spans="1:26" ht="19.5">
      <c r="A655" s="561"/>
      <c r="B655" s="727"/>
      <c r="C655" s="727" t="s">
        <v>16</v>
      </c>
      <c r="D655" s="811" t="s">
        <v>17</v>
      </c>
      <c r="E655" s="805"/>
      <c r="F655" s="805"/>
      <c r="G655" s="189"/>
      <c r="H655" s="562" t="s">
        <v>12</v>
      </c>
      <c r="I655" s="269"/>
      <c r="J655" s="269"/>
      <c r="K655" s="465"/>
      <c r="L655" s="195">
        <f t="shared" ref="L655:N655" ca="1" si="272">L656+L657</f>
        <v>9400</v>
      </c>
      <c r="M655" s="195">
        <f t="shared" si="272"/>
        <v>0</v>
      </c>
      <c r="N655" s="195">
        <f t="shared" si="272"/>
        <v>0</v>
      </c>
      <c r="O655" s="195">
        <f t="shared" ref="O655:O660" ca="1" si="273">IF(L655&gt;0,N655*100/L655,0)</f>
        <v>0</v>
      </c>
      <c r="P655" s="195">
        <f t="shared" ref="P655:P660" si="274">IF(M655&gt;0,N655*100/M655,0)</f>
        <v>0</v>
      </c>
      <c r="Q655" s="541"/>
      <c r="R655" s="541"/>
      <c r="S655" s="541"/>
      <c r="T655" s="541"/>
      <c r="U655" s="541"/>
      <c r="V655" s="541"/>
      <c r="W655" s="541"/>
      <c r="X655" s="541"/>
      <c r="Y655" s="541"/>
      <c r="Z655" s="541"/>
    </row>
    <row r="656" spans="1:26" ht="18.75" hidden="1">
      <c r="A656" s="563"/>
      <c r="B656" s="723"/>
      <c r="C656" s="723"/>
      <c r="D656" s="684"/>
      <c r="E656" s="723" t="s">
        <v>184</v>
      </c>
      <c r="F656" s="723"/>
      <c r="G656" s="567"/>
      <c r="H656" s="165" t="s">
        <v>12</v>
      </c>
      <c r="I656" s="583"/>
      <c r="J656" s="583"/>
      <c r="K656" s="93"/>
      <c r="L656" s="93">
        <f t="shared" ref="L656:N657" si="275">L659+L666</f>
        <v>0</v>
      </c>
      <c r="M656" s="93">
        <f t="shared" si="275"/>
        <v>0</v>
      </c>
      <c r="N656" s="93">
        <f t="shared" si="275"/>
        <v>0</v>
      </c>
      <c r="O656" s="93">
        <f t="shared" si="273"/>
        <v>0</v>
      </c>
      <c r="P656" s="93">
        <f t="shared" si="274"/>
        <v>0</v>
      </c>
      <c r="Q656" s="568"/>
      <c r="R656" s="568"/>
      <c r="S656" s="568"/>
      <c r="T656" s="568"/>
      <c r="U656" s="568"/>
      <c r="V656" s="568"/>
      <c r="W656" s="568"/>
      <c r="X656" s="568"/>
      <c r="Y656" s="568"/>
      <c r="Z656" s="568"/>
    </row>
    <row r="657" spans="1:26" ht="18.75" hidden="1">
      <c r="A657" s="563"/>
      <c r="B657" s="571"/>
      <c r="C657" s="723"/>
      <c r="D657" s="684"/>
      <c r="E657" s="723" t="s">
        <v>185</v>
      </c>
      <c r="F657" s="723"/>
      <c r="G657" s="567"/>
      <c r="H657" s="165" t="s">
        <v>12</v>
      </c>
      <c r="I657" s="583"/>
      <c r="J657" s="583"/>
      <c r="K657" s="93"/>
      <c r="L657" s="93">
        <f t="shared" ca="1" si="275"/>
        <v>9400</v>
      </c>
      <c r="M657" s="93">
        <f t="shared" si="275"/>
        <v>0</v>
      </c>
      <c r="N657" s="93">
        <f t="shared" si="275"/>
        <v>0</v>
      </c>
      <c r="O657" s="93">
        <f t="shared" ca="1" si="273"/>
        <v>0</v>
      </c>
      <c r="P657" s="93">
        <f t="shared" si="274"/>
        <v>0</v>
      </c>
      <c r="Q657" s="568"/>
      <c r="R657" s="568"/>
      <c r="S657" s="568"/>
      <c r="T657" s="568"/>
      <c r="U657" s="568"/>
      <c r="V657" s="568"/>
      <c r="W657" s="568"/>
      <c r="X657" s="568"/>
      <c r="Y657" s="568"/>
      <c r="Z657" s="568"/>
    </row>
    <row r="658" spans="1:26" ht="18.75">
      <c r="A658" s="561"/>
      <c r="B658" s="538"/>
      <c r="C658" s="727"/>
      <c r="D658" s="570" t="s">
        <v>20</v>
      </c>
      <c r="E658" s="727"/>
      <c r="F658" s="727"/>
      <c r="G658" s="189"/>
      <c r="H658" s="161" t="s">
        <v>12</v>
      </c>
      <c r="I658" s="184"/>
      <c r="J658" s="184"/>
      <c r="K658" s="163"/>
      <c r="L658" s="465">
        <f t="shared" ref="L658:N658" ca="1" si="276">L659+L660</f>
        <v>9400</v>
      </c>
      <c r="M658" s="465">
        <f t="shared" si="276"/>
        <v>0</v>
      </c>
      <c r="N658" s="465">
        <f t="shared" si="276"/>
        <v>0</v>
      </c>
      <c r="O658" s="465">
        <f t="shared" ca="1" si="273"/>
        <v>0</v>
      </c>
      <c r="P658" s="465">
        <f t="shared" si="274"/>
        <v>0</v>
      </c>
      <c r="Q658" s="541"/>
      <c r="R658" s="541"/>
      <c r="S658" s="541"/>
      <c r="T658" s="541"/>
      <c r="U658" s="541"/>
      <c r="V658" s="541"/>
      <c r="W658" s="541"/>
      <c r="X658" s="541"/>
      <c r="Y658" s="541"/>
      <c r="Z658" s="541"/>
    </row>
    <row r="659" spans="1:26" ht="18.75" hidden="1">
      <c r="A659" s="563"/>
      <c r="B659" s="571"/>
      <c r="C659" s="723"/>
      <c r="D659" s="684"/>
      <c r="E659" s="723" t="s">
        <v>184</v>
      </c>
      <c r="F659" s="723"/>
      <c r="G659" s="567"/>
      <c r="H659" s="165" t="s">
        <v>12</v>
      </c>
      <c r="I659" s="583"/>
      <c r="J659" s="583"/>
      <c r="K659" s="93"/>
      <c r="L659" s="93">
        <v>0</v>
      </c>
      <c r="M659" s="93">
        <v>0</v>
      </c>
      <c r="N659" s="93">
        <v>0</v>
      </c>
      <c r="O659" s="93">
        <f t="shared" si="273"/>
        <v>0</v>
      </c>
      <c r="P659" s="93">
        <f t="shared" si="274"/>
        <v>0</v>
      </c>
      <c r="Q659" s="568"/>
      <c r="R659" s="568"/>
      <c r="S659" s="568"/>
      <c r="T659" s="568"/>
      <c r="U659" s="568"/>
      <c r="V659" s="568"/>
      <c r="W659" s="568"/>
      <c r="X659" s="568"/>
      <c r="Y659" s="568"/>
      <c r="Z659" s="568"/>
    </row>
    <row r="660" spans="1:26" ht="18.75" hidden="1">
      <c r="A660" s="563"/>
      <c r="B660" s="571"/>
      <c r="C660" s="723"/>
      <c r="D660" s="684"/>
      <c r="E660" s="723" t="s">
        <v>185</v>
      </c>
      <c r="F660" s="723"/>
      <c r="G660" s="567"/>
      <c r="H660" s="165" t="s">
        <v>12</v>
      </c>
      <c r="I660" s="583"/>
      <c r="J660" s="583"/>
      <c r="K660" s="93"/>
      <c r="L660" s="93">
        <f ca="1">IFERROR(__xludf.DUMMYFUNCTION("IMPORTRANGE(""https://docs.google.com/spreadsheets/d/1QqKyyYR6Q21VydFLVH3TRQUabQu_ym0Zz7PgGX0-kHA/edit?usp=sharing"",""แผน!HV29"")"),9400)</f>
        <v>9400</v>
      </c>
      <c r="M660" s="93">
        <v>0</v>
      </c>
      <c r="N660" s="93">
        <f>N661+N662+N663+N664</f>
        <v>0</v>
      </c>
      <c r="O660" s="93">
        <f t="shared" ca="1" si="273"/>
        <v>0</v>
      </c>
      <c r="P660" s="93">
        <f t="shared" si="274"/>
        <v>0</v>
      </c>
      <c r="Q660" s="568"/>
      <c r="R660" s="568"/>
      <c r="S660" s="568"/>
      <c r="T660" s="568"/>
      <c r="U660" s="568"/>
      <c r="V660" s="568"/>
      <c r="W660" s="568"/>
      <c r="X660" s="568"/>
      <c r="Y660" s="568"/>
      <c r="Z660" s="568"/>
    </row>
    <row r="661" spans="1:26" ht="18.75">
      <c r="A661" s="537"/>
      <c r="B661" s="538"/>
      <c r="C661" s="727"/>
      <c r="D661" s="727"/>
      <c r="E661" s="727"/>
      <c r="F661" s="727" t="s">
        <v>186</v>
      </c>
      <c r="G661" s="189"/>
      <c r="H661" s="161" t="s">
        <v>12</v>
      </c>
      <c r="I661" s="269"/>
      <c r="J661" s="269"/>
      <c r="K661" s="465"/>
      <c r="L661" s="465"/>
      <c r="M661" s="465"/>
      <c r="N661" s="789">
        <v>0</v>
      </c>
      <c r="O661" s="465"/>
      <c r="P661" s="465"/>
      <c r="Q661" s="541"/>
      <c r="R661" s="541"/>
      <c r="S661" s="541"/>
      <c r="T661" s="541"/>
      <c r="U661" s="541"/>
      <c r="V661" s="541"/>
      <c r="W661" s="541"/>
      <c r="X661" s="541"/>
      <c r="Y661" s="541"/>
      <c r="Z661" s="541"/>
    </row>
    <row r="662" spans="1:26" ht="18.75">
      <c r="A662" s="537"/>
      <c r="B662" s="538"/>
      <c r="C662" s="727"/>
      <c r="D662" s="727"/>
      <c r="E662" s="727"/>
      <c r="F662" s="727" t="s">
        <v>187</v>
      </c>
      <c r="G662" s="189"/>
      <c r="H662" s="161" t="s">
        <v>12</v>
      </c>
      <c r="I662" s="269"/>
      <c r="J662" s="269"/>
      <c r="K662" s="465"/>
      <c r="L662" s="465"/>
      <c r="M662" s="465"/>
      <c r="N662" s="789">
        <v>0</v>
      </c>
      <c r="O662" s="465"/>
      <c r="P662" s="465"/>
      <c r="Q662" s="541"/>
      <c r="R662" s="541"/>
      <c r="S662" s="541"/>
      <c r="T662" s="541"/>
      <c r="U662" s="541"/>
      <c r="V662" s="541"/>
      <c r="W662" s="541"/>
      <c r="X662" s="541"/>
      <c r="Y662" s="541"/>
      <c r="Z662" s="541"/>
    </row>
    <row r="663" spans="1:26" ht="18.75">
      <c r="A663" s="537"/>
      <c r="B663" s="538"/>
      <c r="C663" s="538"/>
      <c r="D663" s="727"/>
      <c r="E663" s="727"/>
      <c r="F663" s="727" t="s">
        <v>188</v>
      </c>
      <c r="G663" s="189"/>
      <c r="H663" s="161" t="s">
        <v>12</v>
      </c>
      <c r="I663" s="269"/>
      <c r="J663" s="269"/>
      <c r="K663" s="465"/>
      <c r="L663" s="465"/>
      <c r="M663" s="465"/>
      <c r="N663" s="789">
        <v>0</v>
      </c>
      <c r="O663" s="465"/>
      <c r="P663" s="465"/>
      <c r="Q663" s="541"/>
      <c r="R663" s="541"/>
      <c r="S663" s="541"/>
      <c r="T663" s="541"/>
      <c r="U663" s="541"/>
      <c r="V663" s="541"/>
      <c r="W663" s="541"/>
      <c r="X663" s="541"/>
      <c r="Y663" s="541"/>
      <c r="Z663" s="541"/>
    </row>
    <row r="664" spans="1:26" ht="18.75">
      <c r="A664" s="537"/>
      <c r="B664" s="538"/>
      <c r="C664" s="538"/>
      <c r="D664" s="538"/>
      <c r="E664" s="727"/>
      <c r="F664" s="727" t="s">
        <v>189</v>
      </c>
      <c r="G664" s="189"/>
      <c r="H664" s="161" t="s">
        <v>12</v>
      </c>
      <c r="I664" s="269"/>
      <c r="J664" s="269"/>
      <c r="K664" s="465"/>
      <c r="L664" s="465"/>
      <c r="M664" s="465"/>
      <c r="N664" s="789">
        <v>0</v>
      </c>
      <c r="O664" s="465"/>
      <c r="P664" s="465"/>
      <c r="Q664" s="541"/>
      <c r="R664" s="541"/>
      <c r="S664" s="541"/>
      <c r="T664" s="541"/>
      <c r="U664" s="541"/>
      <c r="V664" s="541"/>
      <c r="W664" s="541"/>
      <c r="X664" s="541"/>
      <c r="Y664" s="541"/>
      <c r="Z664" s="541"/>
    </row>
    <row r="665" spans="1:26" ht="18.75">
      <c r="A665" s="561"/>
      <c r="B665" s="538"/>
      <c r="C665" s="538"/>
      <c r="D665" s="570" t="s">
        <v>21</v>
      </c>
      <c r="E665" s="727"/>
      <c r="F665" s="727"/>
      <c r="G665" s="189"/>
      <c r="H665" s="168" t="s">
        <v>12</v>
      </c>
      <c r="I665" s="184"/>
      <c r="J665" s="184"/>
      <c r="K665" s="163"/>
      <c r="L665" s="465">
        <f t="shared" ref="L665:N665" si="277">L666+L667</f>
        <v>0</v>
      </c>
      <c r="M665" s="465">
        <f t="shared" si="277"/>
        <v>0</v>
      </c>
      <c r="N665" s="465">
        <f t="shared" si="277"/>
        <v>0</v>
      </c>
      <c r="O665" s="465">
        <f t="shared" ref="O665:O667" si="278">IF(L665&gt;0,N665*100/L665,0)</f>
        <v>0</v>
      </c>
      <c r="P665" s="465">
        <f t="shared" ref="P665:P667" si="279">IF(M665&gt;0,N665*100/M665,0)</f>
        <v>0</v>
      </c>
      <c r="Q665" s="541"/>
      <c r="R665" s="541"/>
      <c r="S665" s="541"/>
      <c r="T665" s="541"/>
      <c r="U665" s="541"/>
      <c r="V665" s="541"/>
      <c r="W665" s="541"/>
      <c r="X665" s="541"/>
      <c r="Y665" s="541"/>
      <c r="Z665" s="541"/>
    </row>
    <row r="666" spans="1:26" ht="18.75" hidden="1">
      <c r="A666" s="563"/>
      <c r="B666" s="571"/>
      <c r="C666" s="571"/>
      <c r="D666" s="571"/>
      <c r="E666" s="723" t="s">
        <v>18</v>
      </c>
      <c r="F666" s="723"/>
      <c r="G666" s="567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8"/>
        <v>0</v>
      </c>
      <c r="P666" s="93">
        <f t="shared" si="279"/>
        <v>0</v>
      </c>
      <c r="Q666" s="568"/>
      <c r="R666" s="568"/>
      <c r="S666" s="568"/>
      <c r="T666" s="568"/>
      <c r="U666" s="568"/>
      <c r="V666" s="568"/>
      <c r="W666" s="568"/>
      <c r="X666" s="568"/>
      <c r="Y666" s="568"/>
      <c r="Z666" s="568"/>
    </row>
    <row r="667" spans="1:26" ht="18.75" hidden="1">
      <c r="A667" s="563"/>
      <c r="B667" s="571"/>
      <c r="C667" s="571"/>
      <c r="D667" s="571"/>
      <c r="E667" s="723" t="s">
        <v>19</v>
      </c>
      <c r="F667" s="723"/>
      <c r="G667" s="567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8"/>
        <v>0</v>
      </c>
      <c r="P667" s="93">
        <f t="shared" si="279"/>
        <v>0</v>
      </c>
      <c r="Q667" s="568"/>
      <c r="R667" s="568"/>
      <c r="S667" s="568"/>
      <c r="T667" s="568"/>
      <c r="U667" s="568"/>
      <c r="V667" s="568"/>
      <c r="W667" s="568"/>
      <c r="X667" s="568"/>
      <c r="Y667" s="568"/>
      <c r="Z667" s="568"/>
    </row>
    <row r="668" spans="1:26" ht="19.5">
      <c r="A668" s="572"/>
      <c r="B668" s="584"/>
      <c r="C668" s="538" t="s">
        <v>16</v>
      </c>
      <c r="D668" s="850" t="s">
        <v>38</v>
      </c>
      <c r="E668" s="725"/>
      <c r="F668" s="725"/>
      <c r="G668" s="577"/>
      <c r="H668" s="726"/>
      <c r="I668" s="184"/>
      <c r="J668" s="184"/>
      <c r="K668" s="163"/>
      <c r="L668" s="163"/>
      <c r="M668" s="163"/>
      <c r="N668" s="163"/>
      <c r="O668" s="163"/>
      <c r="P668" s="163"/>
      <c r="Q668" s="541"/>
      <c r="R668" s="541"/>
      <c r="S668" s="541"/>
      <c r="T668" s="541"/>
      <c r="U668" s="541"/>
      <c r="V668" s="541"/>
      <c r="W668" s="541"/>
      <c r="X668" s="541"/>
      <c r="Y668" s="541"/>
      <c r="Z668" s="541"/>
    </row>
    <row r="669" spans="1:26" ht="19.5">
      <c r="A669" s="572"/>
      <c r="B669" s="584"/>
      <c r="C669" s="584"/>
      <c r="D669" s="584" t="s">
        <v>280</v>
      </c>
      <c r="E669" s="592"/>
      <c r="F669" s="592"/>
      <c r="G669" s="726"/>
      <c r="H669" s="731" t="s">
        <v>46</v>
      </c>
      <c r="I669" s="647">
        <f ca="1">IFERROR(__xludf.DUMMYFUNCTION("IMPORTRANGE(""https://docs.google.com/spreadsheets/d/1QqKyyYR6Q21VydFLVH3TRQUabQu_ym0Zz7PgGX0-kHA/edit?usp=sharing"",""แผน!IA29"")"),50)</f>
        <v>50</v>
      </c>
      <c r="J669" s="647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41"/>
      <c r="R669" s="541"/>
      <c r="S669" s="541"/>
      <c r="T669" s="541"/>
      <c r="U669" s="541"/>
      <c r="V669" s="541"/>
      <c r="W669" s="541"/>
      <c r="X669" s="541"/>
      <c r="Y669" s="541"/>
      <c r="Z669" s="541"/>
    </row>
    <row r="670" spans="1:26" ht="18.75">
      <c r="A670" s="572"/>
      <c r="B670" s="584"/>
      <c r="C670" s="584"/>
      <c r="D670" s="584"/>
      <c r="E670" s="592" t="s">
        <v>281</v>
      </c>
      <c r="F670" s="592"/>
      <c r="G670" s="726"/>
      <c r="H670" s="728" t="s">
        <v>69</v>
      </c>
      <c r="I670" s="269">
        <f ca="1">IFERROR(__xludf.DUMMYFUNCTION("IMPORTRANGE(""https://docs.google.com/spreadsheets/d/1QqKyyYR6Q21VydFLVH3TRQUabQu_ym0Zz7PgGX0-kHA/edit?usp=sharing"",""แผน!HZ29"")"),4)</f>
        <v>4</v>
      </c>
      <c r="J670" s="214">
        <v>5</v>
      </c>
      <c r="K670" s="465">
        <f ca="1">IF(I670&gt;0,(J670*100)/I670,0)</f>
        <v>125</v>
      </c>
      <c r="L670" s="163"/>
      <c r="M670" s="163"/>
      <c r="N670" s="163"/>
      <c r="O670" s="163"/>
      <c r="P670" s="163"/>
      <c r="Q670" s="541"/>
      <c r="R670" s="541"/>
      <c r="S670" s="541"/>
      <c r="T670" s="541"/>
      <c r="U670" s="541"/>
      <c r="V670" s="541"/>
      <c r="W670" s="541"/>
      <c r="X670" s="541"/>
      <c r="Y670" s="541"/>
      <c r="Z670" s="541"/>
    </row>
    <row r="671" spans="1:26" ht="18.75">
      <c r="A671" s="572"/>
      <c r="B671" s="584"/>
      <c r="C671" s="584"/>
      <c r="D671" s="584"/>
      <c r="E671" s="592" t="s">
        <v>282</v>
      </c>
      <c r="F671" s="592"/>
      <c r="G671" s="726"/>
      <c r="H671" s="728" t="s">
        <v>69</v>
      </c>
      <c r="I671" s="269">
        <f ca="1">IFERROR(__xludf.DUMMYFUNCTION("IMPORTRANGE(""https://docs.google.com/spreadsheets/d/1QqKyyYR6Q21VydFLVH3TRQUabQu_ym0Zz7PgGX0-kHA/edit?usp=sharing"",""แผน!HZ29"")"),4)</f>
        <v>4</v>
      </c>
      <c r="J671" s="214">
        <v>5</v>
      </c>
      <c r="K671" s="465">
        <f ca="1">IF(I$671&gt;0,J671*100/I$671,0)</f>
        <v>125</v>
      </c>
      <c r="L671" s="163"/>
      <c r="M671" s="163"/>
      <c r="N671" s="163"/>
      <c r="O671" s="163"/>
      <c r="P671" s="163"/>
      <c r="Q671" s="541"/>
      <c r="R671" s="541"/>
      <c r="S671" s="541"/>
      <c r="T671" s="541"/>
      <c r="U671" s="541"/>
      <c r="V671" s="541"/>
      <c r="W671" s="541"/>
      <c r="X671" s="541"/>
      <c r="Y671" s="541"/>
      <c r="Z671" s="541"/>
    </row>
    <row r="672" spans="1:26" ht="18.75">
      <c r="A672" s="572"/>
      <c r="B672" s="584"/>
      <c r="C672" s="584"/>
      <c r="D672" s="584"/>
      <c r="E672" s="592" t="s">
        <v>283</v>
      </c>
      <c r="F672" s="592"/>
      <c r="G672" s="726"/>
      <c r="H672" s="728" t="s">
        <v>46</v>
      </c>
      <c r="I672" s="269"/>
      <c r="J672" s="214">
        <v>0</v>
      </c>
      <c r="K672" s="465">
        <f t="shared" ref="K672:K675" ca="1" si="280">IF(I$669&gt;0,J672*100/I$669,0)</f>
        <v>0</v>
      </c>
      <c r="L672" s="163"/>
      <c r="M672" s="163"/>
      <c r="N672" s="163"/>
      <c r="O672" s="163"/>
      <c r="P672" s="163"/>
      <c r="Q672" s="541"/>
      <c r="R672" s="541"/>
      <c r="S672" s="541"/>
      <c r="T672" s="541"/>
      <c r="U672" s="541"/>
      <c r="V672" s="541"/>
      <c r="W672" s="541"/>
      <c r="X672" s="541"/>
      <c r="Y672" s="541"/>
      <c r="Z672" s="541"/>
    </row>
    <row r="673" spans="1:26" ht="18.75">
      <c r="A673" s="572"/>
      <c r="B673" s="584"/>
      <c r="C673" s="584"/>
      <c r="D673" s="584"/>
      <c r="E673" s="592" t="s">
        <v>284</v>
      </c>
      <c r="F673" s="592"/>
      <c r="G673" s="726"/>
      <c r="H673" s="728" t="s">
        <v>46</v>
      </c>
      <c r="I673" s="269"/>
      <c r="J673" s="214">
        <v>0</v>
      </c>
      <c r="K673" s="465">
        <f t="shared" ca="1" si="280"/>
        <v>0</v>
      </c>
      <c r="L673" s="163"/>
      <c r="M673" s="163"/>
      <c r="N673" s="163"/>
      <c r="O673" s="163"/>
      <c r="P673" s="163"/>
      <c r="Q673" s="541"/>
      <c r="R673" s="541"/>
      <c r="S673" s="541"/>
      <c r="T673" s="541"/>
      <c r="U673" s="541"/>
      <c r="V673" s="541"/>
      <c r="W673" s="541"/>
      <c r="X673" s="541"/>
      <c r="Y673" s="541"/>
      <c r="Z673" s="541"/>
    </row>
    <row r="674" spans="1:26" ht="18.75">
      <c r="A674" s="572"/>
      <c r="B674" s="584"/>
      <c r="C674" s="584"/>
      <c r="D674" s="584"/>
      <c r="E674" s="592" t="s">
        <v>285</v>
      </c>
      <c r="F674" s="592"/>
      <c r="G674" s="726"/>
      <c r="H674" s="728" t="s">
        <v>46</v>
      </c>
      <c r="I674" s="269"/>
      <c r="J674" s="214">
        <v>0</v>
      </c>
      <c r="K674" s="465">
        <f t="shared" ca="1" si="280"/>
        <v>0</v>
      </c>
      <c r="L674" s="163"/>
      <c r="M674" s="163"/>
      <c r="N674" s="163"/>
      <c r="O674" s="163"/>
      <c r="P674" s="163"/>
      <c r="Q674" s="541"/>
      <c r="R674" s="541"/>
      <c r="S674" s="541"/>
      <c r="T674" s="541"/>
      <c r="U674" s="541"/>
      <c r="V674" s="541"/>
      <c r="W674" s="541"/>
      <c r="X674" s="541"/>
      <c r="Y674" s="541"/>
      <c r="Z674" s="541"/>
    </row>
    <row r="675" spans="1:26" ht="19.5">
      <c r="A675" s="572"/>
      <c r="B675" s="584"/>
      <c r="C675" s="584"/>
      <c r="D675" s="584"/>
      <c r="E675" s="592" t="s">
        <v>286</v>
      </c>
      <c r="F675" s="592"/>
      <c r="G675" s="726"/>
      <c r="H675" s="728" t="s">
        <v>46</v>
      </c>
      <c r="I675" s="269"/>
      <c r="J675" s="647">
        <f>J676+J677</f>
        <v>0</v>
      </c>
      <c r="K675" s="195">
        <f t="shared" ca="1" si="280"/>
        <v>0</v>
      </c>
      <c r="L675" s="163"/>
      <c r="M675" s="163"/>
      <c r="N675" s="163"/>
      <c r="O675" s="163"/>
      <c r="P675" s="163"/>
      <c r="Q675" s="541"/>
      <c r="R675" s="541"/>
      <c r="S675" s="541"/>
      <c r="T675" s="541"/>
      <c r="U675" s="541"/>
      <c r="V675" s="541"/>
      <c r="W675" s="541"/>
      <c r="X675" s="541"/>
      <c r="Y675" s="541"/>
      <c r="Z675" s="541"/>
    </row>
    <row r="676" spans="1:26" ht="18.75">
      <c r="A676" s="572"/>
      <c r="B676" s="584"/>
      <c r="C676" s="584"/>
      <c r="D676" s="584"/>
      <c r="E676" s="592"/>
      <c r="F676" s="592" t="s">
        <v>287</v>
      </c>
      <c r="G676" s="726"/>
      <c r="H676" s="728" t="s">
        <v>46</v>
      </c>
      <c r="I676" s="269"/>
      <c r="J676" s="214">
        <v>0</v>
      </c>
      <c r="K676" s="465"/>
      <c r="L676" s="163"/>
      <c r="M676" s="163"/>
      <c r="N676" s="163"/>
      <c r="O676" s="163"/>
      <c r="P676" s="163"/>
      <c r="Q676" s="541"/>
      <c r="R676" s="541"/>
      <c r="S676" s="541"/>
      <c r="T676" s="541"/>
      <c r="U676" s="541"/>
      <c r="V676" s="541"/>
      <c r="W676" s="541"/>
      <c r="X676" s="541"/>
      <c r="Y676" s="541"/>
      <c r="Z676" s="541"/>
    </row>
    <row r="677" spans="1:26" ht="18.75">
      <c r="A677" s="572"/>
      <c r="B677" s="584"/>
      <c r="C677" s="584"/>
      <c r="D677" s="584"/>
      <c r="E677" s="592"/>
      <c r="F677" s="592" t="s">
        <v>288</v>
      </c>
      <c r="G677" s="726"/>
      <c r="H677" s="728" t="s">
        <v>46</v>
      </c>
      <c r="I677" s="269"/>
      <c r="J677" s="214">
        <v>0</v>
      </c>
      <c r="K677" s="465"/>
      <c r="L677" s="163"/>
      <c r="M677" s="163"/>
      <c r="N677" s="163"/>
      <c r="O677" s="163"/>
      <c r="P677" s="163"/>
      <c r="Q677" s="541"/>
      <c r="R677" s="541"/>
      <c r="S677" s="541"/>
      <c r="T677" s="541"/>
      <c r="U677" s="541"/>
      <c r="V677" s="541"/>
      <c r="W677" s="541"/>
      <c r="X677" s="541"/>
      <c r="Y677" s="541"/>
      <c r="Z677" s="541"/>
    </row>
    <row r="678" spans="1:26" ht="19.5">
      <c r="A678" s="572"/>
      <c r="B678" s="584"/>
      <c r="C678" s="584"/>
      <c r="D678" s="584" t="s">
        <v>289</v>
      </c>
      <c r="E678" s="592"/>
      <c r="F678" s="592"/>
      <c r="G678" s="726"/>
      <c r="H678" s="728" t="s">
        <v>46</v>
      </c>
      <c r="I678" s="647">
        <f ca="1">IFERROR(__xludf.DUMMYFUNCTION("IMPORTRANGE(""https://docs.google.com/spreadsheets/d/1QqKyyYR6Q21VydFLVH3TRQUabQu_ym0Zz7PgGX0-kHA/edit?usp=sharing"",""แผน!IB29"")"),0)</f>
        <v>0</v>
      </c>
      <c r="J678" s="647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41"/>
      <c r="R678" s="541"/>
      <c r="S678" s="541"/>
      <c r="T678" s="541"/>
      <c r="U678" s="541"/>
      <c r="V678" s="541"/>
      <c r="W678" s="541"/>
      <c r="X678" s="541"/>
      <c r="Y678" s="541"/>
      <c r="Z678" s="541"/>
    </row>
    <row r="679" spans="1:26" ht="18.75">
      <c r="A679" s="572"/>
      <c r="B679" s="584"/>
      <c r="C679" s="584"/>
      <c r="D679" s="584"/>
      <c r="E679" s="592" t="s">
        <v>290</v>
      </c>
      <c r="F679" s="592"/>
      <c r="G679" s="726"/>
      <c r="H679" s="728" t="s">
        <v>46</v>
      </c>
      <c r="I679" s="269"/>
      <c r="J679" s="269">
        <f>J680+J681</f>
        <v>0</v>
      </c>
      <c r="K679" s="465"/>
      <c r="L679" s="163"/>
      <c r="M679" s="163"/>
      <c r="N679" s="163"/>
      <c r="O679" s="163"/>
      <c r="P679" s="163"/>
      <c r="Q679" s="541"/>
      <c r="R679" s="541"/>
      <c r="S679" s="541"/>
      <c r="T679" s="541"/>
      <c r="U679" s="541"/>
      <c r="V679" s="541"/>
      <c r="W679" s="541"/>
      <c r="X679" s="541"/>
      <c r="Y679" s="541"/>
      <c r="Z679" s="541"/>
    </row>
    <row r="680" spans="1:26" ht="18.75">
      <c r="A680" s="572"/>
      <c r="B680" s="584"/>
      <c r="C680" s="584"/>
      <c r="D680" s="584"/>
      <c r="E680" s="592"/>
      <c r="F680" s="592" t="s">
        <v>287</v>
      </c>
      <c r="G680" s="726"/>
      <c r="H680" s="728" t="s">
        <v>46</v>
      </c>
      <c r="I680" s="269"/>
      <c r="J680" s="214">
        <v>0</v>
      </c>
      <c r="K680" s="465"/>
      <c r="L680" s="163"/>
      <c r="M680" s="163"/>
      <c r="N680" s="163"/>
      <c r="O680" s="163"/>
      <c r="P680" s="163"/>
      <c r="Q680" s="541"/>
      <c r="R680" s="541"/>
      <c r="S680" s="541"/>
      <c r="T680" s="541"/>
      <c r="U680" s="541"/>
      <c r="V680" s="541"/>
      <c r="W680" s="541"/>
      <c r="X680" s="541"/>
      <c r="Y680" s="541"/>
      <c r="Z680" s="541"/>
    </row>
    <row r="681" spans="1:26" ht="18.75">
      <c r="A681" s="572"/>
      <c r="B681" s="584"/>
      <c r="C681" s="584"/>
      <c r="D681" s="584"/>
      <c r="E681" s="592"/>
      <c r="F681" s="592" t="s">
        <v>288</v>
      </c>
      <c r="G681" s="726"/>
      <c r="H681" s="728" t="s">
        <v>46</v>
      </c>
      <c r="I681" s="269"/>
      <c r="J681" s="214">
        <v>0</v>
      </c>
      <c r="K681" s="465"/>
      <c r="L681" s="163"/>
      <c r="M681" s="163"/>
      <c r="N681" s="163"/>
      <c r="O681" s="163"/>
      <c r="P681" s="163"/>
      <c r="Q681" s="541"/>
      <c r="R681" s="541"/>
      <c r="S681" s="541"/>
      <c r="T681" s="541"/>
      <c r="U681" s="541"/>
      <c r="V681" s="541"/>
      <c r="W681" s="541"/>
      <c r="X681" s="541"/>
      <c r="Y681" s="541"/>
      <c r="Z681" s="541"/>
    </row>
    <row r="682" spans="1:26" ht="18.75">
      <c r="A682" s="572"/>
      <c r="B682" s="584"/>
      <c r="C682" s="584"/>
      <c r="D682" s="584"/>
      <c r="E682" s="592" t="s">
        <v>291</v>
      </c>
      <c r="F682" s="592"/>
      <c r="G682" s="726"/>
      <c r="H682" s="728" t="s">
        <v>46</v>
      </c>
      <c r="I682" s="269"/>
      <c r="J682" s="214">
        <v>0</v>
      </c>
      <c r="K682" s="465"/>
      <c r="L682" s="163"/>
      <c r="M682" s="163"/>
      <c r="N682" s="163"/>
      <c r="O682" s="163"/>
      <c r="P682" s="163"/>
      <c r="Q682" s="541"/>
      <c r="R682" s="541"/>
      <c r="S682" s="541"/>
      <c r="T682" s="541"/>
      <c r="U682" s="541"/>
      <c r="V682" s="541"/>
      <c r="W682" s="541"/>
      <c r="X682" s="541"/>
      <c r="Y682" s="541"/>
      <c r="Z682" s="541"/>
    </row>
    <row r="683" spans="1:26" ht="18.75">
      <c r="A683" s="572"/>
      <c r="B683" s="584"/>
      <c r="C683" s="584"/>
      <c r="D683" s="584"/>
      <c r="E683" s="592"/>
      <c r="F683" s="592" t="s">
        <v>292</v>
      </c>
      <c r="G683" s="726"/>
      <c r="H683" s="728" t="s">
        <v>46</v>
      </c>
      <c r="I683" s="269"/>
      <c r="J683" s="214">
        <v>0</v>
      </c>
      <c r="K683" s="465"/>
      <c r="L683" s="163"/>
      <c r="M683" s="163"/>
      <c r="N683" s="163"/>
      <c r="O683" s="163"/>
      <c r="P683" s="163"/>
      <c r="Q683" s="541"/>
      <c r="R683" s="541"/>
      <c r="S683" s="541"/>
      <c r="T683" s="541"/>
      <c r="U683" s="541"/>
      <c r="V683" s="541"/>
      <c r="W683" s="541"/>
      <c r="X683" s="541"/>
      <c r="Y683" s="541"/>
      <c r="Z683" s="541"/>
    </row>
    <row r="684" spans="1:26" ht="19.5" hidden="1">
      <c r="A684" s="717"/>
      <c r="B684" s="718" t="s">
        <v>293</v>
      </c>
      <c r="C684" s="717"/>
      <c r="D684" s="717"/>
      <c r="E684" s="717"/>
      <c r="F684" s="717"/>
      <c r="G684" s="719"/>
      <c r="H684" s="719"/>
      <c r="I684" s="720"/>
      <c r="J684" s="720"/>
      <c r="K684" s="721"/>
      <c r="L684" s="721"/>
      <c r="M684" s="721"/>
      <c r="N684" s="721"/>
      <c r="O684" s="721"/>
      <c r="P684" s="721"/>
      <c r="Q684" s="541"/>
      <c r="R684" s="541"/>
      <c r="S684" s="541"/>
      <c r="T684" s="541"/>
      <c r="U684" s="541"/>
      <c r="V684" s="541"/>
      <c r="W684" s="541"/>
      <c r="X684" s="541"/>
      <c r="Y684" s="541"/>
      <c r="Z684" s="541"/>
    </row>
    <row r="685" spans="1:26" ht="19.5" hidden="1">
      <c r="A685" s="561"/>
      <c r="B685" s="727"/>
      <c r="C685" s="727" t="s">
        <v>16</v>
      </c>
      <c r="D685" s="811" t="s">
        <v>17</v>
      </c>
      <c r="E685" s="805"/>
      <c r="F685" s="805"/>
      <c r="G685" s="189"/>
      <c r="H685" s="562" t="s">
        <v>12</v>
      </c>
      <c r="I685" s="269"/>
      <c r="J685" s="269"/>
      <c r="K685" s="465"/>
      <c r="L685" s="195">
        <f t="shared" ref="L685:N685" ca="1" si="281">L686+L687</f>
        <v>0</v>
      </c>
      <c r="M685" s="195">
        <f t="shared" si="281"/>
        <v>0</v>
      </c>
      <c r="N685" s="195">
        <f t="shared" si="281"/>
        <v>0</v>
      </c>
      <c r="O685" s="195">
        <f t="shared" ref="O685:O688" ca="1" si="282">IF(L685&gt;0,N685*100/L685,0)</f>
        <v>0</v>
      </c>
      <c r="P685" s="195">
        <f t="shared" ref="P685:P688" si="283">IF(M685&gt;0,N685*100/M685,0)</f>
        <v>0</v>
      </c>
      <c r="Q685" s="541"/>
      <c r="R685" s="541"/>
      <c r="S685" s="541"/>
      <c r="T685" s="541"/>
      <c r="U685" s="541"/>
      <c r="V685" s="541"/>
      <c r="W685" s="541"/>
      <c r="X685" s="541"/>
      <c r="Y685" s="541"/>
      <c r="Z685" s="541"/>
    </row>
    <row r="686" spans="1:26" ht="18.75" hidden="1">
      <c r="A686" s="563"/>
      <c r="B686" s="723"/>
      <c r="C686" s="723"/>
      <c r="D686" s="684"/>
      <c r="E686" s="723" t="s">
        <v>184</v>
      </c>
      <c r="F686" s="723"/>
      <c r="G686" s="567"/>
      <c r="H686" s="165" t="s">
        <v>12</v>
      </c>
      <c r="I686" s="583"/>
      <c r="J686" s="583"/>
      <c r="K686" s="93"/>
      <c r="L686" s="93">
        <f t="shared" ref="L686:N687" si="284">L689+L696</f>
        <v>0</v>
      </c>
      <c r="M686" s="93">
        <f t="shared" si="284"/>
        <v>0</v>
      </c>
      <c r="N686" s="93">
        <f t="shared" si="284"/>
        <v>0</v>
      </c>
      <c r="O686" s="93">
        <f t="shared" si="282"/>
        <v>0</v>
      </c>
      <c r="P686" s="93">
        <f t="shared" si="283"/>
        <v>0</v>
      </c>
      <c r="Q686" s="568"/>
      <c r="R686" s="568"/>
      <c r="S686" s="568"/>
      <c r="T686" s="568"/>
      <c r="U686" s="568"/>
      <c r="V686" s="568"/>
      <c r="W686" s="568"/>
      <c r="X686" s="568"/>
      <c r="Y686" s="568"/>
      <c r="Z686" s="568"/>
    </row>
    <row r="687" spans="1:26" ht="18.75" hidden="1">
      <c r="A687" s="563"/>
      <c r="B687" s="571"/>
      <c r="C687" s="723"/>
      <c r="D687" s="684"/>
      <c r="E687" s="723" t="s">
        <v>185</v>
      </c>
      <c r="F687" s="723"/>
      <c r="G687" s="567"/>
      <c r="H687" s="165" t="s">
        <v>12</v>
      </c>
      <c r="I687" s="583"/>
      <c r="J687" s="583"/>
      <c r="K687" s="93"/>
      <c r="L687" s="93">
        <f t="shared" ca="1" si="284"/>
        <v>0</v>
      </c>
      <c r="M687" s="93">
        <f t="shared" si="284"/>
        <v>0</v>
      </c>
      <c r="N687" s="93">
        <f t="shared" si="284"/>
        <v>0</v>
      </c>
      <c r="O687" s="93">
        <f t="shared" ca="1" si="282"/>
        <v>0</v>
      </c>
      <c r="P687" s="93">
        <f t="shared" si="283"/>
        <v>0</v>
      </c>
      <c r="Q687" s="568"/>
      <c r="R687" s="568"/>
      <c r="S687" s="568"/>
      <c r="T687" s="568"/>
      <c r="U687" s="568"/>
      <c r="V687" s="568"/>
      <c r="W687" s="568"/>
      <c r="X687" s="568"/>
      <c r="Y687" s="568"/>
      <c r="Z687" s="568"/>
    </row>
    <row r="688" spans="1:26" ht="18.75" hidden="1">
      <c r="A688" s="561"/>
      <c r="B688" s="538"/>
      <c r="C688" s="727"/>
      <c r="D688" s="570" t="s">
        <v>20</v>
      </c>
      <c r="E688" s="727"/>
      <c r="F688" s="727"/>
      <c r="G688" s="189"/>
      <c r="H688" s="161" t="s">
        <v>12</v>
      </c>
      <c r="I688" s="184"/>
      <c r="J688" s="184"/>
      <c r="K688" s="163"/>
      <c r="L688" s="465">
        <f t="shared" ref="L688:N688" ca="1" si="285">L689+L690</f>
        <v>0</v>
      </c>
      <c r="M688" s="465">
        <f t="shared" si="285"/>
        <v>0</v>
      </c>
      <c r="N688" s="465">
        <f t="shared" si="285"/>
        <v>0</v>
      </c>
      <c r="O688" s="465">
        <f t="shared" ca="1" si="282"/>
        <v>0</v>
      </c>
      <c r="P688" s="465">
        <f t="shared" si="283"/>
        <v>0</v>
      </c>
      <c r="Q688" s="541"/>
      <c r="R688" s="541"/>
      <c r="S688" s="541"/>
      <c r="T688" s="541"/>
      <c r="U688" s="541"/>
      <c r="V688" s="541"/>
      <c r="W688" s="541"/>
      <c r="X688" s="541"/>
      <c r="Y688" s="541"/>
      <c r="Z688" s="541"/>
    </row>
    <row r="689" spans="1:26" ht="18.75" hidden="1">
      <c r="A689" s="563"/>
      <c r="B689" s="571"/>
      <c r="C689" s="723"/>
      <c r="D689" s="684"/>
      <c r="E689" s="723" t="s">
        <v>184</v>
      </c>
      <c r="F689" s="723"/>
      <c r="G689" s="567"/>
      <c r="H689" s="165" t="s">
        <v>12</v>
      </c>
      <c r="I689" s="583"/>
      <c r="J689" s="583"/>
      <c r="K689" s="93"/>
      <c r="L689" s="93">
        <v>0</v>
      </c>
      <c r="M689" s="93">
        <v>0</v>
      </c>
      <c r="N689" s="93">
        <v>0</v>
      </c>
      <c r="O689" s="93"/>
      <c r="P689" s="93"/>
      <c r="Q689" s="568"/>
      <c r="R689" s="568"/>
      <c r="S689" s="568"/>
      <c r="T689" s="568"/>
      <c r="U689" s="568"/>
      <c r="V689" s="568"/>
      <c r="W689" s="568"/>
      <c r="X689" s="568"/>
      <c r="Y689" s="568"/>
      <c r="Z689" s="568"/>
    </row>
    <row r="690" spans="1:26" ht="18.75" hidden="1">
      <c r="A690" s="563"/>
      <c r="B690" s="571"/>
      <c r="C690" s="723"/>
      <c r="D690" s="684"/>
      <c r="E690" s="723" t="s">
        <v>185</v>
      </c>
      <c r="F690" s="723"/>
      <c r="G690" s="567"/>
      <c r="H690" s="165" t="s">
        <v>12</v>
      </c>
      <c r="I690" s="583"/>
      <c r="J690" s="583"/>
      <c r="K690" s="93"/>
      <c r="L690" s="93">
        <f ca="1">IFERROR(__xludf.DUMMYFUNCTION("IMPORTRANGE(""https://docs.google.com/spreadsheets/d/1QqKyyYR6Q21VydFLVH3TRQUabQu_ym0Zz7PgGX0-kHA/edit?usp=sharing"",""แผน!HW29"")"),0)</f>
        <v>0</v>
      </c>
      <c r="M690" s="93">
        <v>0</v>
      </c>
      <c r="N690" s="93">
        <f>N691+N692+N693+N694</f>
        <v>0</v>
      </c>
      <c r="O690" s="93">
        <f ca="1">IF(L690&gt;0,N690*100/L690,0)</f>
        <v>0</v>
      </c>
      <c r="P690" s="93">
        <f>IF(M690&gt;0,N690*100/M690,0)</f>
        <v>0</v>
      </c>
      <c r="Q690" s="568"/>
      <c r="R690" s="568"/>
      <c r="S690" s="568"/>
      <c r="T690" s="568"/>
      <c r="U690" s="568"/>
      <c r="V690" s="568"/>
      <c r="W690" s="568"/>
      <c r="X690" s="568"/>
      <c r="Y690" s="568"/>
      <c r="Z690" s="568"/>
    </row>
    <row r="691" spans="1:26" ht="18.75" hidden="1">
      <c r="A691" s="537"/>
      <c r="B691" s="538"/>
      <c r="C691" s="727"/>
      <c r="D691" s="727"/>
      <c r="E691" s="727"/>
      <c r="F691" s="727" t="s">
        <v>186</v>
      </c>
      <c r="G691" s="189"/>
      <c r="H691" s="161" t="s">
        <v>12</v>
      </c>
      <c r="I691" s="269"/>
      <c r="J691" s="269"/>
      <c r="K691" s="465"/>
      <c r="L691" s="465"/>
      <c r="M691" s="465"/>
      <c r="N691" s="789">
        <v>0</v>
      </c>
      <c r="O691" s="465"/>
      <c r="P691" s="465"/>
      <c r="Q691" s="541"/>
      <c r="R691" s="541"/>
      <c r="S691" s="541"/>
      <c r="T691" s="541"/>
      <c r="U691" s="541"/>
      <c r="V691" s="541"/>
      <c r="W691" s="541"/>
      <c r="X691" s="541"/>
      <c r="Y691" s="541"/>
      <c r="Z691" s="541"/>
    </row>
    <row r="692" spans="1:26" ht="18.75" hidden="1">
      <c r="A692" s="537"/>
      <c r="B692" s="538"/>
      <c r="C692" s="727"/>
      <c r="D692" s="727"/>
      <c r="E692" s="727"/>
      <c r="F692" s="727" t="s">
        <v>187</v>
      </c>
      <c r="G692" s="189"/>
      <c r="H692" s="161" t="s">
        <v>12</v>
      </c>
      <c r="I692" s="269"/>
      <c r="J692" s="269"/>
      <c r="K692" s="465"/>
      <c r="L692" s="465"/>
      <c r="M692" s="465"/>
      <c r="N692" s="789">
        <v>0</v>
      </c>
      <c r="O692" s="465"/>
      <c r="P692" s="465"/>
      <c r="Q692" s="541"/>
      <c r="R692" s="541"/>
      <c r="S692" s="541"/>
      <c r="T692" s="541"/>
      <c r="U692" s="541"/>
      <c r="V692" s="541"/>
      <c r="W692" s="541"/>
      <c r="X692" s="541"/>
      <c r="Y692" s="541"/>
      <c r="Z692" s="541"/>
    </row>
    <row r="693" spans="1:26" ht="18.75" hidden="1">
      <c r="A693" s="537"/>
      <c r="B693" s="538"/>
      <c r="C693" s="727"/>
      <c r="D693" s="727"/>
      <c r="E693" s="727"/>
      <c r="F693" s="727" t="s">
        <v>188</v>
      </c>
      <c r="G693" s="189"/>
      <c r="H693" s="161" t="s">
        <v>12</v>
      </c>
      <c r="I693" s="269"/>
      <c r="J693" s="269"/>
      <c r="K693" s="465"/>
      <c r="L693" s="465"/>
      <c r="M693" s="465"/>
      <c r="N693" s="789">
        <v>0</v>
      </c>
      <c r="O693" s="465"/>
      <c r="P693" s="465"/>
      <c r="Q693" s="541"/>
      <c r="R693" s="541"/>
      <c r="S693" s="541"/>
      <c r="T693" s="541"/>
      <c r="U693" s="541"/>
      <c r="V693" s="541"/>
      <c r="W693" s="541"/>
      <c r="X693" s="541"/>
      <c r="Y693" s="541"/>
      <c r="Z693" s="541"/>
    </row>
    <row r="694" spans="1:26" ht="18.75" hidden="1">
      <c r="A694" s="537"/>
      <c r="B694" s="538"/>
      <c r="C694" s="727"/>
      <c r="D694" s="727"/>
      <c r="E694" s="727"/>
      <c r="F694" s="727" t="s">
        <v>189</v>
      </c>
      <c r="G694" s="189"/>
      <c r="H694" s="161" t="s">
        <v>12</v>
      </c>
      <c r="I694" s="269"/>
      <c r="J694" s="269"/>
      <c r="K694" s="465"/>
      <c r="L694" s="465"/>
      <c r="M694" s="465"/>
      <c r="N694" s="789">
        <v>0</v>
      </c>
      <c r="O694" s="465"/>
      <c r="P694" s="465"/>
      <c r="Q694" s="541"/>
      <c r="R694" s="541"/>
      <c r="S694" s="541"/>
      <c r="T694" s="541"/>
      <c r="U694" s="541"/>
      <c r="V694" s="541"/>
      <c r="W694" s="541"/>
      <c r="X694" s="541"/>
      <c r="Y694" s="541"/>
      <c r="Z694" s="541"/>
    </row>
    <row r="695" spans="1:26" ht="18.75" hidden="1">
      <c r="A695" s="561"/>
      <c r="B695" s="538"/>
      <c r="C695" s="727"/>
      <c r="D695" s="570" t="s">
        <v>21</v>
      </c>
      <c r="E695" s="727"/>
      <c r="F695" s="727"/>
      <c r="G695" s="189"/>
      <c r="H695" s="168" t="s">
        <v>12</v>
      </c>
      <c r="I695" s="184"/>
      <c r="J695" s="184"/>
      <c r="K695" s="163"/>
      <c r="L695" s="465">
        <f t="shared" ref="L695:N695" si="286">L696+L697</f>
        <v>0</v>
      </c>
      <c r="M695" s="465">
        <f t="shared" si="286"/>
        <v>0</v>
      </c>
      <c r="N695" s="465">
        <f t="shared" si="286"/>
        <v>0</v>
      </c>
      <c r="O695" s="465">
        <f t="shared" ref="O695:O697" si="287">IF(L695&gt;0,N695*100/L695,0)</f>
        <v>0</v>
      </c>
      <c r="P695" s="465">
        <f t="shared" ref="P695:P697" si="288">IF(M695&gt;0,N695*100/M695,0)</f>
        <v>0</v>
      </c>
      <c r="Q695" s="541"/>
      <c r="R695" s="541"/>
      <c r="S695" s="541"/>
      <c r="T695" s="541"/>
      <c r="U695" s="541"/>
      <c r="V695" s="541"/>
      <c r="W695" s="541"/>
      <c r="X695" s="541"/>
      <c r="Y695" s="541"/>
      <c r="Z695" s="541"/>
    </row>
    <row r="696" spans="1:26" ht="18.75" hidden="1">
      <c r="A696" s="563"/>
      <c r="B696" s="571"/>
      <c r="C696" s="723"/>
      <c r="D696" s="723"/>
      <c r="E696" s="723" t="s">
        <v>18</v>
      </c>
      <c r="F696" s="723"/>
      <c r="G696" s="567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7"/>
        <v>0</v>
      </c>
      <c r="P696" s="93">
        <f t="shared" si="288"/>
        <v>0</v>
      </c>
      <c r="Q696" s="568"/>
      <c r="R696" s="568"/>
      <c r="S696" s="568"/>
      <c r="T696" s="568"/>
      <c r="U696" s="568"/>
      <c r="V696" s="568"/>
      <c r="W696" s="568"/>
      <c r="X696" s="568"/>
      <c r="Y696" s="568"/>
      <c r="Z696" s="568"/>
    </row>
    <row r="697" spans="1:26" ht="18.75" hidden="1">
      <c r="A697" s="563"/>
      <c r="B697" s="571"/>
      <c r="C697" s="723"/>
      <c r="D697" s="723"/>
      <c r="E697" s="723" t="s">
        <v>19</v>
      </c>
      <c r="F697" s="723"/>
      <c r="G697" s="567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7"/>
        <v>0</v>
      </c>
      <c r="P697" s="93">
        <f t="shared" si="288"/>
        <v>0</v>
      </c>
      <c r="Q697" s="568"/>
      <c r="R697" s="568"/>
      <c r="S697" s="568"/>
      <c r="T697" s="568"/>
      <c r="U697" s="568"/>
      <c r="V697" s="568"/>
      <c r="W697" s="568"/>
      <c r="X697" s="568"/>
      <c r="Y697" s="568"/>
      <c r="Z697" s="568"/>
    </row>
    <row r="698" spans="1:26" ht="19.5" hidden="1">
      <c r="A698" s="572"/>
      <c r="B698" s="584"/>
      <c r="C698" s="727" t="s">
        <v>16</v>
      </c>
      <c r="D698" s="855" t="s">
        <v>38</v>
      </c>
      <c r="E698" s="725"/>
      <c r="F698" s="725"/>
      <c r="G698" s="577"/>
      <c r="H698" s="726"/>
      <c r="I698" s="184"/>
      <c r="J698" s="184"/>
      <c r="K698" s="163"/>
      <c r="L698" s="163"/>
      <c r="M698" s="163"/>
      <c r="N698" s="163"/>
      <c r="O698" s="163"/>
      <c r="P698" s="163"/>
      <c r="Q698" s="541"/>
      <c r="R698" s="541"/>
      <c r="S698" s="541"/>
      <c r="T698" s="541"/>
      <c r="U698" s="541"/>
      <c r="V698" s="541"/>
      <c r="W698" s="541"/>
      <c r="X698" s="541"/>
      <c r="Y698" s="541"/>
      <c r="Z698" s="541"/>
    </row>
    <row r="699" spans="1:26" ht="18.75" hidden="1">
      <c r="A699" s="708"/>
      <c r="B699" s="727"/>
      <c r="C699" s="727"/>
      <c r="D699" s="727" t="s">
        <v>294</v>
      </c>
      <c r="E699" s="727"/>
      <c r="F699" s="727"/>
      <c r="G699" s="189"/>
      <c r="H699" s="728" t="s">
        <v>46</v>
      </c>
      <c r="I699" s="729">
        <f ca="1">IFERROR(__xludf.DUMMYFUNCTION("IMPORTRANGE(""https://docs.google.com/spreadsheets/d/1QqKyyYR6Q21VydFLVH3TRQUabQu_ym0Zz7PgGX0-kHA/edit?usp=sharing"",""แผน!IC29"")"),0)</f>
        <v>0</v>
      </c>
      <c r="J699" s="269">
        <f ca="1">IFERROR(__xludf.DUMMYFUNCTION("IMPORTRANGE(""https://docs.google.com/spreadsheets/d/1XWAQStnk-4SwqDmLtmXYiTMKHgktTP8We1SCoS47DrQ/edit?usp=sharing"",""จัดที่ดิน!BB29"")"),0)</f>
        <v>0</v>
      </c>
      <c r="K699" s="465">
        <f t="shared" ref="K699:K701" ca="1" si="289">IF(I699&gt;0,J699*100/I699,0)</f>
        <v>0</v>
      </c>
      <c r="L699" s="465"/>
      <c r="M699" s="189"/>
      <c r="N699" s="730"/>
      <c r="O699" s="465"/>
      <c r="P699" s="465"/>
      <c r="Q699" s="541"/>
      <c r="R699" s="541"/>
      <c r="S699" s="541"/>
      <c r="T699" s="541"/>
      <c r="U699" s="541"/>
      <c r="V699" s="541"/>
      <c r="W699" s="541"/>
      <c r="X699" s="541"/>
      <c r="Y699" s="541"/>
      <c r="Z699" s="541"/>
    </row>
    <row r="700" spans="1:26" ht="18.75" hidden="1">
      <c r="A700" s="708"/>
      <c r="B700" s="727"/>
      <c r="C700" s="727"/>
      <c r="D700" s="727" t="s">
        <v>295</v>
      </c>
      <c r="E700" s="727"/>
      <c r="F700" s="727"/>
      <c r="G700" s="189"/>
      <c r="H700" s="728" t="s">
        <v>35</v>
      </c>
      <c r="I700" s="729">
        <f ca="1">IFERROR(__xludf.DUMMYFUNCTION("IMPORTRANGE(""https://docs.google.com/spreadsheets/d/1QqKyyYR6Q21VydFLVH3TRQUabQu_ym0Zz7PgGX0-kHA/edit?usp=sharing"",""แผน!ID29"")"),0)</f>
        <v>0</v>
      </c>
      <c r="J700" s="269">
        <f ca="1">IFERROR(__xludf.DUMMYFUNCTION("IMPORTRANGE(""https://docs.google.com/spreadsheets/d/1XWAQStnk-4SwqDmLtmXYiTMKHgktTP8We1SCoS47DrQ/edit?usp=sharing"",""จัดที่ดิน!BD29"")"),0)</f>
        <v>0</v>
      </c>
      <c r="K700" s="465">
        <f t="shared" ca="1" si="289"/>
        <v>0</v>
      </c>
      <c r="L700" s="465"/>
      <c r="M700" s="189"/>
      <c r="N700" s="730"/>
      <c r="O700" s="465"/>
      <c r="P700" s="465"/>
      <c r="Q700" s="541"/>
      <c r="R700" s="541"/>
      <c r="S700" s="541"/>
      <c r="T700" s="541"/>
      <c r="U700" s="541"/>
      <c r="V700" s="541"/>
      <c r="W700" s="541"/>
      <c r="X700" s="541"/>
      <c r="Y700" s="541"/>
      <c r="Z700" s="541"/>
    </row>
    <row r="701" spans="1:26" ht="19.5" hidden="1">
      <c r="A701" s="708"/>
      <c r="B701" s="727"/>
      <c r="C701" s="727"/>
      <c r="D701" s="727" t="s">
        <v>296</v>
      </c>
      <c r="E701" s="727"/>
      <c r="F701" s="727"/>
      <c r="G701" s="189"/>
      <c r="H701" s="731" t="s">
        <v>46</v>
      </c>
      <c r="I701" s="732">
        <f ca="1">IFERROR(__xludf.DUMMYFUNCTION("IMPORTRANGE(""https://docs.google.com/spreadsheets/d/1QqKyyYR6Q21VydFLVH3TRQUabQu_ym0Zz7PgGX0-kHA/edit?usp=sharing"",""แผน!IE29"")"),0)</f>
        <v>0</v>
      </c>
      <c r="J701" s="647">
        <f>J704+J707</f>
        <v>0</v>
      </c>
      <c r="K701" s="195">
        <f t="shared" ca="1" si="289"/>
        <v>0</v>
      </c>
      <c r="L701" s="465"/>
      <c r="M701" s="189"/>
      <c r="N701" s="730"/>
      <c r="O701" s="465"/>
      <c r="P701" s="465"/>
      <c r="Q701" s="541"/>
      <c r="R701" s="541"/>
      <c r="S701" s="541"/>
      <c r="T701" s="541"/>
      <c r="U701" s="541"/>
      <c r="V701" s="541"/>
      <c r="W701" s="541"/>
      <c r="X701" s="541"/>
      <c r="Y701" s="541"/>
      <c r="Z701" s="541"/>
    </row>
    <row r="702" spans="1:26" ht="18.75" hidden="1">
      <c r="A702" s="708"/>
      <c r="B702" s="727"/>
      <c r="C702" s="727"/>
      <c r="D702" s="727"/>
      <c r="E702" s="727" t="s">
        <v>297</v>
      </c>
      <c r="F702" s="727"/>
      <c r="G702" s="189"/>
      <c r="H702" s="728" t="s">
        <v>35</v>
      </c>
      <c r="I702" s="729"/>
      <c r="J702" s="214">
        <v>0</v>
      </c>
      <c r="K702" s="465"/>
      <c r="L702" s="465"/>
      <c r="M702" s="189"/>
      <c r="N702" s="730"/>
      <c r="O702" s="465"/>
      <c r="P702" s="465"/>
      <c r="Q702" s="541"/>
      <c r="R702" s="541"/>
      <c r="S702" s="541"/>
      <c r="T702" s="541"/>
      <c r="U702" s="541"/>
      <c r="V702" s="541"/>
      <c r="W702" s="541"/>
      <c r="X702" s="541"/>
      <c r="Y702" s="541"/>
      <c r="Z702" s="541"/>
    </row>
    <row r="703" spans="1:26" ht="18.75" hidden="1">
      <c r="A703" s="708"/>
      <c r="B703" s="727"/>
      <c r="C703" s="727"/>
      <c r="D703" s="727"/>
      <c r="E703" s="727"/>
      <c r="F703" s="727"/>
      <c r="G703" s="189"/>
      <c r="H703" s="728" t="s">
        <v>34</v>
      </c>
      <c r="I703" s="729"/>
      <c r="J703" s="214">
        <v>0</v>
      </c>
      <c r="K703" s="465"/>
      <c r="L703" s="465"/>
      <c r="M703" s="189"/>
      <c r="N703" s="730"/>
      <c r="O703" s="465"/>
      <c r="P703" s="465"/>
      <c r="Q703" s="541"/>
      <c r="R703" s="541"/>
      <c r="S703" s="541"/>
      <c r="T703" s="541"/>
      <c r="U703" s="541"/>
      <c r="V703" s="541"/>
      <c r="W703" s="541"/>
      <c r="X703" s="541"/>
      <c r="Y703" s="541"/>
      <c r="Z703" s="541"/>
    </row>
    <row r="704" spans="1:26" ht="18.75" hidden="1">
      <c r="A704" s="708"/>
      <c r="B704" s="727"/>
      <c r="C704" s="727"/>
      <c r="D704" s="727"/>
      <c r="E704" s="727"/>
      <c r="F704" s="727"/>
      <c r="G704" s="189"/>
      <c r="H704" s="728" t="s">
        <v>46</v>
      </c>
      <c r="I704" s="729">
        <f ca="1">IFERROR(__xludf.DUMMYFUNCTION("IMPORTRANGE(""https://docs.google.com/spreadsheets/d/1QqKyyYR6Q21VydFLVH3TRQUabQu_ym0Zz7PgGX0-kHA/edit?usp=sharing"",""แผน!IF29"")"),0)</f>
        <v>0</v>
      </c>
      <c r="J704" s="214">
        <v>0</v>
      </c>
      <c r="K704" s="465"/>
      <c r="L704" s="465"/>
      <c r="M704" s="189"/>
      <c r="N704" s="730"/>
      <c r="O704" s="465"/>
      <c r="P704" s="465"/>
      <c r="Q704" s="541"/>
      <c r="R704" s="541"/>
      <c r="S704" s="541"/>
      <c r="T704" s="541"/>
      <c r="U704" s="541"/>
      <c r="V704" s="541"/>
      <c r="W704" s="541"/>
      <c r="X704" s="541"/>
      <c r="Y704" s="541"/>
      <c r="Z704" s="541"/>
    </row>
    <row r="705" spans="1:26" ht="18.75" hidden="1">
      <c r="A705" s="708"/>
      <c r="B705" s="727"/>
      <c r="C705" s="727"/>
      <c r="D705" s="727"/>
      <c r="E705" s="727" t="s">
        <v>298</v>
      </c>
      <c r="F705" s="727"/>
      <c r="G705" s="189"/>
      <c r="H705" s="728" t="s">
        <v>35</v>
      </c>
      <c r="I705" s="729"/>
      <c r="J705" s="214">
        <v>0</v>
      </c>
      <c r="K705" s="465"/>
      <c r="L705" s="465"/>
      <c r="M705" s="189"/>
      <c r="N705" s="730"/>
      <c r="O705" s="465"/>
      <c r="P705" s="465"/>
      <c r="Q705" s="541"/>
      <c r="R705" s="541"/>
      <c r="S705" s="541"/>
      <c r="T705" s="541"/>
      <c r="U705" s="541"/>
      <c r="V705" s="541"/>
      <c r="W705" s="541"/>
      <c r="X705" s="541"/>
      <c r="Y705" s="541"/>
      <c r="Z705" s="541"/>
    </row>
    <row r="706" spans="1:26" ht="18.75" hidden="1">
      <c r="A706" s="708"/>
      <c r="B706" s="727"/>
      <c r="C706" s="727"/>
      <c r="D706" s="727"/>
      <c r="E706" s="727"/>
      <c r="F706" s="727"/>
      <c r="G706" s="189"/>
      <c r="H706" s="728" t="s">
        <v>34</v>
      </c>
      <c r="I706" s="729"/>
      <c r="J706" s="214">
        <v>0</v>
      </c>
      <c r="K706" s="465"/>
      <c r="L706" s="465"/>
      <c r="M706" s="189"/>
      <c r="N706" s="730"/>
      <c r="O706" s="465"/>
      <c r="P706" s="465"/>
      <c r="Q706" s="541"/>
      <c r="R706" s="541"/>
      <c r="S706" s="541"/>
      <c r="T706" s="541"/>
      <c r="U706" s="541"/>
      <c r="V706" s="541"/>
      <c r="W706" s="541"/>
      <c r="X706" s="541"/>
      <c r="Y706" s="541"/>
      <c r="Z706" s="541"/>
    </row>
    <row r="707" spans="1:26" ht="18.75" hidden="1">
      <c r="A707" s="708"/>
      <c r="B707" s="727"/>
      <c r="C707" s="727"/>
      <c r="D707" s="727"/>
      <c r="E707" s="727"/>
      <c r="F707" s="727"/>
      <c r="G707" s="189"/>
      <c r="H707" s="728" t="s">
        <v>46</v>
      </c>
      <c r="I707" s="729">
        <f ca="1">IFERROR(__xludf.DUMMYFUNCTION("IMPORTRANGE(""https://docs.google.com/spreadsheets/d/1QqKyyYR6Q21VydFLVH3TRQUabQu_ym0Zz7PgGX0-kHA/edit?usp=sharing"",""แผน!IG29"")"),0)</f>
        <v>0</v>
      </c>
      <c r="J707" s="214">
        <v>0</v>
      </c>
      <c r="K707" s="465"/>
      <c r="L707" s="465"/>
      <c r="M707" s="189"/>
      <c r="N707" s="730"/>
      <c r="O707" s="465"/>
      <c r="P707" s="465"/>
      <c r="Q707" s="541"/>
      <c r="R707" s="541"/>
      <c r="S707" s="541"/>
      <c r="T707" s="541"/>
      <c r="U707" s="541"/>
      <c r="V707" s="541"/>
      <c r="W707" s="541"/>
      <c r="X707" s="541"/>
      <c r="Y707" s="541"/>
      <c r="Z707" s="541"/>
    </row>
    <row r="708" spans="1:26" ht="19.5" hidden="1">
      <c r="A708" s="708"/>
      <c r="B708" s="727"/>
      <c r="C708" s="727"/>
      <c r="D708" s="733" t="s">
        <v>299</v>
      </c>
      <c r="E708" s="727"/>
      <c r="F708" s="727"/>
      <c r="G708" s="189"/>
      <c r="H708" s="731" t="s">
        <v>46</v>
      </c>
      <c r="I708" s="732">
        <f ca="1">IFERROR(__xludf.DUMMYFUNCTION("IMPORTRANGE(""https://docs.google.com/spreadsheets/d/1QqKyyYR6Q21VydFLVH3TRQUabQu_ym0Zz7PgGX0-kHA/edit?usp=sharing"",""แผน!IH29"")"),0)</f>
        <v>0</v>
      </c>
      <c r="J708" s="647">
        <f>J714+J717</f>
        <v>0</v>
      </c>
      <c r="K708" s="195">
        <f ca="1">IF(I708&gt;0,J708*100/I708,0)</f>
        <v>0</v>
      </c>
      <c r="L708" s="465"/>
      <c r="M708" s="189"/>
      <c r="N708" s="730"/>
      <c r="O708" s="465"/>
      <c r="P708" s="465"/>
      <c r="Q708" s="541"/>
      <c r="R708" s="541"/>
      <c r="S708" s="541"/>
      <c r="T708" s="541"/>
      <c r="U708" s="541"/>
      <c r="V708" s="541"/>
      <c r="W708" s="541"/>
      <c r="X708" s="541"/>
      <c r="Y708" s="541"/>
      <c r="Z708" s="541"/>
    </row>
    <row r="709" spans="1:26" ht="18.75" hidden="1">
      <c r="A709" s="708"/>
      <c r="B709" s="727"/>
      <c r="C709" s="727"/>
      <c r="D709" s="727"/>
      <c r="E709" s="727" t="s">
        <v>300</v>
      </c>
      <c r="F709" s="727"/>
      <c r="G709" s="189"/>
      <c r="H709" s="728" t="s">
        <v>34</v>
      </c>
      <c r="I709" s="729"/>
      <c r="J709" s="214">
        <v>0</v>
      </c>
      <c r="K709" s="465"/>
      <c r="L709" s="730"/>
      <c r="M709" s="189"/>
      <c r="N709" s="730"/>
      <c r="O709" s="465"/>
      <c r="P709" s="465"/>
      <c r="Q709" s="541"/>
      <c r="R709" s="541"/>
      <c r="S709" s="541"/>
      <c r="T709" s="541"/>
      <c r="U709" s="541"/>
      <c r="V709" s="541"/>
      <c r="W709" s="541"/>
      <c r="X709" s="541"/>
      <c r="Y709" s="541"/>
      <c r="Z709" s="541"/>
    </row>
    <row r="710" spans="1:26" ht="18.75" hidden="1">
      <c r="A710" s="708"/>
      <c r="B710" s="727"/>
      <c r="C710" s="727"/>
      <c r="D710" s="727"/>
      <c r="E710" s="727"/>
      <c r="F710" s="727"/>
      <c r="G710" s="189"/>
      <c r="H710" s="728" t="s">
        <v>46</v>
      </c>
      <c r="I710" s="729"/>
      <c r="J710" s="214">
        <v>0</v>
      </c>
      <c r="K710" s="465"/>
      <c r="L710" s="730"/>
      <c r="M710" s="189"/>
      <c r="N710" s="730"/>
      <c r="O710" s="465"/>
      <c r="P710" s="465"/>
      <c r="Q710" s="541"/>
      <c r="R710" s="541"/>
      <c r="S710" s="541"/>
      <c r="T710" s="541"/>
      <c r="U710" s="541"/>
      <c r="V710" s="541"/>
      <c r="W710" s="541"/>
      <c r="X710" s="541"/>
      <c r="Y710" s="541"/>
      <c r="Z710" s="541"/>
    </row>
    <row r="711" spans="1:26" ht="18.75" hidden="1">
      <c r="A711" s="708"/>
      <c r="B711" s="727"/>
      <c r="C711" s="727"/>
      <c r="D711" s="727"/>
      <c r="E711" s="727" t="s">
        <v>301</v>
      </c>
      <c r="F711" s="727"/>
      <c r="G711" s="189"/>
      <c r="H711" s="726"/>
      <c r="I711" s="729"/>
      <c r="J711" s="269"/>
      <c r="K711" s="465"/>
      <c r="L711" s="730"/>
      <c r="M711" s="189"/>
      <c r="N711" s="730"/>
      <c r="O711" s="465"/>
      <c r="P711" s="465"/>
      <c r="Q711" s="541"/>
      <c r="R711" s="541"/>
      <c r="S711" s="541"/>
      <c r="T711" s="541"/>
      <c r="U711" s="541"/>
      <c r="V711" s="541"/>
      <c r="W711" s="541"/>
      <c r="X711" s="541"/>
      <c r="Y711" s="541"/>
      <c r="Z711" s="541"/>
    </row>
    <row r="712" spans="1:26" ht="18.75" hidden="1">
      <c r="A712" s="708"/>
      <c r="B712" s="727"/>
      <c r="C712" s="727"/>
      <c r="D712" s="727"/>
      <c r="E712" s="727"/>
      <c r="F712" s="727" t="s">
        <v>302</v>
      </c>
      <c r="G712" s="189"/>
      <c r="H712" s="728" t="s">
        <v>35</v>
      </c>
      <c r="I712" s="729"/>
      <c r="J712" s="214">
        <v>0</v>
      </c>
      <c r="K712" s="465"/>
      <c r="L712" s="730"/>
      <c r="M712" s="189"/>
      <c r="N712" s="730"/>
      <c r="O712" s="465"/>
      <c r="P712" s="465"/>
      <c r="Q712" s="541"/>
      <c r="R712" s="541"/>
      <c r="S712" s="541"/>
      <c r="T712" s="541"/>
      <c r="U712" s="541"/>
      <c r="V712" s="541"/>
      <c r="W712" s="541"/>
      <c r="X712" s="541"/>
      <c r="Y712" s="541"/>
      <c r="Z712" s="541"/>
    </row>
    <row r="713" spans="1:26" ht="18.75" hidden="1">
      <c r="A713" s="708"/>
      <c r="B713" s="727"/>
      <c r="C713" s="727"/>
      <c r="D713" s="727"/>
      <c r="E713" s="727"/>
      <c r="F713" s="727"/>
      <c r="G713" s="189"/>
      <c r="H713" s="728" t="s">
        <v>34</v>
      </c>
      <c r="I713" s="729"/>
      <c r="J713" s="214">
        <v>0</v>
      </c>
      <c r="K713" s="465"/>
      <c r="L713" s="730"/>
      <c r="M713" s="189"/>
      <c r="N713" s="730"/>
      <c r="O713" s="465"/>
      <c r="P713" s="465"/>
      <c r="Q713" s="541"/>
      <c r="R713" s="541"/>
      <c r="S713" s="541"/>
      <c r="T713" s="541"/>
      <c r="U713" s="541"/>
      <c r="V713" s="541"/>
      <c r="W713" s="541"/>
      <c r="X713" s="541"/>
      <c r="Y713" s="541"/>
      <c r="Z713" s="541"/>
    </row>
    <row r="714" spans="1:26" ht="18.75" hidden="1">
      <c r="A714" s="708"/>
      <c r="B714" s="727"/>
      <c r="C714" s="727"/>
      <c r="D714" s="727"/>
      <c r="E714" s="727"/>
      <c r="F714" s="727"/>
      <c r="G714" s="189"/>
      <c r="H714" s="728" t="s">
        <v>46</v>
      </c>
      <c r="I714" s="729"/>
      <c r="J714" s="214">
        <v>0</v>
      </c>
      <c r="K714" s="465"/>
      <c r="L714" s="730"/>
      <c r="M714" s="189"/>
      <c r="N714" s="730"/>
      <c r="O714" s="465"/>
      <c r="P714" s="465"/>
      <c r="Q714" s="541"/>
      <c r="R714" s="541"/>
      <c r="S714" s="541"/>
      <c r="T714" s="541"/>
      <c r="U714" s="541"/>
      <c r="V714" s="541"/>
      <c r="W714" s="541"/>
      <c r="X714" s="541"/>
      <c r="Y714" s="541"/>
      <c r="Z714" s="541"/>
    </row>
    <row r="715" spans="1:26" ht="18.75" hidden="1">
      <c r="A715" s="708"/>
      <c r="B715" s="727"/>
      <c r="C715" s="727"/>
      <c r="D715" s="727"/>
      <c r="E715" s="727"/>
      <c r="F715" s="727" t="s">
        <v>303</v>
      </c>
      <c r="G715" s="189"/>
      <c r="H715" s="728" t="s">
        <v>35</v>
      </c>
      <c r="I715" s="729"/>
      <c r="J715" s="214">
        <v>0</v>
      </c>
      <c r="K715" s="465"/>
      <c r="L715" s="730"/>
      <c r="M715" s="189"/>
      <c r="N715" s="730"/>
      <c r="O715" s="465"/>
      <c r="P715" s="465"/>
      <c r="Q715" s="541"/>
      <c r="R715" s="541"/>
      <c r="S715" s="541"/>
      <c r="T715" s="541"/>
      <c r="U715" s="541"/>
      <c r="V715" s="541"/>
      <c r="W715" s="541"/>
      <c r="X715" s="541"/>
      <c r="Y715" s="541"/>
      <c r="Z715" s="541"/>
    </row>
    <row r="716" spans="1:26" ht="18.75" hidden="1">
      <c r="A716" s="708"/>
      <c r="B716" s="727"/>
      <c r="C716" s="727"/>
      <c r="D716" s="727"/>
      <c r="E716" s="727"/>
      <c r="F716" s="727"/>
      <c r="G716" s="189"/>
      <c r="H716" s="728" t="s">
        <v>34</v>
      </c>
      <c r="I716" s="729"/>
      <c r="J716" s="214">
        <v>0</v>
      </c>
      <c r="K716" s="465"/>
      <c r="L716" s="730"/>
      <c r="M716" s="189"/>
      <c r="N716" s="730"/>
      <c r="O716" s="465"/>
      <c r="P716" s="465"/>
      <c r="Q716" s="541"/>
      <c r="R716" s="541"/>
      <c r="S716" s="541"/>
      <c r="T716" s="541"/>
      <c r="U716" s="541"/>
      <c r="V716" s="541"/>
      <c r="W716" s="541"/>
      <c r="X716" s="541"/>
      <c r="Y716" s="541"/>
      <c r="Z716" s="541"/>
    </row>
    <row r="717" spans="1:26" ht="18.75" hidden="1">
      <c r="A717" s="708"/>
      <c r="B717" s="727"/>
      <c r="C717" s="727"/>
      <c r="D717" s="727"/>
      <c r="E717" s="727"/>
      <c r="F717" s="727"/>
      <c r="G717" s="189"/>
      <c r="H717" s="728" t="s">
        <v>46</v>
      </c>
      <c r="I717" s="729"/>
      <c r="J717" s="214">
        <v>0</v>
      </c>
      <c r="K717" s="465"/>
      <c r="L717" s="730"/>
      <c r="M717" s="189"/>
      <c r="N717" s="730"/>
      <c r="O717" s="465"/>
      <c r="P717" s="465"/>
      <c r="Q717" s="541"/>
      <c r="R717" s="541"/>
      <c r="S717" s="541"/>
      <c r="T717" s="541"/>
      <c r="U717" s="541"/>
      <c r="V717" s="541"/>
      <c r="W717" s="541"/>
      <c r="X717" s="541"/>
      <c r="Y717" s="541"/>
      <c r="Z717" s="541"/>
    </row>
    <row r="718" spans="1:26" ht="18.75" hidden="1">
      <c r="A718" s="708"/>
      <c r="B718" s="727"/>
      <c r="C718" s="727"/>
      <c r="D718" s="727" t="s">
        <v>304</v>
      </c>
      <c r="E718" s="727"/>
      <c r="F718" s="727"/>
      <c r="G718" s="189"/>
      <c r="H718" s="728" t="s">
        <v>35</v>
      </c>
      <c r="I718" s="729"/>
      <c r="J718" s="269">
        <f ca="1">IFERROR(__xludf.DUMMYFUNCTION("IMPORTRANGE(""https://docs.google.com/spreadsheets/d/1XWAQStnk-4SwqDmLtmXYiTMKHgktTP8We1SCoS47DrQ/edit?usp=sharing"",""จัดที่ดิน!BF29"")"),0)</f>
        <v>0</v>
      </c>
      <c r="K718" s="465"/>
      <c r="L718" s="465"/>
      <c r="M718" s="189"/>
      <c r="N718" s="730"/>
      <c r="O718" s="465"/>
      <c r="P718" s="465"/>
      <c r="Q718" s="541"/>
      <c r="R718" s="541"/>
      <c r="S718" s="541"/>
      <c r="T718" s="541"/>
      <c r="U718" s="541"/>
      <c r="V718" s="541"/>
      <c r="W718" s="541"/>
      <c r="X718" s="541"/>
      <c r="Y718" s="541"/>
      <c r="Z718" s="541"/>
    </row>
    <row r="719" spans="1:26" ht="18.75" hidden="1">
      <c r="A719" s="708"/>
      <c r="B719" s="727"/>
      <c r="C719" s="727"/>
      <c r="D719" s="727"/>
      <c r="E719" s="727"/>
      <c r="F719" s="727"/>
      <c r="G719" s="189"/>
      <c r="H719" s="728" t="s">
        <v>34</v>
      </c>
      <c r="I719" s="729"/>
      <c r="J719" s="269">
        <f ca="1">IFERROR(__xludf.DUMMYFUNCTION("IMPORTRANGE(""https://docs.google.com/spreadsheets/d/1XWAQStnk-4SwqDmLtmXYiTMKHgktTP8We1SCoS47DrQ/edit?usp=sharing"",""จัดที่ดิน!BG29"")"),0)</f>
        <v>0</v>
      </c>
      <c r="K719" s="465"/>
      <c r="L719" s="730"/>
      <c r="M719" s="189"/>
      <c r="N719" s="730"/>
      <c r="O719" s="465"/>
      <c r="P719" s="465"/>
      <c r="Q719" s="541"/>
      <c r="R719" s="541"/>
      <c r="S719" s="541"/>
      <c r="T719" s="541"/>
      <c r="U719" s="541"/>
      <c r="V719" s="541"/>
      <c r="W719" s="541"/>
      <c r="X719" s="541"/>
      <c r="Y719" s="541"/>
      <c r="Z719" s="541"/>
    </row>
    <row r="720" spans="1:26" ht="18.75" hidden="1">
      <c r="A720" s="708"/>
      <c r="B720" s="727"/>
      <c r="C720" s="727"/>
      <c r="D720" s="727"/>
      <c r="E720" s="727"/>
      <c r="F720" s="727"/>
      <c r="G720" s="189"/>
      <c r="H720" s="728" t="s">
        <v>46</v>
      </c>
      <c r="I720" s="729">
        <f ca="1">IFERROR(__xludf.DUMMYFUNCTION("IMPORTRANGE(""https://docs.google.com/spreadsheets/d/1QqKyyYR6Q21VydFLVH3TRQUabQu_ym0Zz7PgGX0-kHA/edit?usp=sharing"",""แผน!II29"")"),0)</f>
        <v>0</v>
      </c>
      <c r="J720" s="269">
        <f ca="1">IFERROR(__xludf.DUMMYFUNCTION("IMPORTRANGE(""https://docs.google.com/spreadsheets/d/1XWAQStnk-4SwqDmLtmXYiTMKHgktTP8We1SCoS47DrQ/edit?usp=sharing"",""จัดที่ดิน!BH29"")"),0)</f>
        <v>0</v>
      </c>
      <c r="K720" s="465">
        <f t="shared" ref="K720:K723" ca="1" si="290">IF(I720&gt;0,J720*100/I720,0)</f>
        <v>0</v>
      </c>
      <c r="L720" s="730"/>
      <c r="M720" s="189"/>
      <c r="N720" s="730"/>
      <c r="O720" s="465"/>
      <c r="P720" s="465"/>
      <c r="Q720" s="541"/>
      <c r="R720" s="541"/>
      <c r="S720" s="541"/>
      <c r="T720" s="541"/>
      <c r="U720" s="541"/>
      <c r="V720" s="541"/>
      <c r="W720" s="541"/>
      <c r="X720" s="541"/>
      <c r="Y720" s="541"/>
      <c r="Z720" s="541"/>
    </row>
    <row r="721" spans="1:26" ht="19.5" hidden="1">
      <c r="A721" s="708"/>
      <c r="B721" s="727"/>
      <c r="C721" s="727"/>
      <c r="D721" s="727" t="s">
        <v>305</v>
      </c>
      <c r="E721" s="727"/>
      <c r="F721" s="727"/>
      <c r="G721" s="189"/>
      <c r="H721" s="731" t="s">
        <v>35</v>
      </c>
      <c r="I721" s="732">
        <f ca="1">IFERROR(__xludf.DUMMYFUNCTION("IMPORTRANGE(""https://docs.google.com/spreadsheets/d/1QqKyyYR6Q21VydFLVH3TRQUabQu_ym0Zz7PgGX0-kHA/edit?usp=sharing"",""แผน!IJ29"")"),0)</f>
        <v>0</v>
      </c>
      <c r="J721" s="647">
        <f ca="1">J723+J726</f>
        <v>0</v>
      </c>
      <c r="K721" s="195">
        <f t="shared" ca="1" si="290"/>
        <v>0</v>
      </c>
      <c r="L721" s="730"/>
      <c r="M721" s="189"/>
      <c r="N721" s="730"/>
      <c r="O721" s="465"/>
      <c r="P721" s="465"/>
      <c r="Q721" s="541"/>
      <c r="R721" s="541"/>
      <c r="S721" s="541"/>
      <c r="T721" s="541"/>
      <c r="U721" s="541"/>
      <c r="V721" s="541"/>
      <c r="W721" s="541"/>
      <c r="X721" s="541"/>
      <c r="Y721" s="541"/>
      <c r="Z721" s="541"/>
    </row>
    <row r="722" spans="1:26" ht="19.5" hidden="1">
      <c r="A722" s="708"/>
      <c r="B722" s="727"/>
      <c r="C722" s="727"/>
      <c r="D722" s="727"/>
      <c r="E722" s="727"/>
      <c r="F722" s="727"/>
      <c r="G722" s="189"/>
      <c r="H722" s="731" t="s">
        <v>46</v>
      </c>
      <c r="I722" s="732">
        <f ca="1">IFERROR(__xludf.DUMMYFUNCTION("IMPORTRANGE(""https://docs.google.com/spreadsheets/d/1QqKyyYR6Q21VydFLVH3TRQUabQu_ym0Zz7PgGX0-kHA/edit?usp=sharing"",""แผน!IK29"")"),0)</f>
        <v>0</v>
      </c>
      <c r="J722" s="647">
        <f ca="1">J725+J728</f>
        <v>0</v>
      </c>
      <c r="K722" s="195">
        <f t="shared" ca="1" si="290"/>
        <v>0</v>
      </c>
      <c r="L722" s="465"/>
      <c r="M722" s="189"/>
      <c r="N722" s="730"/>
      <c r="O722" s="465"/>
      <c r="P722" s="465"/>
      <c r="Q722" s="541"/>
      <c r="R722" s="541"/>
      <c r="S722" s="541"/>
      <c r="T722" s="541"/>
      <c r="U722" s="541"/>
      <c r="V722" s="541"/>
      <c r="W722" s="541"/>
      <c r="X722" s="541"/>
      <c r="Y722" s="541"/>
      <c r="Z722" s="541"/>
    </row>
    <row r="723" spans="1:26" ht="18.75" hidden="1">
      <c r="A723" s="708"/>
      <c r="B723" s="727"/>
      <c r="C723" s="727"/>
      <c r="D723" s="727"/>
      <c r="E723" s="727" t="s">
        <v>306</v>
      </c>
      <c r="F723" s="727"/>
      <c r="G723" s="189"/>
      <c r="H723" s="728" t="s">
        <v>35</v>
      </c>
      <c r="I723" s="729">
        <f ca="1">IFERROR(__xludf.DUMMYFUNCTION("IMPORTRANGE(""https://docs.google.com/spreadsheets/d/1QqKyyYR6Q21VydFLVH3TRQUabQu_ym0Zz7PgGX0-kHA/edit?usp=sharing"",""แผน!IL29"")"),0)</f>
        <v>0</v>
      </c>
      <c r="J723" s="269">
        <f ca="1">IFERROR(__xludf.DUMMYFUNCTION("IMPORTRANGE(""https://docs.google.com/spreadsheets/d/1XWAQStnk-4SwqDmLtmXYiTMKHgktTP8We1SCoS47DrQ/edit?usp=sharing"",""จัดที่ดิน!BM29"")"),0)</f>
        <v>0</v>
      </c>
      <c r="K723" s="465">
        <f t="shared" ca="1" si="290"/>
        <v>0</v>
      </c>
      <c r="L723" s="465"/>
      <c r="M723" s="189"/>
      <c r="N723" s="730"/>
      <c r="O723" s="465"/>
      <c r="P723" s="465"/>
      <c r="Q723" s="541"/>
      <c r="R723" s="541"/>
      <c r="S723" s="541"/>
      <c r="T723" s="541"/>
      <c r="U723" s="541"/>
      <c r="V723" s="541"/>
      <c r="W723" s="541"/>
      <c r="X723" s="541"/>
      <c r="Y723" s="541"/>
      <c r="Z723" s="541"/>
    </row>
    <row r="724" spans="1:26" ht="18.75" hidden="1">
      <c r="A724" s="708"/>
      <c r="B724" s="727"/>
      <c r="C724" s="727"/>
      <c r="D724" s="727"/>
      <c r="E724" s="727"/>
      <c r="F724" s="727"/>
      <c r="G724" s="189"/>
      <c r="H724" s="728" t="s">
        <v>34</v>
      </c>
      <c r="I724" s="729"/>
      <c r="J724" s="269">
        <f ca="1">IFERROR(__xludf.DUMMYFUNCTION("IMPORTRANGE(""https://docs.google.com/spreadsheets/d/1XWAQStnk-4SwqDmLtmXYiTMKHgktTP8We1SCoS47DrQ/edit?usp=sharing"",""จัดที่ดิน!BN29"")"),0)</f>
        <v>0</v>
      </c>
      <c r="K724" s="465"/>
      <c r="L724" s="730"/>
      <c r="M724" s="189"/>
      <c r="N724" s="730"/>
      <c r="O724" s="465"/>
      <c r="P724" s="465"/>
      <c r="Q724" s="541"/>
      <c r="R724" s="541"/>
      <c r="S724" s="541"/>
      <c r="T724" s="541"/>
      <c r="U724" s="541"/>
      <c r="V724" s="541"/>
      <c r="W724" s="541"/>
      <c r="X724" s="541"/>
      <c r="Y724" s="541"/>
      <c r="Z724" s="541"/>
    </row>
    <row r="725" spans="1:26" ht="18.75" hidden="1">
      <c r="A725" s="708"/>
      <c r="B725" s="727"/>
      <c r="C725" s="727"/>
      <c r="D725" s="727"/>
      <c r="E725" s="727"/>
      <c r="F725" s="727"/>
      <c r="G725" s="189"/>
      <c r="H725" s="728" t="s">
        <v>46</v>
      </c>
      <c r="I725" s="729">
        <f ca="1">IFERROR(__xludf.DUMMYFUNCTION("IMPORTRANGE(""https://docs.google.com/spreadsheets/d/1QqKyyYR6Q21VydFLVH3TRQUabQu_ym0Zz7PgGX0-kHA/edit?usp=sharing"",""แผน!IM29"")"),0)</f>
        <v>0</v>
      </c>
      <c r="J725" s="269">
        <f ca="1">IFERROR(__xludf.DUMMYFUNCTION("IMPORTRANGE(""https://docs.google.com/spreadsheets/d/1XWAQStnk-4SwqDmLtmXYiTMKHgktTP8We1SCoS47DrQ/edit?usp=sharing"",""จัดที่ดิน!BO29"")"),0)</f>
        <v>0</v>
      </c>
      <c r="K725" s="465">
        <f t="shared" ref="K725:K726" ca="1" si="291">IF(I725&gt;0,J725*100/I725,0)</f>
        <v>0</v>
      </c>
      <c r="L725" s="730"/>
      <c r="M725" s="189"/>
      <c r="N725" s="730"/>
      <c r="O725" s="465"/>
      <c r="P725" s="465"/>
      <c r="Q725" s="541"/>
      <c r="R725" s="541"/>
      <c r="S725" s="541"/>
      <c r="T725" s="541"/>
      <c r="U725" s="541"/>
      <c r="V725" s="541"/>
      <c r="W725" s="541"/>
      <c r="X725" s="541"/>
      <c r="Y725" s="541"/>
      <c r="Z725" s="541"/>
    </row>
    <row r="726" spans="1:26" ht="18.75" hidden="1">
      <c r="A726" s="708"/>
      <c r="B726" s="727"/>
      <c r="C726" s="727"/>
      <c r="D726" s="727"/>
      <c r="E726" s="727" t="s">
        <v>307</v>
      </c>
      <c r="F726" s="727"/>
      <c r="G726" s="189"/>
      <c r="H726" s="728" t="s">
        <v>35</v>
      </c>
      <c r="I726" s="729">
        <f ca="1">IFERROR(__xludf.DUMMYFUNCTION("IMPORTRANGE(""https://docs.google.com/spreadsheets/d/1QqKyyYR6Q21VydFLVH3TRQUabQu_ym0Zz7PgGX0-kHA/edit?usp=sharing"",""แผน!IN29"")"),0)</f>
        <v>0</v>
      </c>
      <c r="J726" s="269">
        <f ca="1">IFERROR(__xludf.DUMMYFUNCTION("IMPORTRANGE(""https://docs.google.com/spreadsheets/d/1XWAQStnk-4SwqDmLtmXYiTMKHgktTP8We1SCoS47DrQ/edit?usp=sharing"",""จัดที่ดิน!BR29"")"),0)</f>
        <v>0</v>
      </c>
      <c r="K726" s="465">
        <f t="shared" ca="1" si="291"/>
        <v>0</v>
      </c>
      <c r="L726" s="465"/>
      <c r="M726" s="189"/>
      <c r="N726" s="730"/>
      <c r="O726" s="465"/>
      <c r="P726" s="465"/>
      <c r="Q726" s="541"/>
      <c r="R726" s="541"/>
      <c r="S726" s="541"/>
      <c r="T726" s="541"/>
      <c r="U726" s="541"/>
      <c r="V726" s="541"/>
      <c r="W726" s="541"/>
      <c r="X726" s="541"/>
      <c r="Y726" s="541"/>
      <c r="Z726" s="541"/>
    </row>
    <row r="727" spans="1:26" ht="18.75" hidden="1">
      <c r="A727" s="708"/>
      <c r="B727" s="727"/>
      <c r="C727" s="727"/>
      <c r="D727" s="727"/>
      <c r="E727" s="727"/>
      <c r="F727" s="727"/>
      <c r="G727" s="189"/>
      <c r="H727" s="728" t="s">
        <v>34</v>
      </c>
      <c r="I727" s="729"/>
      <c r="J727" s="269">
        <f ca="1">IFERROR(__xludf.DUMMYFUNCTION("IMPORTRANGE(""https://docs.google.com/spreadsheets/d/1XWAQStnk-4SwqDmLtmXYiTMKHgktTP8We1SCoS47DrQ/edit?usp=sharing"",""จัดที่ดิน!BS29"")"),0)</f>
        <v>0</v>
      </c>
      <c r="K727" s="465"/>
      <c r="L727" s="730"/>
      <c r="M727" s="189"/>
      <c r="N727" s="730"/>
      <c r="O727" s="465"/>
      <c r="P727" s="465"/>
      <c r="Q727" s="541"/>
      <c r="R727" s="541"/>
      <c r="S727" s="541"/>
      <c r="T727" s="541"/>
      <c r="U727" s="541"/>
      <c r="V727" s="541"/>
      <c r="W727" s="541"/>
      <c r="X727" s="541"/>
      <c r="Y727" s="541"/>
      <c r="Z727" s="541"/>
    </row>
    <row r="728" spans="1:26" ht="18.75" hidden="1">
      <c r="A728" s="708"/>
      <c r="B728" s="727"/>
      <c r="C728" s="727"/>
      <c r="D728" s="727"/>
      <c r="E728" s="727"/>
      <c r="F728" s="727"/>
      <c r="G728" s="189"/>
      <c r="H728" s="728" t="s">
        <v>46</v>
      </c>
      <c r="I728" s="729">
        <f ca="1">IFERROR(__xludf.DUMMYFUNCTION("IMPORTRANGE(""https://docs.google.com/spreadsheets/d/1QqKyyYR6Q21VydFLVH3TRQUabQu_ym0Zz7PgGX0-kHA/edit?usp=sharing"",""แผน!IO29"")"),0)</f>
        <v>0</v>
      </c>
      <c r="J728" s="269">
        <f ca="1">IFERROR(__xludf.DUMMYFUNCTION("IMPORTRANGE(""https://docs.google.com/spreadsheets/d/1XWAQStnk-4SwqDmLtmXYiTMKHgktTP8We1SCoS47DrQ/edit?usp=sharing"",""จัดที่ดิน!BT29"")"),0)</f>
        <v>0</v>
      </c>
      <c r="K728" s="465">
        <f t="shared" ref="K728:K729" ca="1" si="292">IF(I728&gt;0,J728*100/I728,0)</f>
        <v>0</v>
      </c>
      <c r="L728" s="730"/>
      <c r="M728" s="189"/>
      <c r="N728" s="730"/>
      <c r="O728" s="465"/>
      <c r="P728" s="465"/>
      <c r="Q728" s="541"/>
      <c r="R728" s="541"/>
      <c r="S728" s="541"/>
      <c r="T728" s="541"/>
      <c r="U728" s="541"/>
      <c r="V728" s="541"/>
      <c r="W728" s="541"/>
      <c r="X728" s="541"/>
      <c r="Y728" s="541"/>
      <c r="Z728" s="541"/>
    </row>
    <row r="729" spans="1:26" ht="19.5" hidden="1">
      <c r="A729" s="708"/>
      <c r="B729" s="727"/>
      <c r="C729" s="727"/>
      <c r="D729" s="727" t="s">
        <v>308</v>
      </c>
      <c r="E729" s="727"/>
      <c r="F729" s="727"/>
      <c r="G729" s="189"/>
      <c r="H729" s="731" t="s">
        <v>46</v>
      </c>
      <c r="I729" s="732">
        <f ca="1">IFERROR(__xludf.DUMMYFUNCTION("IMPORTRANGE(""https://docs.google.com/spreadsheets/d/1QqKyyYR6Q21VydFLVH3TRQUabQu_ym0Zz7PgGX0-kHA/edit?usp=sharing"",""แผน!IP29"")"),0)</f>
        <v>0</v>
      </c>
      <c r="J729" s="647">
        <f>J732+J735</f>
        <v>0</v>
      </c>
      <c r="K729" s="195">
        <f t="shared" ca="1" si="292"/>
        <v>0</v>
      </c>
      <c r="L729" s="465"/>
      <c r="M729" s="189"/>
      <c r="N729" s="730"/>
      <c r="O729" s="465"/>
      <c r="P729" s="465"/>
      <c r="Q729" s="541"/>
      <c r="R729" s="541"/>
      <c r="S729" s="541"/>
      <c r="T729" s="541"/>
      <c r="U729" s="541"/>
      <c r="V729" s="541"/>
      <c r="W729" s="541"/>
      <c r="X729" s="541"/>
      <c r="Y729" s="541"/>
      <c r="Z729" s="541"/>
    </row>
    <row r="730" spans="1:26" ht="18.75" hidden="1">
      <c r="A730" s="708"/>
      <c r="B730" s="727"/>
      <c r="C730" s="727"/>
      <c r="D730" s="727"/>
      <c r="E730" s="727" t="s">
        <v>309</v>
      </c>
      <c r="F730" s="727"/>
      <c r="G730" s="189"/>
      <c r="H730" s="728" t="s">
        <v>35</v>
      </c>
      <c r="I730" s="729"/>
      <c r="J730" s="214">
        <v>0</v>
      </c>
      <c r="K730" s="465"/>
      <c r="L730" s="730"/>
      <c r="M730" s="465"/>
      <c r="N730" s="730"/>
      <c r="O730" s="465"/>
      <c r="P730" s="465"/>
      <c r="Q730" s="541"/>
      <c r="R730" s="541"/>
      <c r="S730" s="541"/>
      <c r="T730" s="541"/>
      <c r="U730" s="541"/>
      <c r="V730" s="541"/>
      <c r="W730" s="541"/>
      <c r="X730" s="541"/>
      <c r="Y730" s="541"/>
      <c r="Z730" s="541"/>
    </row>
    <row r="731" spans="1:26" ht="18.75" hidden="1">
      <c r="A731" s="708"/>
      <c r="B731" s="727"/>
      <c r="C731" s="727"/>
      <c r="D731" s="727"/>
      <c r="E731" s="727"/>
      <c r="F731" s="727"/>
      <c r="G731" s="189"/>
      <c r="H731" s="728" t="s">
        <v>34</v>
      </c>
      <c r="I731" s="729"/>
      <c r="J731" s="214">
        <v>0</v>
      </c>
      <c r="K731" s="465"/>
      <c r="L731" s="730"/>
      <c r="M731" s="465"/>
      <c r="N731" s="730"/>
      <c r="O731" s="465"/>
      <c r="P731" s="465"/>
      <c r="Q731" s="541"/>
      <c r="R731" s="541"/>
      <c r="S731" s="541"/>
      <c r="T731" s="541"/>
      <c r="U731" s="541"/>
      <c r="V731" s="541"/>
      <c r="W731" s="541"/>
      <c r="X731" s="541"/>
      <c r="Y731" s="541"/>
      <c r="Z731" s="541"/>
    </row>
    <row r="732" spans="1:26" ht="18.75" hidden="1">
      <c r="A732" s="708"/>
      <c r="B732" s="727"/>
      <c r="C732" s="727"/>
      <c r="D732" s="727"/>
      <c r="E732" s="727"/>
      <c r="F732" s="727"/>
      <c r="G732" s="189"/>
      <c r="H732" s="728" t="s">
        <v>46</v>
      </c>
      <c r="I732" s="729"/>
      <c r="J732" s="214">
        <v>0</v>
      </c>
      <c r="K732" s="465"/>
      <c r="L732" s="730"/>
      <c r="M732" s="465"/>
      <c r="N732" s="730"/>
      <c r="O732" s="465"/>
      <c r="P732" s="465"/>
      <c r="Q732" s="541"/>
      <c r="R732" s="541"/>
      <c r="S732" s="541"/>
      <c r="T732" s="541"/>
      <c r="U732" s="541"/>
      <c r="V732" s="541"/>
      <c r="W732" s="541"/>
      <c r="X732" s="541"/>
      <c r="Y732" s="541"/>
      <c r="Z732" s="541"/>
    </row>
    <row r="733" spans="1:26" ht="18.75" hidden="1">
      <c r="A733" s="708"/>
      <c r="B733" s="727"/>
      <c r="C733" s="727"/>
      <c r="D733" s="727"/>
      <c r="E733" s="727" t="s">
        <v>310</v>
      </c>
      <c r="F733" s="727"/>
      <c r="G733" s="189"/>
      <c r="H733" s="728" t="s">
        <v>35</v>
      </c>
      <c r="I733" s="729"/>
      <c r="J733" s="214">
        <v>0</v>
      </c>
      <c r="K733" s="465"/>
      <c r="L733" s="730"/>
      <c r="M733" s="465"/>
      <c r="N733" s="730"/>
      <c r="O733" s="465"/>
      <c r="P733" s="465"/>
      <c r="Q733" s="541"/>
      <c r="R733" s="541"/>
      <c r="S733" s="541"/>
      <c r="T733" s="541"/>
      <c r="U733" s="541"/>
      <c r="V733" s="541"/>
      <c r="W733" s="541"/>
      <c r="X733" s="541"/>
      <c r="Y733" s="541"/>
      <c r="Z733" s="541"/>
    </row>
    <row r="734" spans="1:26" ht="18.75" hidden="1">
      <c r="A734" s="708"/>
      <c r="B734" s="727"/>
      <c r="C734" s="727"/>
      <c r="D734" s="727"/>
      <c r="E734" s="727"/>
      <c r="F734" s="727"/>
      <c r="G734" s="189"/>
      <c r="H734" s="728" t="s">
        <v>34</v>
      </c>
      <c r="I734" s="729"/>
      <c r="J734" s="214">
        <v>0</v>
      </c>
      <c r="K734" s="465"/>
      <c r="L734" s="730"/>
      <c r="M734" s="465"/>
      <c r="N734" s="730"/>
      <c r="O734" s="465"/>
      <c r="P734" s="465"/>
      <c r="Q734" s="541"/>
      <c r="R734" s="541"/>
      <c r="S734" s="541"/>
      <c r="T734" s="541"/>
      <c r="U734" s="541"/>
      <c r="V734" s="541"/>
      <c r="W734" s="541"/>
      <c r="X734" s="541"/>
      <c r="Y734" s="541"/>
      <c r="Z734" s="541"/>
    </row>
    <row r="735" spans="1:26" ht="19.5" hidden="1">
      <c r="A735" s="734"/>
      <c r="B735" s="735" t="s">
        <v>311</v>
      </c>
      <c r="C735" s="698"/>
      <c r="D735" s="698"/>
      <c r="E735" s="698"/>
      <c r="F735" s="698"/>
      <c r="G735" s="699"/>
      <c r="H735" s="390" t="s">
        <v>46</v>
      </c>
      <c r="I735" s="736"/>
      <c r="J735" s="392">
        <v>0</v>
      </c>
      <c r="K735" s="469"/>
      <c r="L735" s="737"/>
      <c r="M735" s="469"/>
      <c r="N735" s="737"/>
      <c r="O735" s="469"/>
      <c r="P735" s="469"/>
      <c r="Q735" s="541"/>
      <c r="R735" s="541"/>
      <c r="S735" s="541"/>
      <c r="T735" s="541"/>
      <c r="U735" s="541"/>
      <c r="V735" s="541"/>
      <c r="W735" s="541"/>
      <c r="X735" s="541"/>
      <c r="Y735" s="541"/>
      <c r="Z735" s="541"/>
    </row>
    <row r="736" spans="1:26" ht="19.5" hidden="1">
      <c r="A736" s="738">
        <v>9</v>
      </c>
      <c r="B736" s="739" t="s">
        <v>312</v>
      </c>
      <c r="C736" s="740"/>
      <c r="D736" s="740"/>
      <c r="E736" s="740"/>
      <c r="F736" s="740"/>
      <c r="G736" s="741"/>
      <c r="H736" s="742" t="s">
        <v>46</v>
      </c>
      <c r="I736" s="743"/>
      <c r="J736" s="743">
        <f>J751</f>
        <v>0</v>
      </c>
      <c r="K736" s="744">
        <f>IF(I736&gt;0,J736*100/I736,0)</f>
        <v>0</v>
      </c>
      <c r="L736" s="745"/>
      <c r="M736" s="745"/>
      <c r="N736" s="745"/>
      <c r="O736" s="745"/>
      <c r="P736" s="745"/>
      <c r="Q736" s="568"/>
      <c r="R736" s="568"/>
      <c r="S736" s="568"/>
      <c r="T736" s="568"/>
      <c r="U736" s="568"/>
      <c r="V736" s="568"/>
      <c r="W736" s="568"/>
      <c r="X736" s="568"/>
      <c r="Y736" s="568"/>
      <c r="Z736" s="568"/>
    </row>
    <row r="737" spans="1:26" ht="19.5" hidden="1">
      <c r="A737" s="563"/>
      <c r="B737" s="723"/>
      <c r="C737" s="723" t="s">
        <v>16</v>
      </c>
      <c r="D737" s="812" t="s">
        <v>17</v>
      </c>
      <c r="E737" s="805"/>
      <c r="F737" s="805"/>
      <c r="G737" s="567"/>
      <c r="H737" s="612" t="s">
        <v>12</v>
      </c>
      <c r="I737" s="583"/>
      <c r="J737" s="583"/>
      <c r="K737" s="93"/>
      <c r="L737" s="613">
        <f t="shared" ref="L737:N737" si="293">L738+L739</f>
        <v>0</v>
      </c>
      <c r="M737" s="613">
        <f t="shared" si="293"/>
        <v>0</v>
      </c>
      <c r="N737" s="613">
        <f t="shared" si="293"/>
        <v>0</v>
      </c>
      <c r="O737" s="613">
        <f t="shared" ref="O737:O742" si="294">IF(L737&gt;0,N737*100/L737,0)</f>
        <v>0</v>
      </c>
      <c r="P737" s="613">
        <f t="shared" ref="P737:P742" si="295">IF(M737&gt;0,N737*100/M737,0)</f>
        <v>0</v>
      </c>
      <c r="Q737" s="568"/>
      <c r="R737" s="568"/>
      <c r="S737" s="568"/>
      <c r="T737" s="568"/>
      <c r="U737" s="568"/>
      <c r="V737" s="568"/>
      <c r="W737" s="568"/>
      <c r="X737" s="568"/>
      <c r="Y737" s="568"/>
      <c r="Z737" s="568"/>
    </row>
    <row r="738" spans="1:26" ht="18.75" hidden="1">
      <c r="A738" s="563"/>
      <c r="B738" s="723"/>
      <c r="C738" s="723"/>
      <c r="D738" s="684"/>
      <c r="E738" s="723" t="s">
        <v>184</v>
      </c>
      <c r="F738" s="723"/>
      <c r="G738" s="567"/>
      <c r="H738" s="165" t="s">
        <v>12</v>
      </c>
      <c r="I738" s="583"/>
      <c r="J738" s="583"/>
      <c r="K738" s="93"/>
      <c r="L738" s="93">
        <f t="shared" ref="L738:N739" si="296">L741+L748</f>
        <v>0</v>
      </c>
      <c r="M738" s="93">
        <f t="shared" si="296"/>
        <v>0</v>
      </c>
      <c r="N738" s="93">
        <f t="shared" si="296"/>
        <v>0</v>
      </c>
      <c r="O738" s="93">
        <f t="shared" si="294"/>
        <v>0</v>
      </c>
      <c r="P738" s="93">
        <f t="shared" si="295"/>
        <v>0</v>
      </c>
      <c r="Q738" s="568"/>
      <c r="R738" s="568"/>
      <c r="S738" s="568"/>
      <c r="T738" s="568"/>
      <c r="U738" s="568"/>
      <c r="V738" s="568"/>
      <c r="W738" s="568"/>
      <c r="X738" s="568"/>
      <c r="Y738" s="568"/>
      <c r="Z738" s="568"/>
    </row>
    <row r="739" spans="1:26" ht="18.75" hidden="1">
      <c r="A739" s="563"/>
      <c r="B739" s="571"/>
      <c r="C739" s="723"/>
      <c r="D739" s="684"/>
      <c r="E739" s="723" t="s">
        <v>185</v>
      </c>
      <c r="F739" s="723"/>
      <c r="G739" s="567"/>
      <c r="H739" s="165" t="s">
        <v>12</v>
      </c>
      <c r="I739" s="583"/>
      <c r="J739" s="583"/>
      <c r="K739" s="93"/>
      <c r="L739" s="93">
        <f t="shared" si="296"/>
        <v>0</v>
      </c>
      <c r="M739" s="93">
        <f t="shared" si="296"/>
        <v>0</v>
      </c>
      <c r="N739" s="93">
        <f t="shared" si="296"/>
        <v>0</v>
      </c>
      <c r="O739" s="93">
        <f t="shared" si="294"/>
        <v>0</v>
      </c>
      <c r="P739" s="93">
        <f t="shared" si="295"/>
        <v>0</v>
      </c>
      <c r="Q739" s="568"/>
      <c r="R739" s="568"/>
      <c r="S739" s="568"/>
      <c r="T739" s="568"/>
      <c r="U739" s="568"/>
      <c r="V739" s="568"/>
      <c r="W739" s="568"/>
      <c r="X739" s="568"/>
      <c r="Y739" s="568"/>
      <c r="Z739" s="568"/>
    </row>
    <row r="740" spans="1:26" ht="19.5" hidden="1">
      <c r="A740" s="563"/>
      <c r="B740" s="571"/>
      <c r="C740" s="723"/>
      <c r="D740" s="611" t="s">
        <v>20</v>
      </c>
      <c r="E740" s="723"/>
      <c r="F740" s="723"/>
      <c r="G740" s="567"/>
      <c r="H740" s="612" t="s">
        <v>12</v>
      </c>
      <c r="I740" s="166"/>
      <c r="J740" s="166"/>
      <c r="K740" s="167"/>
      <c r="L740" s="613">
        <f t="shared" ref="L740:N740" si="297">L741+L742</f>
        <v>0</v>
      </c>
      <c r="M740" s="613">
        <f t="shared" si="297"/>
        <v>0</v>
      </c>
      <c r="N740" s="613">
        <f t="shared" si="297"/>
        <v>0</v>
      </c>
      <c r="O740" s="613">
        <f t="shared" si="294"/>
        <v>0</v>
      </c>
      <c r="P740" s="613">
        <f t="shared" si="295"/>
        <v>0</v>
      </c>
      <c r="Q740" s="568"/>
      <c r="R740" s="568"/>
      <c r="S740" s="568"/>
      <c r="T740" s="568"/>
      <c r="U740" s="568"/>
      <c r="V740" s="568"/>
      <c r="W740" s="568"/>
      <c r="X740" s="568"/>
      <c r="Y740" s="568"/>
      <c r="Z740" s="568"/>
    </row>
    <row r="741" spans="1:26" ht="18.75" hidden="1">
      <c r="A741" s="563"/>
      <c r="B741" s="571"/>
      <c r="C741" s="723"/>
      <c r="D741" s="684"/>
      <c r="E741" s="723" t="s">
        <v>184</v>
      </c>
      <c r="F741" s="723"/>
      <c r="G741" s="567"/>
      <c r="H741" s="165" t="s">
        <v>12</v>
      </c>
      <c r="I741" s="583"/>
      <c r="J741" s="583"/>
      <c r="K741" s="93"/>
      <c r="L741" s="93">
        <v>0</v>
      </c>
      <c r="M741" s="93">
        <v>0</v>
      </c>
      <c r="N741" s="93">
        <v>0</v>
      </c>
      <c r="O741" s="93">
        <f t="shared" si="294"/>
        <v>0</v>
      </c>
      <c r="P741" s="93">
        <f t="shared" si="295"/>
        <v>0</v>
      </c>
      <c r="Q741" s="568"/>
      <c r="R741" s="568"/>
      <c r="S741" s="568"/>
      <c r="T741" s="568"/>
      <c r="U741" s="568"/>
      <c r="V741" s="568"/>
      <c r="W741" s="568"/>
      <c r="X741" s="568"/>
      <c r="Y741" s="568"/>
      <c r="Z741" s="568"/>
    </row>
    <row r="742" spans="1:26" ht="18.75" hidden="1">
      <c r="A742" s="563"/>
      <c r="B742" s="571"/>
      <c r="C742" s="723"/>
      <c r="D742" s="684"/>
      <c r="E742" s="723" t="s">
        <v>185</v>
      </c>
      <c r="F742" s="723"/>
      <c r="G742" s="567"/>
      <c r="H742" s="165" t="s">
        <v>12</v>
      </c>
      <c r="I742" s="583"/>
      <c r="J742" s="583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4"/>
        <v>0</v>
      </c>
      <c r="P742" s="93">
        <f t="shared" si="295"/>
        <v>0</v>
      </c>
      <c r="Q742" s="568"/>
      <c r="R742" s="568"/>
      <c r="S742" s="568"/>
      <c r="T742" s="568"/>
      <c r="U742" s="568"/>
      <c r="V742" s="568"/>
      <c r="W742" s="568"/>
      <c r="X742" s="568"/>
      <c r="Y742" s="568"/>
      <c r="Z742" s="568"/>
    </row>
    <row r="743" spans="1:26" ht="18.75" hidden="1">
      <c r="A743" s="615"/>
      <c r="B743" s="571"/>
      <c r="C743" s="723"/>
      <c r="D743" s="723"/>
      <c r="E743" s="723"/>
      <c r="F743" s="723" t="s">
        <v>186</v>
      </c>
      <c r="G743" s="567"/>
      <c r="H743" s="165" t="s">
        <v>12</v>
      </c>
      <c r="I743" s="583"/>
      <c r="J743" s="583"/>
      <c r="K743" s="93"/>
      <c r="L743" s="93"/>
      <c r="M743" s="93"/>
      <c r="N743" s="93"/>
      <c r="O743" s="93"/>
      <c r="P743" s="93"/>
      <c r="Q743" s="568"/>
      <c r="R743" s="568"/>
      <c r="S743" s="568"/>
      <c r="T743" s="568"/>
      <c r="U743" s="568"/>
      <c r="V743" s="568"/>
      <c r="W743" s="568"/>
      <c r="X743" s="568"/>
      <c r="Y743" s="568"/>
      <c r="Z743" s="568"/>
    </row>
    <row r="744" spans="1:26" ht="18.75" hidden="1">
      <c r="A744" s="615"/>
      <c r="B744" s="571"/>
      <c r="C744" s="723"/>
      <c r="D744" s="723"/>
      <c r="E744" s="723"/>
      <c r="F744" s="723" t="s">
        <v>187</v>
      </c>
      <c r="G744" s="567"/>
      <c r="H744" s="165" t="s">
        <v>12</v>
      </c>
      <c r="I744" s="583"/>
      <c r="J744" s="583"/>
      <c r="K744" s="93"/>
      <c r="L744" s="93"/>
      <c r="M744" s="93"/>
      <c r="N744" s="93"/>
      <c r="O744" s="93"/>
      <c r="P744" s="93"/>
      <c r="Q744" s="568"/>
      <c r="R744" s="568"/>
      <c r="S744" s="568"/>
      <c r="T744" s="568"/>
      <c r="U744" s="568"/>
      <c r="V744" s="568"/>
      <c r="W744" s="568"/>
      <c r="X744" s="568"/>
      <c r="Y744" s="568"/>
      <c r="Z744" s="568"/>
    </row>
    <row r="745" spans="1:26" ht="18.75" hidden="1">
      <c r="A745" s="615"/>
      <c r="B745" s="571"/>
      <c r="C745" s="723"/>
      <c r="D745" s="723"/>
      <c r="E745" s="723"/>
      <c r="F745" s="723" t="s">
        <v>188</v>
      </c>
      <c r="G745" s="567"/>
      <c r="H745" s="165" t="s">
        <v>12</v>
      </c>
      <c r="I745" s="583"/>
      <c r="J745" s="583"/>
      <c r="K745" s="93"/>
      <c r="L745" s="93"/>
      <c r="M745" s="93"/>
      <c r="N745" s="93"/>
      <c r="O745" s="93"/>
      <c r="P745" s="93"/>
      <c r="Q745" s="568"/>
      <c r="R745" s="568"/>
      <c r="S745" s="568"/>
      <c r="T745" s="568"/>
      <c r="U745" s="568"/>
      <c r="V745" s="568"/>
      <c r="W745" s="568"/>
      <c r="X745" s="568"/>
      <c r="Y745" s="568"/>
      <c r="Z745" s="568"/>
    </row>
    <row r="746" spans="1:26" ht="18.75" hidden="1">
      <c r="A746" s="615"/>
      <c r="B746" s="571"/>
      <c r="C746" s="723"/>
      <c r="D746" s="723"/>
      <c r="E746" s="723"/>
      <c r="F746" s="723" t="s">
        <v>189</v>
      </c>
      <c r="G746" s="567"/>
      <c r="H746" s="165" t="s">
        <v>12</v>
      </c>
      <c r="I746" s="583"/>
      <c r="J746" s="583"/>
      <c r="K746" s="93"/>
      <c r="L746" s="93"/>
      <c r="M746" s="93"/>
      <c r="N746" s="93"/>
      <c r="O746" s="93"/>
      <c r="P746" s="93"/>
      <c r="Q746" s="568"/>
      <c r="R746" s="568"/>
      <c r="S746" s="568"/>
      <c r="T746" s="568"/>
      <c r="U746" s="568"/>
      <c r="V746" s="568"/>
      <c r="W746" s="568"/>
      <c r="X746" s="568"/>
      <c r="Y746" s="568"/>
      <c r="Z746" s="568"/>
    </row>
    <row r="747" spans="1:26" ht="19.5" hidden="1">
      <c r="A747" s="563"/>
      <c r="B747" s="571"/>
      <c r="C747" s="723"/>
      <c r="D747" s="611" t="s">
        <v>21</v>
      </c>
      <c r="E747" s="723"/>
      <c r="F747" s="723"/>
      <c r="G747" s="567"/>
      <c r="H747" s="747" t="s">
        <v>12</v>
      </c>
      <c r="I747" s="166"/>
      <c r="J747" s="166"/>
      <c r="K747" s="167"/>
      <c r="L747" s="613">
        <f t="shared" ref="L747:N747" si="298">L748+L749</f>
        <v>0</v>
      </c>
      <c r="M747" s="613">
        <f t="shared" si="298"/>
        <v>0</v>
      </c>
      <c r="N747" s="613">
        <f t="shared" si="298"/>
        <v>0</v>
      </c>
      <c r="O747" s="613">
        <f t="shared" ref="O747:O749" si="299">IF(L747&gt;0,N747*100/L747,0)</f>
        <v>0</v>
      </c>
      <c r="P747" s="613">
        <f t="shared" ref="P747:P749" si="300">IF(M747&gt;0,N747*100/M747,0)</f>
        <v>0</v>
      </c>
      <c r="Q747" s="568"/>
      <c r="R747" s="568"/>
      <c r="S747" s="568"/>
      <c r="T747" s="568"/>
      <c r="U747" s="568"/>
      <c r="V747" s="568"/>
      <c r="W747" s="568"/>
      <c r="X747" s="568"/>
      <c r="Y747" s="568"/>
      <c r="Z747" s="568"/>
    </row>
    <row r="748" spans="1:26" ht="18.75" hidden="1">
      <c r="A748" s="563"/>
      <c r="B748" s="571"/>
      <c r="C748" s="723"/>
      <c r="D748" s="723"/>
      <c r="E748" s="723" t="s">
        <v>18</v>
      </c>
      <c r="F748" s="723"/>
      <c r="G748" s="567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299"/>
        <v>0</v>
      </c>
      <c r="P748" s="93">
        <f t="shared" si="300"/>
        <v>0</v>
      </c>
      <c r="Q748" s="568"/>
      <c r="R748" s="568"/>
      <c r="S748" s="568"/>
      <c r="T748" s="568"/>
      <c r="U748" s="568"/>
      <c r="V748" s="568"/>
      <c r="W748" s="568"/>
      <c r="X748" s="568"/>
      <c r="Y748" s="568"/>
      <c r="Z748" s="568"/>
    </row>
    <row r="749" spans="1:26" ht="18.75" hidden="1">
      <c r="A749" s="563"/>
      <c r="B749" s="571"/>
      <c r="C749" s="723"/>
      <c r="D749" s="723"/>
      <c r="E749" s="723" t="s">
        <v>19</v>
      </c>
      <c r="F749" s="723"/>
      <c r="G749" s="567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299"/>
        <v>0</v>
      </c>
      <c r="P749" s="93">
        <f t="shared" si="300"/>
        <v>0</v>
      </c>
      <c r="Q749" s="568"/>
      <c r="R749" s="568"/>
      <c r="S749" s="568"/>
      <c r="T749" s="568"/>
      <c r="U749" s="568"/>
      <c r="V749" s="568"/>
      <c r="W749" s="568"/>
      <c r="X749" s="568"/>
      <c r="Y749" s="568"/>
      <c r="Z749" s="568"/>
    </row>
    <row r="750" spans="1:26" ht="19.5" hidden="1">
      <c r="A750" s="578"/>
      <c r="B750" s="580"/>
      <c r="C750" s="723" t="s">
        <v>16</v>
      </c>
      <c r="D750" s="856" t="s">
        <v>38</v>
      </c>
      <c r="E750" s="617"/>
      <c r="F750" s="617"/>
      <c r="G750" s="618"/>
      <c r="H750" s="581"/>
      <c r="I750" s="166"/>
      <c r="J750" s="166"/>
      <c r="K750" s="167"/>
      <c r="L750" s="167"/>
      <c r="M750" s="167"/>
      <c r="N750" s="167"/>
      <c r="O750" s="167"/>
      <c r="P750" s="167"/>
      <c r="Q750" s="568"/>
      <c r="R750" s="568"/>
      <c r="S750" s="568"/>
      <c r="T750" s="568"/>
      <c r="U750" s="568"/>
      <c r="V750" s="568"/>
      <c r="W750" s="568"/>
      <c r="X750" s="568"/>
      <c r="Y750" s="568"/>
      <c r="Z750" s="568"/>
    </row>
    <row r="751" spans="1:26" ht="18.75" hidden="1">
      <c r="A751" s="615"/>
      <c r="B751" s="571"/>
      <c r="C751" s="723"/>
      <c r="D751" s="723"/>
      <c r="E751" s="723" t="s">
        <v>313</v>
      </c>
      <c r="F751" s="723"/>
      <c r="G751" s="567"/>
      <c r="H751" s="165" t="s">
        <v>46</v>
      </c>
      <c r="I751" s="583"/>
      <c r="J751" s="583"/>
      <c r="K751" s="93"/>
      <c r="L751" s="93"/>
      <c r="M751" s="93"/>
      <c r="N751" s="93"/>
      <c r="O751" s="93"/>
      <c r="P751" s="93"/>
      <c r="Q751" s="568"/>
      <c r="R751" s="568"/>
      <c r="S751" s="568"/>
      <c r="T751" s="568"/>
      <c r="U751" s="568"/>
      <c r="V751" s="568"/>
      <c r="W751" s="568"/>
      <c r="X751" s="568"/>
      <c r="Y751" s="568"/>
      <c r="Z751" s="568"/>
    </row>
    <row r="752" spans="1:26" ht="18.75" hidden="1">
      <c r="A752" s="615"/>
      <c r="B752" s="571"/>
      <c r="C752" s="723"/>
      <c r="D752" s="723"/>
      <c r="E752" s="723"/>
      <c r="F752" s="723"/>
      <c r="G752" s="567"/>
      <c r="H752" s="165" t="s">
        <v>314</v>
      </c>
      <c r="I752" s="583"/>
      <c r="J752" s="583"/>
      <c r="K752" s="93"/>
      <c r="L752" s="93"/>
      <c r="M752" s="93"/>
      <c r="N752" s="93"/>
      <c r="O752" s="93"/>
      <c r="P752" s="93"/>
      <c r="Q752" s="568"/>
      <c r="R752" s="568"/>
      <c r="S752" s="568"/>
      <c r="T752" s="568"/>
      <c r="U752" s="568"/>
      <c r="V752" s="568"/>
      <c r="W752" s="568"/>
      <c r="X752" s="568"/>
      <c r="Y752" s="568"/>
      <c r="Z752" s="568"/>
    </row>
    <row r="753" spans="1:26" ht="19.5" hidden="1">
      <c r="A753" s="749">
        <v>10</v>
      </c>
      <c r="B753" s="750" t="s">
        <v>315</v>
      </c>
      <c r="C753" s="751"/>
      <c r="D753" s="751"/>
      <c r="E753" s="751"/>
      <c r="F753" s="751"/>
      <c r="G753" s="752"/>
      <c r="H753" s="753" t="s">
        <v>46</v>
      </c>
      <c r="I753" s="754"/>
      <c r="J753" s="754">
        <f>J768</f>
        <v>0</v>
      </c>
      <c r="K753" s="755">
        <f>IF(I753&gt;0,J753*100/I753,0)</f>
        <v>0</v>
      </c>
      <c r="L753" s="756"/>
      <c r="M753" s="756"/>
      <c r="N753" s="756"/>
      <c r="O753" s="756"/>
      <c r="P753" s="756"/>
      <c r="Q753" s="568"/>
      <c r="R753" s="568"/>
      <c r="S753" s="568"/>
      <c r="T753" s="568"/>
      <c r="U753" s="568"/>
      <c r="V753" s="568"/>
      <c r="W753" s="568"/>
      <c r="X753" s="568"/>
      <c r="Y753" s="568"/>
      <c r="Z753" s="568"/>
    </row>
    <row r="754" spans="1:26" ht="19.5" hidden="1">
      <c r="A754" s="563"/>
      <c r="B754" s="723"/>
      <c r="C754" s="723" t="s">
        <v>16</v>
      </c>
      <c r="D754" s="812" t="s">
        <v>17</v>
      </c>
      <c r="E754" s="805"/>
      <c r="F754" s="805"/>
      <c r="G754" s="567"/>
      <c r="H754" s="612" t="s">
        <v>12</v>
      </c>
      <c r="I754" s="583"/>
      <c r="J754" s="583"/>
      <c r="K754" s="93"/>
      <c r="L754" s="613">
        <f t="shared" ref="L754:N754" si="301">L755+L756</f>
        <v>0</v>
      </c>
      <c r="M754" s="613">
        <f t="shared" si="301"/>
        <v>0</v>
      </c>
      <c r="N754" s="613">
        <f t="shared" si="301"/>
        <v>0</v>
      </c>
      <c r="O754" s="613">
        <f t="shared" ref="O754:O759" si="302">IF(L754&gt;0,N754*100/L754,0)</f>
        <v>0</v>
      </c>
      <c r="P754" s="613">
        <f t="shared" ref="P754:P759" si="303">IF(M754&gt;0,N754*100/M754,0)</f>
        <v>0</v>
      </c>
      <c r="Q754" s="568"/>
      <c r="R754" s="568"/>
      <c r="S754" s="568"/>
      <c r="T754" s="568"/>
      <c r="U754" s="568"/>
      <c r="V754" s="568"/>
      <c r="W754" s="568"/>
      <c r="X754" s="568"/>
      <c r="Y754" s="568"/>
      <c r="Z754" s="568"/>
    </row>
    <row r="755" spans="1:26" ht="18.75" hidden="1">
      <c r="A755" s="563"/>
      <c r="B755" s="723"/>
      <c r="C755" s="723"/>
      <c r="D755" s="684"/>
      <c r="E755" s="723" t="s">
        <v>184</v>
      </c>
      <c r="F755" s="723"/>
      <c r="G755" s="567"/>
      <c r="H755" s="165" t="s">
        <v>12</v>
      </c>
      <c r="I755" s="583"/>
      <c r="J755" s="583"/>
      <c r="K755" s="93"/>
      <c r="L755" s="93">
        <f t="shared" ref="L755:N756" si="304">L758+L765</f>
        <v>0</v>
      </c>
      <c r="M755" s="93">
        <f t="shared" si="304"/>
        <v>0</v>
      </c>
      <c r="N755" s="93">
        <f t="shared" si="304"/>
        <v>0</v>
      </c>
      <c r="O755" s="93">
        <f t="shared" si="302"/>
        <v>0</v>
      </c>
      <c r="P755" s="93">
        <f t="shared" si="303"/>
        <v>0</v>
      </c>
      <c r="Q755" s="568"/>
      <c r="R755" s="568"/>
      <c r="S755" s="568"/>
      <c r="T755" s="568"/>
      <c r="U755" s="568"/>
      <c r="V755" s="568"/>
      <c r="W755" s="568"/>
      <c r="X755" s="568"/>
      <c r="Y755" s="568"/>
      <c r="Z755" s="568"/>
    </row>
    <row r="756" spans="1:26" ht="18.75" hidden="1">
      <c r="A756" s="563"/>
      <c r="B756" s="571"/>
      <c r="C756" s="723"/>
      <c r="D756" s="684"/>
      <c r="E756" s="723" t="s">
        <v>185</v>
      </c>
      <c r="F756" s="723"/>
      <c r="G756" s="567"/>
      <c r="H756" s="165" t="s">
        <v>12</v>
      </c>
      <c r="I756" s="583"/>
      <c r="J756" s="583"/>
      <c r="K756" s="93"/>
      <c r="L756" s="93">
        <f t="shared" si="304"/>
        <v>0</v>
      </c>
      <c r="M756" s="93">
        <f t="shared" si="304"/>
        <v>0</v>
      </c>
      <c r="N756" s="93">
        <f t="shared" si="304"/>
        <v>0</v>
      </c>
      <c r="O756" s="93">
        <f t="shared" si="302"/>
        <v>0</v>
      </c>
      <c r="P756" s="93">
        <f t="shared" si="303"/>
        <v>0</v>
      </c>
      <c r="Q756" s="568"/>
      <c r="R756" s="568"/>
      <c r="S756" s="568"/>
      <c r="T756" s="568"/>
      <c r="U756" s="568"/>
      <c r="V756" s="568"/>
      <c r="W756" s="568"/>
      <c r="X756" s="568"/>
      <c r="Y756" s="568"/>
      <c r="Z756" s="568"/>
    </row>
    <row r="757" spans="1:26" ht="19.5" hidden="1">
      <c r="A757" s="563"/>
      <c r="B757" s="571"/>
      <c r="C757" s="723"/>
      <c r="D757" s="611" t="s">
        <v>20</v>
      </c>
      <c r="E757" s="723"/>
      <c r="F757" s="723"/>
      <c r="G757" s="567"/>
      <c r="H757" s="612" t="s">
        <v>12</v>
      </c>
      <c r="I757" s="166"/>
      <c r="J757" s="166"/>
      <c r="K757" s="167"/>
      <c r="L757" s="613">
        <f t="shared" ref="L757:N757" si="305">L758+L759</f>
        <v>0</v>
      </c>
      <c r="M757" s="613">
        <f t="shared" si="305"/>
        <v>0</v>
      </c>
      <c r="N757" s="613">
        <f t="shared" si="305"/>
        <v>0</v>
      </c>
      <c r="O757" s="613">
        <f t="shared" si="302"/>
        <v>0</v>
      </c>
      <c r="P757" s="613">
        <f t="shared" si="303"/>
        <v>0</v>
      </c>
      <c r="Q757" s="568"/>
      <c r="R757" s="568"/>
      <c r="S757" s="568"/>
      <c r="T757" s="568"/>
      <c r="U757" s="568"/>
      <c r="V757" s="568"/>
      <c r="W757" s="568"/>
      <c r="X757" s="568"/>
      <c r="Y757" s="568"/>
      <c r="Z757" s="568"/>
    </row>
    <row r="758" spans="1:26" ht="18.75" hidden="1">
      <c r="A758" s="563"/>
      <c r="B758" s="571"/>
      <c r="C758" s="723"/>
      <c r="D758" s="684"/>
      <c r="E758" s="723" t="s">
        <v>184</v>
      </c>
      <c r="F758" s="723"/>
      <c r="G758" s="567"/>
      <c r="H758" s="165" t="s">
        <v>12</v>
      </c>
      <c r="I758" s="583"/>
      <c r="J758" s="583"/>
      <c r="K758" s="93"/>
      <c r="L758" s="93">
        <v>0</v>
      </c>
      <c r="M758" s="93">
        <v>0</v>
      </c>
      <c r="N758" s="93">
        <v>0</v>
      </c>
      <c r="O758" s="93">
        <f t="shared" si="302"/>
        <v>0</v>
      </c>
      <c r="P758" s="93">
        <f t="shared" si="303"/>
        <v>0</v>
      </c>
      <c r="Q758" s="568"/>
      <c r="R758" s="568"/>
      <c r="S758" s="568"/>
      <c r="T758" s="568"/>
      <c r="U758" s="568"/>
      <c r="V758" s="568"/>
      <c r="W758" s="568"/>
      <c r="X758" s="568"/>
      <c r="Y758" s="568"/>
      <c r="Z758" s="568"/>
    </row>
    <row r="759" spans="1:26" ht="18.75" hidden="1">
      <c r="A759" s="563"/>
      <c r="B759" s="571"/>
      <c r="C759" s="723"/>
      <c r="D759" s="684"/>
      <c r="E759" s="723" t="s">
        <v>185</v>
      </c>
      <c r="F759" s="723"/>
      <c r="G759" s="567"/>
      <c r="H759" s="165" t="s">
        <v>12</v>
      </c>
      <c r="I759" s="583"/>
      <c r="J759" s="583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2"/>
        <v>0</v>
      </c>
      <c r="P759" s="93">
        <f t="shared" si="303"/>
        <v>0</v>
      </c>
      <c r="Q759" s="568"/>
      <c r="R759" s="568"/>
      <c r="S759" s="568"/>
      <c r="T759" s="568"/>
      <c r="U759" s="568"/>
      <c r="V759" s="568"/>
      <c r="W759" s="568"/>
      <c r="X759" s="568"/>
      <c r="Y759" s="568"/>
      <c r="Z759" s="568"/>
    </row>
    <row r="760" spans="1:26" ht="18.75" hidden="1">
      <c r="A760" s="615"/>
      <c r="B760" s="571"/>
      <c r="C760" s="723"/>
      <c r="D760" s="723"/>
      <c r="E760" s="723"/>
      <c r="F760" s="723" t="s">
        <v>186</v>
      </c>
      <c r="G760" s="567"/>
      <c r="H760" s="165" t="s">
        <v>12</v>
      </c>
      <c r="I760" s="583"/>
      <c r="J760" s="583"/>
      <c r="K760" s="93"/>
      <c r="L760" s="93"/>
      <c r="M760" s="93"/>
      <c r="N760" s="93"/>
      <c r="O760" s="93"/>
      <c r="P760" s="93"/>
      <c r="Q760" s="568"/>
      <c r="R760" s="568"/>
      <c r="S760" s="568"/>
      <c r="T760" s="568"/>
      <c r="U760" s="568"/>
      <c r="V760" s="568"/>
      <c r="W760" s="568"/>
      <c r="X760" s="568"/>
      <c r="Y760" s="568"/>
      <c r="Z760" s="568"/>
    </row>
    <row r="761" spans="1:26" ht="18.75" hidden="1">
      <c r="A761" s="615"/>
      <c r="B761" s="571"/>
      <c r="C761" s="723"/>
      <c r="D761" s="723"/>
      <c r="E761" s="723"/>
      <c r="F761" s="723" t="s">
        <v>187</v>
      </c>
      <c r="G761" s="567"/>
      <c r="H761" s="165" t="s">
        <v>12</v>
      </c>
      <c r="I761" s="583"/>
      <c r="J761" s="583"/>
      <c r="K761" s="93"/>
      <c r="L761" s="93"/>
      <c r="M761" s="93"/>
      <c r="N761" s="93"/>
      <c r="O761" s="93"/>
      <c r="P761" s="93"/>
      <c r="Q761" s="568"/>
      <c r="R761" s="568"/>
      <c r="S761" s="568"/>
      <c r="T761" s="568"/>
      <c r="U761" s="568"/>
      <c r="V761" s="568"/>
      <c r="W761" s="568"/>
      <c r="X761" s="568"/>
      <c r="Y761" s="568"/>
      <c r="Z761" s="568"/>
    </row>
    <row r="762" spans="1:26" ht="18.75" hidden="1">
      <c r="A762" s="615"/>
      <c r="B762" s="571"/>
      <c r="C762" s="723"/>
      <c r="D762" s="723"/>
      <c r="E762" s="723"/>
      <c r="F762" s="723" t="s">
        <v>188</v>
      </c>
      <c r="G762" s="567"/>
      <c r="H762" s="165" t="s">
        <v>12</v>
      </c>
      <c r="I762" s="583"/>
      <c r="J762" s="583"/>
      <c r="K762" s="93"/>
      <c r="L762" s="93"/>
      <c r="M762" s="93"/>
      <c r="N762" s="93"/>
      <c r="O762" s="93"/>
      <c r="P762" s="93"/>
      <c r="Q762" s="568"/>
      <c r="R762" s="568"/>
      <c r="S762" s="568"/>
      <c r="T762" s="568"/>
      <c r="U762" s="568"/>
      <c r="V762" s="568"/>
      <c r="W762" s="568"/>
      <c r="X762" s="568"/>
      <c r="Y762" s="568"/>
      <c r="Z762" s="568"/>
    </row>
    <row r="763" spans="1:26" ht="18.75" hidden="1">
      <c r="A763" s="615"/>
      <c r="B763" s="571"/>
      <c r="C763" s="723"/>
      <c r="D763" s="723"/>
      <c r="E763" s="723"/>
      <c r="F763" s="723" t="s">
        <v>189</v>
      </c>
      <c r="G763" s="567"/>
      <c r="H763" s="165" t="s">
        <v>12</v>
      </c>
      <c r="I763" s="583"/>
      <c r="J763" s="583"/>
      <c r="K763" s="93"/>
      <c r="L763" s="93"/>
      <c r="M763" s="93"/>
      <c r="N763" s="93"/>
      <c r="O763" s="93"/>
      <c r="P763" s="93"/>
      <c r="Q763" s="568"/>
      <c r="R763" s="568"/>
      <c r="S763" s="568"/>
      <c r="T763" s="568"/>
      <c r="U763" s="568"/>
      <c r="V763" s="568"/>
      <c r="W763" s="568"/>
      <c r="X763" s="568"/>
      <c r="Y763" s="568"/>
      <c r="Z763" s="568"/>
    </row>
    <row r="764" spans="1:26" ht="19.5" hidden="1">
      <c r="A764" s="563"/>
      <c r="B764" s="571"/>
      <c r="C764" s="723"/>
      <c r="D764" s="611" t="s">
        <v>21</v>
      </c>
      <c r="E764" s="723"/>
      <c r="F764" s="723"/>
      <c r="G764" s="567"/>
      <c r="H764" s="747" t="s">
        <v>12</v>
      </c>
      <c r="I764" s="166"/>
      <c r="J764" s="166"/>
      <c r="K764" s="167"/>
      <c r="L764" s="613">
        <f t="shared" ref="L764:N764" si="306">L765+L766</f>
        <v>0</v>
      </c>
      <c r="M764" s="613">
        <f t="shared" si="306"/>
        <v>0</v>
      </c>
      <c r="N764" s="613">
        <f t="shared" si="306"/>
        <v>0</v>
      </c>
      <c r="O764" s="613">
        <f t="shared" ref="O764:O766" si="307">IF(L764&gt;0,N764*100/L764,0)</f>
        <v>0</v>
      </c>
      <c r="P764" s="613">
        <f t="shared" ref="P764:P766" si="308">IF(M764&gt;0,N764*100/M764,0)</f>
        <v>0</v>
      </c>
      <c r="Q764" s="568"/>
      <c r="R764" s="568"/>
      <c r="S764" s="568"/>
      <c r="T764" s="568"/>
      <c r="U764" s="568"/>
      <c r="V764" s="568"/>
      <c r="W764" s="568"/>
      <c r="X764" s="568"/>
      <c r="Y764" s="568"/>
      <c r="Z764" s="568"/>
    </row>
    <row r="765" spans="1:26" ht="18.75" hidden="1">
      <c r="A765" s="563"/>
      <c r="B765" s="571"/>
      <c r="C765" s="723"/>
      <c r="D765" s="723"/>
      <c r="E765" s="723" t="s">
        <v>18</v>
      </c>
      <c r="F765" s="723"/>
      <c r="G765" s="567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7"/>
        <v>0</v>
      </c>
      <c r="P765" s="93">
        <f t="shared" si="308"/>
        <v>0</v>
      </c>
      <c r="Q765" s="568"/>
      <c r="R765" s="568"/>
      <c r="S765" s="568"/>
      <c r="T765" s="568"/>
      <c r="U765" s="568"/>
      <c r="V765" s="568"/>
      <c r="W765" s="568"/>
      <c r="X765" s="568"/>
      <c r="Y765" s="568"/>
      <c r="Z765" s="568"/>
    </row>
    <row r="766" spans="1:26" ht="18.75" hidden="1">
      <c r="A766" s="563"/>
      <c r="B766" s="571"/>
      <c r="C766" s="723"/>
      <c r="D766" s="723"/>
      <c r="E766" s="723" t="s">
        <v>19</v>
      </c>
      <c r="F766" s="723"/>
      <c r="G766" s="567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7"/>
        <v>0</v>
      </c>
      <c r="P766" s="93">
        <f t="shared" si="308"/>
        <v>0</v>
      </c>
      <c r="Q766" s="568"/>
      <c r="R766" s="568"/>
      <c r="S766" s="568"/>
      <c r="T766" s="568"/>
      <c r="U766" s="568"/>
      <c r="V766" s="568"/>
      <c r="W766" s="568"/>
      <c r="X766" s="568"/>
      <c r="Y766" s="568"/>
      <c r="Z766" s="568"/>
    </row>
    <row r="767" spans="1:26" ht="19.5" hidden="1">
      <c r="A767" s="578"/>
      <c r="B767" s="580"/>
      <c r="C767" s="723" t="s">
        <v>16</v>
      </c>
      <c r="D767" s="856" t="s">
        <v>38</v>
      </c>
      <c r="E767" s="617"/>
      <c r="F767" s="617"/>
      <c r="G767" s="618"/>
      <c r="H767" s="581"/>
      <c r="I767" s="166"/>
      <c r="J767" s="166"/>
      <c r="K767" s="167"/>
      <c r="L767" s="167"/>
      <c r="M767" s="167"/>
      <c r="N767" s="167"/>
      <c r="O767" s="167"/>
      <c r="P767" s="167"/>
      <c r="Q767" s="568"/>
      <c r="R767" s="568"/>
      <c r="S767" s="568"/>
      <c r="T767" s="568"/>
      <c r="U767" s="568"/>
      <c r="V767" s="568"/>
      <c r="W767" s="568"/>
      <c r="X767" s="568"/>
      <c r="Y767" s="568"/>
      <c r="Z767" s="568"/>
    </row>
    <row r="768" spans="1:26" ht="18.75" hidden="1">
      <c r="A768" s="615"/>
      <c r="B768" s="571"/>
      <c r="C768" s="723"/>
      <c r="D768" s="723"/>
      <c r="E768" s="723" t="s">
        <v>316</v>
      </c>
      <c r="F768" s="723"/>
      <c r="G768" s="567"/>
      <c r="H768" s="165" t="s">
        <v>46</v>
      </c>
      <c r="I768" s="583"/>
      <c r="J768" s="583"/>
      <c r="K768" s="93"/>
      <c r="L768" s="93"/>
      <c r="M768" s="93"/>
      <c r="N768" s="93"/>
      <c r="O768" s="93"/>
      <c r="P768" s="93"/>
      <c r="Q768" s="568"/>
      <c r="R768" s="568"/>
      <c r="S768" s="568"/>
      <c r="T768" s="568"/>
      <c r="U768" s="568"/>
      <c r="V768" s="568"/>
      <c r="W768" s="568"/>
      <c r="X768" s="568"/>
      <c r="Y768" s="568"/>
      <c r="Z768" s="568"/>
    </row>
    <row r="769" spans="1:26" ht="19.5" hidden="1">
      <c r="A769" s="757">
        <v>11</v>
      </c>
      <c r="B769" s="758" t="s">
        <v>317</v>
      </c>
      <c r="C769" s="759"/>
      <c r="D769" s="759"/>
      <c r="E769" s="759"/>
      <c r="F769" s="759"/>
      <c r="G769" s="760"/>
      <c r="H769" s="761" t="s">
        <v>46</v>
      </c>
      <c r="I769" s="762"/>
      <c r="J769" s="762">
        <f>J784</f>
        <v>0</v>
      </c>
      <c r="K769" s="763">
        <f>IF(I769&gt;0,J769*100/I769,0)</f>
        <v>0</v>
      </c>
      <c r="L769" s="764"/>
      <c r="M769" s="764"/>
      <c r="N769" s="764"/>
      <c r="O769" s="764"/>
      <c r="P769" s="764"/>
      <c r="Q769" s="568"/>
      <c r="R769" s="568"/>
      <c r="S769" s="568"/>
      <c r="T769" s="568"/>
      <c r="U769" s="568"/>
      <c r="V769" s="568"/>
      <c r="W769" s="568"/>
      <c r="X769" s="568"/>
      <c r="Y769" s="568"/>
      <c r="Z769" s="568"/>
    </row>
    <row r="770" spans="1:26" ht="19.5" hidden="1">
      <c r="A770" s="563"/>
      <c r="B770" s="723"/>
      <c r="C770" s="723" t="s">
        <v>16</v>
      </c>
      <c r="D770" s="812" t="s">
        <v>17</v>
      </c>
      <c r="E770" s="805"/>
      <c r="F770" s="805"/>
      <c r="G770" s="567"/>
      <c r="H770" s="612" t="s">
        <v>12</v>
      </c>
      <c r="I770" s="583"/>
      <c r="J770" s="583"/>
      <c r="K770" s="93"/>
      <c r="L770" s="613">
        <f t="shared" ref="L770:N770" si="309">L771+L772</f>
        <v>0</v>
      </c>
      <c r="M770" s="613">
        <f t="shared" si="309"/>
        <v>0</v>
      </c>
      <c r="N770" s="613">
        <f t="shared" si="309"/>
        <v>0</v>
      </c>
      <c r="O770" s="613">
        <f t="shared" ref="O770:O775" si="310">IF(L770&gt;0,N770*100/L770,0)</f>
        <v>0</v>
      </c>
      <c r="P770" s="613">
        <f t="shared" ref="P770:P775" si="311">IF(M770&gt;0,N770*100/M770,0)</f>
        <v>0</v>
      </c>
      <c r="Q770" s="568"/>
      <c r="R770" s="568"/>
      <c r="S770" s="568"/>
      <c r="T770" s="568"/>
      <c r="U770" s="568"/>
      <c r="V770" s="568"/>
      <c r="W770" s="568"/>
      <c r="X770" s="568"/>
      <c r="Y770" s="568"/>
      <c r="Z770" s="568"/>
    </row>
    <row r="771" spans="1:26" ht="18.75" hidden="1">
      <c r="A771" s="563"/>
      <c r="B771" s="723"/>
      <c r="C771" s="723"/>
      <c r="D771" s="684"/>
      <c r="E771" s="723" t="s">
        <v>184</v>
      </c>
      <c r="F771" s="723"/>
      <c r="G771" s="567"/>
      <c r="H771" s="165" t="s">
        <v>12</v>
      </c>
      <c r="I771" s="583"/>
      <c r="J771" s="583"/>
      <c r="K771" s="93"/>
      <c r="L771" s="93">
        <f t="shared" ref="L771:N772" si="312">L774+L781</f>
        <v>0</v>
      </c>
      <c r="M771" s="93">
        <f t="shared" si="312"/>
        <v>0</v>
      </c>
      <c r="N771" s="93">
        <f t="shared" si="312"/>
        <v>0</v>
      </c>
      <c r="O771" s="93">
        <f t="shared" si="310"/>
        <v>0</v>
      </c>
      <c r="P771" s="93">
        <f t="shared" si="311"/>
        <v>0</v>
      </c>
      <c r="Q771" s="568"/>
      <c r="R771" s="568"/>
      <c r="S771" s="568"/>
      <c r="T771" s="568"/>
      <c r="U771" s="568"/>
      <c r="V771" s="568"/>
      <c r="W771" s="568"/>
      <c r="X771" s="568"/>
      <c r="Y771" s="568"/>
      <c r="Z771" s="568"/>
    </row>
    <row r="772" spans="1:26" ht="18.75" hidden="1">
      <c r="A772" s="563"/>
      <c r="B772" s="571"/>
      <c r="C772" s="723"/>
      <c r="D772" s="684"/>
      <c r="E772" s="723" t="s">
        <v>185</v>
      </c>
      <c r="F772" s="723"/>
      <c r="G772" s="567"/>
      <c r="H772" s="165" t="s">
        <v>12</v>
      </c>
      <c r="I772" s="583"/>
      <c r="J772" s="583"/>
      <c r="K772" s="93"/>
      <c r="L772" s="93">
        <f t="shared" si="312"/>
        <v>0</v>
      </c>
      <c r="M772" s="93">
        <f t="shared" si="312"/>
        <v>0</v>
      </c>
      <c r="N772" s="93">
        <f t="shared" si="312"/>
        <v>0</v>
      </c>
      <c r="O772" s="93">
        <f t="shared" si="310"/>
        <v>0</v>
      </c>
      <c r="P772" s="93">
        <f t="shared" si="311"/>
        <v>0</v>
      </c>
      <c r="Q772" s="568"/>
      <c r="R772" s="568"/>
      <c r="S772" s="568"/>
      <c r="T772" s="568"/>
      <c r="U772" s="568"/>
      <c r="V772" s="568"/>
      <c r="W772" s="568"/>
      <c r="X772" s="568"/>
      <c r="Y772" s="568"/>
      <c r="Z772" s="568"/>
    </row>
    <row r="773" spans="1:26" ht="19.5" hidden="1">
      <c r="A773" s="563"/>
      <c r="B773" s="571"/>
      <c r="C773" s="723"/>
      <c r="D773" s="611" t="s">
        <v>20</v>
      </c>
      <c r="E773" s="723"/>
      <c r="F773" s="723"/>
      <c r="G773" s="567"/>
      <c r="H773" s="612" t="s">
        <v>12</v>
      </c>
      <c r="I773" s="166"/>
      <c r="J773" s="166"/>
      <c r="K773" s="167"/>
      <c r="L773" s="613">
        <f t="shared" ref="L773:N773" si="313">L774+L775</f>
        <v>0</v>
      </c>
      <c r="M773" s="613">
        <f t="shared" si="313"/>
        <v>0</v>
      </c>
      <c r="N773" s="613">
        <f t="shared" si="313"/>
        <v>0</v>
      </c>
      <c r="O773" s="613">
        <f t="shared" si="310"/>
        <v>0</v>
      </c>
      <c r="P773" s="613">
        <f t="shared" si="311"/>
        <v>0</v>
      </c>
      <c r="Q773" s="568"/>
      <c r="R773" s="568"/>
      <c r="S773" s="568"/>
      <c r="T773" s="568"/>
      <c r="U773" s="568"/>
      <c r="V773" s="568"/>
      <c r="W773" s="568"/>
      <c r="X773" s="568"/>
      <c r="Y773" s="568"/>
      <c r="Z773" s="568"/>
    </row>
    <row r="774" spans="1:26" ht="18.75" hidden="1">
      <c r="A774" s="563"/>
      <c r="B774" s="571"/>
      <c r="C774" s="723"/>
      <c r="D774" s="684"/>
      <c r="E774" s="723" t="s">
        <v>184</v>
      </c>
      <c r="F774" s="723"/>
      <c r="G774" s="567"/>
      <c r="H774" s="165" t="s">
        <v>12</v>
      </c>
      <c r="I774" s="583"/>
      <c r="J774" s="583"/>
      <c r="K774" s="93"/>
      <c r="L774" s="93">
        <v>0</v>
      </c>
      <c r="M774" s="93">
        <v>0</v>
      </c>
      <c r="N774" s="93">
        <v>0</v>
      </c>
      <c r="O774" s="93">
        <f t="shared" si="310"/>
        <v>0</v>
      </c>
      <c r="P774" s="93">
        <f t="shared" si="311"/>
        <v>0</v>
      </c>
      <c r="Q774" s="568"/>
      <c r="R774" s="568"/>
      <c r="S774" s="568"/>
      <c r="T774" s="568"/>
      <c r="U774" s="568"/>
      <c r="V774" s="568"/>
      <c r="W774" s="568"/>
      <c r="X774" s="568"/>
      <c r="Y774" s="568"/>
      <c r="Z774" s="568"/>
    </row>
    <row r="775" spans="1:26" ht="18.75" hidden="1">
      <c r="A775" s="563"/>
      <c r="B775" s="571"/>
      <c r="C775" s="723"/>
      <c r="D775" s="684"/>
      <c r="E775" s="723" t="s">
        <v>185</v>
      </c>
      <c r="F775" s="723"/>
      <c r="G775" s="567"/>
      <c r="H775" s="165" t="s">
        <v>12</v>
      </c>
      <c r="I775" s="583"/>
      <c r="J775" s="583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0"/>
        <v>0</v>
      </c>
      <c r="P775" s="93">
        <f t="shared" si="311"/>
        <v>0</v>
      </c>
      <c r="Q775" s="568"/>
      <c r="R775" s="568"/>
      <c r="S775" s="568"/>
      <c r="T775" s="568"/>
      <c r="U775" s="568"/>
      <c r="V775" s="568"/>
      <c r="W775" s="568"/>
      <c r="X775" s="568"/>
      <c r="Y775" s="568"/>
      <c r="Z775" s="568"/>
    </row>
    <row r="776" spans="1:26" ht="18.75" hidden="1">
      <c r="A776" s="615"/>
      <c r="B776" s="571"/>
      <c r="C776" s="723"/>
      <c r="D776" s="723"/>
      <c r="E776" s="723"/>
      <c r="F776" s="723" t="s">
        <v>186</v>
      </c>
      <c r="G776" s="567"/>
      <c r="H776" s="165" t="s">
        <v>12</v>
      </c>
      <c r="I776" s="583"/>
      <c r="J776" s="583"/>
      <c r="K776" s="93"/>
      <c r="L776" s="93"/>
      <c r="M776" s="93"/>
      <c r="N776" s="93"/>
      <c r="O776" s="93"/>
      <c r="P776" s="93"/>
      <c r="Q776" s="568"/>
      <c r="R776" s="568"/>
      <c r="S776" s="568"/>
      <c r="T776" s="568"/>
      <c r="U776" s="568"/>
      <c r="V776" s="568"/>
      <c r="W776" s="568"/>
      <c r="X776" s="568"/>
      <c r="Y776" s="568"/>
      <c r="Z776" s="568"/>
    </row>
    <row r="777" spans="1:26" ht="18.75" hidden="1">
      <c r="A777" s="615"/>
      <c r="B777" s="571"/>
      <c r="C777" s="723"/>
      <c r="D777" s="723"/>
      <c r="E777" s="723"/>
      <c r="F777" s="723" t="s">
        <v>187</v>
      </c>
      <c r="G777" s="567"/>
      <c r="H777" s="165" t="s">
        <v>12</v>
      </c>
      <c r="I777" s="583"/>
      <c r="J777" s="583"/>
      <c r="K777" s="93"/>
      <c r="L777" s="93"/>
      <c r="M777" s="93"/>
      <c r="N777" s="93"/>
      <c r="O777" s="93"/>
      <c r="P777" s="93"/>
      <c r="Q777" s="568"/>
      <c r="R777" s="568"/>
      <c r="S777" s="568"/>
      <c r="T777" s="568"/>
      <c r="U777" s="568"/>
      <c r="V777" s="568"/>
      <c r="W777" s="568"/>
      <c r="X777" s="568"/>
      <c r="Y777" s="568"/>
      <c r="Z777" s="568"/>
    </row>
    <row r="778" spans="1:26" ht="18.75" hidden="1">
      <c r="A778" s="615"/>
      <c r="B778" s="571"/>
      <c r="C778" s="723"/>
      <c r="D778" s="723"/>
      <c r="E778" s="723"/>
      <c r="F778" s="723" t="s">
        <v>188</v>
      </c>
      <c r="G778" s="567"/>
      <c r="H778" s="165" t="s">
        <v>12</v>
      </c>
      <c r="I778" s="583"/>
      <c r="J778" s="583"/>
      <c r="K778" s="93"/>
      <c r="L778" s="93"/>
      <c r="M778" s="93"/>
      <c r="N778" s="93"/>
      <c r="O778" s="93"/>
      <c r="P778" s="93"/>
      <c r="Q778" s="568"/>
      <c r="R778" s="568"/>
      <c r="S778" s="568"/>
      <c r="T778" s="568"/>
      <c r="U778" s="568"/>
      <c r="V778" s="568"/>
      <c r="W778" s="568"/>
      <c r="X778" s="568"/>
      <c r="Y778" s="568"/>
      <c r="Z778" s="568"/>
    </row>
    <row r="779" spans="1:26" ht="18.75" hidden="1">
      <c r="A779" s="615"/>
      <c r="B779" s="571"/>
      <c r="C779" s="723"/>
      <c r="D779" s="723"/>
      <c r="E779" s="723"/>
      <c r="F779" s="723" t="s">
        <v>189</v>
      </c>
      <c r="G779" s="567"/>
      <c r="H779" s="165" t="s">
        <v>12</v>
      </c>
      <c r="I779" s="583"/>
      <c r="J779" s="583"/>
      <c r="K779" s="93"/>
      <c r="L779" s="93"/>
      <c r="M779" s="93"/>
      <c r="N779" s="93"/>
      <c r="O779" s="93"/>
      <c r="P779" s="93"/>
      <c r="Q779" s="568"/>
      <c r="R779" s="568"/>
      <c r="S779" s="568"/>
      <c r="T779" s="568"/>
      <c r="U779" s="568"/>
      <c r="V779" s="568"/>
      <c r="W779" s="568"/>
      <c r="X779" s="568"/>
      <c r="Y779" s="568"/>
      <c r="Z779" s="568"/>
    </row>
    <row r="780" spans="1:26" ht="19.5" hidden="1">
      <c r="A780" s="563"/>
      <c r="B780" s="571"/>
      <c r="C780" s="723"/>
      <c r="D780" s="611" t="s">
        <v>21</v>
      </c>
      <c r="E780" s="723"/>
      <c r="F780" s="723"/>
      <c r="G780" s="567"/>
      <c r="H780" s="747" t="s">
        <v>12</v>
      </c>
      <c r="I780" s="166"/>
      <c r="J780" s="166"/>
      <c r="K780" s="167"/>
      <c r="L780" s="613">
        <f t="shared" ref="L780:N780" si="314">L781+L782</f>
        <v>0</v>
      </c>
      <c r="M780" s="613">
        <f t="shared" si="314"/>
        <v>0</v>
      </c>
      <c r="N780" s="613">
        <f t="shared" si="314"/>
        <v>0</v>
      </c>
      <c r="O780" s="613">
        <f t="shared" ref="O780:O782" si="315">IF(L780&gt;0,N780*100/L780,0)</f>
        <v>0</v>
      </c>
      <c r="P780" s="613">
        <f t="shared" ref="P780:P782" si="316">IF(M780&gt;0,N780*100/M780,0)</f>
        <v>0</v>
      </c>
      <c r="Q780" s="568"/>
      <c r="R780" s="568"/>
      <c r="S780" s="568"/>
      <c r="T780" s="568"/>
      <c r="U780" s="568"/>
      <c r="V780" s="568"/>
      <c r="W780" s="568"/>
      <c r="X780" s="568"/>
      <c r="Y780" s="568"/>
      <c r="Z780" s="568"/>
    </row>
    <row r="781" spans="1:26" ht="18.75" hidden="1">
      <c r="A781" s="563"/>
      <c r="B781" s="571"/>
      <c r="C781" s="723"/>
      <c r="D781" s="723"/>
      <c r="E781" s="723" t="s">
        <v>18</v>
      </c>
      <c r="F781" s="723"/>
      <c r="G781" s="567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5"/>
        <v>0</v>
      </c>
      <c r="P781" s="93">
        <f t="shared" si="316"/>
        <v>0</v>
      </c>
      <c r="Q781" s="568"/>
      <c r="R781" s="568"/>
      <c r="S781" s="568"/>
      <c r="T781" s="568"/>
      <c r="U781" s="568"/>
      <c r="V781" s="568"/>
      <c r="W781" s="568"/>
      <c r="X781" s="568"/>
      <c r="Y781" s="568"/>
      <c r="Z781" s="568"/>
    </row>
    <row r="782" spans="1:26" ht="18.75" hidden="1">
      <c r="A782" s="563"/>
      <c r="B782" s="571"/>
      <c r="C782" s="723"/>
      <c r="D782" s="723"/>
      <c r="E782" s="723" t="s">
        <v>19</v>
      </c>
      <c r="F782" s="723"/>
      <c r="G782" s="567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5"/>
        <v>0</v>
      </c>
      <c r="P782" s="93">
        <f t="shared" si="316"/>
        <v>0</v>
      </c>
      <c r="Q782" s="568"/>
      <c r="R782" s="568"/>
      <c r="S782" s="568"/>
      <c r="T782" s="568"/>
      <c r="U782" s="568"/>
      <c r="V782" s="568"/>
      <c r="W782" s="568"/>
      <c r="X782" s="568"/>
      <c r="Y782" s="568"/>
      <c r="Z782" s="568"/>
    </row>
    <row r="783" spans="1:26" ht="19.5" hidden="1">
      <c r="A783" s="578"/>
      <c r="B783" s="580"/>
      <c r="C783" s="723" t="s">
        <v>16</v>
      </c>
      <c r="D783" s="856" t="s">
        <v>38</v>
      </c>
      <c r="E783" s="617"/>
      <c r="F783" s="617"/>
      <c r="G783" s="618"/>
      <c r="H783" s="765"/>
      <c r="I783" s="166"/>
      <c r="J783" s="166"/>
      <c r="K783" s="167"/>
      <c r="L783" s="167"/>
      <c r="M783" s="167"/>
      <c r="N783" s="167"/>
      <c r="O783" s="167"/>
      <c r="P783" s="167"/>
      <c r="Q783" s="568"/>
      <c r="R783" s="568"/>
      <c r="S783" s="568"/>
      <c r="T783" s="568"/>
      <c r="U783" s="568"/>
      <c r="V783" s="568"/>
      <c r="W783" s="568"/>
      <c r="X783" s="568"/>
      <c r="Y783" s="568"/>
      <c r="Z783" s="568"/>
    </row>
    <row r="784" spans="1:26" ht="18.75" hidden="1">
      <c r="A784" s="615"/>
      <c r="B784" s="571"/>
      <c r="C784" s="723"/>
      <c r="D784" s="723"/>
      <c r="E784" s="723" t="s">
        <v>318</v>
      </c>
      <c r="F784" s="723"/>
      <c r="G784" s="567"/>
      <c r="H784" s="165" t="s">
        <v>46</v>
      </c>
      <c r="I784" s="583"/>
      <c r="J784" s="583"/>
      <c r="K784" s="93"/>
      <c r="L784" s="93"/>
      <c r="M784" s="93"/>
      <c r="N784" s="93"/>
      <c r="O784" s="93"/>
      <c r="P784" s="93"/>
      <c r="Q784" s="568"/>
      <c r="R784" s="568"/>
      <c r="S784" s="568"/>
      <c r="T784" s="568"/>
      <c r="U784" s="568"/>
      <c r="V784" s="568"/>
      <c r="W784" s="568"/>
      <c r="X784" s="568"/>
      <c r="Y784" s="568"/>
      <c r="Z784" s="568"/>
    </row>
    <row r="785" spans="1:26" ht="19.5">
      <c r="A785" s="766">
        <v>12</v>
      </c>
      <c r="B785" s="767" t="s">
        <v>319</v>
      </c>
      <c r="C785" s="768"/>
      <c r="D785" s="768"/>
      <c r="E785" s="768"/>
      <c r="F785" s="768"/>
      <c r="G785" s="769"/>
      <c r="H785" s="770" t="s">
        <v>46</v>
      </c>
      <c r="I785" s="771">
        <f t="shared" ref="I785:J785" ca="1" si="317">I800</f>
        <v>5000</v>
      </c>
      <c r="J785" s="771">
        <f t="shared" ca="1" si="317"/>
        <v>0</v>
      </c>
      <c r="K785" s="772">
        <f ca="1">IF(I785&gt;0,J785*100/I785,0)</f>
        <v>0</v>
      </c>
      <c r="L785" s="773"/>
      <c r="M785" s="773"/>
      <c r="N785" s="773"/>
      <c r="O785" s="773"/>
      <c r="P785" s="773"/>
      <c r="Q785" s="541"/>
      <c r="R785" s="541"/>
      <c r="S785" s="541"/>
      <c r="T785" s="541"/>
      <c r="U785" s="541"/>
      <c r="V785" s="541"/>
      <c r="W785" s="541"/>
      <c r="X785" s="541"/>
      <c r="Y785" s="541"/>
      <c r="Z785" s="541"/>
    </row>
    <row r="786" spans="1:26" ht="19.5">
      <c r="A786" s="561"/>
      <c r="B786" s="538"/>
      <c r="C786" s="727" t="s">
        <v>16</v>
      </c>
      <c r="D786" s="811" t="s">
        <v>17</v>
      </c>
      <c r="E786" s="805"/>
      <c r="F786" s="805"/>
      <c r="G786" s="189"/>
      <c r="H786" s="562" t="s">
        <v>12</v>
      </c>
      <c r="I786" s="269"/>
      <c r="J786" s="269"/>
      <c r="K786" s="465"/>
      <c r="L786" s="195">
        <f t="shared" ref="L786:N786" ca="1" si="318">L787+L788</f>
        <v>319200</v>
      </c>
      <c r="M786" s="195">
        <f t="shared" si="318"/>
        <v>0</v>
      </c>
      <c r="N786" s="195">
        <f t="shared" si="318"/>
        <v>0</v>
      </c>
      <c r="O786" s="195">
        <f t="shared" ref="O786:O791" ca="1" si="319">IF(L786&gt;0,N786*100/L786,0)</f>
        <v>0</v>
      </c>
      <c r="P786" s="195">
        <f t="shared" ref="P786:P791" si="320">IF(M786&gt;0,N786*100/M786,0)</f>
        <v>0</v>
      </c>
      <c r="Q786" s="541"/>
      <c r="R786" s="541"/>
      <c r="S786" s="541"/>
      <c r="T786" s="541"/>
      <c r="U786" s="541"/>
      <c r="V786" s="541"/>
      <c r="W786" s="541"/>
      <c r="X786" s="541"/>
      <c r="Y786" s="541"/>
      <c r="Z786" s="541"/>
    </row>
    <row r="787" spans="1:26" ht="18.75" hidden="1">
      <c r="A787" s="563"/>
      <c r="B787" s="571"/>
      <c r="C787" s="723"/>
      <c r="D787" s="684"/>
      <c r="E787" s="723" t="s">
        <v>184</v>
      </c>
      <c r="F787" s="723"/>
      <c r="G787" s="567"/>
      <c r="H787" s="165" t="s">
        <v>12</v>
      </c>
      <c r="I787" s="583"/>
      <c r="J787" s="583"/>
      <c r="K787" s="93"/>
      <c r="L787" s="93">
        <f t="shared" ref="L787:N788" si="321">L790+L797</f>
        <v>0</v>
      </c>
      <c r="M787" s="93">
        <f t="shared" si="321"/>
        <v>0</v>
      </c>
      <c r="N787" s="93">
        <f t="shared" si="321"/>
        <v>0</v>
      </c>
      <c r="O787" s="93">
        <f t="shared" si="319"/>
        <v>0</v>
      </c>
      <c r="P787" s="93">
        <f t="shared" si="320"/>
        <v>0</v>
      </c>
      <c r="Q787" s="568"/>
      <c r="R787" s="568"/>
      <c r="S787" s="568"/>
      <c r="T787" s="568"/>
      <c r="U787" s="568"/>
      <c r="V787" s="568"/>
      <c r="W787" s="568"/>
      <c r="X787" s="568"/>
      <c r="Y787" s="568"/>
      <c r="Z787" s="568"/>
    </row>
    <row r="788" spans="1:26" ht="18.75" hidden="1">
      <c r="A788" s="563"/>
      <c r="B788" s="571"/>
      <c r="C788" s="571"/>
      <c r="D788" s="580"/>
      <c r="E788" s="723" t="s">
        <v>185</v>
      </c>
      <c r="F788" s="723"/>
      <c r="G788" s="567"/>
      <c r="H788" s="165" t="s">
        <v>12</v>
      </c>
      <c r="I788" s="583"/>
      <c r="J788" s="583"/>
      <c r="K788" s="93"/>
      <c r="L788" s="93">
        <f t="shared" ca="1" si="321"/>
        <v>319200</v>
      </c>
      <c r="M788" s="93">
        <f t="shared" si="321"/>
        <v>0</v>
      </c>
      <c r="N788" s="93">
        <f t="shared" si="321"/>
        <v>0</v>
      </c>
      <c r="O788" s="93">
        <f t="shared" ca="1" si="319"/>
        <v>0</v>
      </c>
      <c r="P788" s="93">
        <f t="shared" si="320"/>
        <v>0</v>
      </c>
      <c r="Q788" s="568"/>
      <c r="R788" s="568"/>
      <c r="S788" s="568"/>
      <c r="T788" s="568"/>
      <c r="U788" s="568"/>
      <c r="V788" s="568"/>
      <c r="W788" s="568"/>
      <c r="X788" s="568"/>
      <c r="Y788" s="568"/>
      <c r="Z788" s="568"/>
    </row>
    <row r="789" spans="1:26" ht="18.75">
      <c r="A789" s="561"/>
      <c r="B789" s="538"/>
      <c r="C789" s="538"/>
      <c r="D789" s="570" t="s">
        <v>20</v>
      </c>
      <c r="E789" s="727"/>
      <c r="F789" s="727"/>
      <c r="G789" s="189"/>
      <c r="H789" s="161" t="s">
        <v>12</v>
      </c>
      <c r="I789" s="184"/>
      <c r="J789" s="184"/>
      <c r="K789" s="163"/>
      <c r="L789" s="465">
        <f t="shared" ref="L789:N789" ca="1" si="322">L790+L791</f>
        <v>319200</v>
      </c>
      <c r="M789" s="465">
        <f t="shared" si="322"/>
        <v>0</v>
      </c>
      <c r="N789" s="465">
        <f t="shared" si="322"/>
        <v>0</v>
      </c>
      <c r="O789" s="465">
        <f t="shared" ca="1" si="319"/>
        <v>0</v>
      </c>
      <c r="P789" s="465">
        <f t="shared" si="320"/>
        <v>0</v>
      </c>
      <c r="Q789" s="541"/>
      <c r="R789" s="541"/>
      <c r="S789" s="541"/>
      <c r="T789" s="541"/>
      <c r="U789" s="541"/>
      <c r="V789" s="541"/>
      <c r="W789" s="541"/>
      <c r="X789" s="541"/>
      <c r="Y789" s="541"/>
      <c r="Z789" s="541"/>
    </row>
    <row r="790" spans="1:26" ht="18.75" hidden="1">
      <c r="A790" s="563"/>
      <c r="B790" s="571"/>
      <c r="C790" s="571"/>
      <c r="D790" s="580"/>
      <c r="E790" s="723" t="s">
        <v>184</v>
      </c>
      <c r="F790" s="723"/>
      <c r="G790" s="567"/>
      <c r="H790" s="165" t="s">
        <v>12</v>
      </c>
      <c r="I790" s="583"/>
      <c r="J790" s="583"/>
      <c r="K790" s="93"/>
      <c r="L790" s="93">
        <v>0</v>
      </c>
      <c r="M790" s="93">
        <v>0</v>
      </c>
      <c r="N790" s="93">
        <v>0</v>
      </c>
      <c r="O790" s="93">
        <f t="shared" si="319"/>
        <v>0</v>
      </c>
      <c r="P790" s="93">
        <f t="shared" si="320"/>
        <v>0</v>
      </c>
      <c r="Q790" s="568"/>
      <c r="R790" s="568"/>
      <c r="S790" s="568"/>
      <c r="T790" s="568"/>
      <c r="U790" s="568"/>
      <c r="V790" s="568"/>
      <c r="W790" s="568"/>
      <c r="X790" s="568"/>
      <c r="Y790" s="568"/>
      <c r="Z790" s="568"/>
    </row>
    <row r="791" spans="1:26" ht="18.75" hidden="1">
      <c r="A791" s="563"/>
      <c r="B791" s="571"/>
      <c r="C791" s="571"/>
      <c r="D791" s="580"/>
      <c r="E791" s="723" t="s">
        <v>185</v>
      </c>
      <c r="F791" s="723"/>
      <c r="G791" s="567"/>
      <c r="H791" s="165" t="s">
        <v>12</v>
      </c>
      <c r="I791" s="583"/>
      <c r="J791" s="583"/>
      <c r="K791" s="93"/>
      <c r="L791" s="93">
        <f ca="1">IFERROR(__xludf.DUMMYFUNCTION("IMPORTRANGE(""https://docs.google.com/spreadsheets/d/1QqKyyYR6Q21VydFLVH3TRQUabQu_ym0Zz7PgGX0-kHA/edit?usp=sharing"",""แผน!JJ29"")"),319200)</f>
        <v>319200</v>
      </c>
      <c r="M791" s="93">
        <v>0</v>
      </c>
      <c r="N791" s="93">
        <f>N792+N793+N794+N795</f>
        <v>0</v>
      </c>
      <c r="O791" s="93">
        <f t="shared" ca="1" si="319"/>
        <v>0</v>
      </c>
      <c r="P791" s="93">
        <f t="shared" si="320"/>
        <v>0</v>
      </c>
      <c r="Q791" s="568"/>
      <c r="R791" s="568"/>
      <c r="S791" s="568"/>
      <c r="T791" s="568"/>
      <c r="U791" s="568"/>
      <c r="V791" s="568"/>
      <c r="W791" s="568"/>
      <c r="X791" s="568"/>
      <c r="Y791" s="568"/>
      <c r="Z791" s="568"/>
    </row>
    <row r="792" spans="1:26" ht="18.75">
      <c r="A792" s="537"/>
      <c r="B792" s="538"/>
      <c r="C792" s="727"/>
      <c r="D792" s="727"/>
      <c r="E792" s="727"/>
      <c r="F792" s="727" t="s">
        <v>186</v>
      </c>
      <c r="G792" s="189"/>
      <c r="H792" s="161" t="s">
        <v>12</v>
      </c>
      <c r="I792" s="269"/>
      <c r="J792" s="269"/>
      <c r="K792" s="465"/>
      <c r="L792" s="465"/>
      <c r="M792" s="465"/>
      <c r="N792" s="789">
        <v>0</v>
      </c>
      <c r="O792" s="465"/>
      <c r="P792" s="465"/>
      <c r="Q792" s="541"/>
      <c r="R792" s="541"/>
      <c r="S792" s="541"/>
      <c r="T792" s="541"/>
      <c r="U792" s="541"/>
      <c r="V792" s="541"/>
      <c r="W792" s="541"/>
      <c r="X792" s="541"/>
      <c r="Y792" s="541"/>
      <c r="Z792" s="541"/>
    </row>
    <row r="793" spans="1:26" ht="18.75">
      <c r="A793" s="537"/>
      <c r="B793" s="538"/>
      <c r="C793" s="727"/>
      <c r="D793" s="727"/>
      <c r="E793" s="727"/>
      <c r="F793" s="727" t="s">
        <v>187</v>
      </c>
      <c r="G793" s="189"/>
      <c r="H793" s="161" t="s">
        <v>12</v>
      </c>
      <c r="I793" s="269"/>
      <c r="J793" s="269"/>
      <c r="K793" s="465"/>
      <c r="L793" s="465"/>
      <c r="M793" s="465"/>
      <c r="N793" s="789">
        <v>0</v>
      </c>
      <c r="O793" s="465"/>
      <c r="P793" s="465"/>
      <c r="Q793" s="541"/>
      <c r="R793" s="541"/>
      <c r="S793" s="541"/>
      <c r="T793" s="541"/>
      <c r="U793" s="541"/>
      <c r="V793" s="541"/>
      <c r="W793" s="541"/>
      <c r="X793" s="541"/>
      <c r="Y793" s="541"/>
      <c r="Z793" s="541"/>
    </row>
    <row r="794" spans="1:26" ht="18.75">
      <c r="A794" s="537"/>
      <c r="B794" s="538"/>
      <c r="C794" s="727"/>
      <c r="D794" s="727"/>
      <c r="E794" s="727"/>
      <c r="F794" s="727" t="s">
        <v>188</v>
      </c>
      <c r="G794" s="189"/>
      <c r="H794" s="161" t="s">
        <v>12</v>
      </c>
      <c r="I794" s="269"/>
      <c r="J794" s="269"/>
      <c r="K794" s="465"/>
      <c r="L794" s="465"/>
      <c r="M794" s="465"/>
      <c r="N794" s="789">
        <v>0</v>
      </c>
      <c r="O794" s="465"/>
      <c r="P794" s="465"/>
      <c r="Q794" s="541"/>
      <c r="R794" s="541"/>
      <c r="S794" s="541"/>
      <c r="T794" s="541"/>
      <c r="U794" s="541"/>
      <c r="V794" s="541"/>
      <c r="W794" s="541"/>
      <c r="X794" s="541"/>
      <c r="Y794" s="541"/>
      <c r="Z794" s="541"/>
    </row>
    <row r="795" spans="1:26" ht="18.75">
      <c r="A795" s="537"/>
      <c r="B795" s="538"/>
      <c r="C795" s="727"/>
      <c r="D795" s="727"/>
      <c r="E795" s="727"/>
      <c r="F795" s="727" t="s">
        <v>189</v>
      </c>
      <c r="G795" s="189"/>
      <c r="H795" s="161" t="s">
        <v>12</v>
      </c>
      <c r="I795" s="269"/>
      <c r="J795" s="269"/>
      <c r="K795" s="465"/>
      <c r="L795" s="465"/>
      <c r="M795" s="465"/>
      <c r="N795" s="789">
        <v>0</v>
      </c>
      <c r="O795" s="465"/>
      <c r="P795" s="465"/>
      <c r="Q795" s="541"/>
      <c r="R795" s="541"/>
      <c r="S795" s="541"/>
      <c r="T795" s="541"/>
      <c r="U795" s="541"/>
      <c r="V795" s="541"/>
      <c r="W795" s="541"/>
      <c r="X795" s="541"/>
      <c r="Y795" s="541"/>
      <c r="Z795" s="541"/>
    </row>
    <row r="796" spans="1:26" ht="18.75">
      <c r="A796" s="561"/>
      <c r="B796" s="538"/>
      <c r="C796" s="727"/>
      <c r="D796" s="570" t="s">
        <v>21</v>
      </c>
      <c r="E796" s="727"/>
      <c r="F796" s="727"/>
      <c r="G796" s="189"/>
      <c r="H796" s="168" t="s">
        <v>12</v>
      </c>
      <c r="I796" s="184"/>
      <c r="J796" s="184"/>
      <c r="K796" s="163"/>
      <c r="L796" s="465">
        <f t="shared" ref="L796:N796" si="323">L797+L798</f>
        <v>0</v>
      </c>
      <c r="M796" s="465">
        <f t="shared" si="323"/>
        <v>0</v>
      </c>
      <c r="N796" s="465">
        <f t="shared" si="323"/>
        <v>0</v>
      </c>
      <c r="O796" s="465">
        <f t="shared" ref="O796:O798" si="324">IF(L796&gt;0,N796*100/L796,0)</f>
        <v>0</v>
      </c>
      <c r="P796" s="465">
        <f t="shared" ref="P796:P798" si="325">IF(M796&gt;0,N796*100/M796,0)</f>
        <v>0</v>
      </c>
      <c r="Q796" s="541"/>
      <c r="R796" s="541"/>
      <c r="S796" s="541"/>
      <c r="T796" s="541"/>
      <c r="U796" s="541"/>
      <c r="V796" s="541"/>
      <c r="W796" s="541"/>
      <c r="X796" s="541"/>
      <c r="Y796" s="541"/>
      <c r="Z796" s="541"/>
    </row>
    <row r="797" spans="1:26" ht="18.75" hidden="1">
      <c r="A797" s="563"/>
      <c r="B797" s="571"/>
      <c r="C797" s="723"/>
      <c r="D797" s="723"/>
      <c r="E797" s="723" t="s">
        <v>18</v>
      </c>
      <c r="F797" s="723"/>
      <c r="G797" s="567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4"/>
        <v>0</v>
      </c>
      <c r="P797" s="93">
        <f t="shared" si="325"/>
        <v>0</v>
      </c>
      <c r="Q797" s="568"/>
      <c r="R797" s="568"/>
      <c r="S797" s="568"/>
      <c r="T797" s="568"/>
      <c r="U797" s="568"/>
      <c r="V797" s="568"/>
      <c r="W797" s="568"/>
      <c r="X797" s="568"/>
      <c r="Y797" s="568"/>
      <c r="Z797" s="568"/>
    </row>
    <row r="798" spans="1:26" ht="18.75" hidden="1">
      <c r="A798" s="563"/>
      <c r="B798" s="571"/>
      <c r="C798" s="723"/>
      <c r="D798" s="723"/>
      <c r="E798" s="723" t="s">
        <v>19</v>
      </c>
      <c r="F798" s="723"/>
      <c r="G798" s="567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4"/>
        <v>0</v>
      </c>
      <c r="P798" s="93">
        <f t="shared" si="325"/>
        <v>0</v>
      </c>
      <c r="Q798" s="568"/>
      <c r="R798" s="568"/>
      <c r="S798" s="568"/>
      <c r="T798" s="568"/>
      <c r="U798" s="568"/>
      <c r="V798" s="568"/>
      <c r="W798" s="568"/>
      <c r="X798" s="568"/>
      <c r="Y798" s="568"/>
      <c r="Z798" s="568"/>
    </row>
    <row r="799" spans="1:26" ht="19.5">
      <c r="A799" s="572"/>
      <c r="B799" s="584"/>
      <c r="C799" s="727" t="s">
        <v>16</v>
      </c>
      <c r="D799" s="855" t="s">
        <v>38</v>
      </c>
      <c r="E799" s="725"/>
      <c r="F799" s="725"/>
      <c r="G799" s="577"/>
      <c r="H799" s="774"/>
      <c r="I799" s="184"/>
      <c r="J799" s="184"/>
      <c r="K799" s="163"/>
      <c r="L799" s="163"/>
      <c r="M799" s="163"/>
      <c r="N799" s="163"/>
      <c r="O799" s="163"/>
      <c r="P799" s="163"/>
      <c r="Q799" s="541"/>
      <c r="R799" s="541"/>
      <c r="S799" s="541"/>
      <c r="T799" s="541"/>
      <c r="U799" s="541"/>
      <c r="V799" s="541"/>
      <c r="W799" s="541"/>
      <c r="X799" s="541"/>
      <c r="Y799" s="541"/>
      <c r="Z799" s="541"/>
    </row>
    <row r="800" spans="1:26" ht="18.75">
      <c r="A800" s="572"/>
      <c r="B800" s="584"/>
      <c r="C800" s="584"/>
      <c r="D800" s="584"/>
      <c r="E800" s="592"/>
      <c r="F800" s="592" t="s">
        <v>320</v>
      </c>
      <c r="G800" s="726"/>
      <c r="H800" s="185" t="s">
        <v>46</v>
      </c>
      <c r="I800" s="184">
        <f ca="1">IFERROR(__xludf.DUMMYFUNCTION("IMPORTRANGE(""https://docs.google.com/spreadsheets/d/1QqKyyYR6Q21VydFLVH3TRQUabQu_ym0Zz7PgGX0-kHA/edit?usp=sharing"",""แผน!JN29"")"),5000)</f>
        <v>5000</v>
      </c>
      <c r="J800" s="184">
        <f ca="1">IFERROR(__xludf.DUMMYFUNCTION("IMPORTRANGE(""https://docs.google.com/spreadsheets/d/1MaWodYyGHDf7siQLGxnXhG4mBNTNIuy296niS2xXulU/edit?usp=sharing"",""RTK!H29"")"),0)</f>
        <v>0</v>
      </c>
      <c r="K800" s="465">
        <f ca="1">IF(I800&gt;0,J800*100/I800,0)</f>
        <v>0</v>
      </c>
      <c r="L800" s="465"/>
      <c r="M800" s="465"/>
      <c r="N800" s="465"/>
      <c r="O800" s="163"/>
      <c r="P800" s="163"/>
      <c r="Q800" s="541"/>
      <c r="R800" s="541"/>
      <c r="S800" s="541"/>
      <c r="T800" s="541"/>
      <c r="U800" s="541"/>
      <c r="V800" s="541"/>
      <c r="W800" s="541"/>
      <c r="X800" s="541"/>
      <c r="Y800" s="541"/>
      <c r="Z800" s="541"/>
    </row>
    <row r="801" spans="1:26" ht="18.75">
      <c r="A801" s="572"/>
      <c r="B801" s="584"/>
      <c r="C801" s="584"/>
      <c r="D801" s="584"/>
      <c r="E801" s="592"/>
      <c r="F801" s="592"/>
      <c r="G801" s="726"/>
      <c r="H801" s="161" t="s">
        <v>34</v>
      </c>
      <c r="I801" s="184"/>
      <c r="J801" s="269">
        <f ca="1">IFERROR(__xludf.DUMMYFUNCTION("IMPORTRANGE(""https://docs.google.com/spreadsheets/d/1MaWodYyGHDf7siQLGxnXhG4mBNTNIuy296niS2xXulU/edit?usp=sharing"",""RTK!I29"")"),0)</f>
        <v>0</v>
      </c>
      <c r="K801" s="465"/>
      <c r="L801" s="465"/>
      <c r="M801" s="465"/>
      <c r="N801" s="465"/>
      <c r="O801" s="163"/>
      <c r="P801" s="163"/>
      <c r="Q801" s="541"/>
      <c r="R801" s="541"/>
      <c r="S801" s="541"/>
      <c r="T801" s="541"/>
      <c r="U801" s="541"/>
      <c r="V801" s="541"/>
      <c r="W801" s="541"/>
      <c r="X801" s="541"/>
      <c r="Y801" s="541"/>
      <c r="Z801" s="541"/>
    </row>
    <row r="802" spans="1:26" ht="18.75" hidden="1">
      <c r="A802" s="578"/>
      <c r="B802" s="580"/>
      <c r="C802" s="580"/>
      <c r="D802" s="580"/>
      <c r="E802" s="684"/>
      <c r="F802" s="684" t="s">
        <v>321</v>
      </c>
      <c r="G802" s="581"/>
      <c r="H802" s="619" t="s">
        <v>46</v>
      </c>
      <c r="I802" s="166"/>
      <c r="J802" s="583"/>
      <c r="K802" s="167">
        <f>IF(I802&gt;0,J802*100/I802,0)</f>
        <v>0</v>
      </c>
      <c r="L802" s="167"/>
      <c r="M802" s="167"/>
      <c r="N802" s="167"/>
      <c r="O802" s="167"/>
      <c r="P802" s="167"/>
      <c r="Q802" s="568"/>
      <c r="R802" s="568"/>
      <c r="S802" s="568"/>
      <c r="T802" s="568"/>
      <c r="U802" s="568"/>
      <c r="V802" s="568"/>
      <c r="W802" s="568"/>
      <c r="X802" s="568"/>
      <c r="Y802" s="568"/>
      <c r="Z802" s="568"/>
    </row>
    <row r="803" spans="1:26" ht="18.75" hidden="1">
      <c r="A803" s="578"/>
      <c r="B803" s="580"/>
      <c r="C803" s="580"/>
      <c r="D803" s="580"/>
      <c r="E803" s="684"/>
      <c r="F803" s="684"/>
      <c r="G803" s="581"/>
      <c r="H803" s="619" t="s">
        <v>34</v>
      </c>
      <c r="I803" s="166"/>
      <c r="J803" s="583"/>
      <c r="K803" s="167"/>
      <c r="L803" s="167"/>
      <c r="M803" s="167"/>
      <c r="N803" s="167"/>
      <c r="O803" s="167"/>
      <c r="P803" s="167"/>
      <c r="Q803" s="568"/>
      <c r="R803" s="568"/>
      <c r="S803" s="568"/>
      <c r="T803" s="568"/>
      <c r="U803" s="568"/>
      <c r="V803" s="568"/>
      <c r="W803" s="568"/>
      <c r="X803" s="568"/>
      <c r="Y803" s="568"/>
      <c r="Z803" s="568"/>
    </row>
    <row r="804" spans="1:26" ht="19.5" hidden="1">
      <c r="A804" s="757">
        <v>13</v>
      </c>
      <c r="B804" s="758" t="s">
        <v>322</v>
      </c>
      <c r="C804" s="759"/>
      <c r="D804" s="775"/>
      <c r="E804" s="759"/>
      <c r="F804" s="759"/>
      <c r="G804" s="760"/>
      <c r="H804" s="761" t="s">
        <v>46</v>
      </c>
      <c r="I804" s="762"/>
      <c r="J804" s="762">
        <f>J819</f>
        <v>0</v>
      </c>
      <c r="K804" s="763">
        <f>IF(I804&gt;0,J804*100/I804,0)</f>
        <v>0</v>
      </c>
      <c r="L804" s="764"/>
      <c r="M804" s="764"/>
      <c r="N804" s="764"/>
      <c r="O804" s="764"/>
      <c r="P804" s="764"/>
      <c r="Q804" s="568"/>
      <c r="R804" s="568"/>
      <c r="S804" s="568"/>
      <c r="T804" s="568"/>
      <c r="U804" s="568"/>
      <c r="V804" s="568"/>
      <c r="W804" s="568"/>
      <c r="X804" s="568"/>
      <c r="Y804" s="568"/>
      <c r="Z804" s="568"/>
    </row>
    <row r="805" spans="1:26" ht="19.5" hidden="1">
      <c r="A805" s="563"/>
      <c r="B805" s="723"/>
      <c r="C805" s="723" t="s">
        <v>16</v>
      </c>
      <c r="D805" s="812" t="s">
        <v>17</v>
      </c>
      <c r="E805" s="805"/>
      <c r="F805" s="805"/>
      <c r="G805" s="567"/>
      <c r="H805" s="612" t="s">
        <v>12</v>
      </c>
      <c r="I805" s="583"/>
      <c r="J805" s="583"/>
      <c r="K805" s="93"/>
      <c r="L805" s="613">
        <f t="shared" ref="L805:N805" si="326">L806+L807</f>
        <v>0</v>
      </c>
      <c r="M805" s="613">
        <f t="shared" si="326"/>
        <v>0</v>
      </c>
      <c r="N805" s="613">
        <f t="shared" si="326"/>
        <v>0</v>
      </c>
      <c r="O805" s="613">
        <f t="shared" ref="O805:O810" si="327">IF(L805&gt;0,N805*100/L805,0)</f>
        <v>0</v>
      </c>
      <c r="P805" s="613">
        <f t="shared" ref="P805:P810" si="328">IF(M805&gt;0,N805*100/M805,0)</f>
        <v>0</v>
      </c>
      <c r="Q805" s="568"/>
      <c r="R805" s="568"/>
      <c r="S805" s="568"/>
      <c r="T805" s="568"/>
      <c r="U805" s="568"/>
      <c r="V805" s="568"/>
      <c r="W805" s="568"/>
      <c r="X805" s="568"/>
      <c r="Y805" s="568"/>
      <c r="Z805" s="568"/>
    </row>
    <row r="806" spans="1:26" ht="18.75" hidden="1">
      <c r="A806" s="563"/>
      <c r="B806" s="723"/>
      <c r="C806" s="723"/>
      <c r="D806" s="580"/>
      <c r="E806" s="723" t="s">
        <v>184</v>
      </c>
      <c r="F806" s="723"/>
      <c r="G806" s="567"/>
      <c r="H806" s="165" t="s">
        <v>12</v>
      </c>
      <c r="I806" s="583"/>
      <c r="J806" s="583"/>
      <c r="K806" s="93"/>
      <c r="L806" s="93">
        <f t="shared" ref="L806:N807" si="329">L809+L816</f>
        <v>0</v>
      </c>
      <c r="M806" s="93">
        <f t="shared" si="329"/>
        <v>0</v>
      </c>
      <c r="N806" s="93">
        <f t="shared" si="329"/>
        <v>0</v>
      </c>
      <c r="O806" s="93">
        <f t="shared" si="327"/>
        <v>0</v>
      </c>
      <c r="P806" s="93">
        <f t="shared" si="328"/>
        <v>0</v>
      </c>
      <c r="Q806" s="568"/>
      <c r="R806" s="568"/>
      <c r="S806" s="568"/>
      <c r="T806" s="568"/>
      <c r="U806" s="568"/>
      <c r="V806" s="568"/>
      <c r="W806" s="568"/>
      <c r="X806" s="568"/>
      <c r="Y806" s="568"/>
      <c r="Z806" s="568"/>
    </row>
    <row r="807" spans="1:26" ht="18.75" hidden="1">
      <c r="A807" s="563"/>
      <c r="B807" s="723"/>
      <c r="C807" s="723"/>
      <c r="D807" s="580"/>
      <c r="E807" s="723" t="s">
        <v>185</v>
      </c>
      <c r="F807" s="723"/>
      <c r="G807" s="567"/>
      <c r="H807" s="165" t="s">
        <v>12</v>
      </c>
      <c r="I807" s="583"/>
      <c r="J807" s="583"/>
      <c r="K807" s="93"/>
      <c r="L807" s="93">
        <f t="shared" si="329"/>
        <v>0</v>
      </c>
      <c r="M807" s="93">
        <f t="shared" si="329"/>
        <v>0</v>
      </c>
      <c r="N807" s="93">
        <f t="shared" si="329"/>
        <v>0</v>
      </c>
      <c r="O807" s="93">
        <f t="shared" si="327"/>
        <v>0</v>
      </c>
      <c r="P807" s="93">
        <f t="shared" si="328"/>
        <v>0</v>
      </c>
      <c r="Q807" s="568"/>
      <c r="R807" s="568"/>
      <c r="S807" s="568"/>
      <c r="T807" s="568"/>
      <c r="U807" s="568"/>
      <c r="V807" s="568"/>
      <c r="W807" s="568"/>
      <c r="X807" s="568"/>
      <c r="Y807" s="568"/>
      <c r="Z807" s="568"/>
    </row>
    <row r="808" spans="1:26" ht="19.5" hidden="1">
      <c r="A808" s="563"/>
      <c r="B808" s="571"/>
      <c r="C808" s="723"/>
      <c r="D808" s="857" t="s">
        <v>20</v>
      </c>
      <c r="E808" s="805"/>
      <c r="F808" s="805"/>
      <c r="G808" s="567"/>
      <c r="H808" s="612" t="s">
        <v>12</v>
      </c>
      <c r="I808" s="166"/>
      <c r="J808" s="166"/>
      <c r="K808" s="167"/>
      <c r="L808" s="613">
        <f t="shared" ref="L808:N808" si="330">L809+L810</f>
        <v>0</v>
      </c>
      <c r="M808" s="613">
        <f t="shared" si="330"/>
        <v>0</v>
      </c>
      <c r="N808" s="613">
        <f t="shared" si="330"/>
        <v>0</v>
      </c>
      <c r="O808" s="613">
        <f t="shared" si="327"/>
        <v>0</v>
      </c>
      <c r="P808" s="613">
        <f t="shared" si="328"/>
        <v>0</v>
      </c>
      <c r="Q808" s="568"/>
      <c r="R808" s="568"/>
      <c r="S808" s="568"/>
      <c r="T808" s="568"/>
      <c r="U808" s="568"/>
      <c r="V808" s="568"/>
      <c r="W808" s="568"/>
      <c r="X808" s="568"/>
      <c r="Y808" s="568"/>
      <c r="Z808" s="568"/>
    </row>
    <row r="809" spans="1:26" ht="18.75" hidden="1">
      <c r="A809" s="563"/>
      <c r="B809" s="723"/>
      <c r="C809" s="723"/>
      <c r="D809" s="580"/>
      <c r="E809" s="723" t="s">
        <v>184</v>
      </c>
      <c r="F809" s="723"/>
      <c r="G809" s="567"/>
      <c r="H809" s="165" t="s">
        <v>12</v>
      </c>
      <c r="I809" s="583"/>
      <c r="J809" s="583"/>
      <c r="K809" s="93"/>
      <c r="L809" s="93">
        <v>0</v>
      </c>
      <c r="M809" s="93">
        <v>0</v>
      </c>
      <c r="N809" s="93">
        <v>0</v>
      </c>
      <c r="O809" s="93">
        <f t="shared" si="327"/>
        <v>0</v>
      </c>
      <c r="P809" s="93">
        <f t="shared" si="328"/>
        <v>0</v>
      </c>
      <c r="Q809" s="568"/>
      <c r="R809" s="568"/>
      <c r="S809" s="568"/>
      <c r="T809" s="568"/>
      <c r="U809" s="568"/>
      <c r="V809" s="568"/>
      <c r="W809" s="568"/>
      <c r="X809" s="568"/>
      <c r="Y809" s="568"/>
      <c r="Z809" s="568"/>
    </row>
    <row r="810" spans="1:26" ht="18.75" hidden="1">
      <c r="A810" s="563"/>
      <c r="B810" s="723"/>
      <c r="C810" s="723"/>
      <c r="D810" s="580"/>
      <c r="E810" s="723" t="s">
        <v>185</v>
      </c>
      <c r="F810" s="723"/>
      <c r="G810" s="567"/>
      <c r="H810" s="165" t="s">
        <v>12</v>
      </c>
      <c r="I810" s="583"/>
      <c r="J810" s="583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7"/>
        <v>0</v>
      </c>
      <c r="P810" s="93">
        <f t="shared" si="328"/>
        <v>0</v>
      </c>
      <c r="Q810" s="568"/>
      <c r="R810" s="568"/>
      <c r="S810" s="568"/>
      <c r="T810" s="568"/>
      <c r="U810" s="568"/>
      <c r="V810" s="568"/>
      <c r="W810" s="568"/>
      <c r="X810" s="568"/>
      <c r="Y810" s="568"/>
      <c r="Z810" s="568"/>
    </row>
    <row r="811" spans="1:26" ht="18.75" hidden="1">
      <c r="A811" s="615"/>
      <c r="B811" s="571"/>
      <c r="C811" s="723"/>
      <c r="D811" s="571"/>
      <c r="E811" s="723"/>
      <c r="F811" s="723" t="s">
        <v>186</v>
      </c>
      <c r="G811" s="567"/>
      <c r="H811" s="165" t="s">
        <v>12</v>
      </c>
      <c r="I811" s="583"/>
      <c r="J811" s="583"/>
      <c r="K811" s="93"/>
      <c r="L811" s="93"/>
      <c r="M811" s="93"/>
      <c r="N811" s="93"/>
      <c r="O811" s="93"/>
      <c r="P811" s="93"/>
      <c r="Q811" s="568"/>
      <c r="R811" s="568"/>
      <c r="S811" s="568"/>
      <c r="T811" s="568"/>
      <c r="U811" s="568"/>
      <c r="V811" s="568"/>
      <c r="W811" s="568"/>
      <c r="X811" s="568"/>
      <c r="Y811" s="568"/>
      <c r="Z811" s="568"/>
    </row>
    <row r="812" spans="1:26" ht="18.75" hidden="1">
      <c r="A812" s="615"/>
      <c r="B812" s="571"/>
      <c r="C812" s="723"/>
      <c r="D812" s="571"/>
      <c r="E812" s="723"/>
      <c r="F812" s="723" t="s">
        <v>187</v>
      </c>
      <c r="G812" s="567"/>
      <c r="H812" s="165" t="s">
        <v>12</v>
      </c>
      <c r="I812" s="583"/>
      <c r="J812" s="583"/>
      <c r="K812" s="93"/>
      <c r="L812" s="93"/>
      <c r="M812" s="93"/>
      <c r="N812" s="93"/>
      <c r="O812" s="93"/>
      <c r="P812" s="93"/>
      <c r="Q812" s="568"/>
      <c r="R812" s="568"/>
      <c r="S812" s="568"/>
      <c r="T812" s="568"/>
      <c r="U812" s="568"/>
      <c r="V812" s="568"/>
      <c r="W812" s="568"/>
      <c r="X812" s="568"/>
      <c r="Y812" s="568"/>
      <c r="Z812" s="568"/>
    </row>
    <row r="813" spans="1:26" ht="18.75" hidden="1">
      <c r="A813" s="615"/>
      <c r="B813" s="571"/>
      <c r="C813" s="723"/>
      <c r="D813" s="571"/>
      <c r="E813" s="723"/>
      <c r="F813" s="723" t="s">
        <v>188</v>
      </c>
      <c r="G813" s="567"/>
      <c r="H813" s="165" t="s">
        <v>12</v>
      </c>
      <c r="I813" s="583"/>
      <c r="J813" s="583"/>
      <c r="K813" s="93"/>
      <c r="L813" s="93"/>
      <c r="M813" s="93"/>
      <c r="N813" s="93"/>
      <c r="O813" s="93"/>
      <c r="P813" s="93"/>
      <c r="Q813" s="568"/>
      <c r="R813" s="568"/>
      <c r="S813" s="568"/>
      <c r="T813" s="568"/>
      <c r="U813" s="568"/>
      <c r="V813" s="568"/>
      <c r="W813" s="568"/>
      <c r="X813" s="568"/>
      <c r="Y813" s="568"/>
      <c r="Z813" s="568"/>
    </row>
    <row r="814" spans="1:26" ht="18.75" hidden="1">
      <c r="A814" s="615"/>
      <c r="B814" s="571"/>
      <c r="C814" s="723"/>
      <c r="D814" s="571"/>
      <c r="E814" s="723"/>
      <c r="F814" s="723" t="s">
        <v>189</v>
      </c>
      <c r="G814" s="567"/>
      <c r="H814" s="165" t="s">
        <v>12</v>
      </c>
      <c r="I814" s="583"/>
      <c r="J814" s="583"/>
      <c r="K814" s="93"/>
      <c r="L814" s="93"/>
      <c r="M814" s="93"/>
      <c r="N814" s="93"/>
      <c r="O814" s="93"/>
      <c r="P814" s="93"/>
      <c r="Q814" s="568"/>
      <c r="R814" s="568"/>
      <c r="S814" s="568"/>
      <c r="T814" s="568"/>
      <c r="U814" s="568"/>
      <c r="V814" s="568"/>
      <c r="W814" s="568"/>
      <c r="X814" s="568"/>
      <c r="Y814" s="568"/>
      <c r="Z814" s="568"/>
    </row>
    <row r="815" spans="1:26" ht="19.5" hidden="1">
      <c r="A815" s="563"/>
      <c r="B815" s="571"/>
      <c r="C815" s="723"/>
      <c r="D815" s="857" t="s">
        <v>21</v>
      </c>
      <c r="E815" s="805"/>
      <c r="F815" s="805"/>
      <c r="G815" s="567"/>
      <c r="H815" s="747" t="s">
        <v>12</v>
      </c>
      <c r="I815" s="166"/>
      <c r="J815" s="166"/>
      <c r="K815" s="167"/>
      <c r="L815" s="613">
        <f t="shared" ref="L815:N815" si="331">L816+L817</f>
        <v>0</v>
      </c>
      <c r="M815" s="613">
        <f t="shared" si="331"/>
        <v>0</v>
      </c>
      <c r="N815" s="613">
        <f t="shared" si="331"/>
        <v>0</v>
      </c>
      <c r="O815" s="613">
        <f t="shared" ref="O815:O817" si="332">IF(L815&gt;0,N815*100/L815,0)</f>
        <v>0</v>
      </c>
      <c r="P815" s="613">
        <f t="shared" ref="P815:P817" si="333">IF(M815&gt;0,N815*100/M815,0)</f>
        <v>0</v>
      </c>
      <c r="Q815" s="568"/>
      <c r="R815" s="568"/>
      <c r="S815" s="568"/>
      <c r="T815" s="568"/>
      <c r="U815" s="568"/>
      <c r="V815" s="568"/>
      <c r="W815" s="568"/>
      <c r="X815" s="568"/>
      <c r="Y815" s="568"/>
      <c r="Z815" s="568"/>
    </row>
    <row r="816" spans="1:26" ht="18.75" hidden="1">
      <c r="A816" s="563"/>
      <c r="B816" s="571"/>
      <c r="C816" s="723"/>
      <c r="D816" s="571"/>
      <c r="E816" s="723" t="s">
        <v>18</v>
      </c>
      <c r="F816" s="723"/>
      <c r="G816" s="567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2"/>
        <v>0</v>
      </c>
      <c r="P816" s="93">
        <f t="shared" si="333"/>
        <v>0</v>
      </c>
      <c r="Q816" s="568"/>
      <c r="R816" s="568"/>
      <c r="S816" s="568"/>
      <c r="T816" s="568"/>
      <c r="U816" s="568"/>
      <c r="V816" s="568"/>
      <c r="W816" s="568"/>
      <c r="X816" s="568"/>
      <c r="Y816" s="568"/>
      <c r="Z816" s="568"/>
    </row>
    <row r="817" spans="1:26" ht="18.75" hidden="1">
      <c r="A817" s="563"/>
      <c r="B817" s="571"/>
      <c r="C817" s="723"/>
      <c r="D817" s="571"/>
      <c r="E817" s="723" t="s">
        <v>19</v>
      </c>
      <c r="F817" s="723"/>
      <c r="G817" s="567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2"/>
        <v>0</v>
      </c>
      <c r="P817" s="93">
        <f t="shared" si="333"/>
        <v>0</v>
      </c>
      <c r="Q817" s="568"/>
      <c r="R817" s="568"/>
      <c r="S817" s="568"/>
      <c r="T817" s="568"/>
      <c r="U817" s="568"/>
      <c r="V817" s="568"/>
      <c r="W817" s="568"/>
      <c r="X817" s="568"/>
      <c r="Y817" s="568"/>
      <c r="Z817" s="568"/>
    </row>
    <row r="818" spans="1:26" ht="19.5" hidden="1">
      <c r="A818" s="578"/>
      <c r="B818" s="580"/>
      <c r="C818" s="723" t="s">
        <v>16</v>
      </c>
      <c r="D818" s="858" t="s">
        <v>38</v>
      </c>
      <c r="E818" s="617"/>
      <c r="F818" s="617"/>
      <c r="G818" s="618"/>
      <c r="H818" s="581"/>
      <c r="I818" s="166"/>
      <c r="J818" s="166"/>
      <c r="K818" s="167"/>
      <c r="L818" s="167"/>
      <c r="M818" s="167"/>
      <c r="N818" s="167"/>
      <c r="O818" s="167"/>
      <c r="P818" s="167"/>
      <c r="Q818" s="568"/>
      <c r="R818" s="568"/>
      <c r="S818" s="568"/>
      <c r="T818" s="568"/>
      <c r="U818" s="568"/>
      <c r="V818" s="568"/>
      <c r="W818" s="568"/>
      <c r="X818" s="568"/>
      <c r="Y818" s="568"/>
      <c r="Z818" s="568"/>
    </row>
    <row r="819" spans="1:26" ht="19.5" hidden="1" thickBot="1">
      <c r="A819" s="777"/>
      <c r="B819" s="778"/>
      <c r="C819" s="780"/>
      <c r="D819" s="778"/>
      <c r="E819" s="780" t="s">
        <v>323</v>
      </c>
      <c r="F819" s="780"/>
      <c r="G819" s="781"/>
      <c r="H819" s="782" t="s">
        <v>46</v>
      </c>
      <c r="I819" s="783"/>
      <c r="J819" s="783"/>
      <c r="K819" s="784"/>
      <c r="L819" s="784"/>
      <c r="M819" s="784"/>
      <c r="N819" s="784"/>
      <c r="O819" s="784"/>
      <c r="P819" s="784"/>
      <c r="Q819" s="568"/>
      <c r="R819" s="568"/>
      <c r="S819" s="568"/>
      <c r="T819" s="568"/>
      <c r="U819" s="568"/>
      <c r="V819" s="568"/>
      <c r="W819" s="568"/>
      <c r="X819" s="568"/>
      <c r="Y819" s="568"/>
      <c r="Z819" s="568"/>
    </row>
    <row r="820" spans="1:26" ht="19.5">
      <c r="A820" s="785" t="s">
        <v>332</v>
      </c>
      <c r="B820" s="786"/>
      <c r="C820" s="786"/>
      <c r="D820" s="787"/>
      <c r="E820" s="786"/>
      <c r="F820" s="786"/>
      <c r="G820" s="788"/>
      <c r="H820" s="788"/>
      <c r="I820" s="214"/>
      <c r="J820" s="214"/>
      <c r="K820" s="789"/>
      <c r="L820" s="789"/>
      <c r="M820" s="789"/>
      <c r="N820" s="789"/>
      <c r="O820" s="789"/>
      <c r="P820" s="789"/>
      <c r="Q820" s="541"/>
      <c r="R820" s="541"/>
      <c r="S820" s="541"/>
      <c r="T820" s="541"/>
      <c r="U820" s="541"/>
      <c r="V820" s="541"/>
      <c r="W820" s="541"/>
      <c r="X820" s="541"/>
      <c r="Y820" s="541"/>
      <c r="Z820" s="541"/>
    </row>
    <row r="821" spans="1:26" ht="18.75">
      <c r="A821" s="708"/>
      <c r="B821" s="727" t="s">
        <v>325</v>
      </c>
      <c r="C821" s="727"/>
      <c r="D821" s="538"/>
      <c r="E821" s="727"/>
      <c r="F821" s="727"/>
      <c r="G821" s="189"/>
      <c r="H821" s="589" t="s">
        <v>12</v>
      </c>
      <c r="I821" s="269">
        <f ca="1">IFERROR(__xludf.DUMMYFUNCTION("IMPORTRANGE(""https://docs.google.com/spreadsheets/d/19vJNZY_5yjcGF2XGBMNZRCAIB0Kwfpjp8YEOfu-bneM/edit?usp=sharing"",""งานกองทุน!D29"")"),21303672.5)</f>
        <v>21303672.5</v>
      </c>
      <c r="J821" s="269">
        <f ca="1">IFERROR(__xludf.DUMMYFUNCTION("IMPORTRANGE(""https://docs.google.com/spreadsheets/d/19vJNZY_5yjcGF2XGBMNZRCAIB0Kwfpjp8YEOfu-bneM/edit?usp=sharing"",""งานกองทุน!F29"")"),107973.7)</f>
        <v>107973.7</v>
      </c>
      <c r="K821" s="465">
        <f t="shared" ref="K821:K828" ca="1" si="334">IF(I821&gt;0,J821*100/I821,0)</f>
        <v>0.50683139256858178</v>
      </c>
      <c r="L821" s="465"/>
      <c r="M821" s="465"/>
      <c r="N821" s="465"/>
      <c r="O821" s="465"/>
      <c r="P821" s="465"/>
      <c r="Q821" s="541"/>
      <c r="R821" s="541"/>
      <c r="S821" s="541"/>
      <c r="T821" s="541"/>
      <c r="U821" s="541"/>
      <c r="V821" s="541"/>
      <c r="W821" s="541"/>
      <c r="X821" s="541"/>
      <c r="Y821" s="541"/>
      <c r="Z821" s="541"/>
    </row>
    <row r="822" spans="1:26" ht="18.75">
      <c r="A822" s="708"/>
      <c r="B822" s="727"/>
      <c r="C822" s="727"/>
      <c r="D822" s="538"/>
      <c r="E822" s="727"/>
      <c r="F822" s="727"/>
      <c r="G822" s="189"/>
      <c r="H822" s="589" t="s">
        <v>35</v>
      </c>
      <c r="I822" s="269">
        <f ca="1">IFERROR(__xludf.DUMMYFUNCTION("IMPORTRANGE(""https://docs.google.com/spreadsheets/d/19vJNZY_5yjcGF2XGBMNZRCAIB0Kwfpjp8YEOfu-bneM/edit?usp=sharing"",""งานกองทุน!C29"")"),831)</f>
        <v>831</v>
      </c>
      <c r="J822" s="269">
        <f ca="1">IFERROR(__xludf.DUMMYFUNCTION("IMPORTRANGE(""https://docs.google.com/spreadsheets/d/19vJNZY_5yjcGF2XGBMNZRCAIB0Kwfpjp8YEOfu-bneM/edit?usp=sharing"",""งานกองทุน!E29"")"),4)</f>
        <v>4</v>
      </c>
      <c r="K822" s="465">
        <f t="shared" ca="1" si="334"/>
        <v>0.48134777376654631</v>
      </c>
      <c r="L822" s="465"/>
      <c r="M822" s="465"/>
      <c r="N822" s="465"/>
      <c r="O822" s="465"/>
      <c r="P822" s="465"/>
      <c r="Q822" s="541"/>
      <c r="R822" s="541"/>
      <c r="S822" s="541"/>
      <c r="T822" s="541"/>
      <c r="U822" s="541"/>
      <c r="V822" s="541"/>
      <c r="W822" s="541"/>
      <c r="X822" s="541"/>
      <c r="Y822" s="541"/>
      <c r="Z822" s="541"/>
    </row>
    <row r="823" spans="1:26" ht="18.75">
      <c r="A823" s="708"/>
      <c r="B823" s="727" t="s">
        <v>326</v>
      </c>
      <c r="C823" s="727"/>
      <c r="D823" s="538"/>
      <c r="E823" s="727"/>
      <c r="F823" s="727"/>
      <c r="G823" s="189"/>
      <c r="H823" s="589" t="s">
        <v>12</v>
      </c>
      <c r="I823" s="269">
        <f ca="1">IFERROR(__xludf.DUMMYFUNCTION("IMPORTRANGE(""https://docs.google.com/spreadsheets/d/19vJNZY_5yjcGF2XGBMNZRCAIB0Kwfpjp8YEOfu-bneM/edit?usp=sharing"",""งานกองทุน!I29"")"),18967351.47)</f>
        <v>18967351.469999999</v>
      </c>
      <c r="J823" s="269">
        <f ca="1">IFERROR(__xludf.DUMMYFUNCTION("IMPORTRANGE(""https://docs.google.com/spreadsheets/d/19vJNZY_5yjcGF2XGBMNZRCAIB0Kwfpjp8YEOfu-bneM/edit?usp=sharing"",""งานกองทุน!K29"")"),68747.97)</f>
        <v>68747.97</v>
      </c>
      <c r="K823" s="465">
        <f t="shared" ca="1" si="334"/>
        <v>0.36245424201020515</v>
      </c>
      <c r="L823" s="465"/>
      <c r="M823" s="465"/>
      <c r="N823" s="465"/>
      <c r="O823" s="465"/>
      <c r="P823" s="465"/>
      <c r="Q823" s="541"/>
      <c r="R823" s="541"/>
      <c r="S823" s="541"/>
      <c r="T823" s="541"/>
      <c r="U823" s="541"/>
      <c r="V823" s="541"/>
      <c r="W823" s="541"/>
      <c r="X823" s="541"/>
      <c r="Y823" s="541"/>
      <c r="Z823" s="541"/>
    </row>
    <row r="824" spans="1:26" ht="18.75">
      <c r="A824" s="708"/>
      <c r="B824" s="727"/>
      <c r="C824" s="727"/>
      <c r="D824" s="538"/>
      <c r="E824" s="727"/>
      <c r="F824" s="727"/>
      <c r="G824" s="189"/>
      <c r="H824" s="589" t="s">
        <v>35</v>
      </c>
      <c r="I824" s="269">
        <f ca="1">IFERROR(__xludf.DUMMYFUNCTION("IMPORTRANGE(""https://docs.google.com/spreadsheets/d/19vJNZY_5yjcGF2XGBMNZRCAIB0Kwfpjp8YEOfu-bneM/edit?usp=sharing"",""งานกองทุน!H29"")"),678)</f>
        <v>678</v>
      </c>
      <c r="J824" s="269">
        <f ca="1">IFERROR(__xludf.DUMMYFUNCTION("IMPORTRANGE(""https://docs.google.com/spreadsheets/d/19vJNZY_5yjcGF2XGBMNZRCAIB0Kwfpjp8YEOfu-bneM/edit?usp=sharing"",""งานกองทุน!J29"")"),24)</f>
        <v>24</v>
      </c>
      <c r="K824" s="465">
        <f t="shared" ca="1" si="334"/>
        <v>3.5398230088495577</v>
      </c>
      <c r="L824" s="465"/>
      <c r="M824" s="465"/>
      <c r="N824" s="465"/>
      <c r="O824" s="465"/>
      <c r="P824" s="465"/>
      <c r="Q824" s="541"/>
      <c r="R824" s="541"/>
      <c r="S824" s="541"/>
      <c r="T824" s="541"/>
      <c r="U824" s="541"/>
      <c r="V824" s="541"/>
      <c r="W824" s="541"/>
      <c r="X824" s="541"/>
      <c r="Y824" s="541"/>
      <c r="Z824" s="541"/>
    </row>
    <row r="825" spans="1:26" ht="18.75">
      <c r="A825" s="708"/>
      <c r="B825" s="727" t="s">
        <v>327</v>
      </c>
      <c r="C825" s="727"/>
      <c r="D825" s="538"/>
      <c r="E825" s="727"/>
      <c r="F825" s="727"/>
      <c r="G825" s="189"/>
      <c r="H825" s="589" t="s">
        <v>12</v>
      </c>
      <c r="I825" s="269">
        <f ca="1">IFERROR(__xludf.DUMMYFUNCTION("IMPORTRANGE(""https://docs.google.com/spreadsheets/d/19vJNZY_5yjcGF2XGBMNZRCAIB0Kwfpjp8YEOfu-bneM/edit?usp=sharing"",""งานกองทุน!N29"")"),2781888.34)</f>
        <v>2781888.34</v>
      </c>
      <c r="J825" s="269">
        <f ca="1">IFERROR(__xludf.DUMMYFUNCTION("IMPORTRANGE(""https://docs.google.com/spreadsheets/d/19vJNZY_5yjcGF2XGBMNZRCAIB0Kwfpjp8YEOfu-bneM/edit?usp=sharing"",""งานกองทุน!P29"")"),9291.34)</f>
        <v>9291.34</v>
      </c>
      <c r="K825" s="465">
        <f t="shared" ca="1" si="334"/>
        <v>0.33399399488478393</v>
      </c>
      <c r="L825" s="465"/>
      <c r="M825" s="465"/>
      <c r="N825" s="465"/>
      <c r="O825" s="465"/>
      <c r="P825" s="465"/>
      <c r="Q825" s="541"/>
      <c r="R825" s="541"/>
      <c r="S825" s="541"/>
      <c r="T825" s="541"/>
      <c r="U825" s="541"/>
      <c r="V825" s="541"/>
      <c r="W825" s="541"/>
      <c r="X825" s="541"/>
      <c r="Y825" s="541"/>
      <c r="Z825" s="541"/>
    </row>
    <row r="826" spans="1:26" ht="18.75">
      <c r="A826" s="708"/>
      <c r="B826" s="727"/>
      <c r="C826" s="727"/>
      <c r="D826" s="538"/>
      <c r="E826" s="727"/>
      <c r="F826" s="727"/>
      <c r="G826" s="189"/>
      <c r="H826" s="589" t="s">
        <v>35</v>
      </c>
      <c r="I826" s="269">
        <f ca="1">IFERROR(__xludf.DUMMYFUNCTION("IMPORTRANGE(""https://docs.google.com/spreadsheets/d/19vJNZY_5yjcGF2XGBMNZRCAIB0Kwfpjp8YEOfu-bneM/edit?usp=sharing"",""งานกองทุน!M29"")"),76)</f>
        <v>76</v>
      </c>
      <c r="J826" s="269">
        <f ca="1">IFERROR(__xludf.DUMMYFUNCTION("IMPORTRANGE(""https://docs.google.com/spreadsheets/d/19vJNZY_5yjcGF2XGBMNZRCAIB0Kwfpjp8YEOfu-bneM/edit?usp=sharing"",""งานกองทุน!O29"")"),2)</f>
        <v>2</v>
      </c>
      <c r="K826" s="465">
        <f t="shared" ca="1" si="334"/>
        <v>2.6315789473684212</v>
      </c>
      <c r="L826" s="465"/>
      <c r="M826" s="465"/>
      <c r="N826" s="465"/>
      <c r="O826" s="465"/>
      <c r="P826" s="465"/>
      <c r="Q826" s="541"/>
      <c r="R826" s="541"/>
      <c r="S826" s="541"/>
      <c r="T826" s="541"/>
      <c r="U826" s="541"/>
      <c r="V826" s="541"/>
      <c r="W826" s="541"/>
      <c r="X826" s="541"/>
      <c r="Y826" s="541"/>
      <c r="Z826" s="541"/>
    </row>
    <row r="827" spans="1:26" ht="18.75">
      <c r="A827" s="708"/>
      <c r="B827" s="727" t="s">
        <v>328</v>
      </c>
      <c r="C827" s="727"/>
      <c r="D827" s="538"/>
      <c r="E827" s="727"/>
      <c r="F827" s="727"/>
      <c r="G827" s="189"/>
      <c r="H827" s="589" t="s">
        <v>12</v>
      </c>
      <c r="I827" s="269">
        <f ca="1">IFERROR(__xludf.DUMMYFUNCTION("IMPORTRANGE(""https://docs.google.com/spreadsheets/d/19vJNZY_5yjcGF2XGBMNZRCAIB0Kwfpjp8YEOfu-bneM/edit?usp=sharing"",""งานกองทุน!S29"")"),14130000)</f>
        <v>14130000</v>
      </c>
      <c r="J827" s="269">
        <f ca="1">IFERROR(__xludf.DUMMYFUNCTION("IMPORTRANGE(""https://docs.google.com/spreadsheets/d/19vJNZY_5yjcGF2XGBMNZRCAIB0Kwfpjp8YEOfu-bneM/edit?usp=sharing"",""งานกองทุน!U29"")"),0)</f>
        <v>0</v>
      </c>
      <c r="K827" s="465">
        <f t="shared" ca="1" si="334"/>
        <v>0</v>
      </c>
      <c r="L827" s="465"/>
      <c r="M827" s="465"/>
      <c r="N827" s="465"/>
      <c r="O827" s="465"/>
      <c r="P827" s="465"/>
      <c r="Q827" s="541"/>
      <c r="R827" s="541"/>
      <c r="S827" s="541"/>
      <c r="T827" s="541"/>
      <c r="U827" s="541"/>
      <c r="V827" s="541"/>
      <c r="W827" s="541"/>
      <c r="X827" s="541"/>
      <c r="Y827" s="541"/>
      <c r="Z827" s="541"/>
    </row>
    <row r="828" spans="1:26" ht="18.75">
      <c r="A828" s="711"/>
      <c r="B828" s="713"/>
      <c r="C828" s="713"/>
      <c r="D828" s="712"/>
      <c r="E828" s="713"/>
      <c r="F828" s="713"/>
      <c r="G828" s="790"/>
      <c r="H828" s="791" t="s">
        <v>35</v>
      </c>
      <c r="I828" s="468">
        <f ca="1">IFERROR(__xludf.DUMMYFUNCTION("IMPORTRANGE(""https://docs.google.com/spreadsheets/d/19vJNZY_5yjcGF2XGBMNZRCAIB0Kwfpjp8YEOfu-bneM/edit?usp=sharing"",""งานกองทุน!R29"")"),565)</f>
        <v>565</v>
      </c>
      <c r="J828" s="468">
        <f ca="1">IFERROR(__xludf.DUMMYFUNCTION("IMPORTRANGE(""https://docs.google.com/spreadsheets/d/19vJNZY_5yjcGF2XGBMNZRCAIB0Kwfpjp8YEOfu-bneM/edit?usp=sharing"",""งานกองทุน!T29"")"),16)</f>
        <v>16</v>
      </c>
      <c r="K828" s="469">
        <f t="shared" ca="1" si="334"/>
        <v>2.831858407079646</v>
      </c>
      <c r="L828" s="469"/>
      <c r="M828" s="469"/>
      <c r="N828" s="469"/>
      <c r="O828" s="469"/>
      <c r="P828" s="469"/>
      <c r="Q828" s="541"/>
      <c r="R828" s="541"/>
      <c r="S828" s="541"/>
      <c r="T828" s="541"/>
      <c r="U828" s="541"/>
      <c r="V828" s="541"/>
      <c r="W828" s="541"/>
      <c r="X828" s="541"/>
      <c r="Y828" s="541"/>
      <c r="Z828" s="541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1" fitToHeight="0" pageOrder="overThenDown" orientation="portrait" cellComments="atEnd" r:id="rId1"/>
  <headerFooter>
    <oddFooter>&amp;Cหน้า &amp;P/&amp;N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BD3BA5-CA63-40D3-AED4-C92236AA686C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activeCell="S28" sqref="S28"/>
      <selection pane="bottomLeft" activeCell="A2" sqref="A2:P2"/>
    </sheetView>
  </sheetViews>
  <sheetFormatPr defaultColWidth="12.5703125" defaultRowHeight="15.75" customHeight="1"/>
  <cols>
    <col min="1" max="1" width="5.5703125" customWidth="1"/>
    <col min="2" max="3" width="3.28515625" customWidth="1"/>
    <col min="4" max="6" width="5.85546875" customWidth="1"/>
    <col min="7" max="7" width="56.42578125" customWidth="1"/>
    <col min="8" max="8" width="9.42578125" customWidth="1"/>
    <col min="9" max="9" width="18.7109375" bestFit="1" customWidth="1"/>
    <col min="10" max="10" width="12.5703125" bestFit="1" customWidth="1"/>
    <col min="11" max="11" width="12.5703125" customWidth="1"/>
    <col min="12" max="14" width="21.28515625" bestFit="1" customWidth="1"/>
    <col min="15" max="15" width="20.140625" bestFit="1" customWidth="1"/>
    <col min="16" max="16" width="22" bestFit="1" customWidth="1"/>
  </cols>
  <sheetData>
    <row r="1" spans="1:26" ht="19.5">
      <c r="A1" s="792" t="s">
        <v>0</v>
      </c>
      <c r="B1" s="793"/>
      <c r="C1" s="793"/>
      <c r="D1" s="793"/>
      <c r="E1" s="793"/>
      <c r="F1" s="793"/>
      <c r="G1" s="793"/>
      <c r="H1" s="793"/>
      <c r="I1" s="793"/>
      <c r="J1" s="793"/>
      <c r="K1" s="793"/>
      <c r="L1" s="793"/>
      <c r="M1" s="793"/>
      <c r="N1" s="793"/>
      <c r="O1" s="793"/>
      <c r="P1" s="793"/>
    </row>
    <row r="2" spans="1:26" ht="19.5">
      <c r="A2" s="792" t="s">
        <v>354</v>
      </c>
      <c r="B2" s="793"/>
      <c r="C2" s="793"/>
      <c r="D2" s="793"/>
      <c r="E2" s="793"/>
      <c r="F2" s="793"/>
      <c r="G2" s="793"/>
      <c r="H2" s="793"/>
      <c r="I2" s="793"/>
      <c r="J2" s="793"/>
      <c r="K2" s="793"/>
      <c r="L2" s="793"/>
      <c r="M2" s="793"/>
      <c r="N2" s="793"/>
      <c r="O2" s="793"/>
      <c r="P2" s="793"/>
    </row>
    <row r="3" spans="1:26" ht="19.5">
      <c r="A3" s="792" t="s">
        <v>355</v>
      </c>
      <c r="B3" s="793"/>
      <c r="C3" s="793"/>
      <c r="D3" s="793"/>
      <c r="E3" s="793"/>
      <c r="F3" s="793"/>
      <c r="G3" s="793"/>
      <c r="H3" s="793"/>
      <c r="I3" s="793"/>
      <c r="J3" s="793"/>
      <c r="K3" s="793"/>
      <c r="L3" s="793"/>
      <c r="M3" s="793"/>
      <c r="N3" s="793"/>
      <c r="O3" s="793"/>
      <c r="P3" s="793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00" t="s">
        <v>2</v>
      </c>
      <c r="B5" s="793"/>
      <c r="C5" s="793"/>
      <c r="D5" s="793"/>
      <c r="E5" s="793"/>
      <c r="F5" s="793"/>
      <c r="G5" s="801"/>
      <c r="H5" s="794" t="s">
        <v>3</v>
      </c>
      <c r="I5" s="796" t="s">
        <v>4</v>
      </c>
      <c r="J5" s="797"/>
      <c r="K5" s="795"/>
      <c r="L5" s="798" t="s">
        <v>5</v>
      </c>
      <c r="M5" s="795"/>
      <c r="N5" s="799" t="s">
        <v>6</v>
      </c>
      <c r="O5" s="797"/>
      <c r="P5" s="795"/>
    </row>
    <row r="6" spans="1:26" ht="19.5">
      <c r="A6" s="802"/>
      <c r="B6" s="797"/>
      <c r="C6" s="797"/>
      <c r="D6" s="797"/>
      <c r="E6" s="797"/>
      <c r="F6" s="797"/>
      <c r="G6" s="795"/>
      <c r="H6" s="795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03" t="s">
        <v>15</v>
      </c>
      <c r="B7" s="797"/>
      <c r="C7" s="797"/>
      <c r="D7" s="797"/>
      <c r="E7" s="797"/>
      <c r="F7" s="797"/>
      <c r="G7" s="795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7417803</v>
      </c>
      <c r="M8" s="22">
        <f t="shared" ca="1" si="0"/>
        <v>2602592</v>
      </c>
      <c r="N8" s="22">
        <f t="shared" ca="1" si="0"/>
        <v>1276890.75</v>
      </c>
      <c r="O8" s="22">
        <f t="shared" ref="O8:O16" ca="1" si="1">IF(L8&gt;0,N8*100/L8,0)</f>
        <v>17.213867097845547</v>
      </c>
      <c r="P8" s="22">
        <f t="shared" ref="P8:P16" ca="1" si="2">IF(M8&gt;0,N8*100/M8,0)</f>
        <v>49.062271381760951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7417803</v>
      </c>
      <c r="M10" s="30">
        <f t="shared" ca="1" si="3"/>
        <v>2602592</v>
      </c>
      <c r="N10" s="30">
        <f t="shared" ca="1" si="3"/>
        <v>1276890.75</v>
      </c>
      <c r="O10" s="30">
        <f t="shared" ca="1" si="1"/>
        <v>17.213867097845547</v>
      </c>
      <c r="P10" s="30">
        <f t="shared" ca="1" si="2"/>
        <v>49.062271381760951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589" t="s">
        <v>12</v>
      </c>
      <c r="I11" s="269"/>
      <c r="J11" s="269"/>
      <c r="K11" s="465"/>
      <c r="L11" s="465">
        <f t="shared" ref="L11:N11" ca="1" si="4">L12+L13</f>
        <v>6913503</v>
      </c>
      <c r="M11" s="465">
        <f t="shared" ca="1" si="4"/>
        <v>2098292</v>
      </c>
      <c r="N11" s="465">
        <f t="shared" ca="1" si="4"/>
        <v>772590.75</v>
      </c>
      <c r="O11" s="465">
        <f t="shared" ca="1" si="1"/>
        <v>11.17509820998125</v>
      </c>
      <c r="P11" s="465">
        <f t="shared" ca="1" si="2"/>
        <v>36.819982633494291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2" t="s">
        <v>18</v>
      </c>
      <c r="F12" s="40"/>
      <c r="G12" s="42"/>
      <c r="H12" s="43" t="s">
        <v>12</v>
      </c>
      <c r="I12" s="583"/>
      <c r="J12" s="583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2" t="s">
        <v>19</v>
      </c>
      <c r="F13" s="40"/>
      <c r="G13" s="42"/>
      <c r="H13" s="43" t="s">
        <v>12</v>
      </c>
      <c r="I13" s="583"/>
      <c r="J13" s="583"/>
      <c r="K13" s="93"/>
      <c r="L13" s="93">
        <f t="shared" ca="1" si="5"/>
        <v>6913503</v>
      </c>
      <c r="M13" s="93">
        <f t="shared" ca="1" si="5"/>
        <v>2098292</v>
      </c>
      <c r="N13" s="93">
        <f t="shared" ca="1" si="5"/>
        <v>772590.75</v>
      </c>
      <c r="O13" s="93">
        <f t="shared" ca="1" si="1"/>
        <v>11.17509820998125</v>
      </c>
      <c r="P13" s="93">
        <f t="shared" ca="1" si="2"/>
        <v>36.819982633494291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589" t="s">
        <v>12</v>
      </c>
      <c r="I14" s="269"/>
      <c r="J14" s="269"/>
      <c r="K14" s="465"/>
      <c r="L14" s="465">
        <f t="shared" ref="L14:N14" ca="1" si="6">L15+L16</f>
        <v>504300</v>
      </c>
      <c r="M14" s="465">
        <f t="shared" ca="1" si="6"/>
        <v>504300</v>
      </c>
      <c r="N14" s="465">
        <f t="shared" ca="1" si="6"/>
        <v>504300</v>
      </c>
      <c r="O14" s="465">
        <f t="shared" ca="1" si="1"/>
        <v>100</v>
      </c>
      <c r="P14" s="465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2" t="s">
        <v>18</v>
      </c>
      <c r="F15" s="40"/>
      <c r="G15" s="42"/>
      <c r="H15" s="43" t="s">
        <v>12</v>
      </c>
      <c r="I15" s="583"/>
      <c r="J15" s="583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504300</v>
      </c>
      <c r="M16" s="52">
        <f t="shared" ca="1" si="7"/>
        <v>504300</v>
      </c>
      <c r="N16" s="52">
        <f t="shared" ca="1" si="7"/>
        <v>504300</v>
      </c>
      <c r="O16" s="52">
        <f t="shared" ca="1" si="1"/>
        <v>100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03" t="s">
        <v>22</v>
      </c>
      <c r="B17" s="797"/>
      <c r="C17" s="797"/>
      <c r="D17" s="797"/>
      <c r="E17" s="797"/>
      <c r="F17" s="797"/>
      <c r="G17" s="795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4499887</v>
      </c>
      <c r="M18" s="22">
        <f t="shared" ca="1" si="8"/>
        <v>2602592</v>
      </c>
      <c r="N18" s="22">
        <f t="shared" ca="1" si="8"/>
        <v>1276890.75</v>
      </c>
      <c r="O18" s="22">
        <f t="shared" ref="O18:O26" ca="1" si="9">IF(L18&gt;0,N18*100/L18,0)</f>
        <v>28.3760625544597</v>
      </c>
      <c r="P18" s="22">
        <f t="shared" ref="P18:P26" ca="1" si="10">IF(M18&gt;0,N18*100/M18,0)</f>
        <v>49.062271381760951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4499887</v>
      </c>
      <c r="M20" s="30">
        <f t="shared" ca="1" si="11"/>
        <v>2602592</v>
      </c>
      <c r="N20" s="30">
        <f t="shared" ca="1" si="11"/>
        <v>1276890.75</v>
      </c>
      <c r="O20" s="30">
        <f t="shared" ca="1" si="9"/>
        <v>28.3760625544597</v>
      </c>
      <c r="P20" s="30">
        <f t="shared" ca="1" si="10"/>
        <v>49.062271381760951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589" t="s">
        <v>12</v>
      </c>
      <c r="I21" s="269"/>
      <c r="J21" s="269"/>
      <c r="K21" s="465"/>
      <c r="L21" s="465">
        <f t="shared" ref="L21:N21" ca="1" si="12">L22+L23</f>
        <v>3995587</v>
      </c>
      <c r="M21" s="465">
        <f t="shared" ca="1" si="12"/>
        <v>2098292</v>
      </c>
      <c r="N21" s="465">
        <f t="shared" ca="1" si="12"/>
        <v>772590.75</v>
      </c>
      <c r="O21" s="465">
        <f t="shared" ca="1" si="9"/>
        <v>19.336101303763378</v>
      </c>
      <c r="P21" s="465">
        <f t="shared" ca="1" si="10"/>
        <v>36.819982633494291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2" t="s">
        <v>18</v>
      </c>
      <c r="F22" s="40"/>
      <c r="G22" s="42"/>
      <c r="H22" s="43" t="s">
        <v>12</v>
      </c>
      <c r="I22" s="583"/>
      <c r="J22" s="583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2" t="s">
        <v>19</v>
      </c>
      <c r="F23" s="40"/>
      <c r="G23" s="42"/>
      <c r="H23" s="43" t="s">
        <v>12</v>
      </c>
      <c r="I23" s="583"/>
      <c r="J23" s="583"/>
      <c r="K23" s="93"/>
      <c r="L23" s="93">
        <f t="shared" ca="1" si="13"/>
        <v>3995587</v>
      </c>
      <c r="M23" s="93">
        <f t="shared" ca="1" si="13"/>
        <v>2098292</v>
      </c>
      <c r="N23" s="93">
        <f t="shared" ca="1" si="13"/>
        <v>772590.75</v>
      </c>
      <c r="O23" s="93">
        <f t="shared" ca="1" si="9"/>
        <v>19.336101303763378</v>
      </c>
      <c r="P23" s="93">
        <f t="shared" ca="1" si="10"/>
        <v>36.819982633494291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589" t="s">
        <v>12</v>
      </c>
      <c r="I24" s="269"/>
      <c r="J24" s="269"/>
      <c r="K24" s="465"/>
      <c r="L24" s="465">
        <f t="shared" ref="L24:N24" ca="1" si="14">L25+L26</f>
        <v>504300</v>
      </c>
      <c r="M24" s="465">
        <f t="shared" ca="1" si="14"/>
        <v>504300</v>
      </c>
      <c r="N24" s="465">
        <f t="shared" ca="1" si="14"/>
        <v>504300</v>
      </c>
      <c r="O24" s="465">
        <f t="shared" ca="1" si="9"/>
        <v>100</v>
      </c>
      <c r="P24" s="465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2" t="s">
        <v>18</v>
      </c>
      <c r="F25" s="40"/>
      <c r="G25" s="42"/>
      <c r="H25" s="43" t="s">
        <v>12</v>
      </c>
      <c r="I25" s="583"/>
      <c r="J25" s="583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504300</v>
      </c>
      <c r="M26" s="52">
        <f t="shared" ca="1" si="15"/>
        <v>504300</v>
      </c>
      <c r="N26" s="52">
        <f t="shared" ca="1" si="15"/>
        <v>504300</v>
      </c>
      <c r="O26" s="52">
        <f t="shared" ca="1" si="9"/>
        <v>100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03" t="s">
        <v>23</v>
      </c>
      <c r="B27" s="797"/>
      <c r="C27" s="797"/>
      <c r="D27" s="797"/>
      <c r="E27" s="797"/>
      <c r="F27" s="797"/>
      <c r="G27" s="795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2917916</v>
      </c>
      <c r="M28" s="22">
        <f t="shared" si="16"/>
        <v>0</v>
      </c>
      <c r="N28" s="22">
        <f t="shared" si="16"/>
        <v>0</v>
      </c>
      <c r="O28" s="22">
        <f t="shared" ref="O28:O37" ca="1" si="17">IF(L28&gt;0,N28*100/L28,0)</f>
        <v>0</v>
      </c>
      <c r="P28" s="22">
        <f t="shared" ref="P28:P37" si="18">IF(M28&gt;0,N28*100/M28,0)</f>
        <v>0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2917916</v>
      </c>
      <c r="M30" s="30">
        <f t="shared" si="19"/>
        <v>0</v>
      </c>
      <c r="N30" s="30">
        <f t="shared" si="19"/>
        <v>0</v>
      </c>
      <c r="O30" s="30">
        <f t="shared" ca="1" si="17"/>
        <v>0</v>
      </c>
      <c r="P30" s="30">
        <f t="shared" si="18"/>
        <v>0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589" t="s">
        <v>12</v>
      </c>
      <c r="I31" s="269"/>
      <c r="J31" s="269"/>
      <c r="K31" s="465"/>
      <c r="L31" s="465">
        <f t="shared" ref="L31:N31" ca="1" si="20">L32+L33</f>
        <v>2917916</v>
      </c>
      <c r="M31" s="465">
        <f t="shared" si="20"/>
        <v>0</v>
      </c>
      <c r="N31" s="465">
        <f t="shared" si="20"/>
        <v>0</v>
      </c>
      <c r="O31" s="465">
        <f t="shared" ca="1" si="17"/>
        <v>0</v>
      </c>
      <c r="P31" s="465">
        <f t="shared" si="18"/>
        <v>0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2" t="s">
        <v>18</v>
      </c>
      <c r="F32" s="40"/>
      <c r="G32" s="42"/>
      <c r="H32" s="43" t="s">
        <v>12</v>
      </c>
      <c r="I32" s="583"/>
      <c r="J32" s="583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2" t="s">
        <v>19</v>
      </c>
      <c r="F33" s="40"/>
      <c r="G33" s="42"/>
      <c r="H33" s="43" t="s">
        <v>12</v>
      </c>
      <c r="I33" s="583"/>
      <c r="J33" s="583"/>
      <c r="K33" s="93"/>
      <c r="L33" s="93">
        <f t="shared" ca="1" si="21"/>
        <v>2917916</v>
      </c>
      <c r="M33" s="93">
        <f t="shared" si="21"/>
        <v>0</v>
      </c>
      <c r="N33" s="93">
        <f t="shared" si="21"/>
        <v>0</v>
      </c>
      <c r="O33" s="93">
        <f t="shared" ca="1" si="17"/>
        <v>0</v>
      </c>
      <c r="P33" s="93">
        <f t="shared" si="18"/>
        <v>0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589" t="s">
        <v>12</v>
      </c>
      <c r="I34" s="269"/>
      <c r="J34" s="269"/>
      <c r="K34" s="465"/>
      <c r="L34" s="465">
        <f t="shared" ref="L34:N34" ca="1" si="22">L35+L36</f>
        <v>0</v>
      </c>
      <c r="M34" s="465">
        <f t="shared" si="22"/>
        <v>0</v>
      </c>
      <c r="N34" s="465">
        <f t="shared" si="22"/>
        <v>0</v>
      </c>
      <c r="O34" s="465">
        <f t="shared" ca="1" si="17"/>
        <v>0</v>
      </c>
      <c r="P34" s="465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2" t="s">
        <v>18</v>
      </c>
      <c r="F35" s="40"/>
      <c r="G35" s="42"/>
      <c r="H35" s="43" t="s">
        <v>12</v>
      </c>
      <c r="I35" s="583"/>
      <c r="J35" s="583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53" t="s">
        <v>24</v>
      </c>
      <c r="B37" s="54"/>
      <c r="C37" s="54"/>
      <c r="D37" s="54"/>
      <c r="E37" s="54"/>
      <c r="F37" s="54"/>
      <c r="G37" s="55"/>
      <c r="H37" s="56"/>
      <c r="I37" s="392"/>
      <c r="J37" s="392"/>
      <c r="K37" s="58"/>
      <c r="L37" s="59">
        <f t="shared" ref="L37:N37" ca="1" si="24">L41+L53+L66+L88+L119+L132+L149+L165+L181+L261+L277+L298+L315+L328+L345+L389+L402</f>
        <v>4499887</v>
      </c>
      <c r="M37" s="59">
        <f t="shared" ca="1" si="24"/>
        <v>2602592</v>
      </c>
      <c r="N37" s="59">
        <f t="shared" ca="1" si="24"/>
        <v>1276890.75</v>
      </c>
      <c r="O37" s="59">
        <f t="shared" ca="1" si="17"/>
        <v>28.3760625544597</v>
      </c>
      <c r="P37" s="59">
        <f t="shared" ca="1" si="18"/>
        <v>49.062271381760951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04" t="s">
        <v>27</v>
      </c>
      <c r="C40" s="805"/>
      <c r="D40" s="805"/>
      <c r="E40" s="805"/>
      <c r="F40" s="805"/>
      <c r="G40" s="806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15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794042</v>
      </c>
      <c r="M41" s="85">
        <f t="shared" ca="1" si="25"/>
        <v>400342</v>
      </c>
      <c r="N41" s="85">
        <f t="shared" ca="1" si="25"/>
        <v>227642</v>
      </c>
      <c r="O41" s="85">
        <f t="shared" ref="O41:O49" ca="1" si="26">IF(L41&gt;0,N41*100/L41,0)</f>
        <v>28.668760594527747</v>
      </c>
      <c r="P41" s="85">
        <f t="shared" ref="P41:P49" ca="1" si="27">IF(M41&gt;0,N41*100/M41,0)</f>
        <v>56.861883089958084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794042</v>
      </c>
      <c r="M43" s="92">
        <f t="shared" ca="1" si="28"/>
        <v>400342</v>
      </c>
      <c r="N43" s="92">
        <f t="shared" ca="1" si="28"/>
        <v>227642</v>
      </c>
      <c r="O43" s="92">
        <f t="shared" ca="1" si="26"/>
        <v>28.668760594527747</v>
      </c>
      <c r="P43" s="92">
        <f t="shared" ca="1" si="27"/>
        <v>56.861883089958084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589" t="s">
        <v>12</v>
      </c>
      <c r="I44" s="269"/>
      <c r="J44" s="269"/>
      <c r="K44" s="465"/>
      <c r="L44" s="465">
        <f t="shared" ref="L44:N44" ca="1" si="29">L45+L46</f>
        <v>794042</v>
      </c>
      <c r="M44" s="465">
        <f t="shared" ca="1" si="29"/>
        <v>400342</v>
      </c>
      <c r="N44" s="465">
        <f t="shared" ca="1" si="29"/>
        <v>227642</v>
      </c>
      <c r="O44" s="465">
        <f t="shared" ca="1" si="26"/>
        <v>28.668760594527747</v>
      </c>
      <c r="P44" s="465">
        <f t="shared" ca="1" si="27"/>
        <v>56.861883089958084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2" t="s">
        <v>18</v>
      </c>
      <c r="F45" s="40"/>
      <c r="G45" s="42"/>
      <c r="H45" s="43" t="s">
        <v>12</v>
      </c>
      <c r="I45" s="583"/>
      <c r="J45" s="583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2" t="s">
        <v>19</v>
      </c>
      <c r="F46" s="40"/>
      <c r="G46" s="42"/>
      <c r="H46" s="43" t="s">
        <v>12</v>
      </c>
      <c r="I46" s="583"/>
      <c r="J46" s="583"/>
      <c r="K46" s="93"/>
      <c r="L46" s="93">
        <f ca="1">IFERROR(__xludf.DUMMYFUNCTION("IMPORTRANGE(""https://docs.google.com/spreadsheets/d/1MeEWN-I1oV_STSDYn1IFDPWt_1FKiwhDph83XaGc0o0/edit?usp=sharing"",""งบพรบ!M30"")"),794042)</f>
        <v>794042</v>
      </c>
      <c r="M46" s="93">
        <f ca="1">IFERROR(__xludf.DUMMYFUNCTION("IMPORTRANGE(""https://docs.google.com/spreadsheets/d/1MeEWN-I1oV_STSDYn1IFDPWt_1FKiwhDph83XaGc0o0/edit?usp=sharing"",""งบพรบ!R30"")"),400342)</f>
        <v>400342</v>
      </c>
      <c r="N46" s="93">
        <f ca="1">IFERROR(__xludf.DUMMYFUNCTION("IMPORTRANGE(""https://docs.google.com/spreadsheets/d/1MeEWN-I1oV_STSDYn1IFDPWt_1FKiwhDph83XaGc0o0/edit?usp=sharing"",""งบพรบ!T30"")"),227642)</f>
        <v>227642</v>
      </c>
      <c r="O46" s="93">
        <f t="shared" ca="1" si="26"/>
        <v>28.668760594527747</v>
      </c>
      <c r="P46" s="93">
        <f t="shared" ca="1" si="27"/>
        <v>56.861883089958084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589" t="s">
        <v>12</v>
      </c>
      <c r="I47" s="269"/>
      <c r="J47" s="269"/>
      <c r="K47" s="465"/>
      <c r="L47" s="465">
        <f t="shared" ref="L47:N47" ca="1" si="30">L48+L49</f>
        <v>0</v>
      </c>
      <c r="M47" s="465">
        <f t="shared" ca="1" si="30"/>
        <v>0</v>
      </c>
      <c r="N47" s="465">
        <f t="shared" ca="1" si="30"/>
        <v>0</v>
      </c>
      <c r="O47" s="465">
        <f t="shared" ca="1" si="26"/>
        <v>0</v>
      </c>
      <c r="P47" s="465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2" t="s">
        <v>18</v>
      </c>
      <c r="F48" s="40"/>
      <c r="G48" s="42"/>
      <c r="H48" s="43" t="s">
        <v>12</v>
      </c>
      <c r="I48" s="583"/>
      <c r="J48" s="583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IFERROR(__xludf.DUMMYFUNCTION("IMPORTRANGE(""https://docs.google.com/spreadsheets/d/1MeEWN-I1oV_STSDYn1IFDPWt_1FKiwhDph83XaGc0o0/edit?usp=sharing"",""งบพรบ!P30"")"),0)</f>
        <v>0</v>
      </c>
      <c r="M49" s="52">
        <f ca="1">IFERROR(__xludf.DUMMYFUNCTION("IMPORTRANGE(""https://docs.google.com/spreadsheets/d/1MeEWN-I1oV_STSDYn1IFDPWt_1FKiwhDph83XaGc0o0/edit?usp=sharing"",""งบพรบ!S30"")"),0)</f>
        <v>0</v>
      </c>
      <c r="N49" s="52">
        <f ca="1">IFERROR(__xludf.DUMMYFUNCTION("IMPORTRANGE(""https://docs.google.com/spreadsheets/d/1MeEWN-I1oV_STSDYn1IFDPWt_1FKiwhDph83XaGc0o0/edit?usp=sharing"",""งบพรบ!U30"")"),0)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07" t="s">
        <v>28</v>
      </c>
      <c r="B50" s="797"/>
      <c r="C50" s="797"/>
      <c r="D50" s="797"/>
      <c r="E50" s="797"/>
      <c r="F50" s="797"/>
      <c r="G50" s="795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08" t="s">
        <v>29</v>
      </c>
      <c r="C51" s="805"/>
      <c r="D51" s="805"/>
      <c r="E51" s="805"/>
      <c r="F51" s="805"/>
      <c r="G51" s="806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16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1135900</v>
      </c>
      <c r="M53" s="116">
        <f t="shared" ca="1" si="31"/>
        <v>742950</v>
      </c>
      <c r="N53" s="116">
        <f t="shared" ca="1" si="31"/>
        <v>619549.75</v>
      </c>
      <c r="O53" s="116">
        <f t="shared" ref="O53:O61" ca="1" si="32">IF(L53&gt;0,N53*100/L53,0)</f>
        <v>54.542631393608595</v>
      </c>
      <c r="P53" s="116">
        <f t="shared" ref="P53:P61" ca="1" si="33">IF(M53&gt;0,N53*100/M53,0)</f>
        <v>83.390504071606429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1135900</v>
      </c>
      <c r="M55" s="123">
        <f t="shared" ca="1" si="34"/>
        <v>742950</v>
      </c>
      <c r="N55" s="123">
        <f t="shared" ca="1" si="34"/>
        <v>619549.75</v>
      </c>
      <c r="O55" s="123">
        <f t="shared" ca="1" si="32"/>
        <v>54.542631393608595</v>
      </c>
      <c r="P55" s="123">
        <f t="shared" ca="1" si="33"/>
        <v>83.390504071606429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589" t="s">
        <v>12</v>
      </c>
      <c r="I56" s="269"/>
      <c r="J56" s="269"/>
      <c r="K56" s="465"/>
      <c r="L56" s="465">
        <f t="shared" ref="L56:N56" ca="1" si="35">L57+L58</f>
        <v>785900</v>
      </c>
      <c r="M56" s="465">
        <f t="shared" ca="1" si="35"/>
        <v>392950</v>
      </c>
      <c r="N56" s="465">
        <f t="shared" ca="1" si="35"/>
        <v>269549.75</v>
      </c>
      <c r="O56" s="465">
        <f t="shared" ca="1" si="32"/>
        <v>34.298224965008274</v>
      </c>
      <c r="P56" s="465">
        <f t="shared" ca="1" si="33"/>
        <v>68.596449930016547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2" t="s">
        <v>18</v>
      </c>
      <c r="F57" s="40"/>
      <c r="G57" s="42"/>
      <c r="H57" s="43" t="s">
        <v>12</v>
      </c>
      <c r="I57" s="583"/>
      <c r="J57" s="583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2" t="s">
        <v>19</v>
      </c>
      <c r="F58" s="40"/>
      <c r="G58" s="42"/>
      <c r="H58" s="43" t="s">
        <v>12</v>
      </c>
      <c r="I58" s="583"/>
      <c r="J58" s="583"/>
      <c r="K58" s="93"/>
      <c r="L58" s="93">
        <f ca="1">IFERROR(__xludf.DUMMYFUNCTION("IMPORTRANGE(""https://docs.google.com/spreadsheets/d/1MeEWN-I1oV_STSDYn1IFDPWt_1FKiwhDph83XaGc0o0/edit?usp=sharing"",""งบพรบ!W30"")"),785900)</f>
        <v>785900</v>
      </c>
      <c r="M58" s="93">
        <f ca="1">IFERROR(__xludf.DUMMYFUNCTION("IMPORTRANGE(""https://docs.google.com/spreadsheets/d/1MeEWN-I1oV_STSDYn1IFDPWt_1FKiwhDph83XaGc0o0/edit?usp=sharing"",""งบพรบ!AB30"")"),392950)</f>
        <v>392950</v>
      </c>
      <c r="N58" s="93">
        <f ca="1">IFERROR(__xludf.DUMMYFUNCTION("IMPORTRANGE(""https://docs.google.com/spreadsheets/d/1MeEWN-I1oV_STSDYn1IFDPWt_1FKiwhDph83XaGc0o0/edit?usp=sharing"",""งบพรบ!AD30"")"),269549.75)</f>
        <v>269549.75</v>
      </c>
      <c r="O58" s="93">
        <f t="shared" ca="1" si="32"/>
        <v>34.298224965008274</v>
      </c>
      <c r="P58" s="93">
        <f t="shared" ca="1" si="33"/>
        <v>68.596449930016547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589" t="s">
        <v>12</v>
      </c>
      <c r="I59" s="269"/>
      <c r="J59" s="269"/>
      <c r="K59" s="465"/>
      <c r="L59" s="465">
        <f t="shared" ref="L59:N59" ca="1" si="36">L60+L61</f>
        <v>350000</v>
      </c>
      <c r="M59" s="465">
        <f t="shared" ca="1" si="36"/>
        <v>350000</v>
      </c>
      <c r="N59" s="465">
        <f t="shared" ca="1" si="36"/>
        <v>350000</v>
      </c>
      <c r="O59" s="465">
        <f t="shared" ca="1" si="32"/>
        <v>100</v>
      </c>
      <c r="P59" s="465">
        <f t="shared" ca="1" si="33"/>
        <v>100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2" t="s">
        <v>18</v>
      </c>
      <c r="F60" s="40"/>
      <c r="G60" s="42"/>
      <c r="H60" s="43" t="s">
        <v>12</v>
      </c>
      <c r="I60" s="583"/>
      <c r="J60" s="583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IFERROR(__xludf.DUMMYFUNCTION("IMPORTRANGE(""https://docs.google.com/spreadsheets/d/1MeEWN-I1oV_STSDYn1IFDPWt_1FKiwhDph83XaGc0o0/edit?usp=sharing"",""งบพรบ!Z30"")"),350000)</f>
        <v>350000</v>
      </c>
      <c r="M61" s="52">
        <f ca="1">IFERROR(__xludf.DUMMYFUNCTION("IMPORTRANGE(""https://docs.google.com/spreadsheets/d/1MeEWN-I1oV_STSDYn1IFDPWt_1FKiwhDph83XaGc0o0/edit?usp=sharing"",""งบพรบ!AC30"")"),350000)</f>
        <v>350000</v>
      </c>
      <c r="N61" s="52">
        <f ca="1">IFERROR(__xludf.DUMMYFUNCTION("IMPORTRANGE(""https://docs.google.com/spreadsheets/d/1MeEWN-I1oV_STSDYn1IFDPWt_1FKiwhDph83XaGc0o0/edit?usp=sharing"",""งบพรบ!AE30"")"),350000)</f>
        <v>350000</v>
      </c>
      <c r="O61" s="52">
        <f t="shared" ca="1" si="32"/>
        <v>100</v>
      </c>
      <c r="P61" s="52">
        <f t="shared" ca="1" si="33"/>
        <v>100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>
      <c r="A64" s="138"/>
      <c r="B64" s="208" t="s">
        <v>33</v>
      </c>
      <c r="C64" s="140"/>
      <c r="D64" s="141"/>
      <c r="E64" s="140"/>
      <c r="F64" s="140"/>
      <c r="G64" s="142"/>
      <c r="H64" s="143" t="s">
        <v>34</v>
      </c>
      <c r="I64" s="144">
        <f t="shared" ref="I64:J65" ca="1" si="37">I76</f>
        <v>1</v>
      </c>
      <c r="J64" s="144">
        <f t="shared" si="37"/>
        <v>1</v>
      </c>
      <c r="K64" s="145">
        <f t="shared" ref="K64:K65" ca="1" si="38">IF(I64&gt;0,J64*100/I64,0)</f>
        <v>100</v>
      </c>
      <c r="L64" s="146"/>
      <c r="M64" s="146"/>
      <c r="N64" s="146"/>
      <c r="O64" s="146"/>
      <c r="P64" s="146"/>
    </row>
    <row r="65" spans="1:26" ht="19.5">
      <c r="A65" s="138"/>
      <c r="B65" s="140"/>
      <c r="C65" s="140"/>
      <c r="D65" s="141"/>
      <c r="E65" s="140"/>
      <c r="F65" s="140"/>
      <c r="G65" s="142"/>
      <c r="H65" s="143" t="s">
        <v>35</v>
      </c>
      <c r="I65" s="144">
        <f t="shared" ca="1" si="37"/>
        <v>32</v>
      </c>
      <c r="J65" s="144">
        <f t="shared" si="37"/>
        <v>32</v>
      </c>
      <c r="K65" s="145">
        <f t="shared" ca="1" si="38"/>
        <v>100</v>
      </c>
      <c r="L65" s="146"/>
      <c r="M65" s="146"/>
      <c r="N65" s="146"/>
      <c r="O65" s="146"/>
      <c r="P65" s="146"/>
    </row>
    <row r="66" spans="1:26" ht="19.5">
      <c r="A66" s="147"/>
      <c r="B66" s="148"/>
      <c r="C66" s="149" t="s">
        <v>16</v>
      </c>
      <c r="D66" s="817" t="s">
        <v>17</v>
      </c>
      <c r="E66" s="148"/>
      <c r="F66" s="148"/>
      <c r="G66" s="151"/>
      <c r="H66" s="152" t="s">
        <v>12</v>
      </c>
      <c r="I66" s="388"/>
      <c r="J66" s="388"/>
      <c r="K66" s="154"/>
      <c r="L66" s="155">
        <f t="shared" ref="L66:N66" ca="1" si="39">L67+L68</f>
        <v>880200</v>
      </c>
      <c r="M66" s="155">
        <f t="shared" ca="1" si="39"/>
        <v>436000</v>
      </c>
      <c r="N66" s="155">
        <f t="shared" ca="1" si="39"/>
        <v>105349</v>
      </c>
      <c r="O66" s="155">
        <f t="shared" ref="O66:O74" ca="1" si="40">IF(L66&gt;0,N66*100/L66,0)</f>
        <v>11.968757100658941</v>
      </c>
      <c r="P66" s="155">
        <f t="shared" ref="P66:P74" ca="1" si="41">IF(M66&gt;0,N66*100/M66,0)</f>
        <v>24.162614678899082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2" t="s">
        <v>18</v>
      </c>
      <c r="F67" s="40"/>
      <c r="G67" s="157"/>
      <c r="H67" s="158" t="s">
        <v>12</v>
      </c>
      <c r="I67" s="583"/>
      <c r="J67" s="583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2" t="s">
        <v>19</v>
      </c>
      <c r="F68" s="40"/>
      <c r="G68" s="157"/>
      <c r="H68" s="158" t="s">
        <v>12</v>
      </c>
      <c r="I68" s="583"/>
      <c r="J68" s="583"/>
      <c r="K68" s="93"/>
      <c r="L68" s="93">
        <f t="shared" ca="1" si="42"/>
        <v>880200</v>
      </c>
      <c r="M68" s="93">
        <f t="shared" ca="1" si="42"/>
        <v>436000</v>
      </c>
      <c r="N68" s="93">
        <f t="shared" ca="1" si="42"/>
        <v>105349</v>
      </c>
      <c r="O68" s="93">
        <f t="shared" ca="1" si="40"/>
        <v>11.968757100658941</v>
      </c>
      <c r="P68" s="93">
        <f t="shared" ca="1" si="41"/>
        <v>24.162614678899082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>
      <c r="A69" s="159"/>
      <c r="B69" s="33"/>
      <c r="C69" s="281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65">
        <f t="shared" ref="L69:N69" ca="1" si="43">L70+L71</f>
        <v>880200</v>
      </c>
      <c r="M69" s="465">
        <f t="shared" ca="1" si="43"/>
        <v>436000</v>
      </c>
      <c r="N69" s="465">
        <f t="shared" ca="1" si="43"/>
        <v>105349</v>
      </c>
      <c r="O69" s="465">
        <f t="shared" ca="1" si="40"/>
        <v>11.968757100658941</v>
      </c>
      <c r="P69" s="465">
        <f t="shared" ca="1" si="41"/>
        <v>24.162614678899082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2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2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IFERROR(__xludf.DUMMYFUNCTION("IMPORTRANGE(""https://docs.google.com/spreadsheets/d/1MeEWN-I1oV_STSDYn1IFDPWt_1FKiwhDph83XaGc0o0/edit?usp=sharing"",""งบพรบ!AG30"")"),880200)</f>
        <v>880200</v>
      </c>
      <c r="M71" s="93">
        <f ca="1">IFERROR(__xludf.DUMMYFUNCTION("IMPORTRANGE(""https://docs.google.com/spreadsheets/d/1MeEWN-I1oV_STSDYn1IFDPWt_1FKiwhDph83XaGc0o0/edit?usp=sharing"",""งบพรบ!AL30"")"),436000)</f>
        <v>436000</v>
      </c>
      <c r="N71" s="93">
        <f ca="1">IFERROR(__xludf.DUMMYFUNCTION("IMPORTRANGE(""https://docs.google.com/spreadsheets/d/1MeEWN-I1oV_STSDYn1IFDPWt_1FKiwhDph83XaGc0o0/edit?usp=sharing"",""งบพรบ!AN30"")"),105349)</f>
        <v>105349</v>
      </c>
      <c r="O71" s="93">
        <f t="shared" ca="1" si="40"/>
        <v>11.968757100658941</v>
      </c>
      <c r="P71" s="93">
        <f t="shared" ca="1" si="41"/>
        <v>24.162614678899082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>
      <c r="A72" s="159"/>
      <c r="B72" s="33"/>
      <c r="C72" s="281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65">
        <f t="shared" ref="L72:N72" ca="1" si="44">L73+L74</f>
        <v>0</v>
      </c>
      <c r="M72" s="465">
        <f t="shared" ca="1" si="44"/>
        <v>0</v>
      </c>
      <c r="N72" s="465">
        <f t="shared" ca="1" si="44"/>
        <v>0</v>
      </c>
      <c r="O72" s="465">
        <f t="shared" ca="1" si="40"/>
        <v>0</v>
      </c>
      <c r="P72" s="465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2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2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IFERROR(__xludf.DUMMYFUNCTION("IMPORTRANGE(""https://docs.google.com/spreadsheets/d/1MeEWN-I1oV_STSDYn1IFDPWt_1FKiwhDph83XaGc0o0/edit?usp=sharing"",""งบพรบ!AJ30"")"),0)</f>
        <v>0</v>
      </c>
      <c r="M74" s="93">
        <f ca="1">IFERROR(__xludf.DUMMYFUNCTION("IMPORTRANGE(""https://docs.google.com/spreadsheets/d/1MeEWN-I1oV_STSDYn1IFDPWt_1FKiwhDph83XaGc0o0/edit?usp=sharing"",""งบพรบ!AM30"")"),0)</f>
        <v>0</v>
      </c>
      <c r="N74" s="93">
        <f ca="1">IFERROR(__xludf.DUMMYFUNCTION("IMPORTRANGE(""https://docs.google.com/spreadsheets/d/1MeEWN-I1oV_STSDYn1IFDPWt_1FKiwhDph83XaGc0o0/edit?usp=sharing"",""งบพรบ!AO30"")"),0)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>
      <c r="A75" s="170"/>
      <c r="B75" s="171"/>
      <c r="C75" s="164" t="s">
        <v>16</v>
      </c>
      <c r="D75" s="818" t="s">
        <v>38</v>
      </c>
      <c r="E75" s="173"/>
      <c r="F75" s="173"/>
      <c r="G75" s="174"/>
      <c r="H75" s="726"/>
      <c r="I75" s="184"/>
      <c r="J75" s="184"/>
      <c r="K75" s="163"/>
      <c r="L75" s="163"/>
      <c r="M75" s="163"/>
      <c r="N75" s="163"/>
      <c r="O75" s="163"/>
      <c r="P75" s="163"/>
    </row>
    <row r="76" spans="1:26" ht="19.5">
      <c r="A76" s="170"/>
      <c r="B76" s="171"/>
      <c r="C76" s="171"/>
      <c r="D76" s="343" t="s">
        <v>39</v>
      </c>
      <c r="E76" s="415"/>
      <c r="F76" s="342"/>
      <c r="G76" s="179"/>
      <c r="H76" s="180" t="s">
        <v>34</v>
      </c>
      <c r="I76" s="269">
        <f t="shared" ref="I76:J77" ca="1" si="45">I78+I80+I82</f>
        <v>1</v>
      </c>
      <c r="J76" s="269">
        <f t="shared" si="45"/>
        <v>1</v>
      </c>
      <c r="K76" s="163">
        <f t="shared" ref="K76:K84" ca="1" si="46">IF(I76&gt;0,J76*100/I76,0)</f>
        <v>100</v>
      </c>
      <c r="L76" s="163"/>
      <c r="M76" s="163"/>
      <c r="N76" s="163"/>
      <c r="O76" s="163"/>
      <c r="P76" s="163"/>
    </row>
    <row r="77" spans="1:26" ht="19.5">
      <c r="A77" s="170"/>
      <c r="B77" s="171"/>
      <c r="C77" s="171"/>
      <c r="D77" s="171"/>
      <c r="E77" s="342"/>
      <c r="F77" s="342"/>
      <c r="G77" s="179"/>
      <c r="H77" s="180" t="s">
        <v>35</v>
      </c>
      <c r="I77" s="269">
        <f t="shared" ca="1" si="45"/>
        <v>32</v>
      </c>
      <c r="J77" s="269">
        <f t="shared" si="45"/>
        <v>32</v>
      </c>
      <c r="K77" s="163">
        <f t="shared" ca="1" si="46"/>
        <v>100</v>
      </c>
      <c r="L77" s="163"/>
      <c r="M77" s="163"/>
      <c r="N77" s="163"/>
      <c r="O77" s="163"/>
      <c r="P77" s="163"/>
    </row>
    <row r="78" spans="1:26" ht="18.75">
      <c r="A78" s="170"/>
      <c r="B78" s="171"/>
      <c r="C78" s="171"/>
      <c r="D78" s="171"/>
      <c r="E78" s="415" t="s">
        <v>40</v>
      </c>
      <c r="F78" s="415"/>
      <c r="G78" s="179"/>
      <c r="H78" s="728" t="s">
        <v>34</v>
      </c>
      <c r="I78" s="184">
        <f ca="1">IFERROR(__xludf.DUMMYFUNCTION("IMPORTRANGE(""https://docs.google.com/spreadsheets/d/1QqKyyYR6Q21VydFLVH3TRQUabQu_ym0Zz7PgGX0-kHA/edit?usp=sharing"",""แผน!H30"")"),0)</f>
        <v>0</v>
      </c>
      <c r="J78" s="214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>
      <c r="A79" s="170"/>
      <c r="B79" s="171"/>
      <c r="C79" s="171"/>
      <c r="D79" s="171"/>
      <c r="E79" s="342"/>
      <c r="F79" s="342"/>
      <c r="G79" s="179"/>
      <c r="H79" s="728" t="s">
        <v>35</v>
      </c>
      <c r="I79" s="184">
        <f ca="1">IFERROR(__xludf.DUMMYFUNCTION("IMPORTRANGE(""https://docs.google.com/spreadsheets/d/1QqKyyYR6Q21VydFLVH3TRQUabQu_ym0Zz7PgGX0-kHA/edit?usp=sharing"",""แผน!I30"")"),0)</f>
        <v>0</v>
      </c>
      <c r="J79" s="214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>
      <c r="A80" s="170"/>
      <c r="B80" s="171"/>
      <c r="C80" s="171"/>
      <c r="D80" s="171"/>
      <c r="E80" s="415" t="s">
        <v>41</v>
      </c>
      <c r="F80" s="415"/>
      <c r="G80" s="179"/>
      <c r="H80" s="728" t="s">
        <v>34</v>
      </c>
      <c r="I80" s="184">
        <f ca="1">IFERROR(__xludf.DUMMYFUNCTION("IMPORTRANGE(""https://docs.google.com/spreadsheets/d/1QqKyyYR6Q21VydFLVH3TRQUabQu_ym0Zz7PgGX0-kHA/edit?usp=sharing"",""แผน!F30"")"),1)</f>
        <v>1</v>
      </c>
      <c r="J80" s="214">
        <v>1</v>
      </c>
      <c r="K80" s="163">
        <f t="shared" ca="1" si="46"/>
        <v>100</v>
      </c>
      <c r="L80" s="163"/>
      <c r="M80" s="163"/>
      <c r="N80" s="163"/>
      <c r="O80" s="163"/>
      <c r="P80" s="163"/>
    </row>
    <row r="81" spans="1:26" ht="18.75">
      <c r="A81" s="170"/>
      <c r="B81" s="171"/>
      <c r="C81" s="171"/>
      <c r="D81" s="171"/>
      <c r="E81" s="342"/>
      <c r="F81" s="342"/>
      <c r="G81" s="179"/>
      <c r="H81" s="728" t="s">
        <v>35</v>
      </c>
      <c r="I81" s="184">
        <f ca="1">IFERROR(__xludf.DUMMYFUNCTION("IMPORTRANGE(""https://docs.google.com/spreadsheets/d/1QqKyyYR6Q21VydFLVH3TRQUabQu_ym0Zz7PgGX0-kHA/edit?usp=sharing"",""แผน!G30"")"),32)</f>
        <v>32</v>
      </c>
      <c r="J81" s="214">
        <v>32</v>
      </c>
      <c r="K81" s="163">
        <f t="shared" ca="1" si="46"/>
        <v>100</v>
      </c>
      <c r="L81" s="163"/>
      <c r="M81" s="163"/>
      <c r="N81" s="163"/>
      <c r="O81" s="163"/>
      <c r="P81" s="163"/>
    </row>
    <row r="82" spans="1:26" ht="18.75">
      <c r="A82" s="170"/>
      <c r="B82" s="171"/>
      <c r="C82" s="171"/>
      <c r="D82" s="171"/>
      <c r="E82" s="415" t="s">
        <v>42</v>
      </c>
      <c r="F82" s="415"/>
      <c r="G82" s="179"/>
      <c r="H82" s="728" t="s">
        <v>34</v>
      </c>
      <c r="I82" s="184">
        <f ca="1">IFERROR(__xludf.DUMMYFUNCTION("IMPORTRANGE(""https://docs.google.com/spreadsheets/d/1QqKyyYR6Q21VydFLVH3TRQUabQu_ym0Zz7PgGX0-kHA/edit?usp=sharing"",""แผน!D30"")"),0)</f>
        <v>0</v>
      </c>
      <c r="J82" s="214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>
      <c r="A83" s="170"/>
      <c r="B83" s="171"/>
      <c r="C83" s="171"/>
      <c r="D83" s="171"/>
      <c r="E83" s="342"/>
      <c r="F83" s="342"/>
      <c r="G83" s="179"/>
      <c r="H83" s="728" t="s">
        <v>35</v>
      </c>
      <c r="I83" s="184">
        <f ca="1">IFERROR(__xludf.DUMMYFUNCTION("IMPORTRANGE(""https://docs.google.com/spreadsheets/d/1QqKyyYR6Q21VydFLVH3TRQUabQu_ym0Zz7PgGX0-kHA/edit?usp=sharing"",""แผน!E30"")"),0)</f>
        <v>0</v>
      </c>
      <c r="J83" s="214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>
      <c r="A84" s="170"/>
      <c r="B84" s="171"/>
      <c r="C84" s="171"/>
      <c r="D84" s="343" t="s">
        <v>43</v>
      </c>
      <c r="E84" s="415"/>
      <c r="F84" s="342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IFERROR(__xludf.DUMMYFUNCTION("IMPORTRANGE(""https://docs.google.com/spreadsheets/d/1QqKyyYR6Q21VydFLVH3TRQUabQu_ym0Zz7PgGX0-kHA/edit?usp=sharing"",""แผน!J30"")"),1)</f>
        <v>1</v>
      </c>
      <c r="J84" s="214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8" t="s">
        <v>45</v>
      </c>
      <c r="C86" s="140"/>
      <c r="D86" s="141"/>
      <c r="E86" s="140"/>
      <c r="F86" s="140"/>
      <c r="G86" s="142"/>
      <c r="H86" s="143" t="s">
        <v>46</v>
      </c>
      <c r="I86" s="144">
        <f t="shared" ref="I86:J87" ca="1" si="47">I98</f>
        <v>60</v>
      </c>
      <c r="J86" s="144">
        <f t="shared" si="47"/>
        <v>0</v>
      </c>
      <c r="K86" s="145">
        <f t="shared" ref="K86:K87" ca="1" si="48">IF(I86&gt;0,J86*100/I86,0)</f>
        <v>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143" t="s">
        <v>35</v>
      </c>
      <c r="I87" s="144">
        <f t="shared" ca="1" si="47"/>
        <v>20</v>
      </c>
      <c r="J87" s="144">
        <f t="shared" si="47"/>
        <v>0</v>
      </c>
      <c r="K87" s="145">
        <f t="shared" ca="1" si="48"/>
        <v>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17" t="s">
        <v>17</v>
      </c>
      <c r="E88" s="148"/>
      <c r="F88" s="148"/>
      <c r="G88" s="151"/>
      <c r="H88" s="152" t="s">
        <v>12</v>
      </c>
      <c r="I88" s="388"/>
      <c r="J88" s="388"/>
      <c r="K88" s="154"/>
      <c r="L88" s="155">
        <f t="shared" ref="L88:N88" ca="1" si="49">L89+L90</f>
        <v>111180</v>
      </c>
      <c r="M88" s="155">
        <f t="shared" ca="1" si="49"/>
        <v>43680</v>
      </c>
      <c r="N88" s="155">
        <f t="shared" ca="1" si="49"/>
        <v>21770</v>
      </c>
      <c r="O88" s="155">
        <f t="shared" ref="O88:O96" ca="1" si="50">IF(L88&gt;0,N88*100/L88,0)</f>
        <v>19.580859866882534</v>
      </c>
      <c r="P88" s="155">
        <f t="shared" ref="P88:P96" ca="1" si="51">IF(M88&gt;0,N88*100/M88,0)</f>
        <v>49.839743589743591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2" t="s">
        <v>18</v>
      </c>
      <c r="F89" s="40"/>
      <c r="G89" s="157"/>
      <c r="H89" s="158" t="s">
        <v>12</v>
      </c>
      <c r="I89" s="583"/>
      <c r="J89" s="583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2" t="s">
        <v>19</v>
      </c>
      <c r="F90" s="40"/>
      <c r="G90" s="157"/>
      <c r="H90" s="158" t="s">
        <v>12</v>
      </c>
      <c r="I90" s="583"/>
      <c r="J90" s="583"/>
      <c r="K90" s="93"/>
      <c r="L90" s="93">
        <f t="shared" ca="1" si="52"/>
        <v>111180</v>
      </c>
      <c r="M90" s="93">
        <f t="shared" ca="1" si="52"/>
        <v>43680</v>
      </c>
      <c r="N90" s="93">
        <f t="shared" ca="1" si="52"/>
        <v>21770</v>
      </c>
      <c r="O90" s="93">
        <f t="shared" ca="1" si="50"/>
        <v>19.580859866882534</v>
      </c>
      <c r="P90" s="93">
        <f t="shared" ca="1" si="51"/>
        <v>49.839743589743591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1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65">
        <f t="shared" ref="L91:N91" ca="1" si="53">L92+L93</f>
        <v>111180</v>
      </c>
      <c r="M91" s="465">
        <f t="shared" ca="1" si="53"/>
        <v>43680</v>
      </c>
      <c r="N91" s="465">
        <f t="shared" ca="1" si="53"/>
        <v>21770</v>
      </c>
      <c r="O91" s="465">
        <f t="shared" ca="1" si="50"/>
        <v>19.580859866882534</v>
      </c>
      <c r="P91" s="465">
        <f t="shared" ca="1" si="51"/>
        <v>49.839743589743591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2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2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IFERROR(__xludf.DUMMYFUNCTION("IMPORTRANGE(""https://docs.google.com/spreadsheets/d/1MeEWN-I1oV_STSDYn1IFDPWt_1FKiwhDph83XaGc0o0/edit?usp=sharing"",""งบพรบ!AQ30"")"),111180)</f>
        <v>111180</v>
      </c>
      <c r="M93" s="93">
        <f ca="1">IFERROR(__xludf.DUMMYFUNCTION("IMPORTRANGE(""https://docs.google.com/spreadsheets/d/1MeEWN-I1oV_STSDYn1IFDPWt_1FKiwhDph83XaGc0o0/edit?usp=sharing"",""งบพรบ!AV30"")"),43680)</f>
        <v>43680</v>
      </c>
      <c r="N93" s="93">
        <f ca="1">IFERROR(__xludf.DUMMYFUNCTION("IMPORTRANGE(""https://docs.google.com/spreadsheets/d/1MeEWN-I1oV_STSDYn1IFDPWt_1FKiwhDph83XaGc0o0/edit?usp=sharing"",""งบพรบ!AX30"")"),21770)</f>
        <v>21770</v>
      </c>
      <c r="O93" s="93">
        <f t="shared" ca="1" si="50"/>
        <v>19.580859866882534</v>
      </c>
      <c r="P93" s="93">
        <f t="shared" ca="1" si="51"/>
        <v>49.839743589743591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1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65">
        <f t="shared" ref="L94:N94" ca="1" si="54">L95+L96</f>
        <v>0</v>
      </c>
      <c r="M94" s="465">
        <f t="shared" ca="1" si="54"/>
        <v>0</v>
      </c>
      <c r="N94" s="465">
        <f t="shared" ca="1" si="54"/>
        <v>0</v>
      </c>
      <c r="O94" s="465">
        <f t="shared" ca="1" si="50"/>
        <v>0</v>
      </c>
      <c r="P94" s="465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2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2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IFERROR(__xludf.DUMMYFUNCTION("IMPORTRANGE(""https://docs.google.com/spreadsheets/d/1MeEWN-I1oV_STSDYn1IFDPWt_1FKiwhDph83XaGc0o0/edit?usp=sharing"",""งบพรบ!AT30"")"),0)</f>
        <v>0</v>
      </c>
      <c r="M96" s="93">
        <f ca="1">IFERROR(__xludf.DUMMYFUNCTION("IMPORTRANGE(""https://docs.google.com/spreadsheets/d/1MeEWN-I1oV_STSDYn1IFDPWt_1FKiwhDph83XaGc0o0/edit?usp=sharing"",""งบพรบ!AW30"")"),0)</f>
        <v>0</v>
      </c>
      <c r="N96" s="93">
        <f ca="1">IFERROR(__xludf.DUMMYFUNCTION("IMPORTRANGE(""https://docs.google.com/spreadsheets/d/1MeEWN-I1oV_STSDYn1IFDPWt_1FKiwhDph83XaGc0o0/edit?usp=sharing"",""งบพรบ!AY30"")"),0)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18" t="s">
        <v>38</v>
      </c>
      <c r="E97" s="173"/>
      <c r="F97" s="173"/>
      <c r="G97" s="174"/>
      <c r="H97" s="726"/>
      <c r="I97" s="184"/>
      <c r="J97" s="269"/>
      <c r="K97" s="465"/>
      <c r="L97" s="465"/>
      <c r="M97" s="465"/>
      <c r="N97" s="465"/>
      <c r="O97" s="163"/>
      <c r="P97" s="163"/>
    </row>
    <row r="98" spans="1:16" ht="18.75">
      <c r="A98" s="170"/>
      <c r="B98" s="171"/>
      <c r="C98" s="171"/>
      <c r="D98" s="415" t="s">
        <v>47</v>
      </c>
      <c r="E98" s="415"/>
      <c r="F98" s="342"/>
      <c r="G98" s="179"/>
      <c r="H98" s="589" t="s">
        <v>46</v>
      </c>
      <c r="I98" s="269">
        <f ca="1">IFERROR(__xludf.DUMMYFUNCTION("IMPORTRANGE(""https://docs.google.com/spreadsheets/d/1QqKyyYR6Q21VydFLVH3TRQUabQu_ym0Zz7PgGX0-kHA/edit?usp=sharing"",""แผน!K30"")"),60)</f>
        <v>60</v>
      </c>
      <c r="J98" s="269">
        <f>J102</f>
        <v>0</v>
      </c>
      <c r="K98" s="465">
        <f t="shared" ref="K98:K100" ca="1" si="55">IF(I98&gt;0,J98*100/I98,0)</f>
        <v>0</v>
      </c>
      <c r="L98" s="465"/>
      <c r="M98" s="465"/>
      <c r="N98" s="465"/>
      <c r="O98" s="163"/>
      <c r="P98" s="163"/>
    </row>
    <row r="99" spans="1:16" ht="18.75">
      <c r="A99" s="170"/>
      <c r="B99" s="171"/>
      <c r="C99" s="171"/>
      <c r="D99" s="415" t="s">
        <v>48</v>
      </c>
      <c r="E99" s="415"/>
      <c r="F99" s="342"/>
      <c r="G99" s="179"/>
      <c r="H99" s="589" t="s">
        <v>35</v>
      </c>
      <c r="I99" s="269">
        <f ca="1">IFERROR(__xludf.DUMMYFUNCTION("IMPORTRANGE(""https://docs.google.com/spreadsheets/d/1QqKyyYR6Q21VydFLVH3TRQUabQu_ym0Zz7PgGX0-kHA/edit?usp=sharing"",""แผน!L30"")"),20)</f>
        <v>20</v>
      </c>
      <c r="J99" s="269">
        <f>J104</f>
        <v>0</v>
      </c>
      <c r="K99" s="465">
        <f t="shared" ca="1" si="55"/>
        <v>0</v>
      </c>
      <c r="L99" s="465"/>
      <c r="M99" s="465"/>
      <c r="N99" s="465"/>
      <c r="O99" s="163"/>
      <c r="P99" s="163"/>
    </row>
    <row r="100" spans="1:16" ht="18.75">
      <c r="A100" s="170"/>
      <c r="B100" s="171"/>
      <c r="C100" s="171"/>
      <c r="D100" s="171"/>
      <c r="E100" s="342"/>
      <c r="F100" s="342"/>
      <c r="G100" s="179"/>
      <c r="H100" s="589" t="s">
        <v>49</v>
      </c>
      <c r="I100" s="269">
        <f ca="1">IFERROR(__xludf.DUMMYFUNCTION("IMPORTRANGE(""https://docs.google.com/spreadsheets/d/1QqKyyYR6Q21VydFLVH3TRQUabQu_ym0Zz7PgGX0-kHA/edit?usp=sharing"",""แผน!M30"")"),2)</f>
        <v>2</v>
      </c>
      <c r="J100" s="269">
        <f>J107+J110</f>
        <v>0</v>
      </c>
      <c r="K100" s="465">
        <f t="shared" ca="1" si="55"/>
        <v>0</v>
      </c>
      <c r="L100" s="465"/>
      <c r="M100" s="465"/>
      <c r="N100" s="465"/>
      <c r="O100" s="163"/>
      <c r="P100" s="163"/>
    </row>
    <row r="101" spans="1:16" ht="19.5">
      <c r="A101" s="170"/>
      <c r="B101" s="171"/>
      <c r="C101" s="171"/>
      <c r="D101" s="342"/>
      <c r="E101" s="191" t="s">
        <v>50</v>
      </c>
      <c r="F101" s="342"/>
      <c r="G101" s="179"/>
      <c r="H101" s="589"/>
      <c r="I101" s="269"/>
      <c r="J101" s="269"/>
      <c r="K101" s="465"/>
      <c r="L101" s="465"/>
      <c r="M101" s="465"/>
      <c r="N101" s="465"/>
      <c r="O101" s="163"/>
      <c r="P101" s="163"/>
    </row>
    <row r="102" spans="1:16" ht="18.75">
      <c r="A102" s="170"/>
      <c r="B102" s="171"/>
      <c r="C102" s="171"/>
      <c r="D102" s="342"/>
      <c r="E102" s="592" t="s">
        <v>47</v>
      </c>
      <c r="F102" s="342"/>
      <c r="G102" s="179"/>
      <c r="H102" s="589" t="s">
        <v>46</v>
      </c>
      <c r="I102" s="269">
        <f ca="1">IFERROR(__xludf.DUMMYFUNCTION("IMPORTRANGE(""https://docs.google.com/spreadsheets/d/1QqKyyYR6Q21VydFLVH3TRQUabQu_ym0Zz7PgGX0-kHA/edit?usp=sharing"",""แผน!N30"")"),60)</f>
        <v>60</v>
      </c>
      <c r="J102" s="214">
        <v>0</v>
      </c>
      <c r="K102" s="465">
        <f t="shared" ref="K102:K104" ca="1" si="56">IF(I102&gt;0,J102*100/I102,0)</f>
        <v>0</v>
      </c>
      <c r="L102" s="465"/>
      <c r="M102" s="465"/>
      <c r="N102" s="465"/>
      <c r="O102" s="163"/>
      <c r="P102" s="163"/>
    </row>
    <row r="103" spans="1:16" ht="19.5">
      <c r="A103" s="170"/>
      <c r="B103" s="171"/>
      <c r="C103" s="171"/>
      <c r="D103" s="342"/>
      <c r="E103" s="415" t="s">
        <v>51</v>
      </c>
      <c r="F103" s="342"/>
      <c r="G103" s="179"/>
      <c r="H103" s="589" t="s">
        <v>35</v>
      </c>
      <c r="I103" s="269">
        <f ca="1">IFERROR(__xludf.DUMMYFUNCTION("IMPORTRANGE(""https://docs.google.com/spreadsheets/d/1QqKyyYR6Q21VydFLVH3TRQUabQu_ym0Zz7PgGX0-kHA/edit?usp=sharing"",""แผน!O30"")"),20)</f>
        <v>20</v>
      </c>
      <c r="J103" s="214">
        <v>0</v>
      </c>
      <c r="K103" s="465">
        <f t="shared" ca="1" si="56"/>
        <v>0</v>
      </c>
      <c r="L103" s="465"/>
      <c r="M103" s="465"/>
      <c r="N103" s="465"/>
      <c r="O103" s="163"/>
      <c r="P103" s="163"/>
    </row>
    <row r="104" spans="1:16" ht="18.75">
      <c r="A104" s="170"/>
      <c r="B104" s="171"/>
      <c r="C104" s="171"/>
      <c r="D104" s="342"/>
      <c r="E104" s="188" t="s">
        <v>52</v>
      </c>
      <c r="F104" s="342"/>
      <c r="G104" s="179"/>
      <c r="H104" s="589" t="s">
        <v>35</v>
      </c>
      <c r="I104" s="269">
        <f ca="1">IFERROR(__xludf.DUMMYFUNCTION("IMPORTRANGE(""https://docs.google.com/spreadsheets/d/1QqKyyYR6Q21VydFLVH3TRQUabQu_ym0Zz7PgGX0-kHA/edit?usp=sharing"",""แผน!O30"")"),20)</f>
        <v>20</v>
      </c>
      <c r="J104" s="214">
        <v>0</v>
      </c>
      <c r="K104" s="465">
        <f t="shared" ca="1" si="56"/>
        <v>0</v>
      </c>
      <c r="L104" s="465"/>
      <c r="M104" s="465"/>
      <c r="N104" s="465"/>
      <c r="O104" s="163"/>
      <c r="P104" s="163"/>
    </row>
    <row r="105" spans="1:16" ht="19.5">
      <c r="A105" s="170"/>
      <c r="B105" s="171"/>
      <c r="C105" s="171"/>
      <c r="D105" s="342"/>
      <c r="E105" s="191" t="s">
        <v>53</v>
      </c>
      <c r="F105" s="342"/>
      <c r="G105" s="179"/>
      <c r="H105" s="189"/>
      <c r="I105" s="269"/>
      <c r="J105" s="269"/>
      <c r="K105" s="465"/>
      <c r="L105" s="465"/>
      <c r="M105" s="465"/>
      <c r="N105" s="465"/>
      <c r="O105" s="163"/>
      <c r="P105" s="163"/>
    </row>
    <row r="106" spans="1:16" ht="19.5">
      <c r="A106" s="170"/>
      <c r="B106" s="171"/>
      <c r="C106" s="171"/>
      <c r="D106" s="342"/>
      <c r="E106" s="415" t="s">
        <v>54</v>
      </c>
      <c r="F106" s="342"/>
      <c r="G106" s="179"/>
      <c r="H106" s="589" t="s">
        <v>49</v>
      </c>
      <c r="I106" s="269">
        <f ca="1">IFERROR(__xludf.DUMMYFUNCTION("IMPORTRANGE(""https://docs.google.com/spreadsheets/d/1QqKyyYR6Q21VydFLVH3TRQUabQu_ym0Zz7PgGX0-kHA/edit?usp=sharing"",""แผน!P30"")"),1)</f>
        <v>1</v>
      </c>
      <c r="J106" s="214">
        <v>0</v>
      </c>
      <c r="K106" s="465">
        <f t="shared" ref="K106:K107" ca="1" si="57">IF(I106&gt;0,J106*100/I106,0)</f>
        <v>0</v>
      </c>
      <c r="L106" s="465"/>
      <c r="M106" s="465"/>
      <c r="N106" s="465"/>
      <c r="O106" s="163"/>
      <c r="P106" s="163"/>
    </row>
    <row r="107" spans="1:16" ht="18.75">
      <c r="A107" s="170"/>
      <c r="B107" s="171"/>
      <c r="C107" s="171"/>
      <c r="D107" s="342"/>
      <c r="E107" s="188" t="s">
        <v>55</v>
      </c>
      <c r="F107" s="342"/>
      <c r="G107" s="179"/>
      <c r="H107" s="589" t="s">
        <v>49</v>
      </c>
      <c r="I107" s="269">
        <f ca="1">IFERROR(__xludf.DUMMYFUNCTION("IMPORTRANGE(""https://docs.google.com/spreadsheets/d/1QqKyyYR6Q21VydFLVH3TRQUabQu_ym0Zz7PgGX0-kHA/edit?usp=sharing"",""แผน!P30"")"),1)</f>
        <v>1</v>
      </c>
      <c r="J107" s="214">
        <v>0</v>
      </c>
      <c r="K107" s="465">
        <f t="shared" ca="1" si="57"/>
        <v>0</v>
      </c>
      <c r="L107" s="465"/>
      <c r="M107" s="465"/>
      <c r="N107" s="465"/>
      <c r="O107" s="163"/>
      <c r="P107" s="163"/>
    </row>
    <row r="108" spans="1:16" ht="19.5">
      <c r="A108" s="170"/>
      <c r="B108" s="171"/>
      <c r="C108" s="171"/>
      <c r="D108" s="342"/>
      <c r="E108" s="191" t="s">
        <v>56</v>
      </c>
      <c r="F108" s="342"/>
      <c r="G108" s="179"/>
      <c r="H108" s="189"/>
      <c r="I108" s="269"/>
      <c r="J108" s="269"/>
      <c r="K108" s="465"/>
      <c r="L108" s="465"/>
      <c r="M108" s="465"/>
      <c r="N108" s="465"/>
      <c r="O108" s="163"/>
      <c r="P108" s="163"/>
    </row>
    <row r="109" spans="1:16" ht="19.5">
      <c r="A109" s="170"/>
      <c r="B109" s="171"/>
      <c r="C109" s="171"/>
      <c r="D109" s="342"/>
      <c r="E109" s="415" t="s">
        <v>57</v>
      </c>
      <c r="F109" s="342"/>
      <c r="G109" s="179"/>
      <c r="H109" s="589" t="s">
        <v>49</v>
      </c>
      <c r="I109" s="269">
        <f ca="1">IFERROR(__xludf.DUMMYFUNCTION("IMPORTRANGE(""https://docs.google.com/spreadsheets/d/1QqKyyYR6Q21VydFLVH3TRQUabQu_ym0Zz7PgGX0-kHA/edit?usp=sharing"",""แผน!Q30"")"),1)</f>
        <v>1</v>
      </c>
      <c r="J109" s="214">
        <v>0</v>
      </c>
      <c r="K109" s="465">
        <f t="shared" ref="K109:K116" ca="1" si="58">IF(I109&gt;0,J109*100/I109,0)</f>
        <v>0</v>
      </c>
      <c r="L109" s="465"/>
      <c r="M109" s="465"/>
      <c r="N109" s="465"/>
      <c r="O109" s="163"/>
      <c r="P109" s="163"/>
    </row>
    <row r="110" spans="1:16" ht="18.75">
      <c r="A110" s="170"/>
      <c r="B110" s="171"/>
      <c r="C110" s="171"/>
      <c r="D110" s="342"/>
      <c r="E110" s="190" t="s">
        <v>58</v>
      </c>
      <c r="F110" s="342"/>
      <c r="G110" s="179"/>
      <c r="H110" s="589" t="s">
        <v>49</v>
      </c>
      <c r="I110" s="269">
        <f ca="1">IFERROR(__xludf.DUMMYFUNCTION("IMPORTRANGE(""https://docs.google.com/spreadsheets/d/1QqKyyYR6Q21VydFLVH3TRQUabQu_ym0Zz7PgGX0-kHA/edit?usp=sharing"",""แผน!Q30"")"),1)</f>
        <v>1</v>
      </c>
      <c r="J110" s="214">
        <v>0</v>
      </c>
      <c r="K110" s="465">
        <f t="shared" ca="1" si="58"/>
        <v>0</v>
      </c>
      <c r="L110" s="465"/>
      <c r="M110" s="465"/>
      <c r="N110" s="465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342"/>
      <c r="G111" s="179"/>
      <c r="H111" s="731" t="s">
        <v>35</v>
      </c>
      <c r="I111" s="193">
        <f ca="1">IFERROR(__xludf.DUMMYFUNCTION("IMPORTRANGE(""https://docs.google.com/spreadsheets/d/1QqKyyYR6Q21VydFLVH3TRQUabQu_ym0Zz7PgGX0-kHA/edit?usp=sharing"",""แผน!R30"")"),20)</f>
        <v>20</v>
      </c>
      <c r="J111" s="647">
        <f>J114</f>
        <v>0</v>
      </c>
      <c r="K111" s="195">
        <f t="shared" ca="1" si="58"/>
        <v>0</v>
      </c>
      <c r="L111" s="465"/>
      <c r="M111" s="465"/>
      <c r="N111" s="465"/>
      <c r="O111" s="163"/>
      <c r="P111" s="163"/>
    </row>
    <row r="112" spans="1:16" ht="19.5">
      <c r="A112" s="170"/>
      <c r="B112" s="171"/>
      <c r="C112" s="171"/>
      <c r="D112" s="171"/>
      <c r="E112" s="342"/>
      <c r="F112" s="342"/>
      <c r="G112" s="179"/>
      <c r="H112" s="196" t="s">
        <v>49</v>
      </c>
      <c r="I112" s="193">
        <f t="shared" ref="I112:J112" ca="1" si="59">I115+I116</f>
        <v>2</v>
      </c>
      <c r="J112" s="647">
        <f t="shared" si="59"/>
        <v>0</v>
      </c>
      <c r="K112" s="195">
        <f t="shared" ca="1" si="58"/>
        <v>0</v>
      </c>
      <c r="L112" s="465"/>
      <c r="M112" s="465"/>
      <c r="N112" s="465"/>
      <c r="O112" s="163"/>
      <c r="P112" s="163"/>
    </row>
    <row r="113" spans="1:26" ht="19.5">
      <c r="A113" s="170"/>
      <c r="B113" s="171"/>
      <c r="C113" s="171"/>
      <c r="D113" s="171"/>
      <c r="E113" s="494" t="s">
        <v>60</v>
      </c>
      <c r="F113" s="342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IFERROR(__xludf.DUMMYFUNCTION("IMPORTRANGE(""https://docs.google.com/spreadsheets/d/1QqKyyYR6Q21VydFLVH3TRQUabQu_ym0Zz7PgGX0-kHA/edit?usp=sharing"",""แผน!R30"")"),20)</f>
        <v>20</v>
      </c>
      <c r="J113" s="214">
        <v>0</v>
      </c>
      <c r="K113" s="465">
        <f t="shared" ca="1" si="58"/>
        <v>0</v>
      </c>
      <c r="L113" s="465"/>
      <c r="M113" s="465"/>
      <c r="N113" s="465"/>
      <c r="O113" s="163"/>
      <c r="P113" s="163"/>
    </row>
    <row r="114" spans="1:26" ht="19.5">
      <c r="A114" s="170"/>
      <c r="B114" s="171"/>
      <c r="C114" s="171"/>
      <c r="D114" s="171"/>
      <c r="E114" s="415" t="s">
        <v>61</v>
      </c>
      <c r="F114" s="342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IFERROR(__xludf.DUMMYFUNCTION("IMPORTRANGE(""https://docs.google.com/spreadsheets/d/1QqKyyYR6Q21VydFLVH3TRQUabQu_ym0Zz7PgGX0-kHA/edit?usp=sharing"",""แผน!R30"")"),20)</f>
        <v>20</v>
      </c>
      <c r="J114" s="214">
        <v>0</v>
      </c>
      <c r="K114" s="465">
        <f t="shared" ca="1" si="58"/>
        <v>0</v>
      </c>
      <c r="L114" s="465"/>
      <c r="M114" s="465"/>
      <c r="N114" s="465"/>
      <c r="O114" s="163"/>
      <c r="P114" s="163"/>
    </row>
    <row r="115" spans="1:26" ht="18.75">
      <c r="A115" s="170"/>
      <c r="B115" s="171"/>
      <c r="C115" s="171"/>
      <c r="D115" s="171"/>
      <c r="E115" s="415" t="s">
        <v>62</v>
      </c>
      <c r="F115" s="342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IFERROR(__xludf.DUMMYFUNCTION("IMPORTRANGE(""https://docs.google.com/spreadsheets/d/1QqKyyYR6Q21VydFLVH3TRQUabQu_ym0Zz7PgGX0-kHA/edit?usp=sharing"",""แผน!S30"")"),1)</f>
        <v>1</v>
      </c>
      <c r="J115" s="214">
        <v>0</v>
      </c>
      <c r="K115" s="465">
        <f t="shared" ca="1" si="58"/>
        <v>0</v>
      </c>
      <c r="L115" s="465"/>
      <c r="M115" s="465"/>
      <c r="N115" s="465"/>
      <c r="O115" s="163"/>
      <c r="P115" s="163"/>
    </row>
    <row r="116" spans="1:26" ht="18.75">
      <c r="A116" s="170"/>
      <c r="B116" s="171"/>
      <c r="C116" s="171"/>
      <c r="D116" s="171"/>
      <c r="E116" s="415" t="s">
        <v>63</v>
      </c>
      <c r="F116" s="342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IFERROR(__xludf.DUMMYFUNCTION("IMPORTRANGE(""https://docs.google.com/spreadsheets/d/1QqKyyYR6Q21VydFLVH3TRQUabQu_ym0Zz7PgGX0-kHA/edit?usp=sharing"",""แผน!T30"")"),1)</f>
        <v>1</v>
      </c>
      <c r="J116" s="214">
        <v>0</v>
      </c>
      <c r="K116" s="465">
        <f t="shared" ca="1" si="58"/>
        <v>0</v>
      </c>
      <c r="L116" s="465"/>
      <c r="M116" s="465"/>
      <c r="N116" s="465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8" t="s">
        <v>65</v>
      </c>
      <c r="C118" s="204"/>
      <c r="D118" s="141"/>
      <c r="E118" s="140"/>
      <c r="F118" s="140"/>
      <c r="G118" s="142"/>
      <c r="H118" s="143"/>
      <c r="I118" s="205"/>
      <c r="J118" s="205"/>
      <c r="K118" s="146"/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17" t="s">
        <v>17</v>
      </c>
      <c r="E119" s="148"/>
      <c r="F119" s="148"/>
      <c r="G119" s="151"/>
      <c r="H119" s="152" t="s">
        <v>12</v>
      </c>
      <c r="I119" s="388"/>
      <c r="J119" s="388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2" t="s">
        <v>18</v>
      </c>
      <c r="F120" s="40"/>
      <c r="G120" s="157"/>
      <c r="H120" s="158" t="s">
        <v>12</v>
      </c>
      <c r="I120" s="583"/>
      <c r="J120" s="583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2" t="s">
        <v>19</v>
      </c>
      <c r="F121" s="40"/>
      <c r="G121" s="157"/>
      <c r="H121" s="158" t="s">
        <v>12</v>
      </c>
      <c r="I121" s="583"/>
      <c r="J121" s="583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1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65">
        <f t="shared" ref="L122:N122" ca="1" si="64">L123+L124</f>
        <v>0</v>
      </c>
      <c r="M122" s="465">
        <f t="shared" ca="1" si="64"/>
        <v>0</v>
      </c>
      <c r="N122" s="465">
        <f t="shared" ca="1" si="64"/>
        <v>0</v>
      </c>
      <c r="O122" s="465">
        <f t="shared" ca="1" si="61"/>
        <v>0</v>
      </c>
      <c r="P122" s="465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2"/>
      <c r="D123" s="40"/>
      <c r="E123" s="222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2"/>
      <c r="D124" s="40"/>
      <c r="E124" s="222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IFERROR(__xludf.DUMMYFUNCTION("IMPORTRANGE(""https://docs.google.com/spreadsheets/d/1MeEWN-I1oV_STSDYn1IFDPWt_1FKiwhDph83XaGc0o0/edit?usp=sharing"",""งบพรบ!BA30"")"),0)</f>
        <v>0</v>
      </c>
      <c r="M124" s="93">
        <f ca="1">IFERROR(__xludf.DUMMYFUNCTION("IMPORTRANGE(""https://docs.google.com/spreadsheets/d/1MeEWN-I1oV_STSDYn1IFDPWt_1FKiwhDph83XaGc0o0/edit?usp=sharing"",""งบพรบ!BF30"")"),0)</f>
        <v>0</v>
      </c>
      <c r="N124" s="93">
        <f ca="1">IFERROR(__xludf.DUMMYFUNCTION("IMPORTRANGE(""https://docs.google.com/spreadsheets/d/1MeEWN-I1oV_STSDYn1IFDPWt_1FKiwhDph83XaGc0o0/edit?usp=sharing"",""งบพรบ!BH30"")"),0)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1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65">
        <f t="shared" ref="L125:N125" ca="1" si="65">L126+L127</f>
        <v>0</v>
      </c>
      <c r="M125" s="465">
        <f t="shared" ca="1" si="65"/>
        <v>0</v>
      </c>
      <c r="N125" s="465">
        <f t="shared" ca="1" si="65"/>
        <v>0</v>
      </c>
      <c r="O125" s="465">
        <f t="shared" ca="1" si="61"/>
        <v>0</v>
      </c>
      <c r="P125" s="465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2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2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IFERROR(__xludf.DUMMYFUNCTION("IMPORTRANGE(""https://docs.google.com/spreadsheets/d/1MeEWN-I1oV_STSDYn1IFDPWt_1FKiwhDph83XaGc0o0/edit?usp=sharing"",""งบพรบ!BD30"")"),0)</f>
        <v>0</v>
      </c>
      <c r="M127" s="93">
        <f ca="1">IFERROR(__xludf.DUMMYFUNCTION("IMPORTRANGE(""https://docs.google.com/spreadsheets/d/1MeEWN-I1oV_STSDYn1IFDPWt_1FKiwhDph83XaGc0o0/edit?usp=sharing"",""งบพรบ!BG30"")"),0)</f>
        <v>0</v>
      </c>
      <c r="N127" s="93">
        <f ca="1">IFERROR(__xludf.DUMMYFUNCTION("IMPORTRANGE(""https://docs.google.com/spreadsheets/d/1MeEWN-I1oV_STSDYn1IFDPWt_1FKiwhDph83XaGc0o0/edit?usp=sharing"",""งบพรบ!BI30"")"),0)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>
      <c r="A128" s="131" t="s">
        <v>66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>
      <c r="A129" s="138"/>
      <c r="B129" s="208" t="s">
        <v>67</v>
      </c>
      <c r="C129" s="204"/>
      <c r="D129" s="141"/>
      <c r="E129" s="140"/>
      <c r="F129" s="140"/>
      <c r="G129" s="140"/>
      <c r="H129" s="207"/>
      <c r="I129" s="205"/>
      <c r="J129" s="205"/>
      <c r="K129" s="146"/>
      <c r="L129" s="146"/>
      <c r="M129" s="146"/>
      <c r="N129" s="146"/>
      <c r="O129" s="146"/>
      <c r="P129" s="146"/>
    </row>
    <row r="130" spans="1:26" ht="19.5">
      <c r="A130" s="138"/>
      <c r="B130" s="208"/>
      <c r="C130" s="209" t="s">
        <v>68</v>
      </c>
      <c r="D130" s="141"/>
      <c r="E130" s="140"/>
      <c r="F130" s="140"/>
      <c r="G130" s="142"/>
      <c r="H130" s="143" t="s">
        <v>69</v>
      </c>
      <c r="I130" s="144">
        <f t="shared" ref="I130:J130" ca="1" si="66">I146</f>
        <v>1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>
      <c r="A131" s="138"/>
      <c r="B131" s="208"/>
      <c r="C131" s="209" t="s">
        <v>70</v>
      </c>
      <c r="D131" s="141"/>
      <c r="E131" s="140"/>
      <c r="F131" s="140"/>
      <c r="G131" s="142"/>
      <c r="H131" s="143" t="s">
        <v>35</v>
      </c>
      <c r="I131" s="144">
        <f t="shared" ref="I131:J131" ca="1" si="68">I143</f>
        <v>10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>
      <c r="A132" s="147"/>
      <c r="B132" s="148"/>
      <c r="C132" s="149" t="s">
        <v>16</v>
      </c>
      <c r="D132" s="817" t="s">
        <v>17</v>
      </c>
      <c r="E132" s="148"/>
      <c r="F132" s="148"/>
      <c r="G132" s="151"/>
      <c r="H132" s="152" t="s">
        <v>12</v>
      </c>
      <c r="I132" s="388"/>
      <c r="J132" s="388"/>
      <c r="K132" s="154"/>
      <c r="L132" s="155">
        <f t="shared" ref="L132:N132" ca="1" si="69">L133+L134</f>
        <v>151655</v>
      </c>
      <c r="M132" s="155">
        <f t="shared" ca="1" si="69"/>
        <v>133600</v>
      </c>
      <c r="N132" s="155">
        <f t="shared" ca="1" si="69"/>
        <v>103000</v>
      </c>
      <c r="O132" s="155">
        <f t="shared" ref="O132:O140" ca="1" si="70">IF(L132&gt;0,N132*100/L132,0)</f>
        <v>67.917312320727973</v>
      </c>
      <c r="P132" s="155">
        <f t="shared" ref="P132:P140" ca="1" si="71">IF(M132&gt;0,N132*100/M132,0)</f>
        <v>77.095808383233532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2" t="s">
        <v>18</v>
      </c>
      <c r="F133" s="40"/>
      <c r="G133" s="157"/>
      <c r="H133" s="158" t="s">
        <v>12</v>
      </c>
      <c r="I133" s="583"/>
      <c r="J133" s="583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2" t="s">
        <v>19</v>
      </c>
      <c r="F134" s="40"/>
      <c r="G134" s="157"/>
      <c r="H134" s="158" t="s">
        <v>12</v>
      </c>
      <c r="I134" s="583"/>
      <c r="J134" s="583"/>
      <c r="K134" s="93"/>
      <c r="L134" s="93">
        <f t="shared" ca="1" si="72"/>
        <v>151655</v>
      </c>
      <c r="M134" s="93">
        <f t="shared" ca="1" si="72"/>
        <v>133600</v>
      </c>
      <c r="N134" s="93">
        <f t="shared" ca="1" si="72"/>
        <v>103000</v>
      </c>
      <c r="O134" s="93">
        <f t="shared" ca="1" si="70"/>
        <v>67.917312320727973</v>
      </c>
      <c r="P134" s="93">
        <f t="shared" ca="1" si="71"/>
        <v>77.095808383233532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>
      <c r="A135" s="159"/>
      <c r="B135" s="33"/>
      <c r="C135" s="281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65">
        <f t="shared" ref="L135:N135" ca="1" si="73">L136+L137</f>
        <v>48655</v>
      </c>
      <c r="M135" s="465">
        <f t="shared" ca="1" si="73"/>
        <v>30600</v>
      </c>
      <c r="N135" s="465">
        <f t="shared" ca="1" si="73"/>
        <v>0</v>
      </c>
      <c r="O135" s="465">
        <f t="shared" ca="1" si="70"/>
        <v>0</v>
      </c>
      <c r="P135" s="465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2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2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IFERROR(__xludf.DUMMYFUNCTION("IMPORTRANGE(""https://docs.google.com/spreadsheets/d/1MeEWN-I1oV_STSDYn1IFDPWt_1FKiwhDph83XaGc0o0/edit?usp=sharing"",""งบพรบ!BK30"")"),48655)</f>
        <v>48655</v>
      </c>
      <c r="M137" s="93">
        <f ca="1">IFERROR(__xludf.DUMMYFUNCTION("IMPORTRANGE(""https://docs.google.com/spreadsheets/d/1MeEWN-I1oV_STSDYn1IFDPWt_1FKiwhDph83XaGc0o0/edit?usp=sharing"",""งบพรบ!BP30"")"),30600)</f>
        <v>30600</v>
      </c>
      <c r="N137" s="93">
        <f ca="1">IFERROR(__xludf.DUMMYFUNCTION("IMPORTRANGE(""https://docs.google.com/spreadsheets/d/1MeEWN-I1oV_STSDYn1IFDPWt_1FKiwhDph83XaGc0o0/edit?usp=sharing"",""งบพรบ!BR30"")"),0)</f>
        <v>0</v>
      </c>
      <c r="O137" s="93">
        <f t="shared" ca="1" si="70"/>
        <v>0</v>
      </c>
      <c r="P137" s="93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>
      <c r="A138" s="159"/>
      <c r="B138" s="33"/>
      <c r="C138" s="281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65">
        <f t="shared" ref="L138:N138" ca="1" si="74">L139+L140</f>
        <v>103000</v>
      </c>
      <c r="M138" s="465">
        <f t="shared" ca="1" si="74"/>
        <v>103000</v>
      </c>
      <c r="N138" s="465">
        <f t="shared" ca="1" si="74"/>
        <v>103000</v>
      </c>
      <c r="O138" s="465">
        <f t="shared" ca="1" si="70"/>
        <v>100</v>
      </c>
      <c r="P138" s="465">
        <f t="shared" ca="1" si="71"/>
        <v>100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2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2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IFERROR(__xludf.DUMMYFUNCTION("IMPORTRANGE(""https://docs.google.com/spreadsheets/d/1MeEWN-I1oV_STSDYn1IFDPWt_1FKiwhDph83XaGc0o0/edit?usp=sharing"",""งบพรบ!BN30"")"),103000)</f>
        <v>103000</v>
      </c>
      <c r="M140" s="93">
        <f ca="1">IFERROR(__xludf.DUMMYFUNCTION("IMPORTRANGE(""https://docs.google.com/spreadsheets/d/1MeEWN-I1oV_STSDYn1IFDPWt_1FKiwhDph83XaGc0o0/edit?usp=sharing"",""งบพรบ!BQ30"")"),103000)</f>
        <v>103000</v>
      </c>
      <c r="N140" s="93">
        <f ca="1">IFERROR(__xludf.DUMMYFUNCTION("IMPORTRANGE(""https://docs.google.com/spreadsheets/d/1MeEWN-I1oV_STSDYn1IFDPWt_1FKiwhDph83XaGc0o0/edit?usp=sharing"",""งบพรบ!BS30"")"),103000)</f>
        <v>103000</v>
      </c>
      <c r="O140" s="93">
        <f t="shared" ca="1" si="70"/>
        <v>100</v>
      </c>
      <c r="P140" s="93">
        <f t="shared" ca="1" si="71"/>
        <v>100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>
      <c r="A141" s="170"/>
      <c r="B141" s="171"/>
      <c r="C141" s="149" t="s">
        <v>16</v>
      </c>
      <c r="D141" s="818" t="s">
        <v>38</v>
      </c>
      <c r="E141" s="173"/>
      <c r="F141" s="173"/>
      <c r="G141" s="174"/>
      <c r="H141" s="168"/>
      <c r="I141" s="269"/>
      <c r="J141" s="269"/>
      <c r="K141" s="465"/>
      <c r="L141" s="465"/>
      <c r="M141" s="465"/>
      <c r="N141" s="465"/>
      <c r="O141" s="465"/>
      <c r="P141" s="465"/>
    </row>
    <row r="142" spans="1:26" ht="19.5">
      <c r="A142" s="159"/>
      <c r="B142" s="33"/>
      <c r="C142" s="210"/>
      <c r="D142" s="281" t="s">
        <v>71</v>
      </c>
      <c r="E142" s="34"/>
      <c r="F142" s="33"/>
      <c r="G142" s="213"/>
      <c r="H142" s="168"/>
      <c r="I142" s="269"/>
      <c r="J142" s="214">
        <v>0</v>
      </c>
      <c r="K142" s="465"/>
      <c r="L142" s="465"/>
      <c r="M142" s="465"/>
      <c r="N142" s="465"/>
      <c r="O142" s="465"/>
      <c r="P142" s="465"/>
    </row>
    <row r="143" spans="1:26" ht="19.5">
      <c r="A143" s="159"/>
      <c r="B143" s="33"/>
      <c r="C143" s="210"/>
      <c r="D143" s="281" t="s">
        <v>72</v>
      </c>
      <c r="E143" s="34"/>
      <c r="F143" s="33"/>
      <c r="G143" s="213"/>
      <c r="H143" s="168" t="s">
        <v>35</v>
      </c>
      <c r="I143" s="269">
        <f ca="1">I145</f>
        <v>10</v>
      </c>
      <c r="J143" s="269">
        <f ca="1">IF(AND(J144&gt;=I144,J145&gt;=I145),J145,0)</f>
        <v>0</v>
      </c>
      <c r="K143" s="465">
        <f t="shared" ref="K143:K146" ca="1" si="75">IF(I143&gt;0,J143*100/I143,0)</f>
        <v>0</v>
      </c>
      <c r="L143" s="465"/>
      <c r="M143" s="465"/>
      <c r="N143" s="465"/>
      <c r="O143" s="465"/>
      <c r="P143" s="465"/>
    </row>
    <row r="144" spans="1:26" ht="19.5">
      <c r="A144" s="159"/>
      <c r="B144" s="33"/>
      <c r="C144" s="210"/>
      <c r="D144" s="342"/>
      <c r="E144" s="281" t="s">
        <v>73</v>
      </c>
      <c r="F144" s="33"/>
      <c r="G144" s="213"/>
      <c r="H144" s="168" t="s">
        <v>35</v>
      </c>
      <c r="I144" s="269">
        <f ca="1">IFERROR(__xludf.DUMMYFUNCTION("IMPORTRANGE(""https://docs.google.com/spreadsheets/d/1QqKyyYR6Q21VydFLVH3TRQUabQu_ym0Zz7PgGX0-kHA/edit?usp=sharing"",""แผน!U30"")"),5)</f>
        <v>5</v>
      </c>
      <c r="J144" s="214">
        <v>0</v>
      </c>
      <c r="K144" s="465">
        <f t="shared" ca="1" si="75"/>
        <v>0</v>
      </c>
      <c r="L144" s="465"/>
      <c r="M144" s="465"/>
      <c r="N144" s="465"/>
      <c r="O144" s="465"/>
      <c r="P144" s="465"/>
    </row>
    <row r="145" spans="1:26" ht="19.5">
      <c r="A145" s="159"/>
      <c r="B145" s="33"/>
      <c r="C145" s="210"/>
      <c r="D145" s="342"/>
      <c r="E145" s="281" t="s">
        <v>74</v>
      </c>
      <c r="F145" s="33"/>
      <c r="G145" s="213"/>
      <c r="H145" s="168" t="s">
        <v>35</v>
      </c>
      <c r="I145" s="269">
        <f ca="1">IFERROR(__xludf.DUMMYFUNCTION("IMPORTRANGE(""https://docs.google.com/spreadsheets/d/1QqKyyYR6Q21VydFLVH3TRQUabQu_ym0Zz7PgGX0-kHA/edit?usp=sharing"",""แผน!V30"")"),10)</f>
        <v>10</v>
      </c>
      <c r="J145" s="214">
        <v>0</v>
      </c>
      <c r="K145" s="465">
        <f t="shared" ca="1" si="75"/>
        <v>0</v>
      </c>
      <c r="L145" s="465"/>
      <c r="M145" s="465"/>
      <c r="N145" s="465"/>
      <c r="O145" s="465"/>
      <c r="P145" s="465"/>
    </row>
    <row r="146" spans="1:26" ht="19.5">
      <c r="A146" s="159"/>
      <c r="B146" s="33"/>
      <c r="C146" s="210"/>
      <c r="D146" s="281" t="s">
        <v>75</v>
      </c>
      <c r="E146" s="34"/>
      <c r="F146" s="33"/>
      <c r="G146" s="213"/>
      <c r="H146" s="168" t="s">
        <v>69</v>
      </c>
      <c r="I146" s="269">
        <f ca="1">IFERROR(__xludf.DUMMYFUNCTION("IMPORTRANGE(""https://docs.google.com/spreadsheets/d/1QqKyyYR6Q21VydFLVH3TRQUabQu_ym0Zz7PgGX0-kHA/edit?usp=sharing"",""แผน!W30"")"),1)</f>
        <v>1</v>
      </c>
      <c r="J146" s="214">
        <v>0</v>
      </c>
      <c r="K146" s="465">
        <f t="shared" ca="1" si="75"/>
        <v>0</v>
      </c>
      <c r="L146" s="465"/>
      <c r="M146" s="465"/>
      <c r="N146" s="465"/>
      <c r="O146" s="465"/>
      <c r="P146" s="465"/>
    </row>
    <row r="147" spans="1:26" ht="19.5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>
      <c r="A148" s="216"/>
      <c r="B148" s="208" t="s">
        <v>77</v>
      </c>
      <c r="C148" s="208"/>
      <c r="D148" s="208"/>
      <c r="E148" s="819"/>
      <c r="F148" s="218"/>
      <c r="G148" s="219"/>
      <c r="H148" s="220" t="s">
        <v>35</v>
      </c>
      <c r="I148" s="144">
        <f t="shared" ref="I148:J148" ca="1" si="76">I159</f>
        <v>20</v>
      </c>
      <c r="J148" s="144">
        <f t="shared" si="76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1"/>
      <c r="R148" s="221"/>
      <c r="S148" s="221"/>
      <c r="T148" s="221"/>
      <c r="U148" s="221"/>
      <c r="V148" s="221"/>
      <c r="W148" s="221"/>
      <c r="X148" s="221"/>
      <c r="Y148" s="221"/>
      <c r="Z148" s="221"/>
    </row>
    <row r="149" spans="1:26" ht="19.5">
      <c r="A149" s="147"/>
      <c r="B149" s="148"/>
      <c r="C149" s="149" t="s">
        <v>16</v>
      </c>
      <c r="D149" s="817" t="s">
        <v>17</v>
      </c>
      <c r="E149" s="148"/>
      <c r="F149" s="148"/>
      <c r="G149" s="151"/>
      <c r="H149" s="152" t="s">
        <v>12</v>
      </c>
      <c r="I149" s="388"/>
      <c r="J149" s="388"/>
      <c r="K149" s="154"/>
      <c r="L149" s="155">
        <f t="shared" ref="L149:N149" ca="1" si="77">L150+L151</f>
        <v>10000</v>
      </c>
      <c r="M149" s="155">
        <f t="shared" ca="1" si="77"/>
        <v>10000</v>
      </c>
      <c r="N149" s="155">
        <f t="shared" ca="1" si="77"/>
        <v>0</v>
      </c>
      <c r="O149" s="155">
        <f t="shared" ref="O149:O157" ca="1" si="78">IF(L149&gt;0,N149*100/L149,0)</f>
        <v>0</v>
      </c>
      <c r="P149" s="155">
        <f t="shared" ref="P149:P157" ca="1" si="79">IF(M149&gt;0,N149*100/M149,0)</f>
        <v>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2" t="s">
        <v>18</v>
      </c>
      <c r="F150" s="40"/>
      <c r="G150" s="157"/>
      <c r="H150" s="158" t="s">
        <v>12</v>
      </c>
      <c r="I150" s="583"/>
      <c r="J150" s="583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2" t="s">
        <v>19</v>
      </c>
      <c r="F151" s="40"/>
      <c r="G151" s="157"/>
      <c r="H151" s="158" t="s">
        <v>12</v>
      </c>
      <c r="I151" s="583"/>
      <c r="J151" s="583"/>
      <c r="K151" s="93"/>
      <c r="L151" s="93">
        <f t="shared" ca="1" si="80"/>
        <v>10000</v>
      </c>
      <c r="M151" s="93">
        <f t="shared" ca="1" si="80"/>
        <v>10000</v>
      </c>
      <c r="N151" s="93">
        <f t="shared" ca="1" si="80"/>
        <v>0</v>
      </c>
      <c r="O151" s="93">
        <f t="shared" ca="1" si="78"/>
        <v>0</v>
      </c>
      <c r="P151" s="93">
        <f t="shared" ca="1" si="79"/>
        <v>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>
      <c r="A152" s="159"/>
      <c r="B152" s="33"/>
      <c r="C152" s="281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65">
        <f t="shared" ref="L152:N152" ca="1" si="81">L153+L154</f>
        <v>10000</v>
      </c>
      <c r="M152" s="465">
        <f t="shared" ca="1" si="81"/>
        <v>10000</v>
      </c>
      <c r="N152" s="465">
        <f t="shared" ca="1" si="81"/>
        <v>0</v>
      </c>
      <c r="O152" s="465">
        <f t="shared" ca="1" si="78"/>
        <v>0</v>
      </c>
      <c r="P152" s="465">
        <f t="shared" ca="1" si="79"/>
        <v>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2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2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IFERROR(__xludf.DUMMYFUNCTION("IMPORTRANGE(""https://docs.google.com/spreadsheets/d/1MeEWN-I1oV_STSDYn1IFDPWt_1FKiwhDph83XaGc0o0/edit?usp=sharing"",""งบพรบ!BU30"")"),10000)</f>
        <v>10000</v>
      </c>
      <c r="M154" s="93">
        <f ca="1">IFERROR(__xludf.DUMMYFUNCTION("IMPORTRANGE(""https://docs.google.com/spreadsheets/d/1MeEWN-I1oV_STSDYn1IFDPWt_1FKiwhDph83XaGc0o0/edit?usp=sharing"",""งบพรบ!BZ30"")"),10000)</f>
        <v>10000</v>
      </c>
      <c r="N154" s="93">
        <f ca="1">IFERROR(__xludf.DUMMYFUNCTION("IMPORTRANGE(""https://docs.google.com/spreadsheets/d/1MeEWN-I1oV_STSDYn1IFDPWt_1FKiwhDph83XaGc0o0/edit?usp=sharing"",""งบพรบ!CB30"")"),0)</f>
        <v>0</v>
      </c>
      <c r="O154" s="93">
        <f t="shared" ca="1" si="78"/>
        <v>0</v>
      </c>
      <c r="P154" s="93">
        <f t="shared" ca="1" si="79"/>
        <v>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>
      <c r="A155" s="159"/>
      <c r="B155" s="33"/>
      <c r="C155" s="281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65">
        <f t="shared" ref="L155:N155" ca="1" si="82">L156+L157</f>
        <v>0</v>
      </c>
      <c r="M155" s="465">
        <f t="shared" ca="1" si="82"/>
        <v>0</v>
      </c>
      <c r="N155" s="465">
        <f t="shared" ca="1" si="82"/>
        <v>0</v>
      </c>
      <c r="O155" s="465">
        <f t="shared" ca="1" si="78"/>
        <v>0</v>
      </c>
      <c r="P155" s="465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2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2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IFERROR(__xludf.DUMMYFUNCTION("IMPORTRANGE(""https://docs.google.com/spreadsheets/d/1MeEWN-I1oV_STSDYn1IFDPWt_1FKiwhDph83XaGc0o0/edit?usp=sharing"",""งบพรบ!BX30"")"),0)</f>
        <v>0</v>
      </c>
      <c r="M157" s="93">
        <f ca="1">IFERROR(__xludf.DUMMYFUNCTION("IMPORTRANGE(""https://docs.google.com/spreadsheets/d/1MeEWN-I1oV_STSDYn1IFDPWt_1FKiwhDph83XaGc0o0/edit?usp=sharing"",""งบพรบ!CA30"")"),0)</f>
        <v>0</v>
      </c>
      <c r="N157" s="93">
        <f ca="1">IFERROR(__xludf.DUMMYFUNCTION("IMPORTRANGE(""https://docs.google.com/spreadsheets/d/1MeEWN-I1oV_STSDYn1IFDPWt_1FKiwhDph83XaGc0o0/edit?usp=sharing"",""งบพรบ!CC30"")"),0)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>
      <c r="A158" s="170"/>
      <c r="B158" s="171"/>
      <c r="C158" s="164" t="s">
        <v>16</v>
      </c>
      <c r="D158" s="818" t="s">
        <v>38</v>
      </c>
      <c r="E158" s="173"/>
      <c r="F158" s="173"/>
      <c r="G158" s="174"/>
      <c r="H158" s="168"/>
      <c r="I158" s="269"/>
      <c r="J158" s="269"/>
      <c r="K158" s="465"/>
      <c r="L158" s="465"/>
      <c r="M158" s="465"/>
      <c r="N158" s="465"/>
      <c r="O158" s="465"/>
      <c r="P158" s="465"/>
    </row>
    <row r="159" spans="1:26" ht="19.5">
      <c r="A159" s="159"/>
      <c r="B159" s="33"/>
      <c r="C159" s="210"/>
      <c r="D159" s="281" t="s">
        <v>78</v>
      </c>
      <c r="E159" s="34"/>
      <c r="F159" s="33"/>
      <c r="G159" s="213"/>
      <c r="H159" s="168" t="s">
        <v>35</v>
      </c>
      <c r="I159" s="269">
        <f ca="1">IFERROR(__xludf.DUMMYFUNCTION("IMPORTRANGE(""https://docs.google.com/spreadsheets/d/1QqKyyYR6Q21VydFLVH3TRQUabQu_ym0Zz7PgGX0-kHA/edit?usp=sharing"",""แผน!X30"")"),20)</f>
        <v>20</v>
      </c>
      <c r="J159" s="214">
        <v>0</v>
      </c>
      <c r="K159" s="465">
        <f ca="1">IF(I159&gt;0,J159*100/I159,0)</f>
        <v>0</v>
      </c>
      <c r="L159" s="465"/>
      <c r="M159" s="465"/>
      <c r="N159" s="465"/>
      <c r="O159" s="465"/>
      <c r="P159" s="465"/>
    </row>
    <row r="160" spans="1:26" ht="19.5" hidden="1">
      <c r="A160" s="156"/>
      <c r="B160" s="40"/>
      <c r="C160" s="164"/>
      <c r="D160" s="222" t="s">
        <v>79</v>
      </c>
      <c r="E160" s="223"/>
      <c r="F160" s="40"/>
      <c r="G160" s="157"/>
      <c r="H160" s="169" t="s">
        <v>35</v>
      </c>
      <c r="I160" s="583"/>
      <c r="J160" s="583"/>
      <c r="K160" s="93"/>
      <c r="L160" s="93"/>
      <c r="M160" s="93"/>
      <c r="N160" s="93"/>
      <c r="O160" s="93"/>
      <c r="P160" s="93"/>
      <c r="Q160" s="224"/>
      <c r="R160" s="224"/>
      <c r="S160" s="224"/>
      <c r="T160" s="224"/>
      <c r="U160" s="224"/>
      <c r="V160" s="224"/>
      <c r="W160" s="224"/>
      <c r="X160" s="224"/>
      <c r="Y160" s="224"/>
      <c r="Z160" s="224"/>
    </row>
    <row r="161" spans="1:26" ht="19.5" hidden="1">
      <c r="A161" s="225"/>
      <c r="B161" s="226"/>
      <c r="C161" s="227"/>
      <c r="D161" s="228" t="s">
        <v>80</v>
      </c>
      <c r="E161" s="820"/>
      <c r="F161" s="226"/>
      <c r="G161" s="230"/>
      <c r="H161" s="231" t="s">
        <v>35</v>
      </c>
      <c r="I161" s="232"/>
      <c r="J161" s="232"/>
      <c r="K161" s="233"/>
      <c r="L161" s="233"/>
      <c r="M161" s="233"/>
      <c r="N161" s="233"/>
      <c r="O161" s="233"/>
      <c r="P161" s="233"/>
      <c r="Q161" s="224"/>
      <c r="R161" s="224"/>
      <c r="S161" s="224"/>
      <c r="T161" s="224"/>
      <c r="U161" s="224"/>
      <c r="V161" s="224"/>
      <c r="W161" s="224"/>
      <c r="X161" s="224"/>
      <c r="Y161" s="224"/>
      <c r="Z161" s="224"/>
    </row>
    <row r="162" spans="1:26" ht="19.5">
      <c r="A162" s="234" t="s">
        <v>81</v>
      </c>
      <c r="B162" s="235"/>
      <c r="C162" s="235"/>
      <c r="D162" s="235"/>
      <c r="E162" s="236"/>
      <c r="F162" s="236"/>
      <c r="G162" s="237"/>
      <c r="H162" s="238"/>
      <c r="I162" s="239"/>
      <c r="J162" s="239"/>
      <c r="K162" s="240"/>
      <c r="L162" s="240"/>
      <c r="M162" s="240"/>
      <c r="N162" s="240"/>
      <c r="O162" s="240"/>
      <c r="P162" s="240"/>
    </row>
    <row r="163" spans="1:26" ht="19.5">
      <c r="A163" s="241" t="s">
        <v>82</v>
      </c>
      <c r="B163" s="242"/>
      <c r="C163" s="242"/>
      <c r="D163" s="243"/>
      <c r="E163" s="243"/>
      <c r="F163" s="243"/>
      <c r="G163" s="244"/>
      <c r="H163" s="245"/>
      <c r="I163" s="246"/>
      <c r="J163" s="246"/>
      <c r="K163" s="247"/>
      <c r="L163" s="247"/>
      <c r="M163" s="247"/>
      <c r="N163" s="247"/>
      <c r="O163" s="247"/>
      <c r="P163" s="247"/>
    </row>
    <row r="164" spans="1:26" ht="19.5">
      <c r="A164" s="248"/>
      <c r="B164" s="249" t="s">
        <v>83</v>
      </c>
      <c r="C164" s="250"/>
      <c r="D164" s="173"/>
      <c r="E164" s="173"/>
      <c r="F164" s="173"/>
      <c r="G164" s="174"/>
      <c r="H164" s="251" t="s">
        <v>35</v>
      </c>
      <c r="I164" s="252">
        <f t="shared" ref="I164:J164" ca="1" si="83">I174+I177</f>
        <v>10</v>
      </c>
      <c r="J164" s="252">
        <f t="shared" si="83"/>
        <v>10</v>
      </c>
      <c r="K164" s="253">
        <f ca="1">IF(I164&gt;0,J164*100/I164,0)</f>
        <v>100</v>
      </c>
      <c r="L164" s="254"/>
      <c r="M164" s="254"/>
      <c r="N164" s="254"/>
      <c r="O164" s="254"/>
      <c r="P164" s="254"/>
    </row>
    <row r="165" spans="1:26" ht="19.5">
      <c r="A165" s="147"/>
      <c r="B165" s="148"/>
      <c r="C165" s="149" t="s">
        <v>16</v>
      </c>
      <c r="D165" s="817" t="s">
        <v>17</v>
      </c>
      <c r="E165" s="148"/>
      <c r="F165" s="148"/>
      <c r="G165" s="151"/>
      <c r="H165" s="152" t="s">
        <v>12</v>
      </c>
      <c r="I165" s="388"/>
      <c r="J165" s="388"/>
      <c r="K165" s="154"/>
      <c r="L165" s="155">
        <f t="shared" ref="L165:N165" ca="1" si="84">L166+L167</f>
        <v>21050</v>
      </c>
      <c r="M165" s="155">
        <f t="shared" ca="1" si="84"/>
        <v>21050</v>
      </c>
      <c r="N165" s="155">
        <f t="shared" ca="1" si="84"/>
        <v>15320</v>
      </c>
      <c r="O165" s="155">
        <f t="shared" ref="O165:O173" ca="1" si="85">IF(L165&gt;0,N165*100/L165,0)</f>
        <v>72.779097387173394</v>
      </c>
      <c r="P165" s="155">
        <f t="shared" ref="P165:P173" ca="1" si="86">IF(M165&gt;0,N165*100/M165,0)</f>
        <v>72.779097387173394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2" t="s">
        <v>18</v>
      </c>
      <c r="F166" s="40"/>
      <c r="G166" s="157"/>
      <c r="H166" s="158" t="s">
        <v>12</v>
      </c>
      <c r="I166" s="583"/>
      <c r="J166" s="583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2" t="s">
        <v>19</v>
      </c>
      <c r="F167" s="40"/>
      <c r="G167" s="157"/>
      <c r="H167" s="158" t="s">
        <v>12</v>
      </c>
      <c r="I167" s="583"/>
      <c r="J167" s="583"/>
      <c r="K167" s="93"/>
      <c r="L167" s="93">
        <f t="shared" ca="1" si="87"/>
        <v>21050</v>
      </c>
      <c r="M167" s="93">
        <f t="shared" ca="1" si="87"/>
        <v>21050</v>
      </c>
      <c r="N167" s="93">
        <f t="shared" ca="1" si="87"/>
        <v>15320</v>
      </c>
      <c r="O167" s="93">
        <f t="shared" ca="1" si="85"/>
        <v>72.779097387173394</v>
      </c>
      <c r="P167" s="93">
        <f t="shared" ca="1" si="86"/>
        <v>72.779097387173394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1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65">
        <f t="shared" ref="L168:N168" ca="1" si="88">L169+L170</f>
        <v>21050</v>
      </c>
      <c r="M168" s="465">
        <f t="shared" ca="1" si="88"/>
        <v>21050</v>
      </c>
      <c r="N168" s="465">
        <f t="shared" ca="1" si="88"/>
        <v>15320</v>
      </c>
      <c r="O168" s="465">
        <f t="shared" ca="1" si="85"/>
        <v>72.779097387173394</v>
      </c>
      <c r="P168" s="465">
        <f t="shared" ca="1" si="86"/>
        <v>72.779097387173394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2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2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IFERROR(__xludf.DUMMYFUNCTION("IMPORTRANGE(""https://docs.google.com/spreadsheets/d/1MeEWN-I1oV_STSDYn1IFDPWt_1FKiwhDph83XaGc0o0/edit?usp=sharing"",""งบพรบ!CE30"")"),21050)</f>
        <v>21050</v>
      </c>
      <c r="M170" s="93">
        <f ca="1">IFERROR(__xludf.DUMMYFUNCTION("IMPORTRANGE(""https://docs.google.com/spreadsheets/d/1MeEWN-I1oV_STSDYn1IFDPWt_1FKiwhDph83XaGc0o0/edit?usp=sharing"",""งบพรบ!CJ30"")"),21050)</f>
        <v>21050</v>
      </c>
      <c r="N170" s="93">
        <f ca="1">IFERROR(__xludf.DUMMYFUNCTION("IMPORTRANGE(""https://docs.google.com/spreadsheets/d/1MeEWN-I1oV_STSDYn1IFDPWt_1FKiwhDph83XaGc0o0/edit?usp=sharing"",""งบพรบ!CL30"")"),15320)</f>
        <v>15320</v>
      </c>
      <c r="O170" s="93">
        <f t="shared" ca="1" si="85"/>
        <v>72.779097387173394</v>
      </c>
      <c r="P170" s="93">
        <f t="shared" ca="1" si="86"/>
        <v>72.779097387173394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1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65">
        <f t="shared" ref="L171:N171" ca="1" si="89">L172+L173</f>
        <v>0</v>
      </c>
      <c r="M171" s="465">
        <f t="shared" ca="1" si="89"/>
        <v>0</v>
      </c>
      <c r="N171" s="465">
        <f t="shared" ca="1" si="89"/>
        <v>0</v>
      </c>
      <c r="O171" s="465">
        <f t="shared" ca="1" si="85"/>
        <v>0</v>
      </c>
      <c r="P171" s="465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2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2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IFERROR(__xludf.DUMMYFUNCTION("IMPORTRANGE(""https://docs.google.com/spreadsheets/d/1MeEWN-I1oV_STSDYn1IFDPWt_1FKiwhDph83XaGc0o0/edit?usp=sharing"",""งบพรบ!CH30"")"),0)</f>
        <v>0</v>
      </c>
      <c r="M173" s="93">
        <f ca="1">IFERROR(__xludf.DUMMYFUNCTION("IMPORTRANGE(""https://docs.google.com/spreadsheets/d/1MeEWN-I1oV_STSDYn1IFDPWt_1FKiwhDph83XaGc0o0/edit?usp=sharing"",""งบพรบ!CK30"")"),0)</f>
        <v>0</v>
      </c>
      <c r="N173" s="93">
        <f ca="1">IFERROR(__xludf.DUMMYFUNCTION("IMPORTRANGE(""https://docs.google.com/spreadsheets/d/1MeEWN-I1oV_STSDYn1IFDPWt_1FKiwhDph83XaGc0o0/edit?usp=sharing"",""งบพรบ!CM30"")"),0)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5"/>
      <c r="B174" s="256"/>
      <c r="C174" s="257" t="s">
        <v>84</v>
      </c>
      <c r="D174" s="256"/>
      <c r="E174" s="256"/>
      <c r="F174" s="256"/>
      <c r="G174" s="258"/>
      <c r="H174" s="259" t="s">
        <v>35</v>
      </c>
      <c r="I174" s="260">
        <f t="shared" ref="I174:J174" ca="1" si="90">I176</f>
        <v>10</v>
      </c>
      <c r="J174" s="260">
        <f t="shared" si="90"/>
        <v>10</v>
      </c>
      <c r="K174" s="261">
        <f ca="1">IF(I174&gt;0,J174*100/I174,0)</f>
        <v>100</v>
      </c>
      <c r="L174" s="261"/>
      <c r="M174" s="261"/>
      <c r="N174" s="261"/>
      <c r="O174" s="261"/>
      <c r="P174" s="261"/>
    </row>
    <row r="175" spans="1:26" ht="19.5">
      <c r="A175" s="170"/>
      <c r="B175" s="171"/>
      <c r="C175" s="164" t="s">
        <v>16</v>
      </c>
      <c r="D175" s="818" t="s">
        <v>38</v>
      </c>
      <c r="E175" s="173"/>
      <c r="F175" s="173"/>
      <c r="G175" s="174"/>
      <c r="H175" s="726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10" t="s">
        <v>85</v>
      </c>
      <c r="E176" s="342"/>
      <c r="F176" s="342"/>
      <c r="G176" s="179"/>
      <c r="H176" s="589" t="s">
        <v>35</v>
      </c>
      <c r="I176" s="269">
        <f ca="1">IFERROR(__xludf.DUMMYFUNCTION("IMPORTRANGE(""https://docs.google.com/spreadsheets/d/1QqKyyYR6Q21VydFLVH3TRQUabQu_ym0Zz7PgGX0-kHA/edit?usp=sharing"",""แผน!Y30"")"),10)</f>
        <v>10</v>
      </c>
      <c r="J176" s="214">
        <v>10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5"/>
      <c r="B177" s="263"/>
      <c r="C177" s="264" t="s">
        <v>86</v>
      </c>
      <c r="D177" s="263"/>
      <c r="E177" s="256"/>
      <c r="F177" s="256"/>
      <c r="G177" s="258"/>
      <c r="H177" s="265" t="s">
        <v>35</v>
      </c>
      <c r="I177" s="260"/>
      <c r="J177" s="260">
        <f>J179</f>
        <v>0</v>
      </c>
      <c r="K177" s="261"/>
      <c r="L177" s="261"/>
      <c r="M177" s="261"/>
      <c r="N177" s="261"/>
      <c r="O177" s="261"/>
      <c r="P177" s="261"/>
    </row>
    <row r="178" spans="1:26" ht="19.5" hidden="1">
      <c r="A178" s="170"/>
      <c r="B178" s="171"/>
      <c r="C178" s="164" t="s">
        <v>16</v>
      </c>
      <c r="D178" s="266" t="s">
        <v>38</v>
      </c>
      <c r="E178" s="173"/>
      <c r="F178" s="173"/>
      <c r="G178" s="174"/>
      <c r="H178" s="726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267" t="s">
        <v>87</v>
      </c>
      <c r="E179" s="342"/>
      <c r="F179" s="268"/>
      <c r="G179" s="179"/>
      <c r="H179" s="43" t="s">
        <v>35</v>
      </c>
      <c r="I179" s="269"/>
      <c r="J179" s="269"/>
      <c r="K179" s="163"/>
      <c r="L179" s="163"/>
      <c r="M179" s="163"/>
      <c r="N179" s="163"/>
      <c r="O179" s="163"/>
      <c r="P179" s="163"/>
    </row>
    <row r="180" spans="1:26" ht="19.5">
      <c r="A180" s="248"/>
      <c r="B180" s="249" t="s">
        <v>88</v>
      </c>
      <c r="C180" s="250"/>
      <c r="D180" s="173"/>
      <c r="E180" s="173"/>
      <c r="F180" s="173"/>
      <c r="G180" s="174"/>
      <c r="H180" s="251" t="s">
        <v>35</v>
      </c>
      <c r="I180" s="252"/>
      <c r="J180" s="252">
        <f>J225+J226</f>
        <v>0</v>
      </c>
      <c r="K180" s="253">
        <f>IF(I180&gt;0,J180*100/I180,0)</f>
        <v>0</v>
      </c>
      <c r="L180" s="254"/>
      <c r="M180" s="254"/>
      <c r="N180" s="254"/>
      <c r="O180" s="254"/>
      <c r="P180" s="254"/>
    </row>
    <row r="181" spans="1:26" ht="19.5">
      <c r="A181" s="147"/>
      <c r="B181" s="148"/>
      <c r="C181" s="149" t="s">
        <v>16</v>
      </c>
      <c r="D181" s="817" t="s">
        <v>17</v>
      </c>
      <c r="E181" s="148"/>
      <c r="F181" s="148"/>
      <c r="G181" s="151"/>
      <c r="H181" s="152" t="s">
        <v>12</v>
      </c>
      <c r="I181" s="388"/>
      <c r="J181" s="388"/>
      <c r="K181" s="154"/>
      <c r="L181" s="155">
        <f t="shared" ref="L181:N181" ca="1" si="91">L182+L183</f>
        <v>63500</v>
      </c>
      <c r="M181" s="155">
        <f t="shared" ca="1" si="91"/>
        <v>30000</v>
      </c>
      <c r="N181" s="155">
        <f t="shared" ca="1" si="91"/>
        <v>0</v>
      </c>
      <c r="O181" s="155">
        <f t="shared" ref="O181:O189" ca="1" si="92">IF(L181&gt;0,N181*100/L181,0)</f>
        <v>0</v>
      </c>
      <c r="P181" s="155">
        <f t="shared" ref="P181:P189" ca="1" si="93">IF(M181&gt;0,N181*100/M181,0)</f>
        <v>0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2" t="s">
        <v>18</v>
      </c>
      <c r="F182" s="40"/>
      <c r="G182" s="157"/>
      <c r="H182" s="158" t="s">
        <v>12</v>
      </c>
      <c r="I182" s="583"/>
      <c r="J182" s="583"/>
      <c r="K182" s="93"/>
      <c r="L182" s="93">
        <f t="shared" ref="L182:N183" si="94">L185+L188</f>
        <v>0</v>
      </c>
      <c r="M182" s="93">
        <f t="shared" si="94"/>
        <v>0</v>
      </c>
      <c r="N182" s="93">
        <f t="shared" si="94"/>
        <v>0</v>
      </c>
      <c r="O182" s="93">
        <f t="shared" si="92"/>
        <v>0</v>
      </c>
      <c r="P182" s="93">
        <f t="shared" si="93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2" t="s">
        <v>19</v>
      </c>
      <c r="F183" s="40"/>
      <c r="G183" s="157"/>
      <c r="H183" s="158" t="s">
        <v>12</v>
      </c>
      <c r="I183" s="583"/>
      <c r="J183" s="583"/>
      <c r="K183" s="93"/>
      <c r="L183" s="93">
        <f t="shared" ca="1" si="94"/>
        <v>63500</v>
      </c>
      <c r="M183" s="93">
        <f t="shared" ca="1" si="94"/>
        <v>30000</v>
      </c>
      <c r="N183" s="93">
        <f t="shared" ca="1" si="94"/>
        <v>0</v>
      </c>
      <c r="O183" s="93">
        <f t="shared" ca="1" si="92"/>
        <v>0</v>
      </c>
      <c r="P183" s="93">
        <f t="shared" ca="1" si="93"/>
        <v>0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1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65">
        <f t="shared" ref="L184:N184" ca="1" si="95">L185+L186</f>
        <v>63500</v>
      </c>
      <c r="M184" s="465">
        <f t="shared" ca="1" si="95"/>
        <v>30000</v>
      </c>
      <c r="N184" s="465">
        <f t="shared" ca="1" si="95"/>
        <v>0</v>
      </c>
      <c r="O184" s="465">
        <f t="shared" ca="1" si="92"/>
        <v>0</v>
      </c>
      <c r="P184" s="465">
        <f t="shared" ca="1" si="93"/>
        <v>0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2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2"/>
        <v>0</v>
      </c>
      <c r="P185" s="93">
        <f t="shared" si="93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2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IFERROR(__xludf.DUMMYFUNCTION("IMPORTRANGE(""https://docs.google.com/spreadsheets/d/1MeEWN-I1oV_STSDYn1IFDPWt_1FKiwhDph83XaGc0o0/edit?usp=sharing"",""งบพรบ!CO30"")"),63500)</f>
        <v>63500</v>
      </c>
      <c r="M186" s="93">
        <f ca="1">IFERROR(__xludf.DUMMYFUNCTION("IMPORTRANGE(""https://docs.google.com/spreadsheets/d/1MeEWN-I1oV_STSDYn1IFDPWt_1FKiwhDph83XaGc0o0/edit?usp=sharing"",""งบพรบ!CT30"")"),30000)</f>
        <v>30000</v>
      </c>
      <c r="N186" s="93">
        <f ca="1">IFERROR(__xludf.DUMMYFUNCTION("IMPORTRANGE(""https://docs.google.com/spreadsheets/d/1MeEWN-I1oV_STSDYn1IFDPWt_1FKiwhDph83XaGc0o0/edit?usp=sharing"",""งบพรบ!CV30"")"),0)</f>
        <v>0</v>
      </c>
      <c r="O186" s="93">
        <f t="shared" ca="1" si="92"/>
        <v>0</v>
      </c>
      <c r="P186" s="93">
        <f t="shared" ca="1" si="93"/>
        <v>0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1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65">
        <f t="shared" ref="L187:N187" ca="1" si="96">L188+L189</f>
        <v>0</v>
      </c>
      <c r="M187" s="465">
        <f t="shared" ca="1" si="96"/>
        <v>0</v>
      </c>
      <c r="N187" s="465">
        <f t="shared" ca="1" si="96"/>
        <v>0</v>
      </c>
      <c r="O187" s="465">
        <f t="shared" ca="1" si="92"/>
        <v>0</v>
      </c>
      <c r="P187" s="465">
        <f t="shared" ca="1" si="93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2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2"/>
        <v>0</v>
      </c>
      <c r="P188" s="93">
        <f t="shared" si="93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2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IFERROR(__xludf.DUMMYFUNCTION("IMPORTRANGE(""https://docs.google.com/spreadsheets/d/1MeEWN-I1oV_STSDYn1IFDPWt_1FKiwhDph83XaGc0o0/edit?usp=sharing"",""งบพรบ!CR30"")"),0)</f>
        <v>0</v>
      </c>
      <c r="M189" s="93">
        <f ca="1">IFERROR(__xludf.DUMMYFUNCTION("IMPORTRANGE(""https://docs.google.com/spreadsheets/d/1MeEWN-I1oV_STSDYn1IFDPWt_1FKiwhDph83XaGc0o0/edit?usp=sharing"",""งบพรบ!CU30"")"),0)</f>
        <v>0</v>
      </c>
      <c r="N189" s="93">
        <f ca="1">IFERROR(__xludf.DUMMYFUNCTION("IMPORTRANGE(""https://docs.google.com/spreadsheets/d/1MeEWN-I1oV_STSDYn1IFDPWt_1FKiwhDph83XaGc0o0/edit?usp=sharing"",""งบพรบ!CW30"")"),0)</f>
        <v>0</v>
      </c>
      <c r="O189" s="93">
        <f t="shared" ca="1" si="92"/>
        <v>0</v>
      </c>
      <c r="P189" s="93">
        <f t="shared" ca="1" si="93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5"/>
      <c r="B190" s="263"/>
      <c r="C190" s="339" t="s">
        <v>89</v>
      </c>
      <c r="D190" s="256"/>
      <c r="E190" s="256"/>
      <c r="F190" s="256"/>
      <c r="G190" s="258"/>
      <c r="H190" s="259" t="s">
        <v>90</v>
      </c>
      <c r="I190" s="271">
        <f t="shared" ref="I190:J190" ca="1" si="97">I193</f>
        <v>4</v>
      </c>
      <c r="J190" s="271">
        <f t="shared" si="97"/>
        <v>0</v>
      </c>
      <c r="K190" s="272">
        <f ca="1">IF(I190&gt;0,J190*100/I190,0)</f>
        <v>0</v>
      </c>
      <c r="L190" s="261"/>
      <c r="M190" s="261"/>
      <c r="N190" s="261"/>
      <c r="O190" s="261"/>
      <c r="P190" s="261"/>
    </row>
    <row r="191" spans="1:26" ht="19.5">
      <c r="A191" s="147"/>
      <c r="B191" s="148"/>
      <c r="C191" s="149" t="s">
        <v>16</v>
      </c>
      <c r="D191" s="822" t="s">
        <v>17</v>
      </c>
      <c r="E191" s="148"/>
      <c r="F191" s="148"/>
      <c r="G191" s="151"/>
      <c r="H191" s="274" t="s">
        <v>12</v>
      </c>
      <c r="I191" s="388"/>
      <c r="J191" s="388"/>
      <c r="K191" s="154"/>
      <c r="L191" s="155">
        <f ca="1">IFERROR(__xludf.DUMMYFUNCTION("IMPORTRANGE(""https://docs.google.com/spreadsheets/d/1QqKyyYR6Q21VydFLVH3TRQUabQu_ym0Zz7PgGX0-kHA/edit?usp=sharing"",""แผน!Z30"")"),6000)</f>
        <v>6000</v>
      </c>
      <c r="M191" s="155"/>
      <c r="N191" s="275">
        <v>0</v>
      </c>
      <c r="O191" s="155">
        <f ca="1">IF(L191&gt;0,N191*100/L191,0)</f>
        <v>0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0" t="s">
        <v>16</v>
      </c>
      <c r="D192" s="818" t="s">
        <v>38</v>
      </c>
      <c r="E192" s="173"/>
      <c r="F192" s="173"/>
      <c r="G192" s="174"/>
      <c r="H192" s="726"/>
      <c r="I192" s="269"/>
      <c r="J192" s="269"/>
      <c r="K192" s="465"/>
      <c r="L192" s="465"/>
      <c r="M192" s="465"/>
      <c r="N192" s="465"/>
      <c r="O192" s="465"/>
      <c r="P192" s="465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15" t="s">
        <v>91</v>
      </c>
      <c r="E193" s="342"/>
      <c r="F193" s="342"/>
      <c r="G193" s="179"/>
      <c r="H193" s="728" t="s">
        <v>90</v>
      </c>
      <c r="I193" s="269">
        <f ca="1">IFERROR(__xludf.DUMMYFUNCTION("IMPORTRANGE(""https://docs.google.com/spreadsheets/d/1QqKyyYR6Q21VydFLVH3TRQUabQu_ym0Zz7PgGX0-kHA/edit?usp=sharing"",""แผน!AC30"")"),4)</f>
        <v>4</v>
      </c>
      <c r="J193" s="214">
        <v>0</v>
      </c>
      <c r="K193" s="465">
        <f ca="1">IF(I193&gt;0,J193*100/I193,0)</f>
        <v>0</v>
      </c>
      <c r="L193" s="465"/>
      <c r="M193" s="465"/>
      <c r="N193" s="465"/>
      <c r="O193" s="465"/>
      <c r="P193" s="465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15" t="s">
        <v>92</v>
      </c>
      <c r="E194" s="342"/>
      <c r="F194" s="342"/>
      <c r="G194" s="179"/>
      <c r="H194" s="276" t="s">
        <v>35</v>
      </c>
      <c r="I194" s="269"/>
      <c r="J194" s="269">
        <f>J195+J196</f>
        <v>0</v>
      </c>
      <c r="K194" s="465"/>
      <c r="L194" s="465"/>
      <c r="M194" s="465"/>
      <c r="N194" s="465"/>
      <c r="O194" s="465"/>
      <c r="P194" s="465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15" t="s">
        <v>93</v>
      </c>
      <c r="F195" s="342"/>
      <c r="G195" s="179"/>
      <c r="H195" s="276" t="s">
        <v>35</v>
      </c>
      <c r="I195" s="269"/>
      <c r="J195" s="214">
        <v>0</v>
      </c>
      <c r="K195" s="465"/>
      <c r="L195" s="465"/>
      <c r="M195" s="465"/>
      <c r="N195" s="465"/>
      <c r="O195" s="465"/>
      <c r="P195" s="465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15" t="s">
        <v>94</v>
      </c>
      <c r="F196" s="342"/>
      <c r="G196" s="179"/>
      <c r="H196" s="276" t="s">
        <v>35</v>
      </c>
      <c r="I196" s="269"/>
      <c r="J196" s="214">
        <v>0</v>
      </c>
      <c r="K196" s="465"/>
      <c r="L196" s="465"/>
      <c r="M196" s="465"/>
      <c r="N196" s="465"/>
      <c r="O196" s="465"/>
      <c r="P196" s="465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5"/>
      <c r="B197" s="263"/>
      <c r="C197" s="339" t="s">
        <v>95</v>
      </c>
      <c r="D197" s="256"/>
      <c r="E197" s="256"/>
      <c r="F197" s="256"/>
      <c r="G197" s="258"/>
      <c r="H197" s="277" t="s">
        <v>96</v>
      </c>
      <c r="I197" s="271">
        <f t="shared" ref="I197:J197" ca="1" si="98">I204</f>
        <v>3</v>
      </c>
      <c r="J197" s="271">
        <f t="shared" si="98"/>
        <v>0</v>
      </c>
      <c r="K197" s="272">
        <f ca="1">IF(I197&gt;0,J197*100/I197,0)</f>
        <v>0</v>
      </c>
      <c r="L197" s="261"/>
      <c r="M197" s="261"/>
      <c r="N197" s="261"/>
      <c r="O197" s="261"/>
      <c r="P197" s="261"/>
    </row>
    <row r="198" spans="1:26" ht="19.5">
      <c r="A198" s="147"/>
      <c r="B198" s="148"/>
      <c r="C198" s="149" t="s">
        <v>16</v>
      </c>
      <c r="D198" s="822" t="s">
        <v>17</v>
      </c>
      <c r="E198" s="148"/>
      <c r="F198" s="148"/>
      <c r="G198" s="151"/>
      <c r="H198" s="274" t="s">
        <v>12</v>
      </c>
      <c r="I198" s="387"/>
      <c r="J198" s="387"/>
      <c r="K198" s="279"/>
      <c r="L198" s="155">
        <f ca="1">L199+L200+L201+L202</f>
        <v>39000</v>
      </c>
      <c r="M198" s="155"/>
      <c r="N198" s="155">
        <f>N199+N200+N201+N202</f>
        <v>0</v>
      </c>
      <c r="O198" s="155">
        <f ca="1">IF(L198&gt;0,N198*100/L198,0)</f>
        <v>0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0"/>
      <c r="C199" s="33"/>
      <c r="D199" s="281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65">
        <f ca="1">IFERROR(__xludf.DUMMYFUNCTION("IMPORTRANGE(""https://docs.google.com/spreadsheets/d/1QqKyyYR6Q21VydFLVH3TRQUabQu_ym0Zz7PgGX0-kHA/edit?usp=sharing"",""แผน!AE30"")"),3000)</f>
        <v>3000</v>
      </c>
      <c r="M199" s="465"/>
      <c r="N199" s="789">
        <v>0</v>
      </c>
      <c r="O199" s="465"/>
      <c r="P199" s="465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3"/>
      <c r="B200" s="280"/>
      <c r="C200" s="210"/>
      <c r="D200" s="281" t="s">
        <v>98</v>
      </c>
      <c r="E200" s="33"/>
      <c r="F200" s="33"/>
      <c r="G200" s="35"/>
      <c r="H200" s="589" t="s">
        <v>12</v>
      </c>
      <c r="I200" s="269"/>
      <c r="J200" s="269"/>
      <c r="K200" s="465"/>
      <c r="L200" s="465">
        <f ca="1">IFERROR(__xludf.DUMMYFUNCTION("IMPORTRANGE(""https://docs.google.com/spreadsheets/d/1QqKyyYR6Q21VydFLVH3TRQUabQu_ym0Zz7PgGX0-kHA/edit?usp=sharing"",""แผน!AF30"")"),24000)</f>
        <v>24000</v>
      </c>
      <c r="M200" s="465"/>
      <c r="N200" s="789">
        <v>0</v>
      </c>
      <c r="O200" s="465"/>
      <c r="P200" s="465"/>
      <c r="Q200" s="285"/>
      <c r="R200" s="285"/>
      <c r="S200" s="285"/>
      <c r="T200" s="285"/>
      <c r="U200" s="285"/>
      <c r="V200" s="285"/>
      <c r="W200" s="285"/>
      <c r="X200" s="285"/>
      <c r="Y200" s="285"/>
      <c r="Z200" s="285"/>
    </row>
    <row r="201" spans="1:26" ht="19.5">
      <c r="A201" s="283"/>
      <c r="B201" s="280"/>
      <c r="C201" s="210"/>
      <c r="D201" s="281" t="s">
        <v>99</v>
      </c>
      <c r="E201" s="33"/>
      <c r="F201" s="33"/>
      <c r="G201" s="35"/>
      <c r="H201" s="589" t="s">
        <v>12</v>
      </c>
      <c r="I201" s="269"/>
      <c r="J201" s="269"/>
      <c r="K201" s="465"/>
      <c r="L201" s="465">
        <f ca="1">IFERROR(__xludf.DUMMYFUNCTION("IMPORTRANGE(""https://docs.google.com/spreadsheets/d/1QqKyyYR6Q21VydFLVH3TRQUabQu_ym0Zz7PgGX0-kHA/edit?usp=sharing"",""แผน!AG30"")"),12000)</f>
        <v>12000</v>
      </c>
      <c r="M201" s="465"/>
      <c r="N201" s="789">
        <v>0</v>
      </c>
      <c r="O201" s="465"/>
      <c r="P201" s="465"/>
      <c r="Q201" s="285"/>
      <c r="R201" s="285"/>
      <c r="S201" s="285"/>
      <c r="T201" s="285"/>
      <c r="U201" s="285"/>
      <c r="V201" s="285"/>
      <c r="W201" s="285"/>
      <c r="X201" s="285"/>
      <c r="Y201" s="285"/>
      <c r="Z201" s="285"/>
    </row>
    <row r="202" spans="1:26" ht="19.5">
      <c r="A202" s="283"/>
      <c r="B202" s="280"/>
      <c r="C202" s="210"/>
      <c r="D202" s="281" t="s">
        <v>100</v>
      </c>
      <c r="E202" s="33"/>
      <c r="F202" s="33"/>
      <c r="G202" s="35"/>
      <c r="H202" s="589" t="s">
        <v>12</v>
      </c>
      <c r="I202" s="269"/>
      <c r="J202" s="269"/>
      <c r="K202" s="465"/>
      <c r="L202" s="465">
        <f ca="1">IFERROR(__xludf.DUMMYFUNCTION("IMPORTRANGE(""https://docs.google.com/spreadsheets/d/1QqKyyYR6Q21VydFLVH3TRQUabQu_ym0Zz7PgGX0-kHA/edit?usp=sharing"",""แผน!AH30"")"),0)</f>
        <v>0</v>
      </c>
      <c r="M202" s="465"/>
      <c r="N202" s="789">
        <v>0</v>
      </c>
      <c r="O202" s="465"/>
      <c r="P202" s="465"/>
      <c r="Q202" s="285"/>
      <c r="R202" s="285"/>
      <c r="S202" s="285"/>
      <c r="T202" s="285"/>
      <c r="U202" s="285"/>
      <c r="V202" s="285"/>
      <c r="W202" s="285"/>
      <c r="X202" s="285"/>
      <c r="Y202" s="285"/>
      <c r="Z202" s="285"/>
    </row>
    <row r="203" spans="1:26" ht="19.5">
      <c r="A203" s="170"/>
      <c r="B203" s="171"/>
      <c r="C203" s="210" t="s">
        <v>16</v>
      </c>
      <c r="D203" s="818" t="s">
        <v>38</v>
      </c>
      <c r="E203" s="173"/>
      <c r="F203" s="173"/>
      <c r="G203" s="174"/>
      <c r="H203" s="726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343" t="s">
        <v>101</v>
      </c>
      <c r="E204" s="342"/>
      <c r="F204" s="342"/>
      <c r="G204" s="179"/>
      <c r="H204" s="726" t="s">
        <v>96</v>
      </c>
      <c r="I204" s="269">
        <f ca="1">IFERROR(__xludf.DUMMYFUNCTION("IMPORTRANGE(""https://docs.google.com/spreadsheets/d/1QqKyyYR6Q21VydFLVH3TRQUabQu_ym0Zz7PgGX0-kHA/edit?usp=sharing"",""แผน!AI30"")"),3)</f>
        <v>3</v>
      </c>
      <c r="J204" s="214">
        <v>0</v>
      </c>
      <c r="K204" s="163">
        <f ca="1">IF(I204&gt;0,J204*100/I204,0)</f>
        <v>0</v>
      </c>
      <c r="L204" s="465"/>
      <c r="M204" s="465"/>
      <c r="N204" s="465"/>
      <c r="O204" s="465"/>
      <c r="P204" s="465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15" t="s">
        <v>59</v>
      </c>
      <c r="E205" s="342"/>
      <c r="F205" s="342"/>
      <c r="G205" s="179"/>
      <c r="H205" s="726"/>
      <c r="I205" s="269"/>
      <c r="J205" s="269"/>
      <c r="K205" s="163"/>
      <c r="L205" s="465"/>
      <c r="M205" s="465"/>
      <c r="N205" s="465"/>
      <c r="O205" s="465"/>
      <c r="P205" s="465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342"/>
      <c r="E206" s="494" t="s">
        <v>102</v>
      </c>
      <c r="F206" s="286"/>
      <c r="G206" s="287"/>
      <c r="H206" s="288" t="s">
        <v>96</v>
      </c>
      <c r="I206" s="269">
        <v>3</v>
      </c>
      <c r="J206" s="214">
        <v>0</v>
      </c>
      <c r="K206" s="163">
        <f t="shared" ref="K206:K208" si="99">IF(I206&gt;0,J206*100/I206,0)</f>
        <v>0</v>
      </c>
      <c r="L206" s="465"/>
      <c r="M206" s="465"/>
      <c r="N206" s="465"/>
      <c r="O206" s="465"/>
      <c r="P206" s="465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15"/>
      <c r="E207" s="415" t="s">
        <v>103</v>
      </c>
      <c r="F207" s="342"/>
      <c r="G207" s="342"/>
      <c r="H207" s="289" t="s">
        <v>104</v>
      </c>
      <c r="I207" s="269">
        <v>0</v>
      </c>
      <c r="J207" s="214">
        <v>0</v>
      </c>
      <c r="K207" s="163">
        <f t="shared" si="99"/>
        <v>0</v>
      </c>
      <c r="L207" s="465"/>
      <c r="M207" s="465"/>
      <c r="N207" s="465"/>
      <c r="O207" s="465"/>
      <c r="P207" s="465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 hidden="1">
      <c r="A208" s="255"/>
      <c r="B208" s="263"/>
      <c r="C208" s="339" t="s">
        <v>105</v>
      </c>
      <c r="D208" s="256"/>
      <c r="E208" s="256"/>
      <c r="F208" s="290"/>
      <c r="G208" s="258"/>
      <c r="H208" s="277" t="s">
        <v>96</v>
      </c>
      <c r="I208" s="271">
        <f t="shared" ref="I208:J208" ca="1" si="100">I215</f>
        <v>0</v>
      </c>
      <c r="J208" s="271">
        <f t="shared" si="100"/>
        <v>0</v>
      </c>
      <c r="K208" s="272">
        <f t="shared" ca="1" si="99"/>
        <v>0</v>
      </c>
      <c r="L208" s="261"/>
      <c r="M208" s="261"/>
      <c r="N208" s="261"/>
      <c r="O208" s="261"/>
      <c r="P208" s="261"/>
    </row>
    <row r="209" spans="1:26" ht="19.5" hidden="1">
      <c r="A209" s="147"/>
      <c r="B209" s="148"/>
      <c r="C209" s="149" t="s">
        <v>16</v>
      </c>
      <c r="D209" s="822" t="s">
        <v>17</v>
      </c>
      <c r="E209" s="148"/>
      <c r="F209" s="148"/>
      <c r="G209" s="151"/>
      <c r="H209" s="274" t="s">
        <v>12</v>
      </c>
      <c r="I209" s="387"/>
      <c r="J209" s="387"/>
      <c r="K209" s="279"/>
      <c r="L209" s="155">
        <f ca="1">L210+L211+L212</f>
        <v>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 hidden="1">
      <c r="A210" s="159"/>
      <c r="B210" s="280"/>
      <c r="C210" s="33"/>
      <c r="D210" s="281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65">
        <f ca="1">IFERROR(__xludf.DUMMYFUNCTION("IMPORTRANGE(""https://docs.google.com/spreadsheets/d/1QqKyyYR6Q21VydFLVH3TRQUabQu_ym0Zz7PgGX0-kHA/edit?usp=sharing"",""แผน!AK30"")"),0)</f>
        <v>0</v>
      </c>
      <c r="M210" s="465"/>
      <c r="N210" s="789">
        <v>0</v>
      </c>
      <c r="O210" s="465"/>
      <c r="P210" s="465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 hidden="1">
      <c r="A211" s="283"/>
      <c r="B211" s="280"/>
      <c r="C211" s="291"/>
      <c r="D211" s="281" t="s">
        <v>99</v>
      </c>
      <c r="E211" s="33"/>
      <c r="F211" s="33"/>
      <c r="G211" s="35"/>
      <c r="H211" s="161" t="s">
        <v>12</v>
      </c>
      <c r="I211" s="269"/>
      <c r="J211" s="269"/>
      <c r="K211" s="465"/>
      <c r="L211" s="465">
        <f ca="1">IFERROR(__xludf.DUMMYFUNCTION("IMPORTRANGE(""https://docs.google.com/spreadsheets/d/1QqKyyYR6Q21VydFLVH3TRQUabQu_ym0Zz7PgGX0-kHA/edit?usp=sharing"",""แผน!AL30"")"),0)</f>
        <v>0</v>
      </c>
      <c r="M211" s="465"/>
      <c r="N211" s="789">
        <v>0</v>
      </c>
      <c r="O211" s="465"/>
      <c r="P211" s="465"/>
      <c r="Q211" s="285"/>
      <c r="R211" s="285"/>
      <c r="S211" s="285"/>
      <c r="T211" s="285"/>
      <c r="U211" s="285"/>
      <c r="V211" s="285"/>
      <c r="W211" s="285"/>
      <c r="X211" s="285"/>
      <c r="Y211" s="285"/>
      <c r="Z211" s="285"/>
    </row>
    <row r="212" spans="1:26" ht="19.5" hidden="1">
      <c r="A212" s="283"/>
      <c r="B212" s="280"/>
      <c r="C212" s="291"/>
      <c r="D212" s="281" t="s">
        <v>98</v>
      </c>
      <c r="E212" s="33"/>
      <c r="F212" s="33"/>
      <c r="G212" s="35"/>
      <c r="H212" s="161" t="s">
        <v>12</v>
      </c>
      <c r="I212" s="269"/>
      <c r="J212" s="269"/>
      <c r="K212" s="465"/>
      <c r="L212" s="465">
        <f ca="1">IFERROR(__xludf.DUMMYFUNCTION("IMPORTRANGE(""https://docs.google.com/spreadsheets/d/1QqKyyYR6Q21VydFLVH3TRQUabQu_ym0Zz7PgGX0-kHA/edit?usp=sharing"",""แผน!AM30"")"),0)</f>
        <v>0</v>
      </c>
      <c r="M212" s="465"/>
      <c r="N212" s="789">
        <v>0</v>
      </c>
      <c r="O212" s="465"/>
      <c r="P212" s="465"/>
      <c r="Q212" s="285"/>
      <c r="R212" s="285"/>
      <c r="S212" s="285"/>
      <c r="T212" s="285"/>
      <c r="U212" s="285"/>
      <c r="V212" s="285"/>
      <c r="W212" s="285"/>
      <c r="X212" s="285"/>
      <c r="Y212" s="285"/>
      <c r="Z212" s="285"/>
    </row>
    <row r="213" spans="1:26" ht="19.5" hidden="1">
      <c r="A213" s="170"/>
      <c r="B213" s="171"/>
      <c r="C213" s="291" t="s">
        <v>16</v>
      </c>
      <c r="D213" s="818" t="s">
        <v>38</v>
      </c>
      <c r="E213" s="173"/>
      <c r="F213" s="173"/>
      <c r="G213" s="174"/>
      <c r="H213" s="726"/>
      <c r="I213" s="184"/>
      <c r="J213" s="269"/>
      <c r="K213" s="465"/>
      <c r="L213" s="465"/>
      <c r="M213" s="465"/>
      <c r="N213" s="465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 hidden="1">
      <c r="A214" s="170"/>
      <c r="B214" s="171"/>
      <c r="C214" s="171"/>
      <c r="D214" s="343" t="s">
        <v>106</v>
      </c>
      <c r="E214" s="342"/>
      <c r="F214" s="342"/>
      <c r="G214" s="179"/>
      <c r="H214" s="726" t="s">
        <v>96</v>
      </c>
      <c r="I214" s="269">
        <f ca="1">IFERROR(__xludf.DUMMYFUNCTION("IMPORTRANGE(""https://docs.google.com/spreadsheets/d/1QqKyyYR6Q21VydFLVH3TRQUabQu_ym0Zz7PgGX0-kHA/edit?usp=sharing"",""แผน!AN30"")"),0)</f>
        <v>0</v>
      </c>
      <c r="J214" s="214">
        <v>0</v>
      </c>
      <c r="K214" s="465">
        <f t="shared" ref="K214:K216" ca="1" si="101">IF(I214&gt;0,J214*100/I214,0)</f>
        <v>0</v>
      </c>
      <c r="L214" s="465"/>
      <c r="M214" s="465"/>
      <c r="N214" s="465"/>
      <c r="O214" s="465"/>
      <c r="P214" s="465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 hidden="1">
      <c r="A215" s="170"/>
      <c r="B215" s="171"/>
      <c r="C215" s="171"/>
      <c r="D215" s="343" t="s">
        <v>107</v>
      </c>
      <c r="E215" s="342"/>
      <c r="F215" s="342"/>
      <c r="G215" s="179"/>
      <c r="H215" s="726" t="s">
        <v>96</v>
      </c>
      <c r="I215" s="269">
        <f ca="1">IFERROR(__xludf.DUMMYFUNCTION("IMPORTRANGE(""https://docs.google.com/spreadsheets/d/1QqKyyYR6Q21VydFLVH3TRQUabQu_ym0Zz7PgGX0-kHA/edit?usp=sharing"",""แผน!AN30"")"),0)</f>
        <v>0</v>
      </c>
      <c r="J215" s="214">
        <v>0</v>
      </c>
      <c r="K215" s="465">
        <f t="shared" ca="1" si="101"/>
        <v>0</v>
      </c>
      <c r="L215" s="465"/>
      <c r="M215" s="465"/>
      <c r="N215" s="465"/>
      <c r="O215" s="465"/>
      <c r="P215" s="465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5"/>
      <c r="B216" s="263"/>
      <c r="C216" s="339" t="s">
        <v>108</v>
      </c>
      <c r="D216" s="256"/>
      <c r="E216" s="256"/>
      <c r="F216" s="290"/>
      <c r="G216" s="258"/>
      <c r="H216" s="259" t="s">
        <v>109</v>
      </c>
      <c r="I216" s="271">
        <f t="shared" ref="I216:J216" ca="1" si="102">I224</f>
        <v>50000</v>
      </c>
      <c r="J216" s="271">
        <f t="shared" si="102"/>
        <v>0</v>
      </c>
      <c r="K216" s="272">
        <f t="shared" ca="1" si="101"/>
        <v>0</v>
      </c>
      <c r="L216" s="261"/>
      <c r="M216" s="261"/>
      <c r="N216" s="261"/>
      <c r="O216" s="261"/>
      <c r="P216" s="261"/>
    </row>
    <row r="217" spans="1:26" ht="19.5">
      <c r="A217" s="147"/>
      <c r="B217" s="148"/>
      <c r="C217" s="149" t="s">
        <v>16</v>
      </c>
      <c r="D217" s="822" t="s">
        <v>17</v>
      </c>
      <c r="E217" s="148"/>
      <c r="F217" s="148"/>
      <c r="G217" s="151"/>
      <c r="H217" s="274" t="s">
        <v>12</v>
      </c>
      <c r="I217" s="387"/>
      <c r="J217" s="387"/>
      <c r="K217" s="279"/>
      <c r="L217" s="155">
        <f ca="1">L218+L219+L220</f>
        <v>18500</v>
      </c>
      <c r="M217" s="155"/>
      <c r="N217" s="155">
        <f>N218+N219+N220</f>
        <v>0</v>
      </c>
      <c r="O217" s="155">
        <f ca="1">IF(L217&gt;0,N217*100/L217,0)</f>
        <v>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0"/>
      <c r="C218" s="33"/>
      <c r="D218" s="281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65">
        <f ca="1">IFERROR(__xludf.DUMMYFUNCTION("IMPORTRANGE(""https://docs.google.com/spreadsheets/d/1QqKyyYR6Q21VydFLVH3TRQUabQu_ym0Zz7PgGX0-kHA/edit?usp=sharing"",""แผน!AP30"")"),5000)</f>
        <v>5000</v>
      </c>
      <c r="M218" s="465"/>
      <c r="N218" s="789">
        <v>0</v>
      </c>
      <c r="O218" s="465"/>
      <c r="P218" s="465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3"/>
      <c r="B219" s="280"/>
      <c r="C219" s="291"/>
      <c r="D219" s="281" t="s">
        <v>110</v>
      </c>
      <c r="E219" s="33"/>
      <c r="F219" s="33"/>
      <c r="G219" s="35"/>
      <c r="H219" s="161" t="s">
        <v>12</v>
      </c>
      <c r="I219" s="269"/>
      <c r="J219" s="269"/>
      <c r="K219" s="465"/>
      <c r="L219" s="465">
        <f ca="1">IFERROR(__xludf.DUMMYFUNCTION("IMPORTRANGE(""https://docs.google.com/spreadsheets/d/1QqKyyYR6Q21VydFLVH3TRQUabQu_ym0Zz7PgGX0-kHA/edit?usp=sharing"",""แผน!AQ30"")"),13500)</f>
        <v>13500</v>
      </c>
      <c r="M219" s="465"/>
      <c r="N219" s="789">
        <v>0</v>
      </c>
      <c r="O219" s="465"/>
      <c r="P219" s="465"/>
      <c r="Q219" s="285"/>
      <c r="R219" s="285"/>
      <c r="S219" s="285"/>
      <c r="T219" s="285"/>
      <c r="U219" s="285"/>
      <c r="V219" s="285"/>
      <c r="W219" s="285"/>
      <c r="X219" s="285"/>
      <c r="Y219" s="285"/>
      <c r="Z219" s="285"/>
    </row>
    <row r="220" spans="1:26" ht="19.5">
      <c r="A220" s="283"/>
      <c r="B220" s="280"/>
      <c r="C220" s="291"/>
      <c r="D220" s="281" t="s">
        <v>98</v>
      </c>
      <c r="E220" s="33"/>
      <c r="F220" s="33"/>
      <c r="G220" s="35"/>
      <c r="H220" s="161" t="s">
        <v>12</v>
      </c>
      <c r="I220" s="269"/>
      <c r="J220" s="269"/>
      <c r="K220" s="465"/>
      <c r="L220" s="465">
        <f ca="1">IFERROR(__xludf.DUMMYFUNCTION("IMPORTRANGE(""https://docs.google.com/spreadsheets/d/1QqKyyYR6Q21VydFLVH3TRQUabQu_ym0Zz7PgGX0-kHA/edit?usp=sharing"",""แผน!AR30"")"),0)</f>
        <v>0</v>
      </c>
      <c r="M220" s="465"/>
      <c r="N220" s="789">
        <v>0</v>
      </c>
      <c r="O220" s="465"/>
      <c r="P220" s="465"/>
      <c r="Q220" s="285"/>
      <c r="R220" s="285"/>
      <c r="S220" s="285"/>
      <c r="T220" s="285"/>
      <c r="U220" s="285"/>
      <c r="V220" s="285"/>
      <c r="W220" s="285"/>
      <c r="X220" s="285"/>
      <c r="Y220" s="285"/>
      <c r="Z220" s="285"/>
    </row>
    <row r="221" spans="1:26" ht="19.5">
      <c r="A221" s="170"/>
      <c r="B221" s="171"/>
      <c r="C221" s="291" t="s">
        <v>16</v>
      </c>
      <c r="D221" s="818" t="s">
        <v>38</v>
      </c>
      <c r="E221" s="173"/>
      <c r="F221" s="173"/>
      <c r="G221" s="174"/>
      <c r="H221" s="726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1" t="s">
        <v>111</v>
      </c>
      <c r="E222" s="342"/>
      <c r="F222" s="342"/>
      <c r="G222" s="179"/>
      <c r="H222" s="726"/>
      <c r="I222" s="269"/>
      <c r="J222" s="269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343" t="s">
        <v>112</v>
      </c>
      <c r="F223" s="342"/>
      <c r="G223" s="179"/>
      <c r="H223" s="728" t="s">
        <v>109</v>
      </c>
      <c r="I223" s="269">
        <f ca="1">IFERROR(__xludf.DUMMYFUNCTION("IMPORTRANGE(""https://docs.google.com/spreadsheets/d/1QqKyyYR6Q21VydFLVH3TRQUabQu_ym0Zz7PgGX0-kHA/edit?usp=sharing"",""แผน!AT30"")"),50000)</f>
        <v>50000</v>
      </c>
      <c r="J223" s="214">
        <v>0</v>
      </c>
      <c r="K223" s="163">
        <f t="shared" ref="K223:K226" ca="1" si="103">IF(I223&gt;0,J223*100/I223,0)</f>
        <v>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343" t="s">
        <v>113</v>
      </c>
      <c r="F224" s="342"/>
      <c r="G224" s="179"/>
      <c r="H224" s="728" t="s">
        <v>109</v>
      </c>
      <c r="I224" s="269">
        <f ca="1">IFERROR(__xludf.DUMMYFUNCTION("IMPORTRANGE(""https://docs.google.com/spreadsheets/d/1QqKyyYR6Q21VydFLVH3TRQUabQu_ym0Zz7PgGX0-kHA/edit?usp=sharing"",""แผน!AT30"")"),50000)</f>
        <v>50000</v>
      </c>
      <c r="J224" s="214">
        <v>0</v>
      </c>
      <c r="K224" s="163">
        <f t="shared" ca="1" si="103"/>
        <v>0</v>
      </c>
      <c r="L224" s="465"/>
      <c r="M224" s="465"/>
      <c r="N224" s="465"/>
      <c r="O224" s="465"/>
      <c r="P224" s="465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1" t="s">
        <v>114</v>
      </c>
      <c r="E225" s="342"/>
      <c r="F225" s="342"/>
      <c r="G225" s="179"/>
      <c r="H225" s="728" t="s">
        <v>35</v>
      </c>
      <c r="I225" s="269">
        <f ca="1">IFERROR(__xludf.DUMMYFUNCTION("IMPORTRANGE(""https://docs.google.com/spreadsheets/d/1QqKyyYR6Q21VydFLVH3TRQUabQu_ym0Zz7PgGX0-kHA/edit?usp=sharing"",""แผน!AS30"")"),0)</f>
        <v>0</v>
      </c>
      <c r="J225" s="214">
        <v>0</v>
      </c>
      <c r="K225" s="163">
        <f t="shared" ca="1" si="103"/>
        <v>0</v>
      </c>
      <c r="L225" s="465"/>
      <c r="M225" s="465"/>
      <c r="N225" s="465"/>
      <c r="O225" s="465"/>
      <c r="P225" s="465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5"/>
      <c r="B226" s="263"/>
      <c r="C226" s="823" t="s">
        <v>115</v>
      </c>
      <c r="D226" s="256"/>
      <c r="E226" s="256"/>
      <c r="F226" s="256"/>
      <c r="G226" s="258"/>
      <c r="H226" s="265" t="s">
        <v>35</v>
      </c>
      <c r="I226" s="824">
        <f t="shared" ref="I226:J226" ca="1" si="104">I237+I248</f>
        <v>0</v>
      </c>
      <c r="J226" s="824">
        <f t="shared" si="104"/>
        <v>0</v>
      </c>
      <c r="K226" s="825">
        <f t="shared" ca="1" si="103"/>
        <v>0</v>
      </c>
      <c r="L226" s="261"/>
      <c r="M226" s="261"/>
      <c r="N226" s="261"/>
      <c r="O226" s="261"/>
      <c r="P226" s="261"/>
    </row>
    <row r="227" spans="1:26" ht="19.5" hidden="1">
      <c r="A227" s="826"/>
      <c r="B227" s="827"/>
      <c r="C227" s="828" t="s">
        <v>16</v>
      </c>
      <c r="D227" s="829" t="s">
        <v>17</v>
      </c>
      <c r="E227" s="827"/>
      <c r="F227" s="827"/>
      <c r="G227" s="830"/>
      <c r="H227" s="831" t="s">
        <v>12</v>
      </c>
      <c r="I227" s="832"/>
      <c r="J227" s="832"/>
      <c r="K227" s="833"/>
      <c r="L227" s="834">
        <f t="shared" ref="L227:L231" ca="1" si="105">L238+L249</f>
        <v>0</v>
      </c>
      <c r="M227" s="834"/>
      <c r="N227" s="834">
        <f t="shared" ref="N227:N231" si="106">N238+N249</f>
        <v>0</v>
      </c>
      <c r="O227" s="835"/>
      <c r="P227" s="835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542"/>
      <c r="C228" s="40"/>
      <c r="D228" s="222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5"/>
        <v>0</v>
      </c>
      <c r="M228" s="93"/>
      <c r="N228" s="93">
        <f t="shared" si="106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836"/>
      <c r="B229" s="542"/>
      <c r="C229" s="837"/>
      <c r="D229" s="222" t="s">
        <v>98</v>
      </c>
      <c r="E229" s="40"/>
      <c r="F229" s="40"/>
      <c r="G229" s="42"/>
      <c r="H229" s="165" t="s">
        <v>12</v>
      </c>
      <c r="I229" s="583"/>
      <c r="J229" s="583"/>
      <c r="K229" s="93"/>
      <c r="L229" s="93">
        <f t="shared" ca="1" si="105"/>
        <v>0</v>
      </c>
      <c r="M229" s="93"/>
      <c r="N229" s="93">
        <f t="shared" si="106"/>
        <v>0</v>
      </c>
      <c r="O229" s="93"/>
      <c r="P229" s="93"/>
      <c r="Q229" s="838"/>
      <c r="R229" s="838"/>
      <c r="S229" s="838"/>
      <c r="T229" s="838"/>
      <c r="U229" s="838"/>
      <c r="V229" s="838"/>
      <c r="W229" s="838"/>
      <c r="X229" s="838"/>
      <c r="Y229" s="838"/>
      <c r="Z229" s="838"/>
    </row>
    <row r="230" spans="1:26" ht="19.5" hidden="1">
      <c r="A230" s="836"/>
      <c r="B230" s="542"/>
      <c r="C230" s="837"/>
      <c r="D230" s="222" t="s">
        <v>116</v>
      </c>
      <c r="E230" s="40"/>
      <c r="F230" s="40"/>
      <c r="G230" s="42"/>
      <c r="H230" s="165" t="s">
        <v>12</v>
      </c>
      <c r="I230" s="583"/>
      <c r="J230" s="583"/>
      <c r="K230" s="93"/>
      <c r="L230" s="93">
        <f t="shared" ca="1" si="105"/>
        <v>0</v>
      </c>
      <c r="M230" s="93"/>
      <c r="N230" s="93">
        <f t="shared" si="106"/>
        <v>0</v>
      </c>
      <c r="O230" s="93"/>
      <c r="P230" s="93"/>
      <c r="Q230" s="838"/>
      <c r="R230" s="838"/>
      <c r="S230" s="838"/>
      <c r="T230" s="838"/>
      <c r="U230" s="838"/>
      <c r="V230" s="838"/>
      <c r="W230" s="838"/>
      <c r="X230" s="838"/>
      <c r="Y230" s="838"/>
      <c r="Z230" s="838"/>
    </row>
    <row r="231" spans="1:26" ht="19.5" hidden="1">
      <c r="A231" s="836"/>
      <c r="B231" s="542"/>
      <c r="C231" s="837"/>
      <c r="D231" s="222" t="s">
        <v>100</v>
      </c>
      <c r="E231" s="40"/>
      <c r="F231" s="40"/>
      <c r="G231" s="42"/>
      <c r="H231" s="165" t="s">
        <v>12</v>
      </c>
      <c r="I231" s="583"/>
      <c r="J231" s="583"/>
      <c r="K231" s="93"/>
      <c r="L231" s="93">
        <f t="shared" ca="1" si="105"/>
        <v>0</v>
      </c>
      <c r="M231" s="93"/>
      <c r="N231" s="93">
        <f t="shared" si="106"/>
        <v>0</v>
      </c>
      <c r="O231" s="93"/>
      <c r="P231" s="93"/>
      <c r="Q231" s="838"/>
      <c r="R231" s="838"/>
      <c r="S231" s="838"/>
      <c r="T231" s="838"/>
      <c r="U231" s="838"/>
      <c r="V231" s="838"/>
      <c r="W231" s="838"/>
      <c r="X231" s="838"/>
      <c r="Y231" s="838"/>
      <c r="Z231" s="838"/>
    </row>
    <row r="232" spans="1:26" ht="19.5" hidden="1">
      <c r="A232" s="839"/>
      <c r="B232" s="840"/>
      <c r="C232" s="837" t="s">
        <v>16</v>
      </c>
      <c r="D232" s="266" t="s">
        <v>38</v>
      </c>
      <c r="E232" s="841"/>
      <c r="F232" s="841"/>
      <c r="G232" s="842"/>
      <c r="H232" s="581"/>
      <c r="I232" s="166"/>
      <c r="J232" s="583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839"/>
      <c r="B233" s="840"/>
      <c r="C233" s="840"/>
      <c r="D233" s="268" t="s">
        <v>117</v>
      </c>
      <c r="E233" s="536"/>
      <c r="F233" s="536"/>
      <c r="G233" s="843"/>
      <c r="H233" s="582" t="s">
        <v>35</v>
      </c>
      <c r="I233" s="583">
        <f t="shared" ref="I233:J233" ca="1" si="107">I244+I255</f>
        <v>0</v>
      </c>
      <c r="J233" s="583">
        <f t="shared" si="107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839"/>
      <c r="B234" s="840"/>
      <c r="C234" s="840"/>
      <c r="D234" s="844" t="s">
        <v>43</v>
      </c>
      <c r="E234" s="536"/>
      <c r="F234" s="536"/>
      <c r="G234" s="843"/>
      <c r="H234" s="582"/>
      <c r="I234" s="583"/>
      <c r="J234" s="583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839"/>
      <c r="B235" s="840"/>
      <c r="C235" s="840"/>
      <c r="D235" s="840"/>
      <c r="E235" s="267" t="s">
        <v>118</v>
      </c>
      <c r="F235" s="536"/>
      <c r="G235" s="843"/>
      <c r="H235" s="582" t="s">
        <v>35</v>
      </c>
      <c r="I235" s="583">
        <f t="shared" ref="I235:J236" si="108">I246+I257</f>
        <v>0</v>
      </c>
      <c r="J235" s="583">
        <f t="shared" si="108"/>
        <v>0</v>
      </c>
      <c r="K235" s="93">
        <f t="shared" ref="K235:K237" si="109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839"/>
      <c r="B236" s="840"/>
      <c r="C236" s="840"/>
      <c r="D236" s="840"/>
      <c r="E236" s="267" t="s">
        <v>119</v>
      </c>
      <c r="F236" s="536"/>
      <c r="G236" s="843"/>
      <c r="H236" s="582" t="s">
        <v>69</v>
      </c>
      <c r="I236" s="583">
        <f t="shared" si="108"/>
        <v>0</v>
      </c>
      <c r="J236" s="583">
        <f t="shared" si="108"/>
        <v>0</v>
      </c>
      <c r="K236" s="93">
        <f t="shared" si="109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5"/>
      <c r="B237" s="263"/>
      <c r="C237" s="339" t="s">
        <v>330</v>
      </c>
      <c r="D237" s="256"/>
      <c r="E237" s="256"/>
      <c r="F237" s="256"/>
      <c r="G237" s="258"/>
      <c r="H237" s="259" t="s">
        <v>35</v>
      </c>
      <c r="I237" s="271">
        <f t="shared" ref="I237:J237" ca="1" si="110">I244</f>
        <v>0</v>
      </c>
      <c r="J237" s="271">
        <f t="shared" si="110"/>
        <v>0</v>
      </c>
      <c r="K237" s="272">
        <f t="shared" ca="1" si="109"/>
        <v>0</v>
      </c>
      <c r="L237" s="261"/>
      <c r="M237" s="261"/>
      <c r="N237" s="261"/>
      <c r="O237" s="261"/>
      <c r="P237" s="261"/>
    </row>
    <row r="238" spans="1:26" ht="19.5" hidden="1">
      <c r="A238" s="147"/>
      <c r="B238" s="148"/>
      <c r="C238" s="149" t="s">
        <v>16</v>
      </c>
      <c r="D238" s="817" t="s">
        <v>17</v>
      </c>
      <c r="E238" s="148"/>
      <c r="F238" s="148"/>
      <c r="G238" s="151"/>
      <c r="H238" s="274" t="s">
        <v>12</v>
      </c>
      <c r="I238" s="387"/>
      <c r="J238" s="387"/>
      <c r="K238" s="279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3"/>
      <c r="B239" s="314"/>
      <c r="C239" s="315"/>
      <c r="D239" s="324" t="s">
        <v>97</v>
      </c>
      <c r="E239" s="315"/>
      <c r="F239" s="315"/>
      <c r="G239" s="317"/>
      <c r="H239" s="318" t="s">
        <v>12</v>
      </c>
      <c r="I239" s="319"/>
      <c r="J239" s="319"/>
      <c r="K239" s="320"/>
      <c r="L239" s="321">
        <f ca="1">IFERROR(__xludf.DUMMYFUNCTION("IMPORTRANGE(""https://docs.google.com/spreadsheets/d/1QqKyyYR6Q21VydFLVH3TRQUabQu_ym0Zz7PgGX0-kHA/edit?usp=sharing"",""แผน!AV30"")"),0)</f>
        <v>0</v>
      </c>
      <c r="M239" s="321"/>
      <c r="N239" s="340">
        <v>0</v>
      </c>
      <c r="O239" s="321"/>
      <c r="P239" s="321"/>
      <c r="Q239" s="312"/>
      <c r="R239" s="312"/>
      <c r="S239" s="312"/>
      <c r="T239" s="312"/>
      <c r="U239" s="312"/>
      <c r="V239" s="312"/>
      <c r="W239" s="312"/>
      <c r="X239" s="312"/>
      <c r="Y239" s="312"/>
      <c r="Z239" s="312"/>
    </row>
    <row r="240" spans="1:26" ht="19.5" hidden="1">
      <c r="A240" s="322"/>
      <c r="B240" s="314"/>
      <c r="C240" s="323"/>
      <c r="D240" s="324" t="s">
        <v>98</v>
      </c>
      <c r="E240" s="315"/>
      <c r="F240" s="315"/>
      <c r="G240" s="317"/>
      <c r="H240" s="318" t="s">
        <v>12</v>
      </c>
      <c r="I240" s="325"/>
      <c r="J240" s="325"/>
      <c r="K240" s="321"/>
      <c r="L240" s="321">
        <f ca="1">IFERROR(__xludf.DUMMYFUNCTION("IMPORTRANGE(""https://docs.google.com/spreadsheets/d/1QqKyyYR6Q21VydFLVH3TRQUabQu_ym0Zz7PgGX0-kHA/edit?usp=sharing"",""แผน!AW30"")"),0)</f>
        <v>0</v>
      </c>
      <c r="M240" s="321"/>
      <c r="N240" s="340">
        <v>0</v>
      </c>
      <c r="O240" s="321"/>
      <c r="P240" s="321"/>
      <c r="Q240" s="326"/>
      <c r="R240" s="326"/>
      <c r="S240" s="326"/>
      <c r="T240" s="326"/>
      <c r="U240" s="326"/>
      <c r="V240" s="326"/>
      <c r="W240" s="326"/>
      <c r="X240" s="326"/>
      <c r="Y240" s="326"/>
      <c r="Z240" s="326"/>
    </row>
    <row r="241" spans="1:26" ht="19.5" hidden="1">
      <c r="A241" s="322"/>
      <c r="B241" s="314"/>
      <c r="C241" s="323"/>
      <c r="D241" s="324" t="s">
        <v>116</v>
      </c>
      <c r="E241" s="315"/>
      <c r="F241" s="315"/>
      <c r="G241" s="317"/>
      <c r="H241" s="318" t="s">
        <v>12</v>
      </c>
      <c r="I241" s="325"/>
      <c r="J241" s="325"/>
      <c r="K241" s="321"/>
      <c r="L241" s="321">
        <f ca="1">IFERROR(__xludf.DUMMYFUNCTION("IMPORTRANGE(""https://docs.google.com/spreadsheets/d/1QqKyyYR6Q21VydFLVH3TRQUabQu_ym0Zz7PgGX0-kHA/edit?usp=sharing"",""แผน!AX30"")"),0)</f>
        <v>0</v>
      </c>
      <c r="M241" s="321"/>
      <c r="N241" s="340">
        <v>0</v>
      </c>
      <c r="O241" s="321"/>
      <c r="P241" s="321"/>
      <c r="Q241" s="326"/>
      <c r="R241" s="326"/>
      <c r="S241" s="326"/>
      <c r="T241" s="326"/>
      <c r="U241" s="326"/>
      <c r="V241" s="326"/>
      <c r="W241" s="326"/>
      <c r="X241" s="326"/>
      <c r="Y241" s="326"/>
      <c r="Z241" s="326"/>
    </row>
    <row r="242" spans="1:26" ht="19.5" hidden="1">
      <c r="A242" s="322"/>
      <c r="B242" s="314"/>
      <c r="C242" s="323"/>
      <c r="D242" s="324" t="s">
        <v>100</v>
      </c>
      <c r="E242" s="315"/>
      <c r="F242" s="315"/>
      <c r="G242" s="317"/>
      <c r="H242" s="318" t="s">
        <v>12</v>
      </c>
      <c r="I242" s="325"/>
      <c r="J242" s="325"/>
      <c r="K242" s="321"/>
      <c r="L242" s="321">
        <f ca="1">IFERROR(__xludf.DUMMYFUNCTION("IMPORTRANGE(""https://docs.google.com/spreadsheets/d/1QqKyyYR6Q21VydFLVH3TRQUabQu_ym0Zz7PgGX0-kHA/edit?usp=sharing"",""แผน!AY30"")"),0)</f>
        <v>0</v>
      </c>
      <c r="M242" s="321"/>
      <c r="N242" s="340">
        <v>0</v>
      </c>
      <c r="O242" s="321"/>
      <c r="P242" s="321"/>
      <c r="Q242" s="326"/>
      <c r="R242" s="326"/>
      <c r="S242" s="326"/>
      <c r="T242" s="326"/>
      <c r="U242" s="326"/>
      <c r="V242" s="326"/>
      <c r="W242" s="326"/>
      <c r="X242" s="326"/>
      <c r="Y242" s="326"/>
      <c r="Z242" s="326"/>
    </row>
    <row r="243" spans="1:26" ht="19.5" hidden="1">
      <c r="A243" s="170"/>
      <c r="B243" s="171"/>
      <c r="C243" s="291" t="s">
        <v>16</v>
      </c>
      <c r="D243" s="818" t="s">
        <v>38</v>
      </c>
      <c r="E243" s="173"/>
      <c r="F243" s="173"/>
      <c r="G243" s="174"/>
      <c r="H243" s="726"/>
      <c r="I243" s="184"/>
      <c r="J243" s="269"/>
      <c r="K243" s="465"/>
      <c r="L243" s="465"/>
      <c r="M243" s="465"/>
      <c r="N243" s="465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15" t="s">
        <v>117</v>
      </c>
      <c r="E244" s="342"/>
      <c r="F244" s="342"/>
      <c r="G244" s="179"/>
      <c r="H244" s="728" t="s">
        <v>35</v>
      </c>
      <c r="I244" s="269">
        <f ca="1">IFERROR(__xludf.DUMMYFUNCTION("IMPORTRANGE(""https://docs.google.com/spreadsheets/d/1QqKyyYR6Q21VydFLVH3TRQUabQu_ym0Zz7PgGX0-kHA/edit?usp=sharing"",""แผน!BE30"")"),0)</f>
        <v>0</v>
      </c>
      <c r="J244" s="214">
        <v>0</v>
      </c>
      <c r="K244" s="465">
        <f ca="1">IF(I244&gt;0,J244*100/I244,0)</f>
        <v>0</v>
      </c>
      <c r="L244" s="465"/>
      <c r="M244" s="465"/>
      <c r="N244" s="465"/>
      <c r="O244" s="465"/>
      <c r="P244" s="465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341" t="s">
        <v>43</v>
      </c>
      <c r="E245" s="342"/>
      <c r="F245" s="342"/>
      <c r="G245" s="179"/>
      <c r="H245" s="728"/>
      <c r="I245" s="269"/>
      <c r="J245" s="269"/>
      <c r="K245" s="465"/>
      <c r="L245" s="465"/>
      <c r="M245" s="465"/>
      <c r="N245" s="465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343" t="s">
        <v>118</v>
      </c>
      <c r="F246" s="342"/>
      <c r="G246" s="179"/>
      <c r="H246" s="728" t="s">
        <v>35</v>
      </c>
      <c r="I246" s="269"/>
      <c r="J246" s="214">
        <v>0</v>
      </c>
      <c r="K246" s="465">
        <f t="shared" ref="K246:K248" si="111">IF(I246&gt;0,J246*100/I246,0)</f>
        <v>0</v>
      </c>
      <c r="L246" s="465"/>
      <c r="M246" s="465"/>
      <c r="N246" s="465"/>
      <c r="O246" s="465"/>
      <c r="P246" s="465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343" t="s">
        <v>119</v>
      </c>
      <c r="F247" s="342"/>
      <c r="G247" s="179"/>
      <c r="H247" s="728" t="s">
        <v>69</v>
      </c>
      <c r="I247" s="269"/>
      <c r="J247" s="214">
        <v>0</v>
      </c>
      <c r="K247" s="465">
        <f t="shared" si="111"/>
        <v>0</v>
      </c>
      <c r="L247" s="465"/>
      <c r="M247" s="465"/>
      <c r="N247" s="465"/>
      <c r="O247" s="465"/>
      <c r="P247" s="465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5"/>
      <c r="B248" s="263"/>
      <c r="C248" s="339" t="s">
        <v>331</v>
      </c>
      <c r="D248" s="256"/>
      <c r="E248" s="256"/>
      <c r="F248" s="256"/>
      <c r="G248" s="258"/>
      <c r="H248" s="259" t="s">
        <v>35</v>
      </c>
      <c r="I248" s="271">
        <f t="shared" ref="I248:J248" ca="1" si="112">I255</f>
        <v>0</v>
      </c>
      <c r="J248" s="271">
        <f t="shared" si="112"/>
        <v>0</v>
      </c>
      <c r="K248" s="272">
        <f t="shared" ca="1" si="111"/>
        <v>0</v>
      </c>
      <c r="L248" s="261"/>
      <c r="M248" s="261"/>
      <c r="N248" s="261"/>
      <c r="O248" s="261"/>
      <c r="P248" s="261"/>
    </row>
    <row r="249" spans="1:26" ht="19.5" hidden="1">
      <c r="A249" s="147"/>
      <c r="B249" s="148"/>
      <c r="C249" s="149" t="s">
        <v>16</v>
      </c>
      <c r="D249" s="822" t="s">
        <v>17</v>
      </c>
      <c r="E249" s="148"/>
      <c r="F249" s="148"/>
      <c r="G249" s="151"/>
      <c r="H249" s="274" t="s">
        <v>12</v>
      </c>
      <c r="I249" s="387"/>
      <c r="J249" s="387"/>
      <c r="K249" s="279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3"/>
      <c r="B250" s="314"/>
      <c r="C250" s="315"/>
      <c r="D250" s="324" t="s">
        <v>97</v>
      </c>
      <c r="E250" s="315"/>
      <c r="F250" s="315"/>
      <c r="G250" s="317"/>
      <c r="H250" s="318" t="s">
        <v>12</v>
      </c>
      <c r="I250" s="319"/>
      <c r="J250" s="319"/>
      <c r="K250" s="320"/>
      <c r="L250" s="321">
        <f ca="1">IFERROR(__xludf.DUMMYFUNCTION("IMPORTRANGE(""https://docs.google.com/spreadsheets/d/1QqKyyYR6Q21VydFLVH3TRQUabQu_ym0Zz7PgGX0-kHA/edit?usp=sharing"",""แผน!AZ30"")"),0)</f>
        <v>0</v>
      </c>
      <c r="M250" s="321"/>
      <c r="N250" s="340">
        <v>0</v>
      </c>
      <c r="O250" s="321"/>
      <c r="P250" s="321"/>
      <c r="Q250" s="312"/>
      <c r="R250" s="312"/>
      <c r="S250" s="312"/>
      <c r="T250" s="312"/>
      <c r="U250" s="312"/>
      <c r="V250" s="312"/>
      <c r="W250" s="312"/>
      <c r="X250" s="312"/>
      <c r="Y250" s="312"/>
      <c r="Z250" s="312"/>
    </row>
    <row r="251" spans="1:26" ht="19.5" hidden="1">
      <c r="A251" s="322"/>
      <c r="B251" s="314"/>
      <c r="C251" s="323"/>
      <c r="D251" s="324" t="s">
        <v>98</v>
      </c>
      <c r="E251" s="315"/>
      <c r="F251" s="315"/>
      <c r="G251" s="317"/>
      <c r="H251" s="318" t="s">
        <v>12</v>
      </c>
      <c r="I251" s="325"/>
      <c r="J251" s="325"/>
      <c r="K251" s="321"/>
      <c r="L251" s="321">
        <f ca="1">IFERROR(__xludf.DUMMYFUNCTION("IMPORTRANGE(""https://docs.google.com/spreadsheets/d/1QqKyyYR6Q21VydFLVH3TRQUabQu_ym0Zz7PgGX0-kHA/edit?usp=sharing"",""แผน!BA30"")"),0)</f>
        <v>0</v>
      </c>
      <c r="M251" s="321"/>
      <c r="N251" s="340">
        <v>0</v>
      </c>
      <c r="O251" s="321"/>
      <c r="P251" s="321"/>
      <c r="Q251" s="326"/>
      <c r="R251" s="326"/>
      <c r="S251" s="326"/>
      <c r="T251" s="326"/>
      <c r="U251" s="326"/>
      <c r="V251" s="326"/>
      <c r="W251" s="326"/>
      <c r="X251" s="326"/>
      <c r="Y251" s="326"/>
      <c r="Z251" s="326"/>
    </row>
    <row r="252" spans="1:26" ht="19.5" hidden="1">
      <c r="A252" s="322"/>
      <c r="B252" s="314"/>
      <c r="C252" s="323"/>
      <c r="D252" s="324" t="s">
        <v>116</v>
      </c>
      <c r="E252" s="315"/>
      <c r="F252" s="315"/>
      <c r="G252" s="317"/>
      <c r="H252" s="318" t="s">
        <v>12</v>
      </c>
      <c r="I252" s="325"/>
      <c r="J252" s="325"/>
      <c r="K252" s="321"/>
      <c r="L252" s="321">
        <f ca="1">IFERROR(__xludf.DUMMYFUNCTION("IMPORTRANGE(""https://docs.google.com/spreadsheets/d/1QqKyyYR6Q21VydFLVH3TRQUabQu_ym0Zz7PgGX0-kHA/edit?usp=sharing"",""แผน!BB30"")"),0)</f>
        <v>0</v>
      </c>
      <c r="M252" s="321"/>
      <c r="N252" s="340">
        <v>0</v>
      </c>
      <c r="O252" s="321"/>
      <c r="P252" s="321"/>
      <c r="Q252" s="326"/>
      <c r="R252" s="326"/>
      <c r="S252" s="326"/>
      <c r="T252" s="326"/>
      <c r="U252" s="326"/>
      <c r="V252" s="326"/>
      <c r="W252" s="326"/>
      <c r="X252" s="326"/>
      <c r="Y252" s="326"/>
      <c r="Z252" s="326"/>
    </row>
    <row r="253" spans="1:26" ht="19.5" hidden="1">
      <c r="A253" s="322"/>
      <c r="B253" s="314"/>
      <c r="C253" s="323"/>
      <c r="D253" s="324" t="s">
        <v>100</v>
      </c>
      <c r="E253" s="315"/>
      <c r="F253" s="315"/>
      <c r="G253" s="317"/>
      <c r="H253" s="318" t="s">
        <v>12</v>
      </c>
      <c r="I253" s="325"/>
      <c r="J253" s="325"/>
      <c r="K253" s="321"/>
      <c r="L253" s="321">
        <f ca="1">IFERROR(__xludf.DUMMYFUNCTION("IMPORTRANGE(""https://docs.google.com/spreadsheets/d/1QqKyyYR6Q21VydFLVH3TRQUabQu_ym0Zz7PgGX0-kHA/edit?usp=sharing"",""แผน!BC30"")"),0)</f>
        <v>0</v>
      </c>
      <c r="M253" s="321"/>
      <c r="N253" s="340">
        <v>0</v>
      </c>
      <c r="O253" s="321"/>
      <c r="P253" s="321"/>
      <c r="Q253" s="326"/>
      <c r="R253" s="326"/>
      <c r="S253" s="326"/>
      <c r="T253" s="326"/>
      <c r="U253" s="326"/>
      <c r="V253" s="326"/>
      <c r="W253" s="326"/>
      <c r="X253" s="326"/>
      <c r="Y253" s="326"/>
      <c r="Z253" s="326"/>
    </row>
    <row r="254" spans="1:26" ht="19.5" hidden="1">
      <c r="A254" s="170"/>
      <c r="B254" s="171"/>
      <c r="C254" s="291" t="s">
        <v>16</v>
      </c>
      <c r="D254" s="818" t="s">
        <v>38</v>
      </c>
      <c r="E254" s="173"/>
      <c r="F254" s="173"/>
      <c r="G254" s="174"/>
      <c r="H254" s="726"/>
      <c r="I254" s="184"/>
      <c r="J254" s="269"/>
      <c r="K254" s="465"/>
      <c r="L254" s="465"/>
      <c r="M254" s="465"/>
      <c r="N254" s="465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15" t="s">
        <v>117</v>
      </c>
      <c r="E255" s="342"/>
      <c r="F255" s="342"/>
      <c r="G255" s="179"/>
      <c r="H255" s="728" t="s">
        <v>35</v>
      </c>
      <c r="I255" s="269">
        <f ca="1">IFERROR(__xludf.DUMMYFUNCTION("IMPORTRANGE(""https://docs.google.com/spreadsheets/d/1QqKyyYR6Q21VydFLVH3TRQUabQu_ym0Zz7PgGX0-kHA/edit?usp=sharing"",""แผน!BF30"")"),0)</f>
        <v>0</v>
      </c>
      <c r="J255" s="214">
        <v>0</v>
      </c>
      <c r="K255" s="465">
        <f ca="1">IF(I255&gt;0,J255*100/I255,0)</f>
        <v>0</v>
      </c>
      <c r="L255" s="465"/>
      <c r="M255" s="465"/>
      <c r="N255" s="465"/>
      <c r="O255" s="465"/>
      <c r="P255" s="465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341" t="s">
        <v>43</v>
      </c>
      <c r="E256" s="342"/>
      <c r="F256" s="342"/>
      <c r="G256" s="179"/>
      <c r="H256" s="728"/>
      <c r="I256" s="269"/>
      <c r="J256" s="269"/>
      <c r="K256" s="465"/>
      <c r="L256" s="465"/>
      <c r="M256" s="465"/>
      <c r="N256" s="465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343" t="s">
        <v>118</v>
      </c>
      <c r="F257" s="342"/>
      <c r="G257" s="179"/>
      <c r="H257" s="728" t="s">
        <v>35</v>
      </c>
      <c r="I257" s="269"/>
      <c r="J257" s="214">
        <v>0</v>
      </c>
      <c r="K257" s="465">
        <f t="shared" ref="K257:K258" si="113">IF(I257&gt;0,J257*100/I257,0)</f>
        <v>0</v>
      </c>
      <c r="L257" s="465"/>
      <c r="M257" s="465"/>
      <c r="N257" s="465"/>
      <c r="O257" s="465"/>
      <c r="P257" s="465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343" t="s">
        <v>119</v>
      </c>
      <c r="F258" s="342"/>
      <c r="G258" s="179"/>
      <c r="H258" s="728" t="s">
        <v>69</v>
      </c>
      <c r="I258" s="269"/>
      <c r="J258" s="214">
        <v>0</v>
      </c>
      <c r="K258" s="465">
        <f t="shared" si="113"/>
        <v>0</v>
      </c>
      <c r="L258" s="465"/>
      <c r="M258" s="465"/>
      <c r="N258" s="465"/>
      <c r="O258" s="465"/>
      <c r="P258" s="465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1" t="s">
        <v>122</v>
      </c>
      <c r="B259" s="242"/>
      <c r="C259" s="242"/>
      <c r="D259" s="243"/>
      <c r="E259" s="243"/>
      <c r="F259" s="243"/>
      <c r="G259" s="244"/>
      <c r="H259" s="245"/>
      <c r="I259" s="246"/>
      <c r="J259" s="246"/>
      <c r="K259" s="247"/>
      <c r="L259" s="247"/>
      <c r="M259" s="247"/>
      <c r="N259" s="247"/>
      <c r="O259" s="247"/>
      <c r="P259" s="247"/>
    </row>
    <row r="260" spans="1:26" ht="19.5">
      <c r="A260" s="248"/>
      <c r="B260" s="249" t="s">
        <v>123</v>
      </c>
      <c r="C260" s="250"/>
      <c r="D260" s="173"/>
      <c r="E260" s="173"/>
      <c r="F260" s="173"/>
      <c r="G260" s="174"/>
      <c r="H260" s="251" t="s">
        <v>35</v>
      </c>
      <c r="I260" s="252">
        <f t="shared" ref="I260:J260" ca="1" si="114">I271</f>
        <v>24</v>
      </c>
      <c r="J260" s="252">
        <f t="shared" si="114"/>
        <v>0</v>
      </c>
      <c r="K260" s="253">
        <f ca="1">IF(I260&gt;0,J260*100/I260,0)</f>
        <v>0</v>
      </c>
      <c r="L260" s="254"/>
      <c r="M260" s="254"/>
      <c r="N260" s="254"/>
      <c r="O260" s="254"/>
      <c r="P260" s="254"/>
    </row>
    <row r="261" spans="1:26" ht="19.5">
      <c r="A261" s="147"/>
      <c r="B261" s="148"/>
      <c r="C261" s="149" t="s">
        <v>16</v>
      </c>
      <c r="D261" s="817" t="s">
        <v>17</v>
      </c>
      <c r="E261" s="148"/>
      <c r="F261" s="148"/>
      <c r="G261" s="151"/>
      <c r="H261" s="152" t="s">
        <v>12</v>
      </c>
      <c r="I261" s="388"/>
      <c r="J261" s="388"/>
      <c r="K261" s="154"/>
      <c r="L261" s="155">
        <f t="shared" ref="L261:N261" ca="1" si="115">L262+L263</f>
        <v>28800</v>
      </c>
      <c r="M261" s="155">
        <f t="shared" ca="1" si="115"/>
        <v>25800</v>
      </c>
      <c r="N261" s="155">
        <f t="shared" ca="1" si="115"/>
        <v>0</v>
      </c>
      <c r="O261" s="155">
        <f t="shared" ref="O261:O269" ca="1" si="116">IF(L261&gt;0,N261*100/L261,0)</f>
        <v>0</v>
      </c>
      <c r="P261" s="155">
        <f t="shared" ref="P261:P269" ca="1" si="117">IF(M261&gt;0,N261*100/M261,0)</f>
        <v>0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2" t="s">
        <v>18</v>
      </c>
      <c r="F262" s="40"/>
      <c r="G262" s="157"/>
      <c r="H262" s="158" t="s">
        <v>12</v>
      </c>
      <c r="I262" s="583"/>
      <c r="J262" s="583"/>
      <c r="K262" s="93"/>
      <c r="L262" s="93">
        <f t="shared" ref="L262:N263" si="118">L265+L268</f>
        <v>0</v>
      </c>
      <c r="M262" s="93">
        <f t="shared" si="118"/>
        <v>0</v>
      </c>
      <c r="N262" s="93">
        <f t="shared" si="118"/>
        <v>0</v>
      </c>
      <c r="O262" s="93">
        <f t="shared" si="116"/>
        <v>0</v>
      </c>
      <c r="P262" s="93">
        <f t="shared" si="117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2" t="s">
        <v>19</v>
      </c>
      <c r="F263" s="40"/>
      <c r="G263" s="157"/>
      <c r="H263" s="158" t="s">
        <v>12</v>
      </c>
      <c r="I263" s="583"/>
      <c r="J263" s="583"/>
      <c r="K263" s="93"/>
      <c r="L263" s="93">
        <f t="shared" ca="1" si="118"/>
        <v>28800</v>
      </c>
      <c r="M263" s="93">
        <f t="shared" ca="1" si="118"/>
        <v>25800</v>
      </c>
      <c r="N263" s="93">
        <f t="shared" ca="1" si="118"/>
        <v>0</v>
      </c>
      <c r="O263" s="93">
        <f t="shared" ca="1" si="116"/>
        <v>0</v>
      </c>
      <c r="P263" s="93">
        <f t="shared" ca="1" si="117"/>
        <v>0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1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65">
        <f t="shared" ref="L264:N264" ca="1" si="119">L265+L266</f>
        <v>28800</v>
      </c>
      <c r="M264" s="465">
        <f t="shared" ca="1" si="119"/>
        <v>25800</v>
      </c>
      <c r="N264" s="465">
        <f t="shared" ca="1" si="119"/>
        <v>0</v>
      </c>
      <c r="O264" s="465">
        <f t="shared" ca="1" si="116"/>
        <v>0</v>
      </c>
      <c r="P264" s="465">
        <f t="shared" ca="1" si="117"/>
        <v>0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2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6"/>
        <v>0</v>
      </c>
      <c r="P265" s="93">
        <f t="shared" si="117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2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IFERROR(__xludf.DUMMYFUNCTION("IMPORTRANGE(""https://docs.google.com/spreadsheets/d/1MeEWN-I1oV_STSDYn1IFDPWt_1FKiwhDph83XaGc0o0/edit?usp=sharing"",""งบพรบ!CY30"")"),28800)</f>
        <v>28800</v>
      </c>
      <c r="M266" s="93">
        <f ca="1">IFERROR(__xludf.DUMMYFUNCTION("IMPORTRANGE(""https://docs.google.com/spreadsheets/d/1MeEWN-I1oV_STSDYn1IFDPWt_1FKiwhDph83XaGc0o0/edit?usp=sharing"",""งบพรบ!DD30"")"),25800)</f>
        <v>25800</v>
      </c>
      <c r="N266" s="93">
        <f ca="1">IFERROR(__xludf.DUMMYFUNCTION("IMPORTRANGE(""https://docs.google.com/spreadsheets/d/1MeEWN-I1oV_STSDYn1IFDPWt_1FKiwhDph83XaGc0o0/edit?usp=sharing"",""งบพรบ!DF30"")"),0)</f>
        <v>0</v>
      </c>
      <c r="O266" s="93">
        <f t="shared" ca="1" si="116"/>
        <v>0</v>
      </c>
      <c r="P266" s="93">
        <f t="shared" ca="1" si="117"/>
        <v>0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1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65">
        <f t="shared" ref="L267:N267" ca="1" si="120">L268+L269</f>
        <v>0</v>
      </c>
      <c r="M267" s="465">
        <f t="shared" ca="1" si="120"/>
        <v>0</v>
      </c>
      <c r="N267" s="465">
        <f t="shared" ca="1" si="120"/>
        <v>0</v>
      </c>
      <c r="O267" s="465">
        <f t="shared" ca="1" si="116"/>
        <v>0</v>
      </c>
      <c r="P267" s="465">
        <f t="shared" ca="1" si="117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2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6"/>
        <v>0</v>
      </c>
      <c r="P268" s="93">
        <f t="shared" si="117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2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IFERROR(__xludf.DUMMYFUNCTION("IMPORTRANGE(""https://docs.google.com/spreadsheets/d/1MeEWN-I1oV_STSDYn1IFDPWt_1FKiwhDph83XaGc0o0/edit?usp=sharing"",""งบพรบ!DB30"")"),0)</f>
        <v>0</v>
      </c>
      <c r="M269" s="93">
        <f ca="1">IFERROR(__xludf.DUMMYFUNCTION("IMPORTRANGE(""https://docs.google.com/spreadsheets/d/1MeEWN-I1oV_STSDYn1IFDPWt_1FKiwhDph83XaGc0o0/edit?usp=sharing"",""งบพรบ!DE30"")"),0)</f>
        <v>0</v>
      </c>
      <c r="N269" s="93">
        <f ca="1">IFERROR(__xludf.DUMMYFUNCTION("IMPORTRANGE(""https://docs.google.com/spreadsheets/d/1MeEWN-I1oV_STSDYn1IFDPWt_1FKiwhDph83XaGc0o0/edit?usp=sharing"",""งบพรบ!DG30"")"),0)</f>
        <v>0</v>
      </c>
      <c r="O269" s="93">
        <f t="shared" ca="1" si="116"/>
        <v>0</v>
      </c>
      <c r="P269" s="93">
        <f t="shared" ca="1" si="117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1" t="s">
        <v>16</v>
      </c>
      <c r="D270" s="818" t="s">
        <v>38</v>
      </c>
      <c r="E270" s="173"/>
      <c r="F270" s="173"/>
      <c r="G270" s="174"/>
      <c r="H270" s="726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44" t="s">
        <v>124</v>
      </c>
      <c r="E271" s="342"/>
      <c r="F271" s="268"/>
      <c r="G271" s="179"/>
      <c r="H271" s="345" t="s">
        <v>35</v>
      </c>
      <c r="I271" s="269">
        <f ca="1">IFERROR(__xludf.DUMMYFUNCTION("IMPORTRANGE(""https://docs.google.com/spreadsheets/d/1QqKyyYR6Q21VydFLVH3TRQUabQu_ym0Zz7PgGX0-kHA/edit?usp=sharing"",""แผน!EA30"")"),24)</f>
        <v>24</v>
      </c>
      <c r="J271" s="214">
        <v>0</v>
      </c>
      <c r="K271" s="163">
        <f ca="1">IF(I271&gt;0,J271*100/I271,0)</f>
        <v>0</v>
      </c>
      <c r="L271" s="163"/>
      <c r="M271" s="163"/>
      <c r="N271" s="163"/>
      <c r="O271" s="163"/>
      <c r="P271" s="163"/>
    </row>
    <row r="272" spans="1:26" ht="18.75" hidden="1">
      <c r="A272" s="346"/>
      <c r="B272" s="347"/>
      <c r="C272" s="347"/>
      <c r="D272" s="348" t="s">
        <v>125</v>
      </c>
      <c r="E272" s="349"/>
      <c r="F272" s="349"/>
      <c r="G272" s="350"/>
      <c r="H272" s="50" t="s">
        <v>35</v>
      </c>
      <c r="I272" s="468">
        <v>0</v>
      </c>
      <c r="J272" s="468">
        <v>0</v>
      </c>
      <c r="K272" s="353">
        <v>0</v>
      </c>
      <c r="L272" s="353"/>
      <c r="M272" s="353"/>
      <c r="N272" s="353"/>
      <c r="O272" s="353"/>
      <c r="P272" s="353"/>
    </row>
    <row r="273" spans="1:26" ht="19.5">
      <c r="A273" s="354" t="s">
        <v>126</v>
      </c>
      <c r="B273" s="355"/>
      <c r="C273" s="355"/>
      <c r="D273" s="355"/>
      <c r="E273" s="356"/>
      <c r="F273" s="356"/>
      <c r="G273" s="357"/>
      <c r="H273" s="358"/>
      <c r="I273" s="359"/>
      <c r="J273" s="359"/>
      <c r="K273" s="360"/>
      <c r="L273" s="360"/>
      <c r="M273" s="360"/>
      <c r="N273" s="360"/>
      <c r="O273" s="360"/>
      <c r="P273" s="360"/>
    </row>
    <row r="274" spans="1:26" ht="19.5">
      <c r="A274" s="361" t="s">
        <v>127</v>
      </c>
      <c r="B274" s="362"/>
      <c r="C274" s="363"/>
      <c r="D274" s="362"/>
      <c r="E274" s="362"/>
      <c r="F274" s="362"/>
      <c r="G274" s="362"/>
      <c r="H274" s="364"/>
      <c r="I274" s="365"/>
      <c r="J274" s="366"/>
      <c r="K274" s="367"/>
      <c r="L274" s="367"/>
      <c r="M274" s="367"/>
      <c r="N274" s="367"/>
      <c r="O274" s="367"/>
      <c r="P274" s="367"/>
    </row>
    <row r="275" spans="1:26" ht="19.5">
      <c r="A275" s="368"/>
      <c r="B275" s="377" t="s">
        <v>128</v>
      </c>
      <c r="C275" s="370"/>
      <c r="D275" s="371"/>
      <c r="E275" s="370"/>
      <c r="F275" s="370"/>
      <c r="G275" s="372"/>
      <c r="H275" s="373" t="s">
        <v>35</v>
      </c>
      <c r="I275" s="374">
        <f t="shared" ref="I275:J275" ca="1" si="121">I288</f>
        <v>20</v>
      </c>
      <c r="J275" s="374">
        <f t="shared" ca="1" si="121"/>
        <v>0</v>
      </c>
      <c r="K275" s="375">
        <f t="shared" ref="K275:K276" ca="1" si="122">IF(I275&gt;0,J275*100/I275,0)</f>
        <v>0</v>
      </c>
      <c r="L275" s="376"/>
      <c r="M275" s="376"/>
      <c r="N275" s="376"/>
      <c r="O275" s="376"/>
      <c r="P275" s="376"/>
    </row>
    <row r="276" spans="1:26" ht="19.5">
      <c r="A276" s="368"/>
      <c r="B276" s="377"/>
      <c r="C276" s="370"/>
      <c r="D276" s="371"/>
      <c r="E276" s="370"/>
      <c r="F276" s="370"/>
      <c r="G276" s="372"/>
      <c r="H276" s="373" t="s">
        <v>46</v>
      </c>
      <c r="I276" s="374">
        <f t="shared" ref="I276:J276" ca="1" si="123">I287</f>
        <v>200</v>
      </c>
      <c r="J276" s="374">
        <f t="shared" si="123"/>
        <v>200</v>
      </c>
      <c r="K276" s="375">
        <f t="shared" ca="1" si="122"/>
        <v>100</v>
      </c>
      <c r="L276" s="376"/>
      <c r="M276" s="376"/>
      <c r="N276" s="376"/>
      <c r="O276" s="376"/>
      <c r="P276" s="376"/>
    </row>
    <row r="277" spans="1:26" ht="19.5">
      <c r="A277" s="147"/>
      <c r="B277" s="148"/>
      <c r="C277" s="149" t="s">
        <v>16</v>
      </c>
      <c r="D277" s="817" t="s">
        <v>17</v>
      </c>
      <c r="E277" s="148"/>
      <c r="F277" s="148"/>
      <c r="G277" s="151"/>
      <c r="H277" s="152" t="s">
        <v>12</v>
      </c>
      <c r="I277" s="388"/>
      <c r="J277" s="388"/>
      <c r="K277" s="154"/>
      <c r="L277" s="155">
        <f t="shared" ref="L277:N277" ca="1" si="124">L278+L279</f>
        <v>229340</v>
      </c>
      <c r="M277" s="155">
        <f t="shared" ca="1" si="124"/>
        <v>108490</v>
      </c>
      <c r="N277" s="155">
        <f t="shared" ca="1" si="124"/>
        <v>22873</v>
      </c>
      <c r="O277" s="155">
        <f t="shared" ref="O277:O285" ca="1" si="125">IF(L277&gt;0,N277*100/L277,0)</f>
        <v>9.9734019359902337</v>
      </c>
      <c r="P277" s="155">
        <f t="shared" ref="P277:P285" ca="1" si="126">IF(M277&gt;0,N277*100/M277,0)</f>
        <v>21.083049128951977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2" t="s">
        <v>18</v>
      </c>
      <c r="F278" s="40"/>
      <c r="G278" s="157"/>
      <c r="H278" s="158" t="s">
        <v>12</v>
      </c>
      <c r="I278" s="583"/>
      <c r="J278" s="583"/>
      <c r="K278" s="93"/>
      <c r="L278" s="93">
        <f t="shared" ref="L278:N279" si="127">L281+L284</f>
        <v>0</v>
      </c>
      <c r="M278" s="93">
        <f t="shared" si="127"/>
        <v>0</v>
      </c>
      <c r="N278" s="93">
        <f t="shared" si="127"/>
        <v>0</v>
      </c>
      <c r="O278" s="93">
        <f t="shared" si="125"/>
        <v>0</v>
      </c>
      <c r="P278" s="93">
        <f t="shared" si="126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2" t="s">
        <v>19</v>
      </c>
      <c r="F279" s="40"/>
      <c r="G279" s="157"/>
      <c r="H279" s="158" t="s">
        <v>12</v>
      </c>
      <c r="I279" s="583"/>
      <c r="J279" s="583"/>
      <c r="K279" s="93"/>
      <c r="L279" s="93">
        <f t="shared" ca="1" si="127"/>
        <v>229340</v>
      </c>
      <c r="M279" s="93">
        <f t="shared" ca="1" si="127"/>
        <v>108490</v>
      </c>
      <c r="N279" s="93">
        <f t="shared" ca="1" si="127"/>
        <v>22873</v>
      </c>
      <c r="O279" s="93">
        <f t="shared" ca="1" si="125"/>
        <v>9.9734019359902337</v>
      </c>
      <c r="P279" s="93">
        <f t="shared" ca="1" si="126"/>
        <v>21.083049128951977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>
      <c r="A280" s="159"/>
      <c r="B280" s="33"/>
      <c r="C280" s="281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65">
        <f t="shared" ref="L280:N280" ca="1" si="128">L281+L282</f>
        <v>229340</v>
      </c>
      <c r="M280" s="465">
        <f t="shared" ca="1" si="128"/>
        <v>108490</v>
      </c>
      <c r="N280" s="465">
        <f t="shared" ca="1" si="128"/>
        <v>22873</v>
      </c>
      <c r="O280" s="465">
        <f t="shared" ca="1" si="125"/>
        <v>9.9734019359902337</v>
      </c>
      <c r="P280" s="465">
        <f t="shared" ca="1" si="126"/>
        <v>21.083049128951977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2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5"/>
        <v>0</v>
      </c>
      <c r="P281" s="93">
        <f t="shared" si="126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2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IFERROR(__xludf.DUMMYFUNCTION("IMPORTRANGE(""https://docs.google.com/spreadsheets/d/1MeEWN-I1oV_STSDYn1IFDPWt_1FKiwhDph83XaGc0o0/edit?usp=sharing"",""งบพรบ!DI30"")"),229340)</f>
        <v>229340</v>
      </c>
      <c r="M282" s="93">
        <f ca="1">IFERROR(__xludf.DUMMYFUNCTION("IMPORTRANGE(""https://docs.google.com/spreadsheets/d/1MeEWN-I1oV_STSDYn1IFDPWt_1FKiwhDph83XaGc0o0/edit?usp=sharing"",""งบพรบ!DN30"")"),108490)</f>
        <v>108490</v>
      </c>
      <c r="N282" s="93">
        <f ca="1">IFERROR(__xludf.DUMMYFUNCTION("IMPORTRANGE(""https://docs.google.com/spreadsheets/d/1MeEWN-I1oV_STSDYn1IFDPWt_1FKiwhDph83XaGc0o0/edit?usp=sharing"",""งบพรบ!DP30"")"),22873)</f>
        <v>22873</v>
      </c>
      <c r="O282" s="93">
        <f t="shared" ca="1" si="125"/>
        <v>9.9734019359902337</v>
      </c>
      <c r="P282" s="93">
        <f t="shared" ca="1" si="126"/>
        <v>21.083049128951977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>
      <c r="A283" s="159"/>
      <c r="B283" s="33"/>
      <c r="C283" s="281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65">
        <f t="shared" ref="L283:N283" ca="1" si="129">L284+L285</f>
        <v>0</v>
      </c>
      <c r="M283" s="465">
        <f t="shared" ca="1" si="129"/>
        <v>0</v>
      </c>
      <c r="N283" s="465">
        <f t="shared" ca="1" si="129"/>
        <v>0</v>
      </c>
      <c r="O283" s="465">
        <f t="shared" ca="1" si="125"/>
        <v>0</v>
      </c>
      <c r="P283" s="465">
        <f t="shared" ca="1" si="126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2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5"/>
        <v>0</v>
      </c>
      <c r="P284" s="93">
        <f t="shared" si="126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2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IFERROR(__xludf.DUMMYFUNCTION("IMPORTRANGE(""https://docs.google.com/spreadsheets/d/1MeEWN-I1oV_STSDYn1IFDPWt_1FKiwhDph83XaGc0o0/edit?usp=sharing"",""งบพรบ!DL30"")"),0)</f>
        <v>0</v>
      </c>
      <c r="M285" s="93">
        <f ca="1">IFERROR(__xludf.DUMMYFUNCTION("IMPORTRANGE(""https://docs.google.com/spreadsheets/d/1MeEWN-I1oV_STSDYn1IFDPWt_1FKiwhDph83XaGc0o0/edit?usp=sharing"",""งบพรบ!DO30"")"),0)</f>
        <v>0</v>
      </c>
      <c r="N285" s="93">
        <f ca="1">IFERROR(__xludf.DUMMYFUNCTION("IMPORTRANGE(""https://docs.google.com/spreadsheets/d/1MeEWN-I1oV_STSDYn1IFDPWt_1FKiwhDph83XaGc0o0/edit?usp=sharing"",""งบพรบ!DQ30"")"),0)</f>
        <v>0</v>
      </c>
      <c r="O285" s="93">
        <f t="shared" ca="1" si="125"/>
        <v>0</v>
      </c>
      <c r="P285" s="93">
        <f t="shared" ca="1" si="126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>
      <c r="A286" s="170"/>
      <c r="B286" s="171"/>
      <c r="C286" s="164" t="s">
        <v>16</v>
      </c>
      <c r="D286" s="818" t="s">
        <v>38</v>
      </c>
      <c r="E286" s="173"/>
      <c r="F286" s="173"/>
      <c r="G286" s="174"/>
      <c r="H286" s="726"/>
      <c r="I286" s="184"/>
      <c r="J286" s="184"/>
      <c r="K286" s="163"/>
      <c r="L286" s="163"/>
      <c r="M286" s="163"/>
      <c r="N286" s="163"/>
      <c r="O286" s="163"/>
      <c r="P286" s="163"/>
    </row>
    <row r="287" spans="1:26" ht="18.75">
      <c r="A287" s="170"/>
      <c r="B287" s="171"/>
      <c r="C287" s="171"/>
      <c r="D287" s="592" t="s">
        <v>129</v>
      </c>
      <c r="E287" s="171"/>
      <c r="F287" s="342"/>
      <c r="G287" s="179"/>
      <c r="H287" s="185" t="s">
        <v>46</v>
      </c>
      <c r="I287" s="269">
        <f ca="1">IFERROR(__xludf.DUMMYFUNCTION("IMPORTRANGE(""https://docs.google.com/spreadsheets/d/1QqKyyYR6Q21VydFLVH3TRQUabQu_ym0Zz7PgGX0-kHA/edit?usp=sharing"",""แผน!EC30"")"),200)</f>
        <v>200</v>
      </c>
      <c r="J287" s="214">
        <v>200</v>
      </c>
      <c r="K287" s="163">
        <f t="shared" ref="K287:K288" ca="1" si="130">IF(I287&gt;0,J287*100/I287,0)</f>
        <v>100</v>
      </c>
      <c r="L287" s="163"/>
      <c r="M287" s="163"/>
      <c r="N287" s="163"/>
      <c r="O287" s="163"/>
      <c r="P287" s="163"/>
    </row>
    <row r="288" spans="1:26" ht="19.5">
      <c r="A288" s="170"/>
      <c r="B288" s="171"/>
      <c r="C288" s="171"/>
      <c r="D288" s="592" t="s">
        <v>130</v>
      </c>
      <c r="E288" s="171"/>
      <c r="F288" s="342"/>
      <c r="G288" s="179"/>
      <c r="H288" s="180" t="s">
        <v>35</v>
      </c>
      <c r="I288" s="647">
        <f ca="1">IFERROR(__xludf.DUMMYFUNCTION("IMPORTRANGE(""https://docs.google.com/spreadsheets/d/1QqKyyYR6Q21VydFLVH3TRQUabQu_ym0Zz7PgGX0-kHA/edit?usp=sharing"",""แผน!EB30"")"),20)</f>
        <v>20</v>
      </c>
      <c r="J288" s="647">
        <f ca="1">IF(AND(J291&gt;=I288,J294&gt;=I288),J294,0)</f>
        <v>0</v>
      </c>
      <c r="K288" s="379">
        <f t="shared" ca="1" si="130"/>
        <v>0</v>
      </c>
      <c r="L288" s="163"/>
      <c r="M288" s="163"/>
      <c r="N288" s="163"/>
      <c r="O288" s="163"/>
      <c r="P288" s="163"/>
    </row>
    <row r="289" spans="1:26" ht="19.5">
      <c r="A289" s="170"/>
      <c r="B289" s="171"/>
      <c r="C289" s="171"/>
      <c r="D289" s="380"/>
      <c r="E289" s="381" t="s">
        <v>131</v>
      </c>
      <c r="F289" s="342"/>
      <c r="G289" s="179"/>
      <c r="H289" s="728"/>
      <c r="I289" s="184"/>
      <c r="J289" s="269"/>
      <c r="K289" s="163"/>
      <c r="L289" s="163"/>
      <c r="M289" s="163"/>
      <c r="N289" s="163"/>
      <c r="O289" s="163"/>
      <c r="P289" s="163"/>
    </row>
    <row r="290" spans="1:26" ht="19.5">
      <c r="A290" s="170"/>
      <c r="B290" s="171"/>
      <c r="C290" s="171"/>
      <c r="D290" s="380"/>
      <c r="E290" s="592" t="s">
        <v>132</v>
      </c>
      <c r="F290" s="342"/>
      <c r="G290" s="179"/>
      <c r="H290" s="728" t="s">
        <v>35</v>
      </c>
      <c r="I290" s="184">
        <f ca="1">IFERROR(__xludf.DUMMYFUNCTION("IMPORTRANGE(""https://docs.google.com/spreadsheets/d/1QqKyyYR6Q21VydFLVH3TRQUabQu_ym0Zz7PgGX0-kHA/edit?usp=sharing"",""แผน!EB30"")"),20)</f>
        <v>20</v>
      </c>
      <c r="J290" s="214">
        <v>20</v>
      </c>
      <c r="K290" s="163">
        <f t="shared" ref="K290:K291" ca="1" si="131">IF(I290&gt;0,J290*100/I290,0)</f>
        <v>100</v>
      </c>
      <c r="L290" s="163"/>
      <c r="M290" s="163"/>
      <c r="N290" s="163"/>
      <c r="O290" s="163"/>
      <c r="P290" s="163"/>
    </row>
    <row r="291" spans="1:26" ht="19.5">
      <c r="A291" s="170"/>
      <c r="B291" s="171"/>
      <c r="C291" s="171"/>
      <c r="D291" s="342"/>
      <c r="E291" s="592" t="s">
        <v>133</v>
      </c>
      <c r="F291" s="342"/>
      <c r="G291" s="179"/>
      <c r="H291" s="728" t="s">
        <v>35</v>
      </c>
      <c r="I291" s="184">
        <f ca="1">IFERROR(__xludf.DUMMYFUNCTION("IMPORTRANGE(""https://docs.google.com/spreadsheets/d/1QqKyyYR6Q21VydFLVH3TRQUabQu_ym0Zz7PgGX0-kHA/edit?usp=sharing"",""แผน!EB30"")"),20)</f>
        <v>20</v>
      </c>
      <c r="J291" s="214">
        <v>20</v>
      </c>
      <c r="K291" s="163">
        <f t="shared" ca="1" si="131"/>
        <v>100</v>
      </c>
      <c r="L291" s="163"/>
      <c r="M291" s="163"/>
      <c r="N291" s="163"/>
      <c r="O291" s="163"/>
      <c r="P291" s="163"/>
    </row>
    <row r="292" spans="1:26" ht="19.5">
      <c r="A292" s="382"/>
      <c r="B292" s="383"/>
      <c r="C292" s="383"/>
      <c r="D292" s="384"/>
      <c r="E292" s="385" t="s">
        <v>134</v>
      </c>
      <c r="F292" s="286"/>
      <c r="G292" s="287"/>
      <c r="H292" s="386"/>
      <c r="I292" s="387"/>
      <c r="J292" s="388"/>
      <c r="K292" s="279"/>
      <c r="L292" s="279"/>
      <c r="M292" s="279"/>
      <c r="N292" s="279"/>
      <c r="O292" s="279"/>
      <c r="P292" s="279"/>
    </row>
    <row r="293" spans="1:26" ht="19.5">
      <c r="A293" s="170"/>
      <c r="B293" s="171"/>
      <c r="C293" s="171"/>
      <c r="D293" s="380"/>
      <c r="E293" s="592" t="s">
        <v>132</v>
      </c>
      <c r="F293" s="342"/>
      <c r="G293" s="179"/>
      <c r="H293" s="728" t="s">
        <v>35</v>
      </c>
      <c r="I293" s="184">
        <f ca="1">IFERROR(__xludf.DUMMYFUNCTION("IMPORTRANGE(""https://docs.google.com/spreadsheets/d/1QqKyyYR6Q21VydFLVH3TRQUabQu_ym0Zz7PgGX0-kHA/edit?usp=sharing"",""แผน!EB30"")"),20)</f>
        <v>20</v>
      </c>
      <c r="J293" s="214">
        <v>0</v>
      </c>
      <c r="K293" s="163">
        <f t="shared" ref="K293:K294" ca="1" si="132">IF(I293&gt;0,J293*100/I293,0)</f>
        <v>0</v>
      </c>
      <c r="L293" s="163"/>
      <c r="M293" s="163"/>
      <c r="N293" s="163"/>
      <c r="O293" s="163"/>
      <c r="P293" s="163"/>
    </row>
    <row r="294" spans="1:26" ht="19.5">
      <c r="A294" s="346"/>
      <c r="B294" s="347"/>
      <c r="C294" s="347"/>
      <c r="D294" s="349"/>
      <c r="E294" s="698" t="s">
        <v>136</v>
      </c>
      <c r="F294" s="349"/>
      <c r="G294" s="350"/>
      <c r="H294" s="390" t="s">
        <v>35</v>
      </c>
      <c r="I294" s="391">
        <f ca="1">IFERROR(__xludf.DUMMYFUNCTION("IMPORTRANGE(""https://docs.google.com/spreadsheets/d/1QqKyyYR6Q21VydFLVH3TRQUabQu_ym0Zz7PgGX0-kHA/edit?usp=sharing"",""แผน!EB30"")"),20)</f>
        <v>20</v>
      </c>
      <c r="J294" s="392">
        <v>0</v>
      </c>
      <c r="K294" s="353">
        <f t="shared" ca="1" si="132"/>
        <v>0</v>
      </c>
      <c r="L294" s="353"/>
      <c r="M294" s="353"/>
      <c r="N294" s="353"/>
      <c r="O294" s="353"/>
      <c r="P294" s="353"/>
    </row>
    <row r="295" spans="1:26" ht="19.5">
      <c r="A295" s="393" t="s">
        <v>137</v>
      </c>
      <c r="B295" s="394"/>
      <c r="C295" s="394"/>
      <c r="D295" s="394"/>
      <c r="E295" s="395"/>
      <c r="F295" s="395"/>
      <c r="G295" s="396"/>
      <c r="H295" s="397"/>
      <c r="I295" s="398"/>
      <c r="J295" s="398"/>
      <c r="K295" s="399"/>
      <c r="L295" s="399"/>
      <c r="M295" s="399"/>
      <c r="N295" s="399"/>
      <c r="O295" s="399"/>
      <c r="P295" s="399"/>
    </row>
    <row r="296" spans="1:26" ht="19.5">
      <c r="A296" s="400" t="s">
        <v>138</v>
      </c>
      <c r="B296" s="401"/>
      <c r="C296" s="401"/>
      <c r="D296" s="402"/>
      <c r="E296" s="402"/>
      <c r="F296" s="402"/>
      <c r="G296" s="403"/>
      <c r="H296" s="404"/>
      <c r="I296" s="405"/>
      <c r="J296" s="405"/>
      <c r="K296" s="406"/>
      <c r="L296" s="406"/>
      <c r="M296" s="406"/>
      <c r="N296" s="406"/>
      <c r="O296" s="406"/>
      <c r="P296" s="406"/>
    </row>
    <row r="297" spans="1:26" ht="19.5">
      <c r="A297" s="407"/>
      <c r="B297" s="408" t="s">
        <v>139</v>
      </c>
      <c r="C297" s="409"/>
      <c r="D297" s="409"/>
      <c r="E297" s="409"/>
      <c r="F297" s="409"/>
      <c r="G297" s="410"/>
      <c r="H297" s="411" t="s">
        <v>35</v>
      </c>
      <c r="I297" s="412">
        <f t="shared" ref="I297:J297" ca="1" si="133">I309</f>
        <v>20</v>
      </c>
      <c r="J297" s="412">
        <f t="shared" si="133"/>
        <v>0</v>
      </c>
      <c r="K297" s="413">
        <f ca="1">IF(I297&gt;0,J297*100/I297,0)</f>
        <v>0</v>
      </c>
      <c r="L297" s="414"/>
      <c r="M297" s="414"/>
      <c r="N297" s="414"/>
      <c r="O297" s="414"/>
      <c r="P297" s="414"/>
    </row>
    <row r="298" spans="1:26" ht="19.5">
      <c r="A298" s="147"/>
      <c r="B298" s="148"/>
      <c r="C298" s="149" t="s">
        <v>16</v>
      </c>
      <c r="D298" s="817" t="s">
        <v>17</v>
      </c>
      <c r="E298" s="148"/>
      <c r="F298" s="148"/>
      <c r="G298" s="151"/>
      <c r="H298" s="152" t="s">
        <v>12</v>
      </c>
      <c r="I298" s="388"/>
      <c r="J298" s="388"/>
      <c r="K298" s="154"/>
      <c r="L298" s="155">
        <f t="shared" ref="L298:N298" ca="1" si="134">L299+L300</f>
        <v>82400</v>
      </c>
      <c r="M298" s="155">
        <f t="shared" ca="1" si="134"/>
        <v>49120</v>
      </c>
      <c r="N298" s="155">
        <f t="shared" ca="1" si="134"/>
        <v>0</v>
      </c>
      <c r="O298" s="155">
        <f t="shared" ref="O298:O306" ca="1" si="135">IF(L298&gt;0,N298*100/L298,0)</f>
        <v>0</v>
      </c>
      <c r="P298" s="155">
        <f t="shared" ref="P298:P306" ca="1" si="136">IF(M298&gt;0,N298*100/M298,0)</f>
        <v>0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2" t="s">
        <v>18</v>
      </c>
      <c r="F299" s="40"/>
      <c r="G299" s="157"/>
      <c r="H299" s="158" t="s">
        <v>12</v>
      </c>
      <c r="I299" s="583"/>
      <c r="J299" s="583"/>
      <c r="K299" s="93"/>
      <c r="L299" s="93">
        <f t="shared" ref="L299:N300" si="137">L302+L305</f>
        <v>0</v>
      </c>
      <c r="M299" s="93">
        <f t="shared" si="137"/>
        <v>0</v>
      </c>
      <c r="N299" s="93">
        <f t="shared" si="137"/>
        <v>0</v>
      </c>
      <c r="O299" s="93">
        <f t="shared" si="135"/>
        <v>0</v>
      </c>
      <c r="P299" s="93">
        <f t="shared" si="136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2" t="s">
        <v>19</v>
      </c>
      <c r="F300" s="40"/>
      <c r="G300" s="157"/>
      <c r="H300" s="158" t="s">
        <v>12</v>
      </c>
      <c r="I300" s="583"/>
      <c r="J300" s="583"/>
      <c r="K300" s="93"/>
      <c r="L300" s="93">
        <f t="shared" ca="1" si="137"/>
        <v>82400</v>
      </c>
      <c r="M300" s="93">
        <f t="shared" ca="1" si="137"/>
        <v>49120</v>
      </c>
      <c r="N300" s="93">
        <f t="shared" ca="1" si="137"/>
        <v>0</v>
      </c>
      <c r="O300" s="93">
        <f t="shared" ca="1" si="135"/>
        <v>0</v>
      </c>
      <c r="P300" s="93">
        <f t="shared" ca="1" si="136"/>
        <v>0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>
      <c r="A301" s="159"/>
      <c r="B301" s="33"/>
      <c r="C301" s="281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65">
        <f t="shared" ref="L301:N301" ca="1" si="138">L302+L303</f>
        <v>82400</v>
      </c>
      <c r="M301" s="465">
        <f t="shared" ca="1" si="138"/>
        <v>49120</v>
      </c>
      <c r="N301" s="465">
        <f t="shared" ca="1" si="138"/>
        <v>0</v>
      </c>
      <c r="O301" s="465">
        <f t="shared" ca="1" si="135"/>
        <v>0</v>
      </c>
      <c r="P301" s="465">
        <f t="shared" ca="1" si="136"/>
        <v>0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2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5"/>
        <v>0</v>
      </c>
      <c r="P302" s="93">
        <f t="shared" si="136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2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IFERROR(__xludf.DUMMYFUNCTION("IMPORTRANGE(""https://docs.google.com/spreadsheets/d/1MeEWN-I1oV_STSDYn1IFDPWt_1FKiwhDph83XaGc0o0/edit?usp=sharing"",""งบพรบ!DS30"")"),82400)</f>
        <v>82400</v>
      </c>
      <c r="M303" s="93">
        <f ca="1">IFERROR(__xludf.DUMMYFUNCTION("IMPORTRANGE(""https://docs.google.com/spreadsheets/d/1MeEWN-I1oV_STSDYn1IFDPWt_1FKiwhDph83XaGc0o0/edit?usp=sharing"",""งบพรบ!DX30"")"),49120)</f>
        <v>49120</v>
      </c>
      <c r="N303" s="93">
        <f ca="1">IFERROR(__xludf.DUMMYFUNCTION("IMPORTRANGE(""https://docs.google.com/spreadsheets/d/1MeEWN-I1oV_STSDYn1IFDPWt_1FKiwhDph83XaGc0o0/edit?usp=sharing"",""งบพรบ!DZ30"")"),0)</f>
        <v>0</v>
      </c>
      <c r="O303" s="93">
        <f t="shared" ca="1" si="135"/>
        <v>0</v>
      </c>
      <c r="P303" s="93">
        <f t="shared" ca="1" si="136"/>
        <v>0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>
      <c r="A304" s="159"/>
      <c r="B304" s="33"/>
      <c r="C304" s="281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65">
        <f t="shared" ref="L304:N304" ca="1" si="139">L305+L306</f>
        <v>0</v>
      </c>
      <c r="M304" s="465">
        <f t="shared" ca="1" si="139"/>
        <v>0</v>
      </c>
      <c r="N304" s="465">
        <f t="shared" ca="1" si="139"/>
        <v>0</v>
      </c>
      <c r="O304" s="465">
        <f t="shared" ca="1" si="135"/>
        <v>0</v>
      </c>
      <c r="P304" s="465">
        <f t="shared" ca="1" si="136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2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5"/>
        <v>0</v>
      </c>
      <c r="P305" s="93">
        <f t="shared" si="136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2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IFERROR(__xludf.DUMMYFUNCTION("IMPORTRANGE(""https://docs.google.com/spreadsheets/d/1MeEWN-I1oV_STSDYn1IFDPWt_1FKiwhDph83XaGc0o0/edit?usp=sharing"",""งบพรบ!DV30"")"),0)</f>
        <v>0</v>
      </c>
      <c r="M306" s="93">
        <f ca="1">IFERROR(__xludf.DUMMYFUNCTION("IMPORTRANGE(""https://docs.google.com/spreadsheets/d/1MeEWN-I1oV_STSDYn1IFDPWt_1FKiwhDph83XaGc0o0/edit?usp=sharing"",""งบพรบ!DY30"")"),0)</f>
        <v>0</v>
      </c>
      <c r="N306" s="93">
        <f ca="1">IFERROR(__xludf.DUMMYFUNCTION("IMPORTRANGE(""https://docs.google.com/spreadsheets/d/1MeEWN-I1oV_STSDYn1IFDPWt_1FKiwhDph83XaGc0o0/edit?usp=sharing"",""งบพรบ!EA30"")"),0)</f>
        <v>0</v>
      </c>
      <c r="O306" s="93">
        <f t="shared" ca="1" si="135"/>
        <v>0</v>
      </c>
      <c r="P306" s="93">
        <f t="shared" ca="1" si="136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>
      <c r="A307" s="170"/>
      <c r="B307" s="171"/>
      <c r="C307" s="164" t="s">
        <v>16</v>
      </c>
      <c r="D307" s="818" t="s">
        <v>38</v>
      </c>
      <c r="E307" s="173"/>
      <c r="F307" s="173"/>
      <c r="G307" s="174"/>
      <c r="H307" s="726"/>
      <c r="I307" s="269"/>
      <c r="J307" s="269"/>
      <c r="K307" s="465"/>
      <c r="L307" s="465"/>
      <c r="M307" s="465"/>
      <c r="N307" s="465"/>
      <c r="O307" s="465"/>
      <c r="P307" s="465"/>
    </row>
    <row r="308" spans="1:26" ht="18.75">
      <c r="A308" s="170"/>
      <c r="B308" s="171"/>
      <c r="C308" s="171"/>
      <c r="D308" s="415" t="s">
        <v>140</v>
      </c>
      <c r="E308" s="415"/>
      <c r="F308" s="415"/>
      <c r="G308" s="179"/>
      <c r="H308" s="728"/>
      <c r="I308" s="269"/>
      <c r="J308" s="214">
        <v>0</v>
      </c>
      <c r="K308" s="465"/>
      <c r="L308" s="465"/>
      <c r="M308" s="465"/>
      <c r="N308" s="465"/>
      <c r="O308" s="465"/>
      <c r="P308" s="465"/>
    </row>
    <row r="309" spans="1:26" ht="18.75">
      <c r="A309" s="170"/>
      <c r="B309" s="171"/>
      <c r="C309" s="171"/>
      <c r="D309" s="415" t="s">
        <v>141</v>
      </c>
      <c r="E309" s="415"/>
      <c r="F309" s="415"/>
      <c r="G309" s="179"/>
      <c r="H309" s="728" t="s">
        <v>35</v>
      </c>
      <c r="I309" s="269">
        <f ca="1">IFERROR(__xludf.DUMMYFUNCTION("IMPORTRANGE(""https://docs.google.com/spreadsheets/d/1QqKyyYR6Q21VydFLVH3TRQUabQu_ym0Zz7PgGX0-kHA/edit?usp=sharing"",""แผน!ED30"")"),20)</f>
        <v>20</v>
      </c>
      <c r="J309" s="214">
        <v>0</v>
      </c>
      <c r="K309" s="465">
        <f t="shared" ref="K309:K312" ca="1" si="140">IF(I309&gt;0,J309*100/I309,0)</f>
        <v>0</v>
      </c>
      <c r="L309" s="465"/>
      <c r="M309" s="465"/>
      <c r="N309" s="465"/>
      <c r="O309" s="465"/>
      <c r="P309" s="465"/>
    </row>
    <row r="310" spans="1:26" ht="18.75">
      <c r="A310" s="170"/>
      <c r="B310" s="171"/>
      <c r="C310" s="171"/>
      <c r="D310" s="415" t="s">
        <v>142</v>
      </c>
      <c r="E310" s="415"/>
      <c r="F310" s="415"/>
      <c r="G310" s="179"/>
      <c r="H310" s="728" t="s">
        <v>35</v>
      </c>
      <c r="I310" s="269">
        <f ca="1">IFERROR(__xludf.DUMMYFUNCTION("IMPORTRANGE(""https://docs.google.com/spreadsheets/d/1QqKyyYR6Q21VydFLVH3TRQUabQu_ym0Zz7PgGX0-kHA/edit?usp=sharing"",""แผน!ED30"")"),20)</f>
        <v>20</v>
      </c>
      <c r="J310" s="214">
        <v>0</v>
      </c>
      <c r="K310" s="465">
        <f t="shared" ca="1" si="140"/>
        <v>0</v>
      </c>
      <c r="L310" s="465"/>
      <c r="M310" s="465"/>
      <c r="N310" s="465"/>
      <c r="O310" s="465"/>
      <c r="P310" s="465"/>
    </row>
    <row r="311" spans="1:26" ht="18.75">
      <c r="A311" s="170"/>
      <c r="B311" s="171"/>
      <c r="C311" s="171"/>
      <c r="D311" s="415" t="s">
        <v>59</v>
      </c>
      <c r="E311" s="415"/>
      <c r="F311" s="415"/>
      <c r="G311" s="179"/>
      <c r="H311" s="728" t="s">
        <v>35</v>
      </c>
      <c r="I311" s="269">
        <f ca="1">IFERROR(__xludf.DUMMYFUNCTION("IMPORTRANGE(""https://docs.google.com/spreadsheets/d/1QqKyyYR6Q21VydFLVH3TRQUabQu_ym0Zz7PgGX0-kHA/edit?usp=sharing"",""แผน!ED30"")"),20)</f>
        <v>20</v>
      </c>
      <c r="J311" s="214">
        <v>0</v>
      </c>
      <c r="K311" s="465">
        <f t="shared" ca="1" si="140"/>
        <v>0</v>
      </c>
      <c r="L311" s="465"/>
      <c r="M311" s="465"/>
      <c r="N311" s="465"/>
      <c r="O311" s="465"/>
      <c r="P311" s="465"/>
    </row>
    <row r="312" spans="1:26" ht="18.75">
      <c r="A312" s="170"/>
      <c r="B312" s="171"/>
      <c r="C312" s="171"/>
      <c r="D312" s="415" t="s">
        <v>143</v>
      </c>
      <c r="E312" s="415"/>
      <c r="F312" s="415"/>
      <c r="G312" s="179"/>
      <c r="H312" s="728" t="s">
        <v>35</v>
      </c>
      <c r="I312" s="269">
        <f ca="1">IFERROR(__xludf.DUMMYFUNCTION("IMPORTRANGE(""https://docs.google.com/spreadsheets/d/1QqKyyYR6Q21VydFLVH3TRQUabQu_ym0Zz7PgGX0-kHA/edit?usp=sharing"",""แผน!EE30"")"),4)</f>
        <v>4</v>
      </c>
      <c r="J312" s="214">
        <v>0</v>
      </c>
      <c r="K312" s="465">
        <f t="shared" ca="1" si="140"/>
        <v>0</v>
      </c>
      <c r="L312" s="465"/>
      <c r="M312" s="465"/>
      <c r="N312" s="465"/>
      <c r="O312" s="465"/>
      <c r="P312" s="465"/>
    </row>
    <row r="313" spans="1:26" ht="19.5">
      <c r="A313" s="400" t="s">
        <v>144</v>
      </c>
      <c r="B313" s="401"/>
      <c r="C313" s="401"/>
      <c r="D313" s="402"/>
      <c r="E313" s="401"/>
      <c r="F313" s="401"/>
      <c r="G313" s="401"/>
      <c r="H313" s="417"/>
      <c r="I313" s="405"/>
      <c r="J313" s="405"/>
      <c r="K313" s="406"/>
      <c r="L313" s="406"/>
      <c r="M313" s="406"/>
      <c r="N313" s="406"/>
      <c r="O313" s="406"/>
      <c r="P313" s="406"/>
    </row>
    <row r="314" spans="1:26" ht="19.5">
      <c r="A314" s="418"/>
      <c r="B314" s="408" t="s">
        <v>145</v>
      </c>
      <c r="C314" s="419"/>
      <c r="D314" s="420"/>
      <c r="E314" s="409"/>
      <c r="F314" s="409"/>
      <c r="G314" s="410"/>
      <c r="H314" s="411" t="s">
        <v>146</v>
      </c>
      <c r="I314" s="412">
        <f t="shared" ref="I314:J314" ca="1" si="141">I325</f>
        <v>1</v>
      </c>
      <c r="J314" s="412">
        <f t="shared" si="141"/>
        <v>0</v>
      </c>
      <c r="K314" s="413">
        <f ca="1">IF(I314&gt;0,J314*100/I314,0)</f>
        <v>0</v>
      </c>
      <c r="L314" s="414"/>
      <c r="M314" s="414"/>
      <c r="N314" s="414"/>
      <c r="O314" s="414"/>
      <c r="P314" s="414"/>
    </row>
    <row r="315" spans="1:26" ht="19.5">
      <c r="A315" s="147"/>
      <c r="B315" s="148"/>
      <c r="C315" s="149" t="s">
        <v>16</v>
      </c>
      <c r="D315" s="817" t="s">
        <v>17</v>
      </c>
      <c r="E315" s="148"/>
      <c r="F315" s="148"/>
      <c r="G315" s="151"/>
      <c r="H315" s="152" t="s">
        <v>12</v>
      </c>
      <c r="I315" s="388"/>
      <c r="J315" s="388"/>
      <c r="K315" s="154"/>
      <c r="L315" s="155">
        <f t="shared" ref="L315:N315" ca="1" si="142">L316+L317</f>
        <v>153000</v>
      </c>
      <c r="M315" s="155">
        <f t="shared" ca="1" si="142"/>
        <v>76500</v>
      </c>
      <c r="N315" s="155">
        <f t="shared" ca="1" si="142"/>
        <v>14516</v>
      </c>
      <c r="O315" s="155">
        <f t="shared" ref="O315:O323" ca="1" si="143">IF(L315&gt;0,N315*100/L315,0)</f>
        <v>9.4875816993464053</v>
      </c>
      <c r="P315" s="155">
        <f t="shared" ref="P315:P323" ca="1" si="144">IF(M315&gt;0,N315*100/M315,0)</f>
        <v>18.975163398692811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2" t="s">
        <v>18</v>
      </c>
      <c r="F316" s="40"/>
      <c r="G316" s="157"/>
      <c r="H316" s="158" t="s">
        <v>12</v>
      </c>
      <c r="I316" s="583"/>
      <c r="J316" s="583"/>
      <c r="K316" s="93"/>
      <c r="L316" s="93">
        <f t="shared" ref="L316:N317" si="145">L319+L322</f>
        <v>0</v>
      </c>
      <c r="M316" s="93">
        <f t="shared" si="145"/>
        <v>0</v>
      </c>
      <c r="N316" s="93">
        <f t="shared" si="145"/>
        <v>0</v>
      </c>
      <c r="O316" s="93">
        <f t="shared" si="143"/>
        <v>0</v>
      </c>
      <c r="P316" s="93">
        <f t="shared" si="144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2" t="s">
        <v>19</v>
      </c>
      <c r="F317" s="40"/>
      <c r="G317" s="157"/>
      <c r="H317" s="158" t="s">
        <v>12</v>
      </c>
      <c r="I317" s="583"/>
      <c r="J317" s="583"/>
      <c r="K317" s="93"/>
      <c r="L317" s="93">
        <f t="shared" ca="1" si="145"/>
        <v>153000</v>
      </c>
      <c r="M317" s="93">
        <f t="shared" ca="1" si="145"/>
        <v>76500</v>
      </c>
      <c r="N317" s="93">
        <f t="shared" ca="1" si="145"/>
        <v>14516</v>
      </c>
      <c r="O317" s="93">
        <f t="shared" ca="1" si="143"/>
        <v>9.4875816993464053</v>
      </c>
      <c r="P317" s="93">
        <f t="shared" ca="1" si="144"/>
        <v>18.975163398692811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>
      <c r="A318" s="159"/>
      <c r="B318" s="33"/>
      <c r="C318" s="281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65">
        <f t="shared" ref="L318:N318" ca="1" si="146">L319+L320</f>
        <v>153000</v>
      </c>
      <c r="M318" s="465">
        <f t="shared" ca="1" si="146"/>
        <v>76500</v>
      </c>
      <c r="N318" s="465">
        <f t="shared" ca="1" si="146"/>
        <v>14516</v>
      </c>
      <c r="O318" s="465">
        <f t="shared" ca="1" si="143"/>
        <v>9.4875816993464053</v>
      </c>
      <c r="P318" s="465">
        <f t="shared" ca="1" si="144"/>
        <v>18.975163398692811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2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3"/>
        <v>0</v>
      </c>
      <c r="P319" s="93">
        <f t="shared" si="144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2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IFERROR(__xludf.DUMMYFUNCTION("IMPORTRANGE(""https://docs.google.com/spreadsheets/d/1MeEWN-I1oV_STSDYn1IFDPWt_1FKiwhDph83XaGc0o0/edit?usp=sharing"",""งบพรบ!EC30"")"),153000)</f>
        <v>153000</v>
      </c>
      <c r="M320" s="93">
        <f ca="1">IFERROR(__xludf.DUMMYFUNCTION("IMPORTRANGE(""https://docs.google.com/spreadsheets/d/1MeEWN-I1oV_STSDYn1IFDPWt_1FKiwhDph83XaGc0o0/edit?usp=sharing"",""งบพรบ!EH30"")"),76500)</f>
        <v>76500</v>
      </c>
      <c r="N320" s="93">
        <f ca="1">IFERROR(__xludf.DUMMYFUNCTION("IMPORTRANGE(""https://docs.google.com/spreadsheets/d/1MeEWN-I1oV_STSDYn1IFDPWt_1FKiwhDph83XaGc0o0/edit?usp=sharing"",""งบพรบ!EJ30"")"),14516)</f>
        <v>14516</v>
      </c>
      <c r="O320" s="93">
        <f t="shared" ca="1" si="143"/>
        <v>9.4875816993464053</v>
      </c>
      <c r="P320" s="93">
        <f t="shared" ca="1" si="144"/>
        <v>18.975163398692811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>
      <c r="A321" s="159"/>
      <c r="B321" s="33"/>
      <c r="C321" s="281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65">
        <f t="shared" ref="L321:N321" ca="1" si="147">L322+L323</f>
        <v>0</v>
      </c>
      <c r="M321" s="465">
        <f t="shared" ca="1" si="147"/>
        <v>0</v>
      </c>
      <c r="N321" s="465">
        <f t="shared" ca="1" si="147"/>
        <v>0</v>
      </c>
      <c r="O321" s="465">
        <f t="shared" ca="1" si="143"/>
        <v>0</v>
      </c>
      <c r="P321" s="465">
        <f t="shared" ca="1" si="144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2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3"/>
        <v>0</v>
      </c>
      <c r="P322" s="93">
        <f t="shared" si="144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2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IFERROR(__xludf.DUMMYFUNCTION("IMPORTRANGE(""https://docs.google.com/spreadsheets/d/1MeEWN-I1oV_STSDYn1IFDPWt_1FKiwhDph83XaGc0o0/edit?usp=sharing"",""งบพรบ!EF30"")"),0)</f>
        <v>0</v>
      </c>
      <c r="M323" s="93">
        <f ca="1">IFERROR(__xludf.DUMMYFUNCTION("IMPORTRANGE(""https://docs.google.com/spreadsheets/d/1MeEWN-I1oV_STSDYn1IFDPWt_1FKiwhDph83XaGc0o0/edit?usp=sharing"",""งบพรบ!EI30"")"),0)</f>
        <v>0</v>
      </c>
      <c r="N323" s="93">
        <f ca="1">IFERROR(__xludf.DUMMYFUNCTION("IMPORTRANGE(""https://docs.google.com/spreadsheets/d/1MeEWN-I1oV_STSDYn1IFDPWt_1FKiwhDph83XaGc0o0/edit?usp=sharing"",""งบพรบ!EK30"")"),0)</f>
        <v>0</v>
      </c>
      <c r="O323" s="93">
        <f t="shared" ca="1" si="143"/>
        <v>0</v>
      </c>
      <c r="P323" s="93">
        <f t="shared" ca="1" si="144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>
      <c r="A324" s="170"/>
      <c r="B324" s="171"/>
      <c r="C324" s="164" t="s">
        <v>16</v>
      </c>
      <c r="D324" s="818" t="s">
        <v>38</v>
      </c>
      <c r="E324" s="173"/>
      <c r="F324" s="173"/>
      <c r="G324" s="174"/>
      <c r="H324" s="726"/>
      <c r="I324" s="184"/>
      <c r="J324" s="269"/>
      <c r="K324" s="465"/>
      <c r="L324" s="465"/>
      <c r="M324" s="465"/>
      <c r="N324" s="465"/>
      <c r="O324" s="163"/>
      <c r="P324" s="163"/>
    </row>
    <row r="325" spans="1:26" ht="18.75">
      <c r="A325" s="170"/>
      <c r="B325" s="171"/>
      <c r="C325" s="171"/>
      <c r="D325" s="343" t="s">
        <v>147</v>
      </c>
      <c r="E325" s="342"/>
      <c r="F325" s="415"/>
      <c r="G325" s="179"/>
      <c r="H325" s="589" t="s">
        <v>146</v>
      </c>
      <c r="I325" s="269">
        <f ca="1">IFERROR(__xludf.DUMMYFUNCTION("IMPORTRANGE(""https://docs.google.com/spreadsheets/d/1QqKyyYR6Q21VydFLVH3TRQUabQu_ym0Zz7PgGX0-kHA/edit?usp=sharing"",""แผน!EF30"")"),1)</f>
        <v>1</v>
      </c>
      <c r="J325" s="214">
        <v>0</v>
      </c>
      <c r="K325" s="465">
        <f ca="1">IF(I325&gt;0,J325*100/I325,0)</f>
        <v>0</v>
      </c>
      <c r="L325" s="465"/>
      <c r="M325" s="465"/>
      <c r="N325" s="465"/>
      <c r="O325" s="163"/>
      <c r="P325" s="163"/>
    </row>
    <row r="326" spans="1:26" ht="19.5">
      <c r="A326" s="400" t="s">
        <v>148</v>
      </c>
      <c r="B326" s="401"/>
      <c r="C326" s="401"/>
      <c r="D326" s="402"/>
      <c r="E326" s="401"/>
      <c r="F326" s="401"/>
      <c r="G326" s="401"/>
      <c r="H326" s="417"/>
      <c r="I326" s="405"/>
      <c r="J326" s="405"/>
      <c r="K326" s="406"/>
      <c r="L326" s="406"/>
      <c r="M326" s="406"/>
      <c r="N326" s="406"/>
      <c r="O326" s="406"/>
      <c r="P326" s="406"/>
    </row>
    <row r="327" spans="1:26" ht="19.5">
      <c r="A327" s="407"/>
      <c r="B327" s="408" t="s">
        <v>149</v>
      </c>
      <c r="C327" s="420"/>
      <c r="D327" s="409"/>
      <c r="E327" s="409"/>
      <c r="F327" s="409"/>
      <c r="G327" s="410"/>
      <c r="H327" s="411" t="s">
        <v>35</v>
      </c>
      <c r="I327" s="412">
        <f ca="1">IFERROR(__xludf.DUMMYFUNCTION("IMPORTRANGE(""https://docs.google.com/spreadsheets/d/1QqKyyYR6Q21VydFLVH3TRQUabQu_ym0Zz7PgGX0-kHA/edit?usp=sharing"",""แผน!EG30"")"),2500)</f>
        <v>2500</v>
      </c>
      <c r="J327" s="412">
        <f ca="1">J338+J341+J342+J343</f>
        <v>1953</v>
      </c>
      <c r="K327" s="413">
        <f ca="1">IF(I327&gt;0,J327*100/I327,0)</f>
        <v>78.12</v>
      </c>
      <c r="L327" s="414"/>
      <c r="M327" s="414"/>
      <c r="N327" s="414"/>
      <c r="O327" s="414"/>
      <c r="P327" s="414"/>
    </row>
    <row r="328" spans="1:26" ht="19.5">
      <c r="A328" s="147"/>
      <c r="B328" s="148"/>
      <c r="C328" s="149" t="s">
        <v>16</v>
      </c>
      <c r="D328" s="817" t="s">
        <v>17</v>
      </c>
      <c r="E328" s="148"/>
      <c r="F328" s="148"/>
      <c r="G328" s="151"/>
      <c r="H328" s="152" t="s">
        <v>12</v>
      </c>
      <c r="I328" s="388"/>
      <c r="J328" s="388"/>
      <c r="K328" s="154"/>
      <c r="L328" s="155">
        <f t="shared" ref="L328:N328" ca="1" si="148">L329+L330</f>
        <v>170000</v>
      </c>
      <c r="M328" s="155">
        <f t="shared" ca="1" si="148"/>
        <v>85000</v>
      </c>
      <c r="N328" s="155">
        <f t="shared" ca="1" si="148"/>
        <v>18446</v>
      </c>
      <c r="O328" s="155">
        <f t="shared" ref="O328:O336" ca="1" si="149">IF(L328&gt;0,N328*100/L328,0)</f>
        <v>10.850588235294119</v>
      </c>
      <c r="P328" s="155">
        <f t="shared" ref="P328:P336" ca="1" si="150">IF(M328&gt;0,N328*100/M328,0)</f>
        <v>21.701176470588237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2" t="s">
        <v>18</v>
      </c>
      <c r="F329" s="40"/>
      <c r="G329" s="157"/>
      <c r="H329" s="158" t="s">
        <v>12</v>
      </c>
      <c r="I329" s="583"/>
      <c r="J329" s="583"/>
      <c r="K329" s="93"/>
      <c r="L329" s="93">
        <f t="shared" ref="L329:N330" si="151">L332+L335</f>
        <v>0</v>
      </c>
      <c r="M329" s="93">
        <f t="shared" si="151"/>
        <v>0</v>
      </c>
      <c r="N329" s="93">
        <f t="shared" si="151"/>
        <v>0</v>
      </c>
      <c r="O329" s="93">
        <f t="shared" si="149"/>
        <v>0</v>
      </c>
      <c r="P329" s="93">
        <f t="shared" si="150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2" t="s">
        <v>19</v>
      </c>
      <c r="F330" s="40"/>
      <c r="G330" s="157"/>
      <c r="H330" s="158" t="s">
        <v>12</v>
      </c>
      <c r="I330" s="583"/>
      <c r="J330" s="583"/>
      <c r="K330" s="93"/>
      <c r="L330" s="93">
        <f t="shared" ca="1" si="151"/>
        <v>170000</v>
      </c>
      <c r="M330" s="93">
        <f t="shared" ca="1" si="151"/>
        <v>85000</v>
      </c>
      <c r="N330" s="93">
        <f t="shared" ca="1" si="151"/>
        <v>18446</v>
      </c>
      <c r="O330" s="93">
        <f t="shared" ca="1" si="149"/>
        <v>10.850588235294119</v>
      </c>
      <c r="P330" s="93">
        <f t="shared" ca="1" si="150"/>
        <v>21.701176470588237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1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65">
        <f t="shared" ref="L331:N331" ca="1" si="152">L332+L333</f>
        <v>170000</v>
      </c>
      <c r="M331" s="465">
        <f t="shared" ca="1" si="152"/>
        <v>85000</v>
      </c>
      <c r="N331" s="465">
        <f t="shared" ca="1" si="152"/>
        <v>18446</v>
      </c>
      <c r="O331" s="465">
        <f t="shared" ca="1" si="149"/>
        <v>10.850588235294119</v>
      </c>
      <c r="P331" s="465">
        <f t="shared" ca="1" si="150"/>
        <v>21.701176470588237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2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49"/>
        <v>0</v>
      </c>
      <c r="P332" s="93">
        <f t="shared" si="150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2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IFERROR(__xludf.DUMMYFUNCTION("IMPORTRANGE(""https://docs.google.com/spreadsheets/d/1MeEWN-I1oV_STSDYn1IFDPWt_1FKiwhDph83XaGc0o0/edit?usp=sharing"",""งบพรบ!EM30"")"),170000)</f>
        <v>170000</v>
      </c>
      <c r="M333" s="93">
        <f ca="1">IFERROR(__xludf.DUMMYFUNCTION("IMPORTRANGE(""https://docs.google.com/spreadsheets/d/1MeEWN-I1oV_STSDYn1IFDPWt_1FKiwhDph83XaGc0o0/edit?usp=sharing"",""งบพรบ!ER30"")"),85000)</f>
        <v>85000</v>
      </c>
      <c r="N333" s="93">
        <f ca="1">IFERROR(__xludf.DUMMYFUNCTION("IMPORTRANGE(""https://docs.google.com/spreadsheets/d/1MeEWN-I1oV_STSDYn1IFDPWt_1FKiwhDph83XaGc0o0/edit?usp=sharing"",""งบพรบ!ET30"")"),18446)</f>
        <v>18446</v>
      </c>
      <c r="O333" s="93">
        <f t="shared" ca="1" si="149"/>
        <v>10.850588235294119</v>
      </c>
      <c r="P333" s="93">
        <f t="shared" ca="1" si="150"/>
        <v>21.701176470588237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1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65">
        <f t="shared" ref="L334:N334" ca="1" si="153">L335+L336</f>
        <v>0</v>
      </c>
      <c r="M334" s="465">
        <f t="shared" ca="1" si="153"/>
        <v>0</v>
      </c>
      <c r="N334" s="465">
        <f t="shared" ca="1" si="153"/>
        <v>0</v>
      </c>
      <c r="O334" s="465">
        <f t="shared" ca="1" si="149"/>
        <v>0</v>
      </c>
      <c r="P334" s="465">
        <f t="shared" ca="1" si="150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2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49"/>
        <v>0</v>
      </c>
      <c r="P335" s="93">
        <f t="shared" si="150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2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IFERROR(__xludf.DUMMYFUNCTION("IMPORTRANGE(""https://docs.google.com/spreadsheets/d/1MeEWN-I1oV_STSDYn1IFDPWt_1FKiwhDph83XaGc0o0/edit?usp=sharing"",""งบพรบ!EP30"")"),0)</f>
        <v>0</v>
      </c>
      <c r="M336" s="93">
        <f ca="1">IFERROR(__xludf.DUMMYFUNCTION("IMPORTRANGE(""https://docs.google.com/spreadsheets/d/1MeEWN-I1oV_STSDYn1IFDPWt_1FKiwhDph83XaGc0o0/edit?usp=sharing"",""งบพรบ!ES30"")"),0)</f>
        <v>0</v>
      </c>
      <c r="N336" s="93">
        <f ca="1">IFERROR(__xludf.DUMMYFUNCTION("IMPORTRANGE(""https://docs.google.com/spreadsheets/d/1MeEWN-I1oV_STSDYn1IFDPWt_1FKiwhDph83XaGc0o0/edit?usp=sharing"",""งบพรบ!EU30"")"),0)</f>
        <v>0</v>
      </c>
      <c r="O336" s="93">
        <f t="shared" ca="1" si="149"/>
        <v>0</v>
      </c>
      <c r="P336" s="93">
        <f t="shared" ca="1" si="150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18" t="s">
        <v>38</v>
      </c>
      <c r="E337" s="173"/>
      <c r="F337" s="173"/>
      <c r="G337" s="174"/>
      <c r="H337" s="726"/>
      <c r="I337" s="184"/>
      <c r="J337" s="269"/>
      <c r="K337" s="465"/>
      <c r="L337" s="465"/>
      <c r="M337" s="465"/>
      <c r="N337" s="465"/>
      <c r="O337" s="163"/>
      <c r="P337" s="163"/>
    </row>
    <row r="338" spans="1:26" ht="18.75">
      <c r="A338" s="283"/>
      <c r="B338" s="33"/>
      <c r="C338" s="280"/>
      <c r="D338" s="415" t="s">
        <v>150</v>
      </c>
      <c r="E338" s="171"/>
      <c r="F338" s="33"/>
      <c r="G338" s="35"/>
      <c r="H338" s="276" t="s">
        <v>35</v>
      </c>
      <c r="I338" s="269">
        <f ca="1">IFERROR(__xludf.DUMMYFUNCTION("IMPORTRANGE(""https://docs.google.com/spreadsheets/d/1QqKyyYR6Q21VydFLVH3TRQUabQu_ym0Zz7PgGX0-kHA/edit?usp=sharing"",""แผน!EG30"")"),2500)</f>
        <v>2500</v>
      </c>
      <c r="J338" s="269">
        <f ca="1">IFERROR(__xludf.DUMMYFUNCTION("IMPORTRANGE(""https://docs.google.com/spreadsheets/d/1kVcqe37tkHyjCSG3S0O1AXqVkqjo8mSIZil3BcpIysc/edit?usp=sharing"",""ศูนย์!D30"")"),1795)</f>
        <v>1795</v>
      </c>
      <c r="K338" s="465">
        <f ca="1">IF(I338&gt;0,J338*100/I338,0)</f>
        <v>71.8</v>
      </c>
      <c r="L338" s="465"/>
      <c r="M338" s="465"/>
      <c r="N338" s="465"/>
      <c r="O338" s="465"/>
      <c r="P338" s="465"/>
    </row>
    <row r="339" spans="1:26" ht="18.75">
      <c r="A339" s="283"/>
      <c r="B339" s="33"/>
      <c r="C339" s="280"/>
      <c r="D339" s="415" t="s">
        <v>151</v>
      </c>
      <c r="E339" s="171"/>
      <c r="F339" s="33"/>
      <c r="G339" s="35"/>
      <c r="H339" s="276"/>
      <c r="I339" s="269"/>
      <c r="J339" s="269"/>
      <c r="K339" s="465"/>
      <c r="L339" s="465"/>
      <c r="M339" s="465"/>
      <c r="N339" s="465"/>
      <c r="O339" s="465"/>
      <c r="P339" s="465"/>
    </row>
    <row r="340" spans="1:26" ht="18.75">
      <c r="A340" s="283"/>
      <c r="B340" s="33"/>
      <c r="C340" s="280"/>
      <c r="D340" s="342"/>
      <c r="E340" s="415" t="s">
        <v>152</v>
      </c>
      <c r="F340" s="33"/>
      <c r="G340" s="35"/>
      <c r="H340" s="276" t="s">
        <v>153</v>
      </c>
      <c r="I340" s="269">
        <f ca="1">IFERROR(__xludf.DUMMYFUNCTION("IMPORTRANGE(""https://docs.google.com/spreadsheets/d/1QqKyyYR6Q21VydFLVH3TRQUabQu_ym0Zz7PgGX0-kHA/edit?usp=sharing"",""แผน!EH30"")"),6)</f>
        <v>6</v>
      </c>
      <c r="J340" s="269">
        <f ca="1">IFERROR(__xludf.DUMMYFUNCTION("IMPORTRANGE(""https://docs.google.com/spreadsheets/d/1kVcqe37tkHyjCSG3S0O1AXqVkqjo8mSIZil3BcpIysc/edit?usp=sharing"",""ศูนย์!E30"")"),1)</f>
        <v>1</v>
      </c>
      <c r="K340" s="465">
        <f ca="1">IF(I340&gt;0,J340*100/I340,0)</f>
        <v>16.666666666666668</v>
      </c>
      <c r="L340" s="465"/>
      <c r="M340" s="465"/>
      <c r="N340" s="465"/>
      <c r="O340" s="465"/>
      <c r="P340" s="465"/>
    </row>
    <row r="341" spans="1:26" ht="18.75">
      <c r="A341" s="283"/>
      <c r="B341" s="33"/>
      <c r="C341" s="280"/>
      <c r="D341" s="342"/>
      <c r="E341" s="415" t="s">
        <v>154</v>
      </c>
      <c r="F341" s="33"/>
      <c r="G341" s="35"/>
      <c r="H341" s="276" t="s">
        <v>35</v>
      </c>
      <c r="I341" s="269"/>
      <c r="J341" s="269">
        <f ca="1">IFERROR(__xludf.DUMMYFUNCTION("IMPORTRANGE(""https://docs.google.com/spreadsheets/d/1kVcqe37tkHyjCSG3S0O1AXqVkqjo8mSIZil3BcpIysc/edit?usp=sharing"",""ศูนย์!F30"")"),158)</f>
        <v>158</v>
      </c>
      <c r="K341" s="465"/>
      <c r="L341" s="465"/>
      <c r="M341" s="465"/>
      <c r="N341" s="465"/>
      <c r="O341" s="465"/>
      <c r="P341" s="465"/>
    </row>
    <row r="342" spans="1:26" ht="18.75">
      <c r="A342" s="283"/>
      <c r="B342" s="33"/>
      <c r="C342" s="280"/>
      <c r="D342" s="415" t="s">
        <v>155</v>
      </c>
      <c r="E342" s="342"/>
      <c r="F342" s="342"/>
      <c r="G342" s="35"/>
      <c r="H342" s="276" t="s">
        <v>35</v>
      </c>
      <c r="I342" s="269"/>
      <c r="J342" s="269">
        <f ca="1">IFERROR(__xludf.DUMMYFUNCTION("IMPORTRANGE(""https://docs.google.com/spreadsheets/d/1kVcqe37tkHyjCSG3S0O1AXqVkqjo8mSIZil3BcpIysc/edit?usp=sharing"",""ศูนย์!G30"")"),0)</f>
        <v>0</v>
      </c>
      <c r="K342" s="465"/>
      <c r="L342" s="465"/>
      <c r="M342" s="465"/>
      <c r="N342" s="465"/>
      <c r="O342" s="465"/>
      <c r="P342" s="465"/>
    </row>
    <row r="343" spans="1:26" ht="18.75">
      <c r="A343" s="283"/>
      <c r="B343" s="33"/>
      <c r="C343" s="280"/>
      <c r="D343" s="415" t="s">
        <v>156</v>
      </c>
      <c r="E343" s="342"/>
      <c r="F343" s="342"/>
      <c r="G343" s="35"/>
      <c r="H343" s="276" t="s">
        <v>35</v>
      </c>
      <c r="I343" s="269"/>
      <c r="J343" s="269">
        <f ca="1">IFERROR(__xludf.DUMMYFUNCTION("IMPORTRANGE(""https://docs.google.com/spreadsheets/d/1kVcqe37tkHyjCSG3S0O1AXqVkqjo8mSIZil3BcpIysc/edit?usp=sharing"",""ศูนย์!H30"")"),0)</f>
        <v>0</v>
      </c>
      <c r="K343" s="465"/>
      <c r="L343" s="465"/>
      <c r="M343" s="465"/>
      <c r="N343" s="465"/>
      <c r="O343" s="465"/>
      <c r="P343" s="465"/>
    </row>
    <row r="344" spans="1:26" ht="19.5">
      <c r="A344" s="407"/>
      <c r="B344" s="408" t="s">
        <v>157</v>
      </c>
      <c r="C344" s="420"/>
      <c r="D344" s="409"/>
      <c r="E344" s="409"/>
      <c r="F344" s="409"/>
      <c r="G344" s="410"/>
      <c r="H344" s="411"/>
      <c r="I344" s="421"/>
      <c r="J344" s="421"/>
      <c r="K344" s="414"/>
      <c r="L344" s="414"/>
      <c r="M344" s="414"/>
      <c r="N344" s="414"/>
      <c r="O344" s="414"/>
      <c r="P344" s="414"/>
    </row>
    <row r="345" spans="1:26" ht="19.5">
      <c r="A345" s="147"/>
      <c r="B345" s="148"/>
      <c r="C345" s="149" t="s">
        <v>16</v>
      </c>
      <c r="D345" s="817" t="s">
        <v>17</v>
      </c>
      <c r="E345" s="148"/>
      <c r="F345" s="148"/>
      <c r="G345" s="151"/>
      <c r="H345" s="152" t="s">
        <v>12</v>
      </c>
      <c r="I345" s="388"/>
      <c r="J345" s="388"/>
      <c r="K345" s="154"/>
      <c r="L345" s="155">
        <f t="shared" ref="L345:N345" ca="1" si="154">L346+L347</f>
        <v>668820</v>
      </c>
      <c r="M345" s="155">
        <f t="shared" ca="1" si="154"/>
        <v>440060</v>
      </c>
      <c r="N345" s="155">
        <f t="shared" ca="1" si="154"/>
        <v>128425</v>
      </c>
      <c r="O345" s="155">
        <f t="shared" ref="O345:O353" ca="1" si="155">IF(L345&gt;0,N345*100/L345,0)</f>
        <v>19.201728417212404</v>
      </c>
      <c r="P345" s="155">
        <f t="shared" ref="P345:P353" ca="1" si="156">IF(M345&gt;0,N345*100/M345,0)</f>
        <v>29.183520429032406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2" t="s">
        <v>18</v>
      </c>
      <c r="F346" s="40"/>
      <c r="G346" s="157"/>
      <c r="H346" s="158" t="s">
        <v>12</v>
      </c>
      <c r="I346" s="583"/>
      <c r="J346" s="583"/>
      <c r="K346" s="93"/>
      <c r="L346" s="93">
        <f t="shared" ref="L346:N347" si="157">L349+L352</f>
        <v>0</v>
      </c>
      <c r="M346" s="93">
        <f t="shared" si="157"/>
        <v>0</v>
      </c>
      <c r="N346" s="93">
        <f t="shared" si="157"/>
        <v>0</v>
      </c>
      <c r="O346" s="93">
        <f t="shared" si="155"/>
        <v>0</v>
      </c>
      <c r="P346" s="93">
        <f t="shared" si="156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2" t="s">
        <v>19</v>
      </c>
      <c r="F347" s="40"/>
      <c r="G347" s="157"/>
      <c r="H347" s="158" t="s">
        <v>12</v>
      </c>
      <c r="I347" s="583"/>
      <c r="J347" s="583"/>
      <c r="K347" s="93"/>
      <c r="L347" s="93">
        <f t="shared" ca="1" si="157"/>
        <v>668820</v>
      </c>
      <c r="M347" s="93">
        <f t="shared" ca="1" si="157"/>
        <v>440060</v>
      </c>
      <c r="N347" s="93">
        <f t="shared" ca="1" si="157"/>
        <v>128425</v>
      </c>
      <c r="O347" s="93">
        <f t="shared" ca="1" si="155"/>
        <v>19.201728417212404</v>
      </c>
      <c r="P347" s="93">
        <f t="shared" ca="1" si="156"/>
        <v>29.183520429032406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1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65">
        <f t="shared" ref="L348:N348" ca="1" si="158">L349+L350</f>
        <v>617520</v>
      </c>
      <c r="M348" s="465">
        <f t="shared" ca="1" si="158"/>
        <v>388760</v>
      </c>
      <c r="N348" s="465">
        <f t="shared" ca="1" si="158"/>
        <v>77125</v>
      </c>
      <c r="O348" s="465">
        <f t="shared" ca="1" si="155"/>
        <v>12.48947402513279</v>
      </c>
      <c r="P348" s="465">
        <f t="shared" ca="1" si="156"/>
        <v>19.83871797510032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2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5"/>
        <v>0</v>
      </c>
      <c r="P349" s="93">
        <f t="shared" si="156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2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IFERROR(__xludf.DUMMYFUNCTION("IMPORTRANGE(""https://docs.google.com/spreadsheets/d/1MeEWN-I1oV_STSDYn1IFDPWt_1FKiwhDph83XaGc0o0/edit?usp=sharing"",""งบพรบ!EW30"")"),617520)</f>
        <v>617520</v>
      </c>
      <c r="M350" s="93">
        <f ca="1">IFERROR(__xludf.DUMMYFUNCTION("IMPORTRANGE(""https://docs.google.com/spreadsheets/d/1MeEWN-I1oV_STSDYn1IFDPWt_1FKiwhDph83XaGc0o0/edit?usp=sharing"",""งบพรบ!FB30"")"),388760)</f>
        <v>388760</v>
      </c>
      <c r="N350" s="93">
        <f ca="1">IFERROR(__xludf.DUMMYFUNCTION("IMPORTRANGE(""https://docs.google.com/spreadsheets/d/1MeEWN-I1oV_STSDYn1IFDPWt_1FKiwhDph83XaGc0o0/edit?usp=sharing"",""งบพรบ!FD30"")"),77125)</f>
        <v>77125</v>
      </c>
      <c r="O350" s="93">
        <f t="shared" ca="1" si="155"/>
        <v>12.48947402513279</v>
      </c>
      <c r="P350" s="93">
        <f t="shared" ca="1" si="156"/>
        <v>19.83871797510032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1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65">
        <f t="shared" ref="L351:N351" ca="1" si="159">L352+L353</f>
        <v>51300</v>
      </c>
      <c r="M351" s="465">
        <f t="shared" ca="1" si="159"/>
        <v>51300</v>
      </c>
      <c r="N351" s="465">
        <f t="shared" ca="1" si="159"/>
        <v>51300</v>
      </c>
      <c r="O351" s="465">
        <f t="shared" ca="1" si="155"/>
        <v>100</v>
      </c>
      <c r="P351" s="465">
        <f t="shared" ca="1" si="156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2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5"/>
        <v>0</v>
      </c>
      <c r="P352" s="93">
        <f t="shared" si="156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2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IFERROR(__xludf.DUMMYFUNCTION("IMPORTRANGE(""https://docs.google.com/spreadsheets/d/1MeEWN-I1oV_STSDYn1IFDPWt_1FKiwhDph83XaGc0o0/edit?usp=sharing"",""งบพรบ!EZ30"")"),51300)</f>
        <v>51300</v>
      </c>
      <c r="M353" s="93">
        <f ca="1">IFERROR(__xludf.DUMMYFUNCTION("IMPORTRANGE(""https://docs.google.com/spreadsheets/d/1MeEWN-I1oV_STSDYn1IFDPWt_1FKiwhDph83XaGc0o0/edit?usp=sharing"",""งบพรบ!FC30"")"),51300)</f>
        <v>51300</v>
      </c>
      <c r="N353" s="93">
        <f ca="1">IFERROR(__xludf.DUMMYFUNCTION("IMPORTRANGE(""https://docs.google.com/spreadsheets/d/1MeEWN-I1oV_STSDYn1IFDPWt_1FKiwhDph83XaGc0o0/edit?usp=sharing"",""งบพรบ!FE30"")"),51300)</f>
        <v>51300</v>
      </c>
      <c r="O353" s="93">
        <f t="shared" ca="1" si="155"/>
        <v>100</v>
      </c>
      <c r="P353" s="93">
        <f t="shared" ca="1" si="156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5"/>
      <c r="B354" s="263"/>
      <c r="C354" s="256"/>
      <c r="D354" s="845" t="s">
        <v>158</v>
      </c>
      <c r="E354" s="256"/>
      <c r="F354" s="256"/>
      <c r="G354" s="258"/>
      <c r="H354" s="423"/>
      <c r="I354" s="260"/>
      <c r="J354" s="260"/>
      <c r="K354" s="261"/>
      <c r="L354" s="261"/>
      <c r="M354" s="261"/>
      <c r="N354" s="261"/>
      <c r="O354" s="261"/>
      <c r="P354" s="261"/>
    </row>
    <row r="355" spans="1:26" ht="19.5">
      <c r="A355" s="424"/>
      <c r="B355" s="425"/>
      <c r="C355" s="426"/>
      <c r="D355" s="846" t="s">
        <v>159</v>
      </c>
      <c r="E355" s="428"/>
      <c r="F355" s="428"/>
      <c r="G355" s="429"/>
      <c r="H355" s="430" t="s">
        <v>35</v>
      </c>
      <c r="I355" s="432">
        <f ca="1">IFERROR(__xludf.DUMMYFUNCTION("IMPORTRANGE(""https://docs.google.com/spreadsheets/d/1QqKyyYR6Q21VydFLVH3TRQUabQu_ym0Zz7PgGX0-kHA/edit?usp=sharing"",""แผน!EP30"")"),200)</f>
        <v>200</v>
      </c>
      <c r="J355" s="432">
        <f ca="1">J362</f>
        <v>0</v>
      </c>
      <c r="K355" s="433">
        <f ca="1">IF(I355&gt;0,J355*100/I355,0)</f>
        <v>0</v>
      </c>
      <c r="L355" s="434"/>
      <c r="M355" s="434"/>
      <c r="N355" s="434"/>
      <c r="O355" s="434"/>
      <c r="P355" s="434"/>
    </row>
    <row r="356" spans="1:26" ht="19.5">
      <c r="A356" s="424"/>
      <c r="B356" s="425"/>
      <c r="C356" s="426"/>
      <c r="D356" s="435" t="s">
        <v>160</v>
      </c>
      <c r="E356" s="428"/>
      <c r="F356" s="428"/>
      <c r="G356" s="429"/>
      <c r="H356" s="436"/>
      <c r="I356" s="437"/>
      <c r="J356" s="437"/>
      <c r="K356" s="434"/>
      <c r="L356" s="434"/>
      <c r="M356" s="434"/>
      <c r="N356" s="434"/>
      <c r="O356" s="434"/>
      <c r="P356" s="434"/>
    </row>
    <row r="357" spans="1:26" ht="19.5">
      <c r="A357" s="170"/>
      <c r="B357" s="171"/>
      <c r="C357" s="164" t="s">
        <v>16</v>
      </c>
      <c r="D357" s="818" t="s">
        <v>38</v>
      </c>
      <c r="E357" s="173"/>
      <c r="F357" s="173"/>
      <c r="G357" s="174"/>
      <c r="H357" s="726"/>
      <c r="I357" s="269"/>
      <c r="J357" s="269"/>
      <c r="K357" s="465"/>
      <c r="L357" s="163"/>
      <c r="M357" s="163"/>
      <c r="N357" s="163"/>
      <c r="O357" s="163"/>
      <c r="P357" s="163"/>
    </row>
    <row r="358" spans="1:26" ht="18.75">
      <c r="A358" s="170"/>
      <c r="B358" s="342"/>
      <c r="C358" s="171"/>
      <c r="D358" s="342"/>
      <c r="E358" s="343" t="s">
        <v>161</v>
      </c>
      <c r="F358" s="342"/>
      <c r="G358" s="179"/>
      <c r="H358" s="185" t="s">
        <v>35</v>
      </c>
      <c r="I358" s="269">
        <v>0</v>
      </c>
      <c r="J358" s="269">
        <f ca="1">IFERROR(__xludf.DUMMYFUNCTION("IMPORTRANGE(""https://docs.google.com/spreadsheets/d/1XWAQStnk-4SwqDmLtmXYiTMKHgktTP8We1SCoS47DrQ/edit?usp=sharing"",""จัดที่ดิน!W30"")"),0)</f>
        <v>0</v>
      </c>
      <c r="K358" s="465">
        <f t="shared" ref="K358:K365" si="160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342"/>
      <c r="C359" s="171"/>
      <c r="D359" s="342"/>
      <c r="E359" s="342"/>
      <c r="F359" s="342"/>
      <c r="G359" s="179"/>
      <c r="H359" s="185" t="s">
        <v>46</v>
      </c>
      <c r="I359" s="269">
        <f ca="1">IFERROR(__xludf.DUMMYFUNCTION("IMPORTRANGE(""https://docs.google.com/spreadsheets/d/1QqKyyYR6Q21VydFLVH3TRQUabQu_ym0Zz7PgGX0-kHA/edit?usp=sharing"",""แผน!EO30"")"),2000)</f>
        <v>2000</v>
      </c>
      <c r="J359" s="269">
        <f ca="1">IFERROR(__xludf.DUMMYFUNCTION("IMPORTRANGE(""https://docs.google.com/spreadsheets/d/1XWAQStnk-4SwqDmLtmXYiTMKHgktTP8We1SCoS47DrQ/edit?usp=sharing"",""จัดที่ดิน!X30"")"),0)</f>
        <v>0</v>
      </c>
      <c r="K359" s="465">
        <f t="shared" ca="1" si="160"/>
        <v>0</v>
      </c>
      <c r="L359" s="163"/>
      <c r="M359" s="163"/>
      <c r="N359" s="163"/>
      <c r="O359" s="163"/>
      <c r="P359" s="163"/>
    </row>
    <row r="360" spans="1:26" ht="18.75">
      <c r="A360" s="170"/>
      <c r="B360" s="342"/>
      <c r="C360" s="171"/>
      <c r="D360" s="342"/>
      <c r="E360" s="343" t="s">
        <v>162</v>
      </c>
      <c r="F360" s="342"/>
      <c r="G360" s="179"/>
      <c r="H360" s="728" t="s">
        <v>35</v>
      </c>
      <c r="I360" s="269">
        <f ca="1">IFERROR(__xludf.DUMMYFUNCTION("IMPORTRANGE(""https://docs.google.com/spreadsheets/d/1QqKyyYR6Q21VydFLVH3TRQUabQu_ym0Zz7PgGX0-kHA/edit?usp=sharing"",""แผน!EP30"")"),200)</f>
        <v>200</v>
      </c>
      <c r="J360" s="269">
        <f ca="1">IFERROR(__xludf.DUMMYFUNCTION("IMPORTRANGE(""https://docs.google.com/spreadsheets/d/1XWAQStnk-4SwqDmLtmXYiTMKHgktTP8We1SCoS47DrQ/edit?usp=sharing"",""จัดที่ดิน!Y30"")"),0)</f>
        <v>0</v>
      </c>
      <c r="K360" s="465">
        <f t="shared" ca="1" si="160"/>
        <v>0</v>
      </c>
      <c r="L360" s="163"/>
      <c r="M360" s="163"/>
      <c r="N360" s="163"/>
      <c r="O360" s="163"/>
      <c r="P360" s="163"/>
    </row>
    <row r="361" spans="1:26" ht="18.75">
      <c r="A361" s="170"/>
      <c r="B361" s="342"/>
      <c r="C361" s="171"/>
      <c r="D361" s="342"/>
      <c r="E361" s="342"/>
      <c r="F361" s="342"/>
      <c r="G361" s="179"/>
      <c r="H361" s="728" t="s">
        <v>46</v>
      </c>
      <c r="I361" s="269">
        <v>0</v>
      </c>
      <c r="J361" s="269">
        <f ca="1">IFERROR(__xludf.DUMMYFUNCTION("IMPORTRANGE(""https://docs.google.com/spreadsheets/d/1XWAQStnk-4SwqDmLtmXYiTMKHgktTP8We1SCoS47DrQ/edit?usp=sharing"",""จัดที่ดิน!Z30"")"),0)</f>
        <v>0</v>
      </c>
      <c r="K361" s="465">
        <f t="shared" si="160"/>
        <v>0</v>
      </c>
      <c r="L361" s="163"/>
      <c r="M361" s="163"/>
      <c r="N361" s="163"/>
      <c r="O361" s="163"/>
      <c r="P361" s="163"/>
    </row>
    <row r="362" spans="1:26" ht="18.75">
      <c r="A362" s="170"/>
      <c r="B362" s="342"/>
      <c r="C362" s="171"/>
      <c r="D362" s="342"/>
      <c r="E362" s="343" t="s">
        <v>163</v>
      </c>
      <c r="F362" s="342"/>
      <c r="G362" s="179"/>
      <c r="H362" s="728" t="s">
        <v>35</v>
      </c>
      <c r="I362" s="269">
        <f ca="1">IFERROR(__xludf.DUMMYFUNCTION("IMPORTRANGE(""https://docs.google.com/spreadsheets/d/1QqKyyYR6Q21VydFLVH3TRQUabQu_ym0Zz7PgGX0-kHA/edit?usp=sharing"",""แผน!EP30"")"),200)</f>
        <v>200</v>
      </c>
      <c r="J362" s="269">
        <f ca="1">IFERROR(__xludf.DUMMYFUNCTION("IMPORTRANGE(""https://docs.google.com/spreadsheets/d/1XWAQStnk-4SwqDmLtmXYiTMKHgktTP8We1SCoS47DrQ/edit?usp=sharing"",""จัดที่ดิน!AA30"")"),0)</f>
        <v>0</v>
      </c>
      <c r="K362" s="465">
        <f t="shared" ca="1" si="160"/>
        <v>0</v>
      </c>
      <c r="L362" s="163"/>
      <c r="M362" s="163"/>
      <c r="N362" s="163"/>
      <c r="O362" s="163"/>
      <c r="P362" s="163"/>
    </row>
    <row r="363" spans="1:26" ht="18.75">
      <c r="A363" s="438" t="s">
        <v>164</v>
      </c>
      <c r="B363" s="342"/>
      <c r="C363" s="171"/>
      <c r="D363" s="342"/>
      <c r="E363" s="415"/>
      <c r="F363" s="342"/>
      <c r="G363" s="179"/>
      <c r="H363" s="728" t="s">
        <v>46</v>
      </c>
      <c r="I363" s="269">
        <v>0</v>
      </c>
      <c r="J363" s="269">
        <f ca="1">IFERROR(__xludf.DUMMYFUNCTION("IMPORTRANGE(""https://docs.google.com/spreadsheets/d/1XWAQStnk-4SwqDmLtmXYiTMKHgktTP8We1SCoS47DrQ/edit?usp=sharing"",""จัดที่ดิน!AB30"")"),0)</f>
        <v>0</v>
      </c>
      <c r="K363" s="465">
        <f t="shared" si="160"/>
        <v>0</v>
      </c>
      <c r="L363" s="163"/>
      <c r="M363" s="163"/>
      <c r="N363" s="163"/>
      <c r="O363" s="163"/>
      <c r="P363" s="163"/>
    </row>
    <row r="364" spans="1:26" ht="19.5">
      <c r="A364" s="439"/>
      <c r="B364" s="440"/>
      <c r="C364" s="441"/>
      <c r="D364" s="442" t="s">
        <v>165</v>
      </c>
      <c r="E364" s="443"/>
      <c r="F364" s="443"/>
      <c r="G364" s="444"/>
      <c r="H364" s="445" t="s">
        <v>35</v>
      </c>
      <c r="I364" s="446">
        <f t="shared" ref="I364:J364" ca="1" si="161">I365+I374</f>
        <v>450</v>
      </c>
      <c r="J364" s="446">
        <f t="shared" ca="1" si="161"/>
        <v>0</v>
      </c>
      <c r="K364" s="447">
        <f t="shared" ca="1" si="160"/>
        <v>0</v>
      </c>
      <c r="L364" s="448"/>
      <c r="M364" s="448"/>
      <c r="N364" s="448"/>
      <c r="O364" s="448"/>
      <c r="P364" s="448"/>
      <c r="Q364" s="449"/>
      <c r="R364" s="449"/>
      <c r="S364" s="449"/>
      <c r="T364" s="449"/>
      <c r="U364" s="449"/>
      <c r="V364" s="449"/>
      <c r="W364" s="449"/>
      <c r="X364" s="449"/>
      <c r="Y364" s="449"/>
      <c r="Z364" s="449"/>
    </row>
    <row r="365" spans="1:26" ht="19.5">
      <c r="A365" s="450"/>
      <c r="B365" s="451"/>
      <c r="C365" s="453"/>
      <c r="D365" s="453" t="s">
        <v>166</v>
      </c>
      <c r="E365" s="454"/>
      <c r="F365" s="454"/>
      <c r="G365" s="455"/>
      <c r="H365" s="456" t="s">
        <v>35</v>
      </c>
      <c r="I365" s="458">
        <f ca="1">IFERROR(__xludf.DUMMYFUNCTION("IMPORTRANGE(""https://docs.google.com/spreadsheets/d/1QqKyyYR6Q21VydFLVH3TRQUabQu_ym0Zz7PgGX0-kHA/edit?usp=sharing"",""แผน!EJ30"")"),50)</f>
        <v>50</v>
      </c>
      <c r="J365" s="458">
        <f ca="1">J372</f>
        <v>0</v>
      </c>
      <c r="K365" s="459">
        <f t="shared" ca="1" si="160"/>
        <v>0</v>
      </c>
      <c r="L365" s="460"/>
      <c r="M365" s="460"/>
      <c r="N365" s="460"/>
      <c r="O365" s="460"/>
      <c r="P365" s="460"/>
      <c r="Q365" s="449"/>
      <c r="R365" s="449"/>
      <c r="S365" s="449"/>
      <c r="T365" s="449"/>
      <c r="U365" s="449"/>
      <c r="V365" s="449"/>
      <c r="W365" s="449"/>
      <c r="X365" s="449"/>
      <c r="Y365" s="449"/>
      <c r="Z365" s="449"/>
    </row>
    <row r="366" spans="1:26" ht="19.5">
      <c r="A366" s="450"/>
      <c r="B366" s="451"/>
      <c r="C366" s="453"/>
      <c r="D366" s="461" t="s">
        <v>167</v>
      </c>
      <c r="E366" s="454"/>
      <c r="F366" s="454"/>
      <c r="G366" s="455"/>
      <c r="H366" s="462"/>
      <c r="I366" s="463"/>
      <c r="J366" s="463"/>
      <c r="K366" s="460"/>
      <c r="L366" s="460"/>
      <c r="M366" s="460"/>
      <c r="N366" s="460"/>
      <c r="O366" s="460"/>
      <c r="P366" s="460"/>
      <c r="Q366" s="449"/>
      <c r="R366" s="449"/>
      <c r="S366" s="449"/>
      <c r="T366" s="449"/>
      <c r="U366" s="449"/>
      <c r="V366" s="449"/>
      <c r="W366" s="449"/>
      <c r="X366" s="449"/>
      <c r="Y366" s="449"/>
      <c r="Z366" s="449"/>
    </row>
    <row r="367" spans="1:26" ht="19.5">
      <c r="A367" s="170"/>
      <c r="B367" s="171"/>
      <c r="C367" s="164" t="s">
        <v>16</v>
      </c>
      <c r="D367" s="818" t="s">
        <v>38</v>
      </c>
      <c r="E367" s="173"/>
      <c r="F367" s="173"/>
      <c r="G367" s="174"/>
      <c r="H367" s="726"/>
      <c r="I367" s="269"/>
      <c r="J367" s="269"/>
      <c r="K367" s="465"/>
      <c r="L367" s="163"/>
      <c r="M367" s="163"/>
      <c r="N367" s="163"/>
      <c r="O367" s="163"/>
      <c r="P367" s="163"/>
    </row>
    <row r="368" spans="1:26" ht="18.75">
      <c r="A368" s="170"/>
      <c r="B368" s="342"/>
      <c r="C368" s="171"/>
      <c r="D368" s="342"/>
      <c r="E368" s="343" t="s">
        <v>161</v>
      </c>
      <c r="F368" s="342"/>
      <c r="G368" s="179"/>
      <c r="H368" s="185" t="s">
        <v>35</v>
      </c>
      <c r="I368" s="269">
        <v>0</v>
      </c>
      <c r="J368" s="269">
        <f ca="1">IFERROR(__xludf.DUMMYFUNCTION("IMPORTRANGE(""https://docs.google.com/spreadsheets/d/1XWAQStnk-4SwqDmLtmXYiTMKHgktTP8We1SCoS47DrQ/edit?usp=sharing"",""จัดที่ดิน!E30"")"),0)</f>
        <v>0</v>
      </c>
      <c r="K368" s="465">
        <f t="shared" ref="K368:K374" si="162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342"/>
      <c r="C369" s="171"/>
      <c r="D369" s="342"/>
      <c r="E369" s="342"/>
      <c r="F369" s="342"/>
      <c r="G369" s="179"/>
      <c r="H369" s="185" t="s">
        <v>46</v>
      </c>
      <c r="I369" s="269">
        <f ca="1">IFERROR(__xludf.DUMMYFUNCTION("IMPORTRANGE(""https://docs.google.com/spreadsheets/d/1QqKyyYR6Q21VydFLVH3TRQUabQu_ym0Zz7PgGX0-kHA/edit?usp=sharing"",""แผน!EI30"")"),500)</f>
        <v>500</v>
      </c>
      <c r="J369" s="269">
        <f ca="1">IFERROR(__xludf.DUMMYFUNCTION("IMPORTRANGE(""https://docs.google.com/spreadsheets/d/1XWAQStnk-4SwqDmLtmXYiTMKHgktTP8We1SCoS47DrQ/edit?usp=sharing"",""จัดที่ดิน!F30"")"),0)</f>
        <v>0</v>
      </c>
      <c r="K369" s="465">
        <f t="shared" ca="1" si="162"/>
        <v>0</v>
      </c>
      <c r="L369" s="163"/>
      <c r="M369" s="163"/>
      <c r="N369" s="163"/>
      <c r="O369" s="163"/>
      <c r="P369" s="163"/>
    </row>
    <row r="370" spans="1:26" ht="18.75">
      <c r="A370" s="170"/>
      <c r="B370" s="342"/>
      <c r="C370" s="171"/>
      <c r="D370" s="342"/>
      <c r="E370" s="343" t="s">
        <v>162</v>
      </c>
      <c r="F370" s="342"/>
      <c r="G370" s="179"/>
      <c r="H370" s="728" t="s">
        <v>35</v>
      </c>
      <c r="I370" s="269">
        <f ca="1">IFERROR(__xludf.DUMMYFUNCTION("IMPORTRANGE(""https://docs.google.com/spreadsheets/d/1QqKyyYR6Q21VydFLVH3TRQUabQu_ym0Zz7PgGX0-kHA/edit?usp=sharing"",""แผน!EJ30"")"),50)</f>
        <v>50</v>
      </c>
      <c r="J370" s="269">
        <f ca="1">IFERROR(__xludf.DUMMYFUNCTION("IMPORTRANGE(""https://docs.google.com/spreadsheets/d/1XWAQStnk-4SwqDmLtmXYiTMKHgktTP8We1SCoS47DrQ/edit?usp=sharing"",""จัดที่ดิน!G30"")"),0)</f>
        <v>0</v>
      </c>
      <c r="K370" s="465">
        <f t="shared" ca="1" si="162"/>
        <v>0</v>
      </c>
      <c r="L370" s="163"/>
      <c r="M370" s="163"/>
      <c r="N370" s="163"/>
      <c r="O370" s="163"/>
      <c r="P370" s="163"/>
    </row>
    <row r="371" spans="1:26" ht="18.75">
      <c r="A371" s="170"/>
      <c r="B371" s="342"/>
      <c r="C371" s="171"/>
      <c r="D371" s="342"/>
      <c r="E371" s="342"/>
      <c r="F371" s="342"/>
      <c r="G371" s="179"/>
      <c r="H371" s="728" t="s">
        <v>46</v>
      </c>
      <c r="I371" s="269">
        <v>0</v>
      </c>
      <c r="J371" s="269">
        <f ca="1">IFERROR(__xludf.DUMMYFUNCTION("IMPORTRANGE(""https://docs.google.com/spreadsheets/d/1XWAQStnk-4SwqDmLtmXYiTMKHgktTP8We1SCoS47DrQ/edit?usp=sharing"",""จัดที่ดิน!H30"")"),0)</f>
        <v>0</v>
      </c>
      <c r="K371" s="465">
        <f t="shared" si="162"/>
        <v>0</v>
      </c>
      <c r="L371" s="163"/>
      <c r="M371" s="163"/>
      <c r="N371" s="163"/>
      <c r="O371" s="163"/>
      <c r="P371" s="163"/>
    </row>
    <row r="372" spans="1:26" ht="18.75">
      <c r="A372" s="170"/>
      <c r="B372" s="342"/>
      <c r="C372" s="171"/>
      <c r="D372" s="342"/>
      <c r="E372" s="343" t="s">
        <v>163</v>
      </c>
      <c r="F372" s="342"/>
      <c r="G372" s="179"/>
      <c r="H372" s="728" t="s">
        <v>35</v>
      </c>
      <c r="I372" s="269">
        <f ca="1">IFERROR(__xludf.DUMMYFUNCTION("IMPORTRANGE(""https://docs.google.com/spreadsheets/d/1QqKyyYR6Q21VydFLVH3TRQUabQu_ym0Zz7PgGX0-kHA/edit?usp=sharing"",""แผน!EJ30"")"),50)</f>
        <v>50</v>
      </c>
      <c r="J372" s="269">
        <f ca="1">IFERROR(__xludf.DUMMYFUNCTION("IMPORTRANGE(""https://docs.google.com/spreadsheets/d/1XWAQStnk-4SwqDmLtmXYiTMKHgktTP8We1SCoS47DrQ/edit?usp=sharing"",""จัดที่ดิน!I30"")"),0)</f>
        <v>0</v>
      </c>
      <c r="K372" s="465">
        <f t="shared" ca="1" si="162"/>
        <v>0</v>
      </c>
      <c r="L372" s="163"/>
      <c r="M372" s="163"/>
      <c r="N372" s="163"/>
      <c r="O372" s="163"/>
      <c r="P372" s="163"/>
    </row>
    <row r="373" spans="1:26" ht="18.75">
      <c r="A373" s="438" t="s">
        <v>164</v>
      </c>
      <c r="B373" s="342"/>
      <c r="C373" s="171"/>
      <c r="D373" s="342"/>
      <c r="E373" s="415"/>
      <c r="F373" s="342"/>
      <c r="G373" s="179"/>
      <c r="H373" s="728" t="s">
        <v>46</v>
      </c>
      <c r="I373" s="269">
        <v>0</v>
      </c>
      <c r="J373" s="269">
        <f ca="1">IFERROR(__xludf.DUMMYFUNCTION("IMPORTRANGE(""https://docs.google.com/spreadsheets/d/1XWAQStnk-4SwqDmLtmXYiTMKHgktTP8We1SCoS47DrQ/edit?usp=sharing"",""จัดที่ดิน!J30"")"),0)</f>
        <v>0</v>
      </c>
      <c r="K373" s="465">
        <f t="shared" si="162"/>
        <v>0</v>
      </c>
      <c r="L373" s="163"/>
      <c r="M373" s="163"/>
      <c r="N373" s="163"/>
      <c r="O373" s="163"/>
      <c r="P373" s="163"/>
    </row>
    <row r="374" spans="1:26" ht="19.5">
      <c r="A374" s="450"/>
      <c r="B374" s="451"/>
      <c r="C374" s="453"/>
      <c r="D374" s="453" t="s">
        <v>168</v>
      </c>
      <c r="E374" s="454"/>
      <c r="F374" s="454"/>
      <c r="G374" s="455"/>
      <c r="H374" s="456" t="s">
        <v>35</v>
      </c>
      <c r="I374" s="464">
        <f ca="1">IFERROR(__xludf.DUMMYFUNCTION("IMPORTRANGE(""https://docs.google.com/spreadsheets/d/1QqKyyYR6Q21VydFLVH3TRQUabQu_ym0Zz7PgGX0-kHA/edit?usp=sharing"",""แผน!EU30"")"),400)</f>
        <v>400</v>
      </c>
      <c r="J374" s="458">
        <f ca="1">J381</f>
        <v>0</v>
      </c>
      <c r="K374" s="459">
        <f t="shared" ca="1" si="162"/>
        <v>0</v>
      </c>
      <c r="L374" s="460"/>
      <c r="M374" s="460"/>
      <c r="N374" s="460"/>
      <c r="O374" s="460"/>
      <c r="P374" s="460"/>
      <c r="Q374" s="449"/>
      <c r="R374" s="449"/>
      <c r="S374" s="449"/>
      <c r="T374" s="449"/>
      <c r="U374" s="449"/>
      <c r="V374" s="449"/>
      <c r="W374" s="449"/>
      <c r="X374" s="449"/>
      <c r="Y374" s="449"/>
      <c r="Z374" s="449"/>
    </row>
    <row r="375" spans="1:26" ht="19.5">
      <c r="A375" s="450"/>
      <c r="B375" s="451"/>
      <c r="C375" s="453"/>
      <c r="D375" s="461" t="s">
        <v>169</v>
      </c>
      <c r="E375" s="454"/>
      <c r="F375" s="454"/>
      <c r="G375" s="455"/>
      <c r="H375" s="462"/>
      <c r="I375" s="463"/>
      <c r="J375" s="463"/>
      <c r="K375" s="460"/>
      <c r="L375" s="460"/>
      <c r="M375" s="460"/>
      <c r="N375" s="460"/>
      <c r="O375" s="460"/>
      <c r="P375" s="460"/>
      <c r="Q375" s="449"/>
      <c r="R375" s="449"/>
      <c r="S375" s="449"/>
      <c r="T375" s="449"/>
      <c r="U375" s="449"/>
      <c r="V375" s="449"/>
      <c r="W375" s="449"/>
      <c r="X375" s="449"/>
      <c r="Y375" s="449"/>
      <c r="Z375" s="449"/>
    </row>
    <row r="376" spans="1:26" ht="19.5">
      <c r="A376" s="170"/>
      <c r="B376" s="171"/>
      <c r="C376" s="164" t="s">
        <v>16</v>
      </c>
      <c r="D376" s="818" t="s">
        <v>38</v>
      </c>
      <c r="E376" s="173"/>
      <c r="F376" s="173"/>
      <c r="G376" s="174"/>
      <c r="H376" s="726"/>
      <c r="I376" s="269"/>
      <c r="J376" s="269"/>
      <c r="K376" s="465"/>
      <c r="L376" s="163"/>
      <c r="M376" s="163"/>
      <c r="N376" s="163"/>
      <c r="O376" s="163"/>
      <c r="P376" s="163"/>
    </row>
    <row r="377" spans="1:26" ht="18.75">
      <c r="A377" s="170"/>
      <c r="B377" s="342"/>
      <c r="C377" s="171"/>
      <c r="D377" s="342"/>
      <c r="E377" s="343" t="s">
        <v>161</v>
      </c>
      <c r="F377" s="342"/>
      <c r="G377" s="179"/>
      <c r="H377" s="185" t="s">
        <v>35</v>
      </c>
      <c r="I377" s="269">
        <v>0</v>
      </c>
      <c r="J377" s="269">
        <f ca="1">IFERROR(__xludf.DUMMYFUNCTION("IMPORTRANGE(""https://docs.google.com/spreadsheets/d/1XWAQStnk-4SwqDmLtmXYiTMKHgktTP8We1SCoS47DrQ/edit?usp=sharing"",""จัดที่ดิน!AH30"")"),0)</f>
        <v>0</v>
      </c>
      <c r="K377" s="465">
        <f t="shared" ref="K377:K382" si="163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342"/>
      <c r="C378" s="171"/>
      <c r="D378" s="342"/>
      <c r="E378" s="342"/>
      <c r="F378" s="342"/>
      <c r="G378" s="179"/>
      <c r="H378" s="185" t="s">
        <v>46</v>
      </c>
      <c r="I378" s="269">
        <f ca="1">IFERROR(__xludf.DUMMYFUNCTION("IMPORTRANGE(""https://docs.google.com/spreadsheets/d/1QqKyyYR6Q21VydFLVH3TRQUabQu_ym0Zz7PgGX0-kHA/edit?usp=sharing"",""แผน!ET30"")"),1500)</f>
        <v>1500</v>
      </c>
      <c r="J378" s="269">
        <f ca="1">IFERROR(__xludf.DUMMYFUNCTION("IMPORTRANGE(""https://docs.google.com/spreadsheets/d/1XWAQStnk-4SwqDmLtmXYiTMKHgktTP8We1SCoS47DrQ/edit?usp=sharing"",""จัดที่ดิน!AI30"")"),0)</f>
        <v>0</v>
      </c>
      <c r="K378" s="465">
        <f t="shared" ca="1" si="163"/>
        <v>0</v>
      </c>
      <c r="L378" s="163"/>
      <c r="M378" s="163"/>
      <c r="N378" s="163"/>
      <c r="O378" s="163"/>
      <c r="P378" s="163"/>
    </row>
    <row r="379" spans="1:26" ht="18.75">
      <c r="A379" s="170"/>
      <c r="B379" s="342"/>
      <c r="C379" s="171"/>
      <c r="D379" s="342"/>
      <c r="E379" s="343" t="s">
        <v>162</v>
      </c>
      <c r="F379" s="342"/>
      <c r="G379" s="179"/>
      <c r="H379" s="728" t="s">
        <v>35</v>
      </c>
      <c r="I379" s="269">
        <f ca="1">IFERROR(__xludf.DUMMYFUNCTION("IMPORTRANGE(""https://docs.google.com/spreadsheets/d/1QqKyyYR6Q21VydFLVH3TRQUabQu_ym0Zz7PgGX0-kHA/edit?usp=sharing"",""แผน!EU30"")"),400)</f>
        <v>400</v>
      </c>
      <c r="J379" s="269">
        <f ca="1">IFERROR(__xludf.DUMMYFUNCTION("IMPORTRANGE(""https://docs.google.com/spreadsheets/d/1XWAQStnk-4SwqDmLtmXYiTMKHgktTP8We1SCoS47DrQ/edit?usp=sharing"",""จัดที่ดิน!AJ30"")"),0)</f>
        <v>0</v>
      </c>
      <c r="K379" s="465">
        <f t="shared" ca="1" si="163"/>
        <v>0</v>
      </c>
      <c r="L379" s="163"/>
      <c r="M379" s="163"/>
      <c r="N379" s="163"/>
      <c r="O379" s="163"/>
      <c r="P379" s="163"/>
    </row>
    <row r="380" spans="1:26" ht="18.75">
      <c r="A380" s="170"/>
      <c r="B380" s="342"/>
      <c r="C380" s="171"/>
      <c r="D380" s="342"/>
      <c r="E380" s="342"/>
      <c r="F380" s="342"/>
      <c r="G380" s="179"/>
      <c r="H380" s="728" t="s">
        <v>46</v>
      </c>
      <c r="I380" s="269">
        <v>0</v>
      </c>
      <c r="J380" s="269">
        <f ca="1">IFERROR(__xludf.DUMMYFUNCTION("IMPORTRANGE(""https://docs.google.com/spreadsheets/d/1XWAQStnk-4SwqDmLtmXYiTMKHgktTP8We1SCoS47DrQ/edit?usp=sharing"",""จัดที่ดิน!AK30"")"),0)</f>
        <v>0</v>
      </c>
      <c r="K380" s="465">
        <f t="shared" si="163"/>
        <v>0</v>
      </c>
      <c r="L380" s="163"/>
      <c r="M380" s="163"/>
      <c r="N380" s="163"/>
      <c r="O380" s="163"/>
      <c r="P380" s="163"/>
    </row>
    <row r="381" spans="1:26" ht="18.75">
      <c r="A381" s="170"/>
      <c r="B381" s="342"/>
      <c r="C381" s="171"/>
      <c r="D381" s="342"/>
      <c r="E381" s="343" t="s">
        <v>163</v>
      </c>
      <c r="F381" s="342"/>
      <c r="G381" s="179"/>
      <c r="H381" s="728" t="s">
        <v>35</v>
      </c>
      <c r="I381" s="269">
        <f ca="1">IFERROR(__xludf.DUMMYFUNCTION("IMPORTRANGE(""https://docs.google.com/spreadsheets/d/1QqKyyYR6Q21VydFLVH3TRQUabQu_ym0Zz7PgGX0-kHA/edit?usp=sharing"",""แผน!EU30"")"),400)</f>
        <v>400</v>
      </c>
      <c r="J381" s="269">
        <f ca="1">IFERROR(__xludf.DUMMYFUNCTION("IMPORTRANGE(""https://docs.google.com/spreadsheets/d/1XWAQStnk-4SwqDmLtmXYiTMKHgktTP8We1SCoS47DrQ/edit?usp=sharing"",""จัดที่ดิน!AL30"")"),0)</f>
        <v>0</v>
      </c>
      <c r="K381" s="465">
        <f t="shared" ca="1" si="163"/>
        <v>0</v>
      </c>
      <c r="L381" s="163"/>
      <c r="M381" s="163"/>
      <c r="N381" s="163"/>
      <c r="O381" s="163"/>
      <c r="P381" s="163"/>
    </row>
    <row r="382" spans="1:26" ht="18.75">
      <c r="A382" s="438" t="s">
        <v>164</v>
      </c>
      <c r="B382" s="342"/>
      <c r="C382" s="171"/>
      <c r="D382" s="342"/>
      <c r="E382" s="415"/>
      <c r="F382" s="342"/>
      <c r="G382" s="179"/>
      <c r="H382" s="728" t="s">
        <v>46</v>
      </c>
      <c r="I382" s="269">
        <v>0</v>
      </c>
      <c r="J382" s="269">
        <f ca="1">IFERROR(__xludf.DUMMYFUNCTION("IMPORTRANGE(""https://docs.google.com/spreadsheets/d/1XWAQStnk-4SwqDmLtmXYiTMKHgktTP8We1SCoS47DrQ/edit?usp=sharing"",""จัดที่ดิน!AM30"")"),0)</f>
        <v>0</v>
      </c>
      <c r="K382" s="465">
        <f t="shared" si="163"/>
        <v>0</v>
      </c>
      <c r="L382" s="163"/>
      <c r="M382" s="163"/>
      <c r="N382" s="163"/>
      <c r="O382" s="163"/>
      <c r="P382" s="163"/>
    </row>
    <row r="383" spans="1:26" ht="19.5">
      <c r="A383" s="255"/>
      <c r="B383" s="263"/>
      <c r="C383" s="256"/>
      <c r="D383" s="845" t="s">
        <v>170</v>
      </c>
      <c r="E383" s="256"/>
      <c r="F383" s="256"/>
      <c r="G383" s="258"/>
      <c r="H383" s="423"/>
      <c r="I383" s="260"/>
      <c r="J383" s="260"/>
      <c r="K383" s="261"/>
      <c r="L383" s="261"/>
      <c r="M383" s="261"/>
      <c r="N383" s="261"/>
      <c r="O383" s="261"/>
      <c r="P383" s="261"/>
    </row>
    <row r="384" spans="1:26" ht="19.5">
      <c r="A384" s="170"/>
      <c r="B384" s="171"/>
      <c r="C384" s="33" t="s">
        <v>16</v>
      </c>
      <c r="D384" s="818" t="s">
        <v>38</v>
      </c>
      <c r="E384" s="173"/>
      <c r="F384" s="173"/>
      <c r="G384" s="174"/>
      <c r="H384" s="726"/>
      <c r="I384" s="269"/>
      <c r="J384" s="269"/>
      <c r="K384" s="465"/>
      <c r="L384" s="163"/>
      <c r="M384" s="163"/>
      <c r="N384" s="163"/>
      <c r="O384" s="163"/>
      <c r="P384" s="163"/>
    </row>
    <row r="385" spans="1:26" ht="18.75">
      <c r="A385" s="346"/>
      <c r="B385" s="349"/>
      <c r="C385" s="347"/>
      <c r="D385" s="349"/>
      <c r="E385" s="466" t="s">
        <v>163</v>
      </c>
      <c r="F385" s="349"/>
      <c r="G385" s="350"/>
      <c r="H385" s="467" t="s">
        <v>35</v>
      </c>
      <c r="I385" s="468">
        <f ca="1">IFERROR(__xludf.DUMMYFUNCTION("IMPORTRANGE(""https://docs.google.com/spreadsheets/d/1QqKyyYR6Q21VydFLVH3TRQUabQu_ym0Zz7PgGX0-kHA/edit?usp=sharing"",""แผน!EW30"")"),60)</f>
        <v>60</v>
      </c>
      <c r="J385" s="468">
        <f ca="1">IFERROR(__xludf.DUMMYFUNCTION("IMPORTRANGE(""https://docs.google.com/spreadsheets/d/1XWAQStnk-4SwqDmLtmXYiTMKHgktTP8We1SCoS47DrQ/edit?usp=sharing"",""จัดที่ดิน!AP30"")"),0)</f>
        <v>0</v>
      </c>
      <c r="K385" s="469">
        <f ca="1">IF(I385&gt;0,J385*100/I385,0)</f>
        <v>0</v>
      </c>
      <c r="L385" s="353"/>
      <c r="M385" s="353"/>
      <c r="N385" s="353"/>
      <c r="O385" s="353"/>
      <c r="P385" s="353"/>
    </row>
    <row r="386" spans="1:26" ht="19.5" hidden="1">
      <c r="A386" s="470" t="s">
        <v>171</v>
      </c>
      <c r="B386" s="471"/>
      <c r="C386" s="471"/>
      <c r="D386" s="471"/>
      <c r="E386" s="472"/>
      <c r="F386" s="472"/>
      <c r="G386" s="473"/>
      <c r="H386" s="474"/>
      <c r="I386" s="475"/>
      <c r="J386" s="475"/>
      <c r="K386" s="476"/>
      <c r="L386" s="476"/>
      <c r="M386" s="476"/>
      <c r="N386" s="476"/>
      <c r="O386" s="476"/>
      <c r="P386" s="476"/>
    </row>
    <row r="387" spans="1:26" ht="19.5" hidden="1">
      <c r="A387" s="477" t="s">
        <v>172</v>
      </c>
      <c r="B387" s="478"/>
      <c r="C387" s="478"/>
      <c r="D387" s="479"/>
      <c r="E387" s="478"/>
      <c r="F387" s="478"/>
      <c r="G387" s="478"/>
      <c r="H387" s="480"/>
      <c r="I387" s="481"/>
      <c r="J387" s="481"/>
      <c r="K387" s="482"/>
      <c r="L387" s="482"/>
      <c r="M387" s="482"/>
      <c r="N387" s="482"/>
      <c r="O387" s="482"/>
      <c r="P387" s="482"/>
    </row>
    <row r="388" spans="1:26" ht="19.5" hidden="1">
      <c r="A388" s="483"/>
      <c r="B388" s="484" t="s">
        <v>173</v>
      </c>
      <c r="C388" s="485"/>
      <c r="D388" s="486"/>
      <c r="E388" s="486"/>
      <c r="F388" s="486"/>
      <c r="G388" s="487"/>
      <c r="H388" s="488" t="s">
        <v>69</v>
      </c>
      <c r="I388" s="489">
        <f t="shared" ref="I388:J388" si="164">I400</f>
        <v>0</v>
      </c>
      <c r="J388" s="489">
        <f t="shared" si="164"/>
        <v>0</v>
      </c>
      <c r="K388" s="490">
        <f>IF(I388&gt;0,J388*100/I388,0)</f>
        <v>0</v>
      </c>
      <c r="L388" s="491"/>
      <c r="M388" s="491"/>
      <c r="N388" s="491"/>
      <c r="O388" s="491"/>
      <c r="P388" s="491"/>
    </row>
    <row r="389" spans="1:26" ht="19.5" hidden="1">
      <c r="A389" s="147"/>
      <c r="B389" s="148"/>
      <c r="C389" s="149" t="s">
        <v>16</v>
      </c>
      <c r="D389" s="817" t="s">
        <v>17</v>
      </c>
      <c r="E389" s="148"/>
      <c r="F389" s="148"/>
      <c r="G389" s="151"/>
      <c r="H389" s="152" t="s">
        <v>12</v>
      </c>
      <c r="I389" s="388"/>
      <c r="J389" s="388"/>
      <c r="K389" s="154"/>
      <c r="L389" s="155">
        <f t="shared" ref="L389:N389" ca="1" si="165">L390+L391</f>
        <v>0</v>
      </c>
      <c r="M389" s="155">
        <f t="shared" ca="1" si="165"/>
        <v>0</v>
      </c>
      <c r="N389" s="155">
        <f t="shared" ca="1" si="165"/>
        <v>0</v>
      </c>
      <c r="O389" s="155">
        <f t="shared" ref="O389:O397" ca="1" si="166">IF(L389&gt;0,N389*100/L389,0)</f>
        <v>0</v>
      </c>
      <c r="P389" s="155">
        <f t="shared" ref="P389:P397" ca="1" si="167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2" t="s">
        <v>18</v>
      </c>
      <c r="F390" s="40"/>
      <c r="G390" s="157"/>
      <c r="H390" s="158" t="s">
        <v>12</v>
      </c>
      <c r="I390" s="583"/>
      <c r="J390" s="583"/>
      <c r="K390" s="93"/>
      <c r="L390" s="93">
        <f t="shared" ref="L390:N391" si="168">L393+L396</f>
        <v>0</v>
      </c>
      <c r="M390" s="93">
        <f t="shared" si="168"/>
        <v>0</v>
      </c>
      <c r="N390" s="93">
        <f t="shared" si="168"/>
        <v>0</v>
      </c>
      <c r="O390" s="93">
        <f t="shared" si="166"/>
        <v>0</v>
      </c>
      <c r="P390" s="93">
        <f t="shared" si="167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2" t="s">
        <v>19</v>
      </c>
      <c r="F391" s="40"/>
      <c r="G391" s="157"/>
      <c r="H391" s="158" t="s">
        <v>12</v>
      </c>
      <c r="I391" s="583"/>
      <c r="J391" s="583"/>
      <c r="K391" s="93"/>
      <c r="L391" s="93">
        <f t="shared" ca="1" si="168"/>
        <v>0</v>
      </c>
      <c r="M391" s="93">
        <f t="shared" ca="1" si="168"/>
        <v>0</v>
      </c>
      <c r="N391" s="93">
        <f t="shared" ca="1" si="168"/>
        <v>0</v>
      </c>
      <c r="O391" s="93">
        <f t="shared" ca="1" si="166"/>
        <v>0</v>
      </c>
      <c r="P391" s="93">
        <f t="shared" ca="1" si="167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1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65">
        <f t="shared" ref="L392:N392" ca="1" si="169">L393+L394</f>
        <v>0</v>
      </c>
      <c r="M392" s="465">
        <f t="shared" ca="1" si="169"/>
        <v>0</v>
      </c>
      <c r="N392" s="465">
        <f t="shared" ca="1" si="169"/>
        <v>0</v>
      </c>
      <c r="O392" s="465">
        <f t="shared" ca="1" si="166"/>
        <v>0</v>
      </c>
      <c r="P392" s="465">
        <f t="shared" ca="1" si="167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2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6"/>
        <v>0</v>
      </c>
      <c r="P393" s="93">
        <f t="shared" si="167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2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IFERROR(__xludf.DUMMYFUNCTION("IMPORTRANGE(""https://docs.google.com/spreadsheets/d/1MeEWN-I1oV_STSDYn1IFDPWt_1FKiwhDph83XaGc0o0/edit?usp=sharing"",""งบพรบ!FG30"")"),0)</f>
        <v>0</v>
      </c>
      <c r="M394" s="93">
        <f ca="1">IFERROR(__xludf.DUMMYFUNCTION("IMPORTRANGE(""https://docs.google.com/spreadsheets/d/1MeEWN-I1oV_STSDYn1IFDPWt_1FKiwhDph83XaGc0o0/edit?usp=sharing"",""งบพรบ!FL30"")"),0)</f>
        <v>0</v>
      </c>
      <c r="N394" s="93">
        <f ca="1">IFERROR(__xludf.DUMMYFUNCTION("IMPORTRANGE(""https://docs.google.com/spreadsheets/d/1MeEWN-I1oV_STSDYn1IFDPWt_1FKiwhDph83XaGc0o0/edit?usp=sharing"",""งบพรบ!FN30"")"),0)</f>
        <v>0</v>
      </c>
      <c r="O394" s="93">
        <f t="shared" ca="1" si="166"/>
        <v>0</v>
      </c>
      <c r="P394" s="93">
        <f t="shared" ca="1" si="167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1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65">
        <f t="shared" ref="L395:N395" ca="1" si="170">L396+L397</f>
        <v>0</v>
      </c>
      <c r="M395" s="465">
        <f t="shared" ca="1" si="170"/>
        <v>0</v>
      </c>
      <c r="N395" s="465">
        <f t="shared" ca="1" si="170"/>
        <v>0</v>
      </c>
      <c r="O395" s="465">
        <f t="shared" ca="1" si="166"/>
        <v>0</v>
      </c>
      <c r="P395" s="465">
        <f t="shared" ca="1" si="167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2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6"/>
        <v>0</v>
      </c>
      <c r="P396" s="93">
        <f t="shared" si="167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2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IFERROR(__xludf.DUMMYFUNCTION("IMPORTRANGE(""https://docs.google.com/spreadsheets/d/1MeEWN-I1oV_STSDYn1IFDPWt_1FKiwhDph83XaGc0o0/edit?usp=sharing"",""งบพรบ!FJ30"")"),0)</f>
        <v>0</v>
      </c>
      <c r="M397" s="93">
        <f ca="1">IFERROR(__xludf.DUMMYFUNCTION("IMPORTRANGE(""https://docs.google.com/spreadsheets/d/1MeEWN-I1oV_STSDYn1IFDPWt_1FKiwhDph83XaGc0o0/edit?usp=sharing"",""งบพรบ!FM30"")"),0)</f>
        <v>0</v>
      </c>
      <c r="N397" s="93">
        <f ca="1">IFERROR(__xludf.DUMMYFUNCTION("IMPORTRANGE(""https://docs.google.com/spreadsheets/d/1MeEWN-I1oV_STSDYn1IFDPWt_1FKiwhDph83XaGc0o0/edit?usp=sharing"",""งบพรบ!FO30"")"),0)</f>
        <v>0</v>
      </c>
      <c r="O397" s="93">
        <f t="shared" ca="1" si="166"/>
        <v>0</v>
      </c>
      <c r="P397" s="93">
        <f t="shared" ca="1" si="167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18" t="s">
        <v>38</v>
      </c>
      <c r="E398" s="173"/>
      <c r="F398" s="173"/>
      <c r="G398" s="174"/>
      <c r="H398" s="726"/>
      <c r="I398" s="184"/>
      <c r="J398" s="269"/>
      <c r="K398" s="465"/>
      <c r="L398" s="465"/>
      <c r="M398" s="465"/>
      <c r="N398" s="465"/>
      <c r="O398" s="163"/>
      <c r="P398" s="163"/>
    </row>
    <row r="399" spans="1:26" ht="18.75" hidden="1">
      <c r="A399" s="492"/>
      <c r="B399" s="148"/>
      <c r="C399" s="493"/>
      <c r="D399" s="494" t="s">
        <v>174</v>
      </c>
      <c r="E399" s="383"/>
      <c r="F399" s="148"/>
      <c r="G399" s="151"/>
      <c r="H399" s="495" t="s">
        <v>9</v>
      </c>
      <c r="I399" s="269">
        <v>0</v>
      </c>
      <c r="J399" s="214">
        <v>0</v>
      </c>
      <c r="K399" s="465">
        <f t="shared" ref="K399:K401" si="171">IF(I399&gt;0,J399*100/I399,0)</f>
        <v>0</v>
      </c>
      <c r="L399" s="496"/>
      <c r="M399" s="496"/>
      <c r="N399" s="496"/>
      <c r="O399" s="496"/>
      <c r="P399" s="496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3"/>
      <c r="B400" s="33"/>
      <c r="C400" s="280"/>
      <c r="D400" s="415" t="s">
        <v>175</v>
      </c>
      <c r="E400" s="171"/>
      <c r="F400" s="33"/>
      <c r="G400" s="35"/>
      <c r="H400" s="276" t="s">
        <v>69</v>
      </c>
      <c r="I400" s="269">
        <v>0</v>
      </c>
      <c r="J400" s="214">
        <v>0</v>
      </c>
      <c r="K400" s="465">
        <f t="shared" si="171"/>
        <v>0</v>
      </c>
      <c r="L400" s="465"/>
      <c r="M400" s="465"/>
      <c r="N400" s="465"/>
      <c r="O400" s="465"/>
      <c r="P400" s="465"/>
    </row>
    <row r="401" spans="1:26" ht="19.5" hidden="1">
      <c r="A401" s="483"/>
      <c r="B401" s="484" t="s">
        <v>176</v>
      </c>
      <c r="C401" s="485"/>
      <c r="D401" s="486"/>
      <c r="E401" s="486"/>
      <c r="F401" s="486"/>
      <c r="G401" s="487"/>
      <c r="H401" s="488" t="s">
        <v>69</v>
      </c>
      <c r="I401" s="489">
        <f t="shared" ref="I401:J401" si="172">I412</f>
        <v>0</v>
      </c>
      <c r="J401" s="489">
        <f t="shared" si="172"/>
        <v>0</v>
      </c>
      <c r="K401" s="490">
        <f t="shared" si="171"/>
        <v>0</v>
      </c>
      <c r="L401" s="491"/>
      <c r="M401" s="491"/>
      <c r="N401" s="491"/>
      <c r="O401" s="491"/>
      <c r="P401" s="491"/>
    </row>
    <row r="402" spans="1:26" ht="19.5" hidden="1">
      <c r="A402" s="147"/>
      <c r="B402" s="148"/>
      <c r="C402" s="149" t="s">
        <v>16</v>
      </c>
      <c r="D402" s="817" t="s">
        <v>17</v>
      </c>
      <c r="E402" s="148"/>
      <c r="F402" s="148"/>
      <c r="G402" s="151"/>
      <c r="H402" s="152" t="s">
        <v>12</v>
      </c>
      <c r="I402" s="388"/>
      <c r="J402" s="388"/>
      <c r="K402" s="154"/>
      <c r="L402" s="155">
        <f t="shared" ref="L402:N402" ca="1" si="173">L403+L404</f>
        <v>0</v>
      </c>
      <c r="M402" s="155">
        <f t="shared" ca="1" si="173"/>
        <v>0</v>
      </c>
      <c r="N402" s="155">
        <f t="shared" ca="1" si="173"/>
        <v>0</v>
      </c>
      <c r="O402" s="155">
        <f t="shared" ref="O402:O410" ca="1" si="174">IF(L402&gt;0,N402*100/L402,0)</f>
        <v>0</v>
      </c>
      <c r="P402" s="155">
        <f t="shared" ref="P402:P410" ca="1" si="175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2" t="s">
        <v>18</v>
      </c>
      <c r="F403" s="40"/>
      <c r="G403" s="157"/>
      <c r="H403" s="158" t="s">
        <v>12</v>
      </c>
      <c r="I403" s="583"/>
      <c r="J403" s="583"/>
      <c r="K403" s="93"/>
      <c r="L403" s="93">
        <f t="shared" ref="L403:N404" si="176">L406+L409</f>
        <v>0</v>
      </c>
      <c r="M403" s="93">
        <f t="shared" si="176"/>
        <v>0</v>
      </c>
      <c r="N403" s="93">
        <f t="shared" si="176"/>
        <v>0</v>
      </c>
      <c r="O403" s="93">
        <f t="shared" si="174"/>
        <v>0</v>
      </c>
      <c r="P403" s="93">
        <f t="shared" si="175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2" t="s">
        <v>19</v>
      </c>
      <c r="F404" s="40"/>
      <c r="G404" s="157"/>
      <c r="H404" s="158" t="s">
        <v>12</v>
      </c>
      <c r="I404" s="583"/>
      <c r="J404" s="583"/>
      <c r="K404" s="93"/>
      <c r="L404" s="93">
        <f t="shared" ca="1" si="176"/>
        <v>0</v>
      </c>
      <c r="M404" s="93">
        <f t="shared" ca="1" si="176"/>
        <v>0</v>
      </c>
      <c r="N404" s="93">
        <f t="shared" ca="1" si="176"/>
        <v>0</v>
      </c>
      <c r="O404" s="93">
        <f t="shared" ca="1" si="174"/>
        <v>0</v>
      </c>
      <c r="P404" s="93">
        <f t="shared" ca="1" si="175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1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65">
        <f t="shared" ref="L405:N405" ca="1" si="177">L406+L407</f>
        <v>0</v>
      </c>
      <c r="M405" s="465">
        <f t="shared" ca="1" si="177"/>
        <v>0</v>
      </c>
      <c r="N405" s="465">
        <f t="shared" ca="1" si="177"/>
        <v>0</v>
      </c>
      <c r="O405" s="465">
        <f t="shared" ca="1" si="174"/>
        <v>0</v>
      </c>
      <c r="P405" s="465">
        <f t="shared" ca="1" si="175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2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4"/>
        <v>0</v>
      </c>
      <c r="P406" s="93">
        <f t="shared" si="175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2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IFERROR(__xludf.DUMMYFUNCTION("IMPORTRANGE(""https://docs.google.com/spreadsheets/d/1MeEWN-I1oV_STSDYn1IFDPWt_1FKiwhDph83XaGc0o0/edit?usp=sharing"",""งบพรบ!FQ30"")"),0)</f>
        <v>0</v>
      </c>
      <c r="M407" s="93">
        <f ca="1">IFERROR(__xludf.DUMMYFUNCTION("IMPORTRANGE(""https://docs.google.com/spreadsheets/d/1MeEWN-I1oV_STSDYn1IFDPWt_1FKiwhDph83XaGc0o0/edit?usp=sharing"",""งบพรบ!FV30"")"),0)</f>
        <v>0</v>
      </c>
      <c r="N407" s="93">
        <f ca="1">IFERROR(__xludf.DUMMYFUNCTION("IMPORTRANGE(""https://docs.google.com/spreadsheets/d/1MeEWN-I1oV_STSDYn1IFDPWt_1FKiwhDph83XaGc0o0/edit?usp=sharing"",""งบพรบ!FX30"")"),0)</f>
        <v>0</v>
      </c>
      <c r="O407" s="93">
        <f t="shared" ca="1" si="174"/>
        <v>0</v>
      </c>
      <c r="P407" s="93">
        <f t="shared" ca="1" si="175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1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65">
        <f t="shared" ref="L408:N408" ca="1" si="178">L409+L410</f>
        <v>0</v>
      </c>
      <c r="M408" s="465">
        <f t="shared" ca="1" si="178"/>
        <v>0</v>
      </c>
      <c r="N408" s="465">
        <f t="shared" ca="1" si="178"/>
        <v>0</v>
      </c>
      <c r="O408" s="465">
        <f t="shared" ca="1" si="174"/>
        <v>0</v>
      </c>
      <c r="P408" s="465">
        <f t="shared" ca="1" si="175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2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4"/>
        <v>0</v>
      </c>
      <c r="P409" s="93">
        <f t="shared" si="175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2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IFERROR(__xludf.DUMMYFUNCTION("IMPORTRANGE(""https://docs.google.com/spreadsheets/d/1MeEWN-I1oV_STSDYn1IFDPWt_1FKiwhDph83XaGc0o0/edit?usp=sharing"",""งบพรบ!FT30"")"),0)</f>
        <v>0</v>
      </c>
      <c r="M410" s="93">
        <f ca="1">IFERROR(__xludf.DUMMYFUNCTION("IMPORTRANGE(""https://docs.google.com/spreadsheets/d/1MeEWN-I1oV_STSDYn1IFDPWt_1FKiwhDph83XaGc0o0/edit?usp=sharing"",""งบพรบ!FW30"")"),0)</f>
        <v>0</v>
      </c>
      <c r="N410" s="93">
        <f ca="1">IFERROR(__xludf.DUMMYFUNCTION("IMPORTRANGE(""https://docs.google.com/spreadsheets/d/1MeEWN-I1oV_STSDYn1IFDPWt_1FKiwhDph83XaGc0o0/edit?usp=sharing"",""งบพรบ!FY30"")"),0)</f>
        <v>0</v>
      </c>
      <c r="O410" s="93">
        <f t="shared" ca="1" si="174"/>
        <v>0</v>
      </c>
      <c r="P410" s="93">
        <f t="shared" ca="1" si="175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47" t="s">
        <v>38</v>
      </c>
      <c r="E411" s="498"/>
      <c r="F411" s="498"/>
      <c r="G411" s="499"/>
      <c r="H411" s="726"/>
      <c r="I411" s="269"/>
      <c r="J411" s="269"/>
      <c r="K411" s="465"/>
      <c r="L411" s="163"/>
      <c r="M411" s="163"/>
      <c r="N411" s="163"/>
      <c r="O411" s="163"/>
      <c r="P411" s="163"/>
    </row>
    <row r="412" spans="1:26" ht="18.75" hidden="1">
      <c r="A412" s="170"/>
      <c r="B412" s="342"/>
      <c r="C412" s="342"/>
      <c r="D412" s="415" t="s">
        <v>177</v>
      </c>
      <c r="E412" s="342"/>
      <c r="F412" s="342"/>
      <c r="G412" s="179"/>
      <c r="H412" s="500" t="s">
        <v>69</v>
      </c>
      <c r="I412" s="269">
        <v>0</v>
      </c>
      <c r="J412" s="214">
        <v>0</v>
      </c>
      <c r="K412" s="465">
        <f t="shared" ref="K412:K413" si="179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01"/>
      <c r="B413" s="502"/>
      <c r="C413" s="502"/>
      <c r="D413" s="503" t="s">
        <v>178</v>
      </c>
      <c r="E413" s="502"/>
      <c r="F413" s="502"/>
      <c r="G413" s="504"/>
      <c r="H413" s="505" t="s">
        <v>179</v>
      </c>
      <c r="I413" s="506">
        <v>0</v>
      </c>
      <c r="J413" s="507">
        <v>0</v>
      </c>
      <c r="K413" s="508">
        <f t="shared" si="179"/>
        <v>0</v>
      </c>
      <c r="L413" s="509"/>
      <c r="M413" s="509"/>
      <c r="N413" s="509"/>
      <c r="O413" s="509"/>
      <c r="P413" s="509"/>
    </row>
    <row r="414" spans="1:26" ht="19.5">
      <c r="A414" s="510" t="s">
        <v>180</v>
      </c>
      <c r="B414" s="511"/>
      <c r="C414" s="511"/>
      <c r="D414" s="511"/>
      <c r="E414" s="511"/>
      <c r="F414" s="511"/>
      <c r="G414" s="512"/>
      <c r="H414" s="513"/>
      <c r="I414" s="514"/>
      <c r="J414" s="514"/>
      <c r="K414" s="515"/>
      <c r="L414" s="516">
        <f t="shared" ref="L414:N414" ca="1" si="180">L419+L444+L467+L502+L523+L544+L629+L655+L685+L737+L754+L770+L786+L805</f>
        <v>2917916</v>
      </c>
      <c r="M414" s="516">
        <f t="shared" si="180"/>
        <v>0</v>
      </c>
      <c r="N414" s="516">
        <f t="shared" si="180"/>
        <v>0</v>
      </c>
      <c r="O414" s="516">
        <f ca="1">IF(L414&gt;0,N414*100/L414,0)</f>
        <v>0</v>
      </c>
      <c r="P414" s="516">
        <f>IF(M414&gt;0,N414*100/M414,0)</f>
        <v>0</v>
      </c>
    </row>
    <row r="415" spans="1:26" ht="19.5">
      <c r="A415" s="517" t="s">
        <v>181</v>
      </c>
      <c r="B415" s="518"/>
      <c r="C415" s="518"/>
      <c r="D415" s="518"/>
      <c r="E415" s="518"/>
      <c r="F415" s="518"/>
      <c r="G415" s="518"/>
      <c r="H415" s="519"/>
      <c r="I415" s="520"/>
      <c r="J415" s="520"/>
      <c r="K415" s="521"/>
      <c r="L415" s="522"/>
      <c r="M415" s="522"/>
      <c r="N415" s="522"/>
      <c r="O415" s="522"/>
      <c r="P415" s="522"/>
    </row>
    <row r="416" spans="1:26" ht="19.5">
      <c r="A416" s="517" t="s">
        <v>182</v>
      </c>
      <c r="B416" s="518"/>
      <c r="C416" s="518"/>
      <c r="D416" s="518"/>
      <c r="E416" s="518"/>
      <c r="F416" s="518"/>
      <c r="G416" s="523"/>
      <c r="H416" s="524"/>
      <c r="I416" s="525"/>
      <c r="J416" s="525"/>
      <c r="K416" s="522"/>
      <c r="L416" s="522"/>
      <c r="M416" s="522"/>
      <c r="N416" s="522"/>
      <c r="O416" s="522"/>
      <c r="P416" s="522"/>
    </row>
    <row r="417" spans="1:26" ht="21.75" customHeight="1">
      <c r="A417" s="526">
        <v>1</v>
      </c>
      <c r="B417" s="528" t="s">
        <v>183</v>
      </c>
      <c r="C417" s="528"/>
      <c r="D417" s="529"/>
      <c r="E417" s="529"/>
      <c r="F417" s="529"/>
      <c r="G417" s="530"/>
      <c r="H417" s="531" t="s">
        <v>35</v>
      </c>
      <c r="I417" s="532">
        <f t="shared" ref="I417:J418" ca="1" si="181">I433</f>
        <v>20</v>
      </c>
      <c r="J417" s="532">
        <f t="shared" ca="1" si="181"/>
        <v>0</v>
      </c>
      <c r="K417" s="533">
        <f t="shared" ref="K417:K418" ca="1" si="182">IF(I417&gt;0,J417*100/I417,0)</f>
        <v>0</v>
      </c>
      <c r="L417" s="534"/>
      <c r="M417" s="534"/>
      <c r="N417" s="534"/>
      <c r="O417" s="534"/>
      <c r="P417" s="534"/>
    </row>
    <row r="418" spans="1:26" ht="19.5">
      <c r="A418" s="535"/>
      <c r="B418" s="526"/>
      <c r="C418" s="528"/>
      <c r="D418" s="529"/>
      <c r="E418" s="529"/>
      <c r="F418" s="529"/>
      <c r="G418" s="530"/>
      <c r="H418" s="531" t="s">
        <v>49</v>
      </c>
      <c r="I418" s="532">
        <f t="shared" ca="1" si="181"/>
        <v>1</v>
      </c>
      <c r="J418" s="532">
        <f t="shared" si="181"/>
        <v>0</v>
      </c>
      <c r="K418" s="533">
        <f t="shared" ca="1" si="182"/>
        <v>0</v>
      </c>
      <c r="L418" s="534"/>
      <c r="M418" s="534"/>
      <c r="N418" s="534"/>
      <c r="O418" s="534"/>
      <c r="P418" s="534"/>
    </row>
    <row r="419" spans="1:26" ht="19.5">
      <c r="A419" s="147"/>
      <c r="B419" s="148"/>
      <c r="C419" s="148" t="s">
        <v>16</v>
      </c>
      <c r="D419" s="848" t="s">
        <v>17</v>
      </c>
      <c r="E419" s="810"/>
      <c r="F419" s="810"/>
      <c r="G419" s="151"/>
      <c r="H419" s="274" t="s">
        <v>12</v>
      </c>
      <c r="I419" s="388"/>
      <c r="J419" s="388"/>
      <c r="K419" s="154"/>
      <c r="L419" s="155">
        <f t="shared" ref="L419:N419" ca="1" si="183">L420+L421</f>
        <v>78660</v>
      </c>
      <c r="M419" s="155">
        <f t="shared" si="183"/>
        <v>0</v>
      </c>
      <c r="N419" s="155">
        <f t="shared" si="183"/>
        <v>0</v>
      </c>
      <c r="O419" s="155">
        <f t="shared" ref="O419:O424" ca="1" si="184">IF(L419&gt;0,N419*100/L419,0)</f>
        <v>0</v>
      </c>
      <c r="P419" s="155">
        <f t="shared" ref="P419:P424" si="185">IF(M419&gt;0,N419*100/M419,0)</f>
        <v>0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536"/>
      <c r="E420" s="222" t="s">
        <v>184</v>
      </c>
      <c r="F420" s="40"/>
      <c r="G420" s="157"/>
      <c r="H420" s="165" t="s">
        <v>12</v>
      </c>
      <c r="I420" s="583"/>
      <c r="J420" s="583"/>
      <c r="K420" s="93"/>
      <c r="L420" s="93">
        <f t="shared" ref="L420:N421" si="186">L423+L430</f>
        <v>0</v>
      </c>
      <c r="M420" s="93">
        <f t="shared" si="186"/>
        <v>0</v>
      </c>
      <c r="N420" s="93">
        <f t="shared" si="186"/>
        <v>0</v>
      </c>
      <c r="O420" s="93">
        <f t="shared" si="184"/>
        <v>0</v>
      </c>
      <c r="P420" s="93">
        <f t="shared" si="185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536"/>
      <c r="E421" s="222" t="s">
        <v>185</v>
      </c>
      <c r="F421" s="40"/>
      <c r="G421" s="157"/>
      <c r="H421" s="165" t="s">
        <v>12</v>
      </c>
      <c r="I421" s="583"/>
      <c r="J421" s="583"/>
      <c r="K421" s="93"/>
      <c r="L421" s="93">
        <f t="shared" ca="1" si="186"/>
        <v>78660</v>
      </c>
      <c r="M421" s="93">
        <f t="shared" si="186"/>
        <v>0</v>
      </c>
      <c r="N421" s="93">
        <f t="shared" si="186"/>
        <v>0</v>
      </c>
      <c r="O421" s="93">
        <f t="shared" ca="1" si="184"/>
        <v>0</v>
      </c>
      <c r="P421" s="93">
        <f t="shared" si="185"/>
        <v>0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0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65">
        <f t="shared" ref="L422:N422" ca="1" si="187">L423+L424</f>
        <v>78660</v>
      </c>
      <c r="M422" s="465">
        <f t="shared" si="187"/>
        <v>0</v>
      </c>
      <c r="N422" s="465">
        <f t="shared" si="187"/>
        <v>0</v>
      </c>
      <c r="O422" s="465">
        <f t="shared" ca="1" si="184"/>
        <v>0</v>
      </c>
      <c r="P422" s="465">
        <f t="shared" si="185"/>
        <v>0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536"/>
      <c r="E423" s="222" t="s">
        <v>184</v>
      </c>
      <c r="F423" s="40"/>
      <c r="G423" s="157"/>
      <c r="H423" s="165" t="s">
        <v>12</v>
      </c>
      <c r="I423" s="583"/>
      <c r="J423" s="583"/>
      <c r="K423" s="93"/>
      <c r="L423" s="93">
        <v>0</v>
      </c>
      <c r="M423" s="93">
        <v>0</v>
      </c>
      <c r="N423" s="93">
        <v>0</v>
      </c>
      <c r="O423" s="93">
        <f t="shared" si="184"/>
        <v>0</v>
      </c>
      <c r="P423" s="93">
        <f t="shared" si="185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536"/>
      <c r="E424" s="222" t="s">
        <v>185</v>
      </c>
      <c r="F424" s="40"/>
      <c r="G424" s="157"/>
      <c r="H424" s="165" t="s">
        <v>12</v>
      </c>
      <c r="I424" s="583"/>
      <c r="J424" s="583"/>
      <c r="K424" s="93"/>
      <c r="L424" s="93">
        <f ca="1">IFERROR(__xludf.DUMMYFUNCTION("IMPORTRANGE(""https://docs.google.com/spreadsheets/d/1QqKyyYR6Q21VydFLVH3TRQUabQu_ym0Zz7PgGX0-kHA/edit?usp=sharing"",""แผน!EY30"")"),78660)</f>
        <v>78660</v>
      </c>
      <c r="M424" s="93">
        <v>0</v>
      </c>
      <c r="N424" s="93">
        <f>N425+N426+N427+N428</f>
        <v>0</v>
      </c>
      <c r="O424" s="93">
        <f t="shared" ca="1" si="184"/>
        <v>0</v>
      </c>
      <c r="P424" s="93">
        <f t="shared" si="185"/>
        <v>0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37"/>
      <c r="B425" s="538"/>
      <c r="C425" s="727"/>
      <c r="D425" s="727"/>
      <c r="E425" s="727"/>
      <c r="F425" s="727" t="s">
        <v>186</v>
      </c>
      <c r="G425" s="189"/>
      <c r="H425" s="161" t="s">
        <v>12</v>
      </c>
      <c r="I425" s="269"/>
      <c r="J425" s="269"/>
      <c r="K425" s="465"/>
      <c r="L425" s="465"/>
      <c r="M425" s="465"/>
      <c r="N425" s="789">
        <v>0</v>
      </c>
      <c r="O425" s="465"/>
      <c r="P425" s="465"/>
      <c r="Q425" s="541"/>
      <c r="R425" s="541"/>
      <c r="S425" s="541"/>
      <c r="T425" s="541"/>
      <c r="U425" s="541"/>
      <c r="V425" s="541"/>
      <c r="W425" s="541"/>
      <c r="X425" s="541"/>
      <c r="Y425" s="541"/>
      <c r="Z425" s="541"/>
    </row>
    <row r="426" spans="1:26" ht="18.75">
      <c r="A426" s="537"/>
      <c r="B426" s="538"/>
      <c r="C426" s="727"/>
      <c r="D426" s="727"/>
      <c r="E426" s="727"/>
      <c r="F426" s="727" t="s">
        <v>187</v>
      </c>
      <c r="G426" s="189"/>
      <c r="H426" s="161" t="s">
        <v>12</v>
      </c>
      <c r="I426" s="269"/>
      <c r="J426" s="269"/>
      <c r="K426" s="465"/>
      <c r="L426" s="465"/>
      <c r="M426" s="465"/>
      <c r="N426" s="789">
        <v>0</v>
      </c>
      <c r="O426" s="465"/>
      <c r="P426" s="465"/>
      <c r="Q426" s="541"/>
      <c r="R426" s="541"/>
      <c r="S426" s="541"/>
      <c r="T426" s="541"/>
      <c r="U426" s="541"/>
      <c r="V426" s="541"/>
      <c r="W426" s="541"/>
      <c r="X426" s="541"/>
      <c r="Y426" s="541"/>
      <c r="Z426" s="541"/>
    </row>
    <row r="427" spans="1:26" ht="18.75">
      <c r="A427" s="537"/>
      <c r="B427" s="538"/>
      <c r="C427" s="727"/>
      <c r="D427" s="727"/>
      <c r="E427" s="727"/>
      <c r="F427" s="727" t="s">
        <v>188</v>
      </c>
      <c r="G427" s="189"/>
      <c r="H427" s="161" t="s">
        <v>12</v>
      </c>
      <c r="I427" s="269"/>
      <c r="J427" s="269"/>
      <c r="K427" s="465"/>
      <c r="L427" s="465"/>
      <c r="M427" s="465"/>
      <c r="N427" s="789">
        <v>0</v>
      </c>
      <c r="O427" s="465"/>
      <c r="P427" s="465"/>
      <c r="Q427" s="541"/>
      <c r="R427" s="541"/>
      <c r="S427" s="541"/>
      <c r="T427" s="541"/>
      <c r="U427" s="541"/>
      <c r="V427" s="541"/>
      <c r="W427" s="541"/>
      <c r="X427" s="541"/>
      <c r="Y427" s="541"/>
      <c r="Z427" s="541"/>
    </row>
    <row r="428" spans="1:26" ht="18.75">
      <c r="A428" s="283"/>
      <c r="B428" s="280"/>
      <c r="C428" s="33"/>
      <c r="D428" s="33"/>
      <c r="E428" s="33"/>
      <c r="F428" s="281" t="s">
        <v>189</v>
      </c>
      <c r="G428" s="213"/>
      <c r="H428" s="161" t="s">
        <v>12</v>
      </c>
      <c r="I428" s="269"/>
      <c r="J428" s="269"/>
      <c r="K428" s="465"/>
      <c r="L428" s="465"/>
      <c r="M428" s="465"/>
      <c r="N428" s="789">
        <v>0</v>
      </c>
      <c r="O428" s="465"/>
      <c r="P428" s="465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0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65">
        <f t="shared" ref="L429:N429" ca="1" si="188">L430+L431</f>
        <v>0</v>
      </c>
      <c r="M429" s="465">
        <f t="shared" si="188"/>
        <v>0</v>
      </c>
      <c r="N429" s="465">
        <f t="shared" si="188"/>
        <v>0</v>
      </c>
      <c r="O429" s="465">
        <f t="shared" ref="O429:O431" ca="1" si="189">IF(L429&gt;0,N429*100/L429,0)</f>
        <v>0</v>
      </c>
      <c r="P429" s="465">
        <f t="shared" ref="P429:P431" si="190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542"/>
      <c r="C430" s="40"/>
      <c r="D430" s="40"/>
      <c r="E430" s="222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89"/>
        <v>0</v>
      </c>
      <c r="P430" s="93">
        <f t="shared" si="190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542"/>
      <c r="C431" s="40"/>
      <c r="D431" s="40"/>
      <c r="E431" s="222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IFERROR(__xludf.DUMMYFUNCTION("IMPORTRANGE(""https://docs.google.com/spreadsheets/d/1QqKyyYR6Q21VydFLVH3TRQUabQu_ym0Zz7PgGX0-kHA/edit?usp=sharing"",""แผน!FB30"")"),0)</f>
        <v>0</v>
      </c>
      <c r="M431" s="93">
        <v>0</v>
      </c>
      <c r="N431" s="93">
        <v>0</v>
      </c>
      <c r="O431" s="93">
        <f t="shared" ca="1" si="189"/>
        <v>0</v>
      </c>
      <c r="P431" s="93">
        <f t="shared" si="190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382"/>
      <c r="B432" s="383"/>
      <c r="C432" s="148" t="s">
        <v>16</v>
      </c>
      <c r="D432" s="849" t="s">
        <v>38</v>
      </c>
      <c r="E432" s="544"/>
      <c r="F432" s="544"/>
      <c r="G432" s="545"/>
      <c r="H432" s="546"/>
      <c r="I432" s="388"/>
      <c r="J432" s="388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190</v>
      </c>
      <c r="E433" s="342"/>
      <c r="F433" s="342"/>
      <c r="G433" s="179"/>
      <c r="H433" s="196" t="s">
        <v>35</v>
      </c>
      <c r="I433" s="647">
        <f ca="1">I435</f>
        <v>20</v>
      </c>
      <c r="J433" s="647">
        <f ca="1">IF(AND(J435=I435,J437=I437,J439=I439),I437+I439,IF(AND(J435=I437,J437=I437),I437,IF(AND(J435=I439,J439=I439),I439,0)))</f>
        <v>0</v>
      </c>
      <c r="K433" s="195">
        <f t="shared" ref="K433:K435" ca="1" si="191">IF(I433&gt;0,J433*100/I433,0)</f>
        <v>0</v>
      </c>
      <c r="L433" s="465"/>
      <c r="M433" s="465"/>
      <c r="N433" s="465"/>
      <c r="O433" s="465"/>
      <c r="P433" s="465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191</v>
      </c>
      <c r="E434" s="342"/>
      <c r="F434" s="342"/>
      <c r="G434" s="179"/>
      <c r="H434" s="196" t="s">
        <v>49</v>
      </c>
      <c r="I434" s="647">
        <f t="shared" ref="I434:J434" ca="1" si="192">I438+I440</f>
        <v>1</v>
      </c>
      <c r="J434" s="647">
        <f t="shared" si="192"/>
        <v>0</v>
      </c>
      <c r="K434" s="195">
        <f t="shared" ca="1" si="191"/>
        <v>0</v>
      </c>
      <c r="L434" s="465"/>
      <c r="M434" s="465"/>
      <c r="N434" s="465"/>
      <c r="O434" s="465"/>
      <c r="P434" s="465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15" t="s">
        <v>192</v>
      </c>
      <c r="E435" s="342"/>
      <c r="F435" s="342"/>
      <c r="G435" s="179"/>
      <c r="H435" s="589" t="s">
        <v>35</v>
      </c>
      <c r="I435" s="547">
        <f ca="1">IFERROR(__xludf.DUMMYFUNCTION("IMPORTRANGE(""https://docs.google.com/spreadsheets/d/1QqKyyYR6Q21VydFLVH3TRQUabQu_ym0Zz7PgGX0-kHA/edit?usp=sharing"",""แผน!FC30"")"),20)</f>
        <v>20</v>
      </c>
      <c r="J435" s="548">
        <v>0</v>
      </c>
      <c r="K435" s="465">
        <f t="shared" ca="1" si="191"/>
        <v>0</v>
      </c>
      <c r="L435" s="465"/>
      <c r="M435" s="465"/>
      <c r="N435" s="465"/>
      <c r="O435" s="465"/>
      <c r="P435" s="465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15" t="s">
        <v>193</v>
      </c>
      <c r="E436" s="342"/>
      <c r="F436" s="342"/>
      <c r="G436" s="179"/>
      <c r="H436" s="589"/>
      <c r="I436" s="269"/>
      <c r="J436" s="269"/>
      <c r="K436" s="465"/>
      <c r="L436" s="465"/>
      <c r="M436" s="465"/>
      <c r="N436" s="465"/>
      <c r="O436" s="465"/>
      <c r="P436" s="465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15" t="s">
        <v>194</v>
      </c>
      <c r="E437" s="342"/>
      <c r="F437" s="342"/>
      <c r="G437" s="179"/>
      <c r="H437" s="589" t="s">
        <v>35</v>
      </c>
      <c r="I437" s="547">
        <f ca="1">IFERROR(__xludf.DUMMYFUNCTION("IMPORTRANGE(""https://docs.google.com/spreadsheets/d/1QqKyyYR6Q21VydFLVH3TRQUabQu_ym0Zz7PgGX0-kHA/edit?usp=sharing"",""แผน!FD30"")"),0)</f>
        <v>0</v>
      </c>
      <c r="J437" s="548">
        <v>0</v>
      </c>
      <c r="K437" s="465">
        <f t="shared" ref="K437:K443" ca="1" si="193">IF(I437&gt;0,J437*100/I437,0)</f>
        <v>0</v>
      </c>
      <c r="L437" s="465"/>
      <c r="M437" s="465"/>
      <c r="N437" s="465"/>
      <c r="O437" s="465"/>
      <c r="P437" s="465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15" t="s">
        <v>195</v>
      </c>
      <c r="E438" s="342"/>
      <c r="F438" s="342"/>
      <c r="G438" s="179"/>
      <c r="H438" s="589" t="s">
        <v>49</v>
      </c>
      <c r="I438" s="269">
        <f ca="1">IFERROR(__xludf.DUMMYFUNCTION("IMPORTRANGE(""https://docs.google.com/spreadsheets/d/1QqKyyYR6Q21VydFLVH3TRQUabQu_ym0Zz7PgGX0-kHA/edit?usp=sharing"",""แผน!FE30"")"),0)</f>
        <v>0</v>
      </c>
      <c r="J438" s="214">
        <v>0</v>
      </c>
      <c r="K438" s="465">
        <f t="shared" ca="1" si="193"/>
        <v>0</v>
      </c>
      <c r="L438" s="465"/>
      <c r="M438" s="465"/>
      <c r="N438" s="465"/>
      <c r="O438" s="465"/>
      <c r="P438" s="465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15" t="s">
        <v>196</v>
      </c>
      <c r="E439" s="342"/>
      <c r="F439" s="342"/>
      <c r="G439" s="179"/>
      <c r="H439" s="589" t="s">
        <v>35</v>
      </c>
      <c r="I439" s="547">
        <f ca="1">IFERROR(__xludf.DUMMYFUNCTION("IMPORTRANGE(""https://docs.google.com/spreadsheets/d/1QqKyyYR6Q21VydFLVH3TRQUabQu_ym0Zz7PgGX0-kHA/edit?usp=sharing"",""แผน!FF30"")"),20)</f>
        <v>20</v>
      </c>
      <c r="J439" s="548">
        <v>0</v>
      </c>
      <c r="K439" s="465">
        <f t="shared" ca="1" si="193"/>
        <v>0</v>
      </c>
      <c r="L439" s="465"/>
      <c r="M439" s="465"/>
      <c r="N439" s="465"/>
      <c r="O439" s="465"/>
      <c r="P439" s="465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15" t="s">
        <v>197</v>
      </c>
      <c r="E440" s="342"/>
      <c r="F440" s="342"/>
      <c r="G440" s="179"/>
      <c r="H440" s="589" t="s">
        <v>49</v>
      </c>
      <c r="I440" s="269">
        <f ca="1">IFERROR(__xludf.DUMMYFUNCTION("IMPORTRANGE(""https://docs.google.com/spreadsheets/d/1QqKyyYR6Q21VydFLVH3TRQUabQu_ym0Zz7PgGX0-kHA/edit?usp=sharing"",""แผน!FG30"")"),1)</f>
        <v>1</v>
      </c>
      <c r="J440" s="214">
        <v>0</v>
      </c>
      <c r="K440" s="465">
        <f t="shared" ca="1" si="193"/>
        <v>0</v>
      </c>
      <c r="L440" s="465"/>
      <c r="M440" s="465"/>
      <c r="N440" s="465"/>
      <c r="O440" s="465"/>
      <c r="P440" s="465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 hidden="1">
      <c r="A441" s="170"/>
      <c r="B441" s="171"/>
      <c r="C441" s="171"/>
      <c r="D441" s="415" t="s">
        <v>198</v>
      </c>
      <c r="E441" s="342"/>
      <c r="F441" s="342"/>
      <c r="G441" s="179"/>
      <c r="H441" s="589" t="s">
        <v>35</v>
      </c>
      <c r="I441" s="269">
        <f ca="1">IFERROR(__xludf.DUMMYFUNCTION("IMPORTRANGE(""https://docs.google.com/spreadsheets/d/1QqKyyYR6Q21VydFLVH3TRQUabQu_ym0Zz7PgGX0-kHA/edit?usp=sharing"",""แผน!FH30"")"),0)</f>
        <v>0</v>
      </c>
      <c r="J441" s="269">
        <v>0</v>
      </c>
      <c r="K441" s="465">
        <f t="shared" ca="1" si="193"/>
        <v>0</v>
      </c>
      <c r="L441" s="465"/>
      <c r="M441" s="465"/>
      <c r="N441" s="465"/>
      <c r="O441" s="465"/>
      <c r="P441" s="465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49">
        <v>2</v>
      </c>
      <c r="B442" s="550" t="s">
        <v>199</v>
      </c>
      <c r="C442" s="551"/>
      <c r="D442" s="551"/>
      <c r="E442" s="551"/>
      <c r="F442" s="551"/>
      <c r="G442" s="552"/>
      <c r="H442" s="553" t="s">
        <v>35</v>
      </c>
      <c r="I442" s="554">
        <f t="shared" ref="I442:J442" ca="1" si="194">I460</f>
        <v>60</v>
      </c>
      <c r="J442" s="554">
        <f t="shared" si="194"/>
        <v>60</v>
      </c>
      <c r="K442" s="555">
        <f t="shared" ca="1" si="193"/>
        <v>100</v>
      </c>
      <c r="L442" s="556"/>
      <c r="M442" s="556"/>
      <c r="N442" s="556"/>
      <c r="O442" s="556"/>
      <c r="P442" s="556"/>
      <c r="Q442" s="541"/>
      <c r="R442" s="541"/>
      <c r="S442" s="541"/>
      <c r="T442" s="541"/>
      <c r="U442" s="541"/>
      <c r="V442" s="541"/>
      <c r="W442" s="541"/>
      <c r="X442" s="541"/>
      <c r="Y442" s="541"/>
      <c r="Z442" s="541"/>
    </row>
    <row r="443" spans="1:26" ht="19.5">
      <c r="A443" s="557"/>
      <c r="B443" s="558"/>
      <c r="C443" s="559"/>
      <c r="D443" s="559"/>
      <c r="E443" s="559"/>
      <c r="F443" s="559"/>
      <c r="G443" s="560"/>
      <c r="H443" s="531" t="s">
        <v>46</v>
      </c>
      <c r="I443" s="532">
        <f t="shared" ref="I443:J443" ca="1" si="195">I462</f>
        <v>100</v>
      </c>
      <c r="J443" s="532">
        <f t="shared" si="195"/>
        <v>100</v>
      </c>
      <c r="K443" s="533">
        <f t="shared" ca="1" si="193"/>
        <v>100</v>
      </c>
      <c r="L443" s="534"/>
      <c r="M443" s="534"/>
      <c r="N443" s="534"/>
      <c r="O443" s="534"/>
      <c r="P443" s="534"/>
      <c r="Q443" s="541"/>
      <c r="R443" s="541"/>
      <c r="S443" s="541"/>
      <c r="T443" s="541"/>
      <c r="U443" s="541"/>
      <c r="V443" s="541"/>
      <c r="W443" s="541"/>
      <c r="X443" s="541"/>
      <c r="Y443" s="541"/>
      <c r="Z443" s="541"/>
    </row>
    <row r="444" spans="1:26" ht="19.5">
      <c r="A444" s="561"/>
      <c r="B444" s="727"/>
      <c r="C444" s="727" t="s">
        <v>16</v>
      </c>
      <c r="D444" s="811" t="s">
        <v>17</v>
      </c>
      <c r="E444" s="805"/>
      <c r="F444" s="805"/>
      <c r="G444" s="189"/>
      <c r="H444" s="562" t="s">
        <v>12</v>
      </c>
      <c r="I444" s="269"/>
      <c r="J444" s="269"/>
      <c r="K444" s="465"/>
      <c r="L444" s="195">
        <f t="shared" ref="L444:N444" ca="1" si="196">L445+L446</f>
        <v>370600</v>
      </c>
      <c r="M444" s="195">
        <f t="shared" si="196"/>
        <v>0</v>
      </c>
      <c r="N444" s="195">
        <f t="shared" si="196"/>
        <v>0</v>
      </c>
      <c r="O444" s="195">
        <f t="shared" ref="O444:O449" ca="1" si="197">IF(L444&gt;0,N444*100/L444,0)</f>
        <v>0</v>
      </c>
      <c r="P444" s="195">
        <f t="shared" ref="P444:P449" si="198">IF(M444&gt;0,N444*100/M444,0)</f>
        <v>0</v>
      </c>
      <c r="Q444" s="541"/>
      <c r="R444" s="541"/>
      <c r="S444" s="541"/>
      <c r="T444" s="541"/>
      <c r="U444" s="541"/>
      <c r="V444" s="541"/>
      <c r="W444" s="541"/>
      <c r="X444" s="541"/>
      <c r="Y444" s="541"/>
      <c r="Z444" s="541"/>
    </row>
    <row r="445" spans="1:26" ht="18.75" hidden="1">
      <c r="A445" s="563"/>
      <c r="B445" s="723"/>
      <c r="C445" s="723"/>
      <c r="D445" s="684"/>
      <c r="E445" s="723" t="s">
        <v>184</v>
      </c>
      <c r="F445" s="723"/>
      <c r="G445" s="567"/>
      <c r="H445" s="165" t="s">
        <v>12</v>
      </c>
      <c r="I445" s="583"/>
      <c r="J445" s="583"/>
      <c r="K445" s="93"/>
      <c r="L445" s="93">
        <f t="shared" ref="L445:N446" si="199">L448+L455</f>
        <v>0</v>
      </c>
      <c r="M445" s="93">
        <f t="shared" si="199"/>
        <v>0</v>
      </c>
      <c r="N445" s="93">
        <f t="shared" si="199"/>
        <v>0</v>
      </c>
      <c r="O445" s="93">
        <f t="shared" si="197"/>
        <v>0</v>
      </c>
      <c r="P445" s="93">
        <f t="shared" si="198"/>
        <v>0</v>
      </c>
      <c r="Q445" s="568"/>
      <c r="R445" s="568"/>
      <c r="S445" s="568"/>
      <c r="T445" s="568"/>
      <c r="U445" s="568"/>
      <c r="V445" s="568"/>
      <c r="W445" s="568"/>
      <c r="X445" s="568"/>
      <c r="Y445" s="568"/>
      <c r="Z445" s="568"/>
    </row>
    <row r="446" spans="1:26" ht="18.75" hidden="1">
      <c r="A446" s="563"/>
      <c r="B446" s="571"/>
      <c r="C446" s="723"/>
      <c r="D446" s="684"/>
      <c r="E446" s="723" t="s">
        <v>185</v>
      </c>
      <c r="F446" s="723"/>
      <c r="G446" s="567"/>
      <c r="H446" s="165" t="s">
        <v>12</v>
      </c>
      <c r="I446" s="583"/>
      <c r="J446" s="583"/>
      <c r="K446" s="93"/>
      <c r="L446" s="93">
        <f t="shared" ca="1" si="199"/>
        <v>370600</v>
      </c>
      <c r="M446" s="93">
        <f t="shared" si="199"/>
        <v>0</v>
      </c>
      <c r="N446" s="93">
        <f t="shared" si="199"/>
        <v>0</v>
      </c>
      <c r="O446" s="93">
        <f t="shared" ca="1" si="197"/>
        <v>0</v>
      </c>
      <c r="P446" s="93">
        <f t="shared" si="198"/>
        <v>0</v>
      </c>
      <c r="Q446" s="568"/>
      <c r="R446" s="568"/>
      <c r="S446" s="568"/>
      <c r="T446" s="568"/>
      <c r="U446" s="568"/>
      <c r="V446" s="568"/>
      <c r="W446" s="568"/>
      <c r="X446" s="568"/>
      <c r="Y446" s="568"/>
      <c r="Z446" s="568"/>
    </row>
    <row r="447" spans="1:26" ht="18.75">
      <c r="A447" s="561"/>
      <c r="B447" s="538"/>
      <c r="C447" s="727"/>
      <c r="D447" s="570" t="s">
        <v>20</v>
      </c>
      <c r="E447" s="727"/>
      <c r="F447" s="727"/>
      <c r="G447" s="189"/>
      <c r="H447" s="161" t="s">
        <v>12</v>
      </c>
      <c r="I447" s="184"/>
      <c r="J447" s="184"/>
      <c r="K447" s="163"/>
      <c r="L447" s="465">
        <f t="shared" ref="L447:N447" ca="1" si="200">L448+L449</f>
        <v>370600</v>
      </c>
      <c r="M447" s="465">
        <f t="shared" si="200"/>
        <v>0</v>
      </c>
      <c r="N447" s="465">
        <f t="shared" si="200"/>
        <v>0</v>
      </c>
      <c r="O447" s="465">
        <f t="shared" ca="1" si="197"/>
        <v>0</v>
      </c>
      <c r="P447" s="465">
        <f t="shared" si="198"/>
        <v>0</v>
      </c>
      <c r="Q447" s="541"/>
      <c r="R447" s="541"/>
      <c r="S447" s="541"/>
      <c r="T447" s="541"/>
      <c r="U447" s="541"/>
      <c r="V447" s="541"/>
      <c r="W447" s="541"/>
      <c r="X447" s="541"/>
      <c r="Y447" s="541"/>
      <c r="Z447" s="541"/>
    </row>
    <row r="448" spans="1:26" ht="18.75" hidden="1">
      <c r="A448" s="563"/>
      <c r="B448" s="571"/>
      <c r="C448" s="723"/>
      <c r="D448" s="684"/>
      <c r="E448" s="723" t="s">
        <v>184</v>
      </c>
      <c r="F448" s="723"/>
      <c r="G448" s="567"/>
      <c r="H448" s="165" t="s">
        <v>12</v>
      </c>
      <c r="I448" s="583"/>
      <c r="J448" s="583"/>
      <c r="K448" s="93"/>
      <c r="L448" s="93">
        <v>0</v>
      </c>
      <c r="M448" s="93">
        <v>0</v>
      </c>
      <c r="N448" s="93">
        <v>0</v>
      </c>
      <c r="O448" s="93">
        <f t="shared" si="197"/>
        <v>0</v>
      </c>
      <c r="P448" s="93">
        <f t="shared" si="198"/>
        <v>0</v>
      </c>
      <c r="Q448" s="568"/>
      <c r="R448" s="568"/>
      <c r="S448" s="568"/>
      <c r="T448" s="568"/>
      <c r="U448" s="568"/>
      <c r="V448" s="568"/>
      <c r="W448" s="568"/>
      <c r="X448" s="568"/>
      <c r="Y448" s="568"/>
      <c r="Z448" s="568"/>
    </row>
    <row r="449" spans="1:26" ht="18.75" hidden="1">
      <c r="A449" s="563"/>
      <c r="B449" s="571"/>
      <c r="C449" s="723"/>
      <c r="D449" s="684"/>
      <c r="E449" s="723" t="s">
        <v>185</v>
      </c>
      <c r="F449" s="723"/>
      <c r="G449" s="567"/>
      <c r="H449" s="165" t="s">
        <v>12</v>
      </c>
      <c r="I449" s="583"/>
      <c r="J449" s="583"/>
      <c r="K449" s="93"/>
      <c r="L449" s="93">
        <f ca="1">IFERROR(__xludf.DUMMYFUNCTION("IMPORTRANGE(""https://docs.google.com/spreadsheets/d/1QqKyyYR6Q21VydFLVH3TRQUabQu_ym0Zz7PgGX0-kHA/edit?usp=sharing"",""แผน!FJ30"")"),370600)</f>
        <v>370600</v>
      </c>
      <c r="M449" s="93">
        <v>0</v>
      </c>
      <c r="N449" s="93">
        <f>N450+N451+N452+N453</f>
        <v>0</v>
      </c>
      <c r="O449" s="93">
        <f t="shared" ca="1" si="197"/>
        <v>0</v>
      </c>
      <c r="P449" s="93">
        <f t="shared" si="198"/>
        <v>0</v>
      </c>
      <c r="Q449" s="568"/>
      <c r="R449" s="568"/>
      <c r="S449" s="568"/>
      <c r="T449" s="568"/>
      <c r="U449" s="568"/>
      <c r="V449" s="568"/>
      <c r="W449" s="568"/>
      <c r="X449" s="568"/>
      <c r="Y449" s="568"/>
      <c r="Z449" s="568"/>
    </row>
    <row r="450" spans="1:26" ht="18.75">
      <c r="A450" s="537"/>
      <c r="B450" s="538"/>
      <c r="C450" s="727"/>
      <c r="D450" s="727"/>
      <c r="E450" s="727"/>
      <c r="F450" s="727" t="s">
        <v>186</v>
      </c>
      <c r="G450" s="189"/>
      <c r="H450" s="161" t="s">
        <v>12</v>
      </c>
      <c r="I450" s="269"/>
      <c r="J450" s="269"/>
      <c r="K450" s="465"/>
      <c r="L450" s="465"/>
      <c r="M450" s="465"/>
      <c r="N450" s="789">
        <v>0</v>
      </c>
      <c r="O450" s="465"/>
      <c r="P450" s="465"/>
      <c r="Q450" s="541"/>
      <c r="R450" s="541"/>
      <c r="S450" s="541"/>
      <c r="T450" s="541"/>
      <c r="U450" s="541"/>
      <c r="V450" s="541"/>
      <c r="W450" s="541"/>
      <c r="X450" s="541"/>
      <c r="Y450" s="541"/>
      <c r="Z450" s="541"/>
    </row>
    <row r="451" spans="1:26" ht="18.75">
      <c r="A451" s="537"/>
      <c r="B451" s="538"/>
      <c r="C451" s="727"/>
      <c r="D451" s="727"/>
      <c r="E451" s="727"/>
      <c r="F451" s="727" t="s">
        <v>187</v>
      </c>
      <c r="G451" s="189"/>
      <c r="H451" s="161" t="s">
        <v>12</v>
      </c>
      <c r="I451" s="269"/>
      <c r="J451" s="269"/>
      <c r="K451" s="465"/>
      <c r="L451" s="465"/>
      <c r="M451" s="465"/>
      <c r="N451" s="789">
        <v>0</v>
      </c>
      <c r="O451" s="465"/>
      <c r="P451" s="465"/>
      <c r="Q451" s="541"/>
      <c r="R451" s="541"/>
      <c r="S451" s="541"/>
      <c r="T451" s="541"/>
      <c r="U451" s="541"/>
      <c r="V451" s="541"/>
      <c r="W451" s="541"/>
      <c r="X451" s="541"/>
      <c r="Y451" s="541"/>
      <c r="Z451" s="541"/>
    </row>
    <row r="452" spans="1:26" ht="18.75">
      <c r="A452" s="537"/>
      <c r="B452" s="538"/>
      <c r="C452" s="538"/>
      <c r="D452" s="538"/>
      <c r="E452" s="538"/>
      <c r="F452" s="727" t="s">
        <v>188</v>
      </c>
      <c r="G452" s="189"/>
      <c r="H452" s="161" t="s">
        <v>12</v>
      </c>
      <c r="I452" s="269"/>
      <c r="J452" s="269"/>
      <c r="K452" s="465"/>
      <c r="L452" s="465"/>
      <c r="M452" s="465"/>
      <c r="N452" s="789">
        <v>0</v>
      </c>
      <c r="O452" s="465"/>
      <c r="P452" s="465"/>
      <c r="Q452" s="541"/>
      <c r="R452" s="541"/>
      <c r="S452" s="541"/>
      <c r="T452" s="541"/>
      <c r="U452" s="541"/>
      <c r="V452" s="541"/>
      <c r="W452" s="541"/>
      <c r="X452" s="541"/>
      <c r="Y452" s="541"/>
      <c r="Z452" s="541"/>
    </row>
    <row r="453" spans="1:26" ht="18.75">
      <c r="A453" s="537"/>
      <c r="B453" s="538"/>
      <c r="C453" s="538"/>
      <c r="D453" s="538"/>
      <c r="E453" s="538"/>
      <c r="F453" s="727" t="s">
        <v>189</v>
      </c>
      <c r="G453" s="189"/>
      <c r="H453" s="161" t="s">
        <v>12</v>
      </c>
      <c r="I453" s="269"/>
      <c r="J453" s="269"/>
      <c r="K453" s="465"/>
      <c r="L453" s="465"/>
      <c r="M453" s="465"/>
      <c r="N453" s="789">
        <v>0</v>
      </c>
      <c r="O453" s="465"/>
      <c r="P453" s="465"/>
      <c r="Q453" s="541"/>
      <c r="R453" s="541"/>
      <c r="S453" s="541"/>
      <c r="T453" s="541"/>
      <c r="U453" s="541"/>
      <c r="V453" s="541"/>
      <c r="W453" s="541"/>
      <c r="X453" s="541"/>
      <c r="Y453" s="541"/>
      <c r="Z453" s="541"/>
    </row>
    <row r="454" spans="1:26" ht="18.75">
      <c r="A454" s="561"/>
      <c r="B454" s="538"/>
      <c r="C454" s="538"/>
      <c r="D454" s="570" t="s">
        <v>21</v>
      </c>
      <c r="E454" s="538"/>
      <c r="F454" s="727"/>
      <c r="G454" s="189"/>
      <c r="H454" s="168" t="s">
        <v>12</v>
      </c>
      <c r="I454" s="184"/>
      <c r="J454" s="184"/>
      <c r="K454" s="163"/>
      <c r="L454" s="465">
        <f t="shared" ref="L454:N454" ca="1" si="201">L455+L456</f>
        <v>0</v>
      </c>
      <c r="M454" s="465">
        <f t="shared" si="201"/>
        <v>0</v>
      </c>
      <c r="N454" s="465">
        <f t="shared" si="201"/>
        <v>0</v>
      </c>
      <c r="O454" s="465">
        <f t="shared" ref="O454:O456" ca="1" si="202">IF(L454&gt;0,N454*100/L454,0)</f>
        <v>0</v>
      </c>
      <c r="P454" s="465">
        <f t="shared" ref="P454:P456" si="203">IF(M454&gt;0,N454*100/M454,0)</f>
        <v>0</v>
      </c>
      <c r="Q454" s="541"/>
      <c r="R454" s="541"/>
      <c r="S454" s="541"/>
      <c r="T454" s="541"/>
      <c r="U454" s="541"/>
      <c r="V454" s="541"/>
      <c r="W454" s="541"/>
      <c r="X454" s="541"/>
      <c r="Y454" s="541"/>
      <c r="Z454" s="541"/>
    </row>
    <row r="455" spans="1:26" ht="18.75" hidden="1">
      <c r="A455" s="563"/>
      <c r="B455" s="571"/>
      <c r="C455" s="571"/>
      <c r="D455" s="571"/>
      <c r="E455" s="571" t="s">
        <v>18</v>
      </c>
      <c r="F455" s="723"/>
      <c r="G455" s="567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2"/>
        <v>0</v>
      </c>
      <c r="P455" s="93">
        <f t="shared" si="203"/>
        <v>0</v>
      </c>
      <c r="Q455" s="568"/>
      <c r="R455" s="568"/>
      <c r="S455" s="568"/>
      <c r="T455" s="568"/>
      <c r="U455" s="568"/>
      <c r="V455" s="568"/>
      <c r="W455" s="568"/>
      <c r="X455" s="568"/>
      <c r="Y455" s="568"/>
      <c r="Z455" s="568"/>
    </row>
    <row r="456" spans="1:26" ht="18.75" hidden="1">
      <c r="A456" s="563"/>
      <c r="B456" s="571"/>
      <c r="C456" s="571"/>
      <c r="D456" s="571"/>
      <c r="E456" s="571" t="s">
        <v>19</v>
      </c>
      <c r="F456" s="723"/>
      <c r="G456" s="567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IFERROR(__xludf.DUMMYFUNCTION("IMPORTRANGE(""https://docs.google.com/spreadsheets/d/1QqKyyYR6Q21VydFLVH3TRQUabQu_ym0Zz7PgGX0-kHA/edit?usp=sharing"",""แผน!FM30"")"),0)</f>
        <v>0</v>
      </c>
      <c r="M456" s="93">
        <v>0</v>
      </c>
      <c r="N456" s="93">
        <v>0</v>
      </c>
      <c r="O456" s="93">
        <f t="shared" ca="1" si="202"/>
        <v>0</v>
      </c>
      <c r="P456" s="93">
        <f t="shared" si="203"/>
        <v>0</v>
      </c>
      <c r="Q456" s="568"/>
      <c r="R456" s="568"/>
      <c r="S456" s="568"/>
      <c r="T456" s="568"/>
      <c r="U456" s="568"/>
      <c r="V456" s="568"/>
      <c r="W456" s="568"/>
      <c r="X456" s="568"/>
      <c r="Y456" s="568"/>
      <c r="Z456" s="568"/>
    </row>
    <row r="457" spans="1:26" ht="19.5">
      <c r="A457" s="572"/>
      <c r="B457" s="584"/>
      <c r="C457" s="538" t="s">
        <v>16</v>
      </c>
      <c r="D457" s="850" t="s">
        <v>38</v>
      </c>
      <c r="E457" s="575"/>
      <c r="F457" s="725"/>
      <c r="G457" s="577"/>
      <c r="H457" s="726"/>
      <c r="I457" s="269"/>
      <c r="J457" s="269"/>
      <c r="K457" s="465"/>
      <c r="L457" s="465"/>
      <c r="M457" s="465"/>
      <c r="N457" s="465"/>
      <c r="O457" s="465"/>
      <c r="P457" s="465"/>
      <c r="Q457" s="541"/>
      <c r="R457" s="541"/>
      <c r="S457" s="541"/>
      <c r="T457" s="541"/>
      <c r="U457" s="541"/>
      <c r="V457" s="541"/>
      <c r="W457" s="541"/>
      <c r="X457" s="541"/>
      <c r="Y457" s="541"/>
      <c r="Z457" s="541"/>
    </row>
    <row r="458" spans="1:26" ht="18.75" hidden="1">
      <c r="A458" s="578"/>
      <c r="B458" s="580"/>
      <c r="C458" s="580"/>
      <c r="D458" s="580" t="s">
        <v>200</v>
      </c>
      <c r="E458" s="580"/>
      <c r="F458" s="684"/>
      <c r="G458" s="581"/>
      <c r="H458" s="582" t="s">
        <v>35</v>
      </c>
      <c r="I458" s="583">
        <v>0</v>
      </c>
      <c r="J458" s="583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568"/>
      <c r="R458" s="568"/>
      <c r="S458" s="568"/>
      <c r="T458" s="568"/>
      <c r="U458" s="568"/>
      <c r="V458" s="568"/>
      <c r="W458" s="568"/>
      <c r="X458" s="568"/>
      <c r="Y458" s="568"/>
      <c r="Z458" s="568"/>
    </row>
    <row r="459" spans="1:26" ht="18.75" hidden="1">
      <c r="A459" s="578"/>
      <c r="B459" s="580"/>
      <c r="C459" s="580"/>
      <c r="D459" s="580" t="s">
        <v>201</v>
      </c>
      <c r="E459" s="580"/>
      <c r="F459" s="684"/>
      <c r="G459" s="581"/>
      <c r="H459" s="582"/>
      <c r="I459" s="583"/>
      <c r="J459" s="583"/>
      <c r="K459" s="93"/>
      <c r="L459" s="93"/>
      <c r="M459" s="93"/>
      <c r="N459" s="93"/>
      <c r="O459" s="93"/>
      <c r="P459" s="93"/>
      <c r="Q459" s="568"/>
      <c r="R459" s="568"/>
      <c r="S459" s="568"/>
      <c r="T459" s="568"/>
      <c r="U459" s="568"/>
      <c r="V459" s="568"/>
      <c r="W459" s="568"/>
      <c r="X459" s="568"/>
      <c r="Y459" s="568"/>
      <c r="Z459" s="568"/>
    </row>
    <row r="460" spans="1:26" ht="18.75">
      <c r="A460" s="572"/>
      <c r="B460" s="584"/>
      <c r="C460" s="584"/>
      <c r="D460" s="584" t="s">
        <v>202</v>
      </c>
      <c r="E460" s="584"/>
      <c r="F460" s="592"/>
      <c r="G460" s="726"/>
      <c r="H460" s="728" t="s">
        <v>35</v>
      </c>
      <c r="I460" s="269">
        <f ca="1">IFERROR(__xludf.DUMMYFUNCTION("IMPORTRANGE(""https://docs.google.com/spreadsheets/d/1QqKyyYR6Q21VydFLVH3TRQUabQu_ym0Zz7PgGX0-kHA/edit?usp=sharing"",""แผน!FN30"")"),60)</f>
        <v>60</v>
      </c>
      <c r="J460" s="214">
        <v>60</v>
      </c>
      <c r="K460" s="465">
        <f ca="1">IF(I460&gt;0,J460*100/I460,0)</f>
        <v>100</v>
      </c>
      <c r="L460" s="465"/>
      <c r="M460" s="465"/>
      <c r="N460" s="465"/>
      <c r="O460" s="465"/>
      <c r="P460" s="465"/>
      <c r="Q460" s="541"/>
      <c r="R460" s="541"/>
      <c r="S460" s="541"/>
      <c r="T460" s="541"/>
      <c r="U460" s="541"/>
      <c r="V460" s="541"/>
      <c r="W460" s="541"/>
      <c r="X460" s="541"/>
      <c r="Y460" s="541"/>
      <c r="Z460" s="541"/>
    </row>
    <row r="461" spans="1:26" ht="18.75">
      <c r="A461" s="572"/>
      <c r="B461" s="584"/>
      <c r="C461" s="584"/>
      <c r="D461" s="584" t="s">
        <v>203</v>
      </c>
      <c r="E461" s="592"/>
      <c r="F461" s="592"/>
      <c r="G461" s="726"/>
      <c r="H461" s="728"/>
      <c r="I461" s="269"/>
      <c r="J461" s="269"/>
      <c r="K461" s="465"/>
      <c r="L461" s="465"/>
      <c r="M461" s="465"/>
      <c r="N461" s="465"/>
      <c r="O461" s="465"/>
      <c r="P461" s="465"/>
      <c r="Q461" s="541"/>
      <c r="R461" s="541"/>
      <c r="S461" s="541"/>
      <c r="T461" s="541"/>
      <c r="U461" s="541"/>
      <c r="V461" s="541"/>
      <c r="W461" s="541"/>
      <c r="X461" s="541"/>
      <c r="Y461" s="541"/>
      <c r="Z461" s="541"/>
    </row>
    <row r="462" spans="1:26" ht="18.75">
      <c r="A462" s="572"/>
      <c r="B462" s="584"/>
      <c r="C462" s="584"/>
      <c r="D462" s="584" t="s">
        <v>204</v>
      </c>
      <c r="E462" s="592"/>
      <c r="F462" s="592"/>
      <c r="G462" s="726"/>
      <c r="H462" s="728" t="s">
        <v>46</v>
      </c>
      <c r="I462" s="269">
        <f ca="1">IFERROR(__xludf.DUMMYFUNCTION("IMPORTRANGE(""https://docs.google.com/spreadsheets/d/1QqKyyYR6Q21VydFLVH3TRQUabQu_ym0Zz7PgGX0-kHA/edit?usp=sharing"",""แผน!FO30"")"),100)</f>
        <v>100</v>
      </c>
      <c r="J462" s="214">
        <v>100</v>
      </c>
      <c r="K462" s="465">
        <f ca="1">IF(I462&gt;0,J462*100/I462,0)</f>
        <v>100</v>
      </c>
      <c r="L462" s="465"/>
      <c r="M462" s="465"/>
      <c r="N462" s="465"/>
      <c r="O462" s="465"/>
      <c r="P462" s="465"/>
      <c r="Q462" s="541"/>
      <c r="R462" s="541"/>
      <c r="S462" s="541"/>
      <c r="T462" s="541"/>
      <c r="U462" s="541"/>
      <c r="V462" s="541"/>
      <c r="W462" s="541"/>
      <c r="X462" s="541"/>
      <c r="Y462" s="541"/>
      <c r="Z462" s="541"/>
    </row>
    <row r="463" spans="1:26" ht="18.75">
      <c r="A463" s="572"/>
      <c r="B463" s="584"/>
      <c r="C463" s="584"/>
      <c r="D463" s="584" t="s">
        <v>59</v>
      </c>
      <c r="E463" s="592"/>
      <c r="F463" s="727"/>
      <c r="G463" s="189"/>
      <c r="H463" s="728" t="s">
        <v>46</v>
      </c>
      <c r="I463" s="269">
        <f ca="1">IFERROR(__xludf.DUMMYFUNCTION("IMPORTRANGE(""https://docs.google.com/spreadsheets/d/1QqKyyYR6Q21VydFLVH3TRQUabQu_ym0Zz7PgGX0-kHA/edit?usp=sharing"",""แผน!FO30"")"),100)</f>
        <v>100</v>
      </c>
      <c r="J463" s="214">
        <v>0</v>
      </c>
      <c r="K463" s="465"/>
      <c r="L463" s="465"/>
      <c r="M463" s="465"/>
      <c r="N463" s="465"/>
      <c r="O463" s="465"/>
      <c r="P463" s="465"/>
      <c r="Q463" s="541"/>
      <c r="R463" s="541"/>
      <c r="S463" s="541"/>
      <c r="T463" s="541"/>
      <c r="U463" s="541"/>
      <c r="V463" s="541"/>
      <c r="W463" s="541"/>
      <c r="X463" s="541"/>
      <c r="Y463" s="541"/>
      <c r="Z463" s="541"/>
    </row>
    <row r="464" spans="1:26" ht="19.5">
      <c r="A464" s="572"/>
      <c r="B464" s="584"/>
      <c r="C464" s="584"/>
      <c r="D464" s="584"/>
      <c r="E464" s="592"/>
      <c r="F464" s="592"/>
      <c r="G464" s="586"/>
      <c r="H464" s="728" t="s">
        <v>35</v>
      </c>
      <c r="I464" s="269">
        <f ca="1">IFERROR(__xludf.DUMMYFUNCTION("IMPORTRANGE(""https://docs.google.com/spreadsheets/d/1QqKyyYR6Q21VydFLVH3TRQUabQu_ym0Zz7PgGX0-kHA/edit?usp=sharing"",""แผน!FN30"")"),60)</f>
        <v>60</v>
      </c>
      <c r="J464" s="214">
        <v>60</v>
      </c>
      <c r="K464" s="465"/>
      <c r="L464" s="465"/>
      <c r="M464" s="465"/>
      <c r="N464" s="465"/>
      <c r="O464" s="465"/>
      <c r="P464" s="465"/>
      <c r="Q464" s="541"/>
      <c r="R464" s="541"/>
      <c r="S464" s="541"/>
      <c r="T464" s="541"/>
      <c r="U464" s="541"/>
      <c r="V464" s="541"/>
      <c r="W464" s="541"/>
      <c r="X464" s="541"/>
      <c r="Y464" s="541"/>
      <c r="Z464" s="541"/>
    </row>
    <row r="465" spans="1:26" ht="19.5">
      <c r="A465" s="549">
        <v>3</v>
      </c>
      <c r="B465" s="550" t="s">
        <v>205</v>
      </c>
      <c r="C465" s="551"/>
      <c r="D465" s="551"/>
      <c r="E465" s="551"/>
      <c r="F465" s="551"/>
      <c r="G465" s="552"/>
      <c r="H465" s="553" t="s">
        <v>35</v>
      </c>
      <c r="I465" s="554">
        <f ca="1">IFERROR(__xludf.DUMMYFUNCTION("IMPORTRANGE(""https://docs.google.com/spreadsheets/d/1QqKyyYR6Q21VydFLVH3TRQUabQu_ym0Zz7PgGX0-kHA/edit?usp=sharing"",""แผน!FX30"")"),131)</f>
        <v>131</v>
      </c>
      <c r="J465" s="554">
        <f>J485+J489+J492</f>
        <v>0</v>
      </c>
      <c r="K465" s="555">
        <f t="shared" ref="K465:K466" ca="1" si="204">IF(I465&gt;0,J465*100/I465,0)</f>
        <v>0</v>
      </c>
      <c r="L465" s="556"/>
      <c r="M465" s="556"/>
      <c r="N465" s="556"/>
      <c r="O465" s="556"/>
      <c r="P465" s="556"/>
      <c r="Q465" s="541"/>
      <c r="R465" s="541"/>
      <c r="S465" s="541"/>
      <c r="T465" s="541"/>
      <c r="U465" s="541"/>
      <c r="V465" s="541"/>
      <c r="W465" s="541"/>
      <c r="X465" s="541"/>
      <c r="Y465" s="541"/>
      <c r="Z465" s="541"/>
    </row>
    <row r="466" spans="1:26" ht="19.5">
      <c r="A466" s="557"/>
      <c r="B466" s="558"/>
      <c r="C466" s="559"/>
      <c r="D466" s="559"/>
      <c r="E466" s="559"/>
      <c r="F466" s="559"/>
      <c r="G466" s="560"/>
      <c r="H466" s="531" t="s">
        <v>46</v>
      </c>
      <c r="I466" s="532">
        <f ca="1">IFERROR(__xludf.DUMMYFUNCTION("IMPORTRANGE(""https://docs.google.com/spreadsheets/d/1QqKyyYR6Q21VydFLVH3TRQUabQu_ym0Zz7PgGX0-kHA/edit?usp=sharing"",""แผน!FW30"")"),1300)</f>
        <v>1300</v>
      </c>
      <c r="J466" s="532">
        <f>J483+J487</f>
        <v>0</v>
      </c>
      <c r="K466" s="533">
        <f t="shared" ca="1" si="204"/>
        <v>0</v>
      </c>
      <c r="L466" s="534"/>
      <c r="M466" s="534"/>
      <c r="N466" s="534"/>
      <c r="O466" s="534"/>
      <c r="P466" s="534"/>
      <c r="Q466" s="541"/>
      <c r="R466" s="541"/>
      <c r="S466" s="541"/>
      <c r="T466" s="541"/>
      <c r="U466" s="541"/>
      <c r="V466" s="541"/>
      <c r="W466" s="541"/>
      <c r="X466" s="541"/>
      <c r="Y466" s="541"/>
      <c r="Z466" s="541"/>
    </row>
    <row r="467" spans="1:26" ht="19.5">
      <c r="A467" s="561"/>
      <c r="B467" s="727"/>
      <c r="C467" s="727" t="s">
        <v>16</v>
      </c>
      <c r="D467" s="811" t="s">
        <v>17</v>
      </c>
      <c r="E467" s="805"/>
      <c r="F467" s="805"/>
      <c r="G467" s="189"/>
      <c r="H467" s="562" t="s">
        <v>12</v>
      </c>
      <c r="I467" s="269"/>
      <c r="J467" s="269"/>
      <c r="K467" s="465"/>
      <c r="L467" s="195">
        <f t="shared" ref="L467:N467" ca="1" si="205">L468+L469</f>
        <v>1161548</v>
      </c>
      <c r="M467" s="195">
        <f t="shared" si="205"/>
        <v>0</v>
      </c>
      <c r="N467" s="195">
        <f t="shared" si="205"/>
        <v>0</v>
      </c>
      <c r="O467" s="195">
        <f t="shared" ref="O467:O472" ca="1" si="206">IF(L467&gt;0,N467*100/L467,0)</f>
        <v>0</v>
      </c>
      <c r="P467" s="195">
        <f t="shared" ref="P467:P472" si="207">IF(M467&gt;0,N467*100/M467,0)</f>
        <v>0</v>
      </c>
      <c r="Q467" s="541"/>
      <c r="R467" s="541"/>
      <c r="S467" s="541"/>
      <c r="T467" s="541"/>
      <c r="U467" s="541"/>
      <c r="V467" s="541"/>
      <c r="W467" s="541"/>
      <c r="X467" s="541"/>
      <c r="Y467" s="541"/>
      <c r="Z467" s="541"/>
    </row>
    <row r="468" spans="1:26" ht="18.75" hidden="1">
      <c r="A468" s="563"/>
      <c r="B468" s="723"/>
      <c r="C468" s="723"/>
      <c r="D468" s="684"/>
      <c r="E468" s="723" t="s">
        <v>184</v>
      </c>
      <c r="F468" s="723"/>
      <c r="G468" s="567"/>
      <c r="H468" s="165" t="s">
        <v>12</v>
      </c>
      <c r="I468" s="583"/>
      <c r="J468" s="583"/>
      <c r="K468" s="93"/>
      <c r="L468" s="93">
        <f t="shared" ref="L468:N469" si="208">L471+L478</f>
        <v>0</v>
      </c>
      <c r="M468" s="93">
        <f t="shared" si="208"/>
        <v>0</v>
      </c>
      <c r="N468" s="93">
        <f t="shared" si="208"/>
        <v>0</v>
      </c>
      <c r="O468" s="93">
        <f t="shared" si="206"/>
        <v>0</v>
      </c>
      <c r="P468" s="93">
        <f t="shared" si="207"/>
        <v>0</v>
      </c>
      <c r="Q468" s="568"/>
      <c r="R468" s="568"/>
      <c r="S468" s="568"/>
      <c r="T468" s="568"/>
      <c r="U468" s="568"/>
      <c r="V468" s="568"/>
      <c r="W468" s="568"/>
      <c r="X468" s="568"/>
      <c r="Y468" s="568"/>
      <c r="Z468" s="568"/>
    </row>
    <row r="469" spans="1:26" ht="18.75" hidden="1">
      <c r="A469" s="563"/>
      <c r="B469" s="571"/>
      <c r="C469" s="723"/>
      <c r="D469" s="684"/>
      <c r="E469" s="723" t="s">
        <v>185</v>
      </c>
      <c r="F469" s="723"/>
      <c r="G469" s="567"/>
      <c r="H469" s="165" t="s">
        <v>12</v>
      </c>
      <c r="I469" s="583"/>
      <c r="J469" s="583"/>
      <c r="K469" s="93"/>
      <c r="L469" s="93">
        <f t="shared" ca="1" si="208"/>
        <v>1161548</v>
      </c>
      <c r="M469" s="93">
        <f t="shared" si="208"/>
        <v>0</v>
      </c>
      <c r="N469" s="93">
        <f t="shared" si="208"/>
        <v>0</v>
      </c>
      <c r="O469" s="93">
        <f t="shared" ca="1" si="206"/>
        <v>0</v>
      </c>
      <c r="P469" s="93">
        <f t="shared" si="207"/>
        <v>0</v>
      </c>
      <c r="Q469" s="568"/>
      <c r="R469" s="568"/>
      <c r="S469" s="568"/>
      <c r="T469" s="568"/>
      <c r="U469" s="568"/>
      <c r="V469" s="568"/>
      <c r="W469" s="568"/>
      <c r="X469" s="568"/>
      <c r="Y469" s="568"/>
      <c r="Z469" s="568"/>
    </row>
    <row r="470" spans="1:26" ht="18.75">
      <c r="A470" s="561"/>
      <c r="B470" s="538"/>
      <c r="C470" s="727"/>
      <c r="D470" s="570" t="s">
        <v>20</v>
      </c>
      <c r="E470" s="727"/>
      <c r="F470" s="727"/>
      <c r="G470" s="189"/>
      <c r="H470" s="161" t="s">
        <v>12</v>
      </c>
      <c r="I470" s="184"/>
      <c r="J470" s="184"/>
      <c r="K470" s="163"/>
      <c r="L470" s="465">
        <f t="shared" ref="L470:N470" ca="1" si="209">L471+L472</f>
        <v>1161548</v>
      </c>
      <c r="M470" s="465">
        <f t="shared" si="209"/>
        <v>0</v>
      </c>
      <c r="N470" s="465">
        <f t="shared" si="209"/>
        <v>0</v>
      </c>
      <c r="O470" s="465">
        <f t="shared" ca="1" si="206"/>
        <v>0</v>
      </c>
      <c r="P470" s="465">
        <f t="shared" si="207"/>
        <v>0</v>
      </c>
      <c r="Q470" s="541"/>
      <c r="R470" s="541"/>
      <c r="S470" s="541"/>
      <c r="T470" s="541"/>
      <c r="U470" s="541"/>
      <c r="V470" s="541"/>
      <c r="W470" s="541"/>
      <c r="X470" s="541"/>
      <c r="Y470" s="541"/>
      <c r="Z470" s="541"/>
    </row>
    <row r="471" spans="1:26" ht="18.75" hidden="1">
      <c r="A471" s="563"/>
      <c r="B471" s="571"/>
      <c r="C471" s="723"/>
      <c r="D471" s="684"/>
      <c r="E471" s="723" t="s">
        <v>184</v>
      </c>
      <c r="F471" s="723"/>
      <c r="G471" s="567"/>
      <c r="H471" s="165" t="s">
        <v>12</v>
      </c>
      <c r="I471" s="583"/>
      <c r="J471" s="583"/>
      <c r="K471" s="93"/>
      <c r="L471" s="93">
        <v>0</v>
      </c>
      <c r="M471" s="93">
        <v>0</v>
      </c>
      <c r="N471" s="93">
        <v>0</v>
      </c>
      <c r="O471" s="93">
        <f t="shared" si="206"/>
        <v>0</v>
      </c>
      <c r="P471" s="93">
        <f t="shared" si="207"/>
        <v>0</v>
      </c>
      <c r="Q471" s="568"/>
      <c r="R471" s="568"/>
      <c r="S471" s="568"/>
      <c r="T471" s="568"/>
      <c r="U471" s="568"/>
      <c r="V471" s="568"/>
      <c r="W471" s="568"/>
      <c r="X471" s="568"/>
      <c r="Y471" s="568"/>
      <c r="Z471" s="568"/>
    </row>
    <row r="472" spans="1:26" ht="18.75" hidden="1">
      <c r="A472" s="563"/>
      <c r="B472" s="571"/>
      <c r="C472" s="723"/>
      <c r="D472" s="684"/>
      <c r="E472" s="723" t="s">
        <v>185</v>
      </c>
      <c r="F472" s="723"/>
      <c r="G472" s="567"/>
      <c r="H472" s="165" t="s">
        <v>12</v>
      </c>
      <c r="I472" s="583"/>
      <c r="J472" s="583"/>
      <c r="K472" s="93"/>
      <c r="L472" s="93">
        <f ca="1">IFERROR(__xludf.DUMMYFUNCTION("IMPORTRANGE(""https://docs.google.com/spreadsheets/d/1QqKyyYR6Q21VydFLVH3TRQUabQu_ym0Zz7PgGX0-kHA/edit?usp=sharing"",""แผน!FS30"")"),1161548)</f>
        <v>1161548</v>
      </c>
      <c r="M472" s="93">
        <v>0</v>
      </c>
      <c r="N472" s="93">
        <f>N473+N474+N475+N476</f>
        <v>0</v>
      </c>
      <c r="O472" s="93">
        <f t="shared" ca="1" si="206"/>
        <v>0</v>
      </c>
      <c r="P472" s="93">
        <f t="shared" si="207"/>
        <v>0</v>
      </c>
      <c r="Q472" s="568"/>
      <c r="R472" s="568"/>
      <c r="S472" s="568"/>
      <c r="T472" s="568"/>
      <c r="U472" s="568"/>
      <c r="V472" s="568"/>
      <c r="W472" s="568"/>
      <c r="X472" s="568"/>
      <c r="Y472" s="568"/>
      <c r="Z472" s="568"/>
    </row>
    <row r="473" spans="1:26" ht="18.75">
      <c r="A473" s="537"/>
      <c r="B473" s="538"/>
      <c r="C473" s="727"/>
      <c r="D473" s="727"/>
      <c r="E473" s="727"/>
      <c r="F473" s="727" t="s">
        <v>186</v>
      </c>
      <c r="G473" s="189"/>
      <c r="H473" s="161" t="s">
        <v>12</v>
      </c>
      <c r="I473" s="269"/>
      <c r="J473" s="269"/>
      <c r="K473" s="465"/>
      <c r="L473" s="465"/>
      <c r="M473" s="465"/>
      <c r="N473" s="789">
        <v>0</v>
      </c>
      <c r="O473" s="465"/>
      <c r="P473" s="465"/>
      <c r="Q473" s="541"/>
      <c r="R473" s="541"/>
      <c r="S473" s="541"/>
      <c r="T473" s="541"/>
      <c r="U473" s="541"/>
      <c r="V473" s="541"/>
      <c r="W473" s="541"/>
      <c r="X473" s="541"/>
      <c r="Y473" s="541"/>
      <c r="Z473" s="541"/>
    </row>
    <row r="474" spans="1:26" ht="18.75">
      <c r="A474" s="537"/>
      <c r="B474" s="538"/>
      <c r="C474" s="727"/>
      <c r="D474" s="727"/>
      <c r="E474" s="727"/>
      <c r="F474" s="727" t="s">
        <v>187</v>
      </c>
      <c r="G474" s="189"/>
      <c r="H474" s="161" t="s">
        <v>12</v>
      </c>
      <c r="I474" s="269"/>
      <c r="J474" s="269"/>
      <c r="K474" s="465"/>
      <c r="L474" s="465"/>
      <c r="M474" s="465"/>
      <c r="N474" s="789">
        <v>0</v>
      </c>
      <c r="O474" s="465"/>
      <c r="P474" s="465"/>
      <c r="Q474" s="541"/>
      <c r="R474" s="541"/>
      <c r="S474" s="541"/>
      <c r="T474" s="541"/>
      <c r="U474" s="541"/>
      <c r="V474" s="541"/>
      <c r="W474" s="541"/>
      <c r="X474" s="541"/>
      <c r="Y474" s="541"/>
      <c r="Z474" s="541"/>
    </row>
    <row r="475" spans="1:26" ht="18.75">
      <c r="A475" s="537"/>
      <c r="B475" s="538"/>
      <c r="C475" s="538"/>
      <c r="D475" s="538"/>
      <c r="E475" s="538"/>
      <c r="F475" s="727" t="s">
        <v>188</v>
      </c>
      <c r="G475" s="189"/>
      <c r="H475" s="161" t="s">
        <v>12</v>
      </c>
      <c r="I475" s="269"/>
      <c r="J475" s="269"/>
      <c r="K475" s="465"/>
      <c r="L475" s="465"/>
      <c r="M475" s="465"/>
      <c r="N475" s="789">
        <v>0</v>
      </c>
      <c r="O475" s="465"/>
      <c r="P475" s="465"/>
      <c r="Q475" s="541"/>
      <c r="R475" s="541"/>
      <c r="S475" s="541"/>
      <c r="T475" s="541"/>
      <c r="U475" s="541"/>
      <c r="V475" s="541"/>
      <c r="W475" s="541"/>
      <c r="X475" s="541"/>
      <c r="Y475" s="541"/>
      <c r="Z475" s="541"/>
    </row>
    <row r="476" spans="1:26" ht="18.75">
      <c r="A476" s="537"/>
      <c r="B476" s="538"/>
      <c r="C476" s="538"/>
      <c r="D476" s="538"/>
      <c r="E476" s="538"/>
      <c r="F476" s="727" t="s">
        <v>189</v>
      </c>
      <c r="G476" s="189"/>
      <c r="H476" s="161" t="s">
        <v>12</v>
      </c>
      <c r="I476" s="269"/>
      <c r="J476" s="269"/>
      <c r="K476" s="465"/>
      <c r="L476" s="465"/>
      <c r="M476" s="465"/>
      <c r="N476" s="789">
        <v>0</v>
      </c>
      <c r="O476" s="465"/>
      <c r="P476" s="465"/>
      <c r="Q476" s="541"/>
      <c r="R476" s="541"/>
      <c r="S476" s="541"/>
      <c r="T476" s="541"/>
      <c r="U476" s="541"/>
      <c r="V476" s="541"/>
      <c r="W476" s="541"/>
      <c r="X476" s="541"/>
      <c r="Y476" s="541"/>
      <c r="Z476" s="541"/>
    </row>
    <row r="477" spans="1:26" ht="18.75">
      <c r="A477" s="561"/>
      <c r="B477" s="538"/>
      <c r="C477" s="538"/>
      <c r="D477" s="570" t="s">
        <v>21</v>
      </c>
      <c r="E477" s="538"/>
      <c r="F477" s="538"/>
      <c r="G477" s="189"/>
      <c r="H477" s="168" t="s">
        <v>12</v>
      </c>
      <c r="I477" s="184"/>
      <c r="J477" s="184"/>
      <c r="K477" s="163"/>
      <c r="L477" s="465">
        <f t="shared" ref="L477:N477" ca="1" si="210">L478+L479</f>
        <v>0</v>
      </c>
      <c r="M477" s="465">
        <f t="shared" si="210"/>
        <v>0</v>
      </c>
      <c r="N477" s="465">
        <f t="shared" si="210"/>
        <v>0</v>
      </c>
      <c r="O477" s="465">
        <f t="shared" ref="O477:O479" ca="1" si="211">IF(L477&gt;0,N477*100/L477,0)</f>
        <v>0</v>
      </c>
      <c r="P477" s="465">
        <f t="shared" ref="P477:P479" si="212">IF(M477&gt;0,N477*100/M477,0)</f>
        <v>0</v>
      </c>
      <c r="Q477" s="541"/>
      <c r="R477" s="541"/>
      <c r="S477" s="541"/>
      <c r="T477" s="541"/>
      <c r="U477" s="541"/>
      <c r="V477" s="541"/>
      <c r="W477" s="541"/>
      <c r="X477" s="541"/>
      <c r="Y477" s="541"/>
      <c r="Z477" s="541"/>
    </row>
    <row r="478" spans="1:26" ht="18.75" hidden="1">
      <c r="A478" s="563"/>
      <c r="B478" s="571"/>
      <c r="C478" s="571"/>
      <c r="D478" s="571"/>
      <c r="E478" s="571" t="s">
        <v>18</v>
      </c>
      <c r="F478" s="571"/>
      <c r="G478" s="567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1"/>
        <v>0</v>
      </c>
      <c r="P478" s="93">
        <f t="shared" si="212"/>
        <v>0</v>
      </c>
      <c r="Q478" s="568"/>
      <c r="R478" s="568"/>
      <c r="S478" s="568"/>
      <c r="T478" s="568"/>
      <c r="U478" s="568"/>
      <c r="V478" s="568"/>
      <c r="W478" s="568"/>
      <c r="X478" s="568"/>
      <c r="Y478" s="568"/>
      <c r="Z478" s="568"/>
    </row>
    <row r="479" spans="1:26" ht="18.75" hidden="1">
      <c r="A479" s="563"/>
      <c r="B479" s="571"/>
      <c r="C479" s="571"/>
      <c r="D479" s="571"/>
      <c r="E479" s="571" t="s">
        <v>19</v>
      </c>
      <c r="F479" s="571"/>
      <c r="G479" s="567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IFERROR(__xludf.DUMMYFUNCTION("IMPORTRANGE(""https://docs.google.com/spreadsheets/d/1QqKyyYR6Q21VydFLVH3TRQUabQu_ym0Zz7PgGX0-kHA/edit?usp=sharing"",""แผน!FV30"")"),0)</f>
        <v>0</v>
      </c>
      <c r="M479" s="93">
        <v>0</v>
      </c>
      <c r="N479" s="93">
        <v>0</v>
      </c>
      <c r="O479" s="93">
        <f t="shared" ca="1" si="211"/>
        <v>0</v>
      </c>
      <c r="P479" s="93">
        <f t="shared" si="212"/>
        <v>0</v>
      </c>
      <c r="Q479" s="568"/>
      <c r="R479" s="568"/>
      <c r="S479" s="568"/>
      <c r="T479" s="568"/>
      <c r="U479" s="568"/>
      <c r="V479" s="568"/>
      <c r="W479" s="568"/>
      <c r="X479" s="568"/>
      <c r="Y479" s="568"/>
      <c r="Z479" s="568"/>
    </row>
    <row r="480" spans="1:26" ht="19.5">
      <c r="A480" s="572"/>
      <c r="B480" s="584"/>
      <c r="C480" s="538" t="s">
        <v>16</v>
      </c>
      <c r="D480" s="851" t="s">
        <v>38</v>
      </c>
      <c r="E480" s="575"/>
      <c r="F480" s="725"/>
      <c r="G480" s="577"/>
      <c r="H480" s="726"/>
      <c r="I480" s="269"/>
      <c r="J480" s="269"/>
      <c r="K480" s="465"/>
      <c r="L480" s="465"/>
      <c r="M480" s="465"/>
      <c r="N480" s="465"/>
      <c r="O480" s="465"/>
      <c r="P480" s="465"/>
      <c r="Q480" s="541"/>
      <c r="R480" s="541"/>
      <c r="S480" s="541"/>
      <c r="T480" s="541"/>
      <c r="U480" s="541"/>
      <c r="V480" s="541"/>
      <c r="W480" s="541"/>
      <c r="X480" s="541"/>
      <c r="Y480" s="541"/>
      <c r="Z480" s="541"/>
    </row>
    <row r="481" spans="1:26" ht="19.5">
      <c r="A481" s="572"/>
      <c r="B481" s="584"/>
      <c r="C481" s="584"/>
      <c r="D481" s="591" t="s">
        <v>206</v>
      </c>
      <c r="E481" s="584"/>
      <c r="F481" s="584"/>
      <c r="G481" s="726"/>
      <c r="H481" s="189"/>
      <c r="I481" s="269"/>
      <c r="J481" s="269"/>
      <c r="K481" s="465"/>
      <c r="L481" s="465"/>
      <c r="M481" s="465"/>
      <c r="N481" s="465"/>
      <c r="O481" s="465"/>
      <c r="P481" s="465"/>
      <c r="Q481" s="541"/>
      <c r="R481" s="541"/>
      <c r="S481" s="541"/>
      <c r="T481" s="541"/>
      <c r="U481" s="541"/>
      <c r="V481" s="541"/>
      <c r="W481" s="541"/>
      <c r="X481" s="541"/>
      <c r="Y481" s="541"/>
      <c r="Z481" s="541"/>
    </row>
    <row r="482" spans="1:26" ht="18.75">
      <c r="A482" s="572"/>
      <c r="B482" s="584"/>
      <c r="C482" s="584"/>
      <c r="D482" s="584"/>
      <c r="E482" s="584" t="s">
        <v>207</v>
      </c>
      <c r="F482" s="584"/>
      <c r="G482" s="726"/>
      <c r="H482" s="189"/>
      <c r="I482" s="269"/>
      <c r="J482" s="269"/>
      <c r="K482" s="465"/>
      <c r="L482" s="465"/>
      <c r="M482" s="465"/>
      <c r="N482" s="465"/>
      <c r="O482" s="465"/>
      <c r="P482" s="465"/>
      <c r="Q482" s="541"/>
      <c r="R482" s="541"/>
      <c r="S482" s="541"/>
      <c r="T482" s="541"/>
      <c r="U482" s="541"/>
      <c r="V482" s="541"/>
      <c r="W482" s="541"/>
      <c r="X482" s="541"/>
      <c r="Y482" s="541"/>
      <c r="Z482" s="541"/>
    </row>
    <row r="483" spans="1:26" ht="18.75">
      <c r="A483" s="572"/>
      <c r="B483" s="584"/>
      <c r="C483" s="584"/>
      <c r="D483" s="584"/>
      <c r="E483" s="584"/>
      <c r="F483" s="584" t="s">
        <v>208</v>
      </c>
      <c r="G483" s="726"/>
      <c r="H483" s="589" t="s">
        <v>46</v>
      </c>
      <c r="I483" s="269">
        <f ca="1">IFERROR(__xludf.DUMMYFUNCTION("IMPORTRANGE(""https://docs.google.com/spreadsheets/d/1QqKyyYR6Q21VydFLVH3TRQUabQu_ym0Zz7PgGX0-kHA/edit?usp=sharing"",""แผน!FY30"")"),1170)</f>
        <v>1170</v>
      </c>
      <c r="J483" s="214">
        <v>0</v>
      </c>
      <c r="K483" s="465">
        <f ca="1">IF(I483&gt;0,J483*100/I483,0)</f>
        <v>0</v>
      </c>
      <c r="L483" s="465"/>
      <c r="M483" s="465"/>
      <c r="N483" s="465"/>
      <c r="O483" s="465"/>
      <c r="P483" s="465"/>
      <c r="Q483" s="541"/>
      <c r="R483" s="541"/>
      <c r="S483" s="541"/>
      <c r="T483" s="541"/>
      <c r="U483" s="541"/>
      <c r="V483" s="541"/>
      <c r="W483" s="541"/>
      <c r="X483" s="541"/>
      <c r="Y483" s="541"/>
      <c r="Z483" s="541"/>
    </row>
    <row r="484" spans="1:26" ht="18.75">
      <c r="A484" s="572"/>
      <c r="B484" s="584"/>
      <c r="C484" s="584"/>
      <c r="D484" s="584"/>
      <c r="E484" s="584"/>
      <c r="F484" s="584" t="s">
        <v>209</v>
      </c>
      <c r="G484" s="726"/>
      <c r="H484" s="589" t="s">
        <v>35</v>
      </c>
      <c r="I484" s="269"/>
      <c r="J484" s="214">
        <v>0</v>
      </c>
      <c r="K484" s="465"/>
      <c r="L484" s="465"/>
      <c r="M484" s="465"/>
      <c r="N484" s="465"/>
      <c r="O484" s="465"/>
      <c r="P484" s="465"/>
      <c r="Q484" s="541"/>
      <c r="R484" s="541"/>
      <c r="S484" s="541"/>
      <c r="T484" s="541"/>
      <c r="U484" s="541"/>
      <c r="V484" s="541"/>
      <c r="W484" s="541"/>
      <c r="X484" s="541"/>
      <c r="Y484" s="541"/>
      <c r="Z484" s="541"/>
    </row>
    <row r="485" spans="1:26" ht="18.75">
      <c r="A485" s="572"/>
      <c r="B485" s="584"/>
      <c r="C485" s="584"/>
      <c r="D485" s="584"/>
      <c r="E485" s="584"/>
      <c r="F485" s="584" t="s">
        <v>210</v>
      </c>
      <c r="G485" s="726"/>
      <c r="H485" s="589" t="s">
        <v>35</v>
      </c>
      <c r="I485" s="269">
        <f ca="1">IFERROR(__xludf.DUMMYFUNCTION("IMPORTRANGE(""https://docs.google.com/spreadsheets/d/1QqKyyYR6Q21VydFLVH3TRQUabQu_ym0Zz7PgGX0-kHA/edit?usp=sharing"",""แผน!FZ30"")"),117)</f>
        <v>117</v>
      </c>
      <c r="J485" s="214">
        <v>0</v>
      </c>
      <c r="K485" s="465">
        <f ca="1">IF(I485&gt;0,J485*100/I485,0)</f>
        <v>0</v>
      </c>
      <c r="L485" s="465"/>
      <c r="M485" s="465"/>
      <c r="N485" s="465"/>
      <c r="O485" s="465"/>
      <c r="P485" s="465"/>
      <c r="Q485" s="541"/>
      <c r="R485" s="541"/>
      <c r="S485" s="541"/>
      <c r="T485" s="541"/>
      <c r="U485" s="541"/>
      <c r="V485" s="541"/>
      <c r="W485" s="541"/>
      <c r="X485" s="541"/>
      <c r="Y485" s="541"/>
      <c r="Z485" s="541"/>
    </row>
    <row r="486" spans="1:26" ht="18.75">
      <c r="A486" s="572"/>
      <c r="B486" s="584"/>
      <c r="C486" s="584"/>
      <c r="D486" s="584"/>
      <c r="E486" s="584" t="s">
        <v>62</v>
      </c>
      <c r="F486" s="584"/>
      <c r="G486" s="726"/>
      <c r="H486" s="589"/>
      <c r="I486" s="269"/>
      <c r="J486" s="269"/>
      <c r="K486" s="465"/>
      <c r="L486" s="465"/>
      <c r="M486" s="465"/>
      <c r="N486" s="465"/>
      <c r="O486" s="465"/>
      <c r="P486" s="465"/>
      <c r="Q486" s="541"/>
      <c r="R486" s="541"/>
      <c r="S486" s="541"/>
      <c r="T486" s="541"/>
      <c r="U486" s="541"/>
      <c r="V486" s="541"/>
      <c r="W486" s="541"/>
      <c r="X486" s="541"/>
      <c r="Y486" s="541"/>
      <c r="Z486" s="541"/>
    </row>
    <row r="487" spans="1:26" ht="18.75">
      <c r="A487" s="572"/>
      <c r="B487" s="584"/>
      <c r="C487" s="584"/>
      <c r="D487" s="584"/>
      <c r="E487" s="584"/>
      <c r="F487" s="584" t="s">
        <v>208</v>
      </c>
      <c r="G487" s="726"/>
      <c r="H487" s="589" t="s">
        <v>46</v>
      </c>
      <c r="I487" s="269">
        <f ca="1">IFERROR(__xludf.DUMMYFUNCTION("IMPORTRANGE(""https://docs.google.com/spreadsheets/d/1QqKyyYR6Q21VydFLVH3TRQUabQu_ym0Zz7PgGX0-kHA/edit?usp=sharing"",""แผน!GA30"")"),130)</f>
        <v>130</v>
      </c>
      <c r="J487" s="214">
        <v>0</v>
      </c>
      <c r="K487" s="465">
        <f ca="1">IF(I487&gt;0,J487*100/I487,0)</f>
        <v>0</v>
      </c>
      <c r="L487" s="465"/>
      <c r="M487" s="465"/>
      <c r="N487" s="465"/>
      <c r="O487" s="465"/>
      <c r="P487" s="465"/>
      <c r="Q487" s="541"/>
      <c r="R487" s="541"/>
      <c r="S487" s="541"/>
      <c r="T487" s="541"/>
      <c r="U487" s="541"/>
      <c r="V487" s="541"/>
      <c r="W487" s="541"/>
      <c r="X487" s="541"/>
      <c r="Y487" s="541"/>
      <c r="Z487" s="541"/>
    </row>
    <row r="488" spans="1:26" ht="18.75">
      <c r="A488" s="572"/>
      <c r="B488" s="584"/>
      <c r="C488" s="584"/>
      <c r="D488" s="584"/>
      <c r="E488" s="584"/>
      <c r="F488" s="584" t="s">
        <v>211</v>
      </c>
      <c r="G488" s="726"/>
      <c r="H488" s="589" t="s">
        <v>35</v>
      </c>
      <c r="I488" s="269"/>
      <c r="J488" s="214">
        <v>0</v>
      </c>
      <c r="K488" s="465"/>
      <c r="L488" s="465"/>
      <c r="M488" s="465"/>
      <c r="N488" s="465"/>
      <c r="O488" s="465"/>
      <c r="P488" s="465"/>
      <c r="Q488" s="541"/>
      <c r="R488" s="541"/>
      <c r="S488" s="541"/>
      <c r="T488" s="541"/>
      <c r="U488" s="541"/>
      <c r="V488" s="541"/>
      <c r="W488" s="541"/>
      <c r="X488" s="541"/>
      <c r="Y488" s="541"/>
      <c r="Z488" s="541"/>
    </row>
    <row r="489" spans="1:26" ht="18.75">
      <c r="A489" s="572"/>
      <c r="B489" s="584"/>
      <c r="C489" s="584"/>
      <c r="D489" s="584"/>
      <c r="E489" s="584"/>
      <c r="F489" s="584" t="s">
        <v>212</v>
      </c>
      <c r="G489" s="726"/>
      <c r="H489" s="589" t="s">
        <v>35</v>
      </c>
      <c r="I489" s="269">
        <f ca="1">IFERROR(__xludf.DUMMYFUNCTION("IMPORTRANGE(""https://docs.google.com/spreadsheets/d/1QqKyyYR6Q21VydFLVH3TRQUabQu_ym0Zz7PgGX0-kHA/edit?usp=sharing"",""แผน!GB30"")"),13)</f>
        <v>13</v>
      </c>
      <c r="J489" s="214">
        <v>0</v>
      </c>
      <c r="K489" s="465">
        <f ca="1">IF(I489&gt;0,J489*100/I489,0)</f>
        <v>0</v>
      </c>
      <c r="L489" s="465"/>
      <c r="M489" s="465"/>
      <c r="N489" s="465"/>
      <c r="O489" s="465"/>
      <c r="P489" s="465"/>
      <c r="Q489" s="541"/>
      <c r="R489" s="541"/>
      <c r="S489" s="541"/>
      <c r="T489" s="541"/>
      <c r="U489" s="541"/>
      <c r="V489" s="541"/>
      <c r="W489" s="541"/>
      <c r="X489" s="541"/>
      <c r="Y489" s="541"/>
      <c r="Z489" s="541"/>
    </row>
    <row r="490" spans="1:26" ht="18.75">
      <c r="A490" s="572"/>
      <c r="B490" s="584"/>
      <c r="C490" s="584"/>
      <c r="D490" s="584"/>
      <c r="E490" s="584" t="s">
        <v>63</v>
      </c>
      <c r="F490" s="592"/>
      <c r="G490" s="726"/>
      <c r="H490" s="589"/>
      <c r="I490" s="269"/>
      <c r="J490" s="269"/>
      <c r="K490" s="465"/>
      <c r="L490" s="465"/>
      <c r="M490" s="465"/>
      <c r="N490" s="465"/>
      <c r="O490" s="465"/>
      <c r="P490" s="465"/>
      <c r="Q490" s="541"/>
      <c r="R490" s="541"/>
      <c r="S490" s="541"/>
      <c r="T490" s="541"/>
      <c r="U490" s="541"/>
      <c r="V490" s="541"/>
      <c r="W490" s="541"/>
      <c r="X490" s="541"/>
      <c r="Y490" s="541"/>
      <c r="Z490" s="541"/>
    </row>
    <row r="491" spans="1:26" ht="18.75">
      <c r="A491" s="572"/>
      <c r="B491" s="584"/>
      <c r="C491" s="584"/>
      <c r="D491" s="584"/>
      <c r="E491" s="584"/>
      <c r="F491" s="584" t="s">
        <v>213</v>
      </c>
      <c r="G491" s="726"/>
      <c r="H491" s="589" t="s">
        <v>35</v>
      </c>
      <c r="I491" s="269"/>
      <c r="J491" s="214">
        <v>0</v>
      </c>
      <c r="K491" s="465"/>
      <c r="L491" s="465"/>
      <c r="M491" s="465"/>
      <c r="N491" s="465"/>
      <c r="O491" s="465"/>
      <c r="P491" s="465"/>
      <c r="Q491" s="541"/>
      <c r="R491" s="541"/>
      <c r="S491" s="541"/>
      <c r="T491" s="541"/>
      <c r="U491" s="541"/>
      <c r="V491" s="541"/>
      <c r="W491" s="541"/>
      <c r="X491" s="541"/>
      <c r="Y491" s="541"/>
      <c r="Z491" s="541"/>
    </row>
    <row r="492" spans="1:26" ht="18.75">
      <c r="A492" s="572"/>
      <c r="B492" s="584"/>
      <c r="C492" s="584"/>
      <c r="D492" s="584"/>
      <c r="E492" s="584"/>
      <c r="F492" s="584" t="s">
        <v>214</v>
      </c>
      <c r="G492" s="726"/>
      <c r="H492" s="589" t="s">
        <v>35</v>
      </c>
      <c r="I492" s="269">
        <f ca="1">IFERROR(__xludf.DUMMYFUNCTION("IMPORTRANGE(""https://docs.google.com/spreadsheets/d/1QqKyyYR6Q21VydFLVH3TRQUabQu_ym0Zz7PgGX0-kHA/edit?usp=sharing"",""แผน!GC30"")"),1)</f>
        <v>1</v>
      </c>
      <c r="J492" s="214">
        <v>0</v>
      </c>
      <c r="K492" s="465">
        <f ca="1">IF(I492&gt;0,J492*100/I492,0)</f>
        <v>0</v>
      </c>
      <c r="L492" s="465"/>
      <c r="M492" s="465"/>
      <c r="N492" s="465"/>
      <c r="O492" s="465"/>
      <c r="P492" s="465"/>
      <c r="Q492" s="541"/>
      <c r="R492" s="541"/>
      <c r="S492" s="541"/>
      <c r="T492" s="541"/>
      <c r="U492" s="541"/>
      <c r="V492" s="541"/>
      <c r="W492" s="541"/>
      <c r="X492" s="541"/>
      <c r="Y492" s="541"/>
      <c r="Z492" s="541"/>
    </row>
    <row r="493" spans="1:26" ht="19.5">
      <c r="A493" s="572"/>
      <c r="B493" s="584"/>
      <c r="C493" s="584"/>
      <c r="D493" s="591" t="s">
        <v>59</v>
      </c>
      <c r="E493" s="584"/>
      <c r="F493" s="592"/>
      <c r="G493" s="726"/>
      <c r="H493" s="189"/>
      <c r="I493" s="269"/>
      <c r="J493" s="269"/>
      <c r="K493" s="465"/>
      <c r="L493" s="465"/>
      <c r="M493" s="465"/>
      <c r="N493" s="465"/>
      <c r="O493" s="465"/>
      <c r="P493" s="465"/>
      <c r="Q493" s="541"/>
      <c r="R493" s="541"/>
      <c r="S493" s="541"/>
      <c r="T493" s="541"/>
      <c r="U493" s="541"/>
      <c r="V493" s="541"/>
      <c r="W493" s="541"/>
      <c r="X493" s="541"/>
      <c r="Y493" s="541"/>
      <c r="Z493" s="541"/>
    </row>
    <row r="494" spans="1:26" ht="18.75">
      <c r="A494" s="572"/>
      <c r="B494" s="584"/>
      <c r="C494" s="584"/>
      <c r="D494" s="584"/>
      <c r="E494" s="584" t="s">
        <v>207</v>
      </c>
      <c r="F494" s="592"/>
      <c r="G494" s="726"/>
      <c r="H494" s="189"/>
      <c r="I494" s="269"/>
      <c r="J494" s="269"/>
      <c r="K494" s="465"/>
      <c r="L494" s="465"/>
      <c r="M494" s="465"/>
      <c r="N494" s="465"/>
      <c r="O494" s="465"/>
      <c r="P494" s="465"/>
      <c r="Q494" s="541"/>
      <c r="R494" s="541"/>
      <c r="S494" s="541"/>
      <c r="T494" s="541"/>
      <c r="U494" s="541"/>
      <c r="V494" s="541"/>
      <c r="W494" s="541"/>
      <c r="X494" s="541"/>
      <c r="Y494" s="541"/>
      <c r="Z494" s="541"/>
    </row>
    <row r="495" spans="1:26" ht="18.75">
      <c r="A495" s="572"/>
      <c r="B495" s="584"/>
      <c r="C495" s="584"/>
      <c r="D495" s="584"/>
      <c r="E495" s="584"/>
      <c r="F495" s="592" t="s">
        <v>215</v>
      </c>
      <c r="G495" s="726"/>
      <c r="H495" s="589" t="s">
        <v>46</v>
      </c>
      <c r="I495" s="269">
        <f ca="1">IFERROR(__xludf.DUMMYFUNCTION("IMPORTRANGE(""https://docs.google.com/spreadsheets/d/1QqKyyYR6Q21VydFLVH3TRQUabQu_ym0Zz7PgGX0-kHA/edit?usp=sharing"",""แผน!FY30"")"),1170)</f>
        <v>1170</v>
      </c>
      <c r="J495" s="214">
        <v>0</v>
      </c>
      <c r="K495" s="465">
        <f ca="1">IF(I495&gt;0,J495*100/I495,0)</f>
        <v>0</v>
      </c>
      <c r="L495" s="465"/>
      <c r="M495" s="465"/>
      <c r="N495" s="465"/>
      <c r="O495" s="465"/>
      <c r="P495" s="465"/>
      <c r="Q495" s="541"/>
      <c r="R495" s="541"/>
      <c r="S495" s="541"/>
      <c r="T495" s="541"/>
      <c r="U495" s="541"/>
      <c r="V495" s="541"/>
      <c r="W495" s="541"/>
      <c r="X495" s="541"/>
      <c r="Y495" s="541"/>
      <c r="Z495" s="541"/>
    </row>
    <row r="496" spans="1:26" ht="18.75">
      <c r="A496" s="572"/>
      <c r="B496" s="584"/>
      <c r="C496" s="584"/>
      <c r="D496" s="584"/>
      <c r="E496" s="584"/>
      <c r="F496" s="592" t="s">
        <v>216</v>
      </c>
      <c r="G496" s="726"/>
      <c r="H496" s="589" t="s">
        <v>46</v>
      </c>
      <c r="I496" s="269"/>
      <c r="J496" s="214">
        <v>0</v>
      </c>
      <c r="K496" s="465"/>
      <c r="L496" s="465"/>
      <c r="M496" s="465"/>
      <c r="N496" s="465"/>
      <c r="O496" s="465"/>
      <c r="P496" s="465"/>
      <c r="Q496" s="541"/>
      <c r="R496" s="541"/>
      <c r="S496" s="541"/>
      <c r="T496" s="541"/>
      <c r="U496" s="541"/>
      <c r="V496" s="541"/>
      <c r="W496" s="541"/>
      <c r="X496" s="541"/>
      <c r="Y496" s="541"/>
      <c r="Z496" s="541"/>
    </row>
    <row r="497" spans="1:26" ht="18.75">
      <c r="A497" s="572"/>
      <c r="B497" s="584"/>
      <c r="C497" s="584"/>
      <c r="D497" s="584"/>
      <c r="E497" s="584" t="s">
        <v>62</v>
      </c>
      <c r="F497" s="592"/>
      <c r="G497" s="726"/>
      <c r="H497" s="189"/>
      <c r="I497" s="269"/>
      <c r="J497" s="269"/>
      <c r="K497" s="465"/>
      <c r="L497" s="465"/>
      <c r="M497" s="465"/>
      <c r="N497" s="465"/>
      <c r="O497" s="465"/>
      <c r="P497" s="465"/>
      <c r="Q497" s="541"/>
      <c r="R497" s="541"/>
      <c r="S497" s="541"/>
      <c r="T497" s="541"/>
      <c r="U497" s="541"/>
      <c r="V497" s="541"/>
      <c r="W497" s="541"/>
      <c r="X497" s="541"/>
      <c r="Y497" s="541"/>
      <c r="Z497" s="541"/>
    </row>
    <row r="498" spans="1:26" ht="18.75">
      <c r="A498" s="572"/>
      <c r="B498" s="584"/>
      <c r="C498" s="584"/>
      <c r="D498" s="584"/>
      <c r="E498" s="592"/>
      <c r="F498" s="592" t="s">
        <v>217</v>
      </c>
      <c r="G498" s="726"/>
      <c r="H498" s="589" t="s">
        <v>46</v>
      </c>
      <c r="I498" s="269">
        <f ca="1">IFERROR(__xludf.DUMMYFUNCTION("IMPORTRANGE(""https://docs.google.com/spreadsheets/d/1QqKyyYR6Q21VydFLVH3TRQUabQu_ym0Zz7PgGX0-kHA/edit?usp=sharing"",""แผน!GA30"")"),130)</f>
        <v>130</v>
      </c>
      <c r="J498" s="214">
        <v>0</v>
      </c>
      <c r="K498" s="465">
        <f ca="1">IF(I498&gt;0,J498*100/I498,0)</f>
        <v>0</v>
      </c>
      <c r="L498" s="465"/>
      <c r="M498" s="465"/>
      <c r="N498" s="465"/>
      <c r="O498" s="465"/>
      <c r="P498" s="465"/>
      <c r="Q498" s="541"/>
      <c r="R498" s="541"/>
      <c r="S498" s="541"/>
      <c r="T498" s="541"/>
      <c r="U498" s="541"/>
      <c r="V498" s="541"/>
      <c r="W498" s="541"/>
      <c r="X498" s="541"/>
      <c r="Y498" s="541"/>
      <c r="Z498" s="541"/>
    </row>
    <row r="499" spans="1:26" ht="18.75">
      <c r="A499" s="572"/>
      <c r="B499" s="584"/>
      <c r="C499" s="584"/>
      <c r="D499" s="584"/>
      <c r="E499" s="592"/>
      <c r="F499" s="592" t="s">
        <v>218</v>
      </c>
      <c r="G499" s="726"/>
      <c r="H499" s="589" t="s">
        <v>46</v>
      </c>
      <c r="I499" s="269"/>
      <c r="J499" s="214">
        <v>0</v>
      </c>
      <c r="K499" s="465"/>
      <c r="L499" s="465"/>
      <c r="M499" s="465"/>
      <c r="N499" s="465"/>
      <c r="O499" s="465"/>
      <c r="P499" s="465"/>
      <c r="Q499" s="541"/>
      <c r="R499" s="541"/>
      <c r="S499" s="541"/>
      <c r="T499" s="541"/>
      <c r="U499" s="541"/>
      <c r="V499" s="541"/>
      <c r="W499" s="541"/>
      <c r="X499" s="541"/>
      <c r="Y499" s="541"/>
      <c r="Z499" s="541"/>
    </row>
    <row r="500" spans="1:26" ht="19.5" hidden="1">
      <c r="A500" s="593">
        <v>4</v>
      </c>
      <c r="B500" s="594" t="s">
        <v>219</v>
      </c>
      <c r="C500" s="595"/>
      <c r="D500" s="596"/>
      <c r="E500" s="596"/>
      <c r="F500" s="596"/>
      <c r="G500" s="597"/>
      <c r="H500" s="598" t="s">
        <v>109</v>
      </c>
      <c r="I500" s="599"/>
      <c r="J500" s="599">
        <f t="shared" ref="J500:J501" si="213">J516</f>
        <v>0</v>
      </c>
      <c r="K500" s="600">
        <f t="shared" ref="K500:K501" si="214">IF(I500&gt;0,J500*100/I500,0)</f>
        <v>0</v>
      </c>
      <c r="L500" s="601"/>
      <c r="M500" s="601"/>
      <c r="N500" s="601"/>
      <c r="O500" s="601"/>
      <c r="P500" s="601"/>
      <c r="Q500" s="568"/>
      <c r="R500" s="568"/>
      <c r="S500" s="568"/>
      <c r="T500" s="568"/>
      <c r="U500" s="568"/>
      <c r="V500" s="568"/>
      <c r="W500" s="568"/>
      <c r="X500" s="568"/>
      <c r="Y500" s="568"/>
      <c r="Z500" s="568"/>
    </row>
    <row r="501" spans="1:26" ht="19.5" hidden="1">
      <c r="A501" s="602"/>
      <c r="B501" s="604" t="s">
        <v>220</v>
      </c>
      <c r="C501" s="604"/>
      <c r="D501" s="605"/>
      <c r="E501" s="605"/>
      <c r="F501" s="605"/>
      <c r="G501" s="606"/>
      <c r="H501" s="607" t="s">
        <v>35</v>
      </c>
      <c r="I501" s="608"/>
      <c r="J501" s="608">
        <f t="shared" si="213"/>
        <v>0</v>
      </c>
      <c r="K501" s="609">
        <f t="shared" si="214"/>
        <v>0</v>
      </c>
      <c r="L501" s="610"/>
      <c r="M501" s="610"/>
      <c r="N501" s="610"/>
      <c r="O501" s="610"/>
      <c r="P501" s="610"/>
      <c r="Q501" s="568"/>
      <c r="R501" s="568"/>
      <c r="S501" s="568"/>
      <c r="T501" s="568"/>
      <c r="U501" s="568"/>
      <c r="V501" s="568"/>
      <c r="W501" s="568"/>
      <c r="X501" s="568"/>
      <c r="Y501" s="568"/>
      <c r="Z501" s="568"/>
    </row>
    <row r="502" spans="1:26" ht="19.5" hidden="1">
      <c r="A502" s="563"/>
      <c r="B502" s="723"/>
      <c r="C502" s="723" t="s">
        <v>16</v>
      </c>
      <c r="D502" s="812" t="s">
        <v>17</v>
      </c>
      <c r="E502" s="805"/>
      <c r="F502" s="805"/>
      <c r="G502" s="567"/>
      <c r="H502" s="612" t="s">
        <v>12</v>
      </c>
      <c r="I502" s="583"/>
      <c r="J502" s="583"/>
      <c r="K502" s="93"/>
      <c r="L502" s="613">
        <f t="shared" ref="L502:N502" si="215">L503+L504</f>
        <v>0</v>
      </c>
      <c r="M502" s="613">
        <f t="shared" si="215"/>
        <v>0</v>
      </c>
      <c r="N502" s="613">
        <f t="shared" si="215"/>
        <v>0</v>
      </c>
      <c r="O502" s="613">
        <f t="shared" ref="O502:O507" si="216">IF(L502&gt;0,N502*100/L502,0)</f>
        <v>0</v>
      </c>
      <c r="P502" s="613">
        <f t="shared" ref="P502:P507" si="217">IF(M502&gt;0,N502*100/M502,0)</f>
        <v>0</v>
      </c>
      <c r="Q502" s="568"/>
      <c r="R502" s="568"/>
      <c r="S502" s="568"/>
      <c r="T502" s="568"/>
      <c r="U502" s="568"/>
      <c r="V502" s="568"/>
      <c r="W502" s="568"/>
      <c r="X502" s="568"/>
      <c r="Y502" s="568"/>
      <c r="Z502" s="568"/>
    </row>
    <row r="503" spans="1:26" ht="18.75" hidden="1">
      <c r="A503" s="563"/>
      <c r="B503" s="723"/>
      <c r="C503" s="723"/>
      <c r="D503" s="684"/>
      <c r="E503" s="723" t="s">
        <v>184</v>
      </c>
      <c r="F503" s="723"/>
      <c r="G503" s="567"/>
      <c r="H503" s="165" t="s">
        <v>12</v>
      </c>
      <c r="I503" s="583"/>
      <c r="J503" s="583"/>
      <c r="K503" s="93"/>
      <c r="L503" s="93">
        <f t="shared" ref="L503:N504" si="218">L506+L513</f>
        <v>0</v>
      </c>
      <c r="M503" s="93">
        <f t="shared" si="218"/>
        <v>0</v>
      </c>
      <c r="N503" s="93">
        <f t="shared" si="218"/>
        <v>0</v>
      </c>
      <c r="O503" s="93">
        <f t="shared" si="216"/>
        <v>0</v>
      </c>
      <c r="P503" s="93">
        <f t="shared" si="217"/>
        <v>0</v>
      </c>
      <c r="Q503" s="568"/>
      <c r="R503" s="568"/>
      <c r="S503" s="568"/>
      <c r="T503" s="568"/>
      <c r="U503" s="568"/>
      <c r="V503" s="568"/>
      <c r="W503" s="568"/>
      <c r="X503" s="568"/>
      <c r="Y503" s="568"/>
      <c r="Z503" s="568"/>
    </row>
    <row r="504" spans="1:26" ht="18.75" hidden="1">
      <c r="A504" s="563"/>
      <c r="B504" s="571"/>
      <c r="C504" s="723"/>
      <c r="D504" s="684"/>
      <c r="E504" s="723" t="s">
        <v>185</v>
      </c>
      <c r="F504" s="723"/>
      <c r="G504" s="567"/>
      <c r="H504" s="165" t="s">
        <v>12</v>
      </c>
      <c r="I504" s="583"/>
      <c r="J504" s="583"/>
      <c r="K504" s="93"/>
      <c r="L504" s="93">
        <f t="shared" si="218"/>
        <v>0</v>
      </c>
      <c r="M504" s="93">
        <f t="shared" si="218"/>
        <v>0</v>
      </c>
      <c r="N504" s="93">
        <f t="shared" si="218"/>
        <v>0</v>
      </c>
      <c r="O504" s="93">
        <f t="shared" si="216"/>
        <v>0</v>
      </c>
      <c r="P504" s="93">
        <f t="shared" si="217"/>
        <v>0</v>
      </c>
      <c r="Q504" s="568"/>
      <c r="R504" s="568"/>
      <c r="S504" s="568"/>
      <c r="T504" s="568"/>
      <c r="U504" s="568"/>
      <c r="V504" s="568"/>
      <c r="W504" s="568"/>
      <c r="X504" s="568"/>
      <c r="Y504" s="568"/>
      <c r="Z504" s="568"/>
    </row>
    <row r="505" spans="1:26" ht="18.75" hidden="1">
      <c r="A505" s="563"/>
      <c r="B505" s="571"/>
      <c r="C505" s="723"/>
      <c r="D505" s="614" t="s">
        <v>20</v>
      </c>
      <c r="E505" s="723"/>
      <c r="F505" s="723"/>
      <c r="G505" s="567"/>
      <c r="H505" s="165" t="s">
        <v>12</v>
      </c>
      <c r="I505" s="166"/>
      <c r="J505" s="166"/>
      <c r="K505" s="167"/>
      <c r="L505" s="93">
        <f t="shared" ref="L505:N505" si="219">L506+L507</f>
        <v>0</v>
      </c>
      <c r="M505" s="93">
        <f t="shared" si="219"/>
        <v>0</v>
      </c>
      <c r="N505" s="93">
        <f t="shared" si="219"/>
        <v>0</v>
      </c>
      <c r="O505" s="93">
        <f t="shared" si="216"/>
        <v>0</v>
      </c>
      <c r="P505" s="93">
        <f t="shared" si="217"/>
        <v>0</v>
      </c>
      <c r="Q505" s="568"/>
      <c r="R505" s="568"/>
      <c r="S505" s="568"/>
      <c r="T505" s="568"/>
      <c r="U505" s="568"/>
      <c r="V505" s="568"/>
      <c r="W505" s="568"/>
      <c r="X505" s="568"/>
      <c r="Y505" s="568"/>
      <c r="Z505" s="568"/>
    </row>
    <row r="506" spans="1:26" ht="18.75" hidden="1">
      <c r="A506" s="563"/>
      <c r="B506" s="571"/>
      <c r="C506" s="723"/>
      <c r="D506" s="684"/>
      <c r="E506" s="723" t="s">
        <v>184</v>
      </c>
      <c r="F506" s="723"/>
      <c r="G506" s="567"/>
      <c r="H506" s="165" t="s">
        <v>12</v>
      </c>
      <c r="I506" s="583"/>
      <c r="J506" s="583"/>
      <c r="K506" s="93"/>
      <c r="L506" s="93">
        <v>0</v>
      </c>
      <c r="M506" s="93">
        <v>0</v>
      </c>
      <c r="N506" s="93">
        <v>0</v>
      </c>
      <c r="O506" s="93">
        <f t="shared" si="216"/>
        <v>0</v>
      </c>
      <c r="P506" s="93">
        <f t="shared" si="217"/>
        <v>0</v>
      </c>
      <c r="Q506" s="568"/>
      <c r="R506" s="568"/>
      <c r="S506" s="568"/>
      <c r="T506" s="568"/>
      <c r="U506" s="568"/>
      <c r="V506" s="568"/>
      <c r="W506" s="568"/>
      <c r="X506" s="568"/>
      <c r="Y506" s="568"/>
      <c r="Z506" s="568"/>
    </row>
    <row r="507" spans="1:26" ht="18.75" hidden="1">
      <c r="A507" s="563"/>
      <c r="B507" s="571"/>
      <c r="C507" s="723"/>
      <c r="D507" s="684"/>
      <c r="E507" s="723" t="s">
        <v>185</v>
      </c>
      <c r="F507" s="723"/>
      <c r="G507" s="567"/>
      <c r="H507" s="165" t="s">
        <v>12</v>
      </c>
      <c r="I507" s="583"/>
      <c r="J507" s="583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6"/>
        <v>0</v>
      </c>
      <c r="P507" s="93">
        <f t="shared" si="217"/>
        <v>0</v>
      </c>
      <c r="Q507" s="568"/>
      <c r="R507" s="568"/>
      <c r="S507" s="568"/>
      <c r="T507" s="568"/>
      <c r="U507" s="568"/>
      <c r="V507" s="568"/>
      <c r="W507" s="568"/>
      <c r="X507" s="568"/>
      <c r="Y507" s="568"/>
      <c r="Z507" s="568"/>
    </row>
    <row r="508" spans="1:26" ht="18.75" hidden="1">
      <c r="A508" s="615"/>
      <c r="B508" s="571"/>
      <c r="C508" s="723"/>
      <c r="D508" s="723"/>
      <c r="E508" s="723"/>
      <c r="F508" s="723" t="s">
        <v>186</v>
      </c>
      <c r="G508" s="567"/>
      <c r="H508" s="165" t="s">
        <v>12</v>
      </c>
      <c r="I508" s="583"/>
      <c r="J508" s="583"/>
      <c r="K508" s="93"/>
      <c r="L508" s="93"/>
      <c r="M508" s="93"/>
      <c r="N508" s="93">
        <v>0</v>
      </c>
      <c r="O508" s="93"/>
      <c r="P508" s="93"/>
      <c r="Q508" s="568"/>
      <c r="R508" s="568"/>
      <c r="S508" s="568"/>
      <c r="T508" s="568"/>
      <c r="U508" s="568"/>
      <c r="V508" s="568"/>
      <c r="W508" s="568"/>
      <c r="X508" s="568"/>
      <c r="Y508" s="568"/>
      <c r="Z508" s="568"/>
    </row>
    <row r="509" spans="1:26" ht="18.75" hidden="1">
      <c r="A509" s="615"/>
      <c r="B509" s="571"/>
      <c r="C509" s="723"/>
      <c r="D509" s="723"/>
      <c r="E509" s="723"/>
      <c r="F509" s="723" t="s">
        <v>187</v>
      </c>
      <c r="G509" s="567"/>
      <c r="H509" s="165" t="s">
        <v>12</v>
      </c>
      <c r="I509" s="583"/>
      <c r="J509" s="583"/>
      <c r="K509" s="93"/>
      <c r="L509" s="93"/>
      <c r="M509" s="93"/>
      <c r="N509" s="93">
        <v>0</v>
      </c>
      <c r="O509" s="93"/>
      <c r="P509" s="93"/>
      <c r="Q509" s="568"/>
      <c r="R509" s="568"/>
      <c r="S509" s="568"/>
      <c r="T509" s="568"/>
      <c r="U509" s="568"/>
      <c r="V509" s="568"/>
      <c r="W509" s="568"/>
      <c r="X509" s="568"/>
      <c r="Y509" s="568"/>
      <c r="Z509" s="568"/>
    </row>
    <row r="510" spans="1:26" ht="18.75" hidden="1">
      <c r="A510" s="615"/>
      <c r="B510" s="571"/>
      <c r="C510" s="571"/>
      <c r="D510" s="571"/>
      <c r="E510" s="723"/>
      <c r="F510" s="723" t="s">
        <v>188</v>
      </c>
      <c r="G510" s="567"/>
      <c r="H510" s="165" t="s">
        <v>12</v>
      </c>
      <c r="I510" s="583"/>
      <c r="J510" s="583"/>
      <c r="K510" s="93"/>
      <c r="L510" s="93"/>
      <c r="M510" s="93"/>
      <c r="N510" s="93">
        <v>0</v>
      </c>
      <c r="O510" s="93"/>
      <c r="P510" s="93"/>
      <c r="Q510" s="568"/>
      <c r="R510" s="568"/>
      <c r="S510" s="568"/>
      <c r="T510" s="568"/>
      <c r="U510" s="568"/>
      <c r="V510" s="568"/>
      <c r="W510" s="568"/>
      <c r="X510" s="568"/>
      <c r="Y510" s="568"/>
      <c r="Z510" s="568"/>
    </row>
    <row r="511" spans="1:26" ht="18.75" hidden="1">
      <c r="A511" s="615"/>
      <c r="B511" s="571"/>
      <c r="C511" s="571"/>
      <c r="D511" s="571"/>
      <c r="E511" s="723"/>
      <c r="F511" s="723" t="s">
        <v>189</v>
      </c>
      <c r="G511" s="567"/>
      <c r="H511" s="165" t="s">
        <v>12</v>
      </c>
      <c r="I511" s="583"/>
      <c r="J511" s="583"/>
      <c r="K511" s="93"/>
      <c r="L511" s="93"/>
      <c r="M511" s="93"/>
      <c r="N511" s="93">
        <v>0</v>
      </c>
      <c r="O511" s="93"/>
      <c r="P511" s="93"/>
      <c r="Q511" s="568"/>
      <c r="R511" s="568"/>
      <c r="S511" s="568"/>
      <c r="T511" s="568"/>
      <c r="U511" s="568"/>
      <c r="V511" s="568"/>
      <c r="W511" s="568"/>
      <c r="X511" s="568"/>
      <c r="Y511" s="568"/>
      <c r="Z511" s="568"/>
    </row>
    <row r="512" spans="1:26" ht="18.75" hidden="1">
      <c r="A512" s="563"/>
      <c r="B512" s="571"/>
      <c r="C512" s="571"/>
      <c r="D512" s="614" t="s">
        <v>21</v>
      </c>
      <c r="E512" s="571"/>
      <c r="F512" s="723"/>
      <c r="G512" s="567"/>
      <c r="H512" s="169" t="s">
        <v>12</v>
      </c>
      <c r="I512" s="166"/>
      <c r="J512" s="166"/>
      <c r="K512" s="167"/>
      <c r="L512" s="93">
        <f t="shared" ref="L512:N512" si="220">L513+L514</f>
        <v>0</v>
      </c>
      <c r="M512" s="93">
        <f t="shared" si="220"/>
        <v>0</v>
      </c>
      <c r="N512" s="93">
        <f t="shared" si="220"/>
        <v>0</v>
      </c>
      <c r="O512" s="93">
        <f t="shared" ref="O512:O514" si="221">IF(L512&gt;0,N512*100/L512,0)</f>
        <v>0</v>
      </c>
      <c r="P512" s="93">
        <f t="shared" ref="P512:P514" si="222">IF(M512&gt;0,N512*100/M512,0)</f>
        <v>0</v>
      </c>
      <c r="Q512" s="568"/>
      <c r="R512" s="568"/>
      <c r="S512" s="568"/>
      <c r="T512" s="568"/>
      <c r="U512" s="568"/>
      <c r="V512" s="568"/>
      <c r="W512" s="568"/>
      <c r="X512" s="568"/>
      <c r="Y512" s="568"/>
      <c r="Z512" s="568"/>
    </row>
    <row r="513" spans="1:26" ht="18.75" hidden="1">
      <c r="A513" s="563"/>
      <c r="B513" s="571"/>
      <c r="C513" s="571"/>
      <c r="D513" s="571"/>
      <c r="E513" s="571" t="s">
        <v>18</v>
      </c>
      <c r="F513" s="723"/>
      <c r="G513" s="567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1"/>
        <v>0</v>
      </c>
      <c r="P513" s="93">
        <f t="shared" si="222"/>
        <v>0</v>
      </c>
      <c r="Q513" s="568"/>
      <c r="R513" s="568"/>
      <c r="S513" s="568"/>
      <c r="T513" s="568"/>
      <c r="U513" s="568"/>
      <c r="V513" s="568"/>
      <c r="W513" s="568"/>
      <c r="X513" s="568"/>
      <c r="Y513" s="568"/>
      <c r="Z513" s="568"/>
    </row>
    <row r="514" spans="1:26" ht="18.75" hidden="1">
      <c r="A514" s="563"/>
      <c r="B514" s="571"/>
      <c r="C514" s="571"/>
      <c r="D514" s="723"/>
      <c r="E514" s="571" t="s">
        <v>19</v>
      </c>
      <c r="F514" s="723"/>
      <c r="G514" s="567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1"/>
        <v>0</v>
      </c>
      <c r="P514" s="93">
        <f t="shared" si="222"/>
        <v>0</v>
      </c>
      <c r="Q514" s="568"/>
      <c r="R514" s="568"/>
      <c r="S514" s="568"/>
      <c r="T514" s="568"/>
      <c r="U514" s="568"/>
      <c r="V514" s="568"/>
      <c r="W514" s="568"/>
      <c r="X514" s="568"/>
      <c r="Y514" s="568"/>
      <c r="Z514" s="568"/>
    </row>
    <row r="515" spans="1:26" ht="19.5" hidden="1">
      <c r="A515" s="578"/>
      <c r="B515" s="580"/>
      <c r="C515" s="571" t="s">
        <v>16</v>
      </c>
      <c r="D515" s="852" t="s">
        <v>38</v>
      </c>
      <c r="E515" s="617"/>
      <c r="F515" s="617"/>
      <c r="G515" s="618"/>
      <c r="H515" s="581"/>
      <c r="I515" s="166"/>
      <c r="J515" s="166"/>
      <c r="K515" s="167"/>
      <c r="L515" s="167"/>
      <c r="M515" s="167"/>
      <c r="N515" s="167"/>
      <c r="O515" s="167"/>
      <c r="P515" s="167"/>
      <c r="Q515" s="568"/>
      <c r="R515" s="568"/>
      <c r="S515" s="568"/>
      <c r="T515" s="568"/>
      <c r="U515" s="568"/>
      <c r="V515" s="568"/>
      <c r="W515" s="568"/>
      <c r="X515" s="568"/>
      <c r="Y515" s="568"/>
      <c r="Z515" s="568"/>
    </row>
    <row r="516" spans="1:26" ht="18.75" hidden="1">
      <c r="A516" s="578"/>
      <c r="B516" s="580"/>
      <c r="C516" s="580"/>
      <c r="D516" s="580" t="s">
        <v>221</v>
      </c>
      <c r="E516" s="684"/>
      <c r="F516" s="684"/>
      <c r="G516" s="581"/>
      <c r="H516" s="619" t="s">
        <v>109</v>
      </c>
      <c r="I516" s="583"/>
      <c r="J516" s="583">
        <v>0</v>
      </c>
      <c r="K516" s="167">
        <f t="shared" ref="K516:K517" si="223">IF(I516&gt;0,J516*100/I516,0)</f>
        <v>0</v>
      </c>
      <c r="L516" s="167"/>
      <c r="M516" s="167"/>
      <c r="N516" s="167"/>
      <c r="O516" s="167"/>
      <c r="P516" s="167"/>
      <c r="Q516" s="568"/>
      <c r="R516" s="568"/>
      <c r="S516" s="568"/>
      <c r="T516" s="568"/>
      <c r="U516" s="568"/>
      <c r="V516" s="568"/>
      <c r="W516" s="568"/>
      <c r="X516" s="568"/>
      <c r="Y516" s="568"/>
      <c r="Z516" s="568"/>
    </row>
    <row r="517" spans="1:26" ht="19.5" hidden="1">
      <c r="A517" s="578"/>
      <c r="B517" s="580"/>
      <c r="C517" s="580"/>
      <c r="D517" s="580" t="s">
        <v>222</v>
      </c>
      <c r="E517" s="684"/>
      <c r="F517" s="684"/>
      <c r="G517" s="581"/>
      <c r="H517" s="620" t="s">
        <v>35</v>
      </c>
      <c r="I517" s="621"/>
      <c r="J517" s="621">
        <f>J518+J519</f>
        <v>0</v>
      </c>
      <c r="K517" s="622">
        <f t="shared" si="223"/>
        <v>0</v>
      </c>
      <c r="L517" s="167"/>
      <c r="M517" s="167"/>
      <c r="N517" s="167"/>
      <c r="O517" s="167"/>
      <c r="P517" s="167"/>
      <c r="Q517" s="568"/>
      <c r="R517" s="568"/>
      <c r="S517" s="568"/>
      <c r="T517" s="568"/>
      <c r="U517" s="568"/>
      <c r="V517" s="568"/>
      <c r="W517" s="568"/>
      <c r="X517" s="568"/>
      <c r="Y517" s="568"/>
      <c r="Z517" s="568"/>
    </row>
    <row r="518" spans="1:26" ht="18.75" hidden="1">
      <c r="A518" s="578"/>
      <c r="B518" s="580"/>
      <c r="C518" s="580"/>
      <c r="D518" s="580"/>
      <c r="E518" s="580" t="s">
        <v>223</v>
      </c>
      <c r="F518" s="684"/>
      <c r="G518" s="581"/>
      <c r="H518" s="582" t="s">
        <v>35</v>
      </c>
      <c r="I518" s="583"/>
      <c r="J518" s="583"/>
      <c r="K518" s="167"/>
      <c r="L518" s="167"/>
      <c r="M518" s="167"/>
      <c r="N518" s="167"/>
      <c r="O518" s="167"/>
      <c r="P518" s="167"/>
      <c r="Q518" s="568"/>
      <c r="R518" s="568"/>
      <c r="S518" s="568"/>
      <c r="T518" s="568"/>
      <c r="U518" s="568"/>
      <c r="V518" s="568"/>
      <c r="W518" s="568"/>
      <c r="X518" s="568"/>
      <c r="Y518" s="568"/>
      <c r="Z518" s="568"/>
    </row>
    <row r="519" spans="1:26" ht="18.75" hidden="1">
      <c r="A519" s="578"/>
      <c r="B519" s="580"/>
      <c r="C519" s="580"/>
      <c r="D519" s="580"/>
      <c r="E519" s="580" t="s">
        <v>224</v>
      </c>
      <c r="F519" s="684"/>
      <c r="G519" s="581"/>
      <c r="H519" s="619" t="s">
        <v>35</v>
      </c>
      <c r="I519" s="583"/>
      <c r="J519" s="583"/>
      <c r="K519" s="167"/>
      <c r="L519" s="167"/>
      <c r="M519" s="167"/>
      <c r="N519" s="167"/>
      <c r="O519" s="167"/>
      <c r="P519" s="167"/>
      <c r="Q519" s="568"/>
      <c r="R519" s="568"/>
      <c r="S519" s="568"/>
      <c r="T519" s="568"/>
      <c r="U519" s="568"/>
      <c r="V519" s="568"/>
      <c r="W519" s="568"/>
      <c r="X519" s="568"/>
      <c r="Y519" s="568"/>
      <c r="Z519" s="568"/>
    </row>
    <row r="520" spans="1:26" ht="19.5">
      <c r="A520" s="623" t="s">
        <v>137</v>
      </c>
      <c r="B520" s="624"/>
      <c r="C520" s="624"/>
      <c r="D520" s="625"/>
      <c r="E520" s="625"/>
      <c r="F520" s="625"/>
      <c r="G520" s="626"/>
      <c r="H520" s="627"/>
      <c r="I520" s="628"/>
      <c r="J520" s="628"/>
      <c r="K520" s="629"/>
      <c r="L520" s="629"/>
      <c r="M520" s="629"/>
      <c r="N520" s="629"/>
      <c r="O520" s="629"/>
      <c r="P520" s="629"/>
    </row>
    <row r="521" spans="1:26" ht="19.5">
      <c r="A521" s="630">
        <v>5</v>
      </c>
      <c r="B521" s="631" t="s">
        <v>225</v>
      </c>
      <c r="C521" s="632"/>
      <c r="D521" s="633"/>
      <c r="E521" s="633"/>
      <c r="F521" s="633"/>
      <c r="G521" s="633"/>
      <c r="H521" s="634"/>
      <c r="I521" s="635"/>
      <c r="J521" s="635"/>
      <c r="K521" s="636"/>
      <c r="L521" s="636"/>
      <c r="M521" s="636"/>
      <c r="N521" s="636"/>
      <c r="O521" s="636"/>
      <c r="P521" s="636"/>
      <c r="Q521" s="541"/>
      <c r="R521" s="541"/>
      <c r="S521" s="541"/>
      <c r="T521" s="541"/>
      <c r="U521" s="541"/>
      <c r="V521" s="541"/>
      <c r="W521" s="541"/>
      <c r="X521" s="541"/>
      <c r="Y521" s="541"/>
      <c r="Z521" s="541"/>
    </row>
    <row r="522" spans="1:26" ht="19.5">
      <c r="A522" s="637"/>
      <c r="B522" s="638" t="s">
        <v>226</v>
      </c>
      <c r="C522" s="639"/>
      <c r="D522" s="639"/>
      <c r="E522" s="639"/>
      <c r="F522" s="639"/>
      <c r="G522" s="640"/>
      <c r="H522" s="641" t="s">
        <v>35</v>
      </c>
      <c r="I522" s="672">
        <f t="shared" ref="I522:J522" ca="1" si="224">I537</f>
        <v>80</v>
      </c>
      <c r="J522" s="672">
        <f t="shared" ca="1" si="224"/>
        <v>0</v>
      </c>
      <c r="K522" s="643">
        <f ca="1">IF(I522&gt;0,J522*100/I522,0)</f>
        <v>0</v>
      </c>
      <c r="L522" s="644"/>
      <c r="M522" s="644"/>
      <c r="N522" s="644"/>
      <c r="O522" s="644"/>
      <c r="P522" s="644"/>
      <c r="Q522" s="541"/>
      <c r="R522" s="541"/>
      <c r="S522" s="541"/>
      <c r="T522" s="541"/>
      <c r="U522" s="541"/>
      <c r="V522" s="541"/>
      <c r="W522" s="541"/>
      <c r="X522" s="541"/>
      <c r="Y522" s="541"/>
      <c r="Z522" s="541"/>
    </row>
    <row r="523" spans="1:26" ht="19.5">
      <c r="A523" s="561"/>
      <c r="B523" s="727"/>
      <c r="C523" s="727" t="s">
        <v>16</v>
      </c>
      <c r="D523" s="811" t="s">
        <v>17</v>
      </c>
      <c r="E523" s="805"/>
      <c r="F523" s="805"/>
      <c r="G523" s="189"/>
      <c r="H523" s="562" t="s">
        <v>12</v>
      </c>
      <c r="I523" s="269"/>
      <c r="J523" s="269"/>
      <c r="K523" s="465"/>
      <c r="L523" s="195">
        <f t="shared" ref="L523:N523" ca="1" si="225">L524+L525</f>
        <v>652760</v>
      </c>
      <c r="M523" s="195">
        <f t="shared" si="225"/>
        <v>0</v>
      </c>
      <c r="N523" s="195">
        <f t="shared" si="225"/>
        <v>0</v>
      </c>
      <c r="O523" s="195">
        <f t="shared" ref="O523:O528" ca="1" si="226">IF(L523&gt;0,N523*100/L523,0)</f>
        <v>0</v>
      </c>
      <c r="P523" s="195">
        <f t="shared" ref="P523:P528" si="227">IF(M523&gt;0,N523*100/M523,0)</f>
        <v>0</v>
      </c>
      <c r="Q523" s="541"/>
      <c r="R523" s="541"/>
      <c r="S523" s="541"/>
      <c r="T523" s="541"/>
      <c r="U523" s="541"/>
      <c r="V523" s="541"/>
      <c r="W523" s="541"/>
      <c r="X523" s="541"/>
      <c r="Y523" s="541"/>
      <c r="Z523" s="541"/>
    </row>
    <row r="524" spans="1:26" ht="18.75" hidden="1">
      <c r="A524" s="563"/>
      <c r="B524" s="723"/>
      <c r="C524" s="723"/>
      <c r="D524" s="684"/>
      <c r="E524" s="723" t="s">
        <v>184</v>
      </c>
      <c r="F524" s="723"/>
      <c r="G524" s="567"/>
      <c r="H524" s="165" t="s">
        <v>12</v>
      </c>
      <c r="I524" s="583"/>
      <c r="J524" s="583"/>
      <c r="K524" s="93"/>
      <c r="L524" s="93">
        <f t="shared" ref="L524:N525" si="228">L527+L534</f>
        <v>0</v>
      </c>
      <c r="M524" s="93">
        <f t="shared" si="228"/>
        <v>0</v>
      </c>
      <c r="N524" s="93">
        <f t="shared" si="228"/>
        <v>0</v>
      </c>
      <c r="O524" s="93">
        <f t="shared" si="226"/>
        <v>0</v>
      </c>
      <c r="P524" s="93">
        <f t="shared" si="227"/>
        <v>0</v>
      </c>
      <c r="Q524" s="568"/>
      <c r="R524" s="568"/>
      <c r="S524" s="568"/>
      <c r="T524" s="568"/>
      <c r="U524" s="568"/>
      <c r="V524" s="568"/>
      <c r="W524" s="568"/>
      <c r="X524" s="568"/>
      <c r="Y524" s="568"/>
      <c r="Z524" s="568"/>
    </row>
    <row r="525" spans="1:26" ht="18.75" hidden="1">
      <c r="A525" s="563"/>
      <c r="B525" s="571"/>
      <c r="C525" s="723"/>
      <c r="D525" s="684"/>
      <c r="E525" s="723" t="s">
        <v>185</v>
      </c>
      <c r="F525" s="723"/>
      <c r="G525" s="567"/>
      <c r="H525" s="165" t="s">
        <v>12</v>
      </c>
      <c r="I525" s="583"/>
      <c r="J525" s="583"/>
      <c r="K525" s="93"/>
      <c r="L525" s="93">
        <f t="shared" ca="1" si="228"/>
        <v>652760</v>
      </c>
      <c r="M525" s="93">
        <f t="shared" si="228"/>
        <v>0</v>
      </c>
      <c r="N525" s="93">
        <f t="shared" si="228"/>
        <v>0</v>
      </c>
      <c r="O525" s="93">
        <f t="shared" ca="1" si="226"/>
        <v>0</v>
      </c>
      <c r="P525" s="93">
        <f t="shared" si="227"/>
        <v>0</v>
      </c>
      <c r="Q525" s="568"/>
      <c r="R525" s="568"/>
      <c r="S525" s="568"/>
      <c r="T525" s="568"/>
      <c r="U525" s="568"/>
      <c r="V525" s="568"/>
      <c r="W525" s="568"/>
      <c r="X525" s="568"/>
      <c r="Y525" s="568"/>
      <c r="Z525" s="568"/>
    </row>
    <row r="526" spans="1:26" ht="18.75">
      <c r="A526" s="561"/>
      <c r="B526" s="538"/>
      <c r="C526" s="727"/>
      <c r="D526" s="570" t="s">
        <v>20</v>
      </c>
      <c r="E526" s="727"/>
      <c r="F526" s="727"/>
      <c r="G526" s="189"/>
      <c r="H526" s="161" t="s">
        <v>12</v>
      </c>
      <c r="I526" s="184"/>
      <c r="J526" s="184"/>
      <c r="K526" s="163"/>
      <c r="L526" s="465">
        <f t="shared" ref="L526:N526" ca="1" si="229">L527+L528</f>
        <v>652760</v>
      </c>
      <c r="M526" s="465">
        <f t="shared" si="229"/>
        <v>0</v>
      </c>
      <c r="N526" s="465">
        <f t="shared" si="229"/>
        <v>0</v>
      </c>
      <c r="O526" s="465">
        <f t="shared" ca="1" si="226"/>
        <v>0</v>
      </c>
      <c r="P526" s="465">
        <f t="shared" si="227"/>
        <v>0</v>
      </c>
      <c r="Q526" s="541"/>
      <c r="R526" s="541"/>
      <c r="S526" s="541"/>
      <c r="T526" s="541"/>
      <c r="U526" s="541"/>
      <c r="V526" s="541"/>
      <c r="W526" s="541"/>
      <c r="X526" s="541"/>
      <c r="Y526" s="541"/>
      <c r="Z526" s="541"/>
    </row>
    <row r="527" spans="1:26" ht="18.75" hidden="1">
      <c r="A527" s="563"/>
      <c r="B527" s="571"/>
      <c r="C527" s="723"/>
      <c r="D527" s="684"/>
      <c r="E527" s="723" t="s">
        <v>184</v>
      </c>
      <c r="F527" s="723"/>
      <c r="G527" s="567"/>
      <c r="H527" s="165" t="s">
        <v>12</v>
      </c>
      <c r="I527" s="583"/>
      <c r="J527" s="583"/>
      <c r="K527" s="93"/>
      <c r="L527" s="93">
        <v>0</v>
      </c>
      <c r="M527" s="93">
        <v>0</v>
      </c>
      <c r="N527" s="93">
        <v>0</v>
      </c>
      <c r="O527" s="93">
        <f t="shared" si="226"/>
        <v>0</v>
      </c>
      <c r="P527" s="93">
        <f t="shared" si="227"/>
        <v>0</v>
      </c>
      <c r="Q527" s="568"/>
      <c r="R527" s="568"/>
      <c r="S527" s="568"/>
      <c r="T527" s="568"/>
      <c r="U527" s="568"/>
      <c r="V527" s="568"/>
      <c r="W527" s="568"/>
      <c r="X527" s="568"/>
      <c r="Y527" s="568"/>
      <c r="Z527" s="568"/>
    </row>
    <row r="528" spans="1:26" ht="18.75" hidden="1">
      <c r="A528" s="563"/>
      <c r="B528" s="571"/>
      <c r="C528" s="723"/>
      <c r="D528" s="684"/>
      <c r="E528" s="723" t="s">
        <v>185</v>
      </c>
      <c r="F528" s="723"/>
      <c r="G528" s="567"/>
      <c r="H528" s="165" t="s">
        <v>12</v>
      </c>
      <c r="I528" s="583"/>
      <c r="J528" s="583"/>
      <c r="K528" s="93"/>
      <c r="L528" s="93">
        <f ca="1">IFERROR(__xludf.DUMMYFUNCTION("IMPORTRANGE(""https://docs.google.com/spreadsheets/d/1QqKyyYR6Q21VydFLVH3TRQUabQu_ym0Zz7PgGX0-kHA/edit?usp=sharing"",""แผน!GQ30"")"),652760)</f>
        <v>652760</v>
      </c>
      <c r="M528" s="93">
        <v>0</v>
      </c>
      <c r="N528" s="93">
        <f>N529+N530+N531+N532</f>
        <v>0</v>
      </c>
      <c r="O528" s="93">
        <f t="shared" ca="1" si="226"/>
        <v>0</v>
      </c>
      <c r="P528" s="93">
        <f t="shared" si="227"/>
        <v>0</v>
      </c>
      <c r="Q528" s="568"/>
      <c r="R528" s="568"/>
      <c r="S528" s="568"/>
      <c r="T528" s="568"/>
      <c r="U528" s="568"/>
      <c r="V528" s="568"/>
      <c r="W528" s="568"/>
      <c r="X528" s="568"/>
      <c r="Y528" s="568"/>
      <c r="Z528" s="568"/>
    </row>
    <row r="529" spans="1:26" ht="18.75">
      <c r="A529" s="537"/>
      <c r="B529" s="538"/>
      <c r="C529" s="727"/>
      <c r="D529" s="727"/>
      <c r="E529" s="727"/>
      <c r="F529" s="727" t="s">
        <v>186</v>
      </c>
      <c r="G529" s="189"/>
      <c r="H529" s="161" t="s">
        <v>12</v>
      </c>
      <c r="I529" s="269"/>
      <c r="J529" s="269"/>
      <c r="K529" s="465"/>
      <c r="L529" s="465"/>
      <c r="M529" s="465"/>
      <c r="N529" s="789">
        <v>0</v>
      </c>
      <c r="O529" s="465"/>
      <c r="P529" s="465"/>
      <c r="Q529" s="541"/>
      <c r="R529" s="541"/>
      <c r="S529" s="541"/>
      <c r="T529" s="541"/>
      <c r="U529" s="541"/>
      <c r="V529" s="541"/>
      <c r="W529" s="541"/>
      <c r="X529" s="541"/>
      <c r="Y529" s="541"/>
      <c r="Z529" s="541"/>
    </row>
    <row r="530" spans="1:26" ht="18.75">
      <c r="A530" s="537"/>
      <c r="B530" s="538"/>
      <c r="C530" s="727"/>
      <c r="D530" s="727"/>
      <c r="E530" s="727"/>
      <c r="F530" s="727" t="s">
        <v>187</v>
      </c>
      <c r="G530" s="189"/>
      <c r="H530" s="161" t="s">
        <v>12</v>
      </c>
      <c r="I530" s="269"/>
      <c r="J530" s="269"/>
      <c r="K530" s="465"/>
      <c r="L530" s="465"/>
      <c r="M530" s="465"/>
      <c r="N530" s="789">
        <v>0</v>
      </c>
      <c r="O530" s="465"/>
      <c r="P530" s="465"/>
      <c r="Q530" s="541"/>
      <c r="R530" s="541"/>
      <c r="S530" s="541"/>
      <c r="T530" s="541"/>
      <c r="U530" s="541"/>
      <c r="V530" s="541"/>
      <c r="W530" s="541"/>
      <c r="X530" s="541"/>
      <c r="Y530" s="541"/>
      <c r="Z530" s="541"/>
    </row>
    <row r="531" spans="1:26" ht="18.75">
      <c r="A531" s="537"/>
      <c r="B531" s="538"/>
      <c r="C531" s="727"/>
      <c r="D531" s="727"/>
      <c r="E531" s="727"/>
      <c r="F531" s="727" t="s">
        <v>188</v>
      </c>
      <c r="G531" s="189"/>
      <c r="H531" s="161" t="s">
        <v>12</v>
      </c>
      <c r="I531" s="269"/>
      <c r="J531" s="269"/>
      <c r="K531" s="465"/>
      <c r="L531" s="465"/>
      <c r="M531" s="465"/>
      <c r="N531" s="789">
        <v>0</v>
      </c>
      <c r="O531" s="465"/>
      <c r="P531" s="465"/>
      <c r="Q531" s="541"/>
      <c r="R531" s="541"/>
      <c r="S531" s="541"/>
      <c r="T531" s="541"/>
      <c r="U531" s="541"/>
      <c r="V531" s="541"/>
      <c r="W531" s="541"/>
      <c r="X531" s="541"/>
      <c r="Y531" s="541"/>
      <c r="Z531" s="541"/>
    </row>
    <row r="532" spans="1:26" ht="18.75">
      <c r="A532" s="537"/>
      <c r="B532" s="538"/>
      <c r="C532" s="727"/>
      <c r="D532" s="727"/>
      <c r="E532" s="727"/>
      <c r="F532" s="727" t="s">
        <v>189</v>
      </c>
      <c r="G532" s="189"/>
      <c r="H532" s="161" t="s">
        <v>12</v>
      </c>
      <c r="I532" s="269"/>
      <c r="J532" s="269"/>
      <c r="K532" s="465"/>
      <c r="L532" s="465"/>
      <c r="M532" s="465"/>
      <c r="N532" s="789">
        <v>0</v>
      </c>
      <c r="O532" s="465"/>
      <c r="P532" s="465"/>
      <c r="Q532" s="541"/>
      <c r="R532" s="541"/>
      <c r="S532" s="541"/>
      <c r="T532" s="541"/>
      <c r="U532" s="541"/>
      <c r="V532" s="541"/>
      <c r="W532" s="541"/>
      <c r="X532" s="541"/>
      <c r="Y532" s="541"/>
      <c r="Z532" s="541"/>
    </row>
    <row r="533" spans="1:26" ht="18.75">
      <c r="A533" s="561"/>
      <c r="B533" s="538"/>
      <c r="C533" s="727"/>
      <c r="D533" s="570" t="s">
        <v>21</v>
      </c>
      <c r="E533" s="727"/>
      <c r="F533" s="727"/>
      <c r="G533" s="189"/>
      <c r="H533" s="168" t="s">
        <v>12</v>
      </c>
      <c r="I533" s="184"/>
      <c r="J533" s="184"/>
      <c r="K533" s="163"/>
      <c r="L533" s="465">
        <f t="shared" ref="L533:N533" ca="1" si="230">L534+L535</f>
        <v>0</v>
      </c>
      <c r="M533" s="465">
        <f t="shared" si="230"/>
        <v>0</v>
      </c>
      <c r="N533" s="465">
        <f t="shared" si="230"/>
        <v>0</v>
      </c>
      <c r="O533" s="465">
        <f t="shared" ref="O533:O535" ca="1" si="231">IF(L533&gt;0,N533*100/L533,0)</f>
        <v>0</v>
      </c>
      <c r="P533" s="465">
        <f t="shared" ref="P533:P535" si="232">IF(M533&gt;0,N533*100/M533,0)</f>
        <v>0</v>
      </c>
      <c r="Q533" s="541"/>
      <c r="R533" s="541"/>
      <c r="S533" s="541"/>
      <c r="T533" s="541"/>
      <c r="U533" s="541"/>
      <c r="V533" s="541"/>
      <c r="W533" s="541"/>
      <c r="X533" s="541"/>
      <c r="Y533" s="541"/>
      <c r="Z533" s="541"/>
    </row>
    <row r="534" spans="1:26" ht="18.75" hidden="1">
      <c r="A534" s="563"/>
      <c r="B534" s="571"/>
      <c r="C534" s="723"/>
      <c r="D534" s="723"/>
      <c r="E534" s="723" t="s">
        <v>18</v>
      </c>
      <c r="F534" s="723"/>
      <c r="G534" s="567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1"/>
        <v>0</v>
      </c>
      <c r="P534" s="93">
        <f t="shared" si="232"/>
        <v>0</v>
      </c>
      <c r="Q534" s="568"/>
      <c r="R534" s="568"/>
      <c r="S534" s="568"/>
      <c r="T534" s="568"/>
      <c r="U534" s="568"/>
      <c r="V534" s="568"/>
      <c r="W534" s="568"/>
      <c r="X534" s="568"/>
      <c r="Y534" s="568"/>
      <c r="Z534" s="568"/>
    </row>
    <row r="535" spans="1:26" ht="18.75" hidden="1">
      <c r="A535" s="563"/>
      <c r="B535" s="571"/>
      <c r="C535" s="723"/>
      <c r="D535" s="723"/>
      <c r="E535" s="723" t="s">
        <v>19</v>
      </c>
      <c r="F535" s="723"/>
      <c r="G535" s="567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IFERROR(__xludf.DUMMYFUNCTION("IMPORTRANGE(""https://docs.google.com/spreadsheets/d/1QqKyyYR6Q21VydFLVH3TRQUabQu_ym0Zz7PgGX0-kHA/edit?usp=sharing"",""แผน!GT30"")"),0)</f>
        <v>0</v>
      </c>
      <c r="M535" s="93">
        <v>0</v>
      </c>
      <c r="N535" s="93">
        <v>0</v>
      </c>
      <c r="O535" s="93">
        <f t="shared" ca="1" si="231"/>
        <v>0</v>
      </c>
      <c r="P535" s="93">
        <f t="shared" si="232"/>
        <v>0</v>
      </c>
      <c r="Q535" s="568"/>
      <c r="R535" s="568"/>
      <c r="S535" s="568"/>
      <c r="T535" s="568"/>
      <c r="U535" s="568"/>
      <c r="V535" s="568"/>
      <c r="W535" s="568"/>
      <c r="X535" s="568"/>
      <c r="Y535" s="568"/>
      <c r="Z535" s="568"/>
    </row>
    <row r="536" spans="1:26" ht="19.5">
      <c r="A536" s="572"/>
      <c r="B536" s="584"/>
      <c r="C536" s="727" t="s">
        <v>16</v>
      </c>
      <c r="D536" s="853" t="s">
        <v>38</v>
      </c>
      <c r="E536" s="725"/>
      <c r="F536" s="725"/>
      <c r="G536" s="577"/>
      <c r="H536" s="726"/>
      <c r="I536" s="184"/>
      <c r="J536" s="184"/>
      <c r="K536" s="163"/>
      <c r="L536" s="163"/>
      <c r="M536" s="163"/>
      <c r="N536" s="163"/>
      <c r="O536" s="163"/>
      <c r="P536" s="163"/>
      <c r="Q536" s="541"/>
      <c r="R536" s="541"/>
      <c r="S536" s="541"/>
      <c r="T536" s="541"/>
      <c r="U536" s="541"/>
      <c r="V536" s="541"/>
      <c r="W536" s="541"/>
      <c r="X536" s="541"/>
      <c r="Y536" s="541"/>
      <c r="Z536" s="541"/>
    </row>
    <row r="537" spans="1:26" ht="19.5">
      <c r="A537" s="537"/>
      <c r="B537" s="538"/>
      <c r="C537" s="727"/>
      <c r="D537" s="727" t="s">
        <v>227</v>
      </c>
      <c r="E537" s="727"/>
      <c r="F537" s="727"/>
      <c r="G537" s="189"/>
      <c r="H537" s="589" t="s">
        <v>35</v>
      </c>
      <c r="I537" s="647">
        <f ca="1">IFERROR(__xludf.DUMMYFUNCTION("IMPORTRANGE(""https://docs.google.com/spreadsheets/d/1QqKyyYR6Q21VydFLVH3TRQUabQu_ym0Zz7PgGX0-kHA/edit?usp=sharing"",""แผน!GU30"")"),80)</f>
        <v>80</v>
      </c>
      <c r="J537" s="647">
        <f ca="1">IF(AND(J538=I538,J539=I539,J540=I540,J541=I541),I537,0)</f>
        <v>0</v>
      </c>
      <c r="K537" s="465">
        <f t="shared" ref="K537:K543" ca="1" si="233">IF(I537&gt;0,J537*100/I537,0)</f>
        <v>0</v>
      </c>
      <c r="L537" s="465"/>
      <c r="M537" s="465"/>
      <c r="N537" s="465"/>
      <c r="O537" s="465"/>
      <c r="P537" s="465"/>
      <c r="Q537" s="648"/>
      <c r="R537" s="648"/>
      <c r="S537" s="648"/>
      <c r="T537" s="648"/>
      <c r="U537" s="648"/>
      <c r="V537" s="648"/>
      <c r="W537" s="648"/>
      <c r="X537" s="648"/>
      <c r="Y537" s="648"/>
      <c r="Z537" s="648"/>
    </row>
    <row r="538" spans="1:26" ht="18.75">
      <c r="A538" s="537"/>
      <c r="B538" s="538"/>
      <c r="C538" s="727"/>
      <c r="D538" s="727"/>
      <c r="E538" s="727" t="s">
        <v>228</v>
      </c>
      <c r="F538" s="727"/>
      <c r="G538" s="189"/>
      <c r="H538" s="589" t="s">
        <v>35</v>
      </c>
      <c r="I538" s="269">
        <f ca="1">IFERROR(__xludf.DUMMYFUNCTION("IMPORTRANGE(""https://docs.google.com/spreadsheets/d/1QqKyyYR6Q21VydFLVH3TRQUabQu_ym0Zz7PgGX0-kHA/edit?usp=sharing"",""แผน!GV30"")"),80)</f>
        <v>80</v>
      </c>
      <c r="J538" s="214">
        <v>40</v>
      </c>
      <c r="K538" s="465">
        <f t="shared" ca="1" si="233"/>
        <v>50</v>
      </c>
      <c r="L538" s="465"/>
      <c r="M538" s="465"/>
      <c r="N538" s="465"/>
      <c r="O538" s="465"/>
      <c r="P538" s="465"/>
      <c r="Q538" s="648"/>
      <c r="R538" s="648"/>
      <c r="S538" s="648"/>
      <c r="T538" s="648"/>
      <c r="U538" s="648"/>
      <c r="V538" s="648"/>
      <c r="W538" s="648"/>
      <c r="X538" s="648"/>
      <c r="Y538" s="648"/>
      <c r="Z538" s="648"/>
    </row>
    <row r="539" spans="1:26" ht="18.75">
      <c r="A539" s="537"/>
      <c r="B539" s="538"/>
      <c r="C539" s="727"/>
      <c r="D539" s="727"/>
      <c r="E539" s="727" t="s">
        <v>229</v>
      </c>
      <c r="F539" s="727"/>
      <c r="G539" s="189"/>
      <c r="H539" s="589" t="s">
        <v>35</v>
      </c>
      <c r="I539" s="269">
        <f ca="1">IFERROR(__xludf.DUMMYFUNCTION("IMPORTRANGE(""https://docs.google.com/spreadsheets/d/1QqKyyYR6Q21VydFLVH3TRQUabQu_ym0Zz7PgGX0-kHA/edit?usp=sharing"",""แผน!GW30"")"),0)</f>
        <v>0</v>
      </c>
      <c r="J539" s="214">
        <v>0</v>
      </c>
      <c r="K539" s="465">
        <f t="shared" ca="1" si="233"/>
        <v>0</v>
      </c>
      <c r="L539" s="465"/>
      <c r="M539" s="465"/>
      <c r="N539" s="465"/>
      <c r="O539" s="465"/>
      <c r="P539" s="465"/>
      <c r="Q539" s="648"/>
      <c r="R539" s="648"/>
      <c r="S539" s="648"/>
      <c r="T539" s="648"/>
      <c r="U539" s="648"/>
      <c r="V539" s="648"/>
      <c r="W539" s="648"/>
      <c r="X539" s="648"/>
      <c r="Y539" s="648"/>
      <c r="Z539" s="648"/>
    </row>
    <row r="540" spans="1:26" ht="18.75">
      <c r="A540" s="537"/>
      <c r="B540" s="538"/>
      <c r="C540" s="727"/>
      <c r="D540" s="727"/>
      <c r="E540" s="727" t="s">
        <v>230</v>
      </c>
      <c r="F540" s="727"/>
      <c r="G540" s="189"/>
      <c r="H540" s="589" t="s">
        <v>35</v>
      </c>
      <c r="I540" s="269">
        <f ca="1">IFERROR(__xludf.DUMMYFUNCTION("IMPORTRANGE(""https://docs.google.com/spreadsheets/d/1QqKyyYR6Q21VydFLVH3TRQUabQu_ym0Zz7PgGX0-kHA/edit?usp=sharing"",""แผน!GX30"")"),0)</f>
        <v>0</v>
      </c>
      <c r="J540" s="214">
        <v>0</v>
      </c>
      <c r="K540" s="465">
        <f t="shared" ca="1" si="233"/>
        <v>0</v>
      </c>
      <c r="L540" s="465"/>
      <c r="M540" s="465"/>
      <c r="N540" s="465"/>
      <c r="O540" s="465"/>
      <c r="P540" s="465"/>
      <c r="Q540" s="648"/>
      <c r="R540" s="648"/>
      <c r="S540" s="648"/>
      <c r="T540" s="648"/>
      <c r="U540" s="648"/>
      <c r="V540" s="648"/>
      <c r="W540" s="648"/>
      <c r="X540" s="648"/>
      <c r="Y540" s="648"/>
      <c r="Z540" s="648"/>
    </row>
    <row r="541" spans="1:26" ht="18.75">
      <c r="A541" s="537"/>
      <c r="B541" s="538"/>
      <c r="C541" s="727"/>
      <c r="D541" s="727"/>
      <c r="E541" s="733" t="s">
        <v>231</v>
      </c>
      <c r="F541" s="727"/>
      <c r="G541" s="189"/>
      <c r="H541" s="589" t="s">
        <v>35</v>
      </c>
      <c r="I541" s="269">
        <f ca="1">IFERROR(__xludf.DUMMYFUNCTION("IMPORTRANGE(""https://docs.google.com/spreadsheets/d/1QqKyyYR6Q21VydFLVH3TRQUabQu_ym0Zz7PgGX0-kHA/edit?usp=sharing"",""แผน!GY30"")"),80)</f>
        <v>80</v>
      </c>
      <c r="J541" s="214">
        <v>0</v>
      </c>
      <c r="K541" s="465">
        <f t="shared" ca="1" si="233"/>
        <v>0</v>
      </c>
      <c r="L541" s="465"/>
      <c r="M541" s="465"/>
      <c r="N541" s="465"/>
      <c r="O541" s="465"/>
      <c r="P541" s="465"/>
      <c r="Q541" s="648"/>
      <c r="R541" s="648"/>
      <c r="S541" s="648"/>
      <c r="T541" s="648"/>
      <c r="U541" s="648"/>
      <c r="V541" s="648"/>
      <c r="W541" s="648"/>
      <c r="X541" s="648"/>
      <c r="Y541" s="648"/>
      <c r="Z541" s="648"/>
    </row>
    <row r="542" spans="1:26" ht="18.75">
      <c r="A542" s="537"/>
      <c r="B542" s="538"/>
      <c r="C542" s="727"/>
      <c r="D542" s="727" t="s">
        <v>59</v>
      </c>
      <c r="E542" s="727"/>
      <c r="F542" s="727"/>
      <c r="G542" s="189"/>
      <c r="H542" s="589" t="s">
        <v>35</v>
      </c>
      <c r="I542" s="269">
        <f ca="1">IFERROR(__xludf.DUMMYFUNCTION("IMPORTRANGE(""https://docs.google.com/spreadsheets/d/1QqKyyYR6Q21VydFLVH3TRQUabQu_ym0Zz7PgGX0-kHA/edit?usp=sharing"",""แผน!GZ30"")"),80)</f>
        <v>80</v>
      </c>
      <c r="J542" s="214">
        <v>0</v>
      </c>
      <c r="K542" s="465">
        <f t="shared" ca="1" si="233"/>
        <v>0</v>
      </c>
      <c r="L542" s="465"/>
      <c r="M542" s="465"/>
      <c r="N542" s="465"/>
      <c r="O542" s="465"/>
      <c r="P542" s="465"/>
      <c r="Q542" s="648"/>
      <c r="R542" s="648"/>
      <c r="S542" s="648"/>
      <c r="T542" s="648"/>
      <c r="U542" s="648"/>
      <c r="V542" s="648"/>
      <c r="W542" s="648"/>
      <c r="X542" s="648"/>
      <c r="Y542" s="648"/>
      <c r="Z542" s="648"/>
    </row>
    <row r="543" spans="1:26" ht="19.5">
      <c r="A543" s="630">
        <v>6</v>
      </c>
      <c r="B543" s="651" t="s">
        <v>232</v>
      </c>
      <c r="C543" s="633"/>
      <c r="D543" s="633"/>
      <c r="E543" s="633"/>
      <c r="F543" s="633"/>
      <c r="G543" s="634"/>
      <c r="H543" s="652" t="s">
        <v>46</v>
      </c>
      <c r="I543" s="653">
        <f t="shared" ref="I543:J543" ca="1" si="234">I559</f>
        <v>53985</v>
      </c>
      <c r="J543" s="653">
        <f t="shared" si="234"/>
        <v>0</v>
      </c>
      <c r="K543" s="654">
        <f t="shared" ca="1" si="233"/>
        <v>0</v>
      </c>
      <c r="L543" s="636"/>
      <c r="M543" s="636"/>
      <c r="N543" s="636"/>
      <c r="O543" s="636"/>
      <c r="P543" s="636"/>
      <c r="Q543" s="541"/>
      <c r="R543" s="541"/>
      <c r="S543" s="541"/>
      <c r="T543" s="541"/>
      <c r="U543" s="541"/>
      <c r="V543" s="541"/>
      <c r="W543" s="541"/>
      <c r="X543" s="541"/>
      <c r="Y543" s="541"/>
      <c r="Z543" s="541"/>
    </row>
    <row r="544" spans="1:26" ht="19.5">
      <c r="A544" s="655"/>
      <c r="B544" s="656"/>
      <c r="C544" s="656" t="s">
        <v>16</v>
      </c>
      <c r="D544" s="854" t="s">
        <v>17</v>
      </c>
      <c r="E544" s="810"/>
      <c r="F544" s="810"/>
      <c r="G544" s="657"/>
      <c r="H544" s="274" t="s">
        <v>12</v>
      </c>
      <c r="I544" s="388"/>
      <c r="J544" s="388"/>
      <c r="K544" s="154"/>
      <c r="L544" s="155">
        <f t="shared" ref="L544:N544" ca="1" si="235">L545+L546</f>
        <v>429538</v>
      </c>
      <c r="M544" s="155">
        <f t="shared" si="235"/>
        <v>0</v>
      </c>
      <c r="N544" s="155">
        <f t="shared" si="235"/>
        <v>0</v>
      </c>
      <c r="O544" s="155">
        <f t="shared" ref="O544:O549" ca="1" si="236">IF(L544&gt;0,N544*100/L544,0)</f>
        <v>0</v>
      </c>
      <c r="P544" s="155">
        <f t="shared" ref="P544:P549" si="237">IF(M544&gt;0,N544*100/M544,0)</f>
        <v>0</v>
      </c>
      <c r="Q544" s="541"/>
      <c r="R544" s="541"/>
      <c r="S544" s="541"/>
      <c r="T544" s="541"/>
      <c r="U544" s="541"/>
      <c r="V544" s="541"/>
      <c r="W544" s="541"/>
      <c r="X544" s="541"/>
      <c r="Y544" s="541"/>
      <c r="Z544" s="541"/>
    </row>
    <row r="545" spans="1:26" ht="18.75" hidden="1">
      <c r="A545" s="563"/>
      <c r="B545" s="723"/>
      <c r="C545" s="723"/>
      <c r="D545" s="723"/>
      <c r="E545" s="723" t="s">
        <v>184</v>
      </c>
      <c r="F545" s="723"/>
      <c r="G545" s="567"/>
      <c r="H545" s="165" t="s">
        <v>12</v>
      </c>
      <c r="I545" s="583"/>
      <c r="J545" s="583"/>
      <c r="K545" s="93"/>
      <c r="L545" s="93">
        <f t="shared" ref="L545:L546" si="238">L548+L556</f>
        <v>0</v>
      </c>
      <c r="M545" s="93">
        <f t="shared" ref="M545:N546" si="239">M548+M555</f>
        <v>0</v>
      </c>
      <c r="N545" s="93">
        <f t="shared" si="239"/>
        <v>0</v>
      </c>
      <c r="O545" s="93">
        <f t="shared" si="236"/>
        <v>0</v>
      </c>
      <c r="P545" s="93">
        <f t="shared" si="237"/>
        <v>0</v>
      </c>
      <c r="Q545" s="568"/>
      <c r="R545" s="568"/>
      <c r="S545" s="568"/>
      <c r="T545" s="568"/>
      <c r="U545" s="568"/>
      <c r="V545" s="568"/>
      <c r="W545" s="568"/>
      <c r="X545" s="568"/>
      <c r="Y545" s="568"/>
      <c r="Z545" s="568"/>
    </row>
    <row r="546" spans="1:26" ht="18.75" hidden="1">
      <c r="A546" s="563"/>
      <c r="B546" s="571"/>
      <c r="C546" s="723"/>
      <c r="D546" s="723"/>
      <c r="E546" s="723" t="s">
        <v>185</v>
      </c>
      <c r="F546" s="723"/>
      <c r="G546" s="567"/>
      <c r="H546" s="165" t="s">
        <v>12</v>
      </c>
      <c r="I546" s="583"/>
      <c r="J546" s="583"/>
      <c r="K546" s="93"/>
      <c r="L546" s="93">
        <f t="shared" ca="1" si="238"/>
        <v>429538</v>
      </c>
      <c r="M546" s="93">
        <f t="shared" si="239"/>
        <v>0</v>
      </c>
      <c r="N546" s="93">
        <f t="shared" si="239"/>
        <v>0</v>
      </c>
      <c r="O546" s="93">
        <f t="shared" ca="1" si="236"/>
        <v>0</v>
      </c>
      <c r="P546" s="93">
        <f t="shared" si="237"/>
        <v>0</v>
      </c>
      <c r="Q546" s="568"/>
      <c r="R546" s="568"/>
      <c r="S546" s="568"/>
      <c r="T546" s="568"/>
      <c r="U546" s="568"/>
      <c r="V546" s="568"/>
      <c r="W546" s="568"/>
      <c r="X546" s="568"/>
      <c r="Y546" s="568"/>
      <c r="Z546" s="568"/>
    </row>
    <row r="547" spans="1:26" ht="18.75">
      <c r="A547" s="561"/>
      <c r="B547" s="538"/>
      <c r="C547" s="727"/>
      <c r="D547" s="570" t="s">
        <v>20</v>
      </c>
      <c r="E547" s="727"/>
      <c r="F547" s="727"/>
      <c r="G547" s="189"/>
      <c r="H547" s="161" t="s">
        <v>12</v>
      </c>
      <c r="I547" s="184"/>
      <c r="J547" s="184"/>
      <c r="K547" s="163"/>
      <c r="L547" s="465">
        <f t="shared" ref="L547:N547" ca="1" si="240">L548+L549</f>
        <v>429538</v>
      </c>
      <c r="M547" s="465">
        <f t="shared" si="240"/>
        <v>0</v>
      </c>
      <c r="N547" s="465">
        <f t="shared" si="240"/>
        <v>0</v>
      </c>
      <c r="O547" s="465">
        <f t="shared" ca="1" si="236"/>
        <v>0</v>
      </c>
      <c r="P547" s="465">
        <f t="shared" si="237"/>
        <v>0</v>
      </c>
      <c r="Q547" s="541"/>
      <c r="R547" s="541"/>
      <c r="S547" s="541"/>
      <c r="T547" s="541"/>
      <c r="U547" s="541"/>
      <c r="V547" s="541"/>
      <c r="W547" s="541"/>
      <c r="X547" s="541"/>
      <c r="Y547" s="541"/>
      <c r="Z547" s="541"/>
    </row>
    <row r="548" spans="1:26" ht="18.75" hidden="1">
      <c r="A548" s="563"/>
      <c r="B548" s="571"/>
      <c r="C548" s="723"/>
      <c r="D548" s="684"/>
      <c r="E548" s="723" t="s">
        <v>184</v>
      </c>
      <c r="F548" s="723"/>
      <c r="G548" s="567"/>
      <c r="H548" s="165" t="s">
        <v>12</v>
      </c>
      <c r="I548" s="583"/>
      <c r="J548" s="583"/>
      <c r="K548" s="93"/>
      <c r="L548" s="93">
        <v>0</v>
      </c>
      <c r="M548" s="93">
        <v>0</v>
      </c>
      <c r="N548" s="93">
        <v>0</v>
      </c>
      <c r="O548" s="93">
        <f t="shared" si="236"/>
        <v>0</v>
      </c>
      <c r="P548" s="93">
        <f t="shared" si="237"/>
        <v>0</v>
      </c>
      <c r="Q548" s="568"/>
      <c r="R548" s="568"/>
      <c r="S548" s="568"/>
      <c r="T548" s="568"/>
      <c r="U548" s="568"/>
      <c r="V548" s="568"/>
      <c r="W548" s="568"/>
      <c r="X548" s="568"/>
      <c r="Y548" s="568"/>
      <c r="Z548" s="568"/>
    </row>
    <row r="549" spans="1:26" ht="18.75" hidden="1">
      <c r="A549" s="563"/>
      <c r="B549" s="571"/>
      <c r="C549" s="723"/>
      <c r="D549" s="684"/>
      <c r="E549" s="723" t="s">
        <v>185</v>
      </c>
      <c r="F549" s="723"/>
      <c r="G549" s="567"/>
      <c r="H549" s="165" t="s">
        <v>12</v>
      </c>
      <c r="I549" s="583"/>
      <c r="J549" s="583"/>
      <c r="K549" s="93"/>
      <c r="L549" s="93">
        <f ca="1">IFERROR(__xludf.DUMMYFUNCTION("IMPORTRANGE(""https://docs.google.com/spreadsheets/d/1QqKyyYR6Q21VydFLVH3TRQUabQu_ym0Zz7PgGX0-kHA/edit?usp=sharing"",""แผน!HB30"")"),429538)</f>
        <v>429538</v>
      </c>
      <c r="M549" s="93">
        <v>0</v>
      </c>
      <c r="N549" s="93">
        <f>N550+N551+N552+N553+N554</f>
        <v>0</v>
      </c>
      <c r="O549" s="93">
        <f t="shared" ca="1" si="236"/>
        <v>0</v>
      </c>
      <c r="P549" s="93">
        <f t="shared" si="237"/>
        <v>0</v>
      </c>
      <c r="Q549" s="568"/>
      <c r="R549" s="568"/>
      <c r="S549" s="568"/>
      <c r="T549" s="568"/>
      <c r="U549" s="568"/>
      <c r="V549" s="568"/>
      <c r="W549" s="568"/>
      <c r="X549" s="568"/>
      <c r="Y549" s="568"/>
      <c r="Z549" s="568"/>
    </row>
    <row r="550" spans="1:26" ht="18.75">
      <c r="A550" s="537"/>
      <c r="B550" s="538"/>
      <c r="C550" s="727"/>
      <c r="D550" s="727"/>
      <c r="E550" s="727"/>
      <c r="F550" s="727" t="s">
        <v>186</v>
      </c>
      <c r="G550" s="189"/>
      <c r="H550" s="161" t="s">
        <v>12</v>
      </c>
      <c r="I550" s="269"/>
      <c r="J550" s="269"/>
      <c r="K550" s="465"/>
      <c r="L550" s="465"/>
      <c r="M550" s="465"/>
      <c r="N550" s="789">
        <v>0</v>
      </c>
      <c r="O550" s="465"/>
      <c r="P550" s="465"/>
      <c r="Q550" s="541"/>
      <c r="R550" s="541"/>
      <c r="S550" s="541"/>
      <c r="T550" s="541"/>
      <c r="U550" s="541"/>
      <c r="V550" s="541"/>
      <c r="W550" s="541"/>
      <c r="X550" s="541"/>
      <c r="Y550" s="541"/>
      <c r="Z550" s="541"/>
    </row>
    <row r="551" spans="1:26" ht="18.75">
      <c r="A551" s="537"/>
      <c r="B551" s="538"/>
      <c r="C551" s="538"/>
      <c r="D551" s="538"/>
      <c r="E551" s="727"/>
      <c r="F551" s="727" t="s">
        <v>187</v>
      </c>
      <c r="G551" s="189"/>
      <c r="H551" s="161" t="s">
        <v>12</v>
      </c>
      <c r="I551" s="269"/>
      <c r="J551" s="269"/>
      <c r="K551" s="465"/>
      <c r="L551" s="465"/>
      <c r="M551" s="465"/>
      <c r="N551" s="789">
        <v>0</v>
      </c>
      <c r="O551" s="465"/>
      <c r="P551" s="465"/>
      <c r="Q551" s="541"/>
      <c r="R551" s="541"/>
      <c r="S551" s="541"/>
      <c r="T551" s="541"/>
      <c r="U551" s="541"/>
      <c r="V551" s="541"/>
      <c r="W551" s="541"/>
      <c r="X551" s="541"/>
      <c r="Y551" s="541"/>
      <c r="Z551" s="541"/>
    </row>
    <row r="552" spans="1:26" ht="18.75">
      <c r="A552" s="537"/>
      <c r="B552" s="538"/>
      <c r="C552" s="727"/>
      <c r="D552" s="727"/>
      <c r="E552" s="727"/>
      <c r="F552" s="727" t="s">
        <v>188</v>
      </c>
      <c r="G552" s="189"/>
      <c r="H552" s="161" t="s">
        <v>12</v>
      </c>
      <c r="I552" s="269"/>
      <c r="J552" s="269"/>
      <c r="K552" s="465"/>
      <c r="L552" s="465"/>
      <c r="M552" s="465"/>
      <c r="N552" s="789">
        <v>0</v>
      </c>
      <c r="O552" s="465"/>
      <c r="P552" s="465"/>
      <c r="Q552" s="541"/>
      <c r="R552" s="541"/>
      <c r="S552" s="541"/>
      <c r="T552" s="541"/>
      <c r="U552" s="541"/>
      <c r="V552" s="541"/>
      <c r="W552" s="541"/>
      <c r="X552" s="541"/>
      <c r="Y552" s="541"/>
      <c r="Z552" s="541"/>
    </row>
    <row r="553" spans="1:26" ht="18.75">
      <c r="A553" s="537"/>
      <c r="B553" s="538"/>
      <c r="C553" s="538"/>
      <c r="D553" s="538"/>
      <c r="E553" s="727"/>
      <c r="F553" s="727" t="s">
        <v>189</v>
      </c>
      <c r="G553" s="189"/>
      <c r="H553" s="161" t="s">
        <v>12</v>
      </c>
      <c r="I553" s="269"/>
      <c r="J553" s="269"/>
      <c r="K553" s="465"/>
      <c r="L553" s="465"/>
      <c r="M553" s="465"/>
      <c r="N553" s="789">
        <v>0</v>
      </c>
      <c r="O553" s="465"/>
      <c r="P553" s="465"/>
      <c r="Q553" s="541"/>
      <c r="R553" s="541"/>
      <c r="S553" s="541"/>
      <c r="T553" s="541"/>
      <c r="U553" s="541"/>
      <c r="V553" s="541"/>
      <c r="W553" s="541"/>
      <c r="X553" s="541"/>
      <c r="Y553" s="541"/>
      <c r="Z553" s="541"/>
    </row>
    <row r="554" spans="1:26" ht="18.75">
      <c r="A554" s="537"/>
      <c r="B554" s="538"/>
      <c r="C554" s="538"/>
      <c r="D554" s="538"/>
      <c r="E554" s="727"/>
      <c r="F554" s="727" t="s">
        <v>233</v>
      </c>
      <c r="G554" s="189"/>
      <c r="H554" s="161" t="s">
        <v>12</v>
      </c>
      <c r="I554" s="269"/>
      <c r="J554" s="269"/>
      <c r="K554" s="465"/>
      <c r="L554" s="465"/>
      <c r="M554" s="465"/>
      <c r="N554" s="789">
        <v>0</v>
      </c>
      <c r="O554" s="465"/>
      <c r="P554" s="465"/>
      <c r="Q554" s="541"/>
      <c r="R554" s="541"/>
      <c r="S554" s="541"/>
      <c r="T554" s="541"/>
      <c r="U554" s="541"/>
      <c r="V554" s="541"/>
      <c r="W554" s="541"/>
      <c r="X554" s="541"/>
      <c r="Y554" s="541"/>
      <c r="Z554" s="541"/>
    </row>
    <row r="555" spans="1:26" ht="18.75">
      <c r="A555" s="561"/>
      <c r="B555" s="538"/>
      <c r="C555" s="538"/>
      <c r="D555" s="570" t="s">
        <v>21</v>
      </c>
      <c r="E555" s="727"/>
      <c r="F555" s="727"/>
      <c r="G555" s="189"/>
      <c r="H555" s="168" t="s">
        <v>12</v>
      </c>
      <c r="I555" s="184"/>
      <c r="J555" s="184"/>
      <c r="K555" s="163"/>
      <c r="L555" s="465">
        <f t="shared" ref="L555:N555" ca="1" si="241">L556+L557</f>
        <v>0</v>
      </c>
      <c r="M555" s="465">
        <f t="shared" si="241"/>
        <v>0</v>
      </c>
      <c r="N555" s="465">
        <f t="shared" si="241"/>
        <v>0</v>
      </c>
      <c r="O555" s="465">
        <f t="shared" ref="O555:O557" ca="1" si="242">IF(L555&gt;0,N555*100/L555,0)</f>
        <v>0</v>
      </c>
      <c r="P555" s="465">
        <f t="shared" ref="P555:P557" si="243">IF(M555&gt;0,N555*100/M555,0)</f>
        <v>0</v>
      </c>
      <c r="Q555" s="541"/>
      <c r="R555" s="541"/>
      <c r="S555" s="541"/>
      <c r="T555" s="541"/>
      <c r="U555" s="541"/>
      <c r="V555" s="541"/>
      <c r="W555" s="541"/>
      <c r="X555" s="541"/>
      <c r="Y555" s="541"/>
      <c r="Z555" s="541"/>
    </row>
    <row r="556" spans="1:26" ht="18.75" hidden="1">
      <c r="A556" s="563"/>
      <c r="B556" s="571"/>
      <c r="C556" s="571"/>
      <c r="D556" s="723"/>
      <c r="E556" s="723" t="s">
        <v>18</v>
      </c>
      <c r="F556" s="723"/>
      <c r="G556" s="567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2"/>
        <v>0</v>
      </c>
      <c r="P556" s="93">
        <f t="shared" si="243"/>
        <v>0</v>
      </c>
      <c r="Q556" s="568"/>
      <c r="R556" s="568"/>
      <c r="S556" s="568"/>
      <c r="T556" s="568"/>
      <c r="U556" s="568"/>
      <c r="V556" s="568"/>
      <c r="W556" s="568"/>
      <c r="X556" s="568"/>
      <c r="Y556" s="568"/>
      <c r="Z556" s="568"/>
    </row>
    <row r="557" spans="1:26" ht="18.75" hidden="1">
      <c r="A557" s="563"/>
      <c r="B557" s="571"/>
      <c r="C557" s="571"/>
      <c r="D557" s="723"/>
      <c r="E557" s="723" t="s">
        <v>19</v>
      </c>
      <c r="F557" s="723"/>
      <c r="G557" s="567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IFERROR(__xludf.DUMMYFUNCTION("IMPORTRANGE(""https://docs.google.com/spreadsheets/d/1QqKyyYR6Q21VydFLVH3TRQUabQu_ym0Zz7PgGX0-kHA/edit?usp=sharing"",""แผน!HF30"")"),0)</f>
        <v>0</v>
      </c>
      <c r="M557" s="93">
        <v>0</v>
      </c>
      <c r="N557" s="93">
        <v>0</v>
      </c>
      <c r="O557" s="93">
        <f t="shared" ca="1" si="242"/>
        <v>0</v>
      </c>
      <c r="P557" s="93">
        <f t="shared" si="243"/>
        <v>0</v>
      </c>
      <c r="Q557" s="568"/>
      <c r="R557" s="568"/>
      <c r="S557" s="568"/>
      <c r="T557" s="568"/>
      <c r="U557" s="568"/>
      <c r="V557" s="568"/>
      <c r="W557" s="568"/>
      <c r="X557" s="568"/>
      <c r="Y557" s="568"/>
      <c r="Z557" s="568"/>
    </row>
    <row r="558" spans="1:26" ht="19.5">
      <c r="A558" s="572"/>
      <c r="B558" s="584"/>
      <c r="C558" s="538" t="s">
        <v>16</v>
      </c>
      <c r="D558" s="853" t="s">
        <v>38</v>
      </c>
      <c r="E558" s="725"/>
      <c r="F558" s="725"/>
      <c r="G558" s="577"/>
      <c r="H558" s="726"/>
      <c r="I558" s="184"/>
      <c r="J558" s="184"/>
      <c r="K558" s="163"/>
      <c r="L558" s="163"/>
      <c r="M558" s="163"/>
      <c r="N558" s="163"/>
      <c r="O558" s="163"/>
      <c r="P558" s="163"/>
      <c r="Q558" s="541"/>
      <c r="R558" s="541"/>
      <c r="S558" s="541"/>
      <c r="T558" s="541"/>
      <c r="U558" s="541"/>
      <c r="V558" s="541"/>
      <c r="W558" s="541"/>
      <c r="X558" s="541"/>
      <c r="Y558" s="541"/>
      <c r="Z558" s="541"/>
    </row>
    <row r="559" spans="1:26" ht="19.5">
      <c r="A559" s="658"/>
      <c r="B559" s="659" t="s">
        <v>234</v>
      </c>
      <c r="C559" s="660"/>
      <c r="D559" s="660"/>
      <c r="E559" s="639"/>
      <c r="F559" s="639"/>
      <c r="G559" s="640"/>
      <c r="H559" s="661" t="s">
        <v>46</v>
      </c>
      <c r="I559" s="672">
        <f t="shared" ref="I559:J559" ca="1" si="244">I576</f>
        <v>53985</v>
      </c>
      <c r="J559" s="672">
        <f t="shared" si="244"/>
        <v>0</v>
      </c>
      <c r="K559" s="643">
        <f t="shared" ref="K559:K561" ca="1" si="245">IF(I559&gt;0,J559*100/I559,0)</f>
        <v>0</v>
      </c>
      <c r="L559" s="644"/>
      <c r="M559" s="644"/>
      <c r="N559" s="644"/>
      <c r="O559" s="644"/>
      <c r="P559" s="644"/>
      <c r="Q559" s="541"/>
      <c r="R559" s="541"/>
      <c r="S559" s="541"/>
      <c r="T559" s="541"/>
      <c r="U559" s="541"/>
      <c r="V559" s="541"/>
      <c r="W559" s="541"/>
      <c r="X559" s="541"/>
      <c r="Y559" s="541"/>
      <c r="Z559" s="541"/>
    </row>
    <row r="560" spans="1:26" ht="19.5">
      <c r="A560" s="572"/>
      <c r="B560" s="584"/>
      <c r="C560" s="591" t="s">
        <v>235</v>
      </c>
      <c r="D560" s="584"/>
      <c r="E560" s="592"/>
      <c r="F560" s="592"/>
      <c r="G560" s="726"/>
      <c r="H560" s="731" t="s">
        <v>46</v>
      </c>
      <c r="I560" s="193">
        <f ca="1">IFERROR(__xludf.DUMMYFUNCTION("IMPORTRANGE(""https://docs.google.com/spreadsheets/d/1QqKyyYR6Q21VydFLVH3TRQUabQu_ym0Zz7PgGX0-kHA/edit?usp=sharing"",""แผน!HH30"")"),53985)</f>
        <v>53985</v>
      </c>
      <c r="J560" s="193">
        <f t="shared" ref="J560:J561" si="246">J562+J564+J566</f>
        <v>0</v>
      </c>
      <c r="K560" s="379">
        <f t="shared" ca="1" si="245"/>
        <v>0</v>
      </c>
      <c r="L560" s="163"/>
      <c r="M560" s="163"/>
      <c r="N560" s="163"/>
      <c r="O560" s="163"/>
      <c r="P560" s="163"/>
      <c r="Q560" s="541"/>
      <c r="R560" s="541"/>
      <c r="S560" s="541"/>
      <c r="T560" s="541"/>
      <c r="U560" s="541"/>
      <c r="V560" s="541"/>
      <c r="W560" s="541"/>
      <c r="X560" s="541"/>
      <c r="Y560" s="541"/>
      <c r="Z560" s="541"/>
    </row>
    <row r="561" spans="1:26" ht="19.5">
      <c r="A561" s="572"/>
      <c r="B561" s="584"/>
      <c r="C561" s="584"/>
      <c r="D561" s="592"/>
      <c r="E561" s="592"/>
      <c r="F561" s="592"/>
      <c r="G561" s="726"/>
      <c r="H561" s="731" t="s">
        <v>34</v>
      </c>
      <c r="I561" s="193">
        <f ca="1">IFERROR(__xludf.DUMMYFUNCTION("IMPORTRANGE(""https://docs.google.com/spreadsheets/d/1QqKyyYR6Q21VydFLVH3TRQUabQu_ym0Zz7PgGX0-kHA/edit?usp=sharing"",""แผน!HG30"")"),4693)</f>
        <v>4693</v>
      </c>
      <c r="J561" s="193">
        <f t="shared" si="246"/>
        <v>0</v>
      </c>
      <c r="K561" s="379">
        <f t="shared" ca="1" si="245"/>
        <v>0</v>
      </c>
      <c r="L561" s="163"/>
      <c r="M561" s="163"/>
      <c r="N561" s="163"/>
      <c r="O561" s="163"/>
      <c r="P561" s="163"/>
      <c r="Q561" s="541"/>
      <c r="R561" s="541"/>
      <c r="S561" s="541"/>
      <c r="T561" s="541"/>
      <c r="U561" s="541"/>
      <c r="V561" s="541"/>
      <c r="W561" s="541"/>
      <c r="X561" s="541"/>
      <c r="Y561" s="541"/>
      <c r="Z561" s="541"/>
    </row>
    <row r="562" spans="1:26" ht="18.75">
      <c r="A562" s="572"/>
      <c r="B562" s="584"/>
      <c r="C562" s="584"/>
      <c r="D562" s="592" t="s">
        <v>236</v>
      </c>
      <c r="E562" s="592"/>
      <c r="F562" s="592"/>
      <c r="G562" s="726"/>
      <c r="H562" s="728" t="s">
        <v>46</v>
      </c>
      <c r="I562" s="184"/>
      <c r="J562" s="214">
        <v>0</v>
      </c>
      <c r="K562" s="163"/>
      <c r="L562" s="163"/>
      <c r="M562" s="163"/>
      <c r="N562" s="163"/>
      <c r="O562" s="163"/>
      <c r="P562" s="163"/>
      <c r="Q562" s="541"/>
      <c r="R562" s="541"/>
      <c r="S562" s="541"/>
      <c r="T562" s="541"/>
      <c r="U562" s="541"/>
      <c r="V562" s="541"/>
      <c r="W562" s="541"/>
      <c r="X562" s="541"/>
      <c r="Y562" s="541"/>
      <c r="Z562" s="541"/>
    </row>
    <row r="563" spans="1:26" ht="18.75">
      <c r="A563" s="572"/>
      <c r="B563" s="584"/>
      <c r="C563" s="584"/>
      <c r="D563" s="584"/>
      <c r="E563" s="592"/>
      <c r="F563" s="592"/>
      <c r="G563" s="726"/>
      <c r="H563" s="728" t="s">
        <v>34</v>
      </c>
      <c r="I563" s="184"/>
      <c r="J563" s="214">
        <v>0</v>
      </c>
      <c r="K563" s="163"/>
      <c r="L563" s="163"/>
      <c r="M563" s="163"/>
      <c r="N563" s="163"/>
      <c r="O563" s="163"/>
      <c r="P563" s="163"/>
      <c r="Q563" s="541"/>
      <c r="R563" s="541"/>
      <c r="S563" s="541"/>
      <c r="T563" s="541"/>
      <c r="U563" s="541"/>
      <c r="V563" s="541"/>
      <c r="W563" s="541"/>
      <c r="X563" s="541"/>
      <c r="Y563" s="541"/>
      <c r="Z563" s="541"/>
    </row>
    <row r="564" spans="1:26" ht="18.75">
      <c r="A564" s="572"/>
      <c r="B564" s="584"/>
      <c r="C564" s="584"/>
      <c r="D564" s="592" t="s">
        <v>237</v>
      </c>
      <c r="E564" s="592"/>
      <c r="F564" s="592"/>
      <c r="G564" s="726"/>
      <c r="H564" s="728" t="s">
        <v>46</v>
      </c>
      <c r="I564" s="184"/>
      <c r="J564" s="214">
        <v>0</v>
      </c>
      <c r="K564" s="163"/>
      <c r="L564" s="163"/>
      <c r="M564" s="163"/>
      <c r="N564" s="163"/>
      <c r="O564" s="163"/>
      <c r="P564" s="163"/>
      <c r="Q564" s="541"/>
      <c r="R564" s="541"/>
      <c r="S564" s="541"/>
      <c r="T564" s="541"/>
      <c r="U564" s="541"/>
      <c r="V564" s="541"/>
      <c r="W564" s="541"/>
      <c r="X564" s="541"/>
      <c r="Y564" s="541"/>
      <c r="Z564" s="541"/>
    </row>
    <row r="565" spans="1:26" ht="18.75">
      <c r="A565" s="572"/>
      <c r="B565" s="584"/>
      <c r="C565" s="584"/>
      <c r="D565" s="592"/>
      <c r="E565" s="592"/>
      <c r="F565" s="592"/>
      <c r="G565" s="726"/>
      <c r="H565" s="728" t="s">
        <v>34</v>
      </c>
      <c r="I565" s="184"/>
      <c r="J565" s="214">
        <v>0</v>
      </c>
      <c r="K565" s="163"/>
      <c r="L565" s="163"/>
      <c r="M565" s="163"/>
      <c r="N565" s="163"/>
      <c r="O565" s="163"/>
      <c r="P565" s="163"/>
      <c r="Q565" s="541"/>
      <c r="R565" s="541"/>
      <c r="S565" s="541"/>
      <c r="T565" s="541"/>
      <c r="U565" s="541"/>
      <c r="V565" s="541"/>
      <c r="W565" s="541"/>
      <c r="X565" s="541"/>
      <c r="Y565" s="541"/>
      <c r="Z565" s="541"/>
    </row>
    <row r="566" spans="1:26" ht="18.75">
      <c r="A566" s="572"/>
      <c r="B566" s="584"/>
      <c r="C566" s="584"/>
      <c r="D566" s="592" t="s">
        <v>238</v>
      </c>
      <c r="E566" s="592"/>
      <c r="F566" s="592"/>
      <c r="G566" s="726"/>
      <c r="H566" s="728" t="s">
        <v>46</v>
      </c>
      <c r="I566" s="184"/>
      <c r="J566" s="214">
        <v>0</v>
      </c>
      <c r="K566" s="163"/>
      <c r="L566" s="163"/>
      <c r="M566" s="163"/>
      <c r="N566" s="163"/>
      <c r="O566" s="163"/>
      <c r="P566" s="163"/>
      <c r="Q566" s="541"/>
      <c r="R566" s="541"/>
      <c r="S566" s="541"/>
      <c r="T566" s="541"/>
      <c r="U566" s="541"/>
      <c r="V566" s="541"/>
      <c r="W566" s="541"/>
      <c r="X566" s="541"/>
      <c r="Y566" s="541"/>
      <c r="Z566" s="541"/>
    </row>
    <row r="567" spans="1:26" ht="18.75">
      <c r="A567" s="572"/>
      <c r="B567" s="584"/>
      <c r="C567" s="584"/>
      <c r="D567" s="592"/>
      <c r="E567" s="592"/>
      <c r="F567" s="592"/>
      <c r="G567" s="726"/>
      <c r="H567" s="728" t="s">
        <v>34</v>
      </c>
      <c r="I567" s="184"/>
      <c r="J567" s="214">
        <v>0</v>
      </c>
      <c r="K567" s="163"/>
      <c r="L567" s="163"/>
      <c r="M567" s="163"/>
      <c r="N567" s="163"/>
      <c r="O567" s="163"/>
      <c r="P567" s="163"/>
      <c r="Q567" s="541"/>
      <c r="R567" s="541"/>
      <c r="S567" s="541"/>
      <c r="T567" s="541"/>
      <c r="U567" s="541"/>
      <c r="V567" s="541"/>
      <c r="W567" s="541"/>
      <c r="X567" s="541"/>
      <c r="Y567" s="541"/>
      <c r="Z567" s="541"/>
    </row>
    <row r="568" spans="1:26" ht="19.5">
      <c r="A568" s="572"/>
      <c r="B568" s="584"/>
      <c r="C568" s="591" t="s">
        <v>239</v>
      </c>
      <c r="D568" s="592"/>
      <c r="E568" s="592"/>
      <c r="F568" s="592"/>
      <c r="G568" s="726"/>
      <c r="H568" s="731" t="s">
        <v>46</v>
      </c>
      <c r="I568" s="193">
        <f ca="1">IFERROR(__xludf.DUMMYFUNCTION("IMPORTRANGE(""https://docs.google.com/spreadsheets/d/1QqKyyYR6Q21VydFLVH3TRQUabQu_ym0Zz7PgGX0-kHA/edit?usp=sharing"",""แผน!HH30"")"),53985)</f>
        <v>53985</v>
      </c>
      <c r="J568" s="647">
        <f t="shared" ref="J568:J569" si="247">J570+J572+J574</f>
        <v>0</v>
      </c>
      <c r="K568" s="379">
        <f t="shared" ref="K568:K569" ca="1" si="248">IF(I568&gt;0,J568*100/I568,0)</f>
        <v>0</v>
      </c>
      <c r="L568" s="163"/>
      <c r="M568" s="163"/>
      <c r="N568" s="163"/>
      <c r="O568" s="163"/>
      <c r="P568" s="163"/>
      <c r="Q568" s="541"/>
      <c r="R568" s="541"/>
      <c r="S568" s="541"/>
      <c r="T568" s="541"/>
      <c r="U568" s="541"/>
      <c r="V568" s="541"/>
      <c r="W568" s="541"/>
      <c r="X568" s="541"/>
      <c r="Y568" s="541"/>
      <c r="Z568" s="541"/>
    </row>
    <row r="569" spans="1:26" ht="19.5">
      <c r="A569" s="572"/>
      <c r="B569" s="584"/>
      <c r="C569" s="584"/>
      <c r="D569" s="584"/>
      <c r="E569" s="592"/>
      <c r="F569" s="592"/>
      <c r="G569" s="726"/>
      <c r="H569" s="731" t="s">
        <v>34</v>
      </c>
      <c r="I569" s="193">
        <f ca="1">IFERROR(__xludf.DUMMYFUNCTION("IMPORTRANGE(""https://docs.google.com/spreadsheets/d/1QqKyyYR6Q21VydFLVH3TRQUabQu_ym0Zz7PgGX0-kHA/edit?usp=sharing"",""แผน!HG30"")"),4693)</f>
        <v>4693</v>
      </c>
      <c r="J569" s="647">
        <f t="shared" si="247"/>
        <v>0</v>
      </c>
      <c r="K569" s="379">
        <f t="shared" ca="1" si="248"/>
        <v>0</v>
      </c>
      <c r="L569" s="163"/>
      <c r="M569" s="163"/>
      <c r="N569" s="163"/>
      <c r="O569" s="163"/>
      <c r="P569" s="163"/>
      <c r="Q569" s="541"/>
      <c r="R569" s="541"/>
      <c r="S569" s="541"/>
      <c r="T569" s="541"/>
      <c r="U569" s="541"/>
      <c r="V569" s="541"/>
      <c r="W569" s="541"/>
      <c r="X569" s="541"/>
      <c r="Y569" s="541"/>
      <c r="Z569" s="541"/>
    </row>
    <row r="570" spans="1:26" ht="18.75">
      <c r="A570" s="572"/>
      <c r="B570" s="584"/>
      <c r="C570" s="584"/>
      <c r="D570" s="592" t="s">
        <v>240</v>
      </c>
      <c r="E570" s="584"/>
      <c r="F570" s="592"/>
      <c r="G570" s="726"/>
      <c r="H570" s="728" t="s">
        <v>46</v>
      </c>
      <c r="I570" s="184"/>
      <c r="J570" s="214">
        <v>0</v>
      </c>
      <c r="K570" s="163"/>
      <c r="L570" s="163"/>
      <c r="M570" s="163"/>
      <c r="N570" s="163"/>
      <c r="O570" s="163"/>
      <c r="P570" s="163"/>
      <c r="Q570" s="541"/>
      <c r="R570" s="541"/>
      <c r="S570" s="541"/>
      <c r="T570" s="541"/>
      <c r="U570" s="541"/>
      <c r="V570" s="541"/>
      <c r="W570" s="541"/>
      <c r="X570" s="541"/>
      <c r="Y570" s="541"/>
      <c r="Z570" s="541"/>
    </row>
    <row r="571" spans="1:26" ht="18.75">
      <c r="A571" s="572"/>
      <c r="B571" s="584"/>
      <c r="C571" s="584"/>
      <c r="D571" s="584"/>
      <c r="E571" s="592"/>
      <c r="F571" s="592"/>
      <c r="G571" s="726"/>
      <c r="H571" s="728" t="s">
        <v>34</v>
      </c>
      <c r="I571" s="184"/>
      <c r="J571" s="214">
        <v>0</v>
      </c>
      <c r="K571" s="163"/>
      <c r="L571" s="163"/>
      <c r="M571" s="163"/>
      <c r="N571" s="163"/>
      <c r="O571" s="163"/>
      <c r="P571" s="163"/>
      <c r="Q571" s="541"/>
      <c r="R571" s="541"/>
      <c r="S571" s="541"/>
      <c r="T571" s="541"/>
      <c r="U571" s="541"/>
      <c r="V571" s="541"/>
      <c r="W571" s="541"/>
      <c r="X571" s="541"/>
      <c r="Y571" s="541"/>
      <c r="Z571" s="541"/>
    </row>
    <row r="572" spans="1:26" ht="18.75">
      <c r="A572" s="572"/>
      <c r="B572" s="584"/>
      <c r="C572" s="584"/>
      <c r="D572" s="592" t="s">
        <v>241</v>
      </c>
      <c r="E572" s="592"/>
      <c r="F572" s="592"/>
      <c r="G572" s="726"/>
      <c r="H572" s="728" t="s">
        <v>46</v>
      </c>
      <c r="I572" s="184"/>
      <c r="J572" s="214">
        <v>0</v>
      </c>
      <c r="K572" s="163"/>
      <c r="L572" s="163"/>
      <c r="M572" s="163"/>
      <c r="N572" s="163"/>
      <c r="O572" s="163"/>
      <c r="P572" s="163"/>
      <c r="Q572" s="541"/>
      <c r="R572" s="541"/>
      <c r="S572" s="541"/>
      <c r="T572" s="541"/>
      <c r="U572" s="541"/>
      <c r="V572" s="541"/>
      <c r="W572" s="541"/>
      <c r="X572" s="541"/>
      <c r="Y572" s="541"/>
      <c r="Z572" s="541"/>
    </row>
    <row r="573" spans="1:26" ht="18.75">
      <c r="A573" s="572"/>
      <c r="B573" s="584"/>
      <c r="C573" s="584"/>
      <c r="D573" s="592"/>
      <c r="E573" s="592"/>
      <c r="F573" s="592"/>
      <c r="G573" s="726"/>
      <c r="H573" s="728" t="s">
        <v>34</v>
      </c>
      <c r="I573" s="184"/>
      <c r="J573" s="214">
        <v>0</v>
      </c>
      <c r="K573" s="163"/>
      <c r="L573" s="163"/>
      <c r="M573" s="163"/>
      <c r="N573" s="163"/>
      <c r="O573" s="163"/>
      <c r="P573" s="163"/>
      <c r="Q573" s="541"/>
      <c r="R573" s="541"/>
      <c r="S573" s="541"/>
      <c r="T573" s="541"/>
      <c r="U573" s="541"/>
      <c r="V573" s="541"/>
      <c r="W573" s="541"/>
      <c r="X573" s="541"/>
      <c r="Y573" s="541"/>
      <c r="Z573" s="541"/>
    </row>
    <row r="574" spans="1:26" ht="18.75">
      <c r="A574" s="572"/>
      <c r="B574" s="584"/>
      <c r="C574" s="584"/>
      <c r="D574" s="592" t="s">
        <v>242</v>
      </c>
      <c r="E574" s="592"/>
      <c r="F574" s="592"/>
      <c r="G574" s="726"/>
      <c r="H574" s="728" t="s">
        <v>46</v>
      </c>
      <c r="I574" s="184"/>
      <c r="J574" s="214">
        <v>0</v>
      </c>
      <c r="K574" s="163"/>
      <c r="L574" s="163"/>
      <c r="M574" s="163"/>
      <c r="N574" s="163"/>
      <c r="O574" s="163"/>
      <c r="P574" s="163"/>
      <c r="Q574" s="541"/>
      <c r="R574" s="541"/>
      <c r="S574" s="541"/>
      <c r="T574" s="541"/>
      <c r="U574" s="541"/>
      <c r="V574" s="541"/>
      <c r="W574" s="541"/>
      <c r="X574" s="541"/>
      <c r="Y574" s="541"/>
      <c r="Z574" s="541"/>
    </row>
    <row r="575" spans="1:26" ht="18.75">
      <c r="A575" s="572"/>
      <c r="B575" s="584"/>
      <c r="C575" s="584"/>
      <c r="D575" s="584"/>
      <c r="E575" s="592"/>
      <c r="F575" s="592"/>
      <c r="G575" s="726"/>
      <c r="H575" s="728" t="s">
        <v>34</v>
      </c>
      <c r="I575" s="184"/>
      <c r="J575" s="214">
        <v>0</v>
      </c>
      <c r="K575" s="163"/>
      <c r="L575" s="163"/>
      <c r="M575" s="163"/>
      <c r="N575" s="163"/>
      <c r="O575" s="163"/>
      <c r="P575" s="163"/>
      <c r="Q575" s="541"/>
      <c r="R575" s="541"/>
      <c r="S575" s="541"/>
      <c r="T575" s="541"/>
      <c r="U575" s="541"/>
      <c r="V575" s="541"/>
      <c r="W575" s="541"/>
      <c r="X575" s="541"/>
      <c r="Y575" s="541"/>
      <c r="Z575" s="541"/>
    </row>
    <row r="576" spans="1:26" ht="19.5">
      <c r="A576" s="572"/>
      <c r="B576" s="584"/>
      <c r="C576" s="591" t="s">
        <v>243</v>
      </c>
      <c r="D576" s="584"/>
      <c r="E576" s="584"/>
      <c r="F576" s="592"/>
      <c r="G576" s="726"/>
      <c r="H576" s="731" t="s">
        <v>46</v>
      </c>
      <c r="I576" s="193">
        <f ca="1">IFERROR(__xludf.DUMMYFUNCTION("IMPORTRANGE(""https://docs.google.com/spreadsheets/d/1QqKyyYR6Q21VydFLVH3TRQUabQu_ym0Zz7PgGX0-kHA/edit?usp=sharing"",""แผน!HH30"")"),53985)</f>
        <v>53985</v>
      </c>
      <c r="J576" s="647">
        <f t="shared" ref="J576:J577" si="249">J578+J580+J582+J588+J590</f>
        <v>0</v>
      </c>
      <c r="K576" s="379">
        <f t="shared" ref="K576:K577" ca="1" si="250">IF(I576&gt;0,J576*100/I576,0)</f>
        <v>0</v>
      </c>
      <c r="L576" s="163"/>
      <c r="M576" s="163"/>
      <c r="N576" s="163"/>
      <c r="O576" s="163"/>
      <c r="P576" s="163"/>
      <c r="Q576" s="541"/>
      <c r="R576" s="541"/>
      <c r="S576" s="541"/>
      <c r="T576" s="541"/>
      <c r="U576" s="541"/>
      <c r="V576" s="541"/>
      <c r="W576" s="541"/>
      <c r="X576" s="541"/>
      <c r="Y576" s="541"/>
      <c r="Z576" s="541"/>
    </row>
    <row r="577" spans="1:26" ht="19.5">
      <c r="A577" s="572"/>
      <c r="B577" s="584"/>
      <c r="C577" s="584"/>
      <c r="D577" s="584"/>
      <c r="E577" s="592"/>
      <c r="F577" s="592"/>
      <c r="G577" s="726"/>
      <c r="H577" s="731" t="s">
        <v>34</v>
      </c>
      <c r="I577" s="193">
        <f ca="1">IFERROR(__xludf.DUMMYFUNCTION("IMPORTRANGE(""https://docs.google.com/spreadsheets/d/1QqKyyYR6Q21VydFLVH3TRQUabQu_ym0Zz7PgGX0-kHA/edit?usp=sharing"",""แผน!HG30"")"),4693)</f>
        <v>4693</v>
      </c>
      <c r="J577" s="647">
        <f t="shared" si="249"/>
        <v>0</v>
      </c>
      <c r="K577" s="379">
        <f t="shared" ca="1" si="250"/>
        <v>0</v>
      </c>
      <c r="L577" s="163"/>
      <c r="M577" s="163"/>
      <c r="N577" s="163"/>
      <c r="O577" s="163"/>
      <c r="P577" s="163"/>
      <c r="Q577" s="541"/>
      <c r="R577" s="541"/>
      <c r="S577" s="541"/>
      <c r="T577" s="541"/>
      <c r="U577" s="541"/>
      <c r="V577" s="541"/>
      <c r="W577" s="541"/>
      <c r="X577" s="541"/>
      <c r="Y577" s="541"/>
      <c r="Z577" s="541"/>
    </row>
    <row r="578" spans="1:26" ht="18.75">
      <c r="A578" s="572"/>
      <c r="B578" s="584"/>
      <c r="C578" s="584"/>
      <c r="D578" s="592" t="s">
        <v>244</v>
      </c>
      <c r="E578" s="592"/>
      <c r="F578" s="592"/>
      <c r="G578" s="726"/>
      <c r="H578" s="728" t="s">
        <v>46</v>
      </c>
      <c r="I578" s="184"/>
      <c r="J578" s="214">
        <v>0</v>
      </c>
      <c r="K578" s="163"/>
      <c r="L578" s="163"/>
      <c r="M578" s="163"/>
      <c r="N578" s="163"/>
      <c r="O578" s="163"/>
      <c r="P578" s="163"/>
      <c r="Q578" s="541"/>
      <c r="R578" s="541"/>
      <c r="S578" s="541"/>
      <c r="T578" s="541"/>
      <c r="U578" s="541"/>
      <c r="V578" s="541"/>
      <c r="W578" s="541"/>
      <c r="X578" s="541"/>
      <c r="Y578" s="541"/>
      <c r="Z578" s="541"/>
    </row>
    <row r="579" spans="1:26" ht="18.75">
      <c r="A579" s="572"/>
      <c r="B579" s="584"/>
      <c r="C579" s="584"/>
      <c r="D579" s="584"/>
      <c r="E579" s="592"/>
      <c r="F579" s="592"/>
      <c r="G579" s="726"/>
      <c r="H579" s="728" t="s">
        <v>34</v>
      </c>
      <c r="I579" s="184"/>
      <c r="J579" s="214">
        <v>0</v>
      </c>
      <c r="K579" s="163"/>
      <c r="L579" s="163"/>
      <c r="M579" s="163"/>
      <c r="N579" s="163"/>
      <c r="O579" s="163"/>
      <c r="P579" s="163"/>
      <c r="Q579" s="541"/>
      <c r="R579" s="541"/>
      <c r="S579" s="541"/>
      <c r="T579" s="541"/>
      <c r="U579" s="541"/>
      <c r="V579" s="541"/>
      <c r="W579" s="541"/>
      <c r="X579" s="541"/>
      <c r="Y579" s="541"/>
      <c r="Z579" s="541"/>
    </row>
    <row r="580" spans="1:26" ht="18.75">
      <c r="A580" s="572"/>
      <c r="B580" s="584"/>
      <c r="C580" s="584"/>
      <c r="D580" s="592" t="s">
        <v>245</v>
      </c>
      <c r="E580" s="592"/>
      <c r="F580" s="592"/>
      <c r="G580" s="726"/>
      <c r="H580" s="728" t="s">
        <v>46</v>
      </c>
      <c r="I580" s="184"/>
      <c r="J580" s="214">
        <v>0</v>
      </c>
      <c r="K580" s="163"/>
      <c r="L580" s="163"/>
      <c r="M580" s="163"/>
      <c r="N580" s="163"/>
      <c r="O580" s="163"/>
      <c r="P580" s="163"/>
      <c r="Q580" s="541"/>
      <c r="R580" s="541"/>
      <c r="S580" s="541"/>
      <c r="T580" s="541"/>
      <c r="U580" s="541"/>
      <c r="V580" s="541"/>
      <c r="W580" s="541"/>
      <c r="X580" s="541"/>
      <c r="Y580" s="541"/>
      <c r="Z580" s="541"/>
    </row>
    <row r="581" spans="1:26" ht="18.75">
      <c r="A581" s="572"/>
      <c r="B581" s="584"/>
      <c r="C581" s="584"/>
      <c r="D581" s="584"/>
      <c r="E581" s="592"/>
      <c r="F581" s="592"/>
      <c r="G581" s="726"/>
      <c r="H581" s="728" t="s">
        <v>34</v>
      </c>
      <c r="I581" s="184"/>
      <c r="J581" s="214">
        <v>0</v>
      </c>
      <c r="K581" s="163"/>
      <c r="L581" s="163"/>
      <c r="M581" s="163"/>
      <c r="N581" s="163"/>
      <c r="O581" s="163"/>
      <c r="P581" s="163"/>
      <c r="Q581" s="541"/>
      <c r="R581" s="541"/>
      <c r="S581" s="541"/>
      <c r="T581" s="541"/>
      <c r="U581" s="541"/>
      <c r="V581" s="541"/>
      <c r="W581" s="541"/>
      <c r="X581" s="541"/>
      <c r="Y581" s="541"/>
      <c r="Z581" s="541"/>
    </row>
    <row r="582" spans="1:26" ht="19.5">
      <c r="A582" s="572"/>
      <c r="B582" s="584"/>
      <c r="C582" s="584"/>
      <c r="D582" s="592" t="s">
        <v>246</v>
      </c>
      <c r="E582" s="592"/>
      <c r="F582" s="592"/>
      <c r="G582" s="726"/>
      <c r="H582" s="728" t="s">
        <v>46</v>
      </c>
      <c r="I582" s="184"/>
      <c r="J582" s="647">
        <f t="shared" ref="J582:J583" si="251">J584+J586</f>
        <v>0</v>
      </c>
      <c r="K582" s="379"/>
      <c r="L582" s="163"/>
      <c r="M582" s="163"/>
      <c r="N582" s="163"/>
      <c r="O582" s="163"/>
      <c r="P582" s="163"/>
      <c r="Q582" s="541"/>
      <c r="R582" s="541"/>
      <c r="S582" s="541"/>
      <c r="T582" s="541"/>
      <c r="U582" s="541"/>
      <c r="V582" s="541"/>
      <c r="W582" s="541"/>
      <c r="X582" s="541"/>
      <c r="Y582" s="541"/>
      <c r="Z582" s="541"/>
    </row>
    <row r="583" spans="1:26" ht="19.5">
      <c r="A583" s="572"/>
      <c r="B583" s="584"/>
      <c r="C583" s="584"/>
      <c r="D583" s="584"/>
      <c r="E583" s="592"/>
      <c r="F583" s="592"/>
      <c r="G583" s="726"/>
      <c r="H583" s="728" t="s">
        <v>34</v>
      </c>
      <c r="I583" s="184"/>
      <c r="J583" s="647">
        <f t="shared" si="251"/>
        <v>0</v>
      </c>
      <c r="K583" s="379"/>
      <c r="L583" s="163"/>
      <c r="M583" s="163"/>
      <c r="N583" s="163"/>
      <c r="O583" s="163"/>
      <c r="P583" s="163"/>
      <c r="Q583" s="541"/>
      <c r="R583" s="541"/>
      <c r="S583" s="541"/>
      <c r="T583" s="541"/>
      <c r="U583" s="541"/>
      <c r="V583" s="541"/>
      <c r="W583" s="541"/>
      <c r="X583" s="541"/>
      <c r="Y583" s="541"/>
      <c r="Z583" s="541"/>
    </row>
    <row r="584" spans="1:26" ht="18.75">
      <c r="A584" s="572"/>
      <c r="B584" s="584"/>
      <c r="C584" s="584"/>
      <c r="D584" s="584"/>
      <c r="E584" s="592" t="s">
        <v>247</v>
      </c>
      <c r="F584" s="592"/>
      <c r="G584" s="726"/>
      <c r="H584" s="728" t="s">
        <v>46</v>
      </c>
      <c r="I584" s="184"/>
      <c r="J584" s="214">
        <v>0</v>
      </c>
      <c r="K584" s="163"/>
      <c r="L584" s="163"/>
      <c r="M584" s="163"/>
      <c r="N584" s="163"/>
      <c r="O584" s="163"/>
      <c r="P584" s="163"/>
      <c r="Q584" s="541"/>
      <c r="R584" s="541"/>
      <c r="S584" s="541"/>
      <c r="T584" s="541"/>
      <c r="U584" s="541"/>
      <c r="V584" s="541"/>
      <c r="W584" s="541"/>
      <c r="X584" s="541"/>
      <c r="Y584" s="541"/>
      <c r="Z584" s="541"/>
    </row>
    <row r="585" spans="1:26" ht="18.75">
      <c r="A585" s="572"/>
      <c r="B585" s="584"/>
      <c r="C585" s="584"/>
      <c r="D585" s="584"/>
      <c r="E585" s="592"/>
      <c r="F585" s="592"/>
      <c r="G585" s="726"/>
      <c r="H585" s="728" t="s">
        <v>34</v>
      </c>
      <c r="I585" s="184"/>
      <c r="J585" s="214">
        <v>0</v>
      </c>
      <c r="K585" s="163"/>
      <c r="L585" s="163"/>
      <c r="M585" s="163"/>
      <c r="N585" s="163"/>
      <c r="O585" s="163"/>
      <c r="P585" s="163"/>
      <c r="Q585" s="541"/>
      <c r="R585" s="541"/>
      <c r="S585" s="541"/>
      <c r="T585" s="541"/>
      <c r="U585" s="541"/>
      <c r="V585" s="541"/>
      <c r="W585" s="541"/>
      <c r="X585" s="541"/>
      <c r="Y585" s="541"/>
      <c r="Z585" s="541"/>
    </row>
    <row r="586" spans="1:26" ht="18.75">
      <c r="A586" s="572"/>
      <c r="B586" s="584"/>
      <c r="C586" s="584"/>
      <c r="D586" s="584"/>
      <c r="E586" s="592" t="s">
        <v>248</v>
      </c>
      <c r="F586" s="592"/>
      <c r="G586" s="726"/>
      <c r="H586" s="728" t="s">
        <v>46</v>
      </c>
      <c r="I586" s="184"/>
      <c r="J586" s="214">
        <v>0</v>
      </c>
      <c r="K586" s="163"/>
      <c r="L586" s="163"/>
      <c r="M586" s="163"/>
      <c r="N586" s="163"/>
      <c r="O586" s="163"/>
      <c r="P586" s="163"/>
      <c r="Q586" s="541"/>
      <c r="R586" s="541"/>
      <c r="S586" s="541"/>
      <c r="T586" s="541"/>
      <c r="U586" s="541"/>
      <c r="V586" s="541"/>
      <c r="W586" s="541"/>
      <c r="X586" s="541"/>
      <c r="Y586" s="541"/>
      <c r="Z586" s="541"/>
    </row>
    <row r="587" spans="1:26" ht="18.75">
      <c r="A587" s="572"/>
      <c r="B587" s="584"/>
      <c r="C587" s="584"/>
      <c r="D587" s="584"/>
      <c r="E587" s="584"/>
      <c r="F587" s="592"/>
      <c r="G587" s="726"/>
      <c r="H587" s="728" t="s">
        <v>34</v>
      </c>
      <c r="I587" s="184"/>
      <c r="J587" s="214">
        <v>0</v>
      </c>
      <c r="K587" s="163"/>
      <c r="L587" s="163"/>
      <c r="M587" s="163"/>
      <c r="N587" s="163"/>
      <c r="O587" s="163"/>
      <c r="P587" s="163"/>
      <c r="Q587" s="541"/>
      <c r="R587" s="541"/>
      <c r="S587" s="541"/>
      <c r="T587" s="541"/>
      <c r="U587" s="541"/>
      <c r="V587" s="541"/>
      <c r="W587" s="541"/>
      <c r="X587" s="541"/>
      <c r="Y587" s="541"/>
      <c r="Z587" s="541"/>
    </row>
    <row r="588" spans="1:26" ht="18.75">
      <c r="A588" s="572"/>
      <c r="B588" s="584"/>
      <c r="C588" s="584"/>
      <c r="D588" s="592" t="s">
        <v>249</v>
      </c>
      <c r="E588" s="592"/>
      <c r="F588" s="592"/>
      <c r="G588" s="726"/>
      <c r="H588" s="728" t="s">
        <v>46</v>
      </c>
      <c r="I588" s="184"/>
      <c r="J588" s="214">
        <v>0</v>
      </c>
      <c r="K588" s="163"/>
      <c r="L588" s="163"/>
      <c r="M588" s="163"/>
      <c r="N588" s="163"/>
      <c r="O588" s="163"/>
      <c r="P588" s="163"/>
      <c r="Q588" s="541"/>
      <c r="R588" s="541"/>
      <c r="S588" s="541"/>
      <c r="T588" s="541"/>
      <c r="U588" s="541"/>
      <c r="V588" s="541"/>
      <c r="W588" s="541"/>
      <c r="X588" s="541"/>
      <c r="Y588" s="541"/>
      <c r="Z588" s="541"/>
    </row>
    <row r="589" spans="1:26" ht="18.75">
      <c r="A589" s="572"/>
      <c r="B589" s="584"/>
      <c r="C589" s="584"/>
      <c r="D589" s="584"/>
      <c r="E589" s="584"/>
      <c r="F589" s="592"/>
      <c r="G589" s="726"/>
      <c r="H589" s="728" t="s">
        <v>34</v>
      </c>
      <c r="I589" s="184"/>
      <c r="J589" s="214">
        <v>0</v>
      </c>
      <c r="K589" s="163"/>
      <c r="L589" s="163"/>
      <c r="M589" s="163"/>
      <c r="N589" s="163"/>
      <c r="O589" s="163"/>
      <c r="P589" s="163"/>
      <c r="Q589" s="541"/>
      <c r="R589" s="541"/>
      <c r="S589" s="541"/>
      <c r="T589" s="541"/>
      <c r="U589" s="541"/>
      <c r="V589" s="541"/>
      <c r="W589" s="541"/>
      <c r="X589" s="541"/>
      <c r="Y589" s="541"/>
      <c r="Z589" s="541"/>
    </row>
    <row r="590" spans="1:26" ht="18.75">
      <c r="A590" s="572"/>
      <c r="B590" s="584"/>
      <c r="C590" s="584"/>
      <c r="D590" s="592" t="s">
        <v>250</v>
      </c>
      <c r="E590" s="592"/>
      <c r="F590" s="592"/>
      <c r="G590" s="726"/>
      <c r="H590" s="728" t="s">
        <v>46</v>
      </c>
      <c r="I590" s="184"/>
      <c r="J590" s="214">
        <v>0</v>
      </c>
      <c r="K590" s="163"/>
      <c r="L590" s="163"/>
      <c r="M590" s="163"/>
      <c r="N590" s="163"/>
      <c r="O590" s="163"/>
      <c r="P590" s="163"/>
      <c r="Q590" s="541"/>
      <c r="R590" s="541"/>
      <c r="S590" s="541"/>
      <c r="T590" s="541"/>
      <c r="U590" s="541"/>
      <c r="V590" s="541"/>
      <c r="W590" s="541"/>
      <c r="X590" s="541"/>
      <c r="Y590" s="541"/>
      <c r="Z590" s="541"/>
    </row>
    <row r="591" spans="1:26" ht="18.75">
      <c r="A591" s="662"/>
      <c r="B591" s="663"/>
      <c r="C591" s="663"/>
      <c r="D591" s="663"/>
      <c r="E591" s="541"/>
      <c r="F591" s="541"/>
      <c r="G591" s="664"/>
      <c r="H591" s="665" t="s">
        <v>34</v>
      </c>
      <c r="I591" s="666"/>
      <c r="J591" s="667">
        <v>0</v>
      </c>
      <c r="K591" s="668"/>
      <c r="L591" s="668"/>
      <c r="M591" s="668"/>
      <c r="N591" s="668"/>
      <c r="O591" s="668"/>
      <c r="P591" s="668"/>
      <c r="Q591" s="541"/>
      <c r="R591" s="541"/>
      <c r="S591" s="541"/>
      <c r="T591" s="541"/>
      <c r="U591" s="541"/>
      <c r="V591" s="541"/>
      <c r="W591" s="541"/>
      <c r="X591" s="541"/>
      <c r="Y591" s="541"/>
      <c r="Z591" s="541"/>
    </row>
    <row r="592" spans="1:26" ht="19.5">
      <c r="A592" s="658"/>
      <c r="B592" s="659" t="s">
        <v>251</v>
      </c>
      <c r="C592" s="660"/>
      <c r="D592" s="660"/>
      <c r="E592" s="639"/>
      <c r="F592" s="639"/>
      <c r="G592" s="640"/>
      <c r="H592" s="661" t="s">
        <v>46</v>
      </c>
      <c r="I592" s="672">
        <f t="shared" ref="I592:J592" ca="1" si="252">I593</f>
        <v>5127</v>
      </c>
      <c r="J592" s="672">
        <f t="shared" si="252"/>
        <v>0</v>
      </c>
      <c r="K592" s="643">
        <f t="shared" ref="K592:K594" ca="1" si="253">IF(I592&gt;0,J592*100/I592,0)</f>
        <v>0</v>
      </c>
      <c r="L592" s="644"/>
      <c r="M592" s="644"/>
      <c r="N592" s="644"/>
      <c r="O592" s="644"/>
      <c r="P592" s="644"/>
      <c r="Q592" s="541"/>
      <c r="R592" s="541"/>
      <c r="S592" s="541"/>
      <c r="T592" s="541"/>
      <c r="U592" s="541"/>
      <c r="V592" s="541"/>
      <c r="W592" s="541"/>
      <c r="X592" s="541"/>
      <c r="Y592" s="541"/>
      <c r="Z592" s="541"/>
    </row>
    <row r="593" spans="1:26" ht="19.5">
      <c r="A593" s="572"/>
      <c r="B593" s="584"/>
      <c r="C593" s="591" t="s">
        <v>252</v>
      </c>
      <c r="D593" s="584"/>
      <c r="E593" s="584"/>
      <c r="F593" s="592"/>
      <c r="G593" s="726"/>
      <c r="H593" s="731" t="s">
        <v>46</v>
      </c>
      <c r="I593" s="193">
        <f ca="1">IFERROR(__xludf.DUMMYFUNCTION("IMPORTRANGE(""https://docs.google.com/spreadsheets/d/1QqKyyYR6Q21VydFLVH3TRQUabQu_ym0Zz7PgGX0-kHA/edit?usp=sharing"",""แผน!HJ30"")"),5127)</f>
        <v>5127</v>
      </c>
      <c r="J593" s="193">
        <f t="shared" ref="J593:J594" si="254">J595+J603+J609</f>
        <v>0</v>
      </c>
      <c r="K593" s="379">
        <f t="shared" ca="1" si="253"/>
        <v>0</v>
      </c>
      <c r="L593" s="163"/>
      <c r="M593" s="163"/>
      <c r="N593" s="163"/>
      <c r="O593" s="163"/>
      <c r="P593" s="163"/>
      <c r="Q593" s="541"/>
      <c r="R593" s="541"/>
      <c r="S593" s="541"/>
      <c r="T593" s="541"/>
      <c r="U593" s="541"/>
      <c r="V593" s="541"/>
      <c r="W593" s="541"/>
      <c r="X593" s="541"/>
      <c r="Y593" s="541"/>
      <c r="Z593" s="541"/>
    </row>
    <row r="594" spans="1:26" ht="19.5">
      <c r="A594" s="572"/>
      <c r="B594" s="584"/>
      <c r="C594" s="584"/>
      <c r="D594" s="584"/>
      <c r="E594" s="592"/>
      <c r="F594" s="592"/>
      <c r="G594" s="726"/>
      <c r="H594" s="731" t="s">
        <v>34</v>
      </c>
      <c r="I594" s="193">
        <f ca="1">IFERROR(__xludf.DUMMYFUNCTION("IMPORTRANGE(""https://docs.google.com/spreadsheets/d/1QqKyyYR6Q21VydFLVH3TRQUabQu_ym0Zz7PgGX0-kHA/edit?usp=sharing"",""แผน!HI30"")"),358)</f>
        <v>358</v>
      </c>
      <c r="J594" s="193">
        <f t="shared" si="254"/>
        <v>0</v>
      </c>
      <c r="K594" s="379">
        <f t="shared" ca="1" si="253"/>
        <v>0</v>
      </c>
      <c r="L594" s="163"/>
      <c r="M594" s="163"/>
      <c r="N594" s="163"/>
      <c r="O594" s="163"/>
      <c r="P594" s="163"/>
      <c r="Q594" s="541"/>
      <c r="R594" s="541"/>
      <c r="S594" s="541"/>
      <c r="T594" s="541"/>
      <c r="U594" s="541"/>
      <c r="V594" s="541"/>
      <c r="W594" s="541"/>
      <c r="X594" s="541"/>
      <c r="Y594" s="541"/>
      <c r="Z594" s="541"/>
    </row>
    <row r="595" spans="1:26" ht="18.75">
      <c r="A595" s="572"/>
      <c r="B595" s="584"/>
      <c r="C595" s="584" t="s">
        <v>253</v>
      </c>
      <c r="D595" s="584"/>
      <c r="E595" s="584"/>
      <c r="F595" s="592"/>
      <c r="G595" s="726"/>
      <c r="H595" s="728" t="s">
        <v>46</v>
      </c>
      <c r="I595" s="184"/>
      <c r="J595" s="184">
        <f t="shared" ref="J595:J596" si="255">J597+J599</f>
        <v>0</v>
      </c>
      <c r="K595" s="163"/>
      <c r="L595" s="163"/>
      <c r="M595" s="163"/>
      <c r="N595" s="163"/>
      <c r="O595" s="163"/>
      <c r="P595" s="163"/>
      <c r="Q595" s="541"/>
      <c r="R595" s="541"/>
      <c r="S595" s="541"/>
      <c r="T595" s="541"/>
      <c r="U595" s="541"/>
      <c r="V595" s="541"/>
      <c r="W595" s="541"/>
      <c r="X595" s="541"/>
      <c r="Y595" s="541"/>
      <c r="Z595" s="541"/>
    </row>
    <row r="596" spans="1:26" ht="18.75">
      <c r="A596" s="572"/>
      <c r="B596" s="584"/>
      <c r="C596" s="584"/>
      <c r="D596" s="584"/>
      <c r="E596" s="592"/>
      <c r="F596" s="592"/>
      <c r="G596" s="726"/>
      <c r="H596" s="728" t="s">
        <v>34</v>
      </c>
      <c r="I596" s="184"/>
      <c r="J596" s="184">
        <f t="shared" si="255"/>
        <v>0</v>
      </c>
      <c r="K596" s="163"/>
      <c r="L596" s="163"/>
      <c r="M596" s="163"/>
      <c r="N596" s="163"/>
      <c r="O596" s="163"/>
      <c r="P596" s="163"/>
      <c r="Q596" s="541"/>
      <c r="R596" s="541"/>
      <c r="S596" s="541"/>
      <c r="T596" s="541"/>
      <c r="U596" s="541"/>
      <c r="V596" s="541"/>
      <c r="W596" s="541"/>
      <c r="X596" s="541"/>
      <c r="Y596" s="541"/>
      <c r="Z596" s="541"/>
    </row>
    <row r="597" spans="1:26" ht="18.75">
      <c r="A597" s="572"/>
      <c r="B597" s="584"/>
      <c r="C597" s="584"/>
      <c r="D597" s="710" t="s">
        <v>254</v>
      </c>
      <c r="E597" s="592"/>
      <c r="F597" s="592"/>
      <c r="G597" s="726"/>
      <c r="H597" s="728" t="s">
        <v>46</v>
      </c>
      <c r="I597" s="184"/>
      <c r="J597" s="214">
        <v>0</v>
      </c>
      <c r="K597" s="163"/>
      <c r="L597" s="163"/>
      <c r="M597" s="163"/>
      <c r="N597" s="163"/>
      <c r="O597" s="163"/>
      <c r="P597" s="163"/>
      <c r="Q597" s="541"/>
      <c r="R597" s="541"/>
      <c r="S597" s="541"/>
      <c r="T597" s="541"/>
      <c r="U597" s="541"/>
      <c r="V597" s="541"/>
      <c r="W597" s="541"/>
      <c r="X597" s="541"/>
      <c r="Y597" s="541"/>
      <c r="Z597" s="541"/>
    </row>
    <row r="598" spans="1:26" ht="18.75">
      <c r="A598" s="572"/>
      <c r="B598" s="584"/>
      <c r="C598" s="584"/>
      <c r="D598" s="584"/>
      <c r="E598" s="592"/>
      <c r="F598" s="592"/>
      <c r="G598" s="726"/>
      <c r="H598" s="728" t="s">
        <v>34</v>
      </c>
      <c r="I598" s="269"/>
      <c r="J598" s="214">
        <v>0</v>
      </c>
      <c r="K598" s="163"/>
      <c r="L598" s="163"/>
      <c r="M598" s="163"/>
      <c r="N598" s="163"/>
      <c r="O598" s="163"/>
      <c r="P598" s="163"/>
      <c r="Q598" s="541"/>
      <c r="R598" s="541"/>
      <c r="S598" s="541"/>
      <c r="T598" s="541"/>
      <c r="U598" s="541"/>
      <c r="V598" s="541"/>
      <c r="W598" s="541"/>
      <c r="X598" s="541"/>
      <c r="Y598" s="541"/>
      <c r="Z598" s="541"/>
    </row>
    <row r="599" spans="1:26" ht="18.75">
      <c r="A599" s="572"/>
      <c r="B599" s="584"/>
      <c r="C599" s="584"/>
      <c r="D599" s="710" t="s">
        <v>255</v>
      </c>
      <c r="E599" s="592"/>
      <c r="F599" s="592"/>
      <c r="G599" s="726"/>
      <c r="H599" s="728" t="s">
        <v>46</v>
      </c>
      <c r="I599" s="269"/>
      <c r="J599" s="214">
        <v>0</v>
      </c>
      <c r="K599" s="163"/>
      <c r="L599" s="163"/>
      <c r="M599" s="163"/>
      <c r="N599" s="163"/>
      <c r="O599" s="163"/>
      <c r="P599" s="163"/>
      <c r="Q599" s="541"/>
      <c r="R599" s="541"/>
      <c r="S599" s="541"/>
      <c r="T599" s="541"/>
      <c r="U599" s="541"/>
      <c r="V599" s="541"/>
      <c r="W599" s="541"/>
      <c r="X599" s="541"/>
      <c r="Y599" s="541"/>
      <c r="Z599" s="541"/>
    </row>
    <row r="600" spans="1:26" ht="18.75">
      <c r="A600" s="572"/>
      <c r="B600" s="584"/>
      <c r="C600" s="584"/>
      <c r="D600" s="584"/>
      <c r="E600" s="592"/>
      <c r="F600" s="592"/>
      <c r="G600" s="726"/>
      <c r="H600" s="728" t="s">
        <v>34</v>
      </c>
      <c r="I600" s="269"/>
      <c r="J600" s="214">
        <v>0</v>
      </c>
      <c r="K600" s="163"/>
      <c r="L600" s="163"/>
      <c r="M600" s="163"/>
      <c r="N600" s="163"/>
      <c r="O600" s="163"/>
      <c r="P600" s="163"/>
      <c r="Q600" s="541"/>
      <c r="R600" s="541"/>
      <c r="S600" s="541"/>
      <c r="T600" s="541"/>
      <c r="U600" s="541"/>
      <c r="V600" s="541"/>
      <c r="W600" s="541"/>
      <c r="X600" s="541"/>
      <c r="Y600" s="541"/>
      <c r="Z600" s="541"/>
    </row>
    <row r="601" spans="1:26" ht="18.75">
      <c r="A601" s="572"/>
      <c r="B601" s="584"/>
      <c r="C601" s="584"/>
      <c r="D601" s="710" t="s">
        <v>256</v>
      </c>
      <c r="E601" s="592"/>
      <c r="F601" s="592"/>
      <c r="G601" s="726"/>
      <c r="H601" s="728" t="s">
        <v>46</v>
      </c>
      <c r="I601" s="269"/>
      <c r="J601" s="214">
        <v>0</v>
      </c>
      <c r="K601" s="163"/>
      <c r="L601" s="163"/>
      <c r="M601" s="163"/>
      <c r="N601" s="163"/>
      <c r="O601" s="163"/>
      <c r="P601" s="163"/>
      <c r="Q601" s="541"/>
      <c r="R601" s="541"/>
      <c r="S601" s="541"/>
      <c r="T601" s="541"/>
      <c r="U601" s="541"/>
      <c r="V601" s="541"/>
      <c r="W601" s="541"/>
      <c r="X601" s="541"/>
      <c r="Y601" s="541"/>
      <c r="Z601" s="541"/>
    </row>
    <row r="602" spans="1:26" ht="18.75">
      <c r="A602" s="572"/>
      <c r="B602" s="584"/>
      <c r="C602" s="584"/>
      <c r="D602" s="584"/>
      <c r="E602" s="592"/>
      <c r="F602" s="592"/>
      <c r="G602" s="726"/>
      <c r="H602" s="728" t="s">
        <v>34</v>
      </c>
      <c r="I602" s="269"/>
      <c r="J602" s="214">
        <v>0</v>
      </c>
      <c r="K602" s="163"/>
      <c r="L602" s="163"/>
      <c r="M602" s="163"/>
      <c r="N602" s="163"/>
      <c r="O602" s="163"/>
      <c r="P602" s="163"/>
      <c r="Q602" s="541"/>
      <c r="R602" s="541"/>
      <c r="S602" s="541"/>
      <c r="T602" s="541"/>
      <c r="U602" s="541"/>
      <c r="V602" s="541"/>
      <c r="W602" s="541"/>
      <c r="X602" s="541"/>
      <c r="Y602" s="541"/>
      <c r="Z602" s="541"/>
    </row>
    <row r="603" spans="1:26" ht="18.75">
      <c r="A603" s="572"/>
      <c r="B603" s="584"/>
      <c r="C603" s="669" t="s">
        <v>257</v>
      </c>
      <c r="D603" s="584"/>
      <c r="E603" s="584"/>
      <c r="F603" s="592"/>
      <c r="G603" s="726"/>
      <c r="H603" s="728" t="s">
        <v>46</v>
      </c>
      <c r="I603" s="269"/>
      <c r="J603" s="269">
        <f t="shared" ref="J603:J604" si="256">J605+J607</f>
        <v>0</v>
      </c>
      <c r="K603" s="163"/>
      <c r="L603" s="163"/>
      <c r="M603" s="163"/>
      <c r="N603" s="163"/>
      <c r="O603" s="163"/>
      <c r="P603" s="163"/>
      <c r="Q603" s="541"/>
      <c r="R603" s="541"/>
      <c r="S603" s="541"/>
      <c r="T603" s="541"/>
      <c r="U603" s="541"/>
      <c r="V603" s="541"/>
      <c r="W603" s="541"/>
      <c r="X603" s="541"/>
      <c r="Y603" s="541"/>
      <c r="Z603" s="541"/>
    </row>
    <row r="604" spans="1:26" ht="18.75">
      <c r="A604" s="572"/>
      <c r="B604" s="584"/>
      <c r="C604" s="584"/>
      <c r="D604" s="584"/>
      <c r="E604" s="592"/>
      <c r="F604" s="592"/>
      <c r="G604" s="726"/>
      <c r="H604" s="728" t="s">
        <v>34</v>
      </c>
      <c r="I604" s="269"/>
      <c r="J604" s="269">
        <f t="shared" si="256"/>
        <v>0</v>
      </c>
      <c r="K604" s="163"/>
      <c r="L604" s="163"/>
      <c r="M604" s="163"/>
      <c r="N604" s="163"/>
      <c r="O604" s="163"/>
      <c r="P604" s="163"/>
      <c r="Q604" s="541"/>
      <c r="R604" s="541"/>
      <c r="S604" s="541"/>
      <c r="T604" s="541"/>
      <c r="U604" s="541"/>
      <c r="V604" s="541"/>
      <c r="W604" s="541"/>
      <c r="X604" s="541"/>
      <c r="Y604" s="541"/>
      <c r="Z604" s="541"/>
    </row>
    <row r="605" spans="1:26" ht="18.75">
      <c r="A605" s="572"/>
      <c r="B605" s="584"/>
      <c r="C605" s="584"/>
      <c r="D605" s="669" t="s">
        <v>258</v>
      </c>
      <c r="E605" s="592"/>
      <c r="F605" s="592"/>
      <c r="G605" s="726"/>
      <c r="H605" s="728" t="s">
        <v>46</v>
      </c>
      <c r="I605" s="269"/>
      <c r="J605" s="214">
        <v>0</v>
      </c>
      <c r="K605" s="163"/>
      <c r="L605" s="163"/>
      <c r="M605" s="163"/>
      <c r="N605" s="163"/>
      <c r="O605" s="163"/>
      <c r="P605" s="163"/>
      <c r="Q605" s="541"/>
      <c r="R605" s="541"/>
      <c r="S605" s="541"/>
      <c r="T605" s="541"/>
      <c r="U605" s="541"/>
      <c r="V605" s="541"/>
      <c r="W605" s="541"/>
      <c r="X605" s="541"/>
      <c r="Y605" s="541"/>
      <c r="Z605" s="541"/>
    </row>
    <row r="606" spans="1:26" ht="18.75">
      <c r="A606" s="572"/>
      <c r="B606" s="584"/>
      <c r="C606" s="584"/>
      <c r="D606" s="584"/>
      <c r="E606" s="584"/>
      <c r="F606" s="592"/>
      <c r="G606" s="726"/>
      <c r="H606" s="728" t="s">
        <v>34</v>
      </c>
      <c r="I606" s="269"/>
      <c r="J606" s="214">
        <v>0</v>
      </c>
      <c r="K606" s="163"/>
      <c r="L606" s="163"/>
      <c r="M606" s="163"/>
      <c r="N606" s="163"/>
      <c r="O606" s="163"/>
      <c r="P606" s="163"/>
      <c r="Q606" s="541"/>
      <c r="R606" s="541"/>
      <c r="S606" s="541"/>
      <c r="T606" s="541"/>
      <c r="U606" s="541"/>
      <c r="V606" s="541"/>
      <c r="W606" s="541"/>
      <c r="X606" s="541"/>
      <c r="Y606" s="541"/>
      <c r="Z606" s="541"/>
    </row>
    <row r="607" spans="1:26" ht="18.75">
      <c r="A607" s="572"/>
      <c r="B607" s="584"/>
      <c r="C607" s="584"/>
      <c r="D607" s="669" t="s">
        <v>259</v>
      </c>
      <c r="E607" s="584"/>
      <c r="F607" s="592"/>
      <c r="G607" s="726"/>
      <c r="H607" s="728" t="s">
        <v>46</v>
      </c>
      <c r="I607" s="269"/>
      <c r="J607" s="214">
        <v>0</v>
      </c>
      <c r="K607" s="163"/>
      <c r="L607" s="163"/>
      <c r="M607" s="163"/>
      <c r="N607" s="163"/>
      <c r="O607" s="163"/>
      <c r="P607" s="163"/>
      <c r="Q607" s="541"/>
      <c r="R607" s="541"/>
      <c r="S607" s="541"/>
      <c r="T607" s="541"/>
      <c r="U607" s="541"/>
      <c r="V607" s="541"/>
      <c r="W607" s="541"/>
      <c r="X607" s="541"/>
      <c r="Y607" s="541"/>
      <c r="Z607" s="541"/>
    </row>
    <row r="608" spans="1:26" ht="18.75">
      <c r="A608" s="572"/>
      <c r="B608" s="584"/>
      <c r="C608" s="584"/>
      <c r="D608" s="584"/>
      <c r="E608" s="592"/>
      <c r="F608" s="592"/>
      <c r="G608" s="726"/>
      <c r="H608" s="728" t="s">
        <v>34</v>
      </c>
      <c r="I608" s="269"/>
      <c r="J608" s="214">
        <v>0</v>
      </c>
      <c r="K608" s="163"/>
      <c r="L608" s="163"/>
      <c r="M608" s="163"/>
      <c r="N608" s="163"/>
      <c r="O608" s="163"/>
      <c r="P608" s="163"/>
      <c r="Q608" s="541"/>
      <c r="R608" s="541"/>
      <c r="S608" s="541"/>
      <c r="T608" s="541"/>
      <c r="U608" s="541"/>
      <c r="V608" s="541"/>
      <c r="W608" s="541"/>
      <c r="X608" s="541"/>
      <c r="Y608" s="541"/>
      <c r="Z608" s="541"/>
    </row>
    <row r="609" spans="1:26" ht="18.75">
      <c r="A609" s="572"/>
      <c r="B609" s="584"/>
      <c r="C609" s="584" t="s">
        <v>260</v>
      </c>
      <c r="D609" s="584"/>
      <c r="E609" s="584"/>
      <c r="F609" s="592"/>
      <c r="G609" s="726"/>
      <c r="H609" s="728" t="s">
        <v>46</v>
      </c>
      <c r="I609" s="269"/>
      <c r="J609" s="214">
        <v>0</v>
      </c>
      <c r="K609" s="163"/>
      <c r="L609" s="163"/>
      <c r="M609" s="163"/>
      <c r="N609" s="163"/>
      <c r="O609" s="163"/>
      <c r="P609" s="163"/>
      <c r="Q609" s="541"/>
      <c r="R609" s="541"/>
      <c r="S609" s="541"/>
      <c r="T609" s="541"/>
      <c r="U609" s="541"/>
      <c r="V609" s="541"/>
      <c r="W609" s="541"/>
      <c r="X609" s="541"/>
      <c r="Y609" s="541"/>
      <c r="Z609" s="541"/>
    </row>
    <row r="610" spans="1:26" ht="18.75">
      <c r="A610" s="572"/>
      <c r="B610" s="584"/>
      <c r="C610" s="584"/>
      <c r="D610" s="584"/>
      <c r="E610" s="592"/>
      <c r="F610" s="592"/>
      <c r="G610" s="726"/>
      <c r="H610" s="728" t="s">
        <v>34</v>
      </c>
      <c r="I610" s="269"/>
      <c r="J610" s="214">
        <v>0</v>
      </c>
      <c r="K610" s="163"/>
      <c r="L610" s="163"/>
      <c r="M610" s="163"/>
      <c r="N610" s="163"/>
      <c r="O610" s="163"/>
      <c r="P610" s="163"/>
      <c r="Q610" s="541"/>
      <c r="R610" s="541"/>
      <c r="S610" s="541"/>
      <c r="T610" s="541"/>
      <c r="U610" s="541"/>
      <c r="V610" s="541"/>
      <c r="W610" s="541"/>
      <c r="X610" s="541"/>
      <c r="Y610" s="541"/>
      <c r="Z610" s="541"/>
    </row>
    <row r="611" spans="1:26" ht="19.5">
      <c r="A611" s="658"/>
      <c r="B611" s="670" t="s">
        <v>261</v>
      </c>
      <c r="C611" s="660"/>
      <c r="D611" s="660"/>
      <c r="E611" s="639"/>
      <c r="F611" s="639"/>
      <c r="G611" s="640"/>
      <c r="H611" s="671" t="s">
        <v>46</v>
      </c>
      <c r="I611" s="672">
        <v>0</v>
      </c>
      <c r="J611" s="672">
        <f>J614+J616</f>
        <v>0</v>
      </c>
      <c r="K611" s="643">
        <f t="shared" ref="K611:K613" si="257">IF(I611&gt;0,J611*100/I611,0)</f>
        <v>0</v>
      </c>
      <c r="L611" s="644"/>
      <c r="M611" s="644"/>
      <c r="N611" s="644"/>
      <c r="O611" s="644"/>
      <c r="P611" s="644"/>
      <c r="Q611" s="541"/>
      <c r="R611" s="541"/>
      <c r="S611" s="541"/>
      <c r="T611" s="541"/>
      <c r="U611" s="541"/>
      <c r="V611" s="541"/>
      <c r="W611" s="541"/>
      <c r="X611" s="541"/>
      <c r="Y611" s="541"/>
      <c r="Z611" s="541"/>
    </row>
    <row r="612" spans="1:26" ht="19.5" hidden="1">
      <c r="A612" s="673"/>
      <c r="B612" s="683"/>
      <c r="C612" s="675" t="s">
        <v>262</v>
      </c>
      <c r="D612" s="683"/>
      <c r="E612" s="683"/>
      <c r="F612" s="676"/>
      <c r="G612" s="677"/>
      <c r="H612" s="678" t="s">
        <v>46</v>
      </c>
      <c r="I612" s="680">
        <v>0</v>
      </c>
      <c r="J612" s="680">
        <f t="shared" ref="J612:J613" si="258">J614+J616</f>
        <v>0</v>
      </c>
      <c r="K612" s="681">
        <f t="shared" si="257"/>
        <v>0</v>
      </c>
      <c r="L612" s="682"/>
      <c r="M612" s="682"/>
      <c r="N612" s="682"/>
      <c r="O612" s="682"/>
      <c r="P612" s="682"/>
      <c r="Q612" s="568"/>
      <c r="R612" s="568"/>
      <c r="S612" s="568"/>
      <c r="T612" s="568"/>
      <c r="U612" s="568"/>
      <c r="V612" s="568"/>
      <c r="W612" s="568"/>
      <c r="X612" s="568"/>
      <c r="Y612" s="568"/>
      <c r="Z612" s="568"/>
    </row>
    <row r="613" spans="1:26" ht="19.5" hidden="1">
      <c r="A613" s="673"/>
      <c r="B613" s="683"/>
      <c r="C613" s="683" t="s">
        <v>263</v>
      </c>
      <c r="D613" s="683"/>
      <c r="E613" s="683"/>
      <c r="F613" s="676"/>
      <c r="G613" s="677"/>
      <c r="H613" s="678" t="s">
        <v>34</v>
      </c>
      <c r="I613" s="680">
        <v>0</v>
      </c>
      <c r="J613" s="680">
        <f t="shared" si="258"/>
        <v>0</v>
      </c>
      <c r="K613" s="681">
        <f t="shared" si="257"/>
        <v>0</v>
      </c>
      <c r="L613" s="682"/>
      <c r="M613" s="682"/>
      <c r="N613" s="682"/>
      <c r="O613" s="682"/>
      <c r="P613" s="682"/>
      <c r="Q613" s="568"/>
      <c r="R613" s="568"/>
      <c r="S613" s="568"/>
      <c r="T613" s="568"/>
      <c r="U613" s="568"/>
      <c r="V613" s="568"/>
      <c r="W613" s="568"/>
      <c r="X613" s="568"/>
      <c r="Y613" s="568"/>
      <c r="Z613" s="568"/>
    </row>
    <row r="614" spans="1:26" ht="18.75" hidden="1">
      <c r="A614" s="578"/>
      <c r="B614" s="580"/>
      <c r="C614" s="580"/>
      <c r="D614" s="684" t="s">
        <v>264</v>
      </c>
      <c r="E614" s="580"/>
      <c r="F614" s="684"/>
      <c r="G614" s="581"/>
      <c r="H614" s="582" t="s">
        <v>46</v>
      </c>
      <c r="I614" s="583"/>
      <c r="J614" s="583">
        <v>0</v>
      </c>
      <c r="K614" s="167"/>
      <c r="L614" s="167"/>
      <c r="M614" s="167"/>
      <c r="N614" s="167"/>
      <c r="O614" s="167"/>
      <c r="P614" s="167"/>
      <c r="Q614" s="568"/>
      <c r="R614" s="568"/>
      <c r="S614" s="568"/>
      <c r="T614" s="568"/>
      <c r="U614" s="568"/>
      <c r="V614" s="568"/>
      <c r="W614" s="568"/>
      <c r="X614" s="568"/>
      <c r="Y614" s="568"/>
      <c r="Z614" s="568"/>
    </row>
    <row r="615" spans="1:26" ht="18.75" hidden="1">
      <c r="A615" s="578"/>
      <c r="B615" s="580"/>
      <c r="C615" s="580"/>
      <c r="D615" s="580"/>
      <c r="E615" s="580"/>
      <c r="F615" s="684"/>
      <c r="G615" s="581"/>
      <c r="H615" s="582" t="s">
        <v>34</v>
      </c>
      <c r="I615" s="583"/>
      <c r="J615" s="583">
        <v>0</v>
      </c>
      <c r="K615" s="167"/>
      <c r="L615" s="167"/>
      <c r="M615" s="167"/>
      <c r="N615" s="167"/>
      <c r="O615" s="167"/>
      <c r="P615" s="167"/>
      <c r="Q615" s="568"/>
      <c r="R615" s="568"/>
      <c r="S615" s="568"/>
      <c r="T615" s="568"/>
      <c r="U615" s="568"/>
      <c r="V615" s="568"/>
      <c r="W615" s="568"/>
      <c r="X615" s="568"/>
      <c r="Y615" s="568"/>
      <c r="Z615" s="568"/>
    </row>
    <row r="616" spans="1:26" ht="18.75" hidden="1">
      <c r="A616" s="578"/>
      <c r="B616" s="580"/>
      <c r="C616" s="580"/>
      <c r="D616" s="685" t="s">
        <v>264</v>
      </c>
      <c r="E616" s="684"/>
      <c r="F616" s="684"/>
      <c r="G616" s="581"/>
      <c r="H616" s="582" t="s">
        <v>46</v>
      </c>
      <c r="I616" s="583"/>
      <c r="J616" s="583">
        <v>0</v>
      </c>
      <c r="K616" s="167"/>
      <c r="L616" s="167"/>
      <c r="M616" s="167"/>
      <c r="N616" s="167"/>
      <c r="O616" s="167"/>
      <c r="P616" s="167"/>
      <c r="Q616" s="568"/>
      <c r="R616" s="568"/>
      <c r="S616" s="568"/>
      <c r="T616" s="568"/>
      <c r="U616" s="568"/>
      <c r="V616" s="568"/>
      <c r="W616" s="568"/>
      <c r="X616" s="568"/>
      <c r="Y616" s="568"/>
      <c r="Z616" s="568"/>
    </row>
    <row r="617" spans="1:26" ht="18.75" hidden="1">
      <c r="A617" s="578"/>
      <c r="B617" s="580"/>
      <c r="C617" s="580"/>
      <c r="D617" s="580"/>
      <c r="E617" s="684"/>
      <c r="F617" s="684"/>
      <c r="G617" s="581"/>
      <c r="H617" s="582" t="s">
        <v>34</v>
      </c>
      <c r="I617" s="583"/>
      <c r="J617" s="583">
        <v>0</v>
      </c>
      <c r="K617" s="167"/>
      <c r="L617" s="167"/>
      <c r="M617" s="167"/>
      <c r="N617" s="167"/>
      <c r="O617" s="167"/>
      <c r="P617" s="167"/>
      <c r="Q617" s="568"/>
      <c r="R617" s="568"/>
      <c r="S617" s="568"/>
      <c r="T617" s="568"/>
      <c r="U617" s="568"/>
      <c r="V617" s="568"/>
      <c r="W617" s="568"/>
      <c r="X617" s="568"/>
      <c r="Y617" s="568"/>
      <c r="Z617" s="568"/>
    </row>
    <row r="618" spans="1:26" ht="18.75" hidden="1">
      <c r="A618" s="578"/>
      <c r="B618" s="580"/>
      <c r="C618" s="580"/>
      <c r="D618" s="685" t="s">
        <v>265</v>
      </c>
      <c r="E618" s="684"/>
      <c r="F618" s="684"/>
      <c r="G618" s="581"/>
      <c r="H618" s="582" t="s">
        <v>46</v>
      </c>
      <c r="I618" s="583"/>
      <c r="J618" s="583">
        <v>0</v>
      </c>
      <c r="K618" s="167"/>
      <c r="L618" s="167"/>
      <c r="M618" s="167"/>
      <c r="N618" s="167"/>
      <c r="O618" s="167"/>
      <c r="P618" s="167"/>
      <c r="Q618" s="568"/>
      <c r="R618" s="568"/>
      <c r="S618" s="568"/>
      <c r="T618" s="568"/>
      <c r="U618" s="568"/>
      <c r="V618" s="568"/>
      <c r="W618" s="568"/>
      <c r="X618" s="568"/>
      <c r="Y618" s="568"/>
      <c r="Z618" s="568"/>
    </row>
    <row r="619" spans="1:26" ht="18.75" hidden="1">
      <c r="A619" s="578"/>
      <c r="B619" s="580"/>
      <c r="C619" s="580"/>
      <c r="D619" s="580"/>
      <c r="E619" s="684"/>
      <c r="F619" s="684"/>
      <c r="G619" s="581"/>
      <c r="H619" s="582" t="s">
        <v>34</v>
      </c>
      <c r="I619" s="583"/>
      <c r="J619" s="583">
        <v>0</v>
      </c>
      <c r="K619" s="167"/>
      <c r="L619" s="167"/>
      <c r="M619" s="167"/>
      <c r="N619" s="167"/>
      <c r="O619" s="167"/>
      <c r="P619" s="167"/>
      <c r="Q619" s="568"/>
      <c r="R619" s="568"/>
      <c r="S619" s="568"/>
      <c r="T619" s="568"/>
      <c r="U619" s="568"/>
      <c r="V619" s="568"/>
      <c r="W619" s="568"/>
      <c r="X619" s="568"/>
      <c r="Y619" s="568"/>
      <c r="Z619" s="568"/>
    </row>
    <row r="620" spans="1:26" ht="19.5">
      <c r="A620" s="686"/>
      <c r="B620" s="695"/>
      <c r="C620" s="688" t="s">
        <v>266</v>
      </c>
      <c r="D620" s="695"/>
      <c r="E620" s="695"/>
      <c r="F620" s="689"/>
      <c r="G620" s="690"/>
      <c r="H620" s="691" t="s">
        <v>46</v>
      </c>
      <c r="I620" s="692">
        <f ca="1">IFERROR(__xludf.DUMMYFUNCTION("IMPORTRANGE(""https://docs.google.com/spreadsheets/d/1QqKyyYR6Q21VydFLVH3TRQUabQu_ym0Zz7PgGX0-kHA/edit?usp=sharing"",""แผน!HL30"")"),0)</f>
        <v>0</v>
      </c>
      <c r="J620" s="692">
        <f t="shared" ref="J620:J621" si="259">J622+J624+J626</f>
        <v>0</v>
      </c>
      <c r="K620" s="693">
        <f t="shared" ref="K620:K621" ca="1" si="260">IF(I620&gt;0,J620*100/I620,0)</f>
        <v>0</v>
      </c>
      <c r="L620" s="694"/>
      <c r="M620" s="694"/>
      <c r="N620" s="694"/>
      <c r="O620" s="694"/>
      <c r="P620" s="694"/>
      <c r="Q620" s="541"/>
      <c r="R620" s="541"/>
      <c r="S620" s="541"/>
      <c r="T620" s="541"/>
      <c r="U620" s="541"/>
      <c r="V620" s="541"/>
      <c r="W620" s="541"/>
      <c r="X620" s="541"/>
      <c r="Y620" s="541"/>
      <c r="Z620" s="541"/>
    </row>
    <row r="621" spans="1:26" ht="19.5">
      <c r="A621" s="686"/>
      <c r="B621" s="695"/>
      <c r="C621" s="695" t="s">
        <v>267</v>
      </c>
      <c r="D621" s="695"/>
      <c r="E621" s="695"/>
      <c r="F621" s="689"/>
      <c r="G621" s="690"/>
      <c r="H621" s="691" t="s">
        <v>34</v>
      </c>
      <c r="I621" s="692">
        <f ca="1">IFERROR(__xludf.DUMMYFUNCTION("IMPORTRANGE(""https://docs.google.com/spreadsheets/d/1QqKyyYR6Q21VydFLVH3TRQUabQu_ym0Zz7PgGX0-kHA/edit?usp=sharing"",""แผน!HK30"")"),0)</f>
        <v>0</v>
      </c>
      <c r="J621" s="692">
        <f t="shared" si="259"/>
        <v>0</v>
      </c>
      <c r="K621" s="693">
        <f t="shared" ca="1" si="260"/>
        <v>0</v>
      </c>
      <c r="L621" s="694"/>
      <c r="M621" s="694"/>
      <c r="N621" s="694"/>
      <c r="O621" s="694"/>
      <c r="P621" s="694"/>
      <c r="Q621" s="541"/>
      <c r="R621" s="541"/>
      <c r="S621" s="541"/>
      <c r="T621" s="541"/>
      <c r="U621" s="541"/>
      <c r="V621" s="541"/>
      <c r="W621" s="541"/>
      <c r="X621" s="541"/>
      <c r="Y621" s="541"/>
      <c r="Z621" s="541"/>
    </row>
    <row r="622" spans="1:26" ht="18.75">
      <c r="A622" s="572"/>
      <c r="B622" s="584"/>
      <c r="C622" s="584"/>
      <c r="D622" s="710" t="s">
        <v>268</v>
      </c>
      <c r="E622" s="592"/>
      <c r="F622" s="592"/>
      <c r="G622" s="726"/>
      <c r="H622" s="728" t="s">
        <v>46</v>
      </c>
      <c r="I622" s="269"/>
      <c r="J622" s="214">
        <v>0</v>
      </c>
      <c r="K622" s="163"/>
      <c r="L622" s="163"/>
      <c r="M622" s="163"/>
      <c r="N622" s="163"/>
      <c r="O622" s="163"/>
      <c r="P622" s="163"/>
      <c r="Q622" s="541"/>
      <c r="R622" s="541"/>
      <c r="S622" s="541"/>
      <c r="T622" s="541"/>
      <c r="U622" s="541"/>
      <c r="V622" s="541"/>
      <c r="W622" s="541"/>
      <c r="X622" s="541"/>
      <c r="Y622" s="541"/>
      <c r="Z622" s="541"/>
    </row>
    <row r="623" spans="1:26" ht="18.75">
      <c r="A623" s="572"/>
      <c r="B623" s="584"/>
      <c r="C623" s="584"/>
      <c r="D623" s="584"/>
      <c r="E623" s="592"/>
      <c r="F623" s="592"/>
      <c r="G623" s="726"/>
      <c r="H623" s="728" t="s">
        <v>34</v>
      </c>
      <c r="I623" s="269"/>
      <c r="J623" s="214">
        <v>0</v>
      </c>
      <c r="K623" s="163"/>
      <c r="L623" s="163"/>
      <c r="M623" s="163"/>
      <c r="N623" s="163"/>
      <c r="O623" s="163"/>
      <c r="P623" s="163"/>
      <c r="Q623" s="541"/>
      <c r="R623" s="541"/>
      <c r="S623" s="541"/>
      <c r="T623" s="541"/>
      <c r="U623" s="541"/>
      <c r="V623" s="541"/>
      <c r="W623" s="541"/>
      <c r="X623" s="541"/>
      <c r="Y623" s="541"/>
      <c r="Z623" s="541"/>
    </row>
    <row r="624" spans="1:26" ht="18.75">
      <c r="A624" s="572"/>
      <c r="B624" s="584"/>
      <c r="C624" s="584"/>
      <c r="D624" s="710" t="s">
        <v>264</v>
      </c>
      <c r="E624" s="592"/>
      <c r="F624" s="592"/>
      <c r="G624" s="726"/>
      <c r="H624" s="728" t="s">
        <v>46</v>
      </c>
      <c r="I624" s="269"/>
      <c r="J624" s="214">
        <v>0</v>
      </c>
      <c r="K624" s="163"/>
      <c r="L624" s="163"/>
      <c r="M624" s="163"/>
      <c r="N624" s="163"/>
      <c r="O624" s="163"/>
      <c r="P624" s="163"/>
      <c r="Q624" s="541"/>
      <c r="R624" s="541"/>
      <c r="S624" s="541"/>
      <c r="T624" s="541"/>
      <c r="U624" s="541"/>
      <c r="V624" s="541"/>
      <c r="W624" s="541"/>
      <c r="X624" s="541"/>
      <c r="Y624" s="541"/>
      <c r="Z624" s="541"/>
    </row>
    <row r="625" spans="1:26" ht="18.75">
      <c r="A625" s="572"/>
      <c r="B625" s="584"/>
      <c r="C625" s="584"/>
      <c r="D625" s="584"/>
      <c r="E625" s="592"/>
      <c r="F625" s="592"/>
      <c r="G625" s="726"/>
      <c r="H625" s="728" t="s">
        <v>34</v>
      </c>
      <c r="I625" s="269"/>
      <c r="J625" s="214">
        <v>0</v>
      </c>
      <c r="K625" s="163"/>
      <c r="L625" s="163"/>
      <c r="M625" s="163"/>
      <c r="N625" s="163"/>
      <c r="O625" s="163"/>
      <c r="P625" s="163"/>
      <c r="Q625" s="541"/>
      <c r="R625" s="541"/>
      <c r="S625" s="541"/>
      <c r="T625" s="541"/>
      <c r="U625" s="541"/>
      <c r="V625" s="541"/>
      <c r="W625" s="541"/>
      <c r="X625" s="541"/>
      <c r="Y625" s="541"/>
      <c r="Z625" s="541"/>
    </row>
    <row r="626" spans="1:26" ht="18.75">
      <c r="A626" s="572"/>
      <c r="B626" s="584"/>
      <c r="C626" s="584"/>
      <c r="D626" s="710" t="s">
        <v>269</v>
      </c>
      <c r="E626" s="592"/>
      <c r="F626" s="592"/>
      <c r="G626" s="726"/>
      <c r="H626" s="728" t="s">
        <v>46</v>
      </c>
      <c r="I626" s="269"/>
      <c r="J626" s="214">
        <v>0</v>
      </c>
      <c r="K626" s="163"/>
      <c r="L626" s="163"/>
      <c r="M626" s="163"/>
      <c r="N626" s="163"/>
      <c r="O626" s="163"/>
      <c r="P626" s="163"/>
      <c r="Q626" s="541"/>
      <c r="R626" s="541"/>
      <c r="S626" s="541"/>
      <c r="T626" s="541"/>
      <c r="U626" s="541"/>
      <c r="V626" s="541"/>
      <c r="W626" s="541"/>
      <c r="X626" s="541"/>
      <c r="Y626" s="541"/>
      <c r="Z626" s="541"/>
    </row>
    <row r="627" spans="1:26" ht="18.75">
      <c r="A627" s="696"/>
      <c r="B627" s="697"/>
      <c r="C627" s="697"/>
      <c r="D627" s="697"/>
      <c r="E627" s="698"/>
      <c r="F627" s="698"/>
      <c r="G627" s="699"/>
      <c r="H627" s="390" t="s">
        <v>34</v>
      </c>
      <c r="I627" s="468"/>
      <c r="J627" s="392">
        <v>0</v>
      </c>
      <c r="K627" s="353"/>
      <c r="L627" s="353"/>
      <c r="M627" s="353"/>
      <c r="N627" s="353"/>
      <c r="O627" s="353"/>
      <c r="P627" s="353"/>
      <c r="Q627" s="541"/>
      <c r="R627" s="541"/>
      <c r="S627" s="541"/>
      <c r="T627" s="541"/>
      <c r="U627" s="541"/>
      <c r="V627" s="541"/>
      <c r="W627" s="541"/>
      <c r="X627" s="541"/>
      <c r="Y627" s="541"/>
      <c r="Z627" s="541"/>
    </row>
    <row r="628" spans="1:26" ht="19.5">
      <c r="A628" s="700">
        <v>7</v>
      </c>
      <c r="B628" s="701" t="s">
        <v>270</v>
      </c>
      <c r="C628" s="702"/>
      <c r="D628" s="702"/>
      <c r="E628" s="702"/>
      <c r="F628" s="702"/>
      <c r="G628" s="703"/>
      <c r="H628" s="704" t="s">
        <v>35</v>
      </c>
      <c r="I628" s="705">
        <f t="shared" ref="I628:J628" ca="1" si="261">I651</f>
        <v>45</v>
      </c>
      <c r="J628" s="705">
        <f t="shared" ca="1" si="261"/>
        <v>0</v>
      </c>
      <c r="K628" s="706">
        <f ca="1">IF(I628&gt;0,J628*100/I628,0)</f>
        <v>0</v>
      </c>
      <c r="L628" s="707"/>
      <c r="M628" s="707"/>
      <c r="N628" s="707"/>
      <c r="O628" s="707"/>
      <c r="P628" s="707"/>
      <c r="Q628" s="541"/>
      <c r="R628" s="541"/>
      <c r="S628" s="541"/>
      <c r="T628" s="541"/>
      <c r="U628" s="541"/>
      <c r="V628" s="541"/>
      <c r="W628" s="541"/>
      <c r="X628" s="541"/>
      <c r="Y628" s="541"/>
      <c r="Z628" s="541"/>
    </row>
    <row r="629" spans="1:26" ht="19.5">
      <c r="A629" s="561"/>
      <c r="B629" s="727"/>
      <c r="C629" s="727" t="s">
        <v>16</v>
      </c>
      <c r="D629" s="811" t="s">
        <v>17</v>
      </c>
      <c r="E629" s="805"/>
      <c r="F629" s="805"/>
      <c r="G629" s="189"/>
      <c r="H629" s="562" t="s">
        <v>12</v>
      </c>
      <c r="I629" s="269"/>
      <c r="J629" s="269"/>
      <c r="K629" s="465"/>
      <c r="L629" s="195">
        <f t="shared" ref="L629:N629" ca="1" si="262">L630+L631</f>
        <v>171750</v>
      </c>
      <c r="M629" s="195">
        <f t="shared" si="262"/>
        <v>0</v>
      </c>
      <c r="N629" s="195">
        <f t="shared" si="262"/>
        <v>0</v>
      </c>
      <c r="O629" s="195">
        <f t="shared" ref="O629:O634" ca="1" si="263">IF(L629&gt;0,N629*100/L629,0)</f>
        <v>0</v>
      </c>
      <c r="P629" s="195">
        <f t="shared" ref="P629:P634" si="264">IF(M629&gt;0,N629*100/M629,0)</f>
        <v>0</v>
      </c>
      <c r="Q629" s="541"/>
      <c r="R629" s="541"/>
      <c r="S629" s="541"/>
      <c r="T629" s="541"/>
      <c r="U629" s="541"/>
      <c r="V629" s="541"/>
      <c r="W629" s="541"/>
      <c r="X629" s="541"/>
      <c r="Y629" s="541"/>
      <c r="Z629" s="541"/>
    </row>
    <row r="630" spans="1:26" ht="18.75" hidden="1">
      <c r="A630" s="563"/>
      <c r="B630" s="723"/>
      <c r="C630" s="723"/>
      <c r="D630" s="684"/>
      <c r="E630" s="723" t="s">
        <v>184</v>
      </c>
      <c r="F630" s="723"/>
      <c r="G630" s="567"/>
      <c r="H630" s="165" t="s">
        <v>12</v>
      </c>
      <c r="I630" s="583"/>
      <c r="J630" s="583"/>
      <c r="K630" s="93"/>
      <c r="L630" s="93">
        <f t="shared" ref="L630:N631" si="265">L633+L640</f>
        <v>0</v>
      </c>
      <c r="M630" s="93">
        <f t="shared" si="265"/>
        <v>0</v>
      </c>
      <c r="N630" s="93">
        <f t="shared" si="265"/>
        <v>0</v>
      </c>
      <c r="O630" s="93">
        <f t="shared" si="263"/>
        <v>0</v>
      </c>
      <c r="P630" s="93">
        <f t="shared" si="264"/>
        <v>0</v>
      </c>
      <c r="Q630" s="568"/>
      <c r="R630" s="568"/>
      <c r="S630" s="568"/>
      <c r="T630" s="568"/>
      <c r="U630" s="568"/>
      <c r="V630" s="568"/>
      <c r="W630" s="568"/>
      <c r="X630" s="568"/>
      <c r="Y630" s="568"/>
      <c r="Z630" s="568"/>
    </row>
    <row r="631" spans="1:26" ht="18.75" hidden="1">
      <c r="A631" s="563"/>
      <c r="B631" s="571"/>
      <c r="C631" s="723"/>
      <c r="D631" s="684"/>
      <c r="E631" s="723" t="s">
        <v>185</v>
      </c>
      <c r="F631" s="723"/>
      <c r="G631" s="567"/>
      <c r="H631" s="165" t="s">
        <v>12</v>
      </c>
      <c r="I631" s="583"/>
      <c r="J631" s="583"/>
      <c r="K631" s="93"/>
      <c r="L631" s="93">
        <f t="shared" ca="1" si="265"/>
        <v>171750</v>
      </c>
      <c r="M631" s="93">
        <f t="shared" si="265"/>
        <v>0</v>
      </c>
      <c r="N631" s="93">
        <f t="shared" si="265"/>
        <v>0</v>
      </c>
      <c r="O631" s="93">
        <f t="shared" ca="1" si="263"/>
        <v>0</v>
      </c>
      <c r="P631" s="93">
        <f t="shared" si="264"/>
        <v>0</v>
      </c>
      <c r="Q631" s="568"/>
      <c r="R631" s="568"/>
      <c r="S631" s="568"/>
      <c r="T631" s="568"/>
      <c r="U631" s="568"/>
      <c r="V631" s="568"/>
      <c r="W631" s="568"/>
      <c r="X631" s="568"/>
      <c r="Y631" s="568"/>
      <c r="Z631" s="568"/>
    </row>
    <row r="632" spans="1:26" ht="18.75">
      <c r="A632" s="561"/>
      <c r="B632" s="538"/>
      <c r="C632" s="727"/>
      <c r="D632" s="570" t="s">
        <v>20</v>
      </c>
      <c r="E632" s="727"/>
      <c r="F632" s="727"/>
      <c r="G632" s="189"/>
      <c r="H632" s="161" t="s">
        <v>12</v>
      </c>
      <c r="I632" s="184"/>
      <c r="J632" s="184"/>
      <c r="K632" s="163"/>
      <c r="L632" s="465">
        <f t="shared" ref="L632:N632" ca="1" si="266">L633+L634</f>
        <v>171750</v>
      </c>
      <c r="M632" s="465">
        <f t="shared" si="266"/>
        <v>0</v>
      </c>
      <c r="N632" s="465">
        <f t="shared" si="266"/>
        <v>0</v>
      </c>
      <c r="O632" s="465">
        <f t="shared" ca="1" si="263"/>
        <v>0</v>
      </c>
      <c r="P632" s="465">
        <f t="shared" si="264"/>
        <v>0</v>
      </c>
      <c r="Q632" s="541"/>
      <c r="R632" s="541"/>
      <c r="S632" s="541"/>
      <c r="T632" s="541"/>
      <c r="U632" s="541"/>
      <c r="V632" s="541"/>
      <c r="W632" s="541"/>
      <c r="X632" s="541"/>
      <c r="Y632" s="541"/>
      <c r="Z632" s="541"/>
    </row>
    <row r="633" spans="1:26" ht="18.75" hidden="1">
      <c r="A633" s="563"/>
      <c r="B633" s="571"/>
      <c r="C633" s="723"/>
      <c r="D633" s="684"/>
      <c r="E633" s="723" t="s">
        <v>184</v>
      </c>
      <c r="F633" s="723"/>
      <c r="G633" s="567"/>
      <c r="H633" s="165" t="s">
        <v>12</v>
      </c>
      <c r="I633" s="583"/>
      <c r="J633" s="583"/>
      <c r="K633" s="93"/>
      <c r="L633" s="93">
        <v>0</v>
      </c>
      <c r="M633" s="93">
        <v>0</v>
      </c>
      <c r="N633" s="93">
        <v>0</v>
      </c>
      <c r="O633" s="93">
        <f t="shared" si="263"/>
        <v>0</v>
      </c>
      <c r="P633" s="93">
        <f t="shared" si="264"/>
        <v>0</v>
      </c>
      <c r="Q633" s="568"/>
      <c r="R633" s="568"/>
      <c r="S633" s="568"/>
      <c r="T633" s="568"/>
      <c r="U633" s="568"/>
      <c r="V633" s="568"/>
      <c r="W633" s="568"/>
      <c r="X633" s="568"/>
      <c r="Y633" s="568"/>
      <c r="Z633" s="568"/>
    </row>
    <row r="634" spans="1:26" ht="18.75" hidden="1">
      <c r="A634" s="563"/>
      <c r="B634" s="571"/>
      <c r="C634" s="723"/>
      <c r="D634" s="684"/>
      <c r="E634" s="723" t="s">
        <v>185</v>
      </c>
      <c r="F634" s="723"/>
      <c r="G634" s="567"/>
      <c r="H634" s="165" t="s">
        <v>12</v>
      </c>
      <c r="I634" s="583"/>
      <c r="J634" s="583"/>
      <c r="K634" s="93"/>
      <c r="L634" s="93">
        <f ca="1">IFERROR(__xludf.DUMMYFUNCTION("IMPORTRANGE(""https://docs.google.com/spreadsheets/d/1QqKyyYR6Q21VydFLVH3TRQUabQu_ym0Zz7PgGX0-kHA/edit?usp=sharing"",""แผน!HN30"")"),171750)</f>
        <v>171750</v>
      </c>
      <c r="M634" s="93">
        <v>0</v>
      </c>
      <c r="N634" s="93">
        <f>N635+N636+N637+N638</f>
        <v>0</v>
      </c>
      <c r="O634" s="93">
        <f t="shared" ca="1" si="263"/>
        <v>0</v>
      </c>
      <c r="P634" s="93">
        <f t="shared" si="264"/>
        <v>0</v>
      </c>
      <c r="Q634" s="568"/>
      <c r="R634" s="568"/>
      <c r="S634" s="568"/>
      <c r="T634" s="568"/>
      <c r="U634" s="568"/>
      <c r="V634" s="568"/>
      <c r="W634" s="568"/>
      <c r="X634" s="568"/>
      <c r="Y634" s="568"/>
      <c r="Z634" s="568"/>
    </row>
    <row r="635" spans="1:26" ht="18.75">
      <c r="A635" s="537"/>
      <c r="B635" s="538"/>
      <c r="C635" s="727"/>
      <c r="D635" s="727"/>
      <c r="E635" s="727"/>
      <c r="F635" s="727" t="s">
        <v>186</v>
      </c>
      <c r="G635" s="189"/>
      <c r="H635" s="161" t="s">
        <v>12</v>
      </c>
      <c r="I635" s="269"/>
      <c r="J635" s="269"/>
      <c r="K635" s="465"/>
      <c r="L635" s="465"/>
      <c r="M635" s="465"/>
      <c r="N635" s="789">
        <v>0</v>
      </c>
      <c r="O635" s="465"/>
      <c r="P635" s="465"/>
      <c r="Q635" s="541"/>
      <c r="R635" s="541"/>
      <c r="S635" s="541"/>
      <c r="T635" s="541"/>
      <c r="U635" s="541"/>
      <c r="V635" s="541"/>
      <c r="W635" s="541"/>
      <c r="X635" s="541"/>
      <c r="Y635" s="541"/>
      <c r="Z635" s="541"/>
    </row>
    <row r="636" spans="1:26" ht="18.75">
      <c r="A636" s="537"/>
      <c r="B636" s="538"/>
      <c r="C636" s="727"/>
      <c r="D636" s="727"/>
      <c r="E636" s="727"/>
      <c r="F636" s="727" t="s">
        <v>187</v>
      </c>
      <c r="G636" s="189"/>
      <c r="H636" s="161" t="s">
        <v>12</v>
      </c>
      <c r="I636" s="269"/>
      <c r="J636" s="269"/>
      <c r="K636" s="465"/>
      <c r="L636" s="465"/>
      <c r="M636" s="465"/>
      <c r="N636" s="789">
        <v>0</v>
      </c>
      <c r="O636" s="465"/>
      <c r="P636" s="465"/>
      <c r="Q636" s="541"/>
      <c r="R636" s="541"/>
      <c r="S636" s="541"/>
      <c r="T636" s="541"/>
      <c r="U636" s="541"/>
      <c r="V636" s="541"/>
      <c r="W636" s="541"/>
      <c r="X636" s="541"/>
      <c r="Y636" s="541"/>
      <c r="Z636" s="541"/>
    </row>
    <row r="637" spans="1:26" ht="18.75">
      <c r="A637" s="537"/>
      <c r="B637" s="538"/>
      <c r="C637" s="727"/>
      <c r="D637" s="727"/>
      <c r="E637" s="727"/>
      <c r="F637" s="727" t="s">
        <v>188</v>
      </c>
      <c r="G637" s="189"/>
      <c r="H637" s="161" t="s">
        <v>12</v>
      </c>
      <c r="I637" s="269"/>
      <c r="J637" s="269"/>
      <c r="K637" s="465"/>
      <c r="L637" s="465"/>
      <c r="M637" s="465"/>
      <c r="N637" s="789">
        <v>0</v>
      </c>
      <c r="O637" s="465"/>
      <c r="P637" s="465"/>
      <c r="Q637" s="541"/>
      <c r="R637" s="541"/>
      <c r="S637" s="541"/>
      <c r="T637" s="541"/>
      <c r="U637" s="541"/>
      <c r="V637" s="541"/>
      <c r="W637" s="541"/>
      <c r="X637" s="541"/>
      <c r="Y637" s="541"/>
      <c r="Z637" s="541"/>
    </row>
    <row r="638" spans="1:26" ht="18.75">
      <c r="A638" s="537"/>
      <c r="B638" s="538"/>
      <c r="C638" s="727"/>
      <c r="D638" s="727"/>
      <c r="E638" s="727"/>
      <c r="F638" s="727" t="s">
        <v>189</v>
      </c>
      <c r="G638" s="189"/>
      <c r="H638" s="161" t="s">
        <v>12</v>
      </c>
      <c r="I638" s="269"/>
      <c r="J638" s="269"/>
      <c r="K638" s="465"/>
      <c r="L638" s="465"/>
      <c r="M638" s="465"/>
      <c r="N638" s="789">
        <v>0</v>
      </c>
      <c r="O638" s="465"/>
      <c r="P638" s="465"/>
      <c r="Q638" s="541"/>
      <c r="R638" s="541"/>
      <c r="S638" s="541"/>
      <c r="T638" s="541"/>
      <c r="U638" s="541"/>
      <c r="V638" s="541"/>
      <c r="W638" s="541"/>
      <c r="X638" s="541"/>
      <c r="Y638" s="541"/>
      <c r="Z638" s="541"/>
    </row>
    <row r="639" spans="1:26" ht="18.75">
      <c r="A639" s="561"/>
      <c r="B639" s="538"/>
      <c r="C639" s="727"/>
      <c r="D639" s="570" t="s">
        <v>21</v>
      </c>
      <c r="E639" s="727"/>
      <c r="F639" s="727"/>
      <c r="G639" s="189"/>
      <c r="H639" s="168" t="s">
        <v>12</v>
      </c>
      <c r="I639" s="184"/>
      <c r="J639" s="184"/>
      <c r="K639" s="163"/>
      <c r="L639" s="465">
        <f t="shared" ref="L639:N639" ca="1" si="267">L640+L641</f>
        <v>0</v>
      </c>
      <c r="M639" s="465">
        <f t="shared" si="267"/>
        <v>0</v>
      </c>
      <c r="N639" s="465">
        <f t="shared" si="267"/>
        <v>0</v>
      </c>
      <c r="O639" s="465">
        <f t="shared" ref="O639:O641" ca="1" si="268">IF(L639&gt;0,N639*100/L639,0)</f>
        <v>0</v>
      </c>
      <c r="P639" s="465">
        <f t="shared" ref="P639:P641" si="269">IF(M639&gt;0,N639*100/M639,0)</f>
        <v>0</v>
      </c>
      <c r="Q639" s="541"/>
      <c r="R639" s="541"/>
      <c r="S639" s="541"/>
      <c r="T639" s="541"/>
      <c r="U639" s="541"/>
      <c r="V639" s="541"/>
      <c r="W639" s="541"/>
      <c r="X639" s="541"/>
      <c r="Y639" s="541"/>
      <c r="Z639" s="541"/>
    </row>
    <row r="640" spans="1:26" ht="18.75" hidden="1">
      <c r="A640" s="563"/>
      <c r="B640" s="571"/>
      <c r="C640" s="723"/>
      <c r="D640" s="723"/>
      <c r="E640" s="723" t="s">
        <v>18</v>
      </c>
      <c r="F640" s="723"/>
      <c r="G640" s="567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8"/>
        <v>0</v>
      </c>
      <c r="P640" s="93">
        <f t="shared" si="269"/>
        <v>0</v>
      </c>
      <c r="Q640" s="568"/>
      <c r="R640" s="568"/>
      <c r="S640" s="568"/>
      <c r="T640" s="568"/>
      <c r="U640" s="568"/>
      <c r="V640" s="568"/>
      <c r="W640" s="568"/>
      <c r="X640" s="568"/>
      <c r="Y640" s="568"/>
      <c r="Z640" s="568"/>
    </row>
    <row r="641" spans="1:26" ht="18.75" hidden="1">
      <c r="A641" s="563"/>
      <c r="B641" s="571"/>
      <c r="C641" s="723"/>
      <c r="D641" s="723"/>
      <c r="E641" s="723" t="s">
        <v>19</v>
      </c>
      <c r="F641" s="723"/>
      <c r="G641" s="567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IFERROR(__xludf.DUMMYFUNCTION("IMPORTRANGE(""https://docs.google.com/spreadsheets/d/1QqKyyYR6Q21VydFLVH3TRQUabQu_ym0Zz7PgGX0-kHA/edit?usp=sharing"",""แผน!HQ30"")"),0)</f>
        <v>0</v>
      </c>
      <c r="M641" s="93">
        <v>0</v>
      </c>
      <c r="N641" s="93">
        <v>0</v>
      </c>
      <c r="O641" s="93">
        <f t="shared" ca="1" si="268"/>
        <v>0</v>
      </c>
      <c r="P641" s="93">
        <f t="shared" si="269"/>
        <v>0</v>
      </c>
      <c r="Q641" s="568"/>
      <c r="R641" s="568"/>
      <c r="S641" s="568"/>
      <c r="T641" s="568"/>
      <c r="U641" s="568"/>
      <c r="V641" s="568"/>
      <c r="W641" s="568"/>
      <c r="X641" s="568"/>
      <c r="Y641" s="568"/>
      <c r="Z641" s="568"/>
    </row>
    <row r="642" spans="1:26" ht="19.5">
      <c r="A642" s="572"/>
      <c r="B642" s="584"/>
      <c r="C642" s="727" t="s">
        <v>16</v>
      </c>
      <c r="D642" s="853" t="s">
        <v>38</v>
      </c>
      <c r="E642" s="725"/>
      <c r="F642" s="725"/>
      <c r="G642" s="577"/>
      <c r="H642" s="726"/>
      <c r="I642" s="184"/>
      <c r="J642" s="184"/>
      <c r="K642" s="163"/>
      <c r="L642" s="163"/>
      <c r="M642" s="163"/>
      <c r="N642" s="163"/>
      <c r="O642" s="163"/>
      <c r="P642" s="163"/>
      <c r="Q642" s="541"/>
      <c r="R642" s="541"/>
      <c r="S642" s="541"/>
      <c r="T642" s="541"/>
      <c r="U642" s="541"/>
      <c r="V642" s="541"/>
      <c r="W642" s="541"/>
      <c r="X642" s="541"/>
      <c r="Y642" s="541"/>
      <c r="Z642" s="541"/>
    </row>
    <row r="643" spans="1:26" ht="18.75">
      <c r="A643" s="708"/>
      <c r="B643" s="538"/>
      <c r="C643" s="727"/>
      <c r="D643" s="592"/>
      <c r="E643" s="710" t="s">
        <v>271</v>
      </c>
      <c r="F643" s="592"/>
      <c r="G643" s="726"/>
      <c r="H643" s="728" t="s">
        <v>272</v>
      </c>
      <c r="I643" s="269">
        <f ca="1">IFERROR(__xludf.DUMMYFUNCTION("IMPORTRANGE(""https://docs.google.com/spreadsheets/d/1QqKyyYR6Q21VydFLVH3TRQUabQu_ym0Zz7PgGX0-kHA/edit?usp=sharing"",""แผน!HR30"")"),0)</f>
        <v>0</v>
      </c>
      <c r="J643" s="214">
        <v>0</v>
      </c>
      <c r="K643" s="163">
        <f t="shared" ref="K643:K652" ca="1" si="270">IF(I643&gt;0,J643*100/I643,0)</f>
        <v>0</v>
      </c>
      <c r="L643" s="163"/>
      <c r="M643" s="163"/>
      <c r="N643" s="465"/>
      <c r="O643" s="163"/>
      <c r="P643" s="163"/>
      <c r="Q643" s="541"/>
      <c r="R643" s="541"/>
      <c r="S643" s="541"/>
      <c r="T643" s="541"/>
      <c r="U643" s="541"/>
      <c r="V643" s="541"/>
      <c r="W643" s="541"/>
      <c r="X643" s="541"/>
      <c r="Y643" s="541"/>
      <c r="Z643" s="541"/>
    </row>
    <row r="644" spans="1:26" ht="18.75">
      <c r="A644" s="708"/>
      <c r="B644" s="538"/>
      <c r="C644" s="727"/>
      <c r="D644" s="592"/>
      <c r="E644" s="710" t="s">
        <v>273</v>
      </c>
      <c r="F644" s="592"/>
      <c r="G644" s="726"/>
      <c r="H644" s="728" t="s">
        <v>274</v>
      </c>
      <c r="I644" s="269">
        <f ca="1">IFERROR(__xludf.DUMMYFUNCTION("IMPORTRANGE(""https://docs.google.com/spreadsheets/d/1QqKyyYR6Q21VydFLVH3TRQUabQu_ym0Zz7PgGX0-kHA/edit?usp=sharing"",""แผน!HR30"")"),0)</f>
        <v>0</v>
      </c>
      <c r="J644" s="214">
        <v>0</v>
      </c>
      <c r="K644" s="163">
        <f t="shared" ca="1" si="270"/>
        <v>0</v>
      </c>
      <c r="L644" s="163"/>
      <c r="M644" s="163"/>
      <c r="N644" s="465"/>
      <c r="O644" s="163"/>
      <c r="P644" s="163"/>
      <c r="Q644" s="541"/>
      <c r="R644" s="541"/>
      <c r="S644" s="541"/>
      <c r="T644" s="541"/>
      <c r="U644" s="541"/>
      <c r="V644" s="541"/>
      <c r="W644" s="541"/>
      <c r="X644" s="541"/>
      <c r="Y644" s="541"/>
      <c r="Z644" s="541"/>
    </row>
    <row r="645" spans="1:26" ht="18.75">
      <c r="A645" s="708"/>
      <c r="B645" s="538"/>
      <c r="C645" s="727"/>
      <c r="D645" s="592"/>
      <c r="E645" s="710" t="s">
        <v>275</v>
      </c>
      <c r="F645" s="592"/>
      <c r="G645" s="726"/>
      <c r="H645" s="728" t="s">
        <v>34</v>
      </c>
      <c r="I645" s="269">
        <v>0</v>
      </c>
      <c r="J645" s="269">
        <f ca="1">IFERROR(__xludf.DUMMYFUNCTION("IMPORTRANGE(""https://docs.google.com/spreadsheets/d/1XWAQStnk-4SwqDmLtmXYiTMKHgktTP8We1SCoS47DrQ/edit?usp=sharing"",""จัดที่ดิน!AS30"")"),0)</f>
        <v>0</v>
      </c>
      <c r="K645" s="163">
        <f t="shared" si="270"/>
        <v>0</v>
      </c>
      <c r="L645" s="163"/>
      <c r="M645" s="163"/>
      <c r="N645" s="465"/>
      <c r="O645" s="163"/>
      <c r="P645" s="163"/>
      <c r="Q645" s="541"/>
      <c r="R645" s="541"/>
      <c r="S645" s="541"/>
      <c r="T645" s="541"/>
      <c r="U645" s="541"/>
      <c r="V645" s="541"/>
      <c r="W645" s="541"/>
      <c r="X645" s="541"/>
      <c r="Y645" s="541"/>
      <c r="Z645" s="541"/>
    </row>
    <row r="646" spans="1:26" ht="18.75">
      <c r="A646" s="708"/>
      <c r="B646" s="538"/>
      <c r="C646" s="727"/>
      <c r="D646" s="592"/>
      <c r="E646" s="592"/>
      <c r="F646" s="592"/>
      <c r="G646" s="726"/>
      <c r="H646" s="728" t="s">
        <v>46</v>
      </c>
      <c r="I646" s="269">
        <v>0</v>
      </c>
      <c r="J646" s="269">
        <f ca="1">IFERROR(__xludf.DUMMYFUNCTION("IMPORTRANGE(""https://docs.google.com/spreadsheets/d/1XWAQStnk-4SwqDmLtmXYiTMKHgktTP8We1SCoS47DrQ/edit?usp=sharing"",""จัดที่ดิน!AT30"")"),0)</f>
        <v>0</v>
      </c>
      <c r="K646" s="465">
        <f t="shared" si="270"/>
        <v>0</v>
      </c>
      <c r="L646" s="163"/>
      <c r="M646" s="163"/>
      <c r="N646" s="465"/>
      <c r="O646" s="163"/>
      <c r="P646" s="163"/>
      <c r="Q646" s="541"/>
      <c r="R646" s="541"/>
      <c r="S646" s="541"/>
      <c r="T646" s="541"/>
      <c r="U646" s="541"/>
      <c r="V646" s="541"/>
      <c r="W646" s="541"/>
      <c r="X646" s="541"/>
      <c r="Y646" s="541"/>
      <c r="Z646" s="541"/>
    </row>
    <row r="647" spans="1:26" ht="18.75">
      <c r="A647" s="708"/>
      <c r="B647" s="538"/>
      <c r="C647" s="727"/>
      <c r="D647" s="592"/>
      <c r="E647" s="710" t="s">
        <v>162</v>
      </c>
      <c r="F647" s="592"/>
      <c r="G647" s="726"/>
      <c r="H647" s="728" t="s">
        <v>35</v>
      </c>
      <c r="I647" s="269">
        <f ca="1">IFERROR(__xludf.DUMMYFUNCTION("IMPORTRANGE(""https://docs.google.com/spreadsheets/d/1QqKyyYR6Q21VydFLVH3TRQUabQu_ym0Zz7PgGX0-kHA/edit?usp=sharing"",""แผน!HS30"")"),45)</f>
        <v>45</v>
      </c>
      <c r="J647" s="269">
        <f ca="1">IFERROR(__xludf.DUMMYFUNCTION("IMPORTRANGE(""https://docs.google.com/spreadsheets/d/1XWAQStnk-4SwqDmLtmXYiTMKHgktTP8We1SCoS47DrQ/edit?usp=sharing"",""จัดที่ดิน!AU30"")"),0)</f>
        <v>0</v>
      </c>
      <c r="K647" s="163">
        <f t="shared" ca="1" si="270"/>
        <v>0</v>
      </c>
      <c r="L647" s="163"/>
      <c r="M647" s="163"/>
      <c r="N647" s="163"/>
      <c r="O647" s="163"/>
      <c r="P647" s="163"/>
      <c r="Q647" s="541"/>
      <c r="R647" s="541"/>
      <c r="S647" s="541"/>
      <c r="T647" s="541"/>
      <c r="U647" s="541"/>
      <c r="V647" s="541"/>
      <c r="W647" s="541"/>
      <c r="X647" s="541"/>
      <c r="Y647" s="541"/>
      <c r="Z647" s="541"/>
    </row>
    <row r="648" spans="1:26" ht="18.75">
      <c r="A648" s="708"/>
      <c r="B648" s="538"/>
      <c r="C648" s="727"/>
      <c r="D648" s="592"/>
      <c r="E648" s="592"/>
      <c r="F648" s="592"/>
      <c r="G648" s="726"/>
      <c r="H648" s="728" t="s">
        <v>46</v>
      </c>
      <c r="I648" s="269">
        <v>0</v>
      </c>
      <c r="J648" s="269">
        <f ca="1">IFERROR(__xludf.DUMMYFUNCTION("IMPORTRANGE(""https://docs.google.com/spreadsheets/d/1XWAQStnk-4SwqDmLtmXYiTMKHgktTP8We1SCoS47DrQ/edit?usp=sharing"",""จัดที่ดิน!AV30"")"),0)</f>
        <v>0</v>
      </c>
      <c r="K648" s="465">
        <f t="shared" si="270"/>
        <v>0</v>
      </c>
      <c r="L648" s="163"/>
      <c r="M648" s="163"/>
      <c r="N648" s="163"/>
      <c r="O648" s="163"/>
      <c r="P648" s="163"/>
      <c r="Q648" s="541"/>
      <c r="R648" s="541"/>
      <c r="S648" s="541"/>
      <c r="T648" s="541"/>
      <c r="U648" s="541"/>
      <c r="V648" s="541"/>
      <c r="W648" s="541"/>
      <c r="X648" s="541"/>
      <c r="Y648" s="541"/>
      <c r="Z648" s="541"/>
    </row>
    <row r="649" spans="1:26" ht="18.75">
      <c r="A649" s="708"/>
      <c r="B649" s="538"/>
      <c r="C649" s="727"/>
      <c r="D649" s="592"/>
      <c r="E649" s="710" t="s">
        <v>276</v>
      </c>
      <c r="F649" s="592"/>
      <c r="G649" s="726"/>
      <c r="H649" s="728" t="s">
        <v>35</v>
      </c>
      <c r="I649" s="269">
        <f ca="1">IFERROR(__xludf.DUMMYFUNCTION("IMPORTRANGE(""https://docs.google.com/spreadsheets/d/1QqKyyYR6Q21VydFLVH3TRQUabQu_ym0Zz7PgGX0-kHA/edit?usp=sharing"",""แผน!HS30"")"),45)</f>
        <v>45</v>
      </c>
      <c r="J649" s="269">
        <f ca="1">IFERROR(__xludf.DUMMYFUNCTION("IMPORTRANGE(""https://docs.google.com/spreadsheets/d/1XWAQStnk-4SwqDmLtmXYiTMKHgktTP8We1SCoS47DrQ/edit?usp=sharing"",""จัดที่ดิน!AW30"")"),0)</f>
        <v>0</v>
      </c>
      <c r="K649" s="163">
        <f t="shared" ca="1" si="270"/>
        <v>0</v>
      </c>
      <c r="L649" s="163"/>
      <c r="M649" s="163"/>
      <c r="N649" s="163"/>
      <c r="O649" s="163"/>
      <c r="P649" s="163"/>
      <c r="Q649" s="541"/>
      <c r="R649" s="541"/>
      <c r="S649" s="541"/>
      <c r="T649" s="541"/>
      <c r="U649" s="541"/>
      <c r="V649" s="541"/>
      <c r="W649" s="541"/>
      <c r="X649" s="541"/>
      <c r="Y649" s="541"/>
      <c r="Z649" s="541"/>
    </row>
    <row r="650" spans="1:26" ht="18.75">
      <c r="A650" s="708"/>
      <c r="B650" s="538"/>
      <c r="C650" s="727"/>
      <c r="D650" s="592"/>
      <c r="E650" s="592"/>
      <c r="F650" s="592"/>
      <c r="G650" s="726"/>
      <c r="H650" s="728" t="s">
        <v>46</v>
      </c>
      <c r="I650" s="269">
        <v>0</v>
      </c>
      <c r="J650" s="269">
        <f ca="1">IFERROR(__xludf.DUMMYFUNCTION("IMPORTRANGE(""https://docs.google.com/spreadsheets/d/1XWAQStnk-4SwqDmLtmXYiTMKHgktTP8We1SCoS47DrQ/edit?usp=sharing"",""จัดที่ดิน!AX30"")"),0)</f>
        <v>0</v>
      </c>
      <c r="K650" s="465">
        <f t="shared" si="270"/>
        <v>0</v>
      </c>
      <c r="L650" s="163"/>
      <c r="M650" s="163"/>
      <c r="N650" s="163"/>
      <c r="O650" s="163"/>
      <c r="P650" s="163"/>
      <c r="Q650" s="541"/>
      <c r="R650" s="541"/>
      <c r="S650" s="541"/>
      <c r="T650" s="541"/>
      <c r="U650" s="541"/>
      <c r="V650" s="541"/>
      <c r="W650" s="541"/>
      <c r="X650" s="541"/>
      <c r="Y650" s="541"/>
      <c r="Z650" s="541"/>
    </row>
    <row r="651" spans="1:26" ht="18.75">
      <c r="A651" s="708"/>
      <c r="B651" s="538"/>
      <c r="C651" s="727"/>
      <c r="D651" s="592"/>
      <c r="E651" s="710" t="s">
        <v>277</v>
      </c>
      <c r="F651" s="592"/>
      <c r="G651" s="726"/>
      <c r="H651" s="728" t="s">
        <v>35</v>
      </c>
      <c r="I651" s="269">
        <f ca="1">IFERROR(__xludf.DUMMYFUNCTION("IMPORTRANGE(""https://docs.google.com/spreadsheets/d/1QqKyyYR6Q21VydFLVH3TRQUabQu_ym0Zz7PgGX0-kHA/edit?usp=sharing"",""แผน!HS30"")"),45)</f>
        <v>45</v>
      </c>
      <c r="J651" s="269">
        <f ca="1">IFERROR(__xludf.DUMMYFUNCTION("IMPORTRANGE(""https://docs.google.com/spreadsheets/d/1XWAQStnk-4SwqDmLtmXYiTMKHgktTP8We1SCoS47DrQ/edit?usp=sharing"",""จัดที่ดิน!AY30"")"),0)</f>
        <v>0</v>
      </c>
      <c r="K651" s="163">
        <f t="shared" ca="1" si="270"/>
        <v>0</v>
      </c>
      <c r="L651" s="163"/>
      <c r="M651" s="163"/>
      <c r="N651" s="163"/>
      <c r="O651" s="163"/>
      <c r="P651" s="163"/>
      <c r="Q651" s="541"/>
      <c r="R651" s="541"/>
      <c r="S651" s="541"/>
      <c r="T651" s="541"/>
      <c r="U651" s="541"/>
      <c r="V651" s="541"/>
      <c r="W651" s="541"/>
      <c r="X651" s="541"/>
      <c r="Y651" s="541"/>
      <c r="Z651" s="541"/>
    </row>
    <row r="652" spans="1:26" ht="18.75">
      <c r="A652" s="711"/>
      <c r="B652" s="712"/>
      <c r="C652" s="713"/>
      <c r="D652" s="698"/>
      <c r="E652" s="698"/>
      <c r="F652" s="698"/>
      <c r="G652" s="699"/>
      <c r="H652" s="467" t="s">
        <v>46</v>
      </c>
      <c r="I652" s="468">
        <v>0</v>
      </c>
      <c r="J652" s="468">
        <f ca="1">IFERROR(__xludf.DUMMYFUNCTION("IMPORTRANGE(""https://docs.google.com/spreadsheets/d/1XWAQStnk-4SwqDmLtmXYiTMKHgktTP8We1SCoS47DrQ/edit?usp=sharing"",""จัดที่ดิน!AZ30"")"),0)</f>
        <v>0</v>
      </c>
      <c r="K652" s="469">
        <f t="shared" si="270"/>
        <v>0</v>
      </c>
      <c r="L652" s="353"/>
      <c r="M652" s="353"/>
      <c r="N652" s="353"/>
      <c r="O652" s="353"/>
      <c r="P652" s="353"/>
      <c r="Q652" s="541"/>
      <c r="R652" s="541"/>
      <c r="S652" s="541"/>
      <c r="T652" s="541"/>
      <c r="U652" s="541"/>
      <c r="V652" s="541"/>
      <c r="W652" s="541"/>
      <c r="X652" s="541"/>
      <c r="Y652" s="541"/>
      <c r="Z652" s="541"/>
    </row>
    <row r="653" spans="1:26" ht="19.5">
      <c r="A653" s="714">
        <v>8</v>
      </c>
      <c r="B653" s="701" t="s">
        <v>278</v>
      </c>
      <c r="C653" s="702"/>
      <c r="D653" s="702"/>
      <c r="E653" s="702"/>
      <c r="F653" s="702"/>
      <c r="G653" s="703"/>
      <c r="H653" s="703"/>
      <c r="I653" s="715"/>
      <c r="J653" s="715"/>
      <c r="K653" s="707"/>
      <c r="L653" s="707"/>
      <c r="M653" s="707"/>
      <c r="N653" s="707"/>
      <c r="O653" s="707"/>
      <c r="P653" s="707"/>
      <c r="Q653" s="541"/>
      <c r="R653" s="541"/>
      <c r="S653" s="541"/>
      <c r="T653" s="541"/>
      <c r="U653" s="541"/>
      <c r="V653" s="541"/>
      <c r="W653" s="541"/>
      <c r="X653" s="541"/>
      <c r="Y653" s="541"/>
      <c r="Z653" s="541"/>
    </row>
    <row r="654" spans="1:26" ht="19.5">
      <c r="A654" s="639"/>
      <c r="B654" s="638" t="s">
        <v>279</v>
      </c>
      <c r="C654" s="639"/>
      <c r="D654" s="639"/>
      <c r="E654" s="639"/>
      <c r="F654" s="639"/>
      <c r="G654" s="640"/>
      <c r="H654" s="671" t="s">
        <v>46</v>
      </c>
      <c r="I654" s="672">
        <f t="shared" ref="I654:J654" ca="1" si="271">I669</f>
        <v>100</v>
      </c>
      <c r="J654" s="672">
        <f t="shared" si="271"/>
        <v>0</v>
      </c>
      <c r="K654" s="643">
        <f ca="1">IF(I654&gt;0,J654*100/I654,0)</f>
        <v>0</v>
      </c>
      <c r="L654" s="644"/>
      <c r="M654" s="644"/>
      <c r="N654" s="644"/>
      <c r="O654" s="644"/>
      <c r="P654" s="644"/>
      <c r="Q654" s="541"/>
      <c r="R654" s="541"/>
      <c r="S654" s="541"/>
      <c r="T654" s="541"/>
      <c r="U654" s="541"/>
      <c r="V654" s="541"/>
      <c r="W654" s="541"/>
      <c r="X654" s="541"/>
      <c r="Y654" s="541"/>
      <c r="Z654" s="541"/>
    </row>
    <row r="655" spans="1:26" ht="19.5">
      <c r="A655" s="561"/>
      <c r="B655" s="727"/>
      <c r="C655" s="727" t="s">
        <v>16</v>
      </c>
      <c r="D655" s="811" t="s">
        <v>17</v>
      </c>
      <c r="E655" s="805"/>
      <c r="F655" s="805"/>
      <c r="G655" s="189"/>
      <c r="H655" s="562" t="s">
        <v>12</v>
      </c>
      <c r="I655" s="269"/>
      <c r="J655" s="269"/>
      <c r="K655" s="465"/>
      <c r="L655" s="195">
        <f t="shared" ref="L655:N655" ca="1" si="272">L656+L657</f>
        <v>12400</v>
      </c>
      <c r="M655" s="195">
        <f t="shared" si="272"/>
        <v>0</v>
      </c>
      <c r="N655" s="195">
        <f t="shared" si="272"/>
        <v>0</v>
      </c>
      <c r="O655" s="195">
        <f t="shared" ref="O655:O660" ca="1" si="273">IF(L655&gt;0,N655*100/L655,0)</f>
        <v>0</v>
      </c>
      <c r="P655" s="195">
        <f t="shared" ref="P655:P660" si="274">IF(M655&gt;0,N655*100/M655,0)</f>
        <v>0</v>
      </c>
      <c r="Q655" s="541"/>
      <c r="R655" s="541"/>
      <c r="S655" s="541"/>
      <c r="T655" s="541"/>
      <c r="U655" s="541"/>
      <c r="V655" s="541"/>
      <c r="W655" s="541"/>
      <c r="X655" s="541"/>
      <c r="Y655" s="541"/>
      <c r="Z655" s="541"/>
    </row>
    <row r="656" spans="1:26" ht="18.75" hidden="1">
      <c r="A656" s="563"/>
      <c r="B656" s="723"/>
      <c r="C656" s="723"/>
      <c r="D656" s="684"/>
      <c r="E656" s="723" t="s">
        <v>184</v>
      </c>
      <c r="F656" s="723"/>
      <c r="G656" s="567"/>
      <c r="H656" s="165" t="s">
        <v>12</v>
      </c>
      <c r="I656" s="583"/>
      <c r="J656" s="583"/>
      <c r="K656" s="93"/>
      <c r="L656" s="93">
        <f t="shared" ref="L656:N657" si="275">L659+L666</f>
        <v>0</v>
      </c>
      <c r="M656" s="93">
        <f t="shared" si="275"/>
        <v>0</v>
      </c>
      <c r="N656" s="93">
        <f t="shared" si="275"/>
        <v>0</v>
      </c>
      <c r="O656" s="93">
        <f t="shared" si="273"/>
        <v>0</v>
      </c>
      <c r="P656" s="93">
        <f t="shared" si="274"/>
        <v>0</v>
      </c>
      <c r="Q656" s="568"/>
      <c r="R656" s="568"/>
      <c r="S656" s="568"/>
      <c r="T656" s="568"/>
      <c r="U656" s="568"/>
      <c r="V656" s="568"/>
      <c r="W656" s="568"/>
      <c r="X656" s="568"/>
      <c r="Y656" s="568"/>
      <c r="Z656" s="568"/>
    </row>
    <row r="657" spans="1:26" ht="18.75" hidden="1">
      <c r="A657" s="563"/>
      <c r="B657" s="571"/>
      <c r="C657" s="723"/>
      <c r="D657" s="684"/>
      <c r="E657" s="723" t="s">
        <v>185</v>
      </c>
      <c r="F657" s="723"/>
      <c r="G657" s="567"/>
      <c r="H657" s="165" t="s">
        <v>12</v>
      </c>
      <c r="I657" s="583"/>
      <c r="J657" s="583"/>
      <c r="K657" s="93"/>
      <c r="L657" s="93">
        <f t="shared" ca="1" si="275"/>
        <v>12400</v>
      </c>
      <c r="M657" s="93">
        <f t="shared" si="275"/>
        <v>0</v>
      </c>
      <c r="N657" s="93">
        <f t="shared" si="275"/>
        <v>0</v>
      </c>
      <c r="O657" s="93">
        <f t="shared" ca="1" si="273"/>
        <v>0</v>
      </c>
      <c r="P657" s="93">
        <f t="shared" si="274"/>
        <v>0</v>
      </c>
      <c r="Q657" s="568"/>
      <c r="R657" s="568"/>
      <c r="S657" s="568"/>
      <c r="T657" s="568"/>
      <c r="U657" s="568"/>
      <c r="V657" s="568"/>
      <c r="W657" s="568"/>
      <c r="X657" s="568"/>
      <c r="Y657" s="568"/>
      <c r="Z657" s="568"/>
    </row>
    <row r="658" spans="1:26" ht="18.75">
      <c r="A658" s="561"/>
      <c r="B658" s="538"/>
      <c r="C658" s="727"/>
      <c r="D658" s="570" t="s">
        <v>20</v>
      </c>
      <c r="E658" s="727"/>
      <c r="F658" s="727"/>
      <c r="G658" s="189"/>
      <c r="H658" s="161" t="s">
        <v>12</v>
      </c>
      <c r="I658" s="184"/>
      <c r="J658" s="184"/>
      <c r="K658" s="163"/>
      <c r="L658" s="465">
        <f t="shared" ref="L658:N658" ca="1" si="276">L659+L660</f>
        <v>12400</v>
      </c>
      <c r="M658" s="465">
        <f t="shared" si="276"/>
        <v>0</v>
      </c>
      <c r="N658" s="465">
        <f t="shared" si="276"/>
        <v>0</v>
      </c>
      <c r="O658" s="465">
        <f t="shared" ca="1" si="273"/>
        <v>0</v>
      </c>
      <c r="P658" s="465">
        <f t="shared" si="274"/>
        <v>0</v>
      </c>
      <c r="Q658" s="541"/>
      <c r="R658" s="541"/>
      <c r="S658" s="541"/>
      <c r="T658" s="541"/>
      <c r="U658" s="541"/>
      <c r="V658" s="541"/>
      <c r="W658" s="541"/>
      <c r="X658" s="541"/>
      <c r="Y658" s="541"/>
      <c r="Z658" s="541"/>
    </row>
    <row r="659" spans="1:26" ht="18.75" hidden="1">
      <c r="A659" s="563"/>
      <c r="B659" s="571"/>
      <c r="C659" s="723"/>
      <c r="D659" s="684"/>
      <c r="E659" s="723" t="s">
        <v>184</v>
      </c>
      <c r="F659" s="723"/>
      <c r="G659" s="567"/>
      <c r="H659" s="165" t="s">
        <v>12</v>
      </c>
      <c r="I659" s="583"/>
      <c r="J659" s="583"/>
      <c r="K659" s="93"/>
      <c r="L659" s="93">
        <v>0</v>
      </c>
      <c r="M659" s="93">
        <v>0</v>
      </c>
      <c r="N659" s="93">
        <v>0</v>
      </c>
      <c r="O659" s="93">
        <f t="shared" si="273"/>
        <v>0</v>
      </c>
      <c r="P659" s="93">
        <f t="shared" si="274"/>
        <v>0</v>
      </c>
      <c r="Q659" s="568"/>
      <c r="R659" s="568"/>
      <c r="S659" s="568"/>
      <c r="T659" s="568"/>
      <c r="U659" s="568"/>
      <c r="V659" s="568"/>
      <c r="W659" s="568"/>
      <c r="X659" s="568"/>
      <c r="Y659" s="568"/>
      <c r="Z659" s="568"/>
    </row>
    <row r="660" spans="1:26" ht="18.75" hidden="1">
      <c r="A660" s="563"/>
      <c r="B660" s="571"/>
      <c r="C660" s="723"/>
      <c r="D660" s="684"/>
      <c r="E660" s="723" t="s">
        <v>185</v>
      </c>
      <c r="F660" s="723"/>
      <c r="G660" s="567"/>
      <c r="H660" s="165" t="s">
        <v>12</v>
      </c>
      <c r="I660" s="583"/>
      <c r="J660" s="583"/>
      <c r="K660" s="93"/>
      <c r="L660" s="93">
        <f ca="1">IFERROR(__xludf.DUMMYFUNCTION("IMPORTRANGE(""https://docs.google.com/spreadsheets/d/1QqKyyYR6Q21VydFLVH3TRQUabQu_ym0Zz7PgGX0-kHA/edit?usp=sharing"",""แผน!HV30"")"),12400)</f>
        <v>12400</v>
      </c>
      <c r="M660" s="93">
        <v>0</v>
      </c>
      <c r="N660" s="93">
        <f>N661+N662+N663+N664</f>
        <v>0</v>
      </c>
      <c r="O660" s="93">
        <f t="shared" ca="1" si="273"/>
        <v>0</v>
      </c>
      <c r="P660" s="93">
        <f t="shared" si="274"/>
        <v>0</v>
      </c>
      <c r="Q660" s="568"/>
      <c r="R660" s="568"/>
      <c r="S660" s="568"/>
      <c r="T660" s="568"/>
      <c r="U660" s="568"/>
      <c r="V660" s="568"/>
      <c r="W660" s="568"/>
      <c r="X660" s="568"/>
      <c r="Y660" s="568"/>
      <c r="Z660" s="568"/>
    </row>
    <row r="661" spans="1:26" ht="18.75">
      <c r="A661" s="537"/>
      <c r="B661" s="538"/>
      <c r="C661" s="727"/>
      <c r="D661" s="727"/>
      <c r="E661" s="727"/>
      <c r="F661" s="727" t="s">
        <v>186</v>
      </c>
      <c r="G661" s="189"/>
      <c r="H661" s="161" t="s">
        <v>12</v>
      </c>
      <c r="I661" s="269"/>
      <c r="J661" s="269"/>
      <c r="K661" s="465"/>
      <c r="L661" s="465"/>
      <c r="M661" s="465"/>
      <c r="N661" s="789">
        <v>0</v>
      </c>
      <c r="O661" s="465"/>
      <c r="P661" s="465"/>
      <c r="Q661" s="541"/>
      <c r="R661" s="541"/>
      <c r="S661" s="541"/>
      <c r="T661" s="541"/>
      <c r="U661" s="541"/>
      <c r="V661" s="541"/>
      <c r="W661" s="541"/>
      <c r="X661" s="541"/>
      <c r="Y661" s="541"/>
      <c r="Z661" s="541"/>
    </row>
    <row r="662" spans="1:26" ht="18.75">
      <c r="A662" s="537"/>
      <c r="B662" s="538"/>
      <c r="C662" s="727"/>
      <c r="D662" s="727"/>
      <c r="E662" s="727"/>
      <c r="F662" s="727" t="s">
        <v>187</v>
      </c>
      <c r="G662" s="189"/>
      <c r="H662" s="161" t="s">
        <v>12</v>
      </c>
      <c r="I662" s="269"/>
      <c r="J662" s="269"/>
      <c r="K662" s="465"/>
      <c r="L662" s="465"/>
      <c r="M662" s="465"/>
      <c r="N662" s="789">
        <v>0</v>
      </c>
      <c r="O662" s="465"/>
      <c r="P662" s="465"/>
      <c r="Q662" s="541"/>
      <c r="R662" s="541"/>
      <c r="S662" s="541"/>
      <c r="T662" s="541"/>
      <c r="U662" s="541"/>
      <c r="V662" s="541"/>
      <c r="W662" s="541"/>
      <c r="X662" s="541"/>
      <c r="Y662" s="541"/>
      <c r="Z662" s="541"/>
    </row>
    <row r="663" spans="1:26" ht="18.75">
      <c r="A663" s="537"/>
      <c r="B663" s="538"/>
      <c r="C663" s="538"/>
      <c r="D663" s="727"/>
      <c r="E663" s="727"/>
      <c r="F663" s="727" t="s">
        <v>188</v>
      </c>
      <c r="G663" s="189"/>
      <c r="H663" s="161" t="s">
        <v>12</v>
      </c>
      <c r="I663" s="269"/>
      <c r="J663" s="269"/>
      <c r="K663" s="465"/>
      <c r="L663" s="465"/>
      <c r="M663" s="465"/>
      <c r="N663" s="789">
        <v>0</v>
      </c>
      <c r="O663" s="465"/>
      <c r="P663" s="465"/>
      <c r="Q663" s="541"/>
      <c r="R663" s="541"/>
      <c r="S663" s="541"/>
      <c r="T663" s="541"/>
      <c r="U663" s="541"/>
      <c r="V663" s="541"/>
      <c r="W663" s="541"/>
      <c r="X663" s="541"/>
      <c r="Y663" s="541"/>
      <c r="Z663" s="541"/>
    </row>
    <row r="664" spans="1:26" ht="18.75">
      <c r="A664" s="537"/>
      <c r="B664" s="538"/>
      <c r="C664" s="538"/>
      <c r="D664" s="538"/>
      <c r="E664" s="727"/>
      <c r="F664" s="727" t="s">
        <v>189</v>
      </c>
      <c r="G664" s="189"/>
      <c r="H664" s="161" t="s">
        <v>12</v>
      </c>
      <c r="I664" s="269"/>
      <c r="J664" s="269"/>
      <c r="K664" s="465"/>
      <c r="L664" s="465"/>
      <c r="M664" s="465"/>
      <c r="N664" s="789">
        <v>0</v>
      </c>
      <c r="O664" s="465"/>
      <c r="P664" s="465"/>
      <c r="Q664" s="541"/>
      <c r="R664" s="541"/>
      <c r="S664" s="541"/>
      <c r="T664" s="541"/>
      <c r="U664" s="541"/>
      <c r="V664" s="541"/>
      <c r="W664" s="541"/>
      <c r="X664" s="541"/>
      <c r="Y664" s="541"/>
      <c r="Z664" s="541"/>
    </row>
    <row r="665" spans="1:26" ht="18.75">
      <c r="A665" s="561"/>
      <c r="B665" s="538"/>
      <c r="C665" s="538"/>
      <c r="D665" s="570" t="s">
        <v>21</v>
      </c>
      <c r="E665" s="727"/>
      <c r="F665" s="727"/>
      <c r="G665" s="189"/>
      <c r="H665" s="168" t="s">
        <v>12</v>
      </c>
      <c r="I665" s="184"/>
      <c r="J665" s="184"/>
      <c r="K665" s="163"/>
      <c r="L665" s="465">
        <f t="shared" ref="L665:N665" si="277">L666+L667</f>
        <v>0</v>
      </c>
      <c r="M665" s="465">
        <f t="shared" si="277"/>
        <v>0</v>
      </c>
      <c r="N665" s="465">
        <f t="shared" si="277"/>
        <v>0</v>
      </c>
      <c r="O665" s="465">
        <f t="shared" ref="O665:O667" si="278">IF(L665&gt;0,N665*100/L665,0)</f>
        <v>0</v>
      </c>
      <c r="P665" s="465">
        <f t="shared" ref="P665:P667" si="279">IF(M665&gt;0,N665*100/M665,0)</f>
        <v>0</v>
      </c>
      <c r="Q665" s="541"/>
      <c r="R665" s="541"/>
      <c r="S665" s="541"/>
      <c r="T665" s="541"/>
      <c r="U665" s="541"/>
      <c r="V665" s="541"/>
      <c r="W665" s="541"/>
      <c r="X665" s="541"/>
      <c r="Y665" s="541"/>
      <c r="Z665" s="541"/>
    </row>
    <row r="666" spans="1:26" ht="18.75" hidden="1">
      <c r="A666" s="563"/>
      <c r="B666" s="571"/>
      <c r="C666" s="571"/>
      <c r="D666" s="571"/>
      <c r="E666" s="723" t="s">
        <v>18</v>
      </c>
      <c r="F666" s="723"/>
      <c r="G666" s="567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8"/>
        <v>0</v>
      </c>
      <c r="P666" s="93">
        <f t="shared" si="279"/>
        <v>0</v>
      </c>
      <c r="Q666" s="568"/>
      <c r="R666" s="568"/>
      <c r="S666" s="568"/>
      <c r="T666" s="568"/>
      <c r="U666" s="568"/>
      <c r="V666" s="568"/>
      <c r="W666" s="568"/>
      <c r="X666" s="568"/>
      <c r="Y666" s="568"/>
      <c r="Z666" s="568"/>
    </row>
    <row r="667" spans="1:26" ht="18.75" hidden="1">
      <c r="A667" s="563"/>
      <c r="B667" s="571"/>
      <c r="C667" s="571"/>
      <c r="D667" s="571"/>
      <c r="E667" s="723" t="s">
        <v>19</v>
      </c>
      <c r="F667" s="723"/>
      <c r="G667" s="567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8"/>
        <v>0</v>
      </c>
      <c r="P667" s="93">
        <f t="shared" si="279"/>
        <v>0</v>
      </c>
      <c r="Q667" s="568"/>
      <c r="R667" s="568"/>
      <c r="S667" s="568"/>
      <c r="T667" s="568"/>
      <c r="U667" s="568"/>
      <c r="V667" s="568"/>
      <c r="W667" s="568"/>
      <c r="X667" s="568"/>
      <c r="Y667" s="568"/>
      <c r="Z667" s="568"/>
    </row>
    <row r="668" spans="1:26" ht="19.5">
      <c r="A668" s="572"/>
      <c r="B668" s="584"/>
      <c r="C668" s="538" t="s">
        <v>16</v>
      </c>
      <c r="D668" s="850" t="s">
        <v>38</v>
      </c>
      <c r="E668" s="725"/>
      <c r="F668" s="725"/>
      <c r="G668" s="577"/>
      <c r="H668" s="726"/>
      <c r="I668" s="184"/>
      <c r="J668" s="184"/>
      <c r="K668" s="163"/>
      <c r="L668" s="163"/>
      <c r="M668" s="163"/>
      <c r="N668" s="163"/>
      <c r="O668" s="163"/>
      <c r="P668" s="163"/>
      <c r="Q668" s="541"/>
      <c r="R668" s="541"/>
      <c r="S668" s="541"/>
      <c r="T668" s="541"/>
      <c r="U668" s="541"/>
      <c r="V668" s="541"/>
      <c r="W668" s="541"/>
      <c r="X668" s="541"/>
      <c r="Y668" s="541"/>
      <c r="Z668" s="541"/>
    </row>
    <row r="669" spans="1:26" ht="19.5">
      <c r="A669" s="572"/>
      <c r="B669" s="584"/>
      <c r="C669" s="584"/>
      <c r="D669" s="584" t="s">
        <v>280</v>
      </c>
      <c r="E669" s="592"/>
      <c r="F669" s="592"/>
      <c r="G669" s="726"/>
      <c r="H669" s="731" t="s">
        <v>46</v>
      </c>
      <c r="I669" s="647">
        <f ca="1">IFERROR(__xludf.DUMMYFUNCTION("IMPORTRANGE(""https://docs.google.com/spreadsheets/d/1QqKyyYR6Q21VydFLVH3TRQUabQu_ym0Zz7PgGX0-kHA/edit?usp=sharing"",""แผน!IA30"")"),100)</f>
        <v>100</v>
      </c>
      <c r="J669" s="647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41"/>
      <c r="R669" s="541"/>
      <c r="S669" s="541"/>
      <c r="T669" s="541"/>
      <c r="U669" s="541"/>
      <c r="V669" s="541"/>
      <c r="W669" s="541"/>
      <c r="X669" s="541"/>
      <c r="Y669" s="541"/>
      <c r="Z669" s="541"/>
    </row>
    <row r="670" spans="1:26" ht="18.75">
      <c r="A670" s="572"/>
      <c r="B670" s="584"/>
      <c r="C670" s="584"/>
      <c r="D670" s="584"/>
      <c r="E670" s="592" t="s">
        <v>281</v>
      </c>
      <c r="F670" s="592"/>
      <c r="G670" s="726"/>
      <c r="H670" s="728" t="s">
        <v>69</v>
      </c>
      <c r="I670" s="269">
        <f ca="1">IFERROR(__xludf.DUMMYFUNCTION("IMPORTRANGE(""https://docs.google.com/spreadsheets/d/1QqKyyYR6Q21VydFLVH3TRQUabQu_ym0Zz7PgGX0-kHA/edit?usp=sharing"",""แผน!HZ30"")"),4)</f>
        <v>4</v>
      </c>
      <c r="J670" s="214">
        <v>6</v>
      </c>
      <c r="K670" s="465">
        <f ca="1">IF(I670&gt;0,(J670*100)/I670,0)</f>
        <v>150</v>
      </c>
      <c r="L670" s="163"/>
      <c r="M670" s="163"/>
      <c r="N670" s="163"/>
      <c r="O670" s="163"/>
      <c r="P670" s="163"/>
      <c r="Q670" s="541"/>
      <c r="R670" s="541"/>
      <c r="S670" s="541"/>
      <c r="T670" s="541"/>
      <c r="U670" s="541"/>
      <c r="V670" s="541"/>
      <c r="W670" s="541"/>
      <c r="X670" s="541"/>
      <c r="Y670" s="541"/>
      <c r="Z670" s="541"/>
    </row>
    <row r="671" spans="1:26" ht="18.75">
      <c r="A671" s="572"/>
      <c r="B671" s="584"/>
      <c r="C671" s="584"/>
      <c r="D671" s="584"/>
      <c r="E671" s="592" t="s">
        <v>282</v>
      </c>
      <c r="F671" s="592"/>
      <c r="G671" s="726"/>
      <c r="H671" s="728" t="s">
        <v>69</v>
      </c>
      <c r="I671" s="269">
        <f ca="1">IFERROR(__xludf.DUMMYFUNCTION("IMPORTRANGE(""https://docs.google.com/spreadsheets/d/1QqKyyYR6Q21VydFLVH3TRQUabQu_ym0Zz7PgGX0-kHA/edit?usp=sharing"",""แผน!HZ30"")"),4)</f>
        <v>4</v>
      </c>
      <c r="J671" s="214">
        <v>0</v>
      </c>
      <c r="K671" s="465">
        <f ca="1">IF(I$671&gt;0,J671*100/I$671,0)</f>
        <v>0</v>
      </c>
      <c r="L671" s="163"/>
      <c r="M671" s="163"/>
      <c r="N671" s="163"/>
      <c r="O671" s="163"/>
      <c r="P671" s="163"/>
      <c r="Q671" s="541"/>
      <c r="R671" s="541"/>
      <c r="S671" s="541"/>
      <c r="T671" s="541"/>
      <c r="U671" s="541"/>
      <c r="V671" s="541"/>
      <c r="W671" s="541"/>
      <c r="X671" s="541"/>
      <c r="Y671" s="541"/>
      <c r="Z671" s="541"/>
    </row>
    <row r="672" spans="1:26" ht="18.75">
      <c r="A672" s="572"/>
      <c r="B672" s="584"/>
      <c r="C672" s="584"/>
      <c r="D672" s="584"/>
      <c r="E672" s="592" t="s">
        <v>283</v>
      </c>
      <c r="F672" s="592"/>
      <c r="G672" s="726"/>
      <c r="H672" s="728" t="s">
        <v>46</v>
      </c>
      <c r="I672" s="269"/>
      <c r="J672" s="214">
        <v>0</v>
      </c>
      <c r="K672" s="465">
        <f t="shared" ref="K672:K675" ca="1" si="280">IF(I$669&gt;0,J672*100/I$669,0)</f>
        <v>0</v>
      </c>
      <c r="L672" s="163"/>
      <c r="M672" s="163"/>
      <c r="N672" s="163"/>
      <c r="O672" s="163"/>
      <c r="P672" s="163"/>
      <c r="Q672" s="541"/>
      <c r="R672" s="541"/>
      <c r="S672" s="541"/>
      <c r="T672" s="541"/>
      <c r="U672" s="541"/>
      <c r="V672" s="541"/>
      <c r="W672" s="541"/>
      <c r="X672" s="541"/>
      <c r="Y672" s="541"/>
      <c r="Z672" s="541"/>
    </row>
    <row r="673" spans="1:26" ht="18.75">
      <c r="A673" s="572"/>
      <c r="B673" s="584"/>
      <c r="C673" s="584"/>
      <c r="D673" s="584"/>
      <c r="E673" s="592" t="s">
        <v>284</v>
      </c>
      <c r="F673" s="592"/>
      <c r="G673" s="726"/>
      <c r="H673" s="728" t="s">
        <v>46</v>
      </c>
      <c r="I673" s="269"/>
      <c r="J673" s="214">
        <v>0</v>
      </c>
      <c r="K673" s="465">
        <f t="shared" ca="1" si="280"/>
        <v>0</v>
      </c>
      <c r="L673" s="163"/>
      <c r="M673" s="163"/>
      <c r="N673" s="163"/>
      <c r="O673" s="163"/>
      <c r="P673" s="163"/>
      <c r="Q673" s="541"/>
      <c r="R673" s="541"/>
      <c r="S673" s="541"/>
      <c r="T673" s="541"/>
      <c r="U673" s="541"/>
      <c r="V673" s="541"/>
      <c r="W673" s="541"/>
      <c r="X673" s="541"/>
      <c r="Y673" s="541"/>
      <c r="Z673" s="541"/>
    </row>
    <row r="674" spans="1:26" ht="18.75">
      <c r="A674" s="572"/>
      <c r="B674" s="584"/>
      <c r="C674" s="584"/>
      <c r="D674" s="584"/>
      <c r="E674" s="592" t="s">
        <v>285</v>
      </c>
      <c r="F674" s="592"/>
      <c r="G674" s="726"/>
      <c r="H674" s="728" t="s">
        <v>46</v>
      </c>
      <c r="I674" s="269"/>
      <c r="J674" s="214">
        <v>0</v>
      </c>
      <c r="K674" s="465">
        <f t="shared" ca="1" si="280"/>
        <v>0</v>
      </c>
      <c r="L674" s="163"/>
      <c r="M674" s="163"/>
      <c r="N674" s="163"/>
      <c r="O674" s="163"/>
      <c r="P674" s="163"/>
      <c r="Q674" s="541"/>
      <c r="R674" s="541"/>
      <c r="S674" s="541"/>
      <c r="T674" s="541"/>
      <c r="U674" s="541"/>
      <c r="V674" s="541"/>
      <c r="W674" s="541"/>
      <c r="X674" s="541"/>
      <c r="Y674" s="541"/>
      <c r="Z674" s="541"/>
    </row>
    <row r="675" spans="1:26" ht="19.5">
      <c r="A675" s="572"/>
      <c r="B675" s="584"/>
      <c r="C675" s="584"/>
      <c r="D675" s="584"/>
      <c r="E675" s="592" t="s">
        <v>286</v>
      </c>
      <c r="F675" s="592"/>
      <c r="G675" s="726"/>
      <c r="H675" s="728" t="s">
        <v>46</v>
      </c>
      <c r="I675" s="269"/>
      <c r="J675" s="647">
        <f>J676+J677</f>
        <v>0</v>
      </c>
      <c r="K675" s="195">
        <f t="shared" ca="1" si="280"/>
        <v>0</v>
      </c>
      <c r="L675" s="163"/>
      <c r="M675" s="163"/>
      <c r="N675" s="163"/>
      <c r="O675" s="163"/>
      <c r="P675" s="163"/>
      <c r="Q675" s="541"/>
      <c r="R675" s="541"/>
      <c r="S675" s="541"/>
      <c r="T675" s="541"/>
      <c r="U675" s="541"/>
      <c r="V675" s="541"/>
      <c r="W675" s="541"/>
      <c r="X675" s="541"/>
      <c r="Y675" s="541"/>
      <c r="Z675" s="541"/>
    </row>
    <row r="676" spans="1:26" ht="18.75">
      <c r="A676" s="572"/>
      <c r="B676" s="584"/>
      <c r="C676" s="584"/>
      <c r="D676" s="584"/>
      <c r="E676" s="592"/>
      <c r="F676" s="592" t="s">
        <v>287</v>
      </c>
      <c r="G676" s="726"/>
      <c r="H676" s="728" t="s">
        <v>46</v>
      </c>
      <c r="I676" s="269"/>
      <c r="J676" s="214">
        <v>0</v>
      </c>
      <c r="K676" s="465"/>
      <c r="L676" s="163"/>
      <c r="M676" s="163"/>
      <c r="N676" s="163"/>
      <c r="O676" s="163"/>
      <c r="P676" s="163"/>
      <c r="Q676" s="541"/>
      <c r="R676" s="541"/>
      <c r="S676" s="541"/>
      <c r="T676" s="541"/>
      <c r="U676" s="541"/>
      <c r="V676" s="541"/>
      <c r="W676" s="541"/>
      <c r="X676" s="541"/>
      <c r="Y676" s="541"/>
      <c r="Z676" s="541"/>
    </row>
    <row r="677" spans="1:26" ht="18.75">
      <c r="A677" s="572"/>
      <c r="B677" s="584"/>
      <c r="C677" s="584"/>
      <c r="D677" s="584"/>
      <c r="E677" s="592"/>
      <c r="F677" s="592" t="s">
        <v>288</v>
      </c>
      <c r="G677" s="726"/>
      <c r="H677" s="728" t="s">
        <v>46</v>
      </c>
      <c r="I677" s="269"/>
      <c r="J677" s="214">
        <v>0</v>
      </c>
      <c r="K677" s="465"/>
      <c r="L677" s="163"/>
      <c r="M677" s="163"/>
      <c r="N677" s="163"/>
      <c r="O677" s="163"/>
      <c r="P677" s="163"/>
      <c r="Q677" s="541"/>
      <c r="R677" s="541"/>
      <c r="S677" s="541"/>
      <c r="T677" s="541"/>
      <c r="U677" s="541"/>
      <c r="V677" s="541"/>
      <c r="W677" s="541"/>
      <c r="X677" s="541"/>
      <c r="Y677" s="541"/>
      <c r="Z677" s="541"/>
    </row>
    <row r="678" spans="1:26" ht="19.5">
      <c r="A678" s="572"/>
      <c r="B678" s="584"/>
      <c r="C678" s="584"/>
      <c r="D678" s="584" t="s">
        <v>289</v>
      </c>
      <c r="E678" s="592"/>
      <c r="F678" s="592"/>
      <c r="G678" s="726"/>
      <c r="H678" s="728" t="s">
        <v>46</v>
      </c>
      <c r="I678" s="647">
        <f ca="1">IFERROR(__xludf.DUMMYFUNCTION("IMPORTRANGE(""https://docs.google.com/spreadsheets/d/1QqKyyYR6Q21VydFLVH3TRQUabQu_ym0Zz7PgGX0-kHA/edit?usp=sharing"",""แผน!IB30"")"),0)</f>
        <v>0</v>
      </c>
      <c r="J678" s="647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41"/>
      <c r="R678" s="541"/>
      <c r="S678" s="541"/>
      <c r="T678" s="541"/>
      <c r="U678" s="541"/>
      <c r="V678" s="541"/>
      <c r="W678" s="541"/>
      <c r="X678" s="541"/>
      <c r="Y678" s="541"/>
      <c r="Z678" s="541"/>
    </row>
    <row r="679" spans="1:26" ht="18.75">
      <c r="A679" s="572"/>
      <c r="B679" s="584"/>
      <c r="C679" s="584"/>
      <c r="D679" s="584"/>
      <c r="E679" s="592" t="s">
        <v>290</v>
      </c>
      <c r="F679" s="592"/>
      <c r="G679" s="726"/>
      <c r="H679" s="728" t="s">
        <v>46</v>
      </c>
      <c r="I679" s="269"/>
      <c r="J679" s="269">
        <f>J680+J681</f>
        <v>0</v>
      </c>
      <c r="K679" s="465"/>
      <c r="L679" s="163"/>
      <c r="M679" s="163"/>
      <c r="N679" s="163"/>
      <c r="O679" s="163"/>
      <c r="P679" s="163"/>
      <c r="Q679" s="541"/>
      <c r="R679" s="541"/>
      <c r="S679" s="541"/>
      <c r="T679" s="541"/>
      <c r="U679" s="541"/>
      <c r="V679" s="541"/>
      <c r="W679" s="541"/>
      <c r="X679" s="541"/>
      <c r="Y679" s="541"/>
      <c r="Z679" s="541"/>
    </row>
    <row r="680" spans="1:26" ht="18.75">
      <c r="A680" s="572"/>
      <c r="B680" s="584"/>
      <c r="C680" s="584"/>
      <c r="D680" s="584"/>
      <c r="E680" s="592"/>
      <c r="F680" s="592" t="s">
        <v>287</v>
      </c>
      <c r="G680" s="726"/>
      <c r="H680" s="728" t="s">
        <v>46</v>
      </c>
      <c r="I680" s="269"/>
      <c r="J680" s="214">
        <v>0</v>
      </c>
      <c r="K680" s="465"/>
      <c r="L680" s="163"/>
      <c r="M680" s="163"/>
      <c r="N680" s="163"/>
      <c r="O680" s="163"/>
      <c r="P680" s="163"/>
      <c r="Q680" s="541"/>
      <c r="R680" s="541"/>
      <c r="S680" s="541"/>
      <c r="T680" s="541"/>
      <c r="U680" s="541"/>
      <c r="V680" s="541"/>
      <c r="W680" s="541"/>
      <c r="X680" s="541"/>
      <c r="Y680" s="541"/>
      <c r="Z680" s="541"/>
    </row>
    <row r="681" spans="1:26" ht="18.75">
      <c r="A681" s="572"/>
      <c r="B681" s="584"/>
      <c r="C681" s="584"/>
      <c r="D681" s="584"/>
      <c r="E681" s="592"/>
      <c r="F681" s="592" t="s">
        <v>288</v>
      </c>
      <c r="G681" s="726"/>
      <c r="H681" s="728" t="s">
        <v>46</v>
      </c>
      <c r="I681" s="269"/>
      <c r="J681" s="214">
        <v>0</v>
      </c>
      <c r="K681" s="465"/>
      <c r="L681" s="163"/>
      <c r="M681" s="163"/>
      <c r="N681" s="163"/>
      <c r="O681" s="163"/>
      <c r="P681" s="163"/>
      <c r="Q681" s="541"/>
      <c r="R681" s="541"/>
      <c r="S681" s="541"/>
      <c r="T681" s="541"/>
      <c r="U681" s="541"/>
      <c r="V681" s="541"/>
      <c r="W681" s="541"/>
      <c r="X681" s="541"/>
      <c r="Y681" s="541"/>
      <c r="Z681" s="541"/>
    </row>
    <row r="682" spans="1:26" ht="18.75">
      <c r="A682" s="572"/>
      <c r="B682" s="584"/>
      <c r="C682" s="584"/>
      <c r="D682" s="584"/>
      <c r="E682" s="592" t="s">
        <v>291</v>
      </c>
      <c r="F682" s="592"/>
      <c r="G682" s="726"/>
      <c r="H682" s="728" t="s">
        <v>46</v>
      </c>
      <c r="I682" s="269"/>
      <c r="J682" s="214">
        <v>0</v>
      </c>
      <c r="K682" s="465"/>
      <c r="L682" s="163"/>
      <c r="M682" s="163"/>
      <c r="N682" s="163"/>
      <c r="O682" s="163"/>
      <c r="P682" s="163"/>
      <c r="Q682" s="541"/>
      <c r="R682" s="541"/>
      <c r="S682" s="541"/>
      <c r="T682" s="541"/>
      <c r="U682" s="541"/>
      <c r="V682" s="541"/>
      <c r="W682" s="541"/>
      <c r="X682" s="541"/>
      <c r="Y682" s="541"/>
      <c r="Z682" s="541"/>
    </row>
    <row r="683" spans="1:26" ht="18.75">
      <c r="A683" s="572"/>
      <c r="B683" s="584"/>
      <c r="C683" s="584"/>
      <c r="D683" s="584"/>
      <c r="E683" s="592"/>
      <c r="F683" s="592" t="s">
        <v>292</v>
      </c>
      <c r="G683" s="726"/>
      <c r="H683" s="728" t="s">
        <v>46</v>
      </c>
      <c r="I683" s="269"/>
      <c r="J683" s="214">
        <v>0</v>
      </c>
      <c r="K683" s="465"/>
      <c r="L683" s="163"/>
      <c r="M683" s="163"/>
      <c r="N683" s="163"/>
      <c r="O683" s="163"/>
      <c r="P683" s="163"/>
      <c r="Q683" s="541"/>
      <c r="R683" s="541"/>
      <c r="S683" s="541"/>
      <c r="T683" s="541"/>
      <c r="U683" s="541"/>
      <c r="V683" s="541"/>
      <c r="W683" s="541"/>
      <c r="X683" s="541"/>
      <c r="Y683" s="541"/>
      <c r="Z683" s="541"/>
    </row>
    <row r="684" spans="1:26" ht="19.5">
      <c r="A684" s="717"/>
      <c r="B684" s="718" t="s">
        <v>293</v>
      </c>
      <c r="C684" s="717"/>
      <c r="D684" s="717"/>
      <c r="E684" s="717"/>
      <c r="F684" s="717"/>
      <c r="G684" s="719"/>
      <c r="H684" s="719"/>
      <c r="I684" s="720"/>
      <c r="J684" s="720"/>
      <c r="K684" s="721"/>
      <c r="L684" s="721"/>
      <c r="M684" s="721"/>
      <c r="N684" s="721"/>
      <c r="O684" s="721"/>
      <c r="P684" s="721"/>
      <c r="Q684" s="541"/>
      <c r="R684" s="541"/>
      <c r="S684" s="541"/>
      <c r="T684" s="541"/>
      <c r="U684" s="541"/>
      <c r="V684" s="541"/>
      <c r="W684" s="541"/>
      <c r="X684" s="541"/>
      <c r="Y684" s="541"/>
      <c r="Z684" s="541"/>
    </row>
    <row r="685" spans="1:26" ht="19.5">
      <c r="A685" s="561"/>
      <c r="B685" s="727"/>
      <c r="C685" s="727" t="s">
        <v>16</v>
      </c>
      <c r="D685" s="811" t="s">
        <v>17</v>
      </c>
      <c r="E685" s="805"/>
      <c r="F685" s="805"/>
      <c r="G685" s="189"/>
      <c r="H685" s="562" t="s">
        <v>12</v>
      </c>
      <c r="I685" s="269"/>
      <c r="J685" s="269"/>
      <c r="K685" s="465"/>
      <c r="L685" s="195">
        <f t="shared" ref="L685:N685" ca="1" si="281">L686+L687</f>
        <v>40660</v>
      </c>
      <c r="M685" s="195">
        <f t="shared" si="281"/>
        <v>0</v>
      </c>
      <c r="N685" s="195">
        <f t="shared" si="281"/>
        <v>0</v>
      </c>
      <c r="O685" s="195">
        <f t="shared" ref="O685:O688" ca="1" si="282">IF(L685&gt;0,N685*100/L685,0)</f>
        <v>0</v>
      </c>
      <c r="P685" s="195">
        <f t="shared" ref="P685:P688" si="283">IF(M685&gt;0,N685*100/M685,0)</f>
        <v>0</v>
      </c>
      <c r="Q685" s="541"/>
      <c r="R685" s="541"/>
      <c r="S685" s="541"/>
      <c r="T685" s="541"/>
      <c r="U685" s="541"/>
      <c r="V685" s="541"/>
      <c r="W685" s="541"/>
      <c r="X685" s="541"/>
      <c r="Y685" s="541"/>
      <c r="Z685" s="541"/>
    </row>
    <row r="686" spans="1:26" ht="18.75" hidden="1">
      <c r="A686" s="563"/>
      <c r="B686" s="723"/>
      <c r="C686" s="723"/>
      <c r="D686" s="684"/>
      <c r="E686" s="723" t="s">
        <v>184</v>
      </c>
      <c r="F686" s="723"/>
      <c r="G686" s="567"/>
      <c r="H686" s="165" t="s">
        <v>12</v>
      </c>
      <c r="I686" s="583"/>
      <c r="J686" s="583"/>
      <c r="K686" s="93"/>
      <c r="L686" s="93">
        <f t="shared" ref="L686:N687" si="284">L689+L696</f>
        <v>0</v>
      </c>
      <c r="M686" s="93">
        <f t="shared" si="284"/>
        <v>0</v>
      </c>
      <c r="N686" s="93">
        <f t="shared" si="284"/>
        <v>0</v>
      </c>
      <c r="O686" s="93">
        <f t="shared" si="282"/>
        <v>0</v>
      </c>
      <c r="P686" s="93">
        <f t="shared" si="283"/>
        <v>0</v>
      </c>
      <c r="Q686" s="568"/>
      <c r="R686" s="568"/>
      <c r="S686" s="568"/>
      <c r="T686" s="568"/>
      <c r="U686" s="568"/>
      <c r="V686" s="568"/>
      <c r="W686" s="568"/>
      <c r="X686" s="568"/>
      <c r="Y686" s="568"/>
      <c r="Z686" s="568"/>
    </row>
    <row r="687" spans="1:26" ht="18.75" hidden="1">
      <c r="A687" s="563"/>
      <c r="B687" s="571"/>
      <c r="C687" s="723"/>
      <c r="D687" s="684"/>
      <c r="E687" s="723" t="s">
        <v>185</v>
      </c>
      <c r="F687" s="723"/>
      <c r="G687" s="567"/>
      <c r="H687" s="165" t="s">
        <v>12</v>
      </c>
      <c r="I687" s="583"/>
      <c r="J687" s="583"/>
      <c r="K687" s="93"/>
      <c r="L687" s="93">
        <f t="shared" ca="1" si="284"/>
        <v>40660</v>
      </c>
      <c r="M687" s="93">
        <f t="shared" si="284"/>
        <v>0</v>
      </c>
      <c r="N687" s="93">
        <f t="shared" si="284"/>
        <v>0</v>
      </c>
      <c r="O687" s="93">
        <f t="shared" ca="1" si="282"/>
        <v>0</v>
      </c>
      <c r="P687" s="93">
        <f t="shared" si="283"/>
        <v>0</v>
      </c>
      <c r="Q687" s="568"/>
      <c r="R687" s="568"/>
      <c r="S687" s="568"/>
      <c r="T687" s="568"/>
      <c r="U687" s="568"/>
      <c r="V687" s="568"/>
      <c r="W687" s="568"/>
      <c r="X687" s="568"/>
      <c r="Y687" s="568"/>
      <c r="Z687" s="568"/>
    </row>
    <row r="688" spans="1:26" ht="18.75">
      <c r="A688" s="561"/>
      <c r="B688" s="538"/>
      <c r="C688" s="727"/>
      <c r="D688" s="570" t="s">
        <v>20</v>
      </c>
      <c r="E688" s="727"/>
      <c r="F688" s="727"/>
      <c r="G688" s="189"/>
      <c r="H688" s="161" t="s">
        <v>12</v>
      </c>
      <c r="I688" s="184"/>
      <c r="J688" s="184"/>
      <c r="K688" s="163"/>
      <c r="L688" s="465">
        <f t="shared" ref="L688:N688" ca="1" si="285">L689+L690</f>
        <v>40660</v>
      </c>
      <c r="M688" s="465">
        <f t="shared" si="285"/>
        <v>0</v>
      </c>
      <c r="N688" s="465">
        <f t="shared" si="285"/>
        <v>0</v>
      </c>
      <c r="O688" s="465">
        <f t="shared" ca="1" si="282"/>
        <v>0</v>
      </c>
      <c r="P688" s="465">
        <f t="shared" si="283"/>
        <v>0</v>
      </c>
      <c r="Q688" s="541"/>
      <c r="R688" s="541"/>
      <c r="S688" s="541"/>
      <c r="T688" s="541"/>
      <c r="U688" s="541"/>
      <c r="V688" s="541"/>
      <c r="W688" s="541"/>
      <c r="X688" s="541"/>
      <c r="Y688" s="541"/>
      <c r="Z688" s="541"/>
    </row>
    <row r="689" spans="1:26" ht="18.75" hidden="1">
      <c r="A689" s="563"/>
      <c r="B689" s="571"/>
      <c r="C689" s="723"/>
      <c r="D689" s="684"/>
      <c r="E689" s="723" t="s">
        <v>184</v>
      </c>
      <c r="F689" s="723"/>
      <c r="G689" s="567"/>
      <c r="H689" s="165" t="s">
        <v>12</v>
      </c>
      <c r="I689" s="583"/>
      <c r="J689" s="583"/>
      <c r="K689" s="93"/>
      <c r="L689" s="93">
        <v>0</v>
      </c>
      <c r="M689" s="93">
        <v>0</v>
      </c>
      <c r="N689" s="93">
        <v>0</v>
      </c>
      <c r="O689" s="93"/>
      <c r="P689" s="93"/>
      <c r="Q689" s="568"/>
      <c r="R689" s="568"/>
      <c r="S689" s="568"/>
      <c r="T689" s="568"/>
      <c r="U689" s="568"/>
      <c r="V689" s="568"/>
      <c r="W689" s="568"/>
      <c r="X689" s="568"/>
      <c r="Y689" s="568"/>
      <c r="Z689" s="568"/>
    </row>
    <row r="690" spans="1:26" ht="18.75" hidden="1">
      <c r="A690" s="563"/>
      <c r="B690" s="571"/>
      <c r="C690" s="723"/>
      <c r="D690" s="684"/>
      <c r="E690" s="723" t="s">
        <v>185</v>
      </c>
      <c r="F690" s="723"/>
      <c r="G690" s="567"/>
      <c r="H690" s="165" t="s">
        <v>12</v>
      </c>
      <c r="I690" s="583"/>
      <c r="J690" s="583"/>
      <c r="K690" s="93"/>
      <c r="L690" s="93">
        <f ca="1">IFERROR(__xludf.DUMMYFUNCTION("IMPORTRANGE(""https://docs.google.com/spreadsheets/d/1QqKyyYR6Q21VydFLVH3TRQUabQu_ym0Zz7PgGX0-kHA/edit?usp=sharing"",""แผน!HW30"")"),40660)</f>
        <v>40660</v>
      </c>
      <c r="M690" s="93">
        <v>0</v>
      </c>
      <c r="N690" s="93">
        <f>N691+N692+N693+N694</f>
        <v>0</v>
      </c>
      <c r="O690" s="93">
        <f ca="1">IF(L690&gt;0,N690*100/L690,0)</f>
        <v>0</v>
      </c>
      <c r="P690" s="93">
        <f>IF(M690&gt;0,N690*100/M690,0)</f>
        <v>0</v>
      </c>
      <c r="Q690" s="568"/>
      <c r="R690" s="568"/>
      <c r="S690" s="568"/>
      <c r="T690" s="568"/>
      <c r="U690" s="568"/>
      <c r="V690" s="568"/>
      <c r="W690" s="568"/>
      <c r="X690" s="568"/>
      <c r="Y690" s="568"/>
      <c r="Z690" s="568"/>
    </row>
    <row r="691" spans="1:26" ht="18.75">
      <c r="A691" s="537"/>
      <c r="B691" s="538"/>
      <c r="C691" s="727"/>
      <c r="D691" s="727"/>
      <c r="E691" s="727"/>
      <c r="F691" s="727" t="s">
        <v>186</v>
      </c>
      <c r="G691" s="189"/>
      <c r="H691" s="161" t="s">
        <v>12</v>
      </c>
      <c r="I691" s="269"/>
      <c r="J691" s="269"/>
      <c r="K691" s="465"/>
      <c r="L691" s="465"/>
      <c r="M691" s="465"/>
      <c r="N691" s="789">
        <v>0</v>
      </c>
      <c r="O691" s="465"/>
      <c r="P691" s="465"/>
      <c r="Q691" s="541"/>
      <c r="R691" s="541"/>
      <c r="S691" s="541"/>
      <c r="T691" s="541"/>
      <c r="U691" s="541"/>
      <c r="V691" s="541"/>
      <c r="W691" s="541"/>
      <c r="X691" s="541"/>
      <c r="Y691" s="541"/>
      <c r="Z691" s="541"/>
    </row>
    <row r="692" spans="1:26" ht="18.75">
      <c r="A692" s="537"/>
      <c r="B692" s="538"/>
      <c r="C692" s="727"/>
      <c r="D692" s="727"/>
      <c r="E692" s="727"/>
      <c r="F692" s="727" t="s">
        <v>187</v>
      </c>
      <c r="G692" s="189"/>
      <c r="H692" s="161" t="s">
        <v>12</v>
      </c>
      <c r="I692" s="269"/>
      <c r="J692" s="269"/>
      <c r="K692" s="465"/>
      <c r="L692" s="465"/>
      <c r="M692" s="465"/>
      <c r="N692" s="789">
        <v>0</v>
      </c>
      <c r="O692" s="465"/>
      <c r="P692" s="465"/>
      <c r="Q692" s="541"/>
      <c r="R692" s="541"/>
      <c r="S692" s="541"/>
      <c r="T692" s="541"/>
      <c r="U692" s="541"/>
      <c r="V692" s="541"/>
      <c r="W692" s="541"/>
      <c r="X692" s="541"/>
      <c r="Y692" s="541"/>
      <c r="Z692" s="541"/>
    </row>
    <row r="693" spans="1:26" ht="18.75">
      <c r="A693" s="537"/>
      <c r="B693" s="538"/>
      <c r="C693" s="727"/>
      <c r="D693" s="727"/>
      <c r="E693" s="727"/>
      <c r="F693" s="727" t="s">
        <v>188</v>
      </c>
      <c r="G693" s="189"/>
      <c r="H693" s="161" t="s">
        <v>12</v>
      </c>
      <c r="I693" s="269"/>
      <c r="J693" s="269"/>
      <c r="K693" s="465"/>
      <c r="L693" s="465"/>
      <c r="M693" s="465"/>
      <c r="N693" s="789">
        <v>0</v>
      </c>
      <c r="O693" s="465"/>
      <c r="P693" s="465"/>
      <c r="Q693" s="541"/>
      <c r="R693" s="541"/>
      <c r="S693" s="541"/>
      <c r="T693" s="541"/>
      <c r="U693" s="541"/>
      <c r="V693" s="541"/>
      <c r="W693" s="541"/>
      <c r="X693" s="541"/>
      <c r="Y693" s="541"/>
      <c r="Z693" s="541"/>
    </row>
    <row r="694" spans="1:26" ht="18.75">
      <c r="A694" s="537"/>
      <c r="B694" s="538"/>
      <c r="C694" s="727"/>
      <c r="D694" s="727"/>
      <c r="E694" s="727"/>
      <c r="F694" s="727" t="s">
        <v>189</v>
      </c>
      <c r="G694" s="189"/>
      <c r="H694" s="161" t="s">
        <v>12</v>
      </c>
      <c r="I694" s="269"/>
      <c r="J694" s="269"/>
      <c r="K694" s="465"/>
      <c r="L694" s="465"/>
      <c r="M694" s="465"/>
      <c r="N694" s="789">
        <v>0</v>
      </c>
      <c r="O694" s="465"/>
      <c r="P694" s="465"/>
      <c r="Q694" s="541"/>
      <c r="R694" s="541"/>
      <c r="S694" s="541"/>
      <c r="T694" s="541"/>
      <c r="U694" s="541"/>
      <c r="V694" s="541"/>
      <c r="W694" s="541"/>
      <c r="X694" s="541"/>
      <c r="Y694" s="541"/>
      <c r="Z694" s="541"/>
    </row>
    <row r="695" spans="1:26" ht="18.75">
      <c r="A695" s="561"/>
      <c r="B695" s="538"/>
      <c r="C695" s="727"/>
      <c r="D695" s="570" t="s">
        <v>21</v>
      </c>
      <c r="E695" s="727"/>
      <c r="F695" s="727"/>
      <c r="G695" s="189"/>
      <c r="H695" s="168" t="s">
        <v>12</v>
      </c>
      <c r="I695" s="184"/>
      <c r="J695" s="184"/>
      <c r="K695" s="163"/>
      <c r="L695" s="465">
        <f t="shared" ref="L695:N695" si="286">L696+L697</f>
        <v>0</v>
      </c>
      <c r="M695" s="465">
        <f t="shared" si="286"/>
        <v>0</v>
      </c>
      <c r="N695" s="465">
        <f t="shared" si="286"/>
        <v>0</v>
      </c>
      <c r="O695" s="465">
        <f t="shared" ref="O695:O697" si="287">IF(L695&gt;0,N695*100/L695,0)</f>
        <v>0</v>
      </c>
      <c r="P695" s="465">
        <f t="shared" ref="P695:P697" si="288">IF(M695&gt;0,N695*100/M695,0)</f>
        <v>0</v>
      </c>
      <c r="Q695" s="541"/>
      <c r="R695" s="541"/>
      <c r="S695" s="541"/>
      <c r="T695" s="541"/>
      <c r="U695" s="541"/>
      <c r="V695" s="541"/>
      <c r="W695" s="541"/>
      <c r="X695" s="541"/>
      <c r="Y695" s="541"/>
      <c r="Z695" s="541"/>
    </row>
    <row r="696" spans="1:26" ht="18.75" hidden="1">
      <c r="A696" s="563"/>
      <c r="B696" s="571"/>
      <c r="C696" s="723"/>
      <c r="D696" s="723"/>
      <c r="E696" s="723" t="s">
        <v>18</v>
      </c>
      <c r="F696" s="723"/>
      <c r="G696" s="567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7"/>
        <v>0</v>
      </c>
      <c r="P696" s="93">
        <f t="shared" si="288"/>
        <v>0</v>
      </c>
      <c r="Q696" s="568"/>
      <c r="R696" s="568"/>
      <c r="S696" s="568"/>
      <c r="T696" s="568"/>
      <c r="U696" s="568"/>
      <c r="V696" s="568"/>
      <c r="W696" s="568"/>
      <c r="X696" s="568"/>
      <c r="Y696" s="568"/>
      <c r="Z696" s="568"/>
    </row>
    <row r="697" spans="1:26" ht="18.75" hidden="1">
      <c r="A697" s="563"/>
      <c r="B697" s="571"/>
      <c r="C697" s="723"/>
      <c r="D697" s="723"/>
      <c r="E697" s="723" t="s">
        <v>19</v>
      </c>
      <c r="F697" s="723"/>
      <c r="G697" s="567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7"/>
        <v>0</v>
      </c>
      <c r="P697" s="93">
        <f t="shared" si="288"/>
        <v>0</v>
      </c>
      <c r="Q697" s="568"/>
      <c r="R697" s="568"/>
      <c r="S697" s="568"/>
      <c r="T697" s="568"/>
      <c r="U697" s="568"/>
      <c r="V697" s="568"/>
      <c r="W697" s="568"/>
      <c r="X697" s="568"/>
      <c r="Y697" s="568"/>
      <c r="Z697" s="568"/>
    </row>
    <row r="698" spans="1:26" ht="19.5">
      <c r="A698" s="572"/>
      <c r="B698" s="584"/>
      <c r="C698" s="727" t="s">
        <v>16</v>
      </c>
      <c r="D698" s="855" t="s">
        <v>38</v>
      </c>
      <c r="E698" s="725"/>
      <c r="F698" s="725"/>
      <c r="G698" s="577"/>
      <c r="H698" s="726"/>
      <c r="I698" s="184"/>
      <c r="J698" s="184"/>
      <c r="K698" s="163"/>
      <c r="L698" s="163"/>
      <c r="M698" s="163"/>
      <c r="N698" s="163"/>
      <c r="O698" s="163"/>
      <c r="P698" s="163"/>
      <c r="Q698" s="541"/>
      <c r="R698" s="541"/>
      <c r="S698" s="541"/>
      <c r="T698" s="541"/>
      <c r="U698" s="541"/>
      <c r="V698" s="541"/>
      <c r="W698" s="541"/>
      <c r="X698" s="541"/>
      <c r="Y698" s="541"/>
      <c r="Z698" s="541"/>
    </row>
    <row r="699" spans="1:26" ht="18.75">
      <c r="A699" s="708"/>
      <c r="B699" s="727"/>
      <c r="C699" s="727"/>
      <c r="D699" s="727" t="s">
        <v>294</v>
      </c>
      <c r="E699" s="727"/>
      <c r="F699" s="727"/>
      <c r="G699" s="189"/>
      <c r="H699" s="728" t="s">
        <v>46</v>
      </c>
      <c r="I699" s="729">
        <f ca="1">IFERROR(__xludf.DUMMYFUNCTION("IMPORTRANGE(""https://docs.google.com/spreadsheets/d/1QqKyyYR6Q21VydFLVH3TRQUabQu_ym0Zz7PgGX0-kHA/edit?usp=sharing"",""แผน!IC30"")"),18)</f>
        <v>18</v>
      </c>
      <c r="J699" s="269">
        <f ca="1">IFERROR(__xludf.DUMMYFUNCTION("IMPORTRANGE(""https://docs.google.com/spreadsheets/d/1XWAQStnk-4SwqDmLtmXYiTMKHgktTP8We1SCoS47DrQ/edit?usp=sharing"",""จัดที่ดิน!BB30"")"),0)</f>
        <v>0</v>
      </c>
      <c r="K699" s="465">
        <f t="shared" ref="K699:K701" ca="1" si="289">IF(I699&gt;0,J699*100/I699,0)</f>
        <v>0</v>
      </c>
      <c r="L699" s="465"/>
      <c r="M699" s="189"/>
      <c r="N699" s="730"/>
      <c r="O699" s="465"/>
      <c r="P699" s="465"/>
      <c r="Q699" s="541"/>
      <c r="R699" s="541"/>
      <c r="S699" s="541"/>
      <c r="T699" s="541"/>
      <c r="U699" s="541"/>
      <c r="V699" s="541"/>
      <c r="W699" s="541"/>
      <c r="X699" s="541"/>
      <c r="Y699" s="541"/>
      <c r="Z699" s="541"/>
    </row>
    <row r="700" spans="1:26" ht="18.75">
      <c r="A700" s="708"/>
      <c r="B700" s="727"/>
      <c r="C700" s="727"/>
      <c r="D700" s="727" t="s">
        <v>295</v>
      </c>
      <c r="E700" s="727"/>
      <c r="F700" s="727"/>
      <c r="G700" s="189"/>
      <c r="H700" s="728" t="s">
        <v>35</v>
      </c>
      <c r="I700" s="729">
        <f ca="1">IFERROR(__xludf.DUMMYFUNCTION("IMPORTRANGE(""https://docs.google.com/spreadsheets/d/1QqKyyYR6Q21VydFLVH3TRQUabQu_ym0Zz7PgGX0-kHA/edit?usp=sharing"",""แผน!ID30"")"),3)</f>
        <v>3</v>
      </c>
      <c r="J700" s="269">
        <f ca="1">IFERROR(__xludf.DUMMYFUNCTION("IMPORTRANGE(""https://docs.google.com/spreadsheets/d/1XWAQStnk-4SwqDmLtmXYiTMKHgktTP8We1SCoS47DrQ/edit?usp=sharing"",""จัดที่ดิน!BD30"")"),0)</f>
        <v>0</v>
      </c>
      <c r="K700" s="465">
        <f t="shared" ca="1" si="289"/>
        <v>0</v>
      </c>
      <c r="L700" s="465"/>
      <c r="M700" s="189"/>
      <c r="N700" s="730"/>
      <c r="O700" s="465"/>
      <c r="P700" s="465"/>
      <c r="Q700" s="541"/>
      <c r="R700" s="541"/>
      <c r="S700" s="541"/>
      <c r="T700" s="541"/>
      <c r="U700" s="541"/>
      <c r="V700" s="541"/>
      <c r="W700" s="541"/>
      <c r="X700" s="541"/>
      <c r="Y700" s="541"/>
      <c r="Z700" s="541"/>
    </row>
    <row r="701" spans="1:26" ht="19.5">
      <c r="A701" s="708"/>
      <c r="B701" s="727"/>
      <c r="C701" s="727"/>
      <c r="D701" s="727" t="s">
        <v>296</v>
      </c>
      <c r="E701" s="727"/>
      <c r="F701" s="727"/>
      <c r="G701" s="189"/>
      <c r="H701" s="731" t="s">
        <v>46</v>
      </c>
      <c r="I701" s="732">
        <f ca="1">IFERROR(__xludf.DUMMYFUNCTION("IMPORTRANGE(""https://docs.google.com/spreadsheets/d/1QqKyyYR6Q21VydFLVH3TRQUabQu_ym0Zz7PgGX0-kHA/edit?usp=sharing"",""แผน!IE30"")"),151)</f>
        <v>151</v>
      </c>
      <c r="J701" s="647">
        <f>J704+J707</f>
        <v>0</v>
      </c>
      <c r="K701" s="195">
        <f t="shared" ca="1" si="289"/>
        <v>0</v>
      </c>
      <c r="L701" s="465"/>
      <c r="M701" s="189"/>
      <c r="N701" s="730"/>
      <c r="O701" s="465"/>
      <c r="P701" s="465"/>
      <c r="Q701" s="541"/>
      <c r="R701" s="541"/>
      <c r="S701" s="541"/>
      <c r="T701" s="541"/>
      <c r="U701" s="541"/>
      <c r="V701" s="541"/>
      <c r="W701" s="541"/>
      <c r="X701" s="541"/>
      <c r="Y701" s="541"/>
      <c r="Z701" s="541"/>
    </row>
    <row r="702" spans="1:26" ht="18.75">
      <c r="A702" s="708"/>
      <c r="B702" s="727"/>
      <c r="C702" s="727"/>
      <c r="D702" s="727"/>
      <c r="E702" s="727" t="s">
        <v>297</v>
      </c>
      <c r="F702" s="727"/>
      <c r="G702" s="189"/>
      <c r="H702" s="728" t="s">
        <v>35</v>
      </c>
      <c r="I702" s="729"/>
      <c r="J702" s="214">
        <v>0</v>
      </c>
      <c r="K702" s="465"/>
      <c r="L702" s="465"/>
      <c r="M702" s="189"/>
      <c r="N702" s="730"/>
      <c r="O702" s="465"/>
      <c r="P702" s="465"/>
      <c r="Q702" s="541"/>
      <c r="R702" s="541"/>
      <c r="S702" s="541"/>
      <c r="T702" s="541"/>
      <c r="U702" s="541"/>
      <c r="V702" s="541"/>
      <c r="W702" s="541"/>
      <c r="X702" s="541"/>
      <c r="Y702" s="541"/>
      <c r="Z702" s="541"/>
    </row>
    <row r="703" spans="1:26" ht="18.75">
      <c r="A703" s="708"/>
      <c r="B703" s="727"/>
      <c r="C703" s="727"/>
      <c r="D703" s="727"/>
      <c r="E703" s="727"/>
      <c r="F703" s="727"/>
      <c r="G703" s="189"/>
      <c r="H703" s="728" t="s">
        <v>34</v>
      </c>
      <c r="I703" s="729"/>
      <c r="J703" s="214">
        <v>0</v>
      </c>
      <c r="K703" s="465"/>
      <c r="L703" s="465"/>
      <c r="M703" s="189"/>
      <c r="N703" s="730"/>
      <c r="O703" s="465"/>
      <c r="P703" s="465"/>
      <c r="Q703" s="541"/>
      <c r="R703" s="541"/>
      <c r="S703" s="541"/>
      <c r="T703" s="541"/>
      <c r="U703" s="541"/>
      <c r="V703" s="541"/>
      <c r="W703" s="541"/>
      <c r="X703" s="541"/>
      <c r="Y703" s="541"/>
      <c r="Z703" s="541"/>
    </row>
    <row r="704" spans="1:26" ht="18.75">
      <c r="A704" s="708"/>
      <c r="B704" s="727"/>
      <c r="C704" s="727"/>
      <c r="D704" s="727"/>
      <c r="E704" s="727"/>
      <c r="F704" s="727"/>
      <c r="G704" s="189"/>
      <c r="H704" s="728" t="s">
        <v>46</v>
      </c>
      <c r="I704" s="729">
        <f ca="1">IFERROR(__xludf.DUMMYFUNCTION("IMPORTRANGE(""https://docs.google.com/spreadsheets/d/1QqKyyYR6Q21VydFLVH3TRQUabQu_ym0Zz7PgGX0-kHA/edit?usp=sharing"",""แผน!IF30"")"),144)</f>
        <v>144</v>
      </c>
      <c r="J704" s="214">
        <v>0</v>
      </c>
      <c r="K704" s="465"/>
      <c r="L704" s="465"/>
      <c r="M704" s="189"/>
      <c r="N704" s="730"/>
      <c r="O704" s="465"/>
      <c r="P704" s="465"/>
      <c r="Q704" s="541"/>
      <c r="R704" s="541"/>
      <c r="S704" s="541"/>
      <c r="T704" s="541"/>
      <c r="U704" s="541"/>
      <c r="V704" s="541"/>
      <c r="W704" s="541"/>
      <c r="X704" s="541"/>
      <c r="Y704" s="541"/>
      <c r="Z704" s="541"/>
    </row>
    <row r="705" spans="1:26" ht="18.75">
      <c r="A705" s="708"/>
      <c r="B705" s="727"/>
      <c r="C705" s="727"/>
      <c r="D705" s="727"/>
      <c r="E705" s="727" t="s">
        <v>298</v>
      </c>
      <c r="F705" s="727"/>
      <c r="G705" s="189"/>
      <c r="H705" s="728" t="s">
        <v>35</v>
      </c>
      <c r="I705" s="729"/>
      <c r="J705" s="214">
        <v>0</v>
      </c>
      <c r="K705" s="465"/>
      <c r="L705" s="465"/>
      <c r="M705" s="189"/>
      <c r="N705" s="730"/>
      <c r="O705" s="465"/>
      <c r="P705" s="465"/>
      <c r="Q705" s="541"/>
      <c r="R705" s="541"/>
      <c r="S705" s="541"/>
      <c r="T705" s="541"/>
      <c r="U705" s="541"/>
      <c r="V705" s="541"/>
      <c r="W705" s="541"/>
      <c r="X705" s="541"/>
      <c r="Y705" s="541"/>
      <c r="Z705" s="541"/>
    </row>
    <row r="706" spans="1:26" ht="18.75">
      <c r="A706" s="708"/>
      <c r="B706" s="727"/>
      <c r="C706" s="727"/>
      <c r="D706" s="727"/>
      <c r="E706" s="727"/>
      <c r="F706" s="727"/>
      <c r="G706" s="189"/>
      <c r="H706" s="728" t="s">
        <v>34</v>
      </c>
      <c r="I706" s="729"/>
      <c r="J706" s="214">
        <v>0</v>
      </c>
      <c r="K706" s="465"/>
      <c r="L706" s="465"/>
      <c r="M706" s="189"/>
      <c r="N706" s="730"/>
      <c r="O706" s="465"/>
      <c r="P706" s="465"/>
      <c r="Q706" s="541"/>
      <c r="R706" s="541"/>
      <c r="S706" s="541"/>
      <c r="T706" s="541"/>
      <c r="U706" s="541"/>
      <c r="V706" s="541"/>
      <c r="W706" s="541"/>
      <c r="X706" s="541"/>
      <c r="Y706" s="541"/>
      <c r="Z706" s="541"/>
    </row>
    <row r="707" spans="1:26" ht="18.75">
      <c r="A707" s="708"/>
      <c r="B707" s="727"/>
      <c r="C707" s="727"/>
      <c r="D707" s="727"/>
      <c r="E707" s="727"/>
      <c r="F707" s="727"/>
      <c r="G707" s="189"/>
      <c r="H707" s="728" t="s">
        <v>46</v>
      </c>
      <c r="I707" s="729">
        <f ca="1">IFERROR(__xludf.DUMMYFUNCTION("IMPORTRANGE(""https://docs.google.com/spreadsheets/d/1QqKyyYR6Q21VydFLVH3TRQUabQu_ym0Zz7PgGX0-kHA/edit?usp=sharing"",""แผน!IG30"")"),7)</f>
        <v>7</v>
      </c>
      <c r="J707" s="214">
        <v>0</v>
      </c>
      <c r="K707" s="465"/>
      <c r="L707" s="465"/>
      <c r="M707" s="189"/>
      <c r="N707" s="730"/>
      <c r="O707" s="465"/>
      <c r="P707" s="465"/>
      <c r="Q707" s="541"/>
      <c r="R707" s="541"/>
      <c r="S707" s="541"/>
      <c r="T707" s="541"/>
      <c r="U707" s="541"/>
      <c r="V707" s="541"/>
      <c r="W707" s="541"/>
      <c r="X707" s="541"/>
      <c r="Y707" s="541"/>
      <c r="Z707" s="541"/>
    </row>
    <row r="708" spans="1:26" ht="19.5">
      <c r="A708" s="708"/>
      <c r="B708" s="727"/>
      <c r="C708" s="727"/>
      <c r="D708" s="733" t="s">
        <v>299</v>
      </c>
      <c r="E708" s="727"/>
      <c r="F708" s="727"/>
      <c r="G708" s="189"/>
      <c r="H708" s="731" t="s">
        <v>46</v>
      </c>
      <c r="I708" s="732">
        <f ca="1">IFERROR(__xludf.DUMMYFUNCTION("IMPORTRANGE(""https://docs.google.com/spreadsheets/d/1QqKyyYR6Q21VydFLVH3TRQUabQu_ym0Zz7PgGX0-kHA/edit?usp=sharing"",""แผน!IH30"")"),260)</f>
        <v>260</v>
      </c>
      <c r="J708" s="647">
        <f>J714+J717</f>
        <v>0</v>
      </c>
      <c r="K708" s="195">
        <f ca="1">IF(I708&gt;0,J708*100/I708,0)</f>
        <v>0</v>
      </c>
      <c r="L708" s="465"/>
      <c r="M708" s="189"/>
      <c r="N708" s="730"/>
      <c r="O708" s="465"/>
      <c r="P708" s="465"/>
      <c r="Q708" s="541"/>
      <c r="R708" s="541"/>
      <c r="S708" s="541"/>
      <c r="T708" s="541"/>
      <c r="U708" s="541"/>
      <c r="V708" s="541"/>
      <c r="W708" s="541"/>
      <c r="X708" s="541"/>
      <c r="Y708" s="541"/>
      <c r="Z708" s="541"/>
    </row>
    <row r="709" spans="1:26" ht="18.75">
      <c r="A709" s="708"/>
      <c r="B709" s="727"/>
      <c r="C709" s="727"/>
      <c r="D709" s="727"/>
      <c r="E709" s="727" t="s">
        <v>300</v>
      </c>
      <c r="F709" s="727"/>
      <c r="G709" s="189"/>
      <c r="H709" s="728" t="s">
        <v>34</v>
      </c>
      <c r="I709" s="729"/>
      <c r="J709" s="214">
        <v>0</v>
      </c>
      <c r="K709" s="465"/>
      <c r="L709" s="730"/>
      <c r="M709" s="189"/>
      <c r="N709" s="730"/>
      <c r="O709" s="465"/>
      <c r="P709" s="465"/>
      <c r="Q709" s="541"/>
      <c r="R709" s="541"/>
      <c r="S709" s="541"/>
      <c r="T709" s="541"/>
      <c r="U709" s="541"/>
      <c r="V709" s="541"/>
      <c r="W709" s="541"/>
      <c r="X709" s="541"/>
      <c r="Y709" s="541"/>
      <c r="Z709" s="541"/>
    </row>
    <row r="710" spans="1:26" ht="18.75">
      <c r="A710" s="708"/>
      <c r="B710" s="727"/>
      <c r="C710" s="727"/>
      <c r="D710" s="727"/>
      <c r="E710" s="727"/>
      <c r="F710" s="727"/>
      <c r="G710" s="189"/>
      <c r="H710" s="728" t="s">
        <v>46</v>
      </c>
      <c r="I710" s="729"/>
      <c r="J710" s="214">
        <v>0</v>
      </c>
      <c r="K710" s="465"/>
      <c r="L710" s="730"/>
      <c r="M710" s="189"/>
      <c r="N710" s="730"/>
      <c r="O710" s="465"/>
      <c r="P710" s="465"/>
      <c r="Q710" s="541"/>
      <c r="R710" s="541"/>
      <c r="S710" s="541"/>
      <c r="T710" s="541"/>
      <c r="U710" s="541"/>
      <c r="V710" s="541"/>
      <c r="W710" s="541"/>
      <c r="X710" s="541"/>
      <c r="Y710" s="541"/>
      <c r="Z710" s="541"/>
    </row>
    <row r="711" spans="1:26" ht="18.75">
      <c r="A711" s="708"/>
      <c r="B711" s="727"/>
      <c r="C711" s="727"/>
      <c r="D711" s="727"/>
      <c r="E711" s="727" t="s">
        <v>301</v>
      </c>
      <c r="F711" s="727"/>
      <c r="G711" s="189"/>
      <c r="H711" s="726"/>
      <c r="I711" s="729"/>
      <c r="J711" s="269"/>
      <c r="K711" s="465"/>
      <c r="L711" s="730"/>
      <c r="M711" s="189"/>
      <c r="N711" s="730"/>
      <c r="O711" s="465"/>
      <c r="P711" s="465"/>
      <c r="Q711" s="541"/>
      <c r="R711" s="541"/>
      <c r="S711" s="541"/>
      <c r="T711" s="541"/>
      <c r="U711" s="541"/>
      <c r="V711" s="541"/>
      <c r="W711" s="541"/>
      <c r="X711" s="541"/>
      <c r="Y711" s="541"/>
      <c r="Z711" s="541"/>
    </row>
    <row r="712" spans="1:26" ht="18.75">
      <c r="A712" s="708"/>
      <c r="B712" s="727"/>
      <c r="C712" s="727"/>
      <c r="D712" s="727"/>
      <c r="E712" s="727"/>
      <c r="F712" s="727" t="s">
        <v>302</v>
      </c>
      <c r="G712" s="189"/>
      <c r="H712" s="728" t="s">
        <v>35</v>
      </c>
      <c r="I712" s="729"/>
      <c r="J712" s="214">
        <v>0</v>
      </c>
      <c r="K712" s="465"/>
      <c r="L712" s="730"/>
      <c r="M712" s="189"/>
      <c r="N712" s="730"/>
      <c r="O712" s="465"/>
      <c r="P712" s="465"/>
      <c r="Q712" s="541"/>
      <c r="R712" s="541"/>
      <c r="S712" s="541"/>
      <c r="T712" s="541"/>
      <c r="U712" s="541"/>
      <c r="V712" s="541"/>
      <c r="W712" s="541"/>
      <c r="X712" s="541"/>
      <c r="Y712" s="541"/>
      <c r="Z712" s="541"/>
    </row>
    <row r="713" spans="1:26" ht="18.75">
      <c r="A713" s="708"/>
      <c r="B713" s="727"/>
      <c r="C713" s="727"/>
      <c r="D713" s="727"/>
      <c r="E713" s="727"/>
      <c r="F713" s="727"/>
      <c r="G713" s="189"/>
      <c r="H713" s="728" t="s">
        <v>34</v>
      </c>
      <c r="I713" s="729"/>
      <c r="J713" s="214">
        <v>0</v>
      </c>
      <c r="K713" s="465"/>
      <c r="L713" s="730"/>
      <c r="M713" s="189"/>
      <c r="N713" s="730"/>
      <c r="O713" s="465"/>
      <c r="P713" s="465"/>
      <c r="Q713" s="541"/>
      <c r="R713" s="541"/>
      <c r="S713" s="541"/>
      <c r="T713" s="541"/>
      <c r="U713" s="541"/>
      <c r="V713" s="541"/>
      <c r="W713" s="541"/>
      <c r="X713" s="541"/>
      <c r="Y713" s="541"/>
      <c r="Z713" s="541"/>
    </row>
    <row r="714" spans="1:26" ht="18.75">
      <c r="A714" s="708"/>
      <c r="B714" s="727"/>
      <c r="C714" s="727"/>
      <c r="D714" s="727"/>
      <c r="E714" s="727"/>
      <c r="F714" s="727"/>
      <c r="G714" s="189"/>
      <c r="H714" s="728" t="s">
        <v>46</v>
      </c>
      <c r="I714" s="729"/>
      <c r="J714" s="214">
        <v>0</v>
      </c>
      <c r="K714" s="465"/>
      <c r="L714" s="730"/>
      <c r="M714" s="189"/>
      <c r="N714" s="730"/>
      <c r="O714" s="465"/>
      <c r="P714" s="465"/>
      <c r="Q714" s="541"/>
      <c r="R714" s="541"/>
      <c r="S714" s="541"/>
      <c r="T714" s="541"/>
      <c r="U714" s="541"/>
      <c r="V714" s="541"/>
      <c r="W714" s="541"/>
      <c r="X714" s="541"/>
      <c r="Y714" s="541"/>
      <c r="Z714" s="541"/>
    </row>
    <row r="715" spans="1:26" ht="18.75">
      <c r="A715" s="708"/>
      <c r="B715" s="727"/>
      <c r="C715" s="727"/>
      <c r="D715" s="727"/>
      <c r="E715" s="727"/>
      <c r="F715" s="727" t="s">
        <v>303</v>
      </c>
      <c r="G715" s="189"/>
      <c r="H715" s="728" t="s">
        <v>35</v>
      </c>
      <c r="I715" s="729"/>
      <c r="J715" s="214">
        <v>0</v>
      </c>
      <c r="K715" s="465"/>
      <c r="L715" s="730"/>
      <c r="M715" s="189"/>
      <c r="N715" s="730"/>
      <c r="O715" s="465"/>
      <c r="P715" s="465"/>
      <c r="Q715" s="541"/>
      <c r="R715" s="541"/>
      <c r="S715" s="541"/>
      <c r="T715" s="541"/>
      <c r="U715" s="541"/>
      <c r="V715" s="541"/>
      <c r="W715" s="541"/>
      <c r="X715" s="541"/>
      <c r="Y715" s="541"/>
      <c r="Z715" s="541"/>
    </row>
    <row r="716" spans="1:26" ht="18.75">
      <c r="A716" s="708"/>
      <c r="B716" s="727"/>
      <c r="C716" s="727"/>
      <c r="D716" s="727"/>
      <c r="E716" s="727"/>
      <c r="F716" s="727"/>
      <c r="G716" s="189"/>
      <c r="H716" s="728" t="s">
        <v>34</v>
      </c>
      <c r="I716" s="729"/>
      <c r="J716" s="214">
        <v>0</v>
      </c>
      <c r="K716" s="465"/>
      <c r="L716" s="730"/>
      <c r="M716" s="189"/>
      <c r="N716" s="730"/>
      <c r="O716" s="465"/>
      <c r="P716" s="465"/>
      <c r="Q716" s="541"/>
      <c r="R716" s="541"/>
      <c r="S716" s="541"/>
      <c r="T716" s="541"/>
      <c r="U716" s="541"/>
      <c r="V716" s="541"/>
      <c r="W716" s="541"/>
      <c r="X716" s="541"/>
      <c r="Y716" s="541"/>
      <c r="Z716" s="541"/>
    </row>
    <row r="717" spans="1:26" ht="18.75">
      <c r="A717" s="708"/>
      <c r="B717" s="727"/>
      <c r="C717" s="727"/>
      <c r="D717" s="727"/>
      <c r="E717" s="727"/>
      <c r="F717" s="727"/>
      <c r="G717" s="189"/>
      <c r="H717" s="728" t="s">
        <v>46</v>
      </c>
      <c r="I717" s="729"/>
      <c r="J717" s="214">
        <v>0</v>
      </c>
      <c r="K717" s="465"/>
      <c r="L717" s="730"/>
      <c r="M717" s="189"/>
      <c r="N717" s="730"/>
      <c r="O717" s="465"/>
      <c r="P717" s="465"/>
      <c r="Q717" s="541"/>
      <c r="R717" s="541"/>
      <c r="S717" s="541"/>
      <c r="T717" s="541"/>
      <c r="U717" s="541"/>
      <c r="V717" s="541"/>
      <c r="W717" s="541"/>
      <c r="X717" s="541"/>
      <c r="Y717" s="541"/>
      <c r="Z717" s="541"/>
    </row>
    <row r="718" spans="1:26" ht="18.75">
      <c r="A718" s="708"/>
      <c r="B718" s="727"/>
      <c r="C718" s="727"/>
      <c r="D718" s="727" t="s">
        <v>304</v>
      </c>
      <c r="E718" s="727"/>
      <c r="F718" s="727"/>
      <c r="G718" s="189"/>
      <c r="H718" s="728" t="s">
        <v>35</v>
      </c>
      <c r="I718" s="729"/>
      <c r="J718" s="269">
        <f ca="1">IFERROR(__xludf.DUMMYFUNCTION("IMPORTRANGE(""https://docs.google.com/spreadsheets/d/1XWAQStnk-4SwqDmLtmXYiTMKHgktTP8We1SCoS47DrQ/edit?usp=sharing"",""จัดที่ดิน!BF30"")"),0)</f>
        <v>0</v>
      </c>
      <c r="K718" s="465"/>
      <c r="L718" s="465"/>
      <c r="M718" s="189"/>
      <c r="N718" s="730"/>
      <c r="O718" s="465"/>
      <c r="P718" s="465"/>
      <c r="Q718" s="541"/>
      <c r="R718" s="541"/>
      <c r="S718" s="541"/>
      <c r="T718" s="541"/>
      <c r="U718" s="541"/>
      <c r="V718" s="541"/>
      <c r="W718" s="541"/>
      <c r="X718" s="541"/>
      <c r="Y718" s="541"/>
      <c r="Z718" s="541"/>
    </row>
    <row r="719" spans="1:26" ht="18.75">
      <c r="A719" s="708"/>
      <c r="B719" s="727"/>
      <c r="C719" s="727"/>
      <c r="D719" s="727"/>
      <c r="E719" s="727"/>
      <c r="F719" s="727"/>
      <c r="G719" s="189"/>
      <c r="H719" s="728" t="s">
        <v>34</v>
      </c>
      <c r="I719" s="729"/>
      <c r="J719" s="269">
        <f ca="1">IFERROR(__xludf.DUMMYFUNCTION("IMPORTRANGE(""https://docs.google.com/spreadsheets/d/1XWAQStnk-4SwqDmLtmXYiTMKHgktTP8We1SCoS47DrQ/edit?usp=sharing"",""จัดที่ดิน!BG30"")"),0)</f>
        <v>0</v>
      </c>
      <c r="K719" s="465"/>
      <c r="L719" s="730"/>
      <c r="M719" s="189"/>
      <c r="N719" s="730"/>
      <c r="O719" s="465"/>
      <c r="P719" s="465"/>
      <c r="Q719" s="541"/>
      <c r="R719" s="541"/>
      <c r="S719" s="541"/>
      <c r="T719" s="541"/>
      <c r="U719" s="541"/>
      <c r="V719" s="541"/>
      <c r="W719" s="541"/>
      <c r="X719" s="541"/>
      <c r="Y719" s="541"/>
      <c r="Z719" s="541"/>
    </row>
    <row r="720" spans="1:26" ht="18.75">
      <c r="A720" s="708"/>
      <c r="B720" s="727"/>
      <c r="C720" s="727"/>
      <c r="D720" s="727"/>
      <c r="E720" s="727"/>
      <c r="F720" s="727"/>
      <c r="G720" s="189"/>
      <c r="H720" s="728" t="s">
        <v>46</v>
      </c>
      <c r="I720" s="729">
        <f ca="1">IFERROR(__xludf.DUMMYFUNCTION("IMPORTRANGE(""https://docs.google.com/spreadsheets/d/1QqKyyYR6Q21VydFLVH3TRQUabQu_ym0Zz7PgGX0-kHA/edit?usp=sharing"",""แผน!II30"")"),640)</f>
        <v>640</v>
      </c>
      <c r="J720" s="269">
        <f ca="1">IFERROR(__xludf.DUMMYFUNCTION("IMPORTRANGE(""https://docs.google.com/spreadsheets/d/1XWAQStnk-4SwqDmLtmXYiTMKHgktTP8We1SCoS47DrQ/edit?usp=sharing"",""จัดที่ดิน!BH30"")"),0)</f>
        <v>0</v>
      </c>
      <c r="K720" s="465">
        <f t="shared" ref="K720:K723" ca="1" si="290">IF(I720&gt;0,J720*100/I720,0)</f>
        <v>0</v>
      </c>
      <c r="L720" s="730"/>
      <c r="M720" s="189"/>
      <c r="N720" s="730"/>
      <c r="O720" s="465"/>
      <c r="P720" s="465"/>
      <c r="Q720" s="541"/>
      <c r="R720" s="541"/>
      <c r="S720" s="541"/>
      <c r="T720" s="541"/>
      <c r="U720" s="541"/>
      <c r="V720" s="541"/>
      <c r="W720" s="541"/>
      <c r="X720" s="541"/>
      <c r="Y720" s="541"/>
      <c r="Z720" s="541"/>
    </row>
    <row r="721" spans="1:26" ht="19.5">
      <c r="A721" s="708"/>
      <c r="B721" s="727"/>
      <c r="C721" s="727"/>
      <c r="D721" s="727" t="s">
        <v>305</v>
      </c>
      <c r="E721" s="727"/>
      <c r="F721" s="727"/>
      <c r="G721" s="189"/>
      <c r="H721" s="731" t="s">
        <v>35</v>
      </c>
      <c r="I721" s="732">
        <f ca="1">IFERROR(__xludf.DUMMYFUNCTION("IMPORTRANGE(""https://docs.google.com/spreadsheets/d/1QqKyyYR6Q21VydFLVH3TRQUabQu_ym0Zz7PgGX0-kHA/edit?usp=sharing"",""แผน!IJ30"")"),9)</f>
        <v>9</v>
      </c>
      <c r="J721" s="647">
        <f ca="1">J723+J726</f>
        <v>0</v>
      </c>
      <c r="K721" s="195">
        <f t="shared" ca="1" si="290"/>
        <v>0</v>
      </c>
      <c r="L721" s="730"/>
      <c r="M721" s="189"/>
      <c r="N721" s="730"/>
      <c r="O721" s="465"/>
      <c r="P721" s="465"/>
      <c r="Q721" s="541"/>
      <c r="R721" s="541"/>
      <c r="S721" s="541"/>
      <c r="T721" s="541"/>
      <c r="U721" s="541"/>
      <c r="V721" s="541"/>
      <c r="W721" s="541"/>
      <c r="X721" s="541"/>
      <c r="Y721" s="541"/>
      <c r="Z721" s="541"/>
    </row>
    <row r="722" spans="1:26" ht="19.5">
      <c r="A722" s="708"/>
      <c r="B722" s="727"/>
      <c r="C722" s="727"/>
      <c r="D722" s="727"/>
      <c r="E722" s="727"/>
      <c r="F722" s="727"/>
      <c r="G722" s="189"/>
      <c r="H722" s="731" t="s">
        <v>46</v>
      </c>
      <c r="I722" s="732">
        <f ca="1">IFERROR(__xludf.DUMMYFUNCTION("IMPORTRANGE(""https://docs.google.com/spreadsheets/d/1QqKyyYR6Q21VydFLVH3TRQUabQu_ym0Zz7PgGX0-kHA/edit?usp=sharing"",""แผน!IK30"")"),139)</f>
        <v>139</v>
      </c>
      <c r="J722" s="647">
        <f ca="1">J725+J728</f>
        <v>0</v>
      </c>
      <c r="K722" s="195">
        <f t="shared" ca="1" si="290"/>
        <v>0</v>
      </c>
      <c r="L722" s="465"/>
      <c r="M722" s="189"/>
      <c r="N722" s="730"/>
      <c r="O722" s="465"/>
      <c r="P722" s="465"/>
      <c r="Q722" s="541"/>
      <c r="R722" s="541"/>
      <c r="S722" s="541"/>
      <c r="T722" s="541"/>
      <c r="U722" s="541"/>
      <c r="V722" s="541"/>
      <c r="W722" s="541"/>
      <c r="X722" s="541"/>
      <c r="Y722" s="541"/>
      <c r="Z722" s="541"/>
    </row>
    <row r="723" spans="1:26" ht="18.75">
      <c r="A723" s="708"/>
      <c r="B723" s="727"/>
      <c r="C723" s="727"/>
      <c r="D723" s="727"/>
      <c r="E723" s="727" t="s">
        <v>306</v>
      </c>
      <c r="F723" s="727"/>
      <c r="G723" s="189"/>
      <c r="H723" s="728" t="s">
        <v>35</v>
      </c>
      <c r="I723" s="729">
        <f ca="1">IFERROR(__xludf.DUMMYFUNCTION("IMPORTRANGE(""https://docs.google.com/spreadsheets/d/1QqKyyYR6Q21VydFLVH3TRQUabQu_ym0Zz7PgGX0-kHA/edit?usp=sharing"",""แผน!IL30"")"),7)</f>
        <v>7</v>
      </c>
      <c r="J723" s="269">
        <f ca="1">IFERROR(__xludf.DUMMYFUNCTION("IMPORTRANGE(""https://docs.google.com/spreadsheets/d/1XWAQStnk-4SwqDmLtmXYiTMKHgktTP8We1SCoS47DrQ/edit?usp=sharing"",""จัดที่ดิน!BM30"")"),0)</f>
        <v>0</v>
      </c>
      <c r="K723" s="465">
        <f t="shared" ca="1" si="290"/>
        <v>0</v>
      </c>
      <c r="L723" s="465"/>
      <c r="M723" s="189"/>
      <c r="N723" s="730"/>
      <c r="O723" s="465"/>
      <c r="P723" s="465"/>
      <c r="Q723" s="541"/>
      <c r="R723" s="541"/>
      <c r="S723" s="541"/>
      <c r="T723" s="541"/>
      <c r="U723" s="541"/>
      <c r="V723" s="541"/>
      <c r="W723" s="541"/>
      <c r="X723" s="541"/>
      <c r="Y723" s="541"/>
      <c r="Z723" s="541"/>
    </row>
    <row r="724" spans="1:26" ht="18.75">
      <c r="A724" s="708"/>
      <c r="B724" s="727"/>
      <c r="C724" s="727"/>
      <c r="D724" s="727"/>
      <c r="E724" s="727"/>
      <c r="F724" s="727"/>
      <c r="G724" s="189"/>
      <c r="H724" s="728" t="s">
        <v>34</v>
      </c>
      <c r="I724" s="729"/>
      <c r="J724" s="269">
        <f ca="1">IFERROR(__xludf.DUMMYFUNCTION("IMPORTRANGE(""https://docs.google.com/spreadsheets/d/1XWAQStnk-4SwqDmLtmXYiTMKHgktTP8We1SCoS47DrQ/edit?usp=sharing"",""จัดที่ดิน!BN30"")"),0)</f>
        <v>0</v>
      </c>
      <c r="K724" s="465"/>
      <c r="L724" s="730"/>
      <c r="M724" s="189"/>
      <c r="N724" s="730"/>
      <c r="O724" s="465"/>
      <c r="P724" s="465"/>
      <c r="Q724" s="541"/>
      <c r="R724" s="541"/>
      <c r="S724" s="541"/>
      <c r="T724" s="541"/>
      <c r="U724" s="541"/>
      <c r="V724" s="541"/>
      <c r="W724" s="541"/>
      <c r="X724" s="541"/>
      <c r="Y724" s="541"/>
      <c r="Z724" s="541"/>
    </row>
    <row r="725" spans="1:26" ht="18.75">
      <c r="A725" s="708"/>
      <c r="B725" s="727"/>
      <c r="C725" s="727"/>
      <c r="D725" s="727"/>
      <c r="E725" s="727"/>
      <c r="F725" s="727"/>
      <c r="G725" s="189"/>
      <c r="H725" s="728" t="s">
        <v>46</v>
      </c>
      <c r="I725" s="729">
        <f ca="1">IFERROR(__xludf.DUMMYFUNCTION("IMPORTRANGE(""https://docs.google.com/spreadsheets/d/1QqKyyYR6Q21VydFLVH3TRQUabQu_ym0Zz7PgGX0-kHA/edit?usp=sharing"",""แผน!IM30"")"),114)</f>
        <v>114</v>
      </c>
      <c r="J725" s="269">
        <f ca="1">IFERROR(__xludf.DUMMYFUNCTION("IMPORTRANGE(""https://docs.google.com/spreadsheets/d/1XWAQStnk-4SwqDmLtmXYiTMKHgktTP8We1SCoS47DrQ/edit?usp=sharing"",""จัดที่ดิน!BO30"")"),0)</f>
        <v>0</v>
      </c>
      <c r="K725" s="465">
        <f t="shared" ref="K725:K726" ca="1" si="291">IF(I725&gt;0,J725*100/I725,0)</f>
        <v>0</v>
      </c>
      <c r="L725" s="730"/>
      <c r="M725" s="189"/>
      <c r="N725" s="730"/>
      <c r="O725" s="465"/>
      <c r="P725" s="465"/>
      <c r="Q725" s="541"/>
      <c r="R725" s="541"/>
      <c r="S725" s="541"/>
      <c r="T725" s="541"/>
      <c r="U725" s="541"/>
      <c r="V725" s="541"/>
      <c r="W725" s="541"/>
      <c r="X725" s="541"/>
      <c r="Y725" s="541"/>
      <c r="Z725" s="541"/>
    </row>
    <row r="726" spans="1:26" ht="18.75">
      <c r="A726" s="708"/>
      <c r="B726" s="727"/>
      <c r="C726" s="727"/>
      <c r="D726" s="727"/>
      <c r="E726" s="727" t="s">
        <v>307</v>
      </c>
      <c r="F726" s="727"/>
      <c r="G726" s="189"/>
      <c r="H726" s="728" t="s">
        <v>35</v>
      </c>
      <c r="I726" s="729">
        <f ca="1">IFERROR(__xludf.DUMMYFUNCTION("IMPORTRANGE(""https://docs.google.com/spreadsheets/d/1QqKyyYR6Q21VydFLVH3TRQUabQu_ym0Zz7PgGX0-kHA/edit?usp=sharing"",""แผน!IN30"")"),2)</f>
        <v>2</v>
      </c>
      <c r="J726" s="269">
        <f ca="1">IFERROR(__xludf.DUMMYFUNCTION("IMPORTRANGE(""https://docs.google.com/spreadsheets/d/1XWAQStnk-4SwqDmLtmXYiTMKHgktTP8We1SCoS47DrQ/edit?usp=sharing"",""จัดที่ดิน!BR30"")"),0)</f>
        <v>0</v>
      </c>
      <c r="K726" s="465">
        <f t="shared" ca="1" si="291"/>
        <v>0</v>
      </c>
      <c r="L726" s="465"/>
      <c r="M726" s="189"/>
      <c r="N726" s="730"/>
      <c r="O726" s="465"/>
      <c r="P726" s="465"/>
      <c r="Q726" s="541"/>
      <c r="R726" s="541"/>
      <c r="S726" s="541"/>
      <c r="T726" s="541"/>
      <c r="U726" s="541"/>
      <c r="V726" s="541"/>
      <c r="W726" s="541"/>
      <c r="X726" s="541"/>
      <c r="Y726" s="541"/>
      <c r="Z726" s="541"/>
    </row>
    <row r="727" spans="1:26" ht="18.75">
      <c r="A727" s="708"/>
      <c r="B727" s="727"/>
      <c r="C727" s="727"/>
      <c r="D727" s="727"/>
      <c r="E727" s="727"/>
      <c r="F727" s="727"/>
      <c r="G727" s="189"/>
      <c r="H727" s="728" t="s">
        <v>34</v>
      </c>
      <c r="I727" s="729"/>
      <c r="J727" s="269">
        <f ca="1">IFERROR(__xludf.DUMMYFUNCTION("IMPORTRANGE(""https://docs.google.com/spreadsheets/d/1XWAQStnk-4SwqDmLtmXYiTMKHgktTP8We1SCoS47DrQ/edit?usp=sharing"",""จัดที่ดิน!BS30"")"),0)</f>
        <v>0</v>
      </c>
      <c r="K727" s="465"/>
      <c r="L727" s="730"/>
      <c r="M727" s="189"/>
      <c r="N727" s="730"/>
      <c r="O727" s="465"/>
      <c r="P727" s="465"/>
      <c r="Q727" s="541"/>
      <c r="R727" s="541"/>
      <c r="S727" s="541"/>
      <c r="T727" s="541"/>
      <c r="U727" s="541"/>
      <c r="V727" s="541"/>
      <c r="W727" s="541"/>
      <c r="X727" s="541"/>
      <c r="Y727" s="541"/>
      <c r="Z727" s="541"/>
    </row>
    <row r="728" spans="1:26" ht="18.75">
      <c r="A728" s="708"/>
      <c r="B728" s="727"/>
      <c r="C728" s="727"/>
      <c r="D728" s="727"/>
      <c r="E728" s="727"/>
      <c r="F728" s="727"/>
      <c r="G728" s="189"/>
      <c r="H728" s="728" t="s">
        <v>46</v>
      </c>
      <c r="I728" s="729">
        <f ca="1">IFERROR(__xludf.DUMMYFUNCTION("IMPORTRANGE(""https://docs.google.com/spreadsheets/d/1QqKyyYR6Q21VydFLVH3TRQUabQu_ym0Zz7PgGX0-kHA/edit?usp=sharing"",""แผน!IO30"")"),25)</f>
        <v>25</v>
      </c>
      <c r="J728" s="269">
        <f ca="1">IFERROR(__xludf.DUMMYFUNCTION("IMPORTRANGE(""https://docs.google.com/spreadsheets/d/1XWAQStnk-4SwqDmLtmXYiTMKHgktTP8We1SCoS47DrQ/edit?usp=sharing"",""จัดที่ดิน!BT30"")"),0)</f>
        <v>0</v>
      </c>
      <c r="K728" s="465">
        <f t="shared" ref="K728:K729" ca="1" si="292">IF(I728&gt;0,J728*100/I728,0)</f>
        <v>0</v>
      </c>
      <c r="L728" s="730"/>
      <c r="M728" s="189"/>
      <c r="N728" s="730"/>
      <c r="O728" s="465"/>
      <c r="P728" s="465"/>
      <c r="Q728" s="541"/>
      <c r="R728" s="541"/>
      <c r="S728" s="541"/>
      <c r="T728" s="541"/>
      <c r="U728" s="541"/>
      <c r="V728" s="541"/>
      <c r="W728" s="541"/>
      <c r="X728" s="541"/>
      <c r="Y728" s="541"/>
      <c r="Z728" s="541"/>
    </row>
    <row r="729" spans="1:26" ht="19.5">
      <c r="A729" s="708"/>
      <c r="B729" s="727"/>
      <c r="C729" s="727"/>
      <c r="D729" s="727" t="s">
        <v>308</v>
      </c>
      <c r="E729" s="727"/>
      <c r="F729" s="727"/>
      <c r="G729" s="189"/>
      <c r="H729" s="731" t="s">
        <v>46</v>
      </c>
      <c r="I729" s="732">
        <f ca="1">IFERROR(__xludf.DUMMYFUNCTION("IMPORTRANGE(""https://docs.google.com/spreadsheets/d/1QqKyyYR6Q21VydFLVH3TRQUabQu_ym0Zz7PgGX0-kHA/edit?usp=sharing"",""แผน!IP30"")"),65)</f>
        <v>65</v>
      </c>
      <c r="J729" s="647">
        <f>J732+J735</f>
        <v>0</v>
      </c>
      <c r="K729" s="195">
        <f t="shared" ca="1" si="292"/>
        <v>0</v>
      </c>
      <c r="L729" s="465"/>
      <c r="M729" s="189"/>
      <c r="N729" s="730"/>
      <c r="O729" s="465"/>
      <c r="P729" s="465"/>
      <c r="Q729" s="541"/>
      <c r="R729" s="541"/>
      <c r="S729" s="541"/>
      <c r="T729" s="541"/>
      <c r="U729" s="541"/>
      <c r="V729" s="541"/>
      <c r="W729" s="541"/>
      <c r="X729" s="541"/>
      <c r="Y729" s="541"/>
      <c r="Z729" s="541"/>
    </row>
    <row r="730" spans="1:26" ht="18.75">
      <c r="A730" s="708"/>
      <c r="B730" s="727"/>
      <c r="C730" s="727"/>
      <c r="D730" s="727"/>
      <c r="E730" s="727" t="s">
        <v>309</v>
      </c>
      <c r="F730" s="727"/>
      <c r="G730" s="189"/>
      <c r="H730" s="728" t="s">
        <v>35</v>
      </c>
      <c r="I730" s="729"/>
      <c r="J730" s="214">
        <v>0</v>
      </c>
      <c r="K730" s="465"/>
      <c r="L730" s="730"/>
      <c r="M730" s="465"/>
      <c r="N730" s="730"/>
      <c r="O730" s="465"/>
      <c r="P730" s="465"/>
      <c r="Q730" s="541"/>
      <c r="R730" s="541"/>
      <c r="S730" s="541"/>
      <c r="T730" s="541"/>
      <c r="U730" s="541"/>
      <c r="V730" s="541"/>
      <c r="W730" s="541"/>
      <c r="X730" s="541"/>
      <c r="Y730" s="541"/>
      <c r="Z730" s="541"/>
    </row>
    <row r="731" spans="1:26" ht="18.75">
      <c r="A731" s="708"/>
      <c r="B731" s="727"/>
      <c r="C731" s="727"/>
      <c r="D731" s="727"/>
      <c r="E731" s="727"/>
      <c r="F731" s="727"/>
      <c r="G731" s="189"/>
      <c r="H731" s="728" t="s">
        <v>34</v>
      </c>
      <c r="I731" s="729"/>
      <c r="J731" s="214">
        <v>0</v>
      </c>
      <c r="K731" s="465"/>
      <c r="L731" s="730"/>
      <c r="M731" s="465"/>
      <c r="N731" s="730"/>
      <c r="O731" s="465"/>
      <c r="P731" s="465"/>
      <c r="Q731" s="541"/>
      <c r="R731" s="541"/>
      <c r="S731" s="541"/>
      <c r="T731" s="541"/>
      <c r="U731" s="541"/>
      <c r="V731" s="541"/>
      <c r="W731" s="541"/>
      <c r="X731" s="541"/>
      <c r="Y731" s="541"/>
      <c r="Z731" s="541"/>
    </row>
    <row r="732" spans="1:26" ht="18.75">
      <c r="A732" s="708"/>
      <c r="B732" s="727"/>
      <c r="C732" s="727"/>
      <c r="D732" s="727"/>
      <c r="E732" s="727"/>
      <c r="F732" s="727"/>
      <c r="G732" s="189"/>
      <c r="H732" s="728" t="s">
        <v>46</v>
      </c>
      <c r="I732" s="729"/>
      <c r="J732" s="214">
        <v>0</v>
      </c>
      <c r="K732" s="465"/>
      <c r="L732" s="730"/>
      <c r="M732" s="465"/>
      <c r="N732" s="730"/>
      <c r="O732" s="465"/>
      <c r="P732" s="465"/>
      <c r="Q732" s="541"/>
      <c r="R732" s="541"/>
      <c r="S732" s="541"/>
      <c r="T732" s="541"/>
      <c r="U732" s="541"/>
      <c r="V732" s="541"/>
      <c r="W732" s="541"/>
      <c r="X732" s="541"/>
      <c r="Y732" s="541"/>
      <c r="Z732" s="541"/>
    </row>
    <row r="733" spans="1:26" ht="18.75">
      <c r="A733" s="708"/>
      <c r="B733" s="727"/>
      <c r="C733" s="727"/>
      <c r="D733" s="727"/>
      <c r="E733" s="727" t="s">
        <v>310</v>
      </c>
      <c r="F733" s="727"/>
      <c r="G733" s="189"/>
      <c r="H733" s="728" t="s">
        <v>35</v>
      </c>
      <c r="I733" s="729"/>
      <c r="J733" s="214">
        <v>0</v>
      </c>
      <c r="K733" s="465"/>
      <c r="L733" s="730"/>
      <c r="M733" s="465"/>
      <c r="N733" s="730"/>
      <c r="O733" s="465"/>
      <c r="P733" s="465"/>
      <c r="Q733" s="541"/>
      <c r="R733" s="541"/>
      <c r="S733" s="541"/>
      <c r="T733" s="541"/>
      <c r="U733" s="541"/>
      <c r="V733" s="541"/>
      <c r="W733" s="541"/>
      <c r="X733" s="541"/>
      <c r="Y733" s="541"/>
      <c r="Z733" s="541"/>
    </row>
    <row r="734" spans="1:26" ht="18.75">
      <c r="A734" s="708"/>
      <c r="B734" s="727"/>
      <c r="C734" s="727"/>
      <c r="D734" s="727"/>
      <c r="E734" s="727"/>
      <c r="F734" s="727"/>
      <c r="G734" s="189"/>
      <c r="H734" s="728" t="s">
        <v>34</v>
      </c>
      <c r="I734" s="729"/>
      <c r="J734" s="214">
        <v>0</v>
      </c>
      <c r="K734" s="465"/>
      <c r="L734" s="730"/>
      <c r="M734" s="465"/>
      <c r="N734" s="730"/>
      <c r="O734" s="465"/>
      <c r="P734" s="465"/>
      <c r="Q734" s="541"/>
      <c r="R734" s="541"/>
      <c r="S734" s="541"/>
      <c r="T734" s="541"/>
      <c r="U734" s="541"/>
      <c r="V734" s="541"/>
      <c r="W734" s="541"/>
      <c r="X734" s="541"/>
      <c r="Y734" s="541"/>
      <c r="Z734" s="541"/>
    </row>
    <row r="735" spans="1:26" ht="19.5">
      <c r="A735" s="734"/>
      <c r="B735" s="735" t="s">
        <v>311</v>
      </c>
      <c r="C735" s="698"/>
      <c r="D735" s="698"/>
      <c r="E735" s="698"/>
      <c r="F735" s="698"/>
      <c r="G735" s="699"/>
      <c r="H735" s="390" t="s">
        <v>46</v>
      </c>
      <c r="I735" s="736"/>
      <c r="J735" s="392">
        <v>0</v>
      </c>
      <c r="K735" s="469"/>
      <c r="L735" s="737"/>
      <c r="M735" s="469"/>
      <c r="N735" s="737"/>
      <c r="O735" s="469"/>
      <c r="P735" s="469"/>
      <c r="Q735" s="541"/>
      <c r="R735" s="541"/>
      <c r="S735" s="541"/>
      <c r="T735" s="541"/>
      <c r="U735" s="541"/>
      <c r="V735" s="541"/>
      <c r="W735" s="541"/>
      <c r="X735" s="541"/>
      <c r="Y735" s="541"/>
      <c r="Z735" s="541"/>
    </row>
    <row r="736" spans="1:26" ht="19.5" hidden="1">
      <c r="A736" s="738">
        <v>9</v>
      </c>
      <c r="B736" s="739" t="s">
        <v>312</v>
      </c>
      <c r="C736" s="740"/>
      <c r="D736" s="740"/>
      <c r="E736" s="740"/>
      <c r="F736" s="740"/>
      <c r="G736" s="741"/>
      <c r="H736" s="742" t="s">
        <v>46</v>
      </c>
      <c r="I736" s="743"/>
      <c r="J736" s="743">
        <f>J751</f>
        <v>0</v>
      </c>
      <c r="K736" s="744">
        <f>IF(I736&gt;0,J736*100/I736,0)</f>
        <v>0</v>
      </c>
      <c r="L736" s="745"/>
      <c r="M736" s="745"/>
      <c r="N736" s="745"/>
      <c r="O736" s="745"/>
      <c r="P736" s="745"/>
      <c r="Q736" s="568"/>
      <c r="R736" s="568"/>
      <c r="S736" s="568"/>
      <c r="T736" s="568"/>
      <c r="U736" s="568"/>
      <c r="V736" s="568"/>
      <c r="W736" s="568"/>
      <c r="X736" s="568"/>
      <c r="Y736" s="568"/>
      <c r="Z736" s="568"/>
    </row>
    <row r="737" spans="1:26" ht="19.5" hidden="1">
      <c r="A737" s="563"/>
      <c r="B737" s="723"/>
      <c r="C737" s="723" t="s">
        <v>16</v>
      </c>
      <c r="D737" s="812" t="s">
        <v>17</v>
      </c>
      <c r="E737" s="805"/>
      <c r="F737" s="805"/>
      <c r="G737" s="567"/>
      <c r="H737" s="612" t="s">
        <v>12</v>
      </c>
      <c r="I737" s="583"/>
      <c r="J737" s="583"/>
      <c r="K737" s="93"/>
      <c r="L737" s="613">
        <f t="shared" ref="L737:N737" si="293">L738+L739</f>
        <v>0</v>
      </c>
      <c r="M737" s="613">
        <f t="shared" si="293"/>
        <v>0</v>
      </c>
      <c r="N737" s="613">
        <f t="shared" si="293"/>
        <v>0</v>
      </c>
      <c r="O737" s="613">
        <f t="shared" ref="O737:O742" si="294">IF(L737&gt;0,N737*100/L737,0)</f>
        <v>0</v>
      </c>
      <c r="P737" s="613">
        <f t="shared" ref="P737:P742" si="295">IF(M737&gt;0,N737*100/M737,0)</f>
        <v>0</v>
      </c>
      <c r="Q737" s="568"/>
      <c r="R737" s="568"/>
      <c r="S737" s="568"/>
      <c r="T737" s="568"/>
      <c r="U737" s="568"/>
      <c r="V737" s="568"/>
      <c r="W737" s="568"/>
      <c r="X737" s="568"/>
      <c r="Y737" s="568"/>
      <c r="Z737" s="568"/>
    </row>
    <row r="738" spans="1:26" ht="18.75" hidden="1">
      <c r="A738" s="563"/>
      <c r="B738" s="723"/>
      <c r="C738" s="723"/>
      <c r="D738" s="684"/>
      <c r="E738" s="723" t="s">
        <v>184</v>
      </c>
      <c r="F738" s="723"/>
      <c r="G738" s="567"/>
      <c r="H738" s="165" t="s">
        <v>12</v>
      </c>
      <c r="I738" s="583"/>
      <c r="J738" s="583"/>
      <c r="K738" s="93"/>
      <c r="L738" s="93">
        <f t="shared" ref="L738:N739" si="296">L741+L748</f>
        <v>0</v>
      </c>
      <c r="M738" s="93">
        <f t="shared" si="296"/>
        <v>0</v>
      </c>
      <c r="N738" s="93">
        <f t="shared" si="296"/>
        <v>0</v>
      </c>
      <c r="O738" s="93">
        <f t="shared" si="294"/>
        <v>0</v>
      </c>
      <c r="P738" s="93">
        <f t="shared" si="295"/>
        <v>0</v>
      </c>
      <c r="Q738" s="568"/>
      <c r="R738" s="568"/>
      <c r="S738" s="568"/>
      <c r="T738" s="568"/>
      <c r="U738" s="568"/>
      <c r="V738" s="568"/>
      <c r="W738" s="568"/>
      <c r="X738" s="568"/>
      <c r="Y738" s="568"/>
      <c r="Z738" s="568"/>
    </row>
    <row r="739" spans="1:26" ht="18.75" hidden="1">
      <c r="A739" s="563"/>
      <c r="B739" s="571"/>
      <c r="C739" s="723"/>
      <c r="D739" s="684"/>
      <c r="E739" s="723" t="s">
        <v>185</v>
      </c>
      <c r="F739" s="723"/>
      <c r="G739" s="567"/>
      <c r="H739" s="165" t="s">
        <v>12</v>
      </c>
      <c r="I739" s="583"/>
      <c r="J739" s="583"/>
      <c r="K739" s="93"/>
      <c r="L739" s="93">
        <f t="shared" si="296"/>
        <v>0</v>
      </c>
      <c r="M739" s="93">
        <f t="shared" si="296"/>
        <v>0</v>
      </c>
      <c r="N739" s="93">
        <f t="shared" si="296"/>
        <v>0</v>
      </c>
      <c r="O739" s="93">
        <f t="shared" si="294"/>
        <v>0</v>
      </c>
      <c r="P739" s="93">
        <f t="shared" si="295"/>
        <v>0</v>
      </c>
      <c r="Q739" s="568"/>
      <c r="R739" s="568"/>
      <c r="S739" s="568"/>
      <c r="T739" s="568"/>
      <c r="U739" s="568"/>
      <c r="V739" s="568"/>
      <c r="W739" s="568"/>
      <c r="X739" s="568"/>
      <c r="Y739" s="568"/>
      <c r="Z739" s="568"/>
    </row>
    <row r="740" spans="1:26" ht="19.5" hidden="1">
      <c r="A740" s="563"/>
      <c r="B740" s="571"/>
      <c r="C740" s="723"/>
      <c r="D740" s="611" t="s">
        <v>20</v>
      </c>
      <c r="E740" s="723"/>
      <c r="F740" s="723"/>
      <c r="G740" s="567"/>
      <c r="H740" s="612" t="s">
        <v>12</v>
      </c>
      <c r="I740" s="166"/>
      <c r="J740" s="166"/>
      <c r="K740" s="167"/>
      <c r="L740" s="613">
        <f t="shared" ref="L740:N740" si="297">L741+L742</f>
        <v>0</v>
      </c>
      <c r="M740" s="613">
        <f t="shared" si="297"/>
        <v>0</v>
      </c>
      <c r="N740" s="613">
        <f t="shared" si="297"/>
        <v>0</v>
      </c>
      <c r="O740" s="613">
        <f t="shared" si="294"/>
        <v>0</v>
      </c>
      <c r="P740" s="613">
        <f t="shared" si="295"/>
        <v>0</v>
      </c>
      <c r="Q740" s="568"/>
      <c r="R740" s="568"/>
      <c r="S740" s="568"/>
      <c r="T740" s="568"/>
      <c r="U740" s="568"/>
      <c r="V740" s="568"/>
      <c r="W740" s="568"/>
      <c r="X740" s="568"/>
      <c r="Y740" s="568"/>
      <c r="Z740" s="568"/>
    </row>
    <row r="741" spans="1:26" ht="18.75" hidden="1">
      <c r="A741" s="563"/>
      <c r="B741" s="571"/>
      <c r="C741" s="723"/>
      <c r="D741" s="684"/>
      <c r="E741" s="723" t="s">
        <v>184</v>
      </c>
      <c r="F741" s="723"/>
      <c r="G741" s="567"/>
      <c r="H741" s="165" t="s">
        <v>12</v>
      </c>
      <c r="I741" s="583"/>
      <c r="J741" s="583"/>
      <c r="K741" s="93"/>
      <c r="L741" s="93">
        <v>0</v>
      </c>
      <c r="M741" s="93">
        <v>0</v>
      </c>
      <c r="N741" s="93">
        <v>0</v>
      </c>
      <c r="O741" s="93">
        <f t="shared" si="294"/>
        <v>0</v>
      </c>
      <c r="P741" s="93">
        <f t="shared" si="295"/>
        <v>0</v>
      </c>
      <c r="Q741" s="568"/>
      <c r="R741" s="568"/>
      <c r="S741" s="568"/>
      <c r="T741" s="568"/>
      <c r="U741" s="568"/>
      <c r="V741" s="568"/>
      <c r="W741" s="568"/>
      <c r="X741" s="568"/>
      <c r="Y741" s="568"/>
      <c r="Z741" s="568"/>
    </row>
    <row r="742" spans="1:26" ht="18.75" hidden="1">
      <c r="A742" s="563"/>
      <c r="B742" s="571"/>
      <c r="C742" s="723"/>
      <c r="D742" s="684"/>
      <c r="E742" s="723" t="s">
        <v>185</v>
      </c>
      <c r="F742" s="723"/>
      <c r="G742" s="567"/>
      <c r="H742" s="165" t="s">
        <v>12</v>
      </c>
      <c r="I742" s="583"/>
      <c r="J742" s="583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4"/>
        <v>0</v>
      </c>
      <c r="P742" s="93">
        <f t="shared" si="295"/>
        <v>0</v>
      </c>
      <c r="Q742" s="568"/>
      <c r="R742" s="568"/>
      <c r="S742" s="568"/>
      <c r="T742" s="568"/>
      <c r="U742" s="568"/>
      <c r="V742" s="568"/>
      <c r="W742" s="568"/>
      <c r="X742" s="568"/>
      <c r="Y742" s="568"/>
      <c r="Z742" s="568"/>
    </row>
    <row r="743" spans="1:26" ht="18.75" hidden="1">
      <c r="A743" s="615"/>
      <c r="B743" s="571"/>
      <c r="C743" s="723"/>
      <c r="D743" s="723"/>
      <c r="E743" s="723"/>
      <c r="F743" s="723" t="s">
        <v>186</v>
      </c>
      <c r="G743" s="567"/>
      <c r="H743" s="165" t="s">
        <v>12</v>
      </c>
      <c r="I743" s="583"/>
      <c r="J743" s="583"/>
      <c r="K743" s="93"/>
      <c r="L743" s="93"/>
      <c r="M743" s="93"/>
      <c r="N743" s="93"/>
      <c r="O743" s="93"/>
      <c r="P743" s="93"/>
      <c r="Q743" s="568"/>
      <c r="R743" s="568"/>
      <c r="S743" s="568"/>
      <c r="T743" s="568"/>
      <c r="U743" s="568"/>
      <c r="V743" s="568"/>
      <c r="W743" s="568"/>
      <c r="X743" s="568"/>
      <c r="Y743" s="568"/>
      <c r="Z743" s="568"/>
    </row>
    <row r="744" spans="1:26" ht="18.75" hidden="1">
      <c r="A744" s="615"/>
      <c r="B744" s="571"/>
      <c r="C744" s="723"/>
      <c r="D744" s="723"/>
      <c r="E744" s="723"/>
      <c r="F744" s="723" t="s">
        <v>187</v>
      </c>
      <c r="G744" s="567"/>
      <c r="H744" s="165" t="s">
        <v>12</v>
      </c>
      <c r="I744" s="583"/>
      <c r="J744" s="583"/>
      <c r="K744" s="93"/>
      <c r="L744" s="93"/>
      <c r="M744" s="93"/>
      <c r="N744" s="93"/>
      <c r="O744" s="93"/>
      <c r="P744" s="93"/>
      <c r="Q744" s="568"/>
      <c r="R744" s="568"/>
      <c r="S744" s="568"/>
      <c r="T744" s="568"/>
      <c r="U744" s="568"/>
      <c r="V744" s="568"/>
      <c r="W744" s="568"/>
      <c r="X744" s="568"/>
      <c r="Y744" s="568"/>
      <c r="Z744" s="568"/>
    </row>
    <row r="745" spans="1:26" ht="18.75" hidden="1">
      <c r="A745" s="615"/>
      <c r="B745" s="571"/>
      <c r="C745" s="723"/>
      <c r="D745" s="723"/>
      <c r="E745" s="723"/>
      <c r="F745" s="723" t="s">
        <v>188</v>
      </c>
      <c r="G745" s="567"/>
      <c r="H745" s="165" t="s">
        <v>12</v>
      </c>
      <c r="I745" s="583"/>
      <c r="J745" s="583"/>
      <c r="K745" s="93"/>
      <c r="L745" s="93"/>
      <c r="M745" s="93"/>
      <c r="N745" s="93"/>
      <c r="O745" s="93"/>
      <c r="P745" s="93"/>
      <c r="Q745" s="568"/>
      <c r="R745" s="568"/>
      <c r="S745" s="568"/>
      <c r="T745" s="568"/>
      <c r="U745" s="568"/>
      <c r="V745" s="568"/>
      <c r="W745" s="568"/>
      <c r="X745" s="568"/>
      <c r="Y745" s="568"/>
      <c r="Z745" s="568"/>
    </row>
    <row r="746" spans="1:26" ht="18.75" hidden="1">
      <c r="A746" s="615"/>
      <c r="B746" s="571"/>
      <c r="C746" s="723"/>
      <c r="D746" s="723"/>
      <c r="E746" s="723"/>
      <c r="F746" s="723" t="s">
        <v>189</v>
      </c>
      <c r="G746" s="567"/>
      <c r="H746" s="165" t="s">
        <v>12</v>
      </c>
      <c r="I746" s="583"/>
      <c r="J746" s="583"/>
      <c r="K746" s="93"/>
      <c r="L746" s="93"/>
      <c r="M746" s="93"/>
      <c r="N746" s="93"/>
      <c r="O746" s="93"/>
      <c r="P746" s="93"/>
      <c r="Q746" s="568"/>
      <c r="R746" s="568"/>
      <c r="S746" s="568"/>
      <c r="T746" s="568"/>
      <c r="U746" s="568"/>
      <c r="V746" s="568"/>
      <c r="W746" s="568"/>
      <c r="X746" s="568"/>
      <c r="Y746" s="568"/>
      <c r="Z746" s="568"/>
    </row>
    <row r="747" spans="1:26" ht="19.5" hidden="1">
      <c r="A747" s="563"/>
      <c r="B747" s="571"/>
      <c r="C747" s="723"/>
      <c r="D747" s="611" t="s">
        <v>21</v>
      </c>
      <c r="E747" s="723"/>
      <c r="F747" s="723"/>
      <c r="G747" s="567"/>
      <c r="H747" s="747" t="s">
        <v>12</v>
      </c>
      <c r="I747" s="166"/>
      <c r="J747" s="166"/>
      <c r="K747" s="167"/>
      <c r="L747" s="613">
        <f t="shared" ref="L747:N747" si="298">L748+L749</f>
        <v>0</v>
      </c>
      <c r="M747" s="613">
        <f t="shared" si="298"/>
        <v>0</v>
      </c>
      <c r="N747" s="613">
        <f t="shared" si="298"/>
        <v>0</v>
      </c>
      <c r="O747" s="613">
        <f t="shared" ref="O747:O749" si="299">IF(L747&gt;0,N747*100/L747,0)</f>
        <v>0</v>
      </c>
      <c r="P747" s="613">
        <f t="shared" ref="P747:P749" si="300">IF(M747&gt;0,N747*100/M747,0)</f>
        <v>0</v>
      </c>
      <c r="Q747" s="568"/>
      <c r="R747" s="568"/>
      <c r="S747" s="568"/>
      <c r="T747" s="568"/>
      <c r="U747" s="568"/>
      <c r="V747" s="568"/>
      <c r="W747" s="568"/>
      <c r="X747" s="568"/>
      <c r="Y747" s="568"/>
      <c r="Z747" s="568"/>
    </row>
    <row r="748" spans="1:26" ht="18.75" hidden="1">
      <c r="A748" s="563"/>
      <c r="B748" s="571"/>
      <c r="C748" s="723"/>
      <c r="D748" s="723"/>
      <c r="E748" s="723" t="s">
        <v>18</v>
      </c>
      <c r="F748" s="723"/>
      <c r="G748" s="567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299"/>
        <v>0</v>
      </c>
      <c r="P748" s="93">
        <f t="shared" si="300"/>
        <v>0</v>
      </c>
      <c r="Q748" s="568"/>
      <c r="R748" s="568"/>
      <c r="S748" s="568"/>
      <c r="T748" s="568"/>
      <c r="U748" s="568"/>
      <c r="V748" s="568"/>
      <c r="W748" s="568"/>
      <c r="X748" s="568"/>
      <c r="Y748" s="568"/>
      <c r="Z748" s="568"/>
    </row>
    <row r="749" spans="1:26" ht="18.75" hidden="1">
      <c r="A749" s="563"/>
      <c r="B749" s="571"/>
      <c r="C749" s="723"/>
      <c r="D749" s="723"/>
      <c r="E749" s="723" t="s">
        <v>19</v>
      </c>
      <c r="F749" s="723"/>
      <c r="G749" s="567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299"/>
        <v>0</v>
      </c>
      <c r="P749" s="93">
        <f t="shared" si="300"/>
        <v>0</v>
      </c>
      <c r="Q749" s="568"/>
      <c r="R749" s="568"/>
      <c r="S749" s="568"/>
      <c r="T749" s="568"/>
      <c r="U749" s="568"/>
      <c r="V749" s="568"/>
      <c r="W749" s="568"/>
      <c r="X749" s="568"/>
      <c r="Y749" s="568"/>
      <c r="Z749" s="568"/>
    </row>
    <row r="750" spans="1:26" ht="19.5" hidden="1">
      <c r="A750" s="578"/>
      <c r="B750" s="580"/>
      <c r="C750" s="723" t="s">
        <v>16</v>
      </c>
      <c r="D750" s="856" t="s">
        <v>38</v>
      </c>
      <c r="E750" s="617"/>
      <c r="F750" s="617"/>
      <c r="G750" s="618"/>
      <c r="H750" s="581"/>
      <c r="I750" s="166"/>
      <c r="J750" s="166"/>
      <c r="K750" s="167"/>
      <c r="L750" s="167"/>
      <c r="M750" s="167"/>
      <c r="N750" s="167"/>
      <c r="O750" s="167"/>
      <c r="P750" s="167"/>
      <c r="Q750" s="568"/>
      <c r="R750" s="568"/>
      <c r="S750" s="568"/>
      <c r="T750" s="568"/>
      <c r="U750" s="568"/>
      <c r="V750" s="568"/>
      <c r="W750" s="568"/>
      <c r="X750" s="568"/>
      <c r="Y750" s="568"/>
      <c r="Z750" s="568"/>
    </row>
    <row r="751" spans="1:26" ht="18.75" hidden="1">
      <c r="A751" s="615"/>
      <c r="B751" s="571"/>
      <c r="C751" s="723"/>
      <c r="D751" s="723"/>
      <c r="E751" s="723" t="s">
        <v>313</v>
      </c>
      <c r="F751" s="723"/>
      <c r="G751" s="567"/>
      <c r="H751" s="165" t="s">
        <v>46</v>
      </c>
      <c r="I751" s="583"/>
      <c r="J751" s="583"/>
      <c r="K751" s="93"/>
      <c r="L751" s="93"/>
      <c r="M751" s="93"/>
      <c r="N751" s="93"/>
      <c r="O751" s="93"/>
      <c r="P751" s="93"/>
      <c r="Q751" s="568"/>
      <c r="R751" s="568"/>
      <c r="S751" s="568"/>
      <c r="T751" s="568"/>
      <c r="U751" s="568"/>
      <c r="V751" s="568"/>
      <c r="W751" s="568"/>
      <c r="X751" s="568"/>
      <c r="Y751" s="568"/>
      <c r="Z751" s="568"/>
    </row>
    <row r="752" spans="1:26" ht="18.75" hidden="1">
      <c r="A752" s="615"/>
      <c r="B752" s="571"/>
      <c r="C752" s="723"/>
      <c r="D752" s="723"/>
      <c r="E752" s="723"/>
      <c r="F752" s="723"/>
      <c r="G752" s="567"/>
      <c r="H752" s="165" t="s">
        <v>314</v>
      </c>
      <c r="I752" s="583"/>
      <c r="J752" s="583"/>
      <c r="K752" s="93"/>
      <c r="L752" s="93"/>
      <c r="M752" s="93"/>
      <c r="N752" s="93"/>
      <c r="O752" s="93"/>
      <c r="P752" s="93"/>
      <c r="Q752" s="568"/>
      <c r="R752" s="568"/>
      <c r="S752" s="568"/>
      <c r="T752" s="568"/>
      <c r="U752" s="568"/>
      <c r="V752" s="568"/>
      <c r="W752" s="568"/>
      <c r="X752" s="568"/>
      <c r="Y752" s="568"/>
      <c r="Z752" s="568"/>
    </row>
    <row r="753" spans="1:26" ht="19.5" hidden="1">
      <c r="A753" s="749">
        <v>10</v>
      </c>
      <c r="B753" s="750" t="s">
        <v>315</v>
      </c>
      <c r="C753" s="751"/>
      <c r="D753" s="751"/>
      <c r="E753" s="751"/>
      <c r="F753" s="751"/>
      <c r="G753" s="752"/>
      <c r="H753" s="753" t="s">
        <v>46</v>
      </c>
      <c r="I753" s="754"/>
      <c r="J753" s="754">
        <f>J768</f>
        <v>0</v>
      </c>
      <c r="K753" s="755">
        <f>IF(I753&gt;0,J753*100/I753,0)</f>
        <v>0</v>
      </c>
      <c r="L753" s="756"/>
      <c r="M753" s="756"/>
      <c r="N753" s="756"/>
      <c r="O753" s="756"/>
      <c r="P753" s="756"/>
      <c r="Q753" s="568"/>
      <c r="R753" s="568"/>
      <c r="S753" s="568"/>
      <c r="T753" s="568"/>
      <c r="U753" s="568"/>
      <c r="V753" s="568"/>
      <c r="W753" s="568"/>
      <c r="X753" s="568"/>
      <c r="Y753" s="568"/>
      <c r="Z753" s="568"/>
    </row>
    <row r="754" spans="1:26" ht="19.5" hidden="1">
      <c r="A754" s="563"/>
      <c r="B754" s="723"/>
      <c r="C754" s="723" t="s">
        <v>16</v>
      </c>
      <c r="D754" s="812" t="s">
        <v>17</v>
      </c>
      <c r="E754" s="805"/>
      <c r="F754" s="805"/>
      <c r="G754" s="567"/>
      <c r="H754" s="612" t="s">
        <v>12</v>
      </c>
      <c r="I754" s="583"/>
      <c r="J754" s="583"/>
      <c r="K754" s="93"/>
      <c r="L754" s="613">
        <f t="shared" ref="L754:N754" si="301">L755+L756</f>
        <v>0</v>
      </c>
      <c r="M754" s="613">
        <f t="shared" si="301"/>
        <v>0</v>
      </c>
      <c r="N754" s="613">
        <f t="shared" si="301"/>
        <v>0</v>
      </c>
      <c r="O754" s="613">
        <f t="shared" ref="O754:O759" si="302">IF(L754&gt;0,N754*100/L754,0)</f>
        <v>0</v>
      </c>
      <c r="P754" s="613">
        <f t="shared" ref="P754:P759" si="303">IF(M754&gt;0,N754*100/M754,0)</f>
        <v>0</v>
      </c>
      <c r="Q754" s="568"/>
      <c r="R754" s="568"/>
      <c r="S754" s="568"/>
      <c r="T754" s="568"/>
      <c r="U754" s="568"/>
      <c r="V754" s="568"/>
      <c r="W754" s="568"/>
      <c r="X754" s="568"/>
      <c r="Y754" s="568"/>
      <c r="Z754" s="568"/>
    </row>
    <row r="755" spans="1:26" ht="18.75" hidden="1">
      <c r="A755" s="563"/>
      <c r="B755" s="723"/>
      <c r="C755" s="723"/>
      <c r="D755" s="684"/>
      <c r="E755" s="723" t="s">
        <v>184</v>
      </c>
      <c r="F755" s="723"/>
      <c r="G755" s="567"/>
      <c r="H755" s="165" t="s">
        <v>12</v>
      </c>
      <c r="I755" s="583"/>
      <c r="J755" s="583"/>
      <c r="K755" s="93"/>
      <c r="L755" s="93">
        <f t="shared" ref="L755:N756" si="304">L758+L765</f>
        <v>0</v>
      </c>
      <c r="M755" s="93">
        <f t="shared" si="304"/>
        <v>0</v>
      </c>
      <c r="N755" s="93">
        <f t="shared" si="304"/>
        <v>0</v>
      </c>
      <c r="O755" s="93">
        <f t="shared" si="302"/>
        <v>0</v>
      </c>
      <c r="P755" s="93">
        <f t="shared" si="303"/>
        <v>0</v>
      </c>
      <c r="Q755" s="568"/>
      <c r="R755" s="568"/>
      <c r="S755" s="568"/>
      <c r="T755" s="568"/>
      <c r="U755" s="568"/>
      <c r="V755" s="568"/>
      <c r="W755" s="568"/>
      <c r="X755" s="568"/>
      <c r="Y755" s="568"/>
      <c r="Z755" s="568"/>
    </row>
    <row r="756" spans="1:26" ht="18.75" hidden="1">
      <c r="A756" s="563"/>
      <c r="B756" s="571"/>
      <c r="C756" s="723"/>
      <c r="D756" s="684"/>
      <c r="E756" s="723" t="s">
        <v>185</v>
      </c>
      <c r="F756" s="723"/>
      <c r="G756" s="567"/>
      <c r="H756" s="165" t="s">
        <v>12</v>
      </c>
      <c r="I756" s="583"/>
      <c r="J756" s="583"/>
      <c r="K756" s="93"/>
      <c r="L756" s="93">
        <f t="shared" si="304"/>
        <v>0</v>
      </c>
      <c r="M756" s="93">
        <f t="shared" si="304"/>
        <v>0</v>
      </c>
      <c r="N756" s="93">
        <f t="shared" si="304"/>
        <v>0</v>
      </c>
      <c r="O756" s="93">
        <f t="shared" si="302"/>
        <v>0</v>
      </c>
      <c r="P756" s="93">
        <f t="shared" si="303"/>
        <v>0</v>
      </c>
      <c r="Q756" s="568"/>
      <c r="R756" s="568"/>
      <c r="S756" s="568"/>
      <c r="T756" s="568"/>
      <c r="U756" s="568"/>
      <c r="V756" s="568"/>
      <c r="W756" s="568"/>
      <c r="X756" s="568"/>
      <c r="Y756" s="568"/>
      <c r="Z756" s="568"/>
    </row>
    <row r="757" spans="1:26" ht="19.5" hidden="1">
      <c r="A757" s="563"/>
      <c r="B757" s="571"/>
      <c r="C757" s="723"/>
      <c r="D757" s="611" t="s">
        <v>20</v>
      </c>
      <c r="E757" s="723"/>
      <c r="F757" s="723"/>
      <c r="G757" s="567"/>
      <c r="H757" s="612" t="s">
        <v>12</v>
      </c>
      <c r="I757" s="166"/>
      <c r="J757" s="166"/>
      <c r="K757" s="167"/>
      <c r="L757" s="613">
        <f t="shared" ref="L757:N757" si="305">L758+L759</f>
        <v>0</v>
      </c>
      <c r="M757" s="613">
        <f t="shared" si="305"/>
        <v>0</v>
      </c>
      <c r="N757" s="613">
        <f t="shared" si="305"/>
        <v>0</v>
      </c>
      <c r="O757" s="613">
        <f t="shared" si="302"/>
        <v>0</v>
      </c>
      <c r="P757" s="613">
        <f t="shared" si="303"/>
        <v>0</v>
      </c>
      <c r="Q757" s="568"/>
      <c r="R757" s="568"/>
      <c r="S757" s="568"/>
      <c r="T757" s="568"/>
      <c r="U757" s="568"/>
      <c r="V757" s="568"/>
      <c r="W757" s="568"/>
      <c r="X757" s="568"/>
      <c r="Y757" s="568"/>
      <c r="Z757" s="568"/>
    </row>
    <row r="758" spans="1:26" ht="18.75" hidden="1">
      <c r="A758" s="563"/>
      <c r="B758" s="571"/>
      <c r="C758" s="723"/>
      <c r="D758" s="684"/>
      <c r="E758" s="723" t="s">
        <v>184</v>
      </c>
      <c r="F758" s="723"/>
      <c r="G758" s="567"/>
      <c r="H758" s="165" t="s">
        <v>12</v>
      </c>
      <c r="I758" s="583"/>
      <c r="J758" s="583"/>
      <c r="K758" s="93"/>
      <c r="L758" s="93">
        <v>0</v>
      </c>
      <c r="M758" s="93">
        <v>0</v>
      </c>
      <c r="N758" s="93">
        <v>0</v>
      </c>
      <c r="O758" s="93">
        <f t="shared" si="302"/>
        <v>0</v>
      </c>
      <c r="P758" s="93">
        <f t="shared" si="303"/>
        <v>0</v>
      </c>
      <c r="Q758" s="568"/>
      <c r="R758" s="568"/>
      <c r="S758" s="568"/>
      <c r="T758" s="568"/>
      <c r="U758" s="568"/>
      <c r="V758" s="568"/>
      <c r="W758" s="568"/>
      <c r="X758" s="568"/>
      <c r="Y758" s="568"/>
      <c r="Z758" s="568"/>
    </row>
    <row r="759" spans="1:26" ht="18.75" hidden="1">
      <c r="A759" s="563"/>
      <c r="B759" s="571"/>
      <c r="C759" s="723"/>
      <c r="D759" s="684"/>
      <c r="E759" s="723" t="s">
        <v>185</v>
      </c>
      <c r="F759" s="723"/>
      <c r="G759" s="567"/>
      <c r="H759" s="165" t="s">
        <v>12</v>
      </c>
      <c r="I759" s="583"/>
      <c r="J759" s="583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2"/>
        <v>0</v>
      </c>
      <c r="P759" s="93">
        <f t="shared" si="303"/>
        <v>0</v>
      </c>
      <c r="Q759" s="568"/>
      <c r="R759" s="568"/>
      <c r="S759" s="568"/>
      <c r="T759" s="568"/>
      <c r="U759" s="568"/>
      <c r="V759" s="568"/>
      <c r="W759" s="568"/>
      <c r="X759" s="568"/>
      <c r="Y759" s="568"/>
      <c r="Z759" s="568"/>
    </row>
    <row r="760" spans="1:26" ht="18.75" hidden="1">
      <c r="A760" s="615"/>
      <c r="B760" s="571"/>
      <c r="C760" s="723"/>
      <c r="D760" s="723"/>
      <c r="E760" s="723"/>
      <c r="F760" s="723" t="s">
        <v>186</v>
      </c>
      <c r="G760" s="567"/>
      <c r="H760" s="165" t="s">
        <v>12</v>
      </c>
      <c r="I760" s="583"/>
      <c r="J760" s="583"/>
      <c r="K760" s="93"/>
      <c r="L760" s="93"/>
      <c r="M760" s="93"/>
      <c r="N760" s="93"/>
      <c r="O760" s="93"/>
      <c r="P760" s="93"/>
      <c r="Q760" s="568"/>
      <c r="R760" s="568"/>
      <c r="S760" s="568"/>
      <c r="T760" s="568"/>
      <c r="U760" s="568"/>
      <c r="V760" s="568"/>
      <c r="W760" s="568"/>
      <c r="X760" s="568"/>
      <c r="Y760" s="568"/>
      <c r="Z760" s="568"/>
    </row>
    <row r="761" spans="1:26" ht="18.75" hidden="1">
      <c r="A761" s="615"/>
      <c r="B761" s="571"/>
      <c r="C761" s="723"/>
      <c r="D761" s="723"/>
      <c r="E761" s="723"/>
      <c r="F761" s="723" t="s">
        <v>187</v>
      </c>
      <c r="G761" s="567"/>
      <c r="H761" s="165" t="s">
        <v>12</v>
      </c>
      <c r="I761" s="583"/>
      <c r="J761" s="583"/>
      <c r="K761" s="93"/>
      <c r="L761" s="93"/>
      <c r="M761" s="93"/>
      <c r="N761" s="93"/>
      <c r="O761" s="93"/>
      <c r="P761" s="93"/>
      <c r="Q761" s="568"/>
      <c r="R761" s="568"/>
      <c r="S761" s="568"/>
      <c r="T761" s="568"/>
      <c r="U761" s="568"/>
      <c r="V761" s="568"/>
      <c r="W761" s="568"/>
      <c r="X761" s="568"/>
      <c r="Y761" s="568"/>
      <c r="Z761" s="568"/>
    </row>
    <row r="762" spans="1:26" ht="18.75" hidden="1">
      <c r="A762" s="615"/>
      <c r="B762" s="571"/>
      <c r="C762" s="723"/>
      <c r="D762" s="723"/>
      <c r="E762" s="723"/>
      <c r="F762" s="723" t="s">
        <v>188</v>
      </c>
      <c r="G762" s="567"/>
      <c r="H762" s="165" t="s">
        <v>12</v>
      </c>
      <c r="I762" s="583"/>
      <c r="J762" s="583"/>
      <c r="K762" s="93"/>
      <c r="L762" s="93"/>
      <c r="M762" s="93"/>
      <c r="N762" s="93"/>
      <c r="O762" s="93"/>
      <c r="P762" s="93"/>
      <c r="Q762" s="568"/>
      <c r="R762" s="568"/>
      <c r="S762" s="568"/>
      <c r="T762" s="568"/>
      <c r="U762" s="568"/>
      <c r="V762" s="568"/>
      <c r="W762" s="568"/>
      <c r="X762" s="568"/>
      <c r="Y762" s="568"/>
      <c r="Z762" s="568"/>
    </row>
    <row r="763" spans="1:26" ht="18.75" hidden="1">
      <c r="A763" s="615"/>
      <c r="B763" s="571"/>
      <c r="C763" s="723"/>
      <c r="D763" s="723"/>
      <c r="E763" s="723"/>
      <c r="F763" s="723" t="s">
        <v>189</v>
      </c>
      <c r="G763" s="567"/>
      <c r="H763" s="165" t="s">
        <v>12</v>
      </c>
      <c r="I763" s="583"/>
      <c r="J763" s="583"/>
      <c r="K763" s="93"/>
      <c r="L763" s="93"/>
      <c r="M763" s="93"/>
      <c r="N763" s="93"/>
      <c r="O763" s="93"/>
      <c r="P763" s="93"/>
      <c r="Q763" s="568"/>
      <c r="R763" s="568"/>
      <c r="S763" s="568"/>
      <c r="T763" s="568"/>
      <c r="U763" s="568"/>
      <c r="V763" s="568"/>
      <c r="W763" s="568"/>
      <c r="X763" s="568"/>
      <c r="Y763" s="568"/>
      <c r="Z763" s="568"/>
    </row>
    <row r="764" spans="1:26" ht="19.5" hidden="1">
      <c r="A764" s="563"/>
      <c r="B764" s="571"/>
      <c r="C764" s="723"/>
      <c r="D764" s="611" t="s">
        <v>21</v>
      </c>
      <c r="E764" s="723"/>
      <c r="F764" s="723"/>
      <c r="G764" s="567"/>
      <c r="H764" s="747" t="s">
        <v>12</v>
      </c>
      <c r="I764" s="166"/>
      <c r="J764" s="166"/>
      <c r="K764" s="167"/>
      <c r="L764" s="613">
        <f t="shared" ref="L764:N764" si="306">L765+L766</f>
        <v>0</v>
      </c>
      <c r="M764" s="613">
        <f t="shared" si="306"/>
        <v>0</v>
      </c>
      <c r="N764" s="613">
        <f t="shared" si="306"/>
        <v>0</v>
      </c>
      <c r="O764" s="613">
        <f t="shared" ref="O764:O766" si="307">IF(L764&gt;0,N764*100/L764,0)</f>
        <v>0</v>
      </c>
      <c r="P764" s="613">
        <f t="shared" ref="P764:P766" si="308">IF(M764&gt;0,N764*100/M764,0)</f>
        <v>0</v>
      </c>
      <c r="Q764" s="568"/>
      <c r="R764" s="568"/>
      <c r="S764" s="568"/>
      <c r="T764" s="568"/>
      <c r="U764" s="568"/>
      <c r="V764" s="568"/>
      <c r="W764" s="568"/>
      <c r="X764" s="568"/>
      <c r="Y764" s="568"/>
      <c r="Z764" s="568"/>
    </row>
    <row r="765" spans="1:26" ht="18.75" hidden="1">
      <c r="A765" s="563"/>
      <c r="B765" s="571"/>
      <c r="C765" s="723"/>
      <c r="D765" s="723"/>
      <c r="E765" s="723" t="s">
        <v>18</v>
      </c>
      <c r="F765" s="723"/>
      <c r="G765" s="567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7"/>
        <v>0</v>
      </c>
      <c r="P765" s="93">
        <f t="shared" si="308"/>
        <v>0</v>
      </c>
      <c r="Q765" s="568"/>
      <c r="R765" s="568"/>
      <c r="S765" s="568"/>
      <c r="T765" s="568"/>
      <c r="U765" s="568"/>
      <c r="V765" s="568"/>
      <c r="W765" s="568"/>
      <c r="X765" s="568"/>
      <c r="Y765" s="568"/>
      <c r="Z765" s="568"/>
    </row>
    <row r="766" spans="1:26" ht="18.75" hidden="1">
      <c r="A766" s="563"/>
      <c r="B766" s="571"/>
      <c r="C766" s="723"/>
      <c r="D766" s="723"/>
      <c r="E766" s="723" t="s">
        <v>19</v>
      </c>
      <c r="F766" s="723"/>
      <c r="G766" s="567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7"/>
        <v>0</v>
      </c>
      <c r="P766" s="93">
        <f t="shared" si="308"/>
        <v>0</v>
      </c>
      <c r="Q766" s="568"/>
      <c r="R766" s="568"/>
      <c r="S766" s="568"/>
      <c r="T766" s="568"/>
      <c r="U766" s="568"/>
      <c r="V766" s="568"/>
      <c r="W766" s="568"/>
      <c r="X766" s="568"/>
      <c r="Y766" s="568"/>
      <c r="Z766" s="568"/>
    </row>
    <row r="767" spans="1:26" ht="19.5" hidden="1">
      <c r="A767" s="578"/>
      <c r="B767" s="580"/>
      <c r="C767" s="723" t="s">
        <v>16</v>
      </c>
      <c r="D767" s="856" t="s">
        <v>38</v>
      </c>
      <c r="E767" s="617"/>
      <c r="F767" s="617"/>
      <c r="G767" s="618"/>
      <c r="H767" s="581"/>
      <c r="I767" s="166"/>
      <c r="J767" s="166"/>
      <c r="K767" s="167"/>
      <c r="L767" s="167"/>
      <c r="M767" s="167"/>
      <c r="N767" s="167"/>
      <c r="O767" s="167"/>
      <c r="P767" s="167"/>
      <c r="Q767" s="568"/>
      <c r="R767" s="568"/>
      <c r="S767" s="568"/>
      <c r="T767" s="568"/>
      <c r="U767" s="568"/>
      <c r="V767" s="568"/>
      <c r="W767" s="568"/>
      <c r="X767" s="568"/>
      <c r="Y767" s="568"/>
      <c r="Z767" s="568"/>
    </row>
    <row r="768" spans="1:26" ht="18.75" hidden="1">
      <c r="A768" s="615"/>
      <c r="B768" s="571"/>
      <c r="C768" s="723"/>
      <c r="D768" s="723"/>
      <c r="E768" s="723" t="s">
        <v>316</v>
      </c>
      <c r="F768" s="723"/>
      <c r="G768" s="567"/>
      <c r="H768" s="165" t="s">
        <v>46</v>
      </c>
      <c r="I768" s="583"/>
      <c r="J768" s="583"/>
      <c r="K768" s="93"/>
      <c r="L768" s="93"/>
      <c r="M768" s="93"/>
      <c r="N768" s="93"/>
      <c r="O768" s="93"/>
      <c r="P768" s="93"/>
      <c r="Q768" s="568"/>
      <c r="R768" s="568"/>
      <c r="S768" s="568"/>
      <c r="T768" s="568"/>
      <c r="U768" s="568"/>
      <c r="V768" s="568"/>
      <c r="W768" s="568"/>
      <c r="X768" s="568"/>
      <c r="Y768" s="568"/>
      <c r="Z768" s="568"/>
    </row>
    <row r="769" spans="1:26" ht="19.5" hidden="1">
      <c r="A769" s="757">
        <v>11</v>
      </c>
      <c r="B769" s="758" t="s">
        <v>317</v>
      </c>
      <c r="C769" s="759"/>
      <c r="D769" s="759"/>
      <c r="E769" s="759"/>
      <c r="F769" s="759"/>
      <c r="G769" s="760"/>
      <c r="H769" s="761" t="s">
        <v>46</v>
      </c>
      <c r="I769" s="762"/>
      <c r="J769" s="762">
        <f>J784</f>
        <v>0</v>
      </c>
      <c r="K769" s="763">
        <f>IF(I769&gt;0,J769*100/I769,0)</f>
        <v>0</v>
      </c>
      <c r="L769" s="764"/>
      <c r="M769" s="764"/>
      <c r="N769" s="764"/>
      <c r="O769" s="764"/>
      <c r="P769" s="764"/>
      <c r="Q769" s="568"/>
      <c r="R769" s="568"/>
      <c r="S769" s="568"/>
      <c r="T769" s="568"/>
      <c r="U769" s="568"/>
      <c r="V769" s="568"/>
      <c r="W769" s="568"/>
      <c r="X769" s="568"/>
      <c r="Y769" s="568"/>
      <c r="Z769" s="568"/>
    </row>
    <row r="770" spans="1:26" ht="19.5" hidden="1">
      <c r="A770" s="563"/>
      <c r="B770" s="723"/>
      <c r="C770" s="723" t="s">
        <v>16</v>
      </c>
      <c r="D770" s="812" t="s">
        <v>17</v>
      </c>
      <c r="E770" s="805"/>
      <c r="F770" s="805"/>
      <c r="G770" s="567"/>
      <c r="H770" s="612" t="s">
        <v>12</v>
      </c>
      <c r="I770" s="583"/>
      <c r="J770" s="583"/>
      <c r="K770" s="93"/>
      <c r="L770" s="613">
        <f t="shared" ref="L770:N770" si="309">L771+L772</f>
        <v>0</v>
      </c>
      <c r="M770" s="613">
        <f t="shared" si="309"/>
        <v>0</v>
      </c>
      <c r="N770" s="613">
        <f t="shared" si="309"/>
        <v>0</v>
      </c>
      <c r="O770" s="613">
        <f t="shared" ref="O770:O775" si="310">IF(L770&gt;0,N770*100/L770,0)</f>
        <v>0</v>
      </c>
      <c r="P770" s="613">
        <f t="shared" ref="P770:P775" si="311">IF(M770&gt;0,N770*100/M770,0)</f>
        <v>0</v>
      </c>
      <c r="Q770" s="568"/>
      <c r="R770" s="568"/>
      <c r="S770" s="568"/>
      <c r="T770" s="568"/>
      <c r="U770" s="568"/>
      <c r="V770" s="568"/>
      <c r="W770" s="568"/>
      <c r="X770" s="568"/>
      <c r="Y770" s="568"/>
      <c r="Z770" s="568"/>
    </row>
    <row r="771" spans="1:26" ht="18.75" hidden="1">
      <c r="A771" s="563"/>
      <c r="B771" s="723"/>
      <c r="C771" s="723"/>
      <c r="D771" s="684"/>
      <c r="E771" s="723" t="s">
        <v>184</v>
      </c>
      <c r="F771" s="723"/>
      <c r="G771" s="567"/>
      <c r="H771" s="165" t="s">
        <v>12</v>
      </c>
      <c r="I771" s="583"/>
      <c r="J771" s="583"/>
      <c r="K771" s="93"/>
      <c r="L771" s="93">
        <f t="shared" ref="L771:N772" si="312">L774+L781</f>
        <v>0</v>
      </c>
      <c r="M771" s="93">
        <f t="shared" si="312"/>
        <v>0</v>
      </c>
      <c r="N771" s="93">
        <f t="shared" si="312"/>
        <v>0</v>
      </c>
      <c r="O771" s="93">
        <f t="shared" si="310"/>
        <v>0</v>
      </c>
      <c r="P771" s="93">
        <f t="shared" si="311"/>
        <v>0</v>
      </c>
      <c r="Q771" s="568"/>
      <c r="R771" s="568"/>
      <c r="S771" s="568"/>
      <c r="T771" s="568"/>
      <c r="U771" s="568"/>
      <c r="V771" s="568"/>
      <c r="W771" s="568"/>
      <c r="X771" s="568"/>
      <c r="Y771" s="568"/>
      <c r="Z771" s="568"/>
    </row>
    <row r="772" spans="1:26" ht="18.75" hidden="1">
      <c r="A772" s="563"/>
      <c r="B772" s="571"/>
      <c r="C772" s="723"/>
      <c r="D772" s="684"/>
      <c r="E772" s="723" t="s">
        <v>185</v>
      </c>
      <c r="F772" s="723"/>
      <c r="G772" s="567"/>
      <c r="H772" s="165" t="s">
        <v>12</v>
      </c>
      <c r="I772" s="583"/>
      <c r="J772" s="583"/>
      <c r="K772" s="93"/>
      <c r="L772" s="93">
        <f t="shared" si="312"/>
        <v>0</v>
      </c>
      <c r="M772" s="93">
        <f t="shared" si="312"/>
        <v>0</v>
      </c>
      <c r="N772" s="93">
        <f t="shared" si="312"/>
        <v>0</v>
      </c>
      <c r="O772" s="93">
        <f t="shared" si="310"/>
        <v>0</v>
      </c>
      <c r="P772" s="93">
        <f t="shared" si="311"/>
        <v>0</v>
      </c>
      <c r="Q772" s="568"/>
      <c r="R772" s="568"/>
      <c r="S772" s="568"/>
      <c r="T772" s="568"/>
      <c r="U772" s="568"/>
      <c r="V772" s="568"/>
      <c r="W772" s="568"/>
      <c r="X772" s="568"/>
      <c r="Y772" s="568"/>
      <c r="Z772" s="568"/>
    </row>
    <row r="773" spans="1:26" ht="19.5" hidden="1">
      <c r="A773" s="563"/>
      <c r="B773" s="571"/>
      <c r="C773" s="723"/>
      <c r="D773" s="611" t="s">
        <v>20</v>
      </c>
      <c r="E773" s="723"/>
      <c r="F773" s="723"/>
      <c r="G773" s="567"/>
      <c r="H773" s="612" t="s">
        <v>12</v>
      </c>
      <c r="I773" s="166"/>
      <c r="J773" s="166"/>
      <c r="K773" s="167"/>
      <c r="L773" s="613">
        <f t="shared" ref="L773:N773" si="313">L774+L775</f>
        <v>0</v>
      </c>
      <c r="M773" s="613">
        <f t="shared" si="313"/>
        <v>0</v>
      </c>
      <c r="N773" s="613">
        <f t="shared" si="313"/>
        <v>0</v>
      </c>
      <c r="O773" s="613">
        <f t="shared" si="310"/>
        <v>0</v>
      </c>
      <c r="P773" s="613">
        <f t="shared" si="311"/>
        <v>0</v>
      </c>
      <c r="Q773" s="568"/>
      <c r="R773" s="568"/>
      <c r="S773" s="568"/>
      <c r="T773" s="568"/>
      <c r="U773" s="568"/>
      <c r="V773" s="568"/>
      <c r="W773" s="568"/>
      <c r="X773" s="568"/>
      <c r="Y773" s="568"/>
      <c r="Z773" s="568"/>
    </row>
    <row r="774" spans="1:26" ht="18.75" hidden="1">
      <c r="A774" s="563"/>
      <c r="B774" s="571"/>
      <c r="C774" s="723"/>
      <c r="D774" s="684"/>
      <c r="E774" s="723" t="s">
        <v>184</v>
      </c>
      <c r="F774" s="723"/>
      <c r="G774" s="567"/>
      <c r="H774" s="165" t="s">
        <v>12</v>
      </c>
      <c r="I774" s="583"/>
      <c r="J774" s="583"/>
      <c r="K774" s="93"/>
      <c r="L774" s="93">
        <v>0</v>
      </c>
      <c r="M774" s="93">
        <v>0</v>
      </c>
      <c r="N774" s="93">
        <v>0</v>
      </c>
      <c r="O774" s="93">
        <f t="shared" si="310"/>
        <v>0</v>
      </c>
      <c r="P774" s="93">
        <f t="shared" si="311"/>
        <v>0</v>
      </c>
      <c r="Q774" s="568"/>
      <c r="R774" s="568"/>
      <c r="S774" s="568"/>
      <c r="T774" s="568"/>
      <c r="U774" s="568"/>
      <c r="V774" s="568"/>
      <c r="W774" s="568"/>
      <c r="X774" s="568"/>
      <c r="Y774" s="568"/>
      <c r="Z774" s="568"/>
    </row>
    <row r="775" spans="1:26" ht="18.75" hidden="1">
      <c r="A775" s="563"/>
      <c r="B775" s="571"/>
      <c r="C775" s="723"/>
      <c r="D775" s="684"/>
      <c r="E775" s="723" t="s">
        <v>185</v>
      </c>
      <c r="F775" s="723"/>
      <c r="G775" s="567"/>
      <c r="H775" s="165" t="s">
        <v>12</v>
      </c>
      <c r="I775" s="583"/>
      <c r="J775" s="583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0"/>
        <v>0</v>
      </c>
      <c r="P775" s="93">
        <f t="shared" si="311"/>
        <v>0</v>
      </c>
      <c r="Q775" s="568"/>
      <c r="R775" s="568"/>
      <c r="S775" s="568"/>
      <c r="T775" s="568"/>
      <c r="U775" s="568"/>
      <c r="V775" s="568"/>
      <c r="W775" s="568"/>
      <c r="X775" s="568"/>
      <c r="Y775" s="568"/>
      <c r="Z775" s="568"/>
    </row>
    <row r="776" spans="1:26" ht="18.75" hidden="1">
      <c r="A776" s="615"/>
      <c r="B776" s="571"/>
      <c r="C776" s="723"/>
      <c r="D776" s="723"/>
      <c r="E776" s="723"/>
      <c r="F776" s="723" t="s">
        <v>186</v>
      </c>
      <c r="G776" s="567"/>
      <c r="H776" s="165" t="s">
        <v>12</v>
      </c>
      <c r="I776" s="583"/>
      <c r="J776" s="583"/>
      <c r="K776" s="93"/>
      <c r="L776" s="93"/>
      <c r="M776" s="93"/>
      <c r="N776" s="93"/>
      <c r="O776" s="93"/>
      <c r="P776" s="93"/>
      <c r="Q776" s="568"/>
      <c r="R776" s="568"/>
      <c r="S776" s="568"/>
      <c r="T776" s="568"/>
      <c r="U776" s="568"/>
      <c r="V776" s="568"/>
      <c r="W776" s="568"/>
      <c r="X776" s="568"/>
      <c r="Y776" s="568"/>
      <c r="Z776" s="568"/>
    </row>
    <row r="777" spans="1:26" ht="18.75" hidden="1">
      <c r="A777" s="615"/>
      <c r="B777" s="571"/>
      <c r="C777" s="723"/>
      <c r="D777" s="723"/>
      <c r="E777" s="723"/>
      <c r="F777" s="723" t="s">
        <v>187</v>
      </c>
      <c r="G777" s="567"/>
      <c r="H777" s="165" t="s">
        <v>12</v>
      </c>
      <c r="I777" s="583"/>
      <c r="J777" s="583"/>
      <c r="K777" s="93"/>
      <c r="L777" s="93"/>
      <c r="M777" s="93"/>
      <c r="N777" s="93"/>
      <c r="O777" s="93"/>
      <c r="P777" s="93"/>
      <c r="Q777" s="568"/>
      <c r="R777" s="568"/>
      <c r="S777" s="568"/>
      <c r="T777" s="568"/>
      <c r="U777" s="568"/>
      <c r="V777" s="568"/>
      <c r="W777" s="568"/>
      <c r="X777" s="568"/>
      <c r="Y777" s="568"/>
      <c r="Z777" s="568"/>
    </row>
    <row r="778" spans="1:26" ht="18.75" hidden="1">
      <c r="A778" s="615"/>
      <c r="B778" s="571"/>
      <c r="C778" s="723"/>
      <c r="D778" s="723"/>
      <c r="E778" s="723"/>
      <c r="F778" s="723" t="s">
        <v>188</v>
      </c>
      <c r="G778" s="567"/>
      <c r="H778" s="165" t="s">
        <v>12</v>
      </c>
      <c r="I778" s="583"/>
      <c r="J778" s="583"/>
      <c r="K778" s="93"/>
      <c r="L778" s="93"/>
      <c r="M778" s="93"/>
      <c r="N778" s="93"/>
      <c r="O778" s="93"/>
      <c r="P778" s="93"/>
      <c r="Q778" s="568"/>
      <c r="R778" s="568"/>
      <c r="S778" s="568"/>
      <c r="T778" s="568"/>
      <c r="U778" s="568"/>
      <c r="V778" s="568"/>
      <c r="W778" s="568"/>
      <c r="X778" s="568"/>
      <c r="Y778" s="568"/>
      <c r="Z778" s="568"/>
    </row>
    <row r="779" spans="1:26" ht="18.75" hidden="1">
      <c r="A779" s="615"/>
      <c r="B779" s="571"/>
      <c r="C779" s="723"/>
      <c r="D779" s="723"/>
      <c r="E779" s="723"/>
      <c r="F779" s="723" t="s">
        <v>189</v>
      </c>
      <c r="G779" s="567"/>
      <c r="H779" s="165" t="s">
        <v>12</v>
      </c>
      <c r="I779" s="583"/>
      <c r="J779" s="583"/>
      <c r="K779" s="93"/>
      <c r="L779" s="93"/>
      <c r="M779" s="93"/>
      <c r="N779" s="93"/>
      <c r="O779" s="93"/>
      <c r="P779" s="93"/>
      <c r="Q779" s="568"/>
      <c r="R779" s="568"/>
      <c r="S779" s="568"/>
      <c r="T779" s="568"/>
      <c r="U779" s="568"/>
      <c r="V779" s="568"/>
      <c r="W779" s="568"/>
      <c r="X779" s="568"/>
      <c r="Y779" s="568"/>
      <c r="Z779" s="568"/>
    </row>
    <row r="780" spans="1:26" ht="19.5" hidden="1">
      <c r="A780" s="563"/>
      <c r="B780" s="571"/>
      <c r="C780" s="723"/>
      <c r="D780" s="611" t="s">
        <v>21</v>
      </c>
      <c r="E780" s="723"/>
      <c r="F780" s="723"/>
      <c r="G780" s="567"/>
      <c r="H780" s="747" t="s">
        <v>12</v>
      </c>
      <c r="I780" s="166"/>
      <c r="J780" s="166"/>
      <c r="K780" s="167"/>
      <c r="L780" s="613">
        <f t="shared" ref="L780:N780" si="314">L781+L782</f>
        <v>0</v>
      </c>
      <c r="M780" s="613">
        <f t="shared" si="314"/>
        <v>0</v>
      </c>
      <c r="N780" s="613">
        <f t="shared" si="314"/>
        <v>0</v>
      </c>
      <c r="O780" s="613">
        <f t="shared" ref="O780:O782" si="315">IF(L780&gt;0,N780*100/L780,0)</f>
        <v>0</v>
      </c>
      <c r="P780" s="613">
        <f t="shared" ref="P780:P782" si="316">IF(M780&gt;0,N780*100/M780,0)</f>
        <v>0</v>
      </c>
      <c r="Q780" s="568"/>
      <c r="R780" s="568"/>
      <c r="S780" s="568"/>
      <c r="T780" s="568"/>
      <c r="U780" s="568"/>
      <c r="V780" s="568"/>
      <c r="W780" s="568"/>
      <c r="X780" s="568"/>
      <c r="Y780" s="568"/>
      <c r="Z780" s="568"/>
    </row>
    <row r="781" spans="1:26" ht="18.75" hidden="1">
      <c r="A781" s="563"/>
      <c r="B781" s="571"/>
      <c r="C781" s="723"/>
      <c r="D781" s="723"/>
      <c r="E781" s="723" t="s">
        <v>18</v>
      </c>
      <c r="F781" s="723"/>
      <c r="G781" s="567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5"/>
        <v>0</v>
      </c>
      <c r="P781" s="93">
        <f t="shared" si="316"/>
        <v>0</v>
      </c>
      <c r="Q781" s="568"/>
      <c r="R781" s="568"/>
      <c r="S781" s="568"/>
      <c r="T781" s="568"/>
      <c r="U781" s="568"/>
      <c r="V781" s="568"/>
      <c r="W781" s="568"/>
      <c r="X781" s="568"/>
      <c r="Y781" s="568"/>
      <c r="Z781" s="568"/>
    </row>
    <row r="782" spans="1:26" ht="18.75" hidden="1">
      <c r="A782" s="563"/>
      <c r="B782" s="571"/>
      <c r="C782" s="723"/>
      <c r="D782" s="723"/>
      <c r="E782" s="723" t="s">
        <v>19</v>
      </c>
      <c r="F782" s="723"/>
      <c r="G782" s="567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5"/>
        <v>0</v>
      </c>
      <c r="P782" s="93">
        <f t="shared" si="316"/>
        <v>0</v>
      </c>
      <c r="Q782" s="568"/>
      <c r="R782" s="568"/>
      <c r="S782" s="568"/>
      <c r="T782" s="568"/>
      <c r="U782" s="568"/>
      <c r="V782" s="568"/>
      <c r="W782" s="568"/>
      <c r="X782" s="568"/>
      <c r="Y782" s="568"/>
      <c r="Z782" s="568"/>
    </row>
    <row r="783" spans="1:26" ht="19.5" hidden="1">
      <c r="A783" s="578"/>
      <c r="B783" s="580"/>
      <c r="C783" s="723" t="s">
        <v>16</v>
      </c>
      <c r="D783" s="856" t="s">
        <v>38</v>
      </c>
      <c r="E783" s="617"/>
      <c r="F783" s="617"/>
      <c r="G783" s="618"/>
      <c r="H783" s="765"/>
      <c r="I783" s="166"/>
      <c r="J783" s="166"/>
      <c r="K783" s="167"/>
      <c r="L783" s="167"/>
      <c r="M783" s="167"/>
      <c r="N783" s="167"/>
      <c r="O783" s="167"/>
      <c r="P783" s="167"/>
      <c r="Q783" s="568"/>
      <c r="R783" s="568"/>
      <c r="S783" s="568"/>
      <c r="T783" s="568"/>
      <c r="U783" s="568"/>
      <c r="V783" s="568"/>
      <c r="W783" s="568"/>
      <c r="X783" s="568"/>
      <c r="Y783" s="568"/>
      <c r="Z783" s="568"/>
    </row>
    <row r="784" spans="1:26" ht="18.75" hidden="1">
      <c r="A784" s="615"/>
      <c r="B784" s="571"/>
      <c r="C784" s="723"/>
      <c r="D784" s="723"/>
      <c r="E784" s="723" t="s">
        <v>318</v>
      </c>
      <c r="F784" s="723"/>
      <c r="G784" s="567"/>
      <c r="H784" s="165" t="s">
        <v>46</v>
      </c>
      <c r="I784" s="583"/>
      <c r="J784" s="583"/>
      <c r="K784" s="93"/>
      <c r="L784" s="93"/>
      <c r="M784" s="93"/>
      <c r="N784" s="93"/>
      <c r="O784" s="93"/>
      <c r="P784" s="93"/>
      <c r="Q784" s="568"/>
      <c r="R784" s="568"/>
      <c r="S784" s="568"/>
      <c r="T784" s="568"/>
      <c r="U784" s="568"/>
      <c r="V784" s="568"/>
      <c r="W784" s="568"/>
      <c r="X784" s="568"/>
      <c r="Y784" s="568"/>
      <c r="Z784" s="568"/>
    </row>
    <row r="785" spans="1:26" ht="19.5" hidden="1">
      <c r="A785" s="766">
        <v>12</v>
      </c>
      <c r="B785" s="767" t="s">
        <v>319</v>
      </c>
      <c r="C785" s="768"/>
      <c r="D785" s="768"/>
      <c r="E785" s="768"/>
      <c r="F785" s="768"/>
      <c r="G785" s="769"/>
      <c r="H785" s="770" t="s">
        <v>46</v>
      </c>
      <c r="I785" s="860">
        <f t="shared" ref="I785:J785" ca="1" si="317">I800</f>
        <v>0</v>
      </c>
      <c r="J785" s="771">
        <f t="shared" ca="1" si="317"/>
        <v>0</v>
      </c>
      <c r="K785" s="772">
        <f ca="1">IF(I785&gt;0,J785*100/I785,0)</f>
        <v>0</v>
      </c>
      <c r="L785" s="773"/>
      <c r="M785" s="773"/>
      <c r="N785" s="773"/>
      <c r="O785" s="773"/>
      <c r="P785" s="773"/>
      <c r="Q785" s="541"/>
      <c r="R785" s="541"/>
      <c r="S785" s="541"/>
      <c r="T785" s="541"/>
      <c r="U785" s="541"/>
      <c r="V785" s="541"/>
      <c r="W785" s="541"/>
      <c r="X785" s="541"/>
      <c r="Y785" s="541"/>
      <c r="Z785" s="541"/>
    </row>
    <row r="786" spans="1:26" ht="19.5" hidden="1">
      <c r="A786" s="561"/>
      <c r="B786" s="538"/>
      <c r="C786" s="727" t="s">
        <v>16</v>
      </c>
      <c r="D786" s="811" t="s">
        <v>17</v>
      </c>
      <c r="E786" s="805"/>
      <c r="F786" s="805"/>
      <c r="G786" s="189"/>
      <c r="H786" s="562" t="s">
        <v>12</v>
      </c>
      <c r="I786" s="269"/>
      <c r="J786" s="269"/>
      <c r="K786" s="465"/>
      <c r="L786" s="195">
        <f t="shared" ref="L786:N786" ca="1" si="318">L787+L788</f>
        <v>0</v>
      </c>
      <c r="M786" s="195">
        <f t="shared" si="318"/>
        <v>0</v>
      </c>
      <c r="N786" s="195">
        <f t="shared" si="318"/>
        <v>0</v>
      </c>
      <c r="O786" s="195">
        <f t="shared" ref="O786:O791" ca="1" si="319">IF(L786&gt;0,N786*100/L786,0)</f>
        <v>0</v>
      </c>
      <c r="P786" s="195">
        <f t="shared" ref="P786:P791" si="320">IF(M786&gt;0,N786*100/M786,0)</f>
        <v>0</v>
      </c>
      <c r="Q786" s="541"/>
      <c r="R786" s="541"/>
      <c r="S786" s="541"/>
      <c r="T786" s="541"/>
      <c r="U786" s="541"/>
      <c r="V786" s="541"/>
      <c r="W786" s="541"/>
      <c r="X786" s="541"/>
      <c r="Y786" s="541"/>
      <c r="Z786" s="541"/>
    </row>
    <row r="787" spans="1:26" ht="18.75" hidden="1">
      <c r="A787" s="563"/>
      <c r="B787" s="571"/>
      <c r="C787" s="723"/>
      <c r="D787" s="684"/>
      <c r="E787" s="723" t="s">
        <v>184</v>
      </c>
      <c r="F787" s="723"/>
      <c r="G787" s="567"/>
      <c r="H787" s="165" t="s">
        <v>12</v>
      </c>
      <c r="I787" s="583"/>
      <c r="J787" s="583"/>
      <c r="K787" s="93"/>
      <c r="L787" s="93">
        <f t="shared" ref="L787:N788" si="321">L790+L797</f>
        <v>0</v>
      </c>
      <c r="M787" s="93">
        <f t="shared" si="321"/>
        <v>0</v>
      </c>
      <c r="N787" s="93">
        <f t="shared" si="321"/>
        <v>0</v>
      </c>
      <c r="O787" s="93">
        <f t="shared" si="319"/>
        <v>0</v>
      </c>
      <c r="P787" s="93">
        <f t="shared" si="320"/>
        <v>0</v>
      </c>
      <c r="Q787" s="568"/>
      <c r="R787" s="568"/>
      <c r="S787" s="568"/>
      <c r="T787" s="568"/>
      <c r="U787" s="568"/>
      <c r="V787" s="568"/>
      <c r="W787" s="568"/>
      <c r="X787" s="568"/>
      <c r="Y787" s="568"/>
      <c r="Z787" s="568"/>
    </row>
    <row r="788" spans="1:26" ht="18.75" hidden="1">
      <c r="A788" s="563"/>
      <c r="B788" s="571"/>
      <c r="C788" s="571"/>
      <c r="D788" s="580"/>
      <c r="E788" s="723" t="s">
        <v>185</v>
      </c>
      <c r="F788" s="723"/>
      <c r="G788" s="567"/>
      <c r="H788" s="165" t="s">
        <v>12</v>
      </c>
      <c r="I788" s="583"/>
      <c r="J788" s="583"/>
      <c r="K788" s="93"/>
      <c r="L788" s="93">
        <f t="shared" ca="1" si="321"/>
        <v>0</v>
      </c>
      <c r="M788" s="93">
        <f t="shared" si="321"/>
        <v>0</v>
      </c>
      <c r="N788" s="93">
        <f t="shared" si="321"/>
        <v>0</v>
      </c>
      <c r="O788" s="93">
        <f t="shared" ca="1" si="319"/>
        <v>0</v>
      </c>
      <c r="P788" s="93">
        <f t="shared" si="320"/>
        <v>0</v>
      </c>
      <c r="Q788" s="568"/>
      <c r="R788" s="568"/>
      <c r="S788" s="568"/>
      <c r="T788" s="568"/>
      <c r="U788" s="568"/>
      <c r="V788" s="568"/>
      <c r="W788" s="568"/>
      <c r="X788" s="568"/>
      <c r="Y788" s="568"/>
      <c r="Z788" s="568"/>
    </row>
    <row r="789" spans="1:26" ht="18.75" hidden="1">
      <c r="A789" s="561"/>
      <c r="B789" s="538"/>
      <c r="C789" s="538"/>
      <c r="D789" s="570" t="s">
        <v>20</v>
      </c>
      <c r="E789" s="727"/>
      <c r="F789" s="727"/>
      <c r="G789" s="189"/>
      <c r="H789" s="161" t="s">
        <v>12</v>
      </c>
      <c r="I789" s="184"/>
      <c r="J789" s="184"/>
      <c r="K789" s="163"/>
      <c r="L789" s="465">
        <f t="shared" ref="L789:N789" ca="1" si="322">L790+L791</f>
        <v>0</v>
      </c>
      <c r="M789" s="465">
        <f t="shared" si="322"/>
        <v>0</v>
      </c>
      <c r="N789" s="465">
        <f t="shared" si="322"/>
        <v>0</v>
      </c>
      <c r="O789" s="465">
        <f t="shared" ca="1" si="319"/>
        <v>0</v>
      </c>
      <c r="P789" s="465">
        <f t="shared" si="320"/>
        <v>0</v>
      </c>
      <c r="Q789" s="541"/>
      <c r="R789" s="541"/>
      <c r="S789" s="541"/>
      <c r="T789" s="541"/>
      <c r="U789" s="541"/>
      <c r="V789" s="541"/>
      <c r="W789" s="541"/>
      <c r="X789" s="541"/>
      <c r="Y789" s="541"/>
      <c r="Z789" s="541"/>
    </row>
    <row r="790" spans="1:26" ht="18.75" hidden="1">
      <c r="A790" s="563"/>
      <c r="B790" s="571"/>
      <c r="C790" s="571"/>
      <c r="D790" s="580"/>
      <c r="E790" s="723" t="s">
        <v>184</v>
      </c>
      <c r="F790" s="723"/>
      <c r="G790" s="567"/>
      <c r="H790" s="165" t="s">
        <v>12</v>
      </c>
      <c r="I790" s="583"/>
      <c r="J790" s="583"/>
      <c r="K790" s="93"/>
      <c r="L790" s="93">
        <v>0</v>
      </c>
      <c r="M790" s="93">
        <v>0</v>
      </c>
      <c r="N790" s="93">
        <v>0</v>
      </c>
      <c r="O790" s="93">
        <f t="shared" si="319"/>
        <v>0</v>
      </c>
      <c r="P790" s="93">
        <f t="shared" si="320"/>
        <v>0</v>
      </c>
      <c r="Q790" s="568"/>
      <c r="R790" s="568"/>
      <c r="S790" s="568"/>
      <c r="T790" s="568"/>
      <c r="U790" s="568"/>
      <c r="V790" s="568"/>
      <c r="W790" s="568"/>
      <c r="X790" s="568"/>
      <c r="Y790" s="568"/>
      <c r="Z790" s="568"/>
    </row>
    <row r="791" spans="1:26" ht="18.75" hidden="1">
      <c r="A791" s="563"/>
      <c r="B791" s="571"/>
      <c r="C791" s="571"/>
      <c r="D791" s="580"/>
      <c r="E791" s="723" t="s">
        <v>185</v>
      </c>
      <c r="F791" s="723"/>
      <c r="G791" s="567"/>
      <c r="H791" s="165" t="s">
        <v>12</v>
      </c>
      <c r="I791" s="583"/>
      <c r="J791" s="583"/>
      <c r="K791" s="93"/>
      <c r="L791" s="93">
        <f ca="1">IFERROR(__xludf.DUMMYFUNCTION("IMPORTRANGE(""https://docs.google.com/spreadsheets/d/1QqKyyYR6Q21VydFLVH3TRQUabQu_ym0Zz7PgGX0-kHA/edit?usp=sharing"",""แผน!JJ30"")"),0)</f>
        <v>0</v>
      </c>
      <c r="M791" s="93">
        <v>0</v>
      </c>
      <c r="N791" s="93">
        <f>N792+N793+N794+N795</f>
        <v>0</v>
      </c>
      <c r="O791" s="93">
        <f t="shared" ca="1" si="319"/>
        <v>0</v>
      </c>
      <c r="P791" s="93">
        <f t="shared" si="320"/>
        <v>0</v>
      </c>
      <c r="Q791" s="568"/>
      <c r="R791" s="568"/>
      <c r="S791" s="568"/>
      <c r="T791" s="568"/>
      <c r="U791" s="568"/>
      <c r="V791" s="568"/>
      <c r="W791" s="568"/>
      <c r="X791" s="568"/>
      <c r="Y791" s="568"/>
      <c r="Z791" s="568"/>
    </row>
    <row r="792" spans="1:26" ht="18.75" hidden="1">
      <c r="A792" s="537"/>
      <c r="B792" s="538"/>
      <c r="C792" s="727"/>
      <c r="D792" s="727"/>
      <c r="E792" s="727"/>
      <c r="F792" s="727" t="s">
        <v>186</v>
      </c>
      <c r="G792" s="189"/>
      <c r="H792" s="161" t="s">
        <v>12</v>
      </c>
      <c r="I792" s="269"/>
      <c r="J792" s="269"/>
      <c r="K792" s="465"/>
      <c r="L792" s="465"/>
      <c r="M792" s="465"/>
      <c r="N792" s="789">
        <v>0</v>
      </c>
      <c r="O792" s="465"/>
      <c r="P792" s="465"/>
      <c r="Q792" s="541"/>
      <c r="R792" s="541"/>
      <c r="S792" s="541"/>
      <c r="T792" s="541"/>
      <c r="U792" s="541"/>
      <c r="V792" s="541"/>
      <c r="W792" s="541"/>
      <c r="X792" s="541"/>
      <c r="Y792" s="541"/>
      <c r="Z792" s="541"/>
    </row>
    <row r="793" spans="1:26" ht="18.75" hidden="1">
      <c r="A793" s="537"/>
      <c r="B793" s="538"/>
      <c r="C793" s="727"/>
      <c r="D793" s="727"/>
      <c r="E793" s="727"/>
      <c r="F793" s="727" t="s">
        <v>187</v>
      </c>
      <c r="G793" s="189"/>
      <c r="H793" s="161" t="s">
        <v>12</v>
      </c>
      <c r="I793" s="269"/>
      <c r="J793" s="269"/>
      <c r="K793" s="465"/>
      <c r="L793" s="465"/>
      <c r="M793" s="465"/>
      <c r="N793" s="789">
        <v>0</v>
      </c>
      <c r="O793" s="465"/>
      <c r="P793" s="465"/>
      <c r="Q793" s="541"/>
      <c r="R793" s="541"/>
      <c r="S793" s="541"/>
      <c r="T793" s="541"/>
      <c r="U793" s="541"/>
      <c r="V793" s="541"/>
      <c r="W793" s="541"/>
      <c r="X793" s="541"/>
      <c r="Y793" s="541"/>
      <c r="Z793" s="541"/>
    </row>
    <row r="794" spans="1:26" ht="18.75" hidden="1">
      <c r="A794" s="537"/>
      <c r="B794" s="538"/>
      <c r="C794" s="727"/>
      <c r="D794" s="727"/>
      <c r="E794" s="727"/>
      <c r="F794" s="727" t="s">
        <v>188</v>
      </c>
      <c r="G794" s="189"/>
      <c r="H794" s="161" t="s">
        <v>12</v>
      </c>
      <c r="I794" s="269"/>
      <c r="J794" s="269"/>
      <c r="K794" s="465"/>
      <c r="L794" s="465"/>
      <c r="M794" s="465"/>
      <c r="N794" s="789">
        <v>0</v>
      </c>
      <c r="O794" s="465"/>
      <c r="P794" s="465"/>
      <c r="Q794" s="541"/>
      <c r="R794" s="541"/>
      <c r="S794" s="541"/>
      <c r="T794" s="541"/>
      <c r="U794" s="541"/>
      <c r="V794" s="541"/>
      <c r="W794" s="541"/>
      <c r="X794" s="541"/>
      <c r="Y794" s="541"/>
      <c r="Z794" s="541"/>
    </row>
    <row r="795" spans="1:26" ht="18.75" hidden="1">
      <c r="A795" s="537"/>
      <c r="B795" s="538"/>
      <c r="C795" s="727"/>
      <c r="D795" s="727"/>
      <c r="E795" s="727"/>
      <c r="F795" s="727" t="s">
        <v>189</v>
      </c>
      <c r="G795" s="189"/>
      <c r="H795" s="161" t="s">
        <v>12</v>
      </c>
      <c r="I795" s="269"/>
      <c r="J795" s="269"/>
      <c r="K795" s="465"/>
      <c r="L795" s="465"/>
      <c r="M795" s="465"/>
      <c r="N795" s="789">
        <v>0</v>
      </c>
      <c r="O795" s="465"/>
      <c r="P795" s="465"/>
      <c r="Q795" s="541"/>
      <c r="R795" s="541"/>
      <c r="S795" s="541"/>
      <c r="T795" s="541"/>
      <c r="U795" s="541"/>
      <c r="V795" s="541"/>
      <c r="W795" s="541"/>
      <c r="X795" s="541"/>
      <c r="Y795" s="541"/>
      <c r="Z795" s="541"/>
    </row>
    <row r="796" spans="1:26" ht="18.75" hidden="1">
      <c r="A796" s="561"/>
      <c r="B796" s="538"/>
      <c r="C796" s="727"/>
      <c r="D796" s="570" t="s">
        <v>21</v>
      </c>
      <c r="E796" s="727"/>
      <c r="F796" s="727"/>
      <c r="G796" s="189"/>
      <c r="H796" s="168" t="s">
        <v>12</v>
      </c>
      <c r="I796" s="184"/>
      <c r="J796" s="184"/>
      <c r="K796" s="163"/>
      <c r="L796" s="465">
        <f t="shared" ref="L796:N796" si="323">L797+L798</f>
        <v>0</v>
      </c>
      <c r="M796" s="465">
        <f t="shared" si="323"/>
        <v>0</v>
      </c>
      <c r="N796" s="465">
        <f t="shared" si="323"/>
        <v>0</v>
      </c>
      <c r="O796" s="465">
        <f t="shared" ref="O796:O798" si="324">IF(L796&gt;0,N796*100/L796,0)</f>
        <v>0</v>
      </c>
      <c r="P796" s="465">
        <f t="shared" ref="P796:P798" si="325">IF(M796&gt;0,N796*100/M796,0)</f>
        <v>0</v>
      </c>
      <c r="Q796" s="541"/>
      <c r="R796" s="541"/>
      <c r="S796" s="541"/>
      <c r="T796" s="541"/>
      <c r="U796" s="541"/>
      <c r="V796" s="541"/>
      <c r="W796" s="541"/>
      <c r="X796" s="541"/>
      <c r="Y796" s="541"/>
      <c r="Z796" s="541"/>
    </row>
    <row r="797" spans="1:26" ht="18.75" hidden="1">
      <c r="A797" s="563"/>
      <c r="B797" s="571"/>
      <c r="C797" s="723"/>
      <c r="D797" s="723"/>
      <c r="E797" s="723" t="s">
        <v>18</v>
      </c>
      <c r="F797" s="723"/>
      <c r="G797" s="567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4"/>
        <v>0</v>
      </c>
      <c r="P797" s="93">
        <f t="shared" si="325"/>
        <v>0</v>
      </c>
      <c r="Q797" s="568"/>
      <c r="R797" s="568"/>
      <c r="S797" s="568"/>
      <c r="T797" s="568"/>
      <c r="U797" s="568"/>
      <c r="V797" s="568"/>
      <c r="W797" s="568"/>
      <c r="X797" s="568"/>
      <c r="Y797" s="568"/>
      <c r="Z797" s="568"/>
    </row>
    <row r="798" spans="1:26" ht="18.75" hidden="1">
      <c r="A798" s="563"/>
      <c r="B798" s="571"/>
      <c r="C798" s="723"/>
      <c r="D798" s="723"/>
      <c r="E798" s="723" t="s">
        <v>19</v>
      </c>
      <c r="F798" s="723"/>
      <c r="G798" s="567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4"/>
        <v>0</v>
      </c>
      <c r="P798" s="93">
        <f t="shared" si="325"/>
        <v>0</v>
      </c>
      <c r="Q798" s="568"/>
      <c r="R798" s="568"/>
      <c r="S798" s="568"/>
      <c r="T798" s="568"/>
      <c r="U798" s="568"/>
      <c r="V798" s="568"/>
      <c r="W798" s="568"/>
      <c r="X798" s="568"/>
      <c r="Y798" s="568"/>
      <c r="Z798" s="568"/>
    </row>
    <row r="799" spans="1:26" ht="19.5" hidden="1">
      <c r="A799" s="572"/>
      <c r="B799" s="584"/>
      <c r="C799" s="727" t="s">
        <v>16</v>
      </c>
      <c r="D799" s="855" t="s">
        <v>38</v>
      </c>
      <c r="E799" s="725"/>
      <c r="F799" s="725"/>
      <c r="G799" s="577"/>
      <c r="H799" s="774"/>
      <c r="I799" s="184"/>
      <c r="J799" s="184"/>
      <c r="K799" s="163"/>
      <c r="L799" s="163"/>
      <c r="M799" s="163"/>
      <c r="N799" s="163"/>
      <c r="O799" s="163"/>
      <c r="P799" s="163"/>
      <c r="Q799" s="541"/>
      <c r="R799" s="541"/>
      <c r="S799" s="541"/>
      <c r="T799" s="541"/>
      <c r="U799" s="541"/>
      <c r="V799" s="541"/>
      <c r="W799" s="541"/>
      <c r="X799" s="541"/>
      <c r="Y799" s="541"/>
      <c r="Z799" s="541"/>
    </row>
    <row r="800" spans="1:26" ht="18.75" hidden="1">
      <c r="A800" s="572"/>
      <c r="B800" s="584"/>
      <c r="C800" s="584"/>
      <c r="D800" s="584"/>
      <c r="E800" s="592"/>
      <c r="F800" s="592" t="s">
        <v>320</v>
      </c>
      <c r="G800" s="726"/>
      <c r="H800" s="185" t="s">
        <v>46</v>
      </c>
      <c r="I800" s="184">
        <f ca="1">IFERROR(__xludf.DUMMYFUNCTION("IMPORTRANGE(""https://docs.google.com/spreadsheets/d/1QqKyyYR6Q21VydFLVH3TRQUabQu_ym0Zz7PgGX0-kHA/edit?usp=sharing"",""แผน!JN30"")"),0)</f>
        <v>0</v>
      </c>
      <c r="J800" s="184">
        <f ca="1">IFERROR(__xludf.DUMMYFUNCTION("IMPORTRANGE(""https://docs.google.com/spreadsheets/d/1MaWodYyGHDf7siQLGxnXhG4mBNTNIuy296niS2xXulU/edit?usp=sharing"",""RTK!H30"")"),0)</f>
        <v>0</v>
      </c>
      <c r="K800" s="465">
        <f ca="1">IF(I800&gt;0,J800*100/I800,0)</f>
        <v>0</v>
      </c>
      <c r="L800" s="465"/>
      <c r="M800" s="465"/>
      <c r="N800" s="465"/>
      <c r="O800" s="163"/>
      <c r="P800" s="163"/>
      <c r="Q800" s="541"/>
      <c r="R800" s="541"/>
      <c r="S800" s="541"/>
      <c r="T800" s="541"/>
      <c r="U800" s="541"/>
      <c r="V800" s="541"/>
      <c r="W800" s="541"/>
      <c r="X800" s="541"/>
      <c r="Y800" s="541"/>
      <c r="Z800" s="541"/>
    </row>
    <row r="801" spans="1:26" ht="18.75" hidden="1">
      <c r="A801" s="572"/>
      <c r="B801" s="584"/>
      <c r="C801" s="584"/>
      <c r="D801" s="584"/>
      <c r="E801" s="592"/>
      <c r="F801" s="592"/>
      <c r="G801" s="726"/>
      <c r="H801" s="161" t="s">
        <v>34</v>
      </c>
      <c r="I801" s="184"/>
      <c r="J801" s="269">
        <f ca="1">IFERROR(__xludf.DUMMYFUNCTION("IMPORTRANGE(""https://docs.google.com/spreadsheets/d/1MaWodYyGHDf7siQLGxnXhG4mBNTNIuy296niS2xXulU/edit?usp=sharing"",""RTK!I30"")"),0)</f>
        <v>0</v>
      </c>
      <c r="K801" s="465"/>
      <c r="L801" s="465"/>
      <c r="M801" s="465"/>
      <c r="N801" s="465"/>
      <c r="O801" s="163"/>
      <c r="P801" s="163"/>
      <c r="Q801" s="541"/>
      <c r="R801" s="541"/>
      <c r="S801" s="541"/>
      <c r="T801" s="541"/>
      <c r="U801" s="541"/>
      <c r="V801" s="541"/>
      <c r="W801" s="541"/>
      <c r="X801" s="541"/>
      <c r="Y801" s="541"/>
      <c r="Z801" s="541"/>
    </row>
    <row r="802" spans="1:26" ht="18.75" hidden="1">
      <c r="A802" s="578"/>
      <c r="B802" s="580"/>
      <c r="C802" s="580"/>
      <c r="D802" s="580"/>
      <c r="E802" s="684"/>
      <c r="F802" s="684" t="s">
        <v>321</v>
      </c>
      <c r="G802" s="581"/>
      <c r="H802" s="619" t="s">
        <v>46</v>
      </c>
      <c r="I802" s="166"/>
      <c r="J802" s="583"/>
      <c r="K802" s="167">
        <f>IF(I802&gt;0,J802*100/I802,0)</f>
        <v>0</v>
      </c>
      <c r="L802" s="167"/>
      <c r="M802" s="167"/>
      <c r="N802" s="167"/>
      <c r="O802" s="167"/>
      <c r="P802" s="167"/>
      <c r="Q802" s="568"/>
      <c r="R802" s="568"/>
      <c r="S802" s="568"/>
      <c r="T802" s="568"/>
      <c r="U802" s="568"/>
      <c r="V802" s="568"/>
      <c r="W802" s="568"/>
      <c r="X802" s="568"/>
      <c r="Y802" s="568"/>
      <c r="Z802" s="568"/>
    </row>
    <row r="803" spans="1:26" ht="18.75" hidden="1">
      <c r="A803" s="578"/>
      <c r="B803" s="580"/>
      <c r="C803" s="580"/>
      <c r="D803" s="580"/>
      <c r="E803" s="684"/>
      <c r="F803" s="684"/>
      <c r="G803" s="581"/>
      <c r="H803" s="619" t="s">
        <v>34</v>
      </c>
      <c r="I803" s="166"/>
      <c r="J803" s="583"/>
      <c r="K803" s="167"/>
      <c r="L803" s="167"/>
      <c r="M803" s="167"/>
      <c r="N803" s="167"/>
      <c r="O803" s="167"/>
      <c r="P803" s="167"/>
      <c r="Q803" s="568"/>
      <c r="R803" s="568"/>
      <c r="S803" s="568"/>
      <c r="T803" s="568"/>
      <c r="U803" s="568"/>
      <c r="V803" s="568"/>
      <c r="W803" s="568"/>
      <c r="X803" s="568"/>
      <c r="Y803" s="568"/>
      <c r="Z803" s="568"/>
    </row>
    <row r="804" spans="1:26" ht="19.5" hidden="1">
      <c r="A804" s="757">
        <v>13</v>
      </c>
      <c r="B804" s="758" t="s">
        <v>322</v>
      </c>
      <c r="C804" s="759"/>
      <c r="D804" s="775"/>
      <c r="E804" s="759"/>
      <c r="F804" s="759"/>
      <c r="G804" s="760"/>
      <c r="H804" s="761" t="s">
        <v>46</v>
      </c>
      <c r="I804" s="762"/>
      <c r="J804" s="762">
        <f>J819</f>
        <v>0</v>
      </c>
      <c r="K804" s="763">
        <f>IF(I804&gt;0,J804*100/I804,0)</f>
        <v>0</v>
      </c>
      <c r="L804" s="764"/>
      <c r="M804" s="764"/>
      <c r="N804" s="764"/>
      <c r="O804" s="764"/>
      <c r="P804" s="764"/>
      <c r="Q804" s="568"/>
      <c r="R804" s="568"/>
      <c r="S804" s="568"/>
      <c r="T804" s="568"/>
      <c r="U804" s="568"/>
      <c r="V804" s="568"/>
      <c r="W804" s="568"/>
      <c r="X804" s="568"/>
      <c r="Y804" s="568"/>
      <c r="Z804" s="568"/>
    </row>
    <row r="805" spans="1:26" ht="19.5" hidden="1">
      <c r="A805" s="563"/>
      <c r="B805" s="723"/>
      <c r="C805" s="723" t="s">
        <v>16</v>
      </c>
      <c r="D805" s="812" t="s">
        <v>17</v>
      </c>
      <c r="E805" s="805"/>
      <c r="F805" s="805"/>
      <c r="G805" s="567"/>
      <c r="H805" s="612" t="s">
        <v>12</v>
      </c>
      <c r="I805" s="583"/>
      <c r="J805" s="583"/>
      <c r="K805" s="93"/>
      <c r="L805" s="613">
        <f t="shared" ref="L805:N805" si="326">L806+L807</f>
        <v>0</v>
      </c>
      <c r="M805" s="613">
        <f t="shared" si="326"/>
        <v>0</v>
      </c>
      <c r="N805" s="613">
        <f t="shared" si="326"/>
        <v>0</v>
      </c>
      <c r="O805" s="613">
        <f t="shared" ref="O805:O810" si="327">IF(L805&gt;0,N805*100/L805,0)</f>
        <v>0</v>
      </c>
      <c r="P805" s="613">
        <f t="shared" ref="P805:P810" si="328">IF(M805&gt;0,N805*100/M805,0)</f>
        <v>0</v>
      </c>
      <c r="Q805" s="568"/>
      <c r="R805" s="568"/>
      <c r="S805" s="568"/>
      <c r="T805" s="568"/>
      <c r="U805" s="568"/>
      <c r="V805" s="568"/>
      <c r="W805" s="568"/>
      <c r="X805" s="568"/>
      <c r="Y805" s="568"/>
      <c r="Z805" s="568"/>
    </row>
    <row r="806" spans="1:26" ht="18.75" hidden="1">
      <c r="A806" s="563"/>
      <c r="B806" s="723"/>
      <c r="C806" s="723"/>
      <c r="D806" s="580"/>
      <c r="E806" s="723" t="s">
        <v>184</v>
      </c>
      <c r="F806" s="723"/>
      <c r="G806" s="567"/>
      <c r="H806" s="165" t="s">
        <v>12</v>
      </c>
      <c r="I806" s="583"/>
      <c r="J806" s="583"/>
      <c r="K806" s="93"/>
      <c r="L806" s="93">
        <f t="shared" ref="L806:N807" si="329">L809+L816</f>
        <v>0</v>
      </c>
      <c r="M806" s="93">
        <f t="shared" si="329"/>
        <v>0</v>
      </c>
      <c r="N806" s="93">
        <f t="shared" si="329"/>
        <v>0</v>
      </c>
      <c r="O806" s="93">
        <f t="shared" si="327"/>
        <v>0</v>
      </c>
      <c r="P806" s="93">
        <f t="shared" si="328"/>
        <v>0</v>
      </c>
      <c r="Q806" s="568"/>
      <c r="R806" s="568"/>
      <c r="S806" s="568"/>
      <c r="T806" s="568"/>
      <c r="U806" s="568"/>
      <c r="V806" s="568"/>
      <c r="W806" s="568"/>
      <c r="X806" s="568"/>
      <c r="Y806" s="568"/>
      <c r="Z806" s="568"/>
    </row>
    <row r="807" spans="1:26" ht="18.75" hidden="1">
      <c r="A807" s="563"/>
      <c r="B807" s="723"/>
      <c r="C807" s="723"/>
      <c r="D807" s="580"/>
      <c r="E807" s="723" t="s">
        <v>185</v>
      </c>
      <c r="F807" s="723"/>
      <c r="G807" s="567"/>
      <c r="H807" s="165" t="s">
        <v>12</v>
      </c>
      <c r="I807" s="583"/>
      <c r="J807" s="583"/>
      <c r="K807" s="93"/>
      <c r="L807" s="93">
        <f t="shared" si="329"/>
        <v>0</v>
      </c>
      <c r="M807" s="93">
        <f t="shared" si="329"/>
        <v>0</v>
      </c>
      <c r="N807" s="93">
        <f t="shared" si="329"/>
        <v>0</v>
      </c>
      <c r="O807" s="93">
        <f t="shared" si="327"/>
        <v>0</v>
      </c>
      <c r="P807" s="93">
        <f t="shared" si="328"/>
        <v>0</v>
      </c>
      <c r="Q807" s="568"/>
      <c r="R807" s="568"/>
      <c r="S807" s="568"/>
      <c r="T807" s="568"/>
      <c r="U807" s="568"/>
      <c r="V807" s="568"/>
      <c r="W807" s="568"/>
      <c r="X807" s="568"/>
      <c r="Y807" s="568"/>
      <c r="Z807" s="568"/>
    </row>
    <row r="808" spans="1:26" ht="19.5" hidden="1">
      <c r="A808" s="563"/>
      <c r="B808" s="571"/>
      <c r="C808" s="723"/>
      <c r="D808" s="857" t="s">
        <v>20</v>
      </c>
      <c r="E808" s="805"/>
      <c r="F808" s="805"/>
      <c r="G808" s="567"/>
      <c r="H808" s="612" t="s">
        <v>12</v>
      </c>
      <c r="I808" s="166"/>
      <c r="J808" s="166"/>
      <c r="K808" s="167"/>
      <c r="L808" s="613">
        <f t="shared" ref="L808:N808" si="330">L809+L810</f>
        <v>0</v>
      </c>
      <c r="M808" s="613">
        <f t="shared" si="330"/>
        <v>0</v>
      </c>
      <c r="N808" s="613">
        <f t="shared" si="330"/>
        <v>0</v>
      </c>
      <c r="O808" s="613">
        <f t="shared" si="327"/>
        <v>0</v>
      </c>
      <c r="P808" s="613">
        <f t="shared" si="328"/>
        <v>0</v>
      </c>
      <c r="Q808" s="568"/>
      <c r="R808" s="568"/>
      <c r="S808" s="568"/>
      <c r="T808" s="568"/>
      <c r="U808" s="568"/>
      <c r="V808" s="568"/>
      <c r="W808" s="568"/>
      <c r="X808" s="568"/>
      <c r="Y808" s="568"/>
      <c r="Z808" s="568"/>
    </row>
    <row r="809" spans="1:26" ht="18.75" hidden="1">
      <c r="A809" s="563"/>
      <c r="B809" s="723"/>
      <c r="C809" s="723"/>
      <c r="D809" s="580"/>
      <c r="E809" s="723" t="s">
        <v>184</v>
      </c>
      <c r="F809" s="723"/>
      <c r="G809" s="567"/>
      <c r="H809" s="165" t="s">
        <v>12</v>
      </c>
      <c r="I809" s="583"/>
      <c r="J809" s="583"/>
      <c r="K809" s="93"/>
      <c r="L809" s="93">
        <v>0</v>
      </c>
      <c r="M809" s="93">
        <v>0</v>
      </c>
      <c r="N809" s="93">
        <v>0</v>
      </c>
      <c r="O809" s="93">
        <f t="shared" si="327"/>
        <v>0</v>
      </c>
      <c r="P809" s="93">
        <f t="shared" si="328"/>
        <v>0</v>
      </c>
      <c r="Q809" s="568"/>
      <c r="R809" s="568"/>
      <c r="S809" s="568"/>
      <c r="T809" s="568"/>
      <c r="U809" s="568"/>
      <c r="V809" s="568"/>
      <c r="W809" s="568"/>
      <c r="X809" s="568"/>
      <c r="Y809" s="568"/>
      <c r="Z809" s="568"/>
    </row>
    <row r="810" spans="1:26" ht="18.75" hidden="1">
      <c r="A810" s="563"/>
      <c r="B810" s="723"/>
      <c r="C810" s="723"/>
      <c r="D810" s="580"/>
      <c r="E810" s="723" t="s">
        <v>185</v>
      </c>
      <c r="F810" s="723"/>
      <c r="G810" s="567"/>
      <c r="H810" s="165" t="s">
        <v>12</v>
      </c>
      <c r="I810" s="583"/>
      <c r="J810" s="583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7"/>
        <v>0</v>
      </c>
      <c r="P810" s="93">
        <f t="shared" si="328"/>
        <v>0</v>
      </c>
      <c r="Q810" s="568"/>
      <c r="R810" s="568"/>
      <c r="S810" s="568"/>
      <c r="T810" s="568"/>
      <c r="U810" s="568"/>
      <c r="V810" s="568"/>
      <c r="W810" s="568"/>
      <c r="X810" s="568"/>
      <c r="Y810" s="568"/>
      <c r="Z810" s="568"/>
    </row>
    <row r="811" spans="1:26" ht="18.75" hidden="1">
      <c r="A811" s="615"/>
      <c r="B811" s="571"/>
      <c r="C811" s="723"/>
      <c r="D811" s="571"/>
      <c r="E811" s="723"/>
      <c r="F811" s="723" t="s">
        <v>186</v>
      </c>
      <c r="G811" s="567"/>
      <c r="H811" s="165" t="s">
        <v>12</v>
      </c>
      <c r="I811" s="583"/>
      <c r="J811" s="583"/>
      <c r="K811" s="93"/>
      <c r="L811" s="93"/>
      <c r="M811" s="93"/>
      <c r="N811" s="93"/>
      <c r="O811" s="93"/>
      <c r="P811" s="93"/>
      <c r="Q811" s="568"/>
      <c r="R811" s="568"/>
      <c r="S811" s="568"/>
      <c r="T811" s="568"/>
      <c r="U811" s="568"/>
      <c r="V811" s="568"/>
      <c r="W811" s="568"/>
      <c r="X811" s="568"/>
      <c r="Y811" s="568"/>
      <c r="Z811" s="568"/>
    </row>
    <row r="812" spans="1:26" ht="18.75" hidden="1">
      <c r="A812" s="615"/>
      <c r="B812" s="571"/>
      <c r="C812" s="723"/>
      <c r="D812" s="571"/>
      <c r="E812" s="723"/>
      <c r="F812" s="723" t="s">
        <v>187</v>
      </c>
      <c r="G812" s="567"/>
      <c r="H812" s="165" t="s">
        <v>12</v>
      </c>
      <c r="I812" s="583"/>
      <c r="J812" s="583"/>
      <c r="K812" s="93"/>
      <c r="L812" s="93"/>
      <c r="M812" s="93"/>
      <c r="N812" s="93"/>
      <c r="O812" s="93"/>
      <c r="P812" s="93"/>
      <c r="Q812" s="568"/>
      <c r="R812" s="568"/>
      <c r="S812" s="568"/>
      <c r="T812" s="568"/>
      <c r="U812" s="568"/>
      <c r="V812" s="568"/>
      <c r="W812" s="568"/>
      <c r="X812" s="568"/>
      <c r="Y812" s="568"/>
      <c r="Z812" s="568"/>
    </row>
    <row r="813" spans="1:26" ht="18.75" hidden="1">
      <c r="A813" s="615"/>
      <c r="B813" s="571"/>
      <c r="C813" s="723"/>
      <c r="D813" s="571"/>
      <c r="E813" s="723"/>
      <c r="F813" s="723" t="s">
        <v>188</v>
      </c>
      <c r="G813" s="567"/>
      <c r="H813" s="165" t="s">
        <v>12</v>
      </c>
      <c r="I813" s="583"/>
      <c r="J813" s="583"/>
      <c r="K813" s="93"/>
      <c r="L813" s="93"/>
      <c r="M813" s="93"/>
      <c r="N813" s="93"/>
      <c r="O813" s="93"/>
      <c r="P813" s="93"/>
      <c r="Q813" s="568"/>
      <c r="R813" s="568"/>
      <c r="S813" s="568"/>
      <c r="T813" s="568"/>
      <c r="U813" s="568"/>
      <c r="V813" s="568"/>
      <c r="W813" s="568"/>
      <c r="X813" s="568"/>
      <c r="Y813" s="568"/>
      <c r="Z813" s="568"/>
    </row>
    <row r="814" spans="1:26" ht="18.75" hidden="1">
      <c r="A814" s="615"/>
      <c r="B814" s="571"/>
      <c r="C814" s="723"/>
      <c r="D814" s="571"/>
      <c r="E814" s="723"/>
      <c r="F814" s="723" t="s">
        <v>189</v>
      </c>
      <c r="G814" s="567"/>
      <c r="H814" s="165" t="s">
        <v>12</v>
      </c>
      <c r="I814" s="583"/>
      <c r="J814" s="583"/>
      <c r="K814" s="93"/>
      <c r="L814" s="93"/>
      <c r="M814" s="93"/>
      <c r="N814" s="93"/>
      <c r="O814" s="93"/>
      <c r="P814" s="93"/>
      <c r="Q814" s="568"/>
      <c r="R814" s="568"/>
      <c r="S814" s="568"/>
      <c r="T814" s="568"/>
      <c r="U814" s="568"/>
      <c r="V814" s="568"/>
      <c r="W814" s="568"/>
      <c r="X814" s="568"/>
      <c r="Y814" s="568"/>
      <c r="Z814" s="568"/>
    </row>
    <row r="815" spans="1:26" ht="19.5" hidden="1">
      <c r="A815" s="563"/>
      <c r="B815" s="571"/>
      <c r="C815" s="723"/>
      <c r="D815" s="857" t="s">
        <v>21</v>
      </c>
      <c r="E815" s="805"/>
      <c r="F815" s="805"/>
      <c r="G815" s="567"/>
      <c r="H815" s="747" t="s">
        <v>12</v>
      </c>
      <c r="I815" s="166"/>
      <c r="J815" s="166"/>
      <c r="K815" s="167"/>
      <c r="L815" s="613">
        <f t="shared" ref="L815:N815" si="331">L816+L817</f>
        <v>0</v>
      </c>
      <c r="M815" s="613">
        <f t="shared" si="331"/>
        <v>0</v>
      </c>
      <c r="N815" s="613">
        <f t="shared" si="331"/>
        <v>0</v>
      </c>
      <c r="O815" s="613">
        <f t="shared" ref="O815:O817" si="332">IF(L815&gt;0,N815*100/L815,0)</f>
        <v>0</v>
      </c>
      <c r="P815" s="613">
        <f t="shared" ref="P815:P817" si="333">IF(M815&gt;0,N815*100/M815,0)</f>
        <v>0</v>
      </c>
      <c r="Q815" s="568"/>
      <c r="R815" s="568"/>
      <c r="S815" s="568"/>
      <c r="T815" s="568"/>
      <c r="U815" s="568"/>
      <c r="V815" s="568"/>
      <c r="W815" s="568"/>
      <c r="X815" s="568"/>
      <c r="Y815" s="568"/>
      <c r="Z815" s="568"/>
    </row>
    <row r="816" spans="1:26" ht="18.75" hidden="1">
      <c r="A816" s="563"/>
      <c r="B816" s="571"/>
      <c r="C816" s="723"/>
      <c r="D816" s="571"/>
      <c r="E816" s="723" t="s">
        <v>18</v>
      </c>
      <c r="F816" s="723"/>
      <c r="G816" s="567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2"/>
        <v>0</v>
      </c>
      <c r="P816" s="93">
        <f t="shared" si="333"/>
        <v>0</v>
      </c>
      <c r="Q816" s="568"/>
      <c r="R816" s="568"/>
      <c r="S816" s="568"/>
      <c r="T816" s="568"/>
      <c r="U816" s="568"/>
      <c r="V816" s="568"/>
      <c r="W816" s="568"/>
      <c r="X816" s="568"/>
      <c r="Y816" s="568"/>
      <c r="Z816" s="568"/>
    </row>
    <row r="817" spans="1:26" ht="18.75" hidden="1">
      <c r="A817" s="563"/>
      <c r="B817" s="571"/>
      <c r="C817" s="723"/>
      <c r="D817" s="571"/>
      <c r="E817" s="723" t="s">
        <v>19</v>
      </c>
      <c r="F817" s="723"/>
      <c r="G817" s="567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2"/>
        <v>0</v>
      </c>
      <c r="P817" s="93">
        <f t="shared" si="333"/>
        <v>0</v>
      </c>
      <c r="Q817" s="568"/>
      <c r="R817" s="568"/>
      <c r="S817" s="568"/>
      <c r="T817" s="568"/>
      <c r="U817" s="568"/>
      <c r="V817" s="568"/>
      <c r="W817" s="568"/>
      <c r="X817" s="568"/>
      <c r="Y817" s="568"/>
      <c r="Z817" s="568"/>
    </row>
    <row r="818" spans="1:26" ht="19.5" hidden="1">
      <c r="A818" s="578"/>
      <c r="B818" s="580"/>
      <c r="C818" s="723" t="s">
        <v>16</v>
      </c>
      <c r="D818" s="858" t="s">
        <v>38</v>
      </c>
      <c r="E818" s="617"/>
      <c r="F818" s="617"/>
      <c r="G818" s="618"/>
      <c r="H818" s="581"/>
      <c r="I818" s="166"/>
      <c r="J818" s="166"/>
      <c r="K818" s="167"/>
      <c r="L818" s="167"/>
      <c r="M818" s="167"/>
      <c r="N818" s="167"/>
      <c r="O818" s="167"/>
      <c r="P818" s="167"/>
      <c r="Q818" s="568"/>
      <c r="R818" s="568"/>
      <c r="S818" s="568"/>
      <c r="T818" s="568"/>
      <c r="U818" s="568"/>
      <c r="V818" s="568"/>
      <c r="W818" s="568"/>
      <c r="X818" s="568"/>
      <c r="Y818" s="568"/>
      <c r="Z818" s="568"/>
    </row>
    <row r="819" spans="1:26" ht="19.5" hidden="1" thickBot="1">
      <c r="A819" s="777"/>
      <c r="B819" s="778"/>
      <c r="C819" s="780"/>
      <c r="D819" s="778"/>
      <c r="E819" s="780" t="s">
        <v>323</v>
      </c>
      <c r="F819" s="780"/>
      <c r="G819" s="781"/>
      <c r="H819" s="782" t="s">
        <v>46</v>
      </c>
      <c r="I819" s="783"/>
      <c r="J819" s="783"/>
      <c r="K819" s="784"/>
      <c r="L819" s="784"/>
      <c r="M819" s="784"/>
      <c r="N819" s="784"/>
      <c r="O819" s="784"/>
      <c r="P819" s="784"/>
      <c r="Q819" s="568"/>
      <c r="R819" s="568"/>
      <c r="S819" s="568"/>
      <c r="T819" s="568"/>
      <c r="U819" s="568"/>
      <c r="V819" s="568"/>
      <c r="W819" s="568"/>
      <c r="X819" s="568"/>
      <c r="Y819" s="568"/>
      <c r="Z819" s="568"/>
    </row>
    <row r="820" spans="1:26" ht="19.5">
      <c r="A820" s="785" t="s">
        <v>332</v>
      </c>
      <c r="B820" s="786"/>
      <c r="C820" s="786"/>
      <c r="D820" s="787"/>
      <c r="E820" s="786"/>
      <c r="F820" s="786"/>
      <c r="G820" s="788"/>
      <c r="H820" s="788"/>
      <c r="I820" s="214"/>
      <c r="J820" s="214"/>
      <c r="K820" s="789"/>
      <c r="L820" s="789"/>
      <c r="M820" s="789"/>
      <c r="N820" s="789"/>
      <c r="O820" s="789"/>
      <c r="P820" s="789"/>
      <c r="Q820" s="541"/>
      <c r="R820" s="541"/>
      <c r="S820" s="541"/>
      <c r="T820" s="541"/>
      <c r="U820" s="541"/>
      <c r="V820" s="541"/>
      <c r="W820" s="541"/>
      <c r="X820" s="541"/>
      <c r="Y820" s="541"/>
      <c r="Z820" s="541"/>
    </row>
    <row r="821" spans="1:26" ht="18.75">
      <c r="A821" s="708"/>
      <c r="B821" s="727" t="s">
        <v>325</v>
      </c>
      <c r="C821" s="727"/>
      <c r="D821" s="538"/>
      <c r="E821" s="727"/>
      <c r="F821" s="727"/>
      <c r="G821" s="189"/>
      <c r="H821" s="589" t="s">
        <v>12</v>
      </c>
      <c r="I821" s="269">
        <f ca="1">IFERROR(__xludf.DUMMYFUNCTION("IMPORTRANGE(""https://docs.google.com/spreadsheets/d/19vJNZY_5yjcGF2XGBMNZRCAIB0Kwfpjp8YEOfu-bneM/edit?usp=sharing"",""งานกองทุน!D30"")"),2322577)</f>
        <v>2322577</v>
      </c>
      <c r="J821" s="269">
        <f ca="1">IFERROR(__xludf.DUMMYFUNCTION("IMPORTRANGE(""https://docs.google.com/spreadsheets/d/19vJNZY_5yjcGF2XGBMNZRCAIB0Kwfpjp8YEOfu-bneM/edit?usp=sharing"",""งานกองทุน!F30"")"),0)</f>
        <v>0</v>
      </c>
      <c r="K821" s="465">
        <f t="shared" ref="K821:K828" ca="1" si="334">IF(I821&gt;0,J821*100/I821,0)</f>
        <v>0</v>
      </c>
      <c r="L821" s="465"/>
      <c r="M821" s="465"/>
      <c r="N821" s="465"/>
      <c r="O821" s="465"/>
      <c r="P821" s="465"/>
      <c r="Q821" s="541"/>
      <c r="R821" s="541"/>
      <c r="S821" s="541"/>
      <c r="T821" s="541"/>
      <c r="U821" s="541"/>
      <c r="V821" s="541"/>
      <c r="W821" s="541"/>
      <c r="X821" s="541"/>
      <c r="Y821" s="541"/>
      <c r="Z821" s="541"/>
    </row>
    <row r="822" spans="1:26" ht="18.75">
      <c r="A822" s="708"/>
      <c r="B822" s="727"/>
      <c r="C822" s="727"/>
      <c r="D822" s="538"/>
      <c r="E822" s="727"/>
      <c r="F822" s="727"/>
      <c r="G822" s="189"/>
      <c r="H822" s="589" t="s">
        <v>35</v>
      </c>
      <c r="I822" s="269">
        <f ca="1">IFERROR(__xludf.DUMMYFUNCTION("IMPORTRANGE(""https://docs.google.com/spreadsheets/d/19vJNZY_5yjcGF2XGBMNZRCAIB0Kwfpjp8YEOfu-bneM/edit?usp=sharing"",""งานกองทุน!C30"")"),120)</f>
        <v>120</v>
      </c>
      <c r="J822" s="269">
        <f ca="1">IFERROR(__xludf.DUMMYFUNCTION("IMPORTRANGE(""https://docs.google.com/spreadsheets/d/19vJNZY_5yjcGF2XGBMNZRCAIB0Kwfpjp8YEOfu-bneM/edit?usp=sharing"",""งานกองทุน!E30"")"),0)</f>
        <v>0</v>
      </c>
      <c r="K822" s="465">
        <f t="shared" ca="1" si="334"/>
        <v>0</v>
      </c>
      <c r="L822" s="465"/>
      <c r="M822" s="465"/>
      <c r="N822" s="465"/>
      <c r="O822" s="465"/>
      <c r="P822" s="465"/>
      <c r="Q822" s="541"/>
      <c r="R822" s="541"/>
      <c r="S822" s="541"/>
      <c r="T822" s="541"/>
      <c r="U822" s="541"/>
      <c r="V822" s="541"/>
      <c r="W822" s="541"/>
      <c r="X822" s="541"/>
      <c r="Y822" s="541"/>
      <c r="Z822" s="541"/>
    </row>
    <row r="823" spans="1:26" ht="18.75">
      <c r="A823" s="708"/>
      <c r="B823" s="727" t="s">
        <v>326</v>
      </c>
      <c r="C823" s="727"/>
      <c r="D823" s="538"/>
      <c r="E823" s="727"/>
      <c r="F823" s="727"/>
      <c r="G823" s="189"/>
      <c r="H823" s="589" t="s">
        <v>12</v>
      </c>
      <c r="I823" s="269">
        <f ca="1">IFERROR(__xludf.DUMMYFUNCTION("IMPORTRANGE(""https://docs.google.com/spreadsheets/d/19vJNZY_5yjcGF2XGBMNZRCAIB0Kwfpjp8YEOfu-bneM/edit?usp=sharing"",""งานกองทุน!I30"")"),10059951.46)</f>
        <v>10059951.460000001</v>
      </c>
      <c r="J823" s="269">
        <f ca="1">IFERROR(__xludf.DUMMYFUNCTION("IMPORTRANGE(""https://docs.google.com/spreadsheets/d/19vJNZY_5yjcGF2XGBMNZRCAIB0Kwfpjp8YEOfu-bneM/edit?usp=sharing"",""งานกองทุน!K30"")"),90803.29)</f>
        <v>90803.29</v>
      </c>
      <c r="K823" s="465">
        <f t="shared" ca="1" si="334"/>
        <v>0.90262155201293581</v>
      </c>
      <c r="L823" s="465"/>
      <c r="M823" s="465"/>
      <c r="N823" s="465"/>
      <c r="O823" s="465"/>
      <c r="P823" s="465"/>
      <c r="Q823" s="541"/>
      <c r="R823" s="541"/>
      <c r="S823" s="541"/>
      <c r="T823" s="541"/>
      <c r="U823" s="541"/>
      <c r="V823" s="541"/>
      <c r="W823" s="541"/>
      <c r="X823" s="541"/>
      <c r="Y823" s="541"/>
      <c r="Z823" s="541"/>
    </row>
    <row r="824" spans="1:26" ht="18.75">
      <c r="A824" s="708"/>
      <c r="B824" s="727"/>
      <c r="C824" s="727"/>
      <c r="D824" s="538"/>
      <c r="E824" s="727"/>
      <c r="F824" s="727"/>
      <c r="G824" s="189"/>
      <c r="H824" s="589" t="s">
        <v>35</v>
      </c>
      <c r="I824" s="269">
        <f ca="1">IFERROR(__xludf.DUMMYFUNCTION("IMPORTRANGE(""https://docs.google.com/spreadsheets/d/19vJNZY_5yjcGF2XGBMNZRCAIB0Kwfpjp8YEOfu-bneM/edit?usp=sharing"",""งานกองทุน!H30"")"),585)</f>
        <v>585</v>
      </c>
      <c r="J824" s="269">
        <f ca="1">IFERROR(__xludf.DUMMYFUNCTION("IMPORTRANGE(""https://docs.google.com/spreadsheets/d/19vJNZY_5yjcGF2XGBMNZRCAIB0Kwfpjp8YEOfu-bneM/edit?usp=sharing"",""งานกองทุน!J30"")"),7)</f>
        <v>7</v>
      </c>
      <c r="K824" s="465">
        <f t="shared" ca="1" si="334"/>
        <v>1.1965811965811965</v>
      </c>
      <c r="L824" s="465"/>
      <c r="M824" s="465"/>
      <c r="N824" s="465"/>
      <c r="O824" s="465"/>
      <c r="P824" s="465"/>
      <c r="Q824" s="541"/>
      <c r="R824" s="541"/>
      <c r="S824" s="541"/>
      <c r="T824" s="541"/>
      <c r="U824" s="541"/>
      <c r="V824" s="541"/>
      <c r="W824" s="541"/>
      <c r="X824" s="541"/>
      <c r="Y824" s="541"/>
      <c r="Z824" s="541"/>
    </row>
    <row r="825" spans="1:26" ht="18.75">
      <c r="A825" s="708"/>
      <c r="B825" s="727" t="s">
        <v>327</v>
      </c>
      <c r="C825" s="727"/>
      <c r="D825" s="538"/>
      <c r="E825" s="727"/>
      <c r="F825" s="727"/>
      <c r="G825" s="189"/>
      <c r="H825" s="589" t="s">
        <v>12</v>
      </c>
      <c r="I825" s="269">
        <f ca="1">IFERROR(__xludf.DUMMYFUNCTION("IMPORTRANGE(""https://docs.google.com/spreadsheets/d/19vJNZY_5yjcGF2XGBMNZRCAIB0Kwfpjp8YEOfu-bneM/edit?usp=sharing"",""งานกองทุน!N30"")"),3126547.2)</f>
        <v>3126547.2</v>
      </c>
      <c r="J825" s="269">
        <f ca="1">IFERROR(__xludf.DUMMYFUNCTION("IMPORTRANGE(""https://docs.google.com/spreadsheets/d/19vJNZY_5yjcGF2XGBMNZRCAIB0Kwfpjp8YEOfu-bneM/edit?usp=sharing"",""งานกองทุน!P30"")"),69376.21)</f>
        <v>69376.210000000006</v>
      </c>
      <c r="K825" s="465">
        <f t="shared" ca="1" si="334"/>
        <v>2.2189401138738609</v>
      </c>
      <c r="L825" s="465"/>
      <c r="M825" s="465"/>
      <c r="N825" s="465"/>
      <c r="O825" s="465"/>
      <c r="P825" s="465"/>
      <c r="Q825" s="541"/>
      <c r="R825" s="541"/>
      <c r="S825" s="541"/>
      <c r="T825" s="541"/>
      <c r="U825" s="541"/>
      <c r="V825" s="541"/>
      <c r="W825" s="541"/>
      <c r="X825" s="541"/>
      <c r="Y825" s="541"/>
      <c r="Z825" s="541"/>
    </row>
    <row r="826" spans="1:26" ht="18.75">
      <c r="A826" s="708"/>
      <c r="B826" s="727"/>
      <c r="C826" s="727"/>
      <c r="D826" s="538"/>
      <c r="E826" s="727"/>
      <c r="F826" s="727"/>
      <c r="G826" s="189"/>
      <c r="H826" s="589" t="s">
        <v>35</v>
      </c>
      <c r="I826" s="269">
        <f ca="1">IFERROR(__xludf.DUMMYFUNCTION("IMPORTRANGE(""https://docs.google.com/spreadsheets/d/19vJNZY_5yjcGF2XGBMNZRCAIB0Kwfpjp8YEOfu-bneM/edit?usp=sharing"",""งานกองทุน!M30"")"),135)</f>
        <v>135</v>
      </c>
      <c r="J826" s="269">
        <f ca="1">IFERROR(__xludf.DUMMYFUNCTION("IMPORTRANGE(""https://docs.google.com/spreadsheets/d/19vJNZY_5yjcGF2XGBMNZRCAIB0Kwfpjp8YEOfu-bneM/edit?usp=sharing"",""งานกองทุน!O30"")"),4)</f>
        <v>4</v>
      </c>
      <c r="K826" s="465">
        <f t="shared" ca="1" si="334"/>
        <v>2.9629629629629628</v>
      </c>
      <c r="L826" s="465"/>
      <c r="M826" s="465"/>
      <c r="N826" s="465"/>
      <c r="O826" s="465"/>
      <c r="P826" s="465"/>
      <c r="Q826" s="541"/>
      <c r="R826" s="541"/>
      <c r="S826" s="541"/>
      <c r="T826" s="541"/>
      <c r="U826" s="541"/>
      <c r="V826" s="541"/>
      <c r="W826" s="541"/>
      <c r="X826" s="541"/>
      <c r="Y826" s="541"/>
      <c r="Z826" s="541"/>
    </row>
    <row r="827" spans="1:26" ht="18.75">
      <c r="A827" s="708"/>
      <c r="B827" s="727" t="s">
        <v>328</v>
      </c>
      <c r="C827" s="727"/>
      <c r="D827" s="538"/>
      <c r="E827" s="727"/>
      <c r="F827" s="727"/>
      <c r="G827" s="189"/>
      <c r="H827" s="589" t="s">
        <v>12</v>
      </c>
      <c r="I827" s="269">
        <f ca="1">IFERROR(__xludf.DUMMYFUNCTION("IMPORTRANGE(""https://docs.google.com/spreadsheets/d/19vJNZY_5yjcGF2XGBMNZRCAIB0Kwfpjp8YEOfu-bneM/edit?usp=sharing"",""งานกองทุน!S30"")"),3480000)</f>
        <v>3480000</v>
      </c>
      <c r="J827" s="269">
        <f ca="1">IFERROR(__xludf.DUMMYFUNCTION("IMPORTRANGE(""https://docs.google.com/spreadsheets/d/19vJNZY_5yjcGF2XGBMNZRCAIB0Kwfpjp8YEOfu-bneM/edit?usp=sharing"",""งานกองทุน!U30"")"),0)</f>
        <v>0</v>
      </c>
      <c r="K827" s="465">
        <f t="shared" ca="1" si="334"/>
        <v>0</v>
      </c>
      <c r="L827" s="465"/>
      <c r="M827" s="465"/>
      <c r="N827" s="465"/>
      <c r="O827" s="465"/>
      <c r="P827" s="465"/>
      <c r="Q827" s="541"/>
      <c r="R827" s="541"/>
      <c r="S827" s="541"/>
      <c r="T827" s="541"/>
      <c r="U827" s="541"/>
      <c r="V827" s="541"/>
      <c r="W827" s="541"/>
      <c r="X827" s="541"/>
      <c r="Y827" s="541"/>
      <c r="Z827" s="541"/>
    </row>
    <row r="828" spans="1:26" ht="18.75">
      <c r="A828" s="711"/>
      <c r="B828" s="713"/>
      <c r="C828" s="713"/>
      <c r="D828" s="712"/>
      <c r="E828" s="713"/>
      <c r="F828" s="713"/>
      <c r="G828" s="790"/>
      <c r="H828" s="791" t="s">
        <v>35</v>
      </c>
      <c r="I828" s="468">
        <f ca="1">IFERROR(__xludf.DUMMYFUNCTION("IMPORTRANGE(""https://docs.google.com/spreadsheets/d/19vJNZY_5yjcGF2XGBMNZRCAIB0Kwfpjp8YEOfu-bneM/edit?usp=sharing"",""งานกองทุน!R30"")"),139)</f>
        <v>139</v>
      </c>
      <c r="J828" s="468">
        <f ca="1">IFERROR(__xludf.DUMMYFUNCTION("IMPORTRANGE(""https://docs.google.com/spreadsheets/d/19vJNZY_5yjcGF2XGBMNZRCAIB0Kwfpjp8YEOfu-bneM/edit?usp=sharing"",""งานกองทุน!T30"")"),17)</f>
        <v>17</v>
      </c>
      <c r="K828" s="469">
        <f t="shared" ca="1" si="334"/>
        <v>12.23021582733813</v>
      </c>
      <c r="L828" s="469"/>
      <c r="M828" s="469"/>
      <c r="N828" s="469"/>
      <c r="O828" s="469"/>
      <c r="P828" s="469"/>
      <c r="Q828" s="541"/>
      <c r="R828" s="541"/>
      <c r="S828" s="541"/>
      <c r="T828" s="541"/>
      <c r="U828" s="541"/>
      <c r="V828" s="541"/>
      <c r="W828" s="541"/>
      <c r="X828" s="541"/>
      <c r="Y828" s="541"/>
      <c r="Z828" s="541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1" fitToHeight="0" pageOrder="overThenDown" orientation="portrait" cellComments="atEnd" r:id="rId1"/>
  <headerFooter>
    <oddFooter>&amp;Cหน้า &amp;P/&amp;N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4997B7-AABB-451A-BE8A-22E65C06D404}">
  <sheetPr>
    <outlinePr summaryBelow="0" summaryRight="0"/>
    <pageSetUpPr fitToPage="1"/>
  </sheetPr>
  <dimension ref="A1:Z828"/>
  <sheetViews>
    <sheetView view="pageBreakPreview" zoomScale="60" zoomScaleNormal="100" workbookViewId="0">
      <pane ySplit="7" topLeftCell="A8" activePane="bottomLeft" state="frozen"/>
      <selection activeCell="S28" sqref="S28"/>
      <selection pane="bottomLeft" activeCell="S28" sqref="S28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9" width="16.85546875" bestFit="1" customWidth="1"/>
    <col min="10" max="10" width="12.5703125" bestFit="1" customWidth="1"/>
    <col min="11" max="11" width="12.5703125" customWidth="1"/>
    <col min="12" max="13" width="21.28515625" bestFit="1" customWidth="1"/>
    <col min="14" max="14" width="18.7109375" bestFit="1" customWidth="1"/>
    <col min="15" max="15" width="20.140625" bestFit="1" customWidth="1"/>
    <col min="16" max="16" width="22" bestFit="1" customWidth="1"/>
  </cols>
  <sheetData>
    <row r="1" spans="1:26" ht="19.5">
      <c r="A1" s="792" t="s">
        <v>0</v>
      </c>
      <c r="B1" s="793"/>
      <c r="C1" s="793"/>
      <c r="D1" s="793"/>
      <c r="E1" s="793"/>
      <c r="F1" s="793"/>
      <c r="G1" s="793"/>
      <c r="H1" s="793"/>
      <c r="I1" s="793"/>
      <c r="J1" s="793"/>
      <c r="K1" s="793"/>
      <c r="L1" s="793"/>
      <c r="M1" s="793"/>
      <c r="N1" s="793"/>
      <c r="O1" s="793"/>
      <c r="P1" s="793"/>
    </row>
    <row r="2" spans="1:26" ht="19.5">
      <c r="A2" s="792" t="s">
        <v>329</v>
      </c>
      <c r="B2" s="793"/>
      <c r="C2" s="793"/>
      <c r="D2" s="793"/>
      <c r="E2" s="793"/>
      <c r="F2" s="793"/>
      <c r="G2" s="793"/>
      <c r="H2" s="793"/>
      <c r="I2" s="793"/>
      <c r="J2" s="793"/>
      <c r="K2" s="793"/>
      <c r="L2" s="793"/>
      <c r="M2" s="793"/>
      <c r="N2" s="793"/>
      <c r="O2" s="793"/>
      <c r="P2" s="793"/>
    </row>
    <row r="3" spans="1:26" ht="19.5">
      <c r="A3" s="792" t="s">
        <v>355</v>
      </c>
      <c r="B3" s="793"/>
      <c r="C3" s="793"/>
      <c r="D3" s="793"/>
      <c r="E3" s="793"/>
      <c r="F3" s="793"/>
      <c r="G3" s="793"/>
      <c r="H3" s="793"/>
      <c r="I3" s="793"/>
      <c r="J3" s="793"/>
      <c r="K3" s="793"/>
      <c r="L3" s="793"/>
      <c r="M3" s="793"/>
      <c r="N3" s="793"/>
      <c r="O3" s="793"/>
      <c r="P3" s="793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00" t="s">
        <v>2</v>
      </c>
      <c r="B5" s="793"/>
      <c r="C5" s="793"/>
      <c r="D5" s="793"/>
      <c r="E5" s="793"/>
      <c r="F5" s="793"/>
      <c r="G5" s="801"/>
      <c r="H5" s="794" t="s">
        <v>3</v>
      </c>
      <c r="I5" s="796" t="s">
        <v>4</v>
      </c>
      <c r="J5" s="797"/>
      <c r="K5" s="795"/>
      <c r="L5" s="798" t="s">
        <v>5</v>
      </c>
      <c r="M5" s="795"/>
      <c r="N5" s="799" t="s">
        <v>6</v>
      </c>
      <c r="O5" s="797"/>
      <c r="P5" s="795"/>
    </row>
    <row r="6" spans="1:26" ht="19.5">
      <c r="A6" s="802"/>
      <c r="B6" s="797"/>
      <c r="C6" s="797"/>
      <c r="D6" s="797"/>
      <c r="E6" s="797"/>
      <c r="F6" s="797"/>
      <c r="G6" s="795"/>
      <c r="H6" s="795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03" t="s">
        <v>15</v>
      </c>
      <c r="B7" s="797"/>
      <c r="C7" s="797"/>
      <c r="D7" s="797"/>
      <c r="E7" s="797"/>
      <c r="F7" s="797"/>
      <c r="G7" s="795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7034088</v>
      </c>
      <c r="M8" s="22">
        <f t="shared" ca="1" si="0"/>
        <v>2042099</v>
      </c>
      <c r="N8" s="22">
        <f t="shared" ca="1" si="0"/>
        <v>689042.73</v>
      </c>
      <c r="O8" s="22">
        <f t="shared" ref="O8:O16" ca="1" si="1">IF(L8&gt;0,N8*100/L8,0)</f>
        <v>9.7957649946944088</v>
      </c>
      <c r="P8" s="22">
        <f t="shared" ref="P8:P16" ca="1" si="2">IF(M8&gt;0,N8*100/M8,0)</f>
        <v>33.741886656817321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7034088</v>
      </c>
      <c r="M10" s="30">
        <f t="shared" ca="1" si="3"/>
        <v>2042099</v>
      </c>
      <c r="N10" s="30">
        <f t="shared" ca="1" si="3"/>
        <v>689042.73</v>
      </c>
      <c r="O10" s="30">
        <f t="shared" ca="1" si="1"/>
        <v>9.7957649946944088</v>
      </c>
      <c r="P10" s="30">
        <f t="shared" ca="1" si="2"/>
        <v>33.741886656817321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589" t="s">
        <v>12</v>
      </c>
      <c r="I11" s="269"/>
      <c r="J11" s="269"/>
      <c r="K11" s="465"/>
      <c r="L11" s="465">
        <f t="shared" ref="L11:N11" ca="1" si="4">L12+L13</f>
        <v>6974088</v>
      </c>
      <c r="M11" s="465">
        <f t="shared" ca="1" si="4"/>
        <v>1982499</v>
      </c>
      <c r="N11" s="465">
        <f t="shared" ca="1" si="4"/>
        <v>629442.73</v>
      </c>
      <c r="O11" s="465">
        <f t="shared" ca="1" si="1"/>
        <v>9.0254486321365608</v>
      </c>
      <c r="P11" s="465">
        <f t="shared" ca="1" si="2"/>
        <v>31.749964564925378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2" t="s">
        <v>18</v>
      </c>
      <c r="F12" s="40"/>
      <c r="G12" s="42"/>
      <c r="H12" s="43" t="s">
        <v>12</v>
      </c>
      <c r="I12" s="583"/>
      <c r="J12" s="583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2" t="s">
        <v>19</v>
      </c>
      <c r="F13" s="40"/>
      <c r="G13" s="42"/>
      <c r="H13" s="43" t="s">
        <v>12</v>
      </c>
      <c r="I13" s="583"/>
      <c r="J13" s="583"/>
      <c r="K13" s="93"/>
      <c r="L13" s="93">
        <f t="shared" ca="1" si="5"/>
        <v>6974088</v>
      </c>
      <c r="M13" s="93">
        <f t="shared" ca="1" si="5"/>
        <v>1982499</v>
      </c>
      <c r="N13" s="93">
        <f t="shared" ca="1" si="5"/>
        <v>629442.73</v>
      </c>
      <c r="O13" s="93">
        <f t="shared" ca="1" si="1"/>
        <v>9.0254486321365608</v>
      </c>
      <c r="P13" s="93">
        <f t="shared" ca="1" si="2"/>
        <v>31.749964564925378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589" t="s">
        <v>12</v>
      </c>
      <c r="I14" s="269"/>
      <c r="J14" s="269"/>
      <c r="K14" s="465"/>
      <c r="L14" s="465">
        <f t="shared" ref="L14:N14" ca="1" si="6">L15+L16</f>
        <v>60000</v>
      </c>
      <c r="M14" s="465">
        <f t="shared" ca="1" si="6"/>
        <v>59600</v>
      </c>
      <c r="N14" s="465">
        <f t="shared" ca="1" si="6"/>
        <v>59600</v>
      </c>
      <c r="O14" s="465">
        <f t="shared" ca="1" si="1"/>
        <v>99.333333333333329</v>
      </c>
      <c r="P14" s="465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2" t="s">
        <v>18</v>
      </c>
      <c r="F15" s="40"/>
      <c r="G15" s="42"/>
      <c r="H15" s="43" t="s">
        <v>12</v>
      </c>
      <c r="I15" s="583"/>
      <c r="J15" s="583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60000</v>
      </c>
      <c r="M16" s="52">
        <f t="shared" ca="1" si="7"/>
        <v>59600</v>
      </c>
      <c r="N16" s="52">
        <f t="shared" ca="1" si="7"/>
        <v>59600</v>
      </c>
      <c r="O16" s="52">
        <f t="shared" ca="1" si="1"/>
        <v>99.333333333333329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03" t="s">
        <v>22</v>
      </c>
      <c r="B17" s="797"/>
      <c r="C17" s="797"/>
      <c r="D17" s="797"/>
      <c r="E17" s="797"/>
      <c r="F17" s="797"/>
      <c r="G17" s="795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4053029</v>
      </c>
      <c r="M18" s="22">
        <f t="shared" ca="1" si="8"/>
        <v>2042099</v>
      </c>
      <c r="N18" s="22">
        <f t="shared" ca="1" si="8"/>
        <v>689042.73</v>
      </c>
      <c r="O18" s="22">
        <f t="shared" ref="O18:O26" ca="1" si="9">IF(L18&gt;0,N18*100/L18,0)</f>
        <v>17.000685906762573</v>
      </c>
      <c r="P18" s="22">
        <f t="shared" ref="P18:P26" ca="1" si="10">IF(M18&gt;0,N18*100/M18,0)</f>
        <v>33.741886656817321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4053029</v>
      </c>
      <c r="M20" s="30">
        <f t="shared" ca="1" si="11"/>
        <v>2042099</v>
      </c>
      <c r="N20" s="30">
        <f t="shared" ca="1" si="11"/>
        <v>689042.73</v>
      </c>
      <c r="O20" s="30">
        <f t="shared" ca="1" si="9"/>
        <v>17.000685906762573</v>
      </c>
      <c r="P20" s="30">
        <f t="shared" ca="1" si="10"/>
        <v>33.741886656817321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589" t="s">
        <v>12</v>
      </c>
      <c r="I21" s="269"/>
      <c r="J21" s="269"/>
      <c r="K21" s="465"/>
      <c r="L21" s="465">
        <f t="shared" ref="L21:N21" ca="1" si="12">L22+L23</f>
        <v>3993029</v>
      </c>
      <c r="M21" s="465">
        <f t="shared" ca="1" si="12"/>
        <v>1982499</v>
      </c>
      <c r="N21" s="465">
        <f t="shared" ca="1" si="12"/>
        <v>629442.73</v>
      </c>
      <c r="O21" s="465">
        <f t="shared" ca="1" si="9"/>
        <v>15.763540159613166</v>
      </c>
      <c r="P21" s="465">
        <f t="shared" ca="1" si="10"/>
        <v>31.749964564925378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2" t="s">
        <v>18</v>
      </c>
      <c r="F22" s="40"/>
      <c r="G22" s="42"/>
      <c r="H22" s="43" t="s">
        <v>12</v>
      </c>
      <c r="I22" s="583"/>
      <c r="J22" s="583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2" t="s">
        <v>19</v>
      </c>
      <c r="F23" s="40"/>
      <c r="G23" s="42"/>
      <c r="H23" s="43" t="s">
        <v>12</v>
      </c>
      <c r="I23" s="583"/>
      <c r="J23" s="583"/>
      <c r="K23" s="93"/>
      <c r="L23" s="93">
        <f t="shared" ca="1" si="13"/>
        <v>3993029</v>
      </c>
      <c r="M23" s="93">
        <f t="shared" ca="1" si="13"/>
        <v>1982499</v>
      </c>
      <c r="N23" s="93">
        <f t="shared" ca="1" si="13"/>
        <v>629442.73</v>
      </c>
      <c r="O23" s="93">
        <f t="shared" ca="1" si="9"/>
        <v>15.763540159613166</v>
      </c>
      <c r="P23" s="93">
        <f t="shared" ca="1" si="10"/>
        <v>31.749964564925378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589" t="s">
        <v>12</v>
      </c>
      <c r="I24" s="269"/>
      <c r="J24" s="269"/>
      <c r="K24" s="465"/>
      <c r="L24" s="465">
        <f t="shared" ref="L24:N24" ca="1" si="14">L25+L26</f>
        <v>60000</v>
      </c>
      <c r="M24" s="465">
        <f t="shared" ca="1" si="14"/>
        <v>59600</v>
      </c>
      <c r="N24" s="465">
        <f t="shared" ca="1" si="14"/>
        <v>59600</v>
      </c>
      <c r="O24" s="465">
        <f t="shared" ca="1" si="9"/>
        <v>99.333333333333329</v>
      </c>
      <c r="P24" s="465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2" t="s">
        <v>18</v>
      </c>
      <c r="F25" s="40"/>
      <c r="G25" s="42"/>
      <c r="H25" s="43" t="s">
        <v>12</v>
      </c>
      <c r="I25" s="583"/>
      <c r="J25" s="583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60000</v>
      </c>
      <c r="M26" s="52">
        <f t="shared" ca="1" si="15"/>
        <v>59600</v>
      </c>
      <c r="N26" s="52">
        <f t="shared" ca="1" si="15"/>
        <v>59600</v>
      </c>
      <c r="O26" s="52">
        <f t="shared" ca="1" si="9"/>
        <v>99.333333333333329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03" t="s">
        <v>23</v>
      </c>
      <c r="B27" s="797"/>
      <c r="C27" s="797"/>
      <c r="D27" s="797"/>
      <c r="E27" s="797"/>
      <c r="F27" s="797"/>
      <c r="G27" s="795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2981059</v>
      </c>
      <c r="M28" s="22">
        <f t="shared" si="16"/>
        <v>0</v>
      </c>
      <c r="N28" s="22">
        <f t="shared" si="16"/>
        <v>0</v>
      </c>
      <c r="O28" s="22">
        <f t="shared" ref="O28:O37" ca="1" si="17">IF(L28&gt;0,N28*100/L28,0)</f>
        <v>0</v>
      </c>
      <c r="P28" s="22">
        <f t="shared" ref="P28:P37" si="18">IF(M28&gt;0,N28*100/M28,0)</f>
        <v>0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2981059</v>
      </c>
      <c r="M30" s="30">
        <f t="shared" si="19"/>
        <v>0</v>
      </c>
      <c r="N30" s="30">
        <f t="shared" si="19"/>
        <v>0</v>
      </c>
      <c r="O30" s="30">
        <f t="shared" ca="1" si="17"/>
        <v>0</v>
      </c>
      <c r="P30" s="30">
        <f t="shared" si="18"/>
        <v>0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589" t="s">
        <v>12</v>
      </c>
      <c r="I31" s="269"/>
      <c r="J31" s="269"/>
      <c r="K31" s="465"/>
      <c r="L31" s="465">
        <f t="shared" ref="L31:N31" ca="1" si="20">L32+L33</f>
        <v>2981059</v>
      </c>
      <c r="M31" s="465">
        <f t="shared" si="20"/>
        <v>0</v>
      </c>
      <c r="N31" s="465">
        <f t="shared" si="20"/>
        <v>0</v>
      </c>
      <c r="O31" s="465">
        <f t="shared" ca="1" si="17"/>
        <v>0</v>
      </c>
      <c r="P31" s="465">
        <f t="shared" si="18"/>
        <v>0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2" t="s">
        <v>18</v>
      </c>
      <c r="F32" s="40"/>
      <c r="G32" s="42"/>
      <c r="H32" s="43" t="s">
        <v>12</v>
      </c>
      <c r="I32" s="583"/>
      <c r="J32" s="583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2" t="s">
        <v>19</v>
      </c>
      <c r="F33" s="40"/>
      <c r="G33" s="42"/>
      <c r="H33" s="43" t="s">
        <v>12</v>
      </c>
      <c r="I33" s="583"/>
      <c r="J33" s="583"/>
      <c r="K33" s="93"/>
      <c r="L33" s="93">
        <f t="shared" ca="1" si="21"/>
        <v>2981059</v>
      </c>
      <c r="M33" s="93">
        <f t="shared" si="21"/>
        <v>0</v>
      </c>
      <c r="N33" s="93">
        <f t="shared" si="21"/>
        <v>0</v>
      </c>
      <c r="O33" s="93">
        <f t="shared" ca="1" si="17"/>
        <v>0</v>
      </c>
      <c r="P33" s="93">
        <f t="shared" si="18"/>
        <v>0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589" t="s">
        <v>12</v>
      </c>
      <c r="I34" s="269"/>
      <c r="J34" s="269"/>
      <c r="K34" s="465"/>
      <c r="L34" s="465">
        <f t="shared" ref="L34:N34" ca="1" si="22">L35+L36</f>
        <v>0</v>
      </c>
      <c r="M34" s="465">
        <f t="shared" si="22"/>
        <v>0</v>
      </c>
      <c r="N34" s="465">
        <f t="shared" si="22"/>
        <v>0</v>
      </c>
      <c r="O34" s="465">
        <f t="shared" ca="1" si="17"/>
        <v>0</v>
      </c>
      <c r="P34" s="465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2" t="s">
        <v>18</v>
      </c>
      <c r="F35" s="40"/>
      <c r="G35" s="42"/>
      <c r="H35" s="43" t="s">
        <v>12</v>
      </c>
      <c r="I35" s="583"/>
      <c r="J35" s="583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53" t="s">
        <v>24</v>
      </c>
      <c r="B37" s="54"/>
      <c r="C37" s="54"/>
      <c r="D37" s="54"/>
      <c r="E37" s="54"/>
      <c r="F37" s="54"/>
      <c r="G37" s="55"/>
      <c r="H37" s="56"/>
      <c r="I37" s="392"/>
      <c r="J37" s="392"/>
      <c r="K37" s="58"/>
      <c r="L37" s="59">
        <f t="shared" ref="L37:N37" ca="1" si="24">L41+L53+L66+L88+L119+L132+L149+L165+L181+L261+L277+L298+L315+L328+L345+L389+L402</f>
        <v>4053029</v>
      </c>
      <c r="M37" s="59">
        <f t="shared" ca="1" si="24"/>
        <v>2042099</v>
      </c>
      <c r="N37" s="59">
        <f t="shared" ca="1" si="24"/>
        <v>689042.73</v>
      </c>
      <c r="O37" s="59">
        <f t="shared" ca="1" si="17"/>
        <v>17.000685906762573</v>
      </c>
      <c r="P37" s="59">
        <f t="shared" ca="1" si="18"/>
        <v>33.741886656817321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04" t="s">
        <v>27</v>
      </c>
      <c r="C40" s="805"/>
      <c r="D40" s="805"/>
      <c r="E40" s="805"/>
      <c r="F40" s="805"/>
      <c r="G40" s="806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15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472819</v>
      </c>
      <c r="M41" s="85">
        <f t="shared" ca="1" si="25"/>
        <v>238319</v>
      </c>
      <c r="N41" s="85">
        <f t="shared" ca="1" si="25"/>
        <v>94984</v>
      </c>
      <c r="O41" s="85">
        <f t="shared" ref="O41:O49" ca="1" si="26">IF(L41&gt;0,N41*100/L41,0)</f>
        <v>20.08887121710422</v>
      </c>
      <c r="P41" s="85">
        <f t="shared" ref="P41:P49" ca="1" si="27">IF(M41&gt;0,N41*100/M41,0)</f>
        <v>39.855823497077445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472819</v>
      </c>
      <c r="M43" s="92">
        <f t="shared" ca="1" si="28"/>
        <v>238319</v>
      </c>
      <c r="N43" s="92">
        <f t="shared" ca="1" si="28"/>
        <v>94984</v>
      </c>
      <c r="O43" s="92">
        <f t="shared" ca="1" si="26"/>
        <v>20.08887121710422</v>
      </c>
      <c r="P43" s="92">
        <f t="shared" ca="1" si="27"/>
        <v>39.855823497077445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589" t="s">
        <v>12</v>
      </c>
      <c r="I44" s="269"/>
      <c r="J44" s="269"/>
      <c r="K44" s="465"/>
      <c r="L44" s="465">
        <f t="shared" ref="L44:N44" ca="1" si="29">L45+L46</f>
        <v>472819</v>
      </c>
      <c r="M44" s="465">
        <f t="shared" ca="1" si="29"/>
        <v>238319</v>
      </c>
      <c r="N44" s="465">
        <f t="shared" ca="1" si="29"/>
        <v>94984</v>
      </c>
      <c r="O44" s="465">
        <f t="shared" ca="1" si="26"/>
        <v>20.08887121710422</v>
      </c>
      <c r="P44" s="465">
        <f t="shared" ca="1" si="27"/>
        <v>39.855823497077445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2" t="s">
        <v>18</v>
      </c>
      <c r="F45" s="40"/>
      <c r="G45" s="42"/>
      <c r="H45" s="43" t="s">
        <v>12</v>
      </c>
      <c r="I45" s="583"/>
      <c r="J45" s="583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2" t="s">
        <v>19</v>
      </c>
      <c r="F46" s="40"/>
      <c r="G46" s="42"/>
      <c r="H46" s="43" t="s">
        <v>12</v>
      </c>
      <c r="I46" s="583"/>
      <c r="J46" s="583"/>
      <c r="K46" s="93"/>
      <c r="L46" s="93">
        <f ca="1">IFERROR(__xludf.DUMMYFUNCTION("IMPORTRANGE(""https://docs.google.com/spreadsheets/d/1MeEWN-I1oV_STSDYn1IFDPWt_1FKiwhDph83XaGc0o0/edit?usp=sharing"",""งบพรบ!M14"")"),472819)</f>
        <v>472819</v>
      </c>
      <c r="M46" s="93">
        <f ca="1">IFERROR(__xludf.DUMMYFUNCTION("IMPORTRANGE(""https://docs.google.com/spreadsheets/d/1MeEWN-I1oV_STSDYn1IFDPWt_1FKiwhDph83XaGc0o0/edit?usp=sharing"",""งบพรบ!R14"")"),238319)</f>
        <v>238319</v>
      </c>
      <c r="N46" s="93">
        <f ca="1">IFERROR(__xludf.DUMMYFUNCTION("IMPORTRANGE(""https://docs.google.com/spreadsheets/d/1MeEWN-I1oV_STSDYn1IFDPWt_1FKiwhDph83XaGc0o0/edit?usp=sharing"",""งบพรบ!T14"")"),94984)</f>
        <v>94984</v>
      </c>
      <c r="O46" s="93">
        <f t="shared" ca="1" si="26"/>
        <v>20.08887121710422</v>
      </c>
      <c r="P46" s="93">
        <f t="shared" ca="1" si="27"/>
        <v>39.855823497077445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589" t="s">
        <v>12</v>
      </c>
      <c r="I47" s="269"/>
      <c r="J47" s="269"/>
      <c r="K47" s="465"/>
      <c r="L47" s="465">
        <f t="shared" ref="L47:N47" ca="1" si="30">L48+L49</f>
        <v>0</v>
      </c>
      <c r="M47" s="465">
        <f t="shared" ca="1" si="30"/>
        <v>0</v>
      </c>
      <c r="N47" s="465">
        <f t="shared" ca="1" si="30"/>
        <v>0</v>
      </c>
      <c r="O47" s="465">
        <f t="shared" ca="1" si="26"/>
        <v>0</v>
      </c>
      <c r="P47" s="465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2" t="s">
        <v>18</v>
      </c>
      <c r="F48" s="40"/>
      <c r="G48" s="42"/>
      <c r="H48" s="43" t="s">
        <v>12</v>
      </c>
      <c r="I48" s="583"/>
      <c r="J48" s="583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IFERROR(__xludf.DUMMYFUNCTION("IMPORTRANGE(""https://docs.google.com/spreadsheets/d/1MeEWN-I1oV_STSDYn1IFDPWt_1FKiwhDph83XaGc0o0/edit?usp=sharing"",""งบพรบ!P14"")"),0)</f>
        <v>0</v>
      </c>
      <c r="M49" s="52">
        <f ca="1">IFERROR(__xludf.DUMMYFUNCTION("IMPORTRANGE(""https://docs.google.com/spreadsheets/d/1MeEWN-I1oV_STSDYn1IFDPWt_1FKiwhDph83XaGc0o0/edit?usp=sharing"",""งบพรบ!S14"")"),0)</f>
        <v>0</v>
      </c>
      <c r="N49" s="52">
        <f ca="1">IFERROR(__xludf.DUMMYFUNCTION("IMPORTRANGE(""https://docs.google.com/spreadsheets/d/1MeEWN-I1oV_STSDYn1IFDPWt_1FKiwhDph83XaGc0o0/edit?usp=sharing"",""งบพรบ!U14"")"),0)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07" t="s">
        <v>28</v>
      </c>
      <c r="B50" s="797"/>
      <c r="C50" s="797"/>
      <c r="D50" s="797"/>
      <c r="E50" s="797"/>
      <c r="F50" s="797"/>
      <c r="G50" s="795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08" t="s">
        <v>29</v>
      </c>
      <c r="C51" s="805"/>
      <c r="D51" s="805"/>
      <c r="E51" s="805"/>
      <c r="F51" s="805"/>
      <c r="G51" s="806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16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842200</v>
      </c>
      <c r="M53" s="116">
        <f t="shared" ca="1" si="31"/>
        <v>421100</v>
      </c>
      <c r="N53" s="116">
        <f t="shared" ca="1" si="31"/>
        <v>259533.73</v>
      </c>
      <c r="O53" s="116">
        <f t="shared" ref="O53:O61" ca="1" si="32">IF(L53&gt;0,N53*100/L53,0)</f>
        <v>30.816163619092851</v>
      </c>
      <c r="P53" s="116">
        <f t="shared" ref="P53:P61" ca="1" si="33">IF(M53&gt;0,N53*100/M53,0)</f>
        <v>61.632327238185702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842200</v>
      </c>
      <c r="M55" s="123">
        <f t="shared" ca="1" si="34"/>
        <v>421100</v>
      </c>
      <c r="N55" s="123">
        <f t="shared" ca="1" si="34"/>
        <v>259533.73</v>
      </c>
      <c r="O55" s="123">
        <f t="shared" ca="1" si="32"/>
        <v>30.816163619092851</v>
      </c>
      <c r="P55" s="123">
        <f t="shared" ca="1" si="33"/>
        <v>61.632327238185702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589" t="s">
        <v>12</v>
      </c>
      <c r="I56" s="269"/>
      <c r="J56" s="269"/>
      <c r="K56" s="465"/>
      <c r="L56" s="465">
        <f t="shared" ref="L56:N56" ca="1" si="35">L57+L58</f>
        <v>842200</v>
      </c>
      <c r="M56" s="465">
        <f t="shared" ca="1" si="35"/>
        <v>421100</v>
      </c>
      <c r="N56" s="465">
        <f t="shared" ca="1" si="35"/>
        <v>259533.73</v>
      </c>
      <c r="O56" s="465">
        <f t="shared" ca="1" si="32"/>
        <v>30.816163619092851</v>
      </c>
      <c r="P56" s="465">
        <f t="shared" ca="1" si="33"/>
        <v>61.632327238185702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2" t="s">
        <v>18</v>
      </c>
      <c r="F57" s="40"/>
      <c r="G57" s="42"/>
      <c r="H57" s="43" t="s">
        <v>12</v>
      </c>
      <c r="I57" s="583"/>
      <c r="J57" s="583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2" t="s">
        <v>19</v>
      </c>
      <c r="F58" s="40"/>
      <c r="G58" s="42"/>
      <c r="H58" s="43" t="s">
        <v>12</v>
      </c>
      <c r="I58" s="583"/>
      <c r="J58" s="583"/>
      <c r="K58" s="93"/>
      <c r="L58" s="93">
        <f ca="1">IFERROR(__xludf.DUMMYFUNCTION("IMPORTRANGE(""https://docs.google.com/spreadsheets/d/1MeEWN-I1oV_STSDYn1IFDPWt_1FKiwhDph83XaGc0o0/edit?usp=sharing"",""งบพรบ!W14"")"),842200)</f>
        <v>842200</v>
      </c>
      <c r="M58" s="93">
        <f ca="1">IFERROR(__xludf.DUMMYFUNCTION("IMPORTRANGE(""https://docs.google.com/spreadsheets/d/1MeEWN-I1oV_STSDYn1IFDPWt_1FKiwhDph83XaGc0o0/edit?usp=sharing"",""งบพรบ!AB14"")"),421100)</f>
        <v>421100</v>
      </c>
      <c r="N58" s="93">
        <f ca="1">IFERROR(__xludf.DUMMYFUNCTION("IMPORTRANGE(""https://docs.google.com/spreadsheets/d/1MeEWN-I1oV_STSDYn1IFDPWt_1FKiwhDph83XaGc0o0/edit?usp=sharing"",""งบพรบ!AD14"")"),259533.73)</f>
        <v>259533.73</v>
      </c>
      <c r="O58" s="93">
        <f t="shared" ca="1" si="32"/>
        <v>30.816163619092851</v>
      </c>
      <c r="P58" s="93">
        <f t="shared" ca="1" si="33"/>
        <v>61.632327238185702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589" t="s">
        <v>12</v>
      </c>
      <c r="I59" s="269"/>
      <c r="J59" s="269"/>
      <c r="K59" s="465"/>
      <c r="L59" s="465">
        <f t="shared" ref="L59:N59" ca="1" si="36">L60+L61</f>
        <v>0</v>
      </c>
      <c r="M59" s="465">
        <f t="shared" ca="1" si="36"/>
        <v>0</v>
      </c>
      <c r="N59" s="465">
        <f t="shared" ca="1" si="36"/>
        <v>0</v>
      </c>
      <c r="O59" s="465">
        <f t="shared" ca="1" si="32"/>
        <v>0</v>
      </c>
      <c r="P59" s="465">
        <f t="shared" ca="1" si="33"/>
        <v>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2" t="s">
        <v>18</v>
      </c>
      <c r="F60" s="40"/>
      <c r="G60" s="42"/>
      <c r="H60" s="43" t="s">
        <v>12</v>
      </c>
      <c r="I60" s="583"/>
      <c r="J60" s="583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IFERROR(__xludf.DUMMYFUNCTION("IMPORTRANGE(""https://docs.google.com/spreadsheets/d/1MeEWN-I1oV_STSDYn1IFDPWt_1FKiwhDph83XaGc0o0/edit?usp=sharing"",""งบพรบ!Z14"")"),0)</f>
        <v>0</v>
      </c>
      <c r="M61" s="52">
        <f ca="1">IFERROR(__xludf.DUMMYFUNCTION("IMPORTRANGE(""https://docs.google.com/spreadsheets/d/1MeEWN-I1oV_STSDYn1IFDPWt_1FKiwhDph83XaGc0o0/edit?usp=sharing"",""งบพรบ!AC14"")"),0)</f>
        <v>0</v>
      </c>
      <c r="N61" s="52">
        <f ca="1">IFERROR(__xludf.DUMMYFUNCTION("IMPORTRANGE(""https://docs.google.com/spreadsheets/d/1MeEWN-I1oV_STSDYn1IFDPWt_1FKiwhDph83XaGc0o0/edit?usp=sharing"",""งบพรบ!AE14"")"),0)</f>
        <v>0</v>
      </c>
      <c r="O61" s="52">
        <f t="shared" ca="1" si="32"/>
        <v>0</v>
      </c>
      <c r="P61" s="52">
        <f t="shared" ca="1" si="33"/>
        <v>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 hidden="1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 hidden="1">
      <c r="A64" s="138"/>
      <c r="B64" s="208" t="s">
        <v>33</v>
      </c>
      <c r="C64" s="140"/>
      <c r="D64" s="141"/>
      <c r="E64" s="140"/>
      <c r="F64" s="140"/>
      <c r="G64" s="142"/>
      <c r="H64" s="143" t="s">
        <v>34</v>
      </c>
      <c r="I64" s="144">
        <f t="shared" ref="I64:J65" ca="1" si="37">I76</f>
        <v>0</v>
      </c>
      <c r="J64" s="144">
        <f t="shared" si="37"/>
        <v>0</v>
      </c>
      <c r="K64" s="145">
        <f t="shared" ref="K64:K65" ca="1" si="38">IF(I64&gt;0,J64*100/I64,0)</f>
        <v>0</v>
      </c>
      <c r="L64" s="146"/>
      <c r="M64" s="146"/>
      <c r="N64" s="146"/>
      <c r="O64" s="146"/>
      <c r="P64" s="146"/>
    </row>
    <row r="65" spans="1:26" ht="19.5" hidden="1">
      <c r="A65" s="138"/>
      <c r="B65" s="140"/>
      <c r="C65" s="140"/>
      <c r="D65" s="141"/>
      <c r="E65" s="140"/>
      <c r="F65" s="140"/>
      <c r="G65" s="142"/>
      <c r="H65" s="143" t="s">
        <v>35</v>
      </c>
      <c r="I65" s="144">
        <f t="shared" ca="1" si="37"/>
        <v>0</v>
      </c>
      <c r="J65" s="144">
        <f t="shared" si="37"/>
        <v>0</v>
      </c>
      <c r="K65" s="145">
        <f t="shared" ca="1" si="38"/>
        <v>0</v>
      </c>
      <c r="L65" s="146"/>
      <c r="M65" s="146"/>
      <c r="N65" s="146"/>
      <c r="O65" s="146"/>
      <c r="P65" s="146"/>
    </row>
    <row r="66" spans="1:26" ht="19.5" hidden="1">
      <c r="A66" s="147"/>
      <c r="B66" s="148"/>
      <c r="C66" s="149" t="s">
        <v>16</v>
      </c>
      <c r="D66" s="817" t="s">
        <v>17</v>
      </c>
      <c r="E66" s="148"/>
      <c r="F66" s="148"/>
      <c r="G66" s="151"/>
      <c r="H66" s="152" t="s">
        <v>12</v>
      </c>
      <c r="I66" s="388"/>
      <c r="J66" s="388"/>
      <c r="K66" s="154"/>
      <c r="L66" s="155">
        <f t="shared" ref="L66:N66" ca="1" si="39">L67+L68</f>
        <v>0</v>
      </c>
      <c r="M66" s="155">
        <f t="shared" ca="1" si="39"/>
        <v>0</v>
      </c>
      <c r="N66" s="155">
        <f t="shared" ca="1" si="39"/>
        <v>0</v>
      </c>
      <c r="O66" s="155">
        <f t="shared" ref="O66:O74" ca="1" si="40">IF(L66&gt;0,N66*100/L66,0)</f>
        <v>0</v>
      </c>
      <c r="P66" s="155">
        <f t="shared" ref="P66:P74" ca="1" si="41">IF(M66&gt;0,N66*100/M66,0)</f>
        <v>0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2" t="s">
        <v>18</v>
      </c>
      <c r="F67" s="40"/>
      <c r="G67" s="157"/>
      <c r="H67" s="158" t="s">
        <v>12</v>
      </c>
      <c r="I67" s="583"/>
      <c r="J67" s="583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2" t="s">
        <v>19</v>
      </c>
      <c r="F68" s="40"/>
      <c r="G68" s="157"/>
      <c r="H68" s="158" t="s">
        <v>12</v>
      </c>
      <c r="I68" s="583"/>
      <c r="J68" s="583"/>
      <c r="K68" s="93"/>
      <c r="L68" s="93">
        <f t="shared" ca="1" si="42"/>
        <v>0</v>
      </c>
      <c r="M68" s="93">
        <f t="shared" ca="1" si="42"/>
        <v>0</v>
      </c>
      <c r="N68" s="93">
        <f t="shared" ca="1" si="42"/>
        <v>0</v>
      </c>
      <c r="O68" s="93">
        <f t="shared" ca="1" si="40"/>
        <v>0</v>
      </c>
      <c r="P68" s="93">
        <f t="shared" ca="1" si="41"/>
        <v>0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 hidden="1">
      <c r="A69" s="159"/>
      <c r="B69" s="33"/>
      <c r="C69" s="281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65">
        <f t="shared" ref="L69:N69" ca="1" si="43">L70+L71</f>
        <v>0</v>
      </c>
      <c r="M69" s="465">
        <f t="shared" ca="1" si="43"/>
        <v>0</v>
      </c>
      <c r="N69" s="465">
        <f t="shared" ca="1" si="43"/>
        <v>0</v>
      </c>
      <c r="O69" s="465">
        <f t="shared" ca="1" si="40"/>
        <v>0</v>
      </c>
      <c r="P69" s="465">
        <f t="shared" ca="1" si="41"/>
        <v>0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2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2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IFERROR(__xludf.DUMMYFUNCTION("IMPORTRANGE(""https://docs.google.com/spreadsheets/d/1MeEWN-I1oV_STSDYn1IFDPWt_1FKiwhDph83XaGc0o0/edit?usp=sharing"",""งบพรบ!AG14"")"),0)</f>
        <v>0</v>
      </c>
      <c r="M71" s="93">
        <f ca="1">IFERROR(__xludf.DUMMYFUNCTION("IMPORTRANGE(""https://docs.google.com/spreadsheets/d/1MeEWN-I1oV_STSDYn1IFDPWt_1FKiwhDph83XaGc0o0/edit?usp=sharing"",""งบพรบ!AL14"")"),0)</f>
        <v>0</v>
      </c>
      <c r="N71" s="93">
        <f ca="1">IFERROR(__xludf.DUMMYFUNCTION("IMPORTRANGE(""https://docs.google.com/spreadsheets/d/1MeEWN-I1oV_STSDYn1IFDPWt_1FKiwhDph83XaGc0o0/edit?usp=sharing"",""งบพรบ!AN14"")"),0)</f>
        <v>0</v>
      </c>
      <c r="O71" s="93">
        <f t="shared" ca="1" si="40"/>
        <v>0</v>
      </c>
      <c r="P71" s="93">
        <f t="shared" ca="1" si="41"/>
        <v>0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 hidden="1">
      <c r="A72" s="159"/>
      <c r="B72" s="33"/>
      <c r="C72" s="281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65">
        <f t="shared" ref="L72:N72" ca="1" si="44">L73+L74</f>
        <v>0</v>
      </c>
      <c r="M72" s="465">
        <f t="shared" ca="1" si="44"/>
        <v>0</v>
      </c>
      <c r="N72" s="465">
        <f t="shared" ca="1" si="44"/>
        <v>0</v>
      </c>
      <c r="O72" s="465">
        <f t="shared" ca="1" si="40"/>
        <v>0</v>
      </c>
      <c r="P72" s="465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2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2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IFERROR(__xludf.DUMMYFUNCTION("IMPORTRANGE(""https://docs.google.com/spreadsheets/d/1MeEWN-I1oV_STSDYn1IFDPWt_1FKiwhDph83XaGc0o0/edit?usp=sharing"",""งบพรบ!AJ14"")"),0)</f>
        <v>0</v>
      </c>
      <c r="M74" s="93">
        <f ca="1">IFERROR(__xludf.DUMMYFUNCTION("IMPORTRANGE(""https://docs.google.com/spreadsheets/d/1MeEWN-I1oV_STSDYn1IFDPWt_1FKiwhDph83XaGc0o0/edit?usp=sharing"",""งบพรบ!AM14"")"),0)</f>
        <v>0</v>
      </c>
      <c r="N74" s="93">
        <f ca="1">IFERROR(__xludf.DUMMYFUNCTION("IMPORTRANGE(""https://docs.google.com/spreadsheets/d/1MeEWN-I1oV_STSDYn1IFDPWt_1FKiwhDph83XaGc0o0/edit?usp=sharing"",""งบพรบ!AO14"")"),0)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 hidden="1">
      <c r="A75" s="170"/>
      <c r="B75" s="171"/>
      <c r="C75" s="164" t="s">
        <v>16</v>
      </c>
      <c r="D75" s="818" t="s">
        <v>38</v>
      </c>
      <c r="E75" s="173"/>
      <c r="F75" s="173"/>
      <c r="G75" s="174"/>
      <c r="H75" s="726"/>
      <c r="I75" s="184"/>
      <c r="J75" s="184"/>
      <c r="K75" s="163"/>
      <c r="L75" s="163"/>
      <c r="M75" s="163"/>
      <c r="N75" s="163"/>
      <c r="O75" s="163"/>
      <c r="P75" s="163"/>
    </row>
    <row r="76" spans="1:26" ht="19.5" hidden="1">
      <c r="A76" s="170"/>
      <c r="B76" s="171"/>
      <c r="C76" s="171"/>
      <c r="D76" s="343" t="s">
        <v>39</v>
      </c>
      <c r="E76" s="415"/>
      <c r="F76" s="342"/>
      <c r="G76" s="179"/>
      <c r="H76" s="180" t="s">
        <v>34</v>
      </c>
      <c r="I76" s="269">
        <f t="shared" ref="I76:J77" ca="1" si="45">I78+I80+I82</f>
        <v>0</v>
      </c>
      <c r="J76" s="269">
        <f t="shared" si="45"/>
        <v>0</v>
      </c>
      <c r="K76" s="163">
        <f t="shared" ref="K76:K84" ca="1" si="46">IF(I76&gt;0,J76*100/I76,0)</f>
        <v>0</v>
      </c>
      <c r="L76" s="163"/>
      <c r="M76" s="163"/>
      <c r="N76" s="163"/>
      <c r="O76" s="163"/>
      <c r="P76" s="163"/>
    </row>
    <row r="77" spans="1:26" ht="19.5" hidden="1">
      <c r="A77" s="170"/>
      <c r="B77" s="171"/>
      <c r="C77" s="171"/>
      <c r="D77" s="171"/>
      <c r="E77" s="342"/>
      <c r="F77" s="342"/>
      <c r="G77" s="179"/>
      <c r="H77" s="180" t="s">
        <v>35</v>
      </c>
      <c r="I77" s="269">
        <f t="shared" ca="1" si="45"/>
        <v>0</v>
      </c>
      <c r="J77" s="269">
        <f t="shared" si="45"/>
        <v>0</v>
      </c>
      <c r="K77" s="163">
        <f t="shared" ca="1" si="46"/>
        <v>0</v>
      </c>
      <c r="L77" s="163"/>
      <c r="M77" s="163"/>
      <c r="N77" s="163"/>
      <c r="O77" s="163"/>
      <c r="P77" s="163"/>
    </row>
    <row r="78" spans="1:26" ht="18.75" hidden="1">
      <c r="A78" s="170"/>
      <c r="B78" s="171"/>
      <c r="C78" s="171"/>
      <c r="D78" s="171"/>
      <c r="E78" s="415" t="s">
        <v>40</v>
      </c>
      <c r="F78" s="415"/>
      <c r="G78" s="179"/>
      <c r="H78" s="728" t="s">
        <v>34</v>
      </c>
      <c r="I78" s="184">
        <f ca="1">IFERROR(__xludf.DUMMYFUNCTION("IMPORTRANGE(""https://docs.google.com/spreadsheets/d/1QqKyyYR6Q21VydFLVH3TRQUabQu_ym0Zz7PgGX0-kHA/edit?usp=sharing"",""แผน!H14"")"),0)</f>
        <v>0</v>
      </c>
      <c r="J78" s="214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 hidden="1">
      <c r="A79" s="170"/>
      <c r="B79" s="171"/>
      <c r="C79" s="171"/>
      <c r="D79" s="171"/>
      <c r="E79" s="342"/>
      <c r="F79" s="342"/>
      <c r="G79" s="179"/>
      <c r="H79" s="728" t="s">
        <v>35</v>
      </c>
      <c r="I79" s="184">
        <f ca="1">IFERROR(__xludf.DUMMYFUNCTION("IMPORTRANGE(""https://docs.google.com/spreadsheets/d/1QqKyyYR6Q21VydFLVH3TRQUabQu_ym0Zz7PgGX0-kHA/edit?usp=sharing"",""แผน!I14"")"),0)</f>
        <v>0</v>
      </c>
      <c r="J79" s="214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 hidden="1">
      <c r="A80" s="170"/>
      <c r="B80" s="171"/>
      <c r="C80" s="171"/>
      <c r="D80" s="171"/>
      <c r="E80" s="415" t="s">
        <v>41</v>
      </c>
      <c r="F80" s="415"/>
      <c r="G80" s="179"/>
      <c r="H80" s="728" t="s">
        <v>34</v>
      </c>
      <c r="I80" s="184">
        <f ca="1">IFERROR(__xludf.DUMMYFUNCTION("IMPORTRANGE(""https://docs.google.com/spreadsheets/d/1QqKyyYR6Q21VydFLVH3TRQUabQu_ym0Zz7PgGX0-kHA/edit?usp=sharing"",""แผน!F14"")"),0)</f>
        <v>0</v>
      </c>
      <c r="J80" s="214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 hidden="1">
      <c r="A81" s="170"/>
      <c r="B81" s="171"/>
      <c r="C81" s="171"/>
      <c r="D81" s="171"/>
      <c r="E81" s="342"/>
      <c r="F81" s="342"/>
      <c r="G81" s="179"/>
      <c r="H81" s="728" t="s">
        <v>35</v>
      </c>
      <c r="I81" s="184">
        <f ca="1">IFERROR(__xludf.DUMMYFUNCTION("IMPORTRANGE(""https://docs.google.com/spreadsheets/d/1QqKyyYR6Q21VydFLVH3TRQUabQu_ym0Zz7PgGX0-kHA/edit?usp=sharing"",""แผน!G14"")"),0)</f>
        <v>0</v>
      </c>
      <c r="J81" s="214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 hidden="1">
      <c r="A82" s="170"/>
      <c r="B82" s="171"/>
      <c r="C82" s="171"/>
      <c r="D82" s="171"/>
      <c r="E82" s="415" t="s">
        <v>42</v>
      </c>
      <c r="F82" s="415"/>
      <c r="G82" s="179"/>
      <c r="H82" s="728" t="s">
        <v>34</v>
      </c>
      <c r="I82" s="184">
        <f ca="1">IFERROR(__xludf.DUMMYFUNCTION("IMPORTRANGE(""https://docs.google.com/spreadsheets/d/1QqKyyYR6Q21VydFLVH3TRQUabQu_ym0Zz7PgGX0-kHA/edit?usp=sharing"",""แผน!D14"")"),0)</f>
        <v>0</v>
      </c>
      <c r="J82" s="214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 hidden="1">
      <c r="A83" s="170"/>
      <c r="B83" s="171"/>
      <c r="C83" s="171"/>
      <c r="D83" s="171"/>
      <c r="E83" s="342"/>
      <c r="F83" s="342"/>
      <c r="G83" s="179"/>
      <c r="H83" s="728" t="s">
        <v>35</v>
      </c>
      <c r="I83" s="184">
        <f ca="1">IFERROR(__xludf.DUMMYFUNCTION("IMPORTRANGE(""https://docs.google.com/spreadsheets/d/1QqKyyYR6Q21VydFLVH3TRQUabQu_ym0Zz7PgGX0-kHA/edit?usp=sharing"",""แผน!E14"")"),0)</f>
        <v>0</v>
      </c>
      <c r="J83" s="214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 hidden="1">
      <c r="A84" s="170"/>
      <c r="B84" s="171"/>
      <c r="C84" s="171"/>
      <c r="D84" s="343" t="s">
        <v>43</v>
      </c>
      <c r="E84" s="415"/>
      <c r="F84" s="342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IFERROR(__xludf.DUMMYFUNCTION("IMPORTRANGE(""https://docs.google.com/spreadsheets/d/1QqKyyYR6Q21VydFLVH3TRQUabQu_ym0Zz7PgGX0-kHA/edit?usp=sharing"",""แผน!J14"")"),0)</f>
        <v>0</v>
      </c>
      <c r="J84" s="214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8" t="s">
        <v>45</v>
      </c>
      <c r="C86" s="140"/>
      <c r="D86" s="141"/>
      <c r="E86" s="140"/>
      <c r="F86" s="140"/>
      <c r="G86" s="142"/>
      <c r="H86" s="143" t="s">
        <v>46</v>
      </c>
      <c r="I86" s="144">
        <f t="shared" ref="I86:J87" ca="1" si="47">I98</f>
        <v>45</v>
      </c>
      <c r="J86" s="144">
        <f t="shared" si="47"/>
        <v>0</v>
      </c>
      <c r="K86" s="145">
        <f t="shared" ref="K86:K87" ca="1" si="48">IF(I86&gt;0,J86*100/I86,0)</f>
        <v>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143" t="s">
        <v>35</v>
      </c>
      <c r="I87" s="144">
        <f t="shared" ca="1" si="47"/>
        <v>15</v>
      </c>
      <c r="J87" s="144">
        <f t="shared" si="47"/>
        <v>0</v>
      </c>
      <c r="K87" s="145">
        <f t="shared" ca="1" si="48"/>
        <v>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17" t="s">
        <v>17</v>
      </c>
      <c r="E88" s="148"/>
      <c r="F88" s="148"/>
      <c r="G88" s="151"/>
      <c r="H88" s="152" t="s">
        <v>12</v>
      </c>
      <c r="I88" s="388"/>
      <c r="J88" s="388"/>
      <c r="K88" s="154"/>
      <c r="L88" s="155">
        <f t="shared" ref="L88:N88" ca="1" si="49">L89+L90</f>
        <v>98460</v>
      </c>
      <c r="M88" s="155">
        <f t="shared" ca="1" si="49"/>
        <v>32760</v>
      </c>
      <c r="N88" s="155">
        <f t="shared" ca="1" si="49"/>
        <v>0</v>
      </c>
      <c r="O88" s="155">
        <f t="shared" ref="O88:O96" ca="1" si="50">IF(L88&gt;0,N88*100/L88,0)</f>
        <v>0</v>
      </c>
      <c r="P88" s="155">
        <f t="shared" ref="P88:P96" ca="1" si="51">IF(M88&gt;0,N88*100/M88,0)</f>
        <v>0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2" t="s">
        <v>18</v>
      </c>
      <c r="F89" s="40"/>
      <c r="G89" s="157"/>
      <c r="H89" s="158" t="s">
        <v>12</v>
      </c>
      <c r="I89" s="583"/>
      <c r="J89" s="583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2" t="s">
        <v>19</v>
      </c>
      <c r="F90" s="40"/>
      <c r="G90" s="157"/>
      <c r="H90" s="158" t="s">
        <v>12</v>
      </c>
      <c r="I90" s="583"/>
      <c r="J90" s="583"/>
      <c r="K90" s="93"/>
      <c r="L90" s="93">
        <f t="shared" ca="1" si="52"/>
        <v>98460</v>
      </c>
      <c r="M90" s="93">
        <f t="shared" ca="1" si="52"/>
        <v>32760</v>
      </c>
      <c r="N90" s="93">
        <f t="shared" ca="1" si="52"/>
        <v>0</v>
      </c>
      <c r="O90" s="93">
        <f t="shared" ca="1" si="50"/>
        <v>0</v>
      </c>
      <c r="P90" s="93">
        <f t="shared" ca="1" si="51"/>
        <v>0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1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65">
        <f t="shared" ref="L91:N91" ca="1" si="53">L92+L93</f>
        <v>98460</v>
      </c>
      <c r="M91" s="465">
        <f t="shared" ca="1" si="53"/>
        <v>32760</v>
      </c>
      <c r="N91" s="465">
        <f t="shared" ca="1" si="53"/>
        <v>0</v>
      </c>
      <c r="O91" s="465">
        <f t="shared" ca="1" si="50"/>
        <v>0</v>
      </c>
      <c r="P91" s="465">
        <f t="shared" ca="1" si="51"/>
        <v>0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2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2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IFERROR(__xludf.DUMMYFUNCTION("IMPORTRANGE(""https://docs.google.com/spreadsheets/d/1MeEWN-I1oV_STSDYn1IFDPWt_1FKiwhDph83XaGc0o0/edit?usp=sharing"",""งบพรบ!AQ14"")"),98460)</f>
        <v>98460</v>
      </c>
      <c r="M93" s="93">
        <f ca="1">IFERROR(__xludf.DUMMYFUNCTION("IMPORTRANGE(""https://docs.google.com/spreadsheets/d/1MeEWN-I1oV_STSDYn1IFDPWt_1FKiwhDph83XaGc0o0/edit?usp=sharing"",""งบพรบ!AV14"")"),32760)</f>
        <v>32760</v>
      </c>
      <c r="N93" s="93">
        <f ca="1">IFERROR(__xludf.DUMMYFUNCTION("IMPORTRANGE(""https://docs.google.com/spreadsheets/d/1MeEWN-I1oV_STSDYn1IFDPWt_1FKiwhDph83XaGc0o0/edit?usp=sharing"",""งบพรบ!AX14"")"),0)</f>
        <v>0</v>
      </c>
      <c r="O93" s="93">
        <f t="shared" ca="1" si="50"/>
        <v>0</v>
      </c>
      <c r="P93" s="93">
        <f t="shared" ca="1" si="51"/>
        <v>0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1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65">
        <f t="shared" ref="L94:N94" ca="1" si="54">L95+L96</f>
        <v>0</v>
      </c>
      <c r="M94" s="465">
        <f t="shared" ca="1" si="54"/>
        <v>0</v>
      </c>
      <c r="N94" s="465">
        <f t="shared" ca="1" si="54"/>
        <v>0</v>
      </c>
      <c r="O94" s="465">
        <f t="shared" ca="1" si="50"/>
        <v>0</v>
      </c>
      <c r="P94" s="465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2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2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IFERROR(__xludf.DUMMYFUNCTION("IMPORTRANGE(""https://docs.google.com/spreadsheets/d/1MeEWN-I1oV_STSDYn1IFDPWt_1FKiwhDph83XaGc0o0/edit?usp=sharing"",""งบพรบ!AT14"")"),0)</f>
        <v>0</v>
      </c>
      <c r="M96" s="93">
        <f ca="1">IFERROR(__xludf.DUMMYFUNCTION("IMPORTRANGE(""https://docs.google.com/spreadsheets/d/1MeEWN-I1oV_STSDYn1IFDPWt_1FKiwhDph83XaGc0o0/edit?usp=sharing"",""งบพรบ!AW14"")"),0)</f>
        <v>0</v>
      </c>
      <c r="N96" s="93">
        <f ca="1">IFERROR(__xludf.DUMMYFUNCTION("IMPORTRANGE(""https://docs.google.com/spreadsheets/d/1MeEWN-I1oV_STSDYn1IFDPWt_1FKiwhDph83XaGc0o0/edit?usp=sharing"",""งบพรบ!AY14"")"),0)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18" t="s">
        <v>38</v>
      </c>
      <c r="E97" s="173"/>
      <c r="F97" s="173"/>
      <c r="G97" s="174"/>
      <c r="H97" s="726"/>
      <c r="I97" s="184"/>
      <c r="J97" s="269"/>
      <c r="K97" s="465"/>
      <c r="L97" s="465"/>
      <c r="M97" s="465"/>
      <c r="N97" s="465"/>
      <c r="O97" s="163"/>
      <c r="P97" s="163"/>
    </row>
    <row r="98" spans="1:16" ht="18.75">
      <c r="A98" s="170"/>
      <c r="B98" s="171"/>
      <c r="C98" s="171"/>
      <c r="D98" s="415" t="s">
        <v>47</v>
      </c>
      <c r="E98" s="415"/>
      <c r="F98" s="342"/>
      <c r="G98" s="179"/>
      <c r="H98" s="589" t="s">
        <v>46</v>
      </c>
      <c r="I98" s="269">
        <f ca="1">IFERROR(__xludf.DUMMYFUNCTION("IMPORTRANGE(""https://docs.google.com/spreadsheets/d/1QqKyyYR6Q21VydFLVH3TRQUabQu_ym0Zz7PgGX0-kHA/edit?usp=sharing"",""แผน!K14"")"),45)</f>
        <v>45</v>
      </c>
      <c r="J98" s="269">
        <f>J102</f>
        <v>0</v>
      </c>
      <c r="K98" s="465">
        <f t="shared" ref="K98:K100" ca="1" si="55">IF(I98&gt;0,J98*100/I98,0)</f>
        <v>0</v>
      </c>
      <c r="L98" s="465"/>
      <c r="M98" s="465"/>
      <c r="N98" s="465"/>
      <c r="O98" s="163"/>
      <c r="P98" s="163"/>
    </row>
    <row r="99" spans="1:16" ht="18.75">
      <c r="A99" s="170"/>
      <c r="B99" s="171"/>
      <c r="C99" s="171"/>
      <c r="D99" s="415" t="s">
        <v>48</v>
      </c>
      <c r="E99" s="415"/>
      <c r="F99" s="342"/>
      <c r="G99" s="179"/>
      <c r="H99" s="589" t="s">
        <v>35</v>
      </c>
      <c r="I99" s="269">
        <f ca="1">IFERROR(__xludf.DUMMYFUNCTION("IMPORTRANGE(""https://docs.google.com/spreadsheets/d/1QqKyyYR6Q21VydFLVH3TRQUabQu_ym0Zz7PgGX0-kHA/edit?usp=sharing"",""แผน!L14"")"),15)</f>
        <v>15</v>
      </c>
      <c r="J99" s="269">
        <f>J104</f>
        <v>0</v>
      </c>
      <c r="K99" s="465">
        <f t="shared" ca="1" si="55"/>
        <v>0</v>
      </c>
      <c r="L99" s="465"/>
      <c r="M99" s="465"/>
      <c r="N99" s="465"/>
      <c r="O99" s="163"/>
      <c r="P99" s="163"/>
    </row>
    <row r="100" spans="1:16" ht="18.75">
      <c r="A100" s="170"/>
      <c r="B100" s="171"/>
      <c r="C100" s="171"/>
      <c r="D100" s="171"/>
      <c r="E100" s="342"/>
      <c r="F100" s="342"/>
      <c r="G100" s="179"/>
      <c r="H100" s="589" t="s">
        <v>49</v>
      </c>
      <c r="I100" s="269">
        <f ca="1">IFERROR(__xludf.DUMMYFUNCTION("IMPORTRANGE(""https://docs.google.com/spreadsheets/d/1QqKyyYR6Q21VydFLVH3TRQUabQu_ym0Zz7PgGX0-kHA/edit?usp=sharing"",""แผน!M14"")"),2)</f>
        <v>2</v>
      </c>
      <c r="J100" s="269">
        <f>J107+J110</f>
        <v>0</v>
      </c>
      <c r="K100" s="465">
        <f t="shared" ca="1" si="55"/>
        <v>0</v>
      </c>
      <c r="L100" s="465"/>
      <c r="M100" s="465"/>
      <c r="N100" s="465"/>
      <c r="O100" s="163"/>
      <c r="P100" s="163"/>
    </row>
    <row r="101" spans="1:16" ht="19.5">
      <c r="A101" s="170"/>
      <c r="B101" s="171"/>
      <c r="C101" s="171"/>
      <c r="D101" s="342"/>
      <c r="E101" s="191" t="s">
        <v>50</v>
      </c>
      <c r="F101" s="342"/>
      <c r="G101" s="179"/>
      <c r="H101" s="589"/>
      <c r="I101" s="269"/>
      <c r="J101" s="269"/>
      <c r="K101" s="465"/>
      <c r="L101" s="465"/>
      <c r="M101" s="465"/>
      <c r="N101" s="465"/>
      <c r="O101" s="163"/>
      <c r="P101" s="163"/>
    </row>
    <row r="102" spans="1:16" ht="18.75">
      <c r="A102" s="170"/>
      <c r="B102" s="171"/>
      <c r="C102" s="171"/>
      <c r="D102" s="342"/>
      <c r="E102" s="592" t="s">
        <v>47</v>
      </c>
      <c r="F102" s="342"/>
      <c r="G102" s="179"/>
      <c r="H102" s="589" t="s">
        <v>46</v>
      </c>
      <c r="I102" s="269">
        <f ca="1">IFERROR(__xludf.DUMMYFUNCTION("IMPORTRANGE(""https://docs.google.com/spreadsheets/d/1QqKyyYR6Q21VydFLVH3TRQUabQu_ym0Zz7PgGX0-kHA/edit?usp=sharing"",""แผน!N14"")"),45)</f>
        <v>45</v>
      </c>
      <c r="J102" s="214">
        <v>0</v>
      </c>
      <c r="K102" s="465">
        <f t="shared" ref="K102:K104" ca="1" si="56">IF(I102&gt;0,J102*100/I102,0)</f>
        <v>0</v>
      </c>
      <c r="L102" s="465"/>
      <c r="M102" s="465"/>
      <c r="N102" s="465"/>
      <c r="O102" s="163"/>
      <c r="P102" s="163"/>
    </row>
    <row r="103" spans="1:16" ht="19.5">
      <c r="A103" s="170"/>
      <c r="B103" s="171"/>
      <c r="C103" s="171"/>
      <c r="D103" s="342"/>
      <c r="E103" s="415" t="s">
        <v>51</v>
      </c>
      <c r="F103" s="342"/>
      <c r="G103" s="179"/>
      <c r="H103" s="589" t="s">
        <v>35</v>
      </c>
      <c r="I103" s="269">
        <f ca="1">IFERROR(__xludf.DUMMYFUNCTION("IMPORTRANGE(""https://docs.google.com/spreadsheets/d/1QqKyyYR6Q21VydFLVH3TRQUabQu_ym0Zz7PgGX0-kHA/edit?usp=sharing"",""แผน!O14"")"),15)</f>
        <v>15</v>
      </c>
      <c r="J103" s="214">
        <v>0</v>
      </c>
      <c r="K103" s="465">
        <f t="shared" ca="1" si="56"/>
        <v>0</v>
      </c>
      <c r="L103" s="465"/>
      <c r="M103" s="465"/>
      <c r="N103" s="465"/>
      <c r="O103" s="163"/>
      <c r="P103" s="163"/>
    </row>
    <row r="104" spans="1:16" ht="18.75">
      <c r="A104" s="170"/>
      <c r="B104" s="171"/>
      <c r="C104" s="171"/>
      <c r="D104" s="342"/>
      <c r="E104" s="188" t="s">
        <v>52</v>
      </c>
      <c r="F104" s="342"/>
      <c r="G104" s="179"/>
      <c r="H104" s="589" t="s">
        <v>35</v>
      </c>
      <c r="I104" s="269">
        <f ca="1">IFERROR(__xludf.DUMMYFUNCTION("IMPORTRANGE(""https://docs.google.com/spreadsheets/d/1QqKyyYR6Q21VydFLVH3TRQUabQu_ym0Zz7PgGX0-kHA/edit?usp=sharing"",""แผน!O14"")"),15)</f>
        <v>15</v>
      </c>
      <c r="J104" s="214">
        <v>0</v>
      </c>
      <c r="K104" s="465">
        <f t="shared" ca="1" si="56"/>
        <v>0</v>
      </c>
      <c r="L104" s="465"/>
      <c r="M104" s="465"/>
      <c r="N104" s="465"/>
      <c r="O104" s="163"/>
      <c r="P104" s="163"/>
    </row>
    <row r="105" spans="1:16" ht="19.5">
      <c r="A105" s="170"/>
      <c r="B105" s="171"/>
      <c r="C105" s="171"/>
      <c r="D105" s="342"/>
      <c r="E105" s="191" t="s">
        <v>53</v>
      </c>
      <c r="F105" s="342"/>
      <c r="G105" s="179"/>
      <c r="H105" s="189"/>
      <c r="I105" s="269"/>
      <c r="J105" s="269"/>
      <c r="K105" s="465"/>
      <c r="L105" s="465"/>
      <c r="M105" s="465"/>
      <c r="N105" s="465"/>
      <c r="O105" s="163"/>
      <c r="P105" s="163"/>
    </row>
    <row r="106" spans="1:16" ht="19.5">
      <c r="A106" s="170"/>
      <c r="B106" s="171"/>
      <c r="C106" s="171"/>
      <c r="D106" s="342"/>
      <c r="E106" s="415" t="s">
        <v>54</v>
      </c>
      <c r="F106" s="342"/>
      <c r="G106" s="179"/>
      <c r="H106" s="589" t="s">
        <v>49</v>
      </c>
      <c r="I106" s="269">
        <f ca="1">IFERROR(__xludf.DUMMYFUNCTION("IMPORTRANGE(""https://docs.google.com/spreadsheets/d/1QqKyyYR6Q21VydFLVH3TRQUabQu_ym0Zz7PgGX0-kHA/edit?usp=sharing"",""แผน!P14"")"),1)</f>
        <v>1</v>
      </c>
      <c r="J106" s="214">
        <v>0</v>
      </c>
      <c r="K106" s="465">
        <f t="shared" ref="K106:K107" ca="1" si="57">IF(I106&gt;0,J106*100/I106,0)</f>
        <v>0</v>
      </c>
      <c r="L106" s="465"/>
      <c r="M106" s="465"/>
      <c r="N106" s="465"/>
      <c r="O106" s="163"/>
      <c r="P106" s="163"/>
    </row>
    <row r="107" spans="1:16" ht="18.75">
      <c r="A107" s="170"/>
      <c r="B107" s="171"/>
      <c r="C107" s="171"/>
      <c r="D107" s="342"/>
      <c r="E107" s="188" t="s">
        <v>55</v>
      </c>
      <c r="F107" s="342"/>
      <c r="G107" s="179"/>
      <c r="H107" s="589" t="s">
        <v>49</v>
      </c>
      <c r="I107" s="269">
        <f ca="1">IFERROR(__xludf.DUMMYFUNCTION("IMPORTRANGE(""https://docs.google.com/spreadsheets/d/1QqKyyYR6Q21VydFLVH3TRQUabQu_ym0Zz7PgGX0-kHA/edit?usp=sharing"",""แผน!P14"")"),1)</f>
        <v>1</v>
      </c>
      <c r="J107" s="214">
        <v>0</v>
      </c>
      <c r="K107" s="465">
        <f t="shared" ca="1" si="57"/>
        <v>0</v>
      </c>
      <c r="L107" s="465"/>
      <c r="M107" s="465"/>
      <c r="N107" s="465"/>
      <c r="O107" s="163"/>
      <c r="P107" s="163"/>
    </row>
    <row r="108" spans="1:16" ht="19.5">
      <c r="A108" s="170"/>
      <c r="B108" s="171"/>
      <c r="C108" s="171"/>
      <c r="D108" s="342"/>
      <c r="E108" s="191" t="s">
        <v>56</v>
      </c>
      <c r="F108" s="342"/>
      <c r="G108" s="179"/>
      <c r="H108" s="189"/>
      <c r="I108" s="269"/>
      <c r="J108" s="269"/>
      <c r="K108" s="465"/>
      <c r="L108" s="465"/>
      <c r="M108" s="465"/>
      <c r="N108" s="465"/>
      <c r="O108" s="163"/>
      <c r="P108" s="163"/>
    </row>
    <row r="109" spans="1:16" ht="19.5">
      <c r="A109" s="170"/>
      <c r="B109" s="171"/>
      <c r="C109" s="171"/>
      <c r="D109" s="342"/>
      <c r="E109" s="415" t="s">
        <v>57</v>
      </c>
      <c r="F109" s="342"/>
      <c r="G109" s="179"/>
      <c r="H109" s="589" t="s">
        <v>49</v>
      </c>
      <c r="I109" s="269">
        <f ca="1">IFERROR(__xludf.DUMMYFUNCTION("IMPORTRANGE(""https://docs.google.com/spreadsheets/d/1QqKyyYR6Q21VydFLVH3TRQUabQu_ym0Zz7PgGX0-kHA/edit?usp=sharing"",""แผน!Q14"")"),1)</f>
        <v>1</v>
      </c>
      <c r="J109" s="214">
        <v>0</v>
      </c>
      <c r="K109" s="465">
        <f t="shared" ref="K109:K116" ca="1" si="58">IF(I109&gt;0,J109*100/I109,0)</f>
        <v>0</v>
      </c>
      <c r="L109" s="465"/>
      <c r="M109" s="465"/>
      <c r="N109" s="465"/>
      <c r="O109" s="163"/>
      <c r="P109" s="163"/>
    </row>
    <row r="110" spans="1:16" ht="18.75">
      <c r="A110" s="170"/>
      <c r="B110" s="171"/>
      <c r="C110" s="171"/>
      <c r="D110" s="342"/>
      <c r="E110" s="190" t="s">
        <v>58</v>
      </c>
      <c r="F110" s="342"/>
      <c r="G110" s="179"/>
      <c r="H110" s="589" t="s">
        <v>49</v>
      </c>
      <c r="I110" s="269">
        <f ca="1">IFERROR(__xludf.DUMMYFUNCTION("IMPORTRANGE(""https://docs.google.com/spreadsheets/d/1QqKyyYR6Q21VydFLVH3TRQUabQu_ym0Zz7PgGX0-kHA/edit?usp=sharing"",""แผน!Q14"")"),1)</f>
        <v>1</v>
      </c>
      <c r="J110" s="214">
        <v>0</v>
      </c>
      <c r="K110" s="465">
        <f t="shared" ca="1" si="58"/>
        <v>0</v>
      </c>
      <c r="L110" s="465"/>
      <c r="M110" s="465"/>
      <c r="N110" s="465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342"/>
      <c r="G111" s="179"/>
      <c r="H111" s="731" t="s">
        <v>35</v>
      </c>
      <c r="I111" s="193">
        <f ca="1">IFERROR(__xludf.DUMMYFUNCTION("IMPORTRANGE(""https://docs.google.com/spreadsheets/d/1QqKyyYR6Q21VydFLVH3TRQUabQu_ym0Zz7PgGX0-kHA/edit?usp=sharing"",""แผน!R14"")"),15)</f>
        <v>15</v>
      </c>
      <c r="J111" s="647">
        <f>J114</f>
        <v>0</v>
      </c>
      <c r="K111" s="195">
        <f t="shared" ca="1" si="58"/>
        <v>0</v>
      </c>
      <c r="L111" s="465"/>
      <c r="M111" s="465"/>
      <c r="N111" s="465"/>
      <c r="O111" s="163"/>
      <c r="P111" s="163"/>
    </row>
    <row r="112" spans="1:16" ht="19.5">
      <c r="A112" s="170"/>
      <c r="B112" s="171"/>
      <c r="C112" s="171"/>
      <c r="D112" s="171"/>
      <c r="E112" s="342"/>
      <c r="F112" s="342"/>
      <c r="G112" s="179"/>
      <c r="H112" s="196" t="s">
        <v>49</v>
      </c>
      <c r="I112" s="193">
        <f t="shared" ref="I112:J112" ca="1" si="59">I115+I116</f>
        <v>2</v>
      </c>
      <c r="J112" s="647">
        <f t="shared" si="59"/>
        <v>0</v>
      </c>
      <c r="K112" s="195">
        <f t="shared" ca="1" si="58"/>
        <v>0</v>
      </c>
      <c r="L112" s="465"/>
      <c r="M112" s="465"/>
      <c r="N112" s="465"/>
      <c r="O112" s="163"/>
      <c r="P112" s="163"/>
    </row>
    <row r="113" spans="1:26" ht="19.5">
      <c r="A113" s="170"/>
      <c r="B113" s="171"/>
      <c r="C113" s="171"/>
      <c r="D113" s="171"/>
      <c r="E113" s="494" t="s">
        <v>60</v>
      </c>
      <c r="F113" s="342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IFERROR(__xludf.DUMMYFUNCTION("IMPORTRANGE(""https://docs.google.com/spreadsheets/d/1QqKyyYR6Q21VydFLVH3TRQUabQu_ym0Zz7PgGX0-kHA/edit?usp=sharing"",""แผน!R14"")"),15)</f>
        <v>15</v>
      </c>
      <c r="J113" s="214">
        <v>0</v>
      </c>
      <c r="K113" s="465">
        <f t="shared" ca="1" si="58"/>
        <v>0</v>
      </c>
      <c r="L113" s="465"/>
      <c r="M113" s="465"/>
      <c r="N113" s="465"/>
      <c r="O113" s="163"/>
      <c r="P113" s="163"/>
    </row>
    <row r="114" spans="1:26" ht="19.5">
      <c r="A114" s="170"/>
      <c r="B114" s="171"/>
      <c r="C114" s="171"/>
      <c r="D114" s="171"/>
      <c r="E114" s="415" t="s">
        <v>61</v>
      </c>
      <c r="F114" s="342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IFERROR(__xludf.DUMMYFUNCTION("IMPORTRANGE(""https://docs.google.com/spreadsheets/d/1QqKyyYR6Q21VydFLVH3TRQUabQu_ym0Zz7PgGX0-kHA/edit?usp=sharing"",""แผน!R14"")"),15)</f>
        <v>15</v>
      </c>
      <c r="J114" s="214">
        <v>0</v>
      </c>
      <c r="K114" s="465">
        <f t="shared" ca="1" si="58"/>
        <v>0</v>
      </c>
      <c r="L114" s="465"/>
      <c r="M114" s="465"/>
      <c r="N114" s="465"/>
      <c r="O114" s="163"/>
      <c r="P114" s="163"/>
    </row>
    <row r="115" spans="1:26" ht="18.75">
      <c r="A115" s="170"/>
      <c r="B115" s="171"/>
      <c r="C115" s="171"/>
      <c r="D115" s="171"/>
      <c r="E115" s="415" t="s">
        <v>62</v>
      </c>
      <c r="F115" s="342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IFERROR(__xludf.DUMMYFUNCTION("IMPORTRANGE(""https://docs.google.com/spreadsheets/d/1QqKyyYR6Q21VydFLVH3TRQUabQu_ym0Zz7PgGX0-kHA/edit?usp=sharing"",""แผน!S14"")"),1)</f>
        <v>1</v>
      </c>
      <c r="J115" s="214">
        <v>0</v>
      </c>
      <c r="K115" s="465">
        <f t="shared" ca="1" si="58"/>
        <v>0</v>
      </c>
      <c r="L115" s="465"/>
      <c r="M115" s="465"/>
      <c r="N115" s="465"/>
      <c r="O115" s="163"/>
      <c r="P115" s="163"/>
    </row>
    <row r="116" spans="1:26" ht="18.75">
      <c r="A116" s="170"/>
      <c r="B116" s="171"/>
      <c r="C116" s="171"/>
      <c r="D116" s="171"/>
      <c r="E116" s="415" t="s">
        <v>63</v>
      </c>
      <c r="F116" s="342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IFERROR(__xludf.DUMMYFUNCTION("IMPORTRANGE(""https://docs.google.com/spreadsheets/d/1QqKyyYR6Q21VydFLVH3TRQUabQu_ym0Zz7PgGX0-kHA/edit?usp=sharing"",""แผน!T14"")"),1)</f>
        <v>1</v>
      </c>
      <c r="J116" s="214">
        <v>0</v>
      </c>
      <c r="K116" s="465">
        <f t="shared" ca="1" si="58"/>
        <v>0</v>
      </c>
      <c r="L116" s="465"/>
      <c r="M116" s="465"/>
      <c r="N116" s="465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8" t="s">
        <v>65</v>
      </c>
      <c r="C118" s="204"/>
      <c r="D118" s="141"/>
      <c r="E118" s="140"/>
      <c r="F118" s="140"/>
      <c r="G118" s="142"/>
      <c r="H118" s="143"/>
      <c r="I118" s="205"/>
      <c r="J118" s="205"/>
      <c r="K118" s="146"/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17" t="s">
        <v>17</v>
      </c>
      <c r="E119" s="148"/>
      <c r="F119" s="148"/>
      <c r="G119" s="151"/>
      <c r="H119" s="152" t="s">
        <v>12</v>
      </c>
      <c r="I119" s="388"/>
      <c r="J119" s="388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2" t="s">
        <v>18</v>
      </c>
      <c r="F120" s="40"/>
      <c r="G120" s="157"/>
      <c r="H120" s="158" t="s">
        <v>12</v>
      </c>
      <c r="I120" s="583"/>
      <c r="J120" s="583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2" t="s">
        <v>19</v>
      </c>
      <c r="F121" s="40"/>
      <c r="G121" s="157"/>
      <c r="H121" s="158" t="s">
        <v>12</v>
      </c>
      <c r="I121" s="583"/>
      <c r="J121" s="583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1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65">
        <f t="shared" ref="L122:N122" ca="1" si="64">L123+L124</f>
        <v>0</v>
      </c>
      <c r="M122" s="465">
        <f t="shared" ca="1" si="64"/>
        <v>0</v>
      </c>
      <c r="N122" s="465">
        <f t="shared" ca="1" si="64"/>
        <v>0</v>
      </c>
      <c r="O122" s="465">
        <f t="shared" ca="1" si="61"/>
        <v>0</v>
      </c>
      <c r="P122" s="465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2"/>
      <c r="D123" s="40"/>
      <c r="E123" s="222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2"/>
      <c r="D124" s="40"/>
      <c r="E124" s="222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IFERROR(__xludf.DUMMYFUNCTION("IMPORTRANGE(""https://docs.google.com/spreadsheets/d/1MeEWN-I1oV_STSDYn1IFDPWt_1FKiwhDph83XaGc0o0/edit?usp=sharing"",""งบพรบ!BA14"")"),0)</f>
        <v>0</v>
      </c>
      <c r="M124" s="93">
        <f ca="1">IFERROR(__xludf.DUMMYFUNCTION("IMPORTRANGE(""https://docs.google.com/spreadsheets/d/1MeEWN-I1oV_STSDYn1IFDPWt_1FKiwhDph83XaGc0o0/edit?usp=sharing"",""งบพรบ!BF14"")"),0)</f>
        <v>0</v>
      </c>
      <c r="N124" s="93">
        <f ca="1">IFERROR(__xludf.DUMMYFUNCTION("IMPORTRANGE(""https://docs.google.com/spreadsheets/d/1MeEWN-I1oV_STSDYn1IFDPWt_1FKiwhDph83XaGc0o0/edit?usp=sharing"",""งบพรบ!BH14"")"),0)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1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65">
        <f t="shared" ref="L125:N125" ca="1" si="65">L126+L127</f>
        <v>0</v>
      </c>
      <c r="M125" s="465">
        <f t="shared" ca="1" si="65"/>
        <v>0</v>
      </c>
      <c r="N125" s="465">
        <f t="shared" ca="1" si="65"/>
        <v>0</v>
      </c>
      <c r="O125" s="465">
        <f t="shared" ca="1" si="61"/>
        <v>0</v>
      </c>
      <c r="P125" s="465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2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2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IFERROR(__xludf.DUMMYFUNCTION("IMPORTRANGE(""https://docs.google.com/spreadsheets/d/1MeEWN-I1oV_STSDYn1IFDPWt_1FKiwhDph83XaGc0o0/edit?usp=sharing"",""งบพรบ!BD14"")"),0)</f>
        <v>0</v>
      </c>
      <c r="M127" s="93">
        <f ca="1">IFERROR(__xludf.DUMMYFUNCTION("IMPORTRANGE(""https://docs.google.com/spreadsheets/d/1MeEWN-I1oV_STSDYn1IFDPWt_1FKiwhDph83XaGc0o0/edit?usp=sharing"",""งบพรบ!BG14"")"),0)</f>
        <v>0</v>
      </c>
      <c r="N127" s="93">
        <f ca="1">IFERROR(__xludf.DUMMYFUNCTION("IMPORTRANGE(""https://docs.google.com/spreadsheets/d/1MeEWN-I1oV_STSDYn1IFDPWt_1FKiwhDph83XaGc0o0/edit?usp=sharing"",""งบพรบ!BI14"")"),0)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66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8" t="s">
        <v>67</v>
      </c>
      <c r="C129" s="204"/>
      <c r="D129" s="141"/>
      <c r="E129" s="140"/>
      <c r="F129" s="140"/>
      <c r="G129" s="140"/>
      <c r="H129" s="207"/>
      <c r="I129" s="205"/>
      <c r="J129" s="205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8"/>
      <c r="C130" s="209" t="s">
        <v>68</v>
      </c>
      <c r="D130" s="141"/>
      <c r="E130" s="140"/>
      <c r="F130" s="140"/>
      <c r="G130" s="142"/>
      <c r="H130" s="143" t="s">
        <v>69</v>
      </c>
      <c r="I130" s="144">
        <f t="shared" ref="I130:J130" ca="1" si="66">I146</f>
        <v>0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8"/>
      <c r="C131" s="209" t="s">
        <v>70</v>
      </c>
      <c r="D131" s="141"/>
      <c r="E131" s="140"/>
      <c r="F131" s="140"/>
      <c r="G131" s="142"/>
      <c r="H131" s="143" t="s">
        <v>35</v>
      </c>
      <c r="I131" s="144">
        <f t="shared" ref="I131:J131" ca="1" si="68">I143</f>
        <v>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817" t="s">
        <v>17</v>
      </c>
      <c r="E132" s="148"/>
      <c r="F132" s="148"/>
      <c r="G132" s="151"/>
      <c r="H132" s="152" t="s">
        <v>12</v>
      </c>
      <c r="I132" s="388"/>
      <c r="J132" s="388"/>
      <c r="K132" s="154"/>
      <c r="L132" s="155">
        <f t="shared" ref="L132:N132" ca="1" si="69">L133+L134</f>
        <v>0</v>
      </c>
      <c r="M132" s="155">
        <f t="shared" ca="1" si="69"/>
        <v>0</v>
      </c>
      <c r="N132" s="155">
        <f t="shared" ca="1" si="69"/>
        <v>0</v>
      </c>
      <c r="O132" s="155">
        <f t="shared" ref="O132:O140" ca="1" si="70">IF(L132&gt;0,N132*100/L132,0)</f>
        <v>0</v>
      </c>
      <c r="P132" s="155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2" t="s">
        <v>18</v>
      </c>
      <c r="F133" s="40"/>
      <c r="G133" s="157"/>
      <c r="H133" s="158" t="s">
        <v>12</v>
      </c>
      <c r="I133" s="583"/>
      <c r="J133" s="583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2" t="s">
        <v>19</v>
      </c>
      <c r="F134" s="40"/>
      <c r="G134" s="157"/>
      <c r="H134" s="158" t="s">
        <v>12</v>
      </c>
      <c r="I134" s="583"/>
      <c r="J134" s="583"/>
      <c r="K134" s="93"/>
      <c r="L134" s="93">
        <f t="shared" ca="1" si="72"/>
        <v>0</v>
      </c>
      <c r="M134" s="93">
        <f t="shared" ca="1" si="72"/>
        <v>0</v>
      </c>
      <c r="N134" s="93">
        <f t="shared" ca="1" si="72"/>
        <v>0</v>
      </c>
      <c r="O134" s="93">
        <f t="shared" ca="1" si="70"/>
        <v>0</v>
      </c>
      <c r="P134" s="93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1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65">
        <f t="shared" ref="L135:N135" ca="1" si="73">L136+L137</f>
        <v>0</v>
      </c>
      <c r="M135" s="465">
        <f t="shared" ca="1" si="73"/>
        <v>0</v>
      </c>
      <c r="N135" s="465">
        <f t="shared" ca="1" si="73"/>
        <v>0</v>
      </c>
      <c r="O135" s="465">
        <f t="shared" ca="1" si="70"/>
        <v>0</v>
      </c>
      <c r="P135" s="465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2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2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IFERROR(__xludf.DUMMYFUNCTION("IMPORTRANGE(""https://docs.google.com/spreadsheets/d/1MeEWN-I1oV_STSDYn1IFDPWt_1FKiwhDph83XaGc0o0/edit?usp=sharing"",""งบพรบ!BK14"")"),0)</f>
        <v>0</v>
      </c>
      <c r="M137" s="93">
        <f ca="1">IFERROR(__xludf.DUMMYFUNCTION("IMPORTRANGE(""https://docs.google.com/spreadsheets/d/1MeEWN-I1oV_STSDYn1IFDPWt_1FKiwhDph83XaGc0o0/edit?usp=sharing"",""งบพรบ!BP14"")"),0)</f>
        <v>0</v>
      </c>
      <c r="N137" s="93">
        <f ca="1">IFERROR(__xludf.DUMMYFUNCTION("IMPORTRANGE(""https://docs.google.com/spreadsheets/d/1MeEWN-I1oV_STSDYn1IFDPWt_1FKiwhDph83XaGc0o0/edit?usp=sharing"",""งบพรบ!BR14"")"),0)</f>
        <v>0</v>
      </c>
      <c r="O137" s="93">
        <f t="shared" ca="1" si="70"/>
        <v>0</v>
      </c>
      <c r="P137" s="93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1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65">
        <f t="shared" ref="L138:N138" ca="1" si="74">L139+L140</f>
        <v>0</v>
      </c>
      <c r="M138" s="465">
        <f t="shared" ca="1" si="74"/>
        <v>0</v>
      </c>
      <c r="N138" s="465">
        <f t="shared" ca="1" si="74"/>
        <v>0</v>
      </c>
      <c r="O138" s="465">
        <f t="shared" ca="1" si="70"/>
        <v>0</v>
      </c>
      <c r="P138" s="465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2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2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IFERROR(__xludf.DUMMYFUNCTION("IMPORTRANGE(""https://docs.google.com/spreadsheets/d/1MeEWN-I1oV_STSDYn1IFDPWt_1FKiwhDph83XaGc0o0/edit?usp=sharing"",""งบพรบ!BN14"")"),0)</f>
        <v>0</v>
      </c>
      <c r="M140" s="93">
        <f ca="1">IFERROR(__xludf.DUMMYFUNCTION("IMPORTRANGE(""https://docs.google.com/spreadsheets/d/1MeEWN-I1oV_STSDYn1IFDPWt_1FKiwhDph83XaGc0o0/edit?usp=sharing"",""งบพรบ!BQ14"")"),0)</f>
        <v>0</v>
      </c>
      <c r="N140" s="93">
        <f ca="1">IFERROR(__xludf.DUMMYFUNCTION("IMPORTRANGE(""https://docs.google.com/spreadsheets/d/1MeEWN-I1oV_STSDYn1IFDPWt_1FKiwhDph83XaGc0o0/edit?usp=sharing"",""งบพรบ!BS14"")"),0)</f>
        <v>0</v>
      </c>
      <c r="O140" s="93">
        <f t="shared" ca="1" si="70"/>
        <v>0</v>
      </c>
      <c r="P140" s="93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818" t="s">
        <v>38</v>
      </c>
      <c r="E141" s="173"/>
      <c r="F141" s="173"/>
      <c r="G141" s="174"/>
      <c r="H141" s="168"/>
      <c r="I141" s="269"/>
      <c r="J141" s="269"/>
      <c r="K141" s="465"/>
      <c r="L141" s="465"/>
      <c r="M141" s="465"/>
      <c r="N141" s="465"/>
      <c r="O141" s="465"/>
      <c r="P141" s="465"/>
    </row>
    <row r="142" spans="1:26" ht="19.5" hidden="1">
      <c r="A142" s="159"/>
      <c r="B142" s="33"/>
      <c r="C142" s="210"/>
      <c r="D142" s="281" t="s">
        <v>71</v>
      </c>
      <c r="E142" s="34"/>
      <c r="F142" s="33"/>
      <c r="G142" s="213"/>
      <c r="H142" s="168"/>
      <c r="I142" s="269"/>
      <c r="J142" s="214">
        <v>0</v>
      </c>
      <c r="K142" s="465"/>
      <c r="L142" s="465"/>
      <c r="M142" s="465"/>
      <c r="N142" s="465"/>
      <c r="O142" s="465"/>
      <c r="P142" s="465"/>
    </row>
    <row r="143" spans="1:26" ht="19.5" hidden="1">
      <c r="A143" s="159"/>
      <c r="B143" s="33"/>
      <c r="C143" s="210"/>
      <c r="D143" s="281" t="s">
        <v>72</v>
      </c>
      <c r="E143" s="34"/>
      <c r="F143" s="33"/>
      <c r="G143" s="213"/>
      <c r="H143" s="168" t="s">
        <v>35</v>
      </c>
      <c r="I143" s="269">
        <f ca="1">I145</f>
        <v>0</v>
      </c>
      <c r="J143" s="269">
        <f ca="1">IF(AND(J144&gt;=I144,J145&gt;=I145),J145,0)</f>
        <v>0</v>
      </c>
      <c r="K143" s="465">
        <f t="shared" ref="K143:K146" ca="1" si="75">IF(I143&gt;0,J143*100/I143,0)</f>
        <v>0</v>
      </c>
      <c r="L143" s="465"/>
      <c r="M143" s="465"/>
      <c r="N143" s="465"/>
      <c r="O143" s="465"/>
      <c r="P143" s="465"/>
    </row>
    <row r="144" spans="1:26" ht="19.5" hidden="1">
      <c r="A144" s="159"/>
      <c r="B144" s="33"/>
      <c r="C144" s="210"/>
      <c r="D144" s="342"/>
      <c r="E144" s="281" t="s">
        <v>73</v>
      </c>
      <c r="F144" s="33"/>
      <c r="G144" s="213"/>
      <c r="H144" s="168" t="s">
        <v>35</v>
      </c>
      <c r="I144" s="269">
        <f ca="1">IFERROR(__xludf.DUMMYFUNCTION("IMPORTRANGE(""https://docs.google.com/spreadsheets/d/1QqKyyYR6Q21VydFLVH3TRQUabQu_ym0Zz7PgGX0-kHA/edit?usp=sharing"",""แผน!U14"")"),0)</f>
        <v>0</v>
      </c>
      <c r="J144" s="214">
        <v>0</v>
      </c>
      <c r="K144" s="465">
        <f t="shared" ca="1" si="75"/>
        <v>0</v>
      </c>
      <c r="L144" s="465"/>
      <c r="M144" s="465"/>
      <c r="N144" s="465"/>
      <c r="O144" s="465"/>
      <c r="P144" s="465"/>
    </row>
    <row r="145" spans="1:26" ht="19.5" hidden="1">
      <c r="A145" s="159"/>
      <c r="B145" s="33"/>
      <c r="C145" s="210"/>
      <c r="D145" s="342"/>
      <c r="E145" s="281" t="s">
        <v>74</v>
      </c>
      <c r="F145" s="33"/>
      <c r="G145" s="213"/>
      <c r="H145" s="168" t="s">
        <v>35</v>
      </c>
      <c r="I145" s="269">
        <f ca="1">IFERROR(__xludf.DUMMYFUNCTION("IMPORTRANGE(""https://docs.google.com/spreadsheets/d/1QqKyyYR6Q21VydFLVH3TRQUabQu_ym0Zz7PgGX0-kHA/edit?usp=sharing"",""แผน!V14"")"),0)</f>
        <v>0</v>
      </c>
      <c r="J145" s="214">
        <v>0</v>
      </c>
      <c r="K145" s="465">
        <f t="shared" ca="1" si="75"/>
        <v>0</v>
      </c>
      <c r="L145" s="465"/>
      <c r="M145" s="465"/>
      <c r="N145" s="465"/>
      <c r="O145" s="465"/>
      <c r="P145" s="465"/>
    </row>
    <row r="146" spans="1:26" ht="19.5" hidden="1">
      <c r="A146" s="159"/>
      <c r="B146" s="33"/>
      <c r="C146" s="210"/>
      <c r="D146" s="281" t="s">
        <v>75</v>
      </c>
      <c r="E146" s="34"/>
      <c r="F146" s="33"/>
      <c r="G146" s="213"/>
      <c r="H146" s="168" t="s">
        <v>69</v>
      </c>
      <c r="I146" s="269">
        <f ca="1">IFERROR(__xludf.DUMMYFUNCTION("IMPORTRANGE(""https://docs.google.com/spreadsheets/d/1QqKyyYR6Q21VydFLVH3TRQUabQu_ym0Zz7PgGX0-kHA/edit?usp=sharing"",""แผน!W14"")"),0)</f>
        <v>0</v>
      </c>
      <c r="J146" s="214">
        <v>0</v>
      </c>
      <c r="K146" s="465">
        <f t="shared" ca="1" si="75"/>
        <v>0</v>
      </c>
      <c r="L146" s="465"/>
      <c r="M146" s="465"/>
      <c r="N146" s="465"/>
      <c r="O146" s="465"/>
      <c r="P146" s="465"/>
    </row>
    <row r="147" spans="1:26" ht="19.5" hidden="1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 hidden="1">
      <c r="A148" s="216"/>
      <c r="B148" s="208" t="s">
        <v>77</v>
      </c>
      <c r="C148" s="208"/>
      <c r="D148" s="208"/>
      <c r="E148" s="819"/>
      <c r="F148" s="218"/>
      <c r="G148" s="219"/>
      <c r="H148" s="220" t="s">
        <v>35</v>
      </c>
      <c r="I148" s="144">
        <f t="shared" ref="I148:J148" ca="1" si="76">I159</f>
        <v>0</v>
      </c>
      <c r="J148" s="144">
        <f t="shared" si="76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1"/>
      <c r="R148" s="221"/>
      <c r="S148" s="221"/>
      <c r="T148" s="221"/>
      <c r="U148" s="221"/>
      <c r="V148" s="221"/>
      <c r="W148" s="221"/>
      <c r="X148" s="221"/>
      <c r="Y148" s="221"/>
      <c r="Z148" s="221"/>
    </row>
    <row r="149" spans="1:26" ht="19.5" hidden="1">
      <c r="A149" s="147"/>
      <c r="B149" s="148"/>
      <c r="C149" s="149" t="s">
        <v>16</v>
      </c>
      <c r="D149" s="817" t="s">
        <v>17</v>
      </c>
      <c r="E149" s="148"/>
      <c r="F149" s="148"/>
      <c r="G149" s="151"/>
      <c r="H149" s="152" t="s">
        <v>12</v>
      </c>
      <c r="I149" s="388"/>
      <c r="J149" s="388"/>
      <c r="K149" s="154"/>
      <c r="L149" s="155">
        <f t="shared" ref="L149:N149" ca="1" si="77">L150+L151</f>
        <v>0</v>
      </c>
      <c r="M149" s="155">
        <f t="shared" ca="1" si="77"/>
        <v>0</v>
      </c>
      <c r="N149" s="155">
        <f t="shared" ca="1" si="77"/>
        <v>0</v>
      </c>
      <c r="O149" s="155">
        <f t="shared" ref="O149:O157" ca="1" si="78">IF(L149&gt;0,N149*100/L149,0)</f>
        <v>0</v>
      </c>
      <c r="P149" s="155">
        <f t="shared" ref="P149:P157" ca="1" si="79">IF(M149&gt;0,N149*100/M149,0)</f>
        <v>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2" t="s">
        <v>18</v>
      </c>
      <c r="F150" s="40"/>
      <c r="G150" s="157"/>
      <c r="H150" s="158" t="s">
        <v>12</v>
      </c>
      <c r="I150" s="583"/>
      <c r="J150" s="583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2" t="s">
        <v>19</v>
      </c>
      <c r="F151" s="40"/>
      <c r="G151" s="157"/>
      <c r="H151" s="158" t="s">
        <v>12</v>
      </c>
      <c r="I151" s="583"/>
      <c r="J151" s="583"/>
      <c r="K151" s="93"/>
      <c r="L151" s="93">
        <f t="shared" ca="1" si="80"/>
        <v>0</v>
      </c>
      <c r="M151" s="93">
        <f t="shared" ca="1" si="80"/>
        <v>0</v>
      </c>
      <c r="N151" s="93">
        <f t="shared" ca="1" si="80"/>
        <v>0</v>
      </c>
      <c r="O151" s="93">
        <f t="shared" ca="1" si="78"/>
        <v>0</v>
      </c>
      <c r="P151" s="93">
        <f t="shared" ca="1" si="79"/>
        <v>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 hidden="1">
      <c r="A152" s="159"/>
      <c r="B152" s="33"/>
      <c r="C152" s="281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65">
        <f t="shared" ref="L152:N152" ca="1" si="81">L153+L154</f>
        <v>0</v>
      </c>
      <c r="M152" s="465">
        <f t="shared" ca="1" si="81"/>
        <v>0</v>
      </c>
      <c r="N152" s="465">
        <f t="shared" ca="1" si="81"/>
        <v>0</v>
      </c>
      <c r="O152" s="465">
        <f t="shared" ca="1" si="78"/>
        <v>0</v>
      </c>
      <c r="P152" s="465">
        <f t="shared" ca="1" si="79"/>
        <v>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2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2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IFERROR(__xludf.DUMMYFUNCTION("IMPORTRANGE(""https://docs.google.com/spreadsheets/d/1MeEWN-I1oV_STSDYn1IFDPWt_1FKiwhDph83XaGc0o0/edit?usp=sharing"",""งบพรบ!BU14"")"),0)</f>
        <v>0</v>
      </c>
      <c r="M154" s="93">
        <f ca="1">IFERROR(__xludf.DUMMYFUNCTION("IMPORTRANGE(""https://docs.google.com/spreadsheets/d/1MeEWN-I1oV_STSDYn1IFDPWt_1FKiwhDph83XaGc0o0/edit?usp=sharing"",""งบพรบ!BZ14"")"),0)</f>
        <v>0</v>
      </c>
      <c r="N154" s="93">
        <f ca="1">IFERROR(__xludf.DUMMYFUNCTION("IMPORTRANGE(""https://docs.google.com/spreadsheets/d/1MeEWN-I1oV_STSDYn1IFDPWt_1FKiwhDph83XaGc0o0/edit?usp=sharing"",""งบพรบ!CB14"")"),0)</f>
        <v>0</v>
      </c>
      <c r="O154" s="93">
        <f t="shared" ca="1" si="78"/>
        <v>0</v>
      </c>
      <c r="P154" s="93">
        <f t="shared" ca="1" si="79"/>
        <v>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 hidden="1">
      <c r="A155" s="159"/>
      <c r="B155" s="33"/>
      <c r="C155" s="281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65">
        <f t="shared" ref="L155:N155" ca="1" si="82">L156+L157</f>
        <v>0</v>
      </c>
      <c r="M155" s="465">
        <f t="shared" ca="1" si="82"/>
        <v>0</v>
      </c>
      <c r="N155" s="465">
        <f t="shared" ca="1" si="82"/>
        <v>0</v>
      </c>
      <c r="O155" s="465">
        <f t="shared" ca="1" si="78"/>
        <v>0</v>
      </c>
      <c r="P155" s="465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2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2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IFERROR(__xludf.DUMMYFUNCTION("IMPORTRANGE(""https://docs.google.com/spreadsheets/d/1MeEWN-I1oV_STSDYn1IFDPWt_1FKiwhDph83XaGc0o0/edit?usp=sharing"",""งบพรบ!BX14"")"),0)</f>
        <v>0</v>
      </c>
      <c r="M157" s="93">
        <f ca="1">IFERROR(__xludf.DUMMYFUNCTION("IMPORTRANGE(""https://docs.google.com/spreadsheets/d/1MeEWN-I1oV_STSDYn1IFDPWt_1FKiwhDph83XaGc0o0/edit?usp=sharing"",""งบพรบ!CA14"")"),0)</f>
        <v>0</v>
      </c>
      <c r="N157" s="93">
        <f ca="1">IFERROR(__xludf.DUMMYFUNCTION("IMPORTRANGE(""https://docs.google.com/spreadsheets/d/1MeEWN-I1oV_STSDYn1IFDPWt_1FKiwhDph83XaGc0o0/edit?usp=sharing"",""งบพรบ!CC14"")"),0)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 hidden="1">
      <c r="A158" s="170"/>
      <c r="B158" s="171"/>
      <c r="C158" s="164" t="s">
        <v>16</v>
      </c>
      <c r="D158" s="818" t="s">
        <v>38</v>
      </c>
      <c r="E158" s="173"/>
      <c r="F158" s="173"/>
      <c r="G158" s="174"/>
      <c r="H158" s="168"/>
      <c r="I158" s="269"/>
      <c r="J158" s="269"/>
      <c r="K158" s="465"/>
      <c r="L158" s="465"/>
      <c r="M158" s="465"/>
      <c r="N158" s="465"/>
      <c r="O158" s="465"/>
      <c r="P158" s="465"/>
    </row>
    <row r="159" spans="1:26" ht="19.5" hidden="1">
      <c r="A159" s="159"/>
      <c r="B159" s="33"/>
      <c r="C159" s="210"/>
      <c r="D159" s="281" t="s">
        <v>78</v>
      </c>
      <c r="E159" s="34"/>
      <c r="F159" s="33"/>
      <c r="G159" s="213"/>
      <c r="H159" s="168" t="s">
        <v>35</v>
      </c>
      <c r="I159" s="269">
        <f ca="1">IFERROR(__xludf.DUMMYFUNCTION("IMPORTRANGE(""https://docs.google.com/spreadsheets/d/1QqKyyYR6Q21VydFLVH3TRQUabQu_ym0Zz7PgGX0-kHA/edit?usp=sharing"",""แผน!X14"")"),0)</f>
        <v>0</v>
      </c>
      <c r="J159" s="214">
        <v>0</v>
      </c>
      <c r="K159" s="465">
        <f ca="1">IF(I159&gt;0,J159*100/I159,0)</f>
        <v>0</v>
      </c>
      <c r="L159" s="465"/>
      <c r="M159" s="465"/>
      <c r="N159" s="465"/>
      <c r="O159" s="465"/>
      <c r="P159" s="465"/>
    </row>
    <row r="160" spans="1:26" ht="19.5" hidden="1">
      <c r="A160" s="156"/>
      <c r="B160" s="40"/>
      <c r="C160" s="164"/>
      <c r="D160" s="222" t="s">
        <v>79</v>
      </c>
      <c r="E160" s="223"/>
      <c r="F160" s="40"/>
      <c r="G160" s="157"/>
      <c r="H160" s="169" t="s">
        <v>35</v>
      </c>
      <c r="I160" s="583"/>
      <c r="J160" s="583"/>
      <c r="K160" s="93"/>
      <c r="L160" s="93"/>
      <c r="M160" s="93"/>
      <c r="N160" s="93"/>
      <c r="O160" s="93"/>
      <c r="P160" s="93"/>
      <c r="Q160" s="224"/>
      <c r="R160" s="224"/>
      <c r="S160" s="224"/>
      <c r="T160" s="224"/>
      <c r="U160" s="224"/>
      <c r="V160" s="224"/>
      <c r="W160" s="224"/>
      <c r="X160" s="224"/>
      <c r="Y160" s="224"/>
      <c r="Z160" s="224"/>
    </row>
    <row r="161" spans="1:26" ht="19.5" hidden="1">
      <c r="A161" s="225"/>
      <c r="B161" s="226"/>
      <c r="C161" s="227"/>
      <c r="D161" s="228" t="s">
        <v>80</v>
      </c>
      <c r="E161" s="820"/>
      <c r="F161" s="226"/>
      <c r="G161" s="230"/>
      <c r="H161" s="231" t="s">
        <v>35</v>
      </c>
      <c r="I161" s="232"/>
      <c r="J161" s="232"/>
      <c r="K161" s="233"/>
      <c r="L161" s="233"/>
      <c r="M161" s="233"/>
      <c r="N161" s="233"/>
      <c r="O161" s="233"/>
      <c r="P161" s="233"/>
      <c r="Q161" s="224"/>
      <c r="R161" s="224"/>
      <c r="S161" s="224"/>
      <c r="T161" s="224"/>
      <c r="U161" s="224"/>
      <c r="V161" s="224"/>
      <c r="W161" s="224"/>
      <c r="X161" s="224"/>
      <c r="Y161" s="224"/>
      <c r="Z161" s="224"/>
    </row>
    <row r="162" spans="1:26" ht="19.5">
      <c r="A162" s="234" t="s">
        <v>81</v>
      </c>
      <c r="B162" s="235"/>
      <c r="C162" s="235"/>
      <c r="D162" s="235"/>
      <c r="E162" s="236"/>
      <c r="F162" s="236"/>
      <c r="G162" s="237"/>
      <c r="H162" s="238"/>
      <c r="I162" s="239"/>
      <c r="J162" s="239"/>
      <c r="K162" s="240"/>
      <c r="L162" s="240"/>
      <c r="M162" s="240"/>
      <c r="N162" s="240"/>
      <c r="O162" s="240"/>
      <c r="P162" s="240"/>
    </row>
    <row r="163" spans="1:26" ht="19.5">
      <c r="A163" s="241" t="s">
        <v>82</v>
      </c>
      <c r="B163" s="242"/>
      <c r="C163" s="242"/>
      <c r="D163" s="243"/>
      <c r="E163" s="243"/>
      <c r="F163" s="243"/>
      <c r="G163" s="244"/>
      <c r="H163" s="245"/>
      <c r="I163" s="246"/>
      <c r="J163" s="246"/>
      <c r="K163" s="247"/>
      <c r="L163" s="247"/>
      <c r="M163" s="247"/>
      <c r="N163" s="247"/>
      <c r="O163" s="247"/>
      <c r="P163" s="247"/>
    </row>
    <row r="164" spans="1:26" ht="19.5">
      <c r="A164" s="248"/>
      <c r="B164" s="249" t="s">
        <v>83</v>
      </c>
      <c r="C164" s="250"/>
      <c r="D164" s="173"/>
      <c r="E164" s="173"/>
      <c r="F164" s="173"/>
      <c r="G164" s="174"/>
      <c r="H164" s="251" t="s">
        <v>35</v>
      </c>
      <c r="I164" s="252">
        <f t="shared" ref="I164:J164" ca="1" si="83">I174+I177</f>
        <v>12</v>
      </c>
      <c r="J164" s="252">
        <f t="shared" si="83"/>
        <v>12</v>
      </c>
      <c r="K164" s="253">
        <f ca="1">IF(I164&gt;0,J164*100/I164,0)</f>
        <v>100</v>
      </c>
      <c r="L164" s="254"/>
      <c r="M164" s="254"/>
      <c r="N164" s="254"/>
      <c r="O164" s="254"/>
      <c r="P164" s="254"/>
    </row>
    <row r="165" spans="1:26" ht="19.5">
      <c r="A165" s="147"/>
      <c r="B165" s="148"/>
      <c r="C165" s="149" t="s">
        <v>16</v>
      </c>
      <c r="D165" s="817" t="s">
        <v>17</v>
      </c>
      <c r="E165" s="148"/>
      <c r="F165" s="148"/>
      <c r="G165" s="151"/>
      <c r="H165" s="152" t="s">
        <v>12</v>
      </c>
      <c r="I165" s="388"/>
      <c r="J165" s="388"/>
      <c r="K165" s="154"/>
      <c r="L165" s="155">
        <f t="shared" ref="L165:N165" ca="1" si="84">L166+L167</f>
        <v>23060</v>
      </c>
      <c r="M165" s="155">
        <f t="shared" ca="1" si="84"/>
        <v>23060</v>
      </c>
      <c r="N165" s="155">
        <f t="shared" ca="1" si="84"/>
        <v>23060</v>
      </c>
      <c r="O165" s="155">
        <f t="shared" ref="O165:O173" ca="1" si="85">IF(L165&gt;0,N165*100/L165,0)</f>
        <v>100</v>
      </c>
      <c r="P165" s="155">
        <f t="shared" ref="P165:P173" ca="1" si="86">IF(M165&gt;0,N165*100/M165,0)</f>
        <v>100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2" t="s">
        <v>18</v>
      </c>
      <c r="F166" s="40"/>
      <c r="G166" s="157"/>
      <c r="H166" s="158" t="s">
        <v>12</v>
      </c>
      <c r="I166" s="583"/>
      <c r="J166" s="583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2" t="s">
        <v>19</v>
      </c>
      <c r="F167" s="40"/>
      <c r="G167" s="157"/>
      <c r="H167" s="158" t="s">
        <v>12</v>
      </c>
      <c r="I167" s="583"/>
      <c r="J167" s="583"/>
      <c r="K167" s="93"/>
      <c r="L167" s="93">
        <f t="shared" ca="1" si="87"/>
        <v>23060</v>
      </c>
      <c r="M167" s="93">
        <f t="shared" ca="1" si="87"/>
        <v>23060</v>
      </c>
      <c r="N167" s="93">
        <f t="shared" ca="1" si="87"/>
        <v>23060</v>
      </c>
      <c r="O167" s="93">
        <f t="shared" ca="1" si="85"/>
        <v>100</v>
      </c>
      <c r="P167" s="93">
        <f t="shared" ca="1" si="86"/>
        <v>100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1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65">
        <f t="shared" ref="L168:N168" ca="1" si="88">L169+L170</f>
        <v>23060</v>
      </c>
      <c r="M168" s="465">
        <f t="shared" ca="1" si="88"/>
        <v>23060</v>
      </c>
      <c r="N168" s="465">
        <f t="shared" ca="1" si="88"/>
        <v>23060</v>
      </c>
      <c r="O168" s="465">
        <f t="shared" ca="1" si="85"/>
        <v>100</v>
      </c>
      <c r="P168" s="465">
        <f t="shared" ca="1" si="86"/>
        <v>100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2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2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IFERROR(__xludf.DUMMYFUNCTION("IMPORTRANGE(""https://docs.google.com/spreadsheets/d/1MeEWN-I1oV_STSDYn1IFDPWt_1FKiwhDph83XaGc0o0/edit?usp=sharing"",""งบพรบ!CE14"")"),23060)</f>
        <v>23060</v>
      </c>
      <c r="M170" s="93">
        <f ca="1">IFERROR(__xludf.DUMMYFUNCTION("IMPORTRANGE(""https://docs.google.com/spreadsheets/d/1MeEWN-I1oV_STSDYn1IFDPWt_1FKiwhDph83XaGc0o0/edit?usp=sharing"",""งบพรบ!CJ14"")"),23060)</f>
        <v>23060</v>
      </c>
      <c r="N170" s="93">
        <f ca="1">IFERROR(__xludf.DUMMYFUNCTION("IMPORTRANGE(""https://docs.google.com/spreadsheets/d/1MeEWN-I1oV_STSDYn1IFDPWt_1FKiwhDph83XaGc0o0/edit?usp=sharing"",""งบพรบ!CL14"")"),23060)</f>
        <v>23060</v>
      </c>
      <c r="O170" s="93">
        <f t="shared" ca="1" si="85"/>
        <v>100</v>
      </c>
      <c r="P170" s="93">
        <f t="shared" ca="1" si="86"/>
        <v>100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1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65">
        <f t="shared" ref="L171:N171" ca="1" si="89">L172+L173</f>
        <v>0</v>
      </c>
      <c r="M171" s="465">
        <f t="shared" ca="1" si="89"/>
        <v>0</v>
      </c>
      <c r="N171" s="465">
        <f t="shared" ca="1" si="89"/>
        <v>0</v>
      </c>
      <c r="O171" s="465">
        <f t="shared" ca="1" si="85"/>
        <v>0</v>
      </c>
      <c r="P171" s="465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2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2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IFERROR(__xludf.DUMMYFUNCTION("IMPORTRANGE(""https://docs.google.com/spreadsheets/d/1MeEWN-I1oV_STSDYn1IFDPWt_1FKiwhDph83XaGc0o0/edit?usp=sharing"",""งบพรบ!CH14"")"),0)</f>
        <v>0</v>
      </c>
      <c r="M173" s="93">
        <f ca="1">IFERROR(__xludf.DUMMYFUNCTION("IMPORTRANGE(""https://docs.google.com/spreadsheets/d/1MeEWN-I1oV_STSDYn1IFDPWt_1FKiwhDph83XaGc0o0/edit?usp=sharing"",""งบพรบ!CK14"")"),0)</f>
        <v>0</v>
      </c>
      <c r="N173" s="93">
        <f ca="1">IFERROR(__xludf.DUMMYFUNCTION("IMPORTRANGE(""https://docs.google.com/spreadsheets/d/1MeEWN-I1oV_STSDYn1IFDPWt_1FKiwhDph83XaGc0o0/edit?usp=sharing"",""งบพรบ!CM14"")"),0)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5"/>
      <c r="B174" s="256"/>
      <c r="C174" s="257" t="s">
        <v>84</v>
      </c>
      <c r="D174" s="256"/>
      <c r="E174" s="256"/>
      <c r="F174" s="256"/>
      <c r="G174" s="258"/>
      <c r="H174" s="259" t="s">
        <v>35</v>
      </c>
      <c r="I174" s="260">
        <f t="shared" ref="I174:J174" ca="1" si="90">I176</f>
        <v>12</v>
      </c>
      <c r="J174" s="260">
        <f t="shared" si="90"/>
        <v>12</v>
      </c>
      <c r="K174" s="261">
        <f ca="1">IF(I174&gt;0,J174*100/I174,0)</f>
        <v>100</v>
      </c>
      <c r="L174" s="261"/>
      <c r="M174" s="261"/>
      <c r="N174" s="261"/>
      <c r="O174" s="261"/>
      <c r="P174" s="261"/>
    </row>
    <row r="175" spans="1:26" ht="19.5">
      <c r="A175" s="170"/>
      <c r="B175" s="171"/>
      <c r="C175" s="164" t="s">
        <v>16</v>
      </c>
      <c r="D175" s="818" t="s">
        <v>38</v>
      </c>
      <c r="E175" s="173"/>
      <c r="F175" s="173"/>
      <c r="G175" s="174"/>
      <c r="H175" s="726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10" t="s">
        <v>85</v>
      </c>
      <c r="E176" s="342"/>
      <c r="F176" s="342"/>
      <c r="G176" s="179"/>
      <c r="H176" s="589" t="s">
        <v>35</v>
      </c>
      <c r="I176" s="269">
        <f ca="1">IFERROR(__xludf.DUMMYFUNCTION("IMPORTRANGE(""https://docs.google.com/spreadsheets/d/1QqKyyYR6Q21VydFLVH3TRQUabQu_ym0Zz7PgGX0-kHA/edit?usp=sharing"",""แผน!Y14"")"),12)</f>
        <v>12</v>
      </c>
      <c r="J176" s="214">
        <v>12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5"/>
      <c r="B177" s="263"/>
      <c r="C177" s="264" t="s">
        <v>86</v>
      </c>
      <c r="D177" s="263"/>
      <c r="E177" s="256"/>
      <c r="F177" s="256"/>
      <c r="G177" s="258"/>
      <c r="H177" s="265" t="s">
        <v>35</v>
      </c>
      <c r="I177" s="260"/>
      <c r="J177" s="260">
        <f>J179</f>
        <v>0</v>
      </c>
      <c r="K177" s="261"/>
      <c r="L177" s="261"/>
      <c r="M177" s="261"/>
      <c r="N177" s="261"/>
      <c r="O177" s="261"/>
      <c r="P177" s="261"/>
    </row>
    <row r="178" spans="1:26" ht="19.5" hidden="1">
      <c r="A178" s="170"/>
      <c r="B178" s="171"/>
      <c r="C178" s="164" t="s">
        <v>16</v>
      </c>
      <c r="D178" s="266" t="s">
        <v>38</v>
      </c>
      <c r="E178" s="173"/>
      <c r="F178" s="173"/>
      <c r="G178" s="174"/>
      <c r="H178" s="726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267" t="s">
        <v>87</v>
      </c>
      <c r="E179" s="342"/>
      <c r="F179" s="268"/>
      <c r="G179" s="179"/>
      <c r="H179" s="43" t="s">
        <v>35</v>
      </c>
      <c r="I179" s="269"/>
      <c r="J179" s="269"/>
      <c r="K179" s="163"/>
      <c r="L179" s="163"/>
      <c r="M179" s="163"/>
      <c r="N179" s="163"/>
      <c r="O179" s="163"/>
      <c r="P179" s="163"/>
    </row>
    <row r="180" spans="1:26" ht="19.5">
      <c r="A180" s="248"/>
      <c r="B180" s="249" t="s">
        <v>88</v>
      </c>
      <c r="C180" s="250"/>
      <c r="D180" s="173"/>
      <c r="E180" s="173"/>
      <c r="F180" s="173"/>
      <c r="G180" s="174"/>
      <c r="H180" s="251" t="s">
        <v>35</v>
      </c>
      <c r="I180" s="821"/>
      <c r="J180" s="821">
        <f>J225+J226</f>
        <v>0</v>
      </c>
      <c r="K180" s="254">
        <f>IF(I180&gt;0,J180*100/I180,0)</f>
        <v>0</v>
      </c>
      <c r="L180" s="254"/>
      <c r="M180" s="254"/>
      <c r="N180" s="254"/>
      <c r="O180" s="254"/>
      <c r="P180" s="254"/>
    </row>
    <row r="181" spans="1:26" ht="19.5">
      <c r="A181" s="147"/>
      <c r="B181" s="148"/>
      <c r="C181" s="149" t="s">
        <v>16</v>
      </c>
      <c r="D181" s="817" t="s">
        <v>17</v>
      </c>
      <c r="E181" s="148"/>
      <c r="F181" s="148"/>
      <c r="G181" s="151"/>
      <c r="H181" s="152" t="s">
        <v>12</v>
      </c>
      <c r="I181" s="388"/>
      <c r="J181" s="388"/>
      <c r="K181" s="154"/>
      <c r="L181" s="155">
        <f t="shared" ref="L181:N181" ca="1" si="91">L182+L183</f>
        <v>63500</v>
      </c>
      <c r="M181" s="155">
        <f t="shared" ca="1" si="91"/>
        <v>30000</v>
      </c>
      <c r="N181" s="155">
        <f t="shared" ca="1" si="91"/>
        <v>0</v>
      </c>
      <c r="O181" s="155">
        <f t="shared" ref="O181:O189" ca="1" si="92">IF(L181&gt;0,N181*100/L181,0)</f>
        <v>0</v>
      </c>
      <c r="P181" s="155">
        <f t="shared" ref="P181:P189" ca="1" si="93">IF(M181&gt;0,N181*100/M181,0)</f>
        <v>0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2" t="s">
        <v>18</v>
      </c>
      <c r="F182" s="40"/>
      <c r="G182" s="157"/>
      <c r="H182" s="158" t="s">
        <v>12</v>
      </c>
      <c r="I182" s="583"/>
      <c r="J182" s="583"/>
      <c r="K182" s="93"/>
      <c r="L182" s="93">
        <f t="shared" ref="L182:N183" si="94">L185+L188</f>
        <v>0</v>
      </c>
      <c r="M182" s="93">
        <f t="shared" si="94"/>
        <v>0</v>
      </c>
      <c r="N182" s="93">
        <f t="shared" si="94"/>
        <v>0</v>
      </c>
      <c r="O182" s="93">
        <f t="shared" si="92"/>
        <v>0</v>
      </c>
      <c r="P182" s="93">
        <f t="shared" si="93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2" t="s">
        <v>19</v>
      </c>
      <c r="F183" s="40"/>
      <c r="G183" s="157"/>
      <c r="H183" s="158" t="s">
        <v>12</v>
      </c>
      <c r="I183" s="583"/>
      <c r="J183" s="583"/>
      <c r="K183" s="93"/>
      <c r="L183" s="93">
        <f t="shared" ca="1" si="94"/>
        <v>63500</v>
      </c>
      <c r="M183" s="93">
        <f t="shared" ca="1" si="94"/>
        <v>30000</v>
      </c>
      <c r="N183" s="93">
        <f t="shared" ca="1" si="94"/>
        <v>0</v>
      </c>
      <c r="O183" s="93">
        <f t="shared" ca="1" si="92"/>
        <v>0</v>
      </c>
      <c r="P183" s="93">
        <f t="shared" ca="1" si="93"/>
        <v>0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1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65">
        <f t="shared" ref="L184:N184" ca="1" si="95">L185+L186</f>
        <v>63500</v>
      </c>
      <c r="M184" s="465">
        <f t="shared" ca="1" si="95"/>
        <v>30000</v>
      </c>
      <c r="N184" s="465">
        <f t="shared" ca="1" si="95"/>
        <v>0</v>
      </c>
      <c r="O184" s="465">
        <f t="shared" ca="1" si="92"/>
        <v>0</v>
      </c>
      <c r="P184" s="465">
        <f t="shared" ca="1" si="93"/>
        <v>0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2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2"/>
        <v>0</v>
      </c>
      <c r="P185" s="93">
        <f t="shared" si="93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2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IFERROR(__xludf.DUMMYFUNCTION("IMPORTRANGE(""https://docs.google.com/spreadsheets/d/1MeEWN-I1oV_STSDYn1IFDPWt_1FKiwhDph83XaGc0o0/edit?usp=sharing"",""งบพรบ!CO14"")"),63500)</f>
        <v>63500</v>
      </c>
      <c r="M186" s="93">
        <f ca="1">IFERROR(__xludf.DUMMYFUNCTION("IMPORTRANGE(""https://docs.google.com/spreadsheets/d/1MeEWN-I1oV_STSDYn1IFDPWt_1FKiwhDph83XaGc0o0/edit?usp=sharing"",""งบพรบ!CT14"")"),30000)</f>
        <v>30000</v>
      </c>
      <c r="N186" s="93">
        <f ca="1">IFERROR(__xludf.DUMMYFUNCTION("IMPORTRANGE(""https://docs.google.com/spreadsheets/d/1MeEWN-I1oV_STSDYn1IFDPWt_1FKiwhDph83XaGc0o0/edit?usp=sharing"",""งบพรบ!CV14"")"),0)</f>
        <v>0</v>
      </c>
      <c r="O186" s="93">
        <f t="shared" ca="1" si="92"/>
        <v>0</v>
      </c>
      <c r="P186" s="93">
        <f t="shared" ca="1" si="93"/>
        <v>0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1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65">
        <f t="shared" ref="L187:N187" ca="1" si="96">L188+L189</f>
        <v>0</v>
      </c>
      <c r="M187" s="465">
        <f t="shared" ca="1" si="96"/>
        <v>0</v>
      </c>
      <c r="N187" s="465">
        <f t="shared" ca="1" si="96"/>
        <v>0</v>
      </c>
      <c r="O187" s="465">
        <f t="shared" ca="1" si="92"/>
        <v>0</v>
      </c>
      <c r="P187" s="465">
        <f t="shared" ca="1" si="93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2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2"/>
        <v>0</v>
      </c>
      <c r="P188" s="93">
        <f t="shared" si="93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2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IFERROR(__xludf.DUMMYFUNCTION("IMPORTRANGE(""https://docs.google.com/spreadsheets/d/1MeEWN-I1oV_STSDYn1IFDPWt_1FKiwhDph83XaGc0o0/edit?usp=sharing"",""งบพรบ!CR14"")"),0)</f>
        <v>0</v>
      </c>
      <c r="M189" s="93">
        <f ca="1">IFERROR(__xludf.DUMMYFUNCTION("IMPORTRANGE(""https://docs.google.com/spreadsheets/d/1MeEWN-I1oV_STSDYn1IFDPWt_1FKiwhDph83XaGc0o0/edit?usp=sharing"",""งบพรบ!CU14"")"),0)</f>
        <v>0</v>
      </c>
      <c r="N189" s="93">
        <f ca="1">IFERROR(__xludf.DUMMYFUNCTION("IMPORTRANGE(""https://docs.google.com/spreadsheets/d/1MeEWN-I1oV_STSDYn1IFDPWt_1FKiwhDph83XaGc0o0/edit?usp=sharing"",""งบพรบ!CW14"")"),0)</f>
        <v>0</v>
      </c>
      <c r="O189" s="93">
        <f t="shared" ca="1" si="92"/>
        <v>0</v>
      </c>
      <c r="P189" s="93">
        <f t="shared" ca="1" si="93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5"/>
      <c r="B190" s="263"/>
      <c r="C190" s="339" t="s">
        <v>89</v>
      </c>
      <c r="D190" s="256"/>
      <c r="E190" s="256"/>
      <c r="F190" s="256"/>
      <c r="G190" s="258"/>
      <c r="H190" s="259" t="s">
        <v>90</v>
      </c>
      <c r="I190" s="271">
        <f t="shared" ref="I190:J190" ca="1" si="97">I193</f>
        <v>4</v>
      </c>
      <c r="J190" s="271">
        <f t="shared" si="97"/>
        <v>0</v>
      </c>
      <c r="K190" s="272">
        <f ca="1">IF(I190&gt;0,J190*100/I190,0)</f>
        <v>0</v>
      </c>
      <c r="L190" s="261"/>
      <c r="M190" s="261"/>
      <c r="N190" s="261"/>
      <c r="O190" s="261"/>
      <c r="P190" s="261"/>
    </row>
    <row r="191" spans="1:26" ht="19.5">
      <c r="A191" s="147"/>
      <c r="B191" s="148"/>
      <c r="C191" s="149" t="s">
        <v>16</v>
      </c>
      <c r="D191" s="822" t="s">
        <v>17</v>
      </c>
      <c r="E191" s="148"/>
      <c r="F191" s="148"/>
      <c r="G191" s="151"/>
      <c r="H191" s="274" t="s">
        <v>12</v>
      </c>
      <c r="I191" s="388"/>
      <c r="J191" s="388"/>
      <c r="K191" s="154"/>
      <c r="L191" s="155">
        <f ca="1">IFERROR(__xludf.DUMMYFUNCTION("IMPORTRANGE(""https://docs.google.com/spreadsheets/d/1QqKyyYR6Q21VydFLVH3TRQUabQu_ym0Zz7PgGX0-kHA/edit?usp=sharing"",""แผน!Z14"")"),6000)</f>
        <v>6000</v>
      </c>
      <c r="M191" s="155"/>
      <c r="N191" s="275">
        <v>0</v>
      </c>
      <c r="O191" s="155">
        <f ca="1">IF(L191&gt;0,N191*100/L191,0)</f>
        <v>0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0" t="s">
        <v>16</v>
      </c>
      <c r="D192" s="818" t="s">
        <v>38</v>
      </c>
      <c r="E192" s="173"/>
      <c r="F192" s="173"/>
      <c r="G192" s="174"/>
      <c r="H192" s="726"/>
      <c r="I192" s="269"/>
      <c r="J192" s="269"/>
      <c r="K192" s="465"/>
      <c r="L192" s="465"/>
      <c r="M192" s="465"/>
      <c r="N192" s="465"/>
      <c r="O192" s="465"/>
      <c r="P192" s="465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15" t="s">
        <v>91</v>
      </c>
      <c r="E193" s="342"/>
      <c r="F193" s="342"/>
      <c r="G193" s="179"/>
      <c r="H193" s="728" t="s">
        <v>90</v>
      </c>
      <c r="I193" s="269">
        <f ca="1">IFERROR(__xludf.DUMMYFUNCTION("IMPORTRANGE(""https://docs.google.com/spreadsheets/d/1QqKyyYR6Q21VydFLVH3TRQUabQu_ym0Zz7PgGX0-kHA/edit?usp=sharing"",""แผน!AC14"")"),4)</f>
        <v>4</v>
      </c>
      <c r="J193" s="214">
        <v>0</v>
      </c>
      <c r="K193" s="465">
        <f ca="1">IF(I193&gt;0,J193*100/I193,0)</f>
        <v>0</v>
      </c>
      <c r="L193" s="465"/>
      <c r="M193" s="465"/>
      <c r="N193" s="465"/>
      <c r="O193" s="465"/>
      <c r="P193" s="465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15" t="s">
        <v>92</v>
      </c>
      <c r="E194" s="342"/>
      <c r="F194" s="342"/>
      <c r="G194" s="179"/>
      <c r="H194" s="276" t="s">
        <v>35</v>
      </c>
      <c r="I194" s="269"/>
      <c r="J194" s="269">
        <f>J195+J196</f>
        <v>0</v>
      </c>
      <c r="K194" s="465"/>
      <c r="L194" s="465"/>
      <c r="M194" s="465"/>
      <c r="N194" s="465"/>
      <c r="O194" s="465"/>
      <c r="P194" s="465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15" t="s">
        <v>93</v>
      </c>
      <c r="F195" s="342"/>
      <c r="G195" s="179"/>
      <c r="H195" s="276" t="s">
        <v>35</v>
      </c>
      <c r="I195" s="269"/>
      <c r="J195" s="214">
        <v>0</v>
      </c>
      <c r="K195" s="465"/>
      <c r="L195" s="465"/>
      <c r="M195" s="465"/>
      <c r="N195" s="465"/>
      <c r="O195" s="465"/>
      <c r="P195" s="465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15" t="s">
        <v>94</v>
      </c>
      <c r="F196" s="342"/>
      <c r="G196" s="179"/>
      <c r="H196" s="276" t="s">
        <v>35</v>
      </c>
      <c r="I196" s="269"/>
      <c r="J196" s="214">
        <v>0</v>
      </c>
      <c r="K196" s="465"/>
      <c r="L196" s="465"/>
      <c r="M196" s="465"/>
      <c r="N196" s="465"/>
      <c r="O196" s="465"/>
      <c r="P196" s="465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5"/>
      <c r="B197" s="263"/>
      <c r="C197" s="339" t="s">
        <v>95</v>
      </c>
      <c r="D197" s="256"/>
      <c r="E197" s="256"/>
      <c r="F197" s="256"/>
      <c r="G197" s="258"/>
      <c r="H197" s="277" t="s">
        <v>96</v>
      </c>
      <c r="I197" s="271">
        <f t="shared" ref="I197:J197" ca="1" si="98">I204</f>
        <v>3</v>
      </c>
      <c r="J197" s="271">
        <f t="shared" si="98"/>
        <v>0</v>
      </c>
      <c r="K197" s="272">
        <f ca="1">IF(I197&gt;0,J197*100/I197,0)</f>
        <v>0</v>
      </c>
      <c r="L197" s="261"/>
      <c r="M197" s="261"/>
      <c r="N197" s="261"/>
      <c r="O197" s="261"/>
      <c r="P197" s="261"/>
    </row>
    <row r="198" spans="1:26" ht="19.5">
      <c r="A198" s="147"/>
      <c r="B198" s="148"/>
      <c r="C198" s="149" t="s">
        <v>16</v>
      </c>
      <c r="D198" s="822" t="s">
        <v>17</v>
      </c>
      <c r="E198" s="148"/>
      <c r="F198" s="148"/>
      <c r="G198" s="151"/>
      <c r="H198" s="274" t="s">
        <v>12</v>
      </c>
      <c r="I198" s="387"/>
      <c r="J198" s="387"/>
      <c r="K198" s="279"/>
      <c r="L198" s="155">
        <f ca="1">L199+L200+L201+L202</f>
        <v>39000</v>
      </c>
      <c r="M198" s="155"/>
      <c r="N198" s="155">
        <f>N199+N200+N201+N202</f>
        <v>0</v>
      </c>
      <c r="O198" s="155">
        <f ca="1">IF(L198&gt;0,N198*100/L198,0)</f>
        <v>0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0"/>
      <c r="C199" s="33"/>
      <c r="D199" s="281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65">
        <f ca="1">IFERROR(__xludf.DUMMYFUNCTION("IMPORTRANGE(""https://docs.google.com/spreadsheets/d/1QqKyyYR6Q21VydFLVH3TRQUabQu_ym0Zz7PgGX0-kHA/edit?usp=sharing"",""แผน!AE14"")"),3000)</f>
        <v>3000</v>
      </c>
      <c r="M199" s="465"/>
      <c r="N199" s="789">
        <v>0</v>
      </c>
      <c r="O199" s="465"/>
      <c r="P199" s="465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3"/>
      <c r="B200" s="280"/>
      <c r="C200" s="210"/>
      <c r="D200" s="281" t="s">
        <v>98</v>
      </c>
      <c r="E200" s="33"/>
      <c r="F200" s="33"/>
      <c r="G200" s="35"/>
      <c r="H200" s="589" t="s">
        <v>12</v>
      </c>
      <c r="I200" s="269"/>
      <c r="J200" s="269"/>
      <c r="K200" s="465"/>
      <c r="L200" s="465">
        <f ca="1">IFERROR(__xludf.DUMMYFUNCTION("IMPORTRANGE(""https://docs.google.com/spreadsheets/d/1QqKyyYR6Q21VydFLVH3TRQUabQu_ym0Zz7PgGX0-kHA/edit?usp=sharing"",""แผน!AF14"")"),24000)</f>
        <v>24000</v>
      </c>
      <c r="M200" s="465"/>
      <c r="N200" s="789">
        <v>0</v>
      </c>
      <c r="O200" s="465"/>
      <c r="P200" s="465"/>
      <c r="Q200" s="285"/>
      <c r="R200" s="285"/>
      <c r="S200" s="285"/>
      <c r="T200" s="285"/>
      <c r="U200" s="285"/>
      <c r="V200" s="285"/>
      <c r="W200" s="285"/>
      <c r="X200" s="285"/>
      <c r="Y200" s="285"/>
      <c r="Z200" s="285"/>
    </row>
    <row r="201" spans="1:26" ht="19.5">
      <c r="A201" s="283"/>
      <c r="B201" s="280"/>
      <c r="C201" s="210"/>
      <c r="D201" s="281" t="s">
        <v>99</v>
      </c>
      <c r="E201" s="33"/>
      <c r="F201" s="33"/>
      <c r="G201" s="35"/>
      <c r="H201" s="589" t="s">
        <v>12</v>
      </c>
      <c r="I201" s="269"/>
      <c r="J201" s="269"/>
      <c r="K201" s="465"/>
      <c r="L201" s="465">
        <f ca="1">IFERROR(__xludf.DUMMYFUNCTION("IMPORTRANGE(""https://docs.google.com/spreadsheets/d/1QqKyyYR6Q21VydFLVH3TRQUabQu_ym0Zz7PgGX0-kHA/edit?usp=sharing"",""แผน!AG14"")"),12000)</f>
        <v>12000</v>
      </c>
      <c r="M201" s="465"/>
      <c r="N201" s="789">
        <v>0</v>
      </c>
      <c r="O201" s="465"/>
      <c r="P201" s="465"/>
      <c r="Q201" s="285"/>
      <c r="R201" s="285"/>
      <c r="S201" s="285"/>
      <c r="T201" s="285"/>
      <c r="U201" s="285"/>
      <c r="V201" s="285"/>
      <c r="W201" s="285"/>
      <c r="X201" s="285"/>
      <c r="Y201" s="285"/>
      <c r="Z201" s="285"/>
    </row>
    <row r="202" spans="1:26" ht="19.5">
      <c r="A202" s="283"/>
      <c r="B202" s="280"/>
      <c r="C202" s="210"/>
      <c r="D202" s="281" t="s">
        <v>100</v>
      </c>
      <c r="E202" s="33"/>
      <c r="F202" s="33"/>
      <c r="G202" s="35"/>
      <c r="H202" s="589" t="s">
        <v>12</v>
      </c>
      <c r="I202" s="269"/>
      <c r="J202" s="269"/>
      <c r="K202" s="465"/>
      <c r="L202" s="465">
        <f ca="1">IFERROR(__xludf.DUMMYFUNCTION("IMPORTRANGE(""https://docs.google.com/spreadsheets/d/1QqKyyYR6Q21VydFLVH3TRQUabQu_ym0Zz7PgGX0-kHA/edit?usp=sharing"",""แผน!AH14"")"),0)</f>
        <v>0</v>
      </c>
      <c r="M202" s="465"/>
      <c r="N202" s="789">
        <v>0</v>
      </c>
      <c r="O202" s="465"/>
      <c r="P202" s="465"/>
      <c r="Q202" s="285"/>
      <c r="R202" s="285"/>
      <c r="S202" s="285"/>
      <c r="T202" s="285"/>
      <c r="U202" s="285"/>
      <c r="V202" s="285"/>
      <c r="W202" s="285"/>
      <c r="X202" s="285"/>
      <c r="Y202" s="285"/>
      <c r="Z202" s="285"/>
    </row>
    <row r="203" spans="1:26" ht="19.5">
      <c r="A203" s="170"/>
      <c r="B203" s="171"/>
      <c r="C203" s="210" t="s">
        <v>16</v>
      </c>
      <c r="D203" s="818" t="s">
        <v>38</v>
      </c>
      <c r="E203" s="173"/>
      <c r="F203" s="173"/>
      <c r="G203" s="174"/>
      <c r="H203" s="726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343" t="s">
        <v>101</v>
      </c>
      <c r="E204" s="342"/>
      <c r="F204" s="342"/>
      <c r="G204" s="179"/>
      <c r="H204" s="726" t="s">
        <v>96</v>
      </c>
      <c r="I204" s="269">
        <f ca="1">IFERROR(__xludf.DUMMYFUNCTION("IMPORTRANGE(""https://docs.google.com/spreadsheets/d/1QqKyyYR6Q21VydFLVH3TRQUabQu_ym0Zz7PgGX0-kHA/edit?usp=sharing"",""แผน!AI14"")"),3)</f>
        <v>3</v>
      </c>
      <c r="J204" s="214">
        <v>0</v>
      </c>
      <c r="K204" s="163">
        <f ca="1">IF(I204&gt;0,J204*100/I204,0)</f>
        <v>0</v>
      </c>
      <c r="L204" s="465"/>
      <c r="M204" s="465"/>
      <c r="N204" s="465"/>
      <c r="O204" s="465"/>
      <c r="P204" s="465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15" t="s">
        <v>59</v>
      </c>
      <c r="E205" s="342"/>
      <c r="F205" s="342"/>
      <c r="G205" s="179"/>
      <c r="H205" s="726"/>
      <c r="I205" s="269"/>
      <c r="J205" s="269"/>
      <c r="K205" s="163"/>
      <c r="L205" s="465"/>
      <c r="M205" s="465"/>
      <c r="N205" s="465"/>
      <c r="O205" s="465"/>
      <c r="P205" s="465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342"/>
      <c r="E206" s="494" t="s">
        <v>102</v>
      </c>
      <c r="F206" s="286"/>
      <c r="G206" s="287"/>
      <c r="H206" s="288" t="s">
        <v>96</v>
      </c>
      <c r="I206" s="269">
        <v>3</v>
      </c>
      <c r="J206" s="214">
        <v>0</v>
      </c>
      <c r="K206" s="163">
        <f t="shared" ref="K206:K208" si="99">IF(I206&gt;0,J206*100/I206,0)</f>
        <v>0</v>
      </c>
      <c r="L206" s="465"/>
      <c r="M206" s="465"/>
      <c r="N206" s="465"/>
      <c r="O206" s="465"/>
      <c r="P206" s="465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15"/>
      <c r="E207" s="415" t="s">
        <v>103</v>
      </c>
      <c r="F207" s="342"/>
      <c r="G207" s="342"/>
      <c r="H207" s="289" t="s">
        <v>104</v>
      </c>
      <c r="I207" s="269">
        <v>0</v>
      </c>
      <c r="J207" s="214">
        <v>0</v>
      </c>
      <c r="K207" s="163">
        <f t="shared" si="99"/>
        <v>0</v>
      </c>
      <c r="L207" s="465"/>
      <c r="M207" s="465"/>
      <c r="N207" s="465"/>
      <c r="O207" s="465"/>
      <c r="P207" s="465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 hidden="1">
      <c r="A208" s="255"/>
      <c r="B208" s="263"/>
      <c r="C208" s="339" t="s">
        <v>105</v>
      </c>
      <c r="D208" s="256"/>
      <c r="E208" s="256"/>
      <c r="F208" s="290"/>
      <c r="G208" s="258"/>
      <c r="H208" s="277" t="s">
        <v>96</v>
      </c>
      <c r="I208" s="271">
        <f t="shared" ref="I208:J208" ca="1" si="100">I215</f>
        <v>0</v>
      </c>
      <c r="J208" s="271">
        <f t="shared" si="100"/>
        <v>0</v>
      </c>
      <c r="K208" s="272">
        <f t="shared" ca="1" si="99"/>
        <v>0</v>
      </c>
      <c r="L208" s="261"/>
      <c r="M208" s="261"/>
      <c r="N208" s="261"/>
      <c r="O208" s="261"/>
      <c r="P208" s="261"/>
    </row>
    <row r="209" spans="1:26" ht="19.5" hidden="1">
      <c r="A209" s="147"/>
      <c r="B209" s="148"/>
      <c r="C209" s="149" t="s">
        <v>16</v>
      </c>
      <c r="D209" s="822" t="s">
        <v>17</v>
      </c>
      <c r="E209" s="148"/>
      <c r="F209" s="148"/>
      <c r="G209" s="151"/>
      <c r="H209" s="274" t="s">
        <v>12</v>
      </c>
      <c r="I209" s="387"/>
      <c r="J209" s="387"/>
      <c r="K209" s="279"/>
      <c r="L209" s="155">
        <f ca="1">L210+L211+L212</f>
        <v>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 hidden="1">
      <c r="A210" s="159"/>
      <c r="B210" s="280"/>
      <c r="C210" s="33"/>
      <c r="D210" s="281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65">
        <f ca="1">IFERROR(__xludf.DUMMYFUNCTION("IMPORTRANGE(""https://docs.google.com/spreadsheets/d/1QqKyyYR6Q21VydFLVH3TRQUabQu_ym0Zz7PgGX0-kHA/edit?usp=sharing"",""แผน!AK14"")"),0)</f>
        <v>0</v>
      </c>
      <c r="M210" s="465"/>
      <c r="N210" s="789">
        <v>0</v>
      </c>
      <c r="O210" s="465"/>
      <c r="P210" s="465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 hidden="1">
      <c r="A211" s="283"/>
      <c r="B211" s="280"/>
      <c r="C211" s="291"/>
      <c r="D211" s="281" t="s">
        <v>99</v>
      </c>
      <c r="E211" s="33"/>
      <c r="F211" s="33"/>
      <c r="G211" s="35"/>
      <c r="H211" s="161" t="s">
        <v>12</v>
      </c>
      <c r="I211" s="269"/>
      <c r="J211" s="269"/>
      <c r="K211" s="465"/>
      <c r="L211" s="465">
        <f ca="1">IFERROR(__xludf.DUMMYFUNCTION("IMPORTRANGE(""https://docs.google.com/spreadsheets/d/1QqKyyYR6Q21VydFLVH3TRQUabQu_ym0Zz7PgGX0-kHA/edit?usp=sharing"",""แผน!AL14"")"),0)</f>
        <v>0</v>
      </c>
      <c r="M211" s="465"/>
      <c r="N211" s="789">
        <v>0</v>
      </c>
      <c r="O211" s="465"/>
      <c r="P211" s="465"/>
      <c r="Q211" s="285"/>
      <c r="R211" s="285"/>
      <c r="S211" s="285"/>
      <c r="T211" s="285"/>
      <c r="U211" s="285"/>
      <c r="V211" s="285"/>
      <c r="W211" s="285"/>
      <c r="X211" s="285"/>
      <c r="Y211" s="285"/>
      <c r="Z211" s="285"/>
    </row>
    <row r="212" spans="1:26" ht="19.5" hidden="1">
      <c r="A212" s="283"/>
      <c r="B212" s="280"/>
      <c r="C212" s="291"/>
      <c r="D212" s="281" t="s">
        <v>98</v>
      </c>
      <c r="E212" s="33"/>
      <c r="F212" s="33"/>
      <c r="G212" s="35"/>
      <c r="H212" s="161" t="s">
        <v>12</v>
      </c>
      <c r="I212" s="269"/>
      <c r="J212" s="269"/>
      <c r="K212" s="465"/>
      <c r="L212" s="465">
        <f ca="1">IFERROR(__xludf.DUMMYFUNCTION("IMPORTRANGE(""https://docs.google.com/spreadsheets/d/1QqKyyYR6Q21VydFLVH3TRQUabQu_ym0Zz7PgGX0-kHA/edit?usp=sharing"",""แผน!AM14"")"),0)</f>
        <v>0</v>
      </c>
      <c r="M212" s="465"/>
      <c r="N212" s="789">
        <v>0</v>
      </c>
      <c r="O212" s="465"/>
      <c r="P212" s="465"/>
      <c r="Q212" s="285"/>
      <c r="R212" s="285"/>
      <c r="S212" s="285"/>
      <c r="T212" s="285"/>
      <c r="U212" s="285"/>
      <c r="V212" s="285"/>
      <c r="W212" s="285"/>
      <c r="X212" s="285"/>
      <c r="Y212" s="285"/>
      <c r="Z212" s="285"/>
    </row>
    <row r="213" spans="1:26" ht="19.5" hidden="1">
      <c r="A213" s="170"/>
      <c r="B213" s="171"/>
      <c r="C213" s="291" t="s">
        <v>16</v>
      </c>
      <c r="D213" s="818" t="s">
        <v>38</v>
      </c>
      <c r="E213" s="173"/>
      <c r="F213" s="173"/>
      <c r="G213" s="174"/>
      <c r="H213" s="726"/>
      <c r="I213" s="184"/>
      <c r="J213" s="269"/>
      <c r="K213" s="465"/>
      <c r="L213" s="465"/>
      <c r="M213" s="465"/>
      <c r="N213" s="465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 hidden="1">
      <c r="A214" s="170"/>
      <c r="B214" s="171"/>
      <c r="C214" s="171"/>
      <c r="D214" s="343" t="s">
        <v>106</v>
      </c>
      <c r="E214" s="342"/>
      <c r="F214" s="342"/>
      <c r="G214" s="179"/>
      <c r="H214" s="726" t="s">
        <v>96</v>
      </c>
      <c r="I214" s="269">
        <f ca="1">IFERROR(__xludf.DUMMYFUNCTION("IMPORTRANGE(""https://docs.google.com/spreadsheets/d/1QqKyyYR6Q21VydFLVH3TRQUabQu_ym0Zz7PgGX0-kHA/edit?usp=sharing"",""แผน!AN14"")"),0)</f>
        <v>0</v>
      </c>
      <c r="J214" s="214">
        <v>0</v>
      </c>
      <c r="K214" s="465">
        <f t="shared" ref="K214:K216" ca="1" si="101">IF(I214&gt;0,J214*100/I214,0)</f>
        <v>0</v>
      </c>
      <c r="L214" s="465"/>
      <c r="M214" s="465"/>
      <c r="N214" s="465"/>
      <c r="O214" s="465"/>
      <c r="P214" s="465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 hidden="1">
      <c r="A215" s="170"/>
      <c r="B215" s="171"/>
      <c r="C215" s="171"/>
      <c r="D215" s="343" t="s">
        <v>107</v>
      </c>
      <c r="E215" s="342"/>
      <c r="F215" s="342"/>
      <c r="G215" s="179"/>
      <c r="H215" s="726" t="s">
        <v>96</v>
      </c>
      <c r="I215" s="269">
        <f ca="1">IFERROR(__xludf.DUMMYFUNCTION("IMPORTRANGE(""https://docs.google.com/spreadsheets/d/1QqKyyYR6Q21VydFLVH3TRQUabQu_ym0Zz7PgGX0-kHA/edit?usp=sharing"",""แผน!AN14"")"),0)</f>
        <v>0</v>
      </c>
      <c r="J215" s="214">
        <v>0</v>
      </c>
      <c r="K215" s="465">
        <f t="shared" ca="1" si="101"/>
        <v>0</v>
      </c>
      <c r="L215" s="465"/>
      <c r="M215" s="465"/>
      <c r="N215" s="465"/>
      <c r="O215" s="465"/>
      <c r="P215" s="465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5"/>
      <c r="B216" s="263"/>
      <c r="C216" s="339" t="s">
        <v>108</v>
      </c>
      <c r="D216" s="256"/>
      <c r="E216" s="256"/>
      <c r="F216" s="290"/>
      <c r="G216" s="258"/>
      <c r="H216" s="259" t="s">
        <v>109</v>
      </c>
      <c r="I216" s="271">
        <f t="shared" ref="I216:J216" ca="1" si="102">I224</f>
        <v>50000</v>
      </c>
      <c r="J216" s="271">
        <f t="shared" si="102"/>
        <v>0</v>
      </c>
      <c r="K216" s="272">
        <f t="shared" ca="1" si="101"/>
        <v>0</v>
      </c>
      <c r="L216" s="261"/>
      <c r="M216" s="261"/>
      <c r="N216" s="261"/>
      <c r="O216" s="261"/>
      <c r="P216" s="261"/>
    </row>
    <row r="217" spans="1:26" ht="19.5">
      <c r="A217" s="147"/>
      <c r="B217" s="148"/>
      <c r="C217" s="149" t="s">
        <v>16</v>
      </c>
      <c r="D217" s="822" t="s">
        <v>17</v>
      </c>
      <c r="E217" s="148"/>
      <c r="F217" s="148"/>
      <c r="G217" s="151"/>
      <c r="H217" s="274" t="s">
        <v>12</v>
      </c>
      <c r="I217" s="387"/>
      <c r="J217" s="387"/>
      <c r="K217" s="279"/>
      <c r="L217" s="155">
        <f ca="1">L218+L219+L220</f>
        <v>18500</v>
      </c>
      <c r="M217" s="155"/>
      <c r="N217" s="155">
        <f>N218+N219+N220</f>
        <v>0</v>
      </c>
      <c r="O217" s="155">
        <f ca="1">IF(L217&gt;0,N217*100/L217,0)</f>
        <v>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0"/>
      <c r="C218" s="33"/>
      <c r="D218" s="281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65">
        <f ca="1">IFERROR(__xludf.DUMMYFUNCTION("IMPORTRANGE(""https://docs.google.com/spreadsheets/d/1QqKyyYR6Q21VydFLVH3TRQUabQu_ym0Zz7PgGX0-kHA/edit?usp=sharing"",""แผน!AP14"")"),5000)</f>
        <v>5000</v>
      </c>
      <c r="M218" s="465"/>
      <c r="N218" s="789">
        <v>0</v>
      </c>
      <c r="O218" s="465"/>
      <c r="P218" s="465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3"/>
      <c r="B219" s="280"/>
      <c r="C219" s="291"/>
      <c r="D219" s="281" t="s">
        <v>110</v>
      </c>
      <c r="E219" s="33"/>
      <c r="F219" s="33"/>
      <c r="G219" s="35"/>
      <c r="H219" s="161" t="s">
        <v>12</v>
      </c>
      <c r="I219" s="269"/>
      <c r="J219" s="269"/>
      <c r="K219" s="465"/>
      <c r="L219" s="465">
        <f ca="1">IFERROR(__xludf.DUMMYFUNCTION("IMPORTRANGE(""https://docs.google.com/spreadsheets/d/1QqKyyYR6Q21VydFLVH3TRQUabQu_ym0Zz7PgGX0-kHA/edit?usp=sharing"",""แผน!AQ14"")"),13500)</f>
        <v>13500</v>
      </c>
      <c r="M219" s="465"/>
      <c r="N219" s="789">
        <v>0</v>
      </c>
      <c r="O219" s="465"/>
      <c r="P219" s="465"/>
      <c r="Q219" s="285"/>
      <c r="R219" s="285"/>
      <c r="S219" s="285"/>
      <c r="T219" s="285"/>
      <c r="U219" s="285"/>
      <c r="V219" s="285"/>
      <c r="W219" s="285"/>
      <c r="X219" s="285"/>
      <c r="Y219" s="285"/>
      <c r="Z219" s="285"/>
    </row>
    <row r="220" spans="1:26" ht="19.5">
      <c r="A220" s="283"/>
      <c r="B220" s="280"/>
      <c r="C220" s="291"/>
      <c r="D220" s="281" t="s">
        <v>98</v>
      </c>
      <c r="E220" s="33"/>
      <c r="F220" s="33"/>
      <c r="G220" s="35"/>
      <c r="H220" s="161" t="s">
        <v>12</v>
      </c>
      <c r="I220" s="269"/>
      <c r="J220" s="269"/>
      <c r="K220" s="465"/>
      <c r="L220" s="465">
        <f ca="1">IFERROR(__xludf.DUMMYFUNCTION("IMPORTRANGE(""https://docs.google.com/spreadsheets/d/1QqKyyYR6Q21VydFLVH3TRQUabQu_ym0Zz7PgGX0-kHA/edit?usp=sharing"",""แผน!AR14"")"),0)</f>
        <v>0</v>
      </c>
      <c r="M220" s="465"/>
      <c r="N220" s="789">
        <v>0</v>
      </c>
      <c r="O220" s="465"/>
      <c r="P220" s="465"/>
      <c r="Q220" s="285"/>
      <c r="R220" s="285"/>
      <c r="S220" s="285"/>
      <c r="T220" s="285"/>
      <c r="U220" s="285"/>
      <c r="V220" s="285"/>
      <c r="W220" s="285"/>
      <c r="X220" s="285"/>
      <c r="Y220" s="285"/>
      <c r="Z220" s="285"/>
    </row>
    <row r="221" spans="1:26" ht="19.5">
      <c r="A221" s="170"/>
      <c r="B221" s="171"/>
      <c r="C221" s="291" t="s">
        <v>16</v>
      </c>
      <c r="D221" s="818" t="s">
        <v>38</v>
      </c>
      <c r="E221" s="173"/>
      <c r="F221" s="173"/>
      <c r="G221" s="174"/>
      <c r="H221" s="726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1" t="s">
        <v>111</v>
      </c>
      <c r="E222" s="342"/>
      <c r="F222" s="342"/>
      <c r="G222" s="179"/>
      <c r="H222" s="726"/>
      <c r="I222" s="269"/>
      <c r="J222" s="269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343" t="s">
        <v>112</v>
      </c>
      <c r="F223" s="342"/>
      <c r="G223" s="179"/>
      <c r="H223" s="728" t="s">
        <v>109</v>
      </c>
      <c r="I223" s="269">
        <f ca="1">IFERROR(__xludf.DUMMYFUNCTION("IMPORTRANGE(""https://docs.google.com/spreadsheets/d/1QqKyyYR6Q21VydFLVH3TRQUabQu_ym0Zz7PgGX0-kHA/edit?usp=sharing"",""แผน!AT14"")"),50000)</f>
        <v>50000</v>
      </c>
      <c r="J223" s="214">
        <v>0</v>
      </c>
      <c r="K223" s="163">
        <f t="shared" ref="K223:K226" ca="1" si="103">IF(I223&gt;0,J223*100/I223,0)</f>
        <v>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343" t="s">
        <v>113</v>
      </c>
      <c r="F224" s="342"/>
      <c r="G224" s="179"/>
      <c r="H224" s="728" t="s">
        <v>109</v>
      </c>
      <c r="I224" s="269">
        <f ca="1">IFERROR(__xludf.DUMMYFUNCTION("IMPORTRANGE(""https://docs.google.com/spreadsheets/d/1QqKyyYR6Q21VydFLVH3TRQUabQu_ym0Zz7PgGX0-kHA/edit?usp=sharing"",""แผน!AT14"")"),50000)</f>
        <v>50000</v>
      </c>
      <c r="J224" s="214">
        <v>0</v>
      </c>
      <c r="K224" s="163">
        <f t="shared" ca="1" si="103"/>
        <v>0</v>
      </c>
      <c r="L224" s="465"/>
      <c r="M224" s="465"/>
      <c r="N224" s="465"/>
      <c r="O224" s="465"/>
      <c r="P224" s="465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1" t="s">
        <v>114</v>
      </c>
      <c r="E225" s="342"/>
      <c r="F225" s="342"/>
      <c r="G225" s="179"/>
      <c r="H225" s="728" t="s">
        <v>35</v>
      </c>
      <c r="I225" s="269">
        <f ca="1">IFERROR(__xludf.DUMMYFUNCTION("IMPORTRANGE(""https://docs.google.com/spreadsheets/d/1QqKyyYR6Q21VydFLVH3TRQUabQu_ym0Zz7PgGX0-kHA/edit?usp=sharing"",""แผน!AS14"")"),0)</f>
        <v>0</v>
      </c>
      <c r="J225" s="214">
        <v>0</v>
      </c>
      <c r="K225" s="163">
        <f t="shared" ca="1" si="103"/>
        <v>0</v>
      </c>
      <c r="L225" s="465"/>
      <c r="M225" s="465"/>
      <c r="N225" s="465"/>
      <c r="O225" s="465"/>
      <c r="P225" s="465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5"/>
      <c r="B226" s="263"/>
      <c r="C226" s="823" t="s">
        <v>115</v>
      </c>
      <c r="D226" s="256"/>
      <c r="E226" s="256"/>
      <c r="F226" s="256"/>
      <c r="G226" s="258"/>
      <c r="H226" s="265" t="s">
        <v>35</v>
      </c>
      <c r="I226" s="824">
        <f t="shared" ref="I226:J226" ca="1" si="104">I237+I248</f>
        <v>0</v>
      </c>
      <c r="J226" s="824">
        <f t="shared" si="104"/>
        <v>0</v>
      </c>
      <c r="K226" s="825">
        <f t="shared" ca="1" si="103"/>
        <v>0</v>
      </c>
      <c r="L226" s="261"/>
      <c r="M226" s="261"/>
      <c r="N226" s="261"/>
      <c r="O226" s="261"/>
      <c r="P226" s="261"/>
    </row>
    <row r="227" spans="1:26" ht="19.5" hidden="1">
      <c r="A227" s="826"/>
      <c r="B227" s="827"/>
      <c r="C227" s="828" t="s">
        <v>16</v>
      </c>
      <c r="D227" s="829" t="s">
        <v>17</v>
      </c>
      <c r="E227" s="827"/>
      <c r="F227" s="827"/>
      <c r="G227" s="830"/>
      <c r="H227" s="831" t="s">
        <v>12</v>
      </c>
      <c r="I227" s="832"/>
      <c r="J227" s="832"/>
      <c r="K227" s="833"/>
      <c r="L227" s="834">
        <f t="shared" ref="L227:L231" ca="1" si="105">L238+L249</f>
        <v>0</v>
      </c>
      <c r="M227" s="834"/>
      <c r="N227" s="834">
        <f t="shared" ref="N227:N231" si="106">N238+N249</f>
        <v>0</v>
      </c>
      <c r="O227" s="835"/>
      <c r="P227" s="835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542"/>
      <c r="C228" s="40"/>
      <c r="D228" s="222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5"/>
        <v>0</v>
      </c>
      <c r="M228" s="93"/>
      <c r="N228" s="93">
        <f t="shared" si="106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836"/>
      <c r="B229" s="542"/>
      <c r="C229" s="837"/>
      <c r="D229" s="222" t="s">
        <v>98</v>
      </c>
      <c r="E229" s="40"/>
      <c r="F229" s="40"/>
      <c r="G229" s="42"/>
      <c r="H229" s="165" t="s">
        <v>12</v>
      </c>
      <c r="I229" s="583"/>
      <c r="J229" s="583"/>
      <c r="K229" s="93"/>
      <c r="L229" s="93">
        <f t="shared" ca="1" si="105"/>
        <v>0</v>
      </c>
      <c r="M229" s="93"/>
      <c r="N229" s="93">
        <f t="shared" si="106"/>
        <v>0</v>
      </c>
      <c r="O229" s="93"/>
      <c r="P229" s="93"/>
      <c r="Q229" s="838"/>
      <c r="R229" s="838"/>
      <c r="S229" s="838"/>
      <c r="T229" s="838"/>
      <c r="U229" s="838"/>
      <c r="V229" s="838"/>
      <c r="W229" s="838"/>
      <c r="X229" s="838"/>
      <c r="Y229" s="838"/>
      <c r="Z229" s="838"/>
    </row>
    <row r="230" spans="1:26" ht="19.5" hidden="1">
      <c r="A230" s="836"/>
      <c r="B230" s="542"/>
      <c r="C230" s="837"/>
      <c r="D230" s="222" t="s">
        <v>116</v>
      </c>
      <c r="E230" s="40"/>
      <c r="F230" s="40"/>
      <c r="G230" s="42"/>
      <c r="H230" s="165" t="s">
        <v>12</v>
      </c>
      <c r="I230" s="583"/>
      <c r="J230" s="583"/>
      <c r="K230" s="93"/>
      <c r="L230" s="93">
        <f t="shared" ca="1" si="105"/>
        <v>0</v>
      </c>
      <c r="M230" s="93"/>
      <c r="N230" s="93">
        <f t="shared" si="106"/>
        <v>0</v>
      </c>
      <c r="O230" s="93"/>
      <c r="P230" s="93"/>
      <c r="Q230" s="838"/>
      <c r="R230" s="838"/>
      <c r="S230" s="838"/>
      <c r="T230" s="838"/>
      <c r="U230" s="838"/>
      <c r="V230" s="838"/>
      <c r="W230" s="838"/>
      <c r="X230" s="838"/>
      <c r="Y230" s="838"/>
      <c r="Z230" s="838"/>
    </row>
    <row r="231" spans="1:26" ht="19.5" hidden="1">
      <c r="A231" s="836"/>
      <c r="B231" s="542"/>
      <c r="C231" s="837"/>
      <c r="D231" s="222" t="s">
        <v>100</v>
      </c>
      <c r="E231" s="40"/>
      <c r="F231" s="40"/>
      <c r="G231" s="42"/>
      <c r="H231" s="165" t="s">
        <v>12</v>
      </c>
      <c r="I231" s="583"/>
      <c r="J231" s="583"/>
      <c r="K231" s="93"/>
      <c r="L231" s="93">
        <f t="shared" ca="1" si="105"/>
        <v>0</v>
      </c>
      <c r="M231" s="93"/>
      <c r="N231" s="93">
        <f t="shared" si="106"/>
        <v>0</v>
      </c>
      <c r="O231" s="93"/>
      <c r="P231" s="93"/>
      <c r="Q231" s="838"/>
      <c r="R231" s="838"/>
      <c r="S231" s="838"/>
      <c r="T231" s="838"/>
      <c r="U231" s="838"/>
      <c r="V231" s="838"/>
      <c r="W231" s="838"/>
      <c r="X231" s="838"/>
      <c r="Y231" s="838"/>
      <c r="Z231" s="838"/>
    </row>
    <row r="232" spans="1:26" ht="19.5" hidden="1">
      <c r="A232" s="839"/>
      <c r="B232" s="840"/>
      <c r="C232" s="837" t="s">
        <v>16</v>
      </c>
      <c r="D232" s="266" t="s">
        <v>38</v>
      </c>
      <c r="E232" s="841"/>
      <c r="F232" s="841"/>
      <c r="G232" s="842"/>
      <c r="H232" s="581"/>
      <c r="I232" s="166"/>
      <c r="J232" s="583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839"/>
      <c r="B233" s="840"/>
      <c r="C233" s="840"/>
      <c r="D233" s="268" t="s">
        <v>117</v>
      </c>
      <c r="E233" s="536"/>
      <c r="F233" s="536"/>
      <c r="G233" s="843"/>
      <c r="H233" s="582" t="s">
        <v>35</v>
      </c>
      <c r="I233" s="583">
        <f t="shared" ref="I233:J233" ca="1" si="107">I244+I255</f>
        <v>0</v>
      </c>
      <c r="J233" s="583">
        <f t="shared" si="107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839"/>
      <c r="B234" s="840"/>
      <c r="C234" s="840"/>
      <c r="D234" s="844" t="s">
        <v>43</v>
      </c>
      <c r="E234" s="536"/>
      <c r="F234" s="536"/>
      <c r="G234" s="843"/>
      <c r="H234" s="582"/>
      <c r="I234" s="583"/>
      <c r="J234" s="583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839"/>
      <c r="B235" s="840"/>
      <c r="C235" s="840"/>
      <c r="D235" s="840"/>
      <c r="E235" s="267" t="s">
        <v>118</v>
      </c>
      <c r="F235" s="536"/>
      <c r="G235" s="843"/>
      <c r="H235" s="582" t="s">
        <v>35</v>
      </c>
      <c r="I235" s="583">
        <f t="shared" ref="I235:J236" si="108">I246+I257</f>
        <v>0</v>
      </c>
      <c r="J235" s="583">
        <f t="shared" si="108"/>
        <v>0</v>
      </c>
      <c r="K235" s="93">
        <f t="shared" ref="K235:K237" si="109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839"/>
      <c r="B236" s="840"/>
      <c r="C236" s="840"/>
      <c r="D236" s="840"/>
      <c r="E236" s="267" t="s">
        <v>119</v>
      </c>
      <c r="F236" s="536"/>
      <c r="G236" s="843"/>
      <c r="H236" s="582" t="s">
        <v>69</v>
      </c>
      <c r="I236" s="583">
        <f t="shared" si="108"/>
        <v>0</v>
      </c>
      <c r="J236" s="583">
        <f t="shared" si="108"/>
        <v>0</v>
      </c>
      <c r="K236" s="93">
        <f t="shared" si="109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5"/>
      <c r="B237" s="263"/>
      <c r="C237" s="339" t="s">
        <v>330</v>
      </c>
      <c r="D237" s="256"/>
      <c r="E237" s="256"/>
      <c r="F237" s="256"/>
      <c r="G237" s="258"/>
      <c r="H237" s="259" t="s">
        <v>35</v>
      </c>
      <c r="I237" s="271">
        <f t="shared" ref="I237:J237" ca="1" si="110">I244</f>
        <v>0</v>
      </c>
      <c r="J237" s="271">
        <f t="shared" si="110"/>
        <v>0</v>
      </c>
      <c r="K237" s="272">
        <f t="shared" ca="1" si="109"/>
        <v>0</v>
      </c>
      <c r="L237" s="261"/>
      <c r="M237" s="261"/>
      <c r="N237" s="261"/>
      <c r="O237" s="261"/>
      <c r="P237" s="261"/>
    </row>
    <row r="238" spans="1:26" ht="19.5" hidden="1">
      <c r="A238" s="147"/>
      <c r="B238" s="148"/>
      <c r="C238" s="149" t="s">
        <v>16</v>
      </c>
      <c r="D238" s="817" t="s">
        <v>17</v>
      </c>
      <c r="E238" s="148"/>
      <c r="F238" s="148"/>
      <c r="G238" s="151"/>
      <c r="H238" s="274" t="s">
        <v>12</v>
      </c>
      <c r="I238" s="387"/>
      <c r="J238" s="387"/>
      <c r="K238" s="279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3"/>
      <c r="B239" s="314"/>
      <c r="C239" s="315"/>
      <c r="D239" s="324" t="s">
        <v>97</v>
      </c>
      <c r="E239" s="315"/>
      <c r="F239" s="315"/>
      <c r="G239" s="317"/>
      <c r="H239" s="318" t="s">
        <v>12</v>
      </c>
      <c r="I239" s="319"/>
      <c r="J239" s="319"/>
      <c r="K239" s="320"/>
      <c r="L239" s="321">
        <f ca="1">IFERROR(__xludf.DUMMYFUNCTION("IMPORTRANGE(""https://docs.google.com/spreadsheets/d/1QqKyyYR6Q21VydFLVH3TRQUabQu_ym0Zz7PgGX0-kHA/edit?usp=sharing"",""แผน!AV14"")"),0)</f>
        <v>0</v>
      </c>
      <c r="M239" s="321"/>
      <c r="N239" s="340">
        <v>0</v>
      </c>
      <c r="O239" s="321"/>
      <c r="P239" s="321"/>
      <c r="Q239" s="312"/>
      <c r="R239" s="312"/>
      <c r="S239" s="312"/>
      <c r="T239" s="312"/>
      <c r="U239" s="312"/>
      <c r="V239" s="312"/>
      <c r="W239" s="312"/>
      <c r="X239" s="312"/>
      <c r="Y239" s="312"/>
      <c r="Z239" s="312"/>
    </row>
    <row r="240" spans="1:26" ht="19.5" hidden="1">
      <c r="A240" s="322"/>
      <c r="B240" s="314"/>
      <c r="C240" s="323"/>
      <c r="D240" s="324" t="s">
        <v>98</v>
      </c>
      <c r="E240" s="315"/>
      <c r="F240" s="315"/>
      <c r="G240" s="317"/>
      <c r="H240" s="318" t="s">
        <v>12</v>
      </c>
      <c r="I240" s="325"/>
      <c r="J240" s="325"/>
      <c r="K240" s="321"/>
      <c r="L240" s="321">
        <f ca="1">IFERROR(__xludf.DUMMYFUNCTION("IMPORTRANGE(""https://docs.google.com/spreadsheets/d/1QqKyyYR6Q21VydFLVH3TRQUabQu_ym0Zz7PgGX0-kHA/edit?usp=sharing"",""แผน!AW14"")"),0)</f>
        <v>0</v>
      </c>
      <c r="M240" s="321"/>
      <c r="N240" s="340">
        <v>0</v>
      </c>
      <c r="O240" s="321"/>
      <c r="P240" s="321"/>
      <c r="Q240" s="326"/>
      <c r="R240" s="326"/>
      <c r="S240" s="326"/>
      <c r="T240" s="326"/>
      <c r="U240" s="326"/>
      <c r="V240" s="326"/>
      <c r="W240" s="326"/>
      <c r="X240" s="326"/>
      <c r="Y240" s="326"/>
      <c r="Z240" s="326"/>
    </row>
    <row r="241" spans="1:26" ht="19.5" hidden="1">
      <c r="A241" s="322"/>
      <c r="B241" s="314"/>
      <c r="C241" s="323"/>
      <c r="D241" s="324" t="s">
        <v>116</v>
      </c>
      <c r="E241" s="315"/>
      <c r="F241" s="315"/>
      <c r="G241" s="317"/>
      <c r="H241" s="318" t="s">
        <v>12</v>
      </c>
      <c r="I241" s="325"/>
      <c r="J241" s="325"/>
      <c r="K241" s="321"/>
      <c r="L241" s="321">
        <f ca="1">IFERROR(__xludf.DUMMYFUNCTION("IMPORTRANGE(""https://docs.google.com/spreadsheets/d/1QqKyyYR6Q21VydFLVH3TRQUabQu_ym0Zz7PgGX0-kHA/edit?usp=sharing"",""แผน!AX14"")"),0)</f>
        <v>0</v>
      </c>
      <c r="M241" s="321"/>
      <c r="N241" s="340">
        <v>0</v>
      </c>
      <c r="O241" s="321"/>
      <c r="P241" s="321"/>
      <c r="Q241" s="326"/>
      <c r="R241" s="326"/>
      <c r="S241" s="326"/>
      <c r="T241" s="326"/>
      <c r="U241" s="326"/>
      <c r="V241" s="326"/>
      <c r="W241" s="326"/>
      <c r="X241" s="326"/>
      <c r="Y241" s="326"/>
      <c r="Z241" s="326"/>
    </row>
    <row r="242" spans="1:26" ht="19.5" hidden="1">
      <c r="A242" s="322"/>
      <c r="B242" s="314"/>
      <c r="C242" s="323"/>
      <c r="D242" s="324" t="s">
        <v>100</v>
      </c>
      <c r="E242" s="315"/>
      <c r="F242" s="315"/>
      <c r="G242" s="317"/>
      <c r="H242" s="318" t="s">
        <v>12</v>
      </c>
      <c r="I242" s="325"/>
      <c r="J242" s="325"/>
      <c r="K242" s="321"/>
      <c r="L242" s="321">
        <f ca="1">IFERROR(__xludf.DUMMYFUNCTION("IMPORTRANGE(""https://docs.google.com/spreadsheets/d/1QqKyyYR6Q21VydFLVH3TRQUabQu_ym0Zz7PgGX0-kHA/edit?usp=sharing"",""แผน!AY14"")"),0)</f>
        <v>0</v>
      </c>
      <c r="M242" s="321"/>
      <c r="N242" s="340">
        <v>0</v>
      </c>
      <c r="O242" s="321"/>
      <c r="P242" s="321"/>
      <c r="Q242" s="326"/>
      <c r="R242" s="326"/>
      <c r="S242" s="326"/>
      <c r="T242" s="326"/>
      <c r="U242" s="326"/>
      <c r="V242" s="326"/>
      <c r="W242" s="326"/>
      <c r="X242" s="326"/>
      <c r="Y242" s="326"/>
      <c r="Z242" s="326"/>
    </row>
    <row r="243" spans="1:26" ht="19.5" hidden="1">
      <c r="A243" s="170"/>
      <c r="B243" s="171"/>
      <c r="C243" s="291" t="s">
        <v>16</v>
      </c>
      <c r="D243" s="818" t="s">
        <v>38</v>
      </c>
      <c r="E243" s="173"/>
      <c r="F243" s="173"/>
      <c r="G243" s="174"/>
      <c r="H243" s="726"/>
      <c r="I243" s="184"/>
      <c r="J243" s="269"/>
      <c r="K243" s="465"/>
      <c r="L243" s="465"/>
      <c r="M243" s="465"/>
      <c r="N243" s="465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15" t="s">
        <v>117</v>
      </c>
      <c r="E244" s="342"/>
      <c r="F244" s="342"/>
      <c r="G244" s="179"/>
      <c r="H244" s="728" t="s">
        <v>35</v>
      </c>
      <c r="I244" s="269">
        <f ca="1">IFERROR(__xludf.DUMMYFUNCTION("IMPORTRANGE(""https://docs.google.com/spreadsheets/d/1QqKyyYR6Q21VydFLVH3TRQUabQu_ym0Zz7PgGX0-kHA/edit?usp=sharing"",""แผน!BE14"")"),0)</f>
        <v>0</v>
      </c>
      <c r="J244" s="214">
        <v>0</v>
      </c>
      <c r="K244" s="465">
        <f ca="1">IF(I244&gt;0,J244*100/I244,0)</f>
        <v>0</v>
      </c>
      <c r="L244" s="465"/>
      <c r="M244" s="465"/>
      <c r="N244" s="465"/>
      <c r="O244" s="465"/>
      <c r="P244" s="465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341" t="s">
        <v>43</v>
      </c>
      <c r="E245" s="342"/>
      <c r="F245" s="342"/>
      <c r="G245" s="179"/>
      <c r="H245" s="728"/>
      <c r="I245" s="269"/>
      <c r="J245" s="269"/>
      <c r="K245" s="465"/>
      <c r="L245" s="465"/>
      <c r="M245" s="465"/>
      <c r="N245" s="465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343" t="s">
        <v>118</v>
      </c>
      <c r="F246" s="342"/>
      <c r="G246" s="179"/>
      <c r="H246" s="728" t="s">
        <v>35</v>
      </c>
      <c r="I246" s="269"/>
      <c r="J246" s="214">
        <v>0</v>
      </c>
      <c r="K246" s="465">
        <f t="shared" ref="K246:K248" si="111">IF(I246&gt;0,J246*100/I246,0)</f>
        <v>0</v>
      </c>
      <c r="L246" s="465"/>
      <c r="M246" s="465"/>
      <c r="N246" s="465"/>
      <c r="O246" s="465"/>
      <c r="P246" s="465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343" t="s">
        <v>119</v>
      </c>
      <c r="F247" s="342"/>
      <c r="G247" s="179"/>
      <c r="H247" s="728" t="s">
        <v>69</v>
      </c>
      <c r="I247" s="269"/>
      <c r="J247" s="214">
        <v>0</v>
      </c>
      <c r="K247" s="465">
        <f t="shared" si="111"/>
        <v>0</v>
      </c>
      <c r="L247" s="465"/>
      <c r="M247" s="465"/>
      <c r="N247" s="465"/>
      <c r="O247" s="465"/>
      <c r="P247" s="465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5"/>
      <c r="B248" s="263"/>
      <c r="C248" s="339" t="s">
        <v>331</v>
      </c>
      <c r="D248" s="256"/>
      <c r="E248" s="256"/>
      <c r="F248" s="256"/>
      <c r="G248" s="258"/>
      <c r="H248" s="259" t="s">
        <v>35</v>
      </c>
      <c r="I248" s="271">
        <f t="shared" ref="I248:J248" ca="1" si="112">I255</f>
        <v>0</v>
      </c>
      <c r="J248" s="271">
        <f t="shared" si="112"/>
        <v>0</v>
      </c>
      <c r="K248" s="272">
        <f t="shared" ca="1" si="111"/>
        <v>0</v>
      </c>
      <c r="L248" s="261"/>
      <c r="M248" s="261"/>
      <c r="N248" s="261"/>
      <c r="O248" s="261"/>
      <c r="P248" s="261"/>
    </row>
    <row r="249" spans="1:26" ht="19.5" hidden="1">
      <c r="A249" s="147"/>
      <c r="B249" s="148"/>
      <c r="C249" s="149" t="s">
        <v>16</v>
      </c>
      <c r="D249" s="822" t="s">
        <v>17</v>
      </c>
      <c r="E249" s="148"/>
      <c r="F249" s="148"/>
      <c r="G249" s="151"/>
      <c r="H249" s="274" t="s">
        <v>12</v>
      </c>
      <c r="I249" s="387"/>
      <c r="J249" s="387"/>
      <c r="K249" s="279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3"/>
      <c r="B250" s="314"/>
      <c r="C250" s="315"/>
      <c r="D250" s="324" t="s">
        <v>97</v>
      </c>
      <c r="E250" s="315"/>
      <c r="F250" s="315"/>
      <c r="G250" s="317"/>
      <c r="H250" s="318" t="s">
        <v>12</v>
      </c>
      <c r="I250" s="319"/>
      <c r="J250" s="319"/>
      <c r="K250" s="320"/>
      <c r="L250" s="321">
        <f ca="1">IFERROR(__xludf.DUMMYFUNCTION("IMPORTRANGE(""https://docs.google.com/spreadsheets/d/1QqKyyYR6Q21VydFLVH3TRQUabQu_ym0Zz7PgGX0-kHA/edit?usp=sharing"",""แผน!AZ14"")"),0)</f>
        <v>0</v>
      </c>
      <c r="M250" s="321"/>
      <c r="N250" s="340">
        <v>0</v>
      </c>
      <c r="O250" s="321"/>
      <c r="P250" s="321"/>
      <c r="Q250" s="312"/>
      <c r="R250" s="312"/>
      <c r="S250" s="312"/>
      <c r="T250" s="312"/>
      <c r="U250" s="312"/>
      <c r="V250" s="312"/>
      <c r="W250" s="312"/>
      <c r="X250" s="312"/>
      <c r="Y250" s="312"/>
      <c r="Z250" s="312"/>
    </row>
    <row r="251" spans="1:26" ht="19.5" hidden="1">
      <c r="A251" s="322"/>
      <c r="B251" s="314"/>
      <c r="C251" s="323"/>
      <c r="D251" s="324" t="s">
        <v>98</v>
      </c>
      <c r="E251" s="315"/>
      <c r="F251" s="315"/>
      <c r="G251" s="317"/>
      <c r="H251" s="318" t="s">
        <v>12</v>
      </c>
      <c r="I251" s="325"/>
      <c r="J251" s="325"/>
      <c r="K251" s="321"/>
      <c r="L251" s="321">
        <f ca="1">IFERROR(__xludf.DUMMYFUNCTION("IMPORTRANGE(""https://docs.google.com/spreadsheets/d/1QqKyyYR6Q21VydFLVH3TRQUabQu_ym0Zz7PgGX0-kHA/edit?usp=sharing"",""แผน!BA14"")"),0)</f>
        <v>0</v>
      </c>
      <c r="M251" s="321"/>
      <c r="N251" s="340">
        <v>0</v>
      </c>
      <c r="O251" s="321"/>
      <c r="P251" s="321"/>
      <c r="Q251" s="326"/>
      <c r="R251" s="326"/>
      <c r="S251" s="326"/>
      <c r="T251" s="326"/>
      <c r="U251" s="326"/>
      <c r="V251" s="326"/>
      <c r="W251" s="326"/>
      <c r="X251" s="326"/>
      <c r="Y251" s="326"/>
      <c r="Z251" s="326"/>
    </row>
    <row r="252" spans="1:26" ht="19.5" hidden="1">
      <c r="A252" s="322"/>
      <c r="B252" s="314"/>
      <c r="C252" s="323"/>
      <c r="D252" s="324" t="s">
        <v>116</v>
      </c>
      <c r="E252" s="315"/>
      <c r="F252" s="315"/>
      <c r="G252" s="317"/>
      <c r="H252" s="318" t="s">
        <v>12</v>
      </c>
      <c r="I252" s="325"/>
      <c r="J252" s="325"/>
      <c r="K252" s="321"/>
      <c r="L252" s="321">
        <f ca="1">IFERROR(__xludf.DUMMYFUNCTION("IMPORTRANGE(""https://docs.google.com/spreadsheets/d/1QqKyyYR6Q21VydFLVH3TRQUabQu_ym0Zz7PgGX0-kHA/edit?usp=sharing"",""แผน!BB14"")"),0)</f>
        <v>0</v>
      </c>
      <c r="M252" s="321"/>
      <c r="N252" s="340">
        <v>0</v>
      </c>
      <c r="O252" s="321"/>
      <c r="P252" s="321"/>
      <c r="Q252" s="326"/>
      <c r="R252" s="326"/>
      <c r="S252" s="326"/>
      <c r="T252" s="326"/>
      <c r="U252" s="326"/>
      <c r="V252" s="326"/>
      <c r="W252" s="326"/>
      <c r="X252" s="326"/>
      <c r="Y252" s="326"/>
      <c r="Z252" s="326"/>
    </row>
    <row r="253" spans="1:26" ht="19.5" hidden="1">
      <c r="A253" s="322"/>
      <c r="B253" s="314"/>
      <c r="C253" s="323"/>
      <c r="D253" s="324" t="s">
        <v>100</v>
      </c>
      <c r="E253" s="315"/>
      <c r="F253" s="315"/>
      <c r="G253" s="317"/>
      <c r="H253" s="318" t="s">
        <v>12</v>
      </c>
      <c r="I253" s="325"/>
      <c r="J253" s="325"/>
      <c r="K253" s="321"/>
      <c r="L253" s="321">
        <f ca="1">IFERROR(__xludf.DUMMYFUNCTION("IMPORTRANGE(""https://docs.google.com/spreadsheets/d/1QqKyyYR6Q21VydFLVH3TRQUabQu_ym0Zz7PgGX0-kHA/edit?usp=sharing"",""แผน!BC14"")"),0)</f>
        <v>0</v>
      </c>
      <c r="M253" s="321"/>
      <c r="N253" s="340">
        <v>0</v>
      </c>
      <c r="O253" s="321"/>
      <c r="P253" s="321"/>
      <c r="Q253" s="326"/>
      <c r="R253" s="326"/>
      <c r="S253" s="326"/>
      <c r="T253" s="326"/>
      <c r="U253" s="326"/>
      <c r="V253" s="326"/>
      <c r="W253" s="326"/>
      <c r="X253" s="326"/>
      <c r="Y253" s="326"/>
      <c r="Z253" s="326"/>
    </row>
    <row r="254" spans="1:26" ht="19.5" hidden="1">
      <c r="A254" s="170"/>
      <c r="B254" s="171"/>
      <c r="C254" s="291" t="s">
        <v>16</v>
      </c>
      <c r="D254" s="818" t="s">
        <v>38</v>
      </c>
      <c r="E254" s="173"/>
      <c r="F254" s="173"/>
      <c r="G254" s="174"/>
      <c r="H254" s="726"/>
      <c r="I254" s="184"/>
      <c r="J254" s="269"/>
      <c r="K254" s="465"/>
      <c r="L254" s="465"/>
      <c r="M254" s="465"/>
      <c r="N254" s="465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15" t="s">
        <v>117</v>
      </c>
      <c r="E255" s="342"/>
      <c r="F255" s="342"/>
      <c r="G255" s="179"/>
      <c r="H255" s="728" t="s">
        <v>35</v>
      </c>
      <c r="I255" s="269">
        <f ca="1">IFERROR(__xludf.DUMMYFUNCTION("IMPORTRANGE(""https://docs.google.com/spreadsheets/d/1QqKyyYR6Q21VydFLVH3TRQUabQu_ym0Zz7PgGX0-kHA/edit?usp=sharing"",""แผน!BF14"")"),0)</f>
        <v>0</v>
      </c>
      <c r="J255" s="214">
        <v>0</v>
      </c>
      <c r="K255" s="465">
        <f ca="1">IF(I255&gt;0,J255*100/I255,0)</f>
        <v>0</v>
      </c>
      <c r="L255" s="465"/>
      <c r="M255" s="465"/>
      <c r="N255" s="465"/>
      <c r="O255" s="465"/>
      <c r="P255" s="465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341" t="s">
        <v>43</v>
      </c>
      <c r="E256" s="342"/>
      <c r="F256" s="342"/>
      <c r="G256" s="179"/>
      <c r="H256" s="728"/>
      <c r="I256" s="269"/>
      <c r="J256" s="269"/>
      <c r="K256" s="465"/>
      <c r="L256" s="465"/>
      <c r="M256" s="465"/>
      <c r="N256" s="465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343" t="s">
        <v>118</v>
      </c>
      <c r="F257" s="342"/>
      <c r="G257" s="179"/>
      <c r="H257" s="728" t="s">
        <v>35</v>
      </c>
      <c r="I257" s="269"/>
      <c r="J257" s="214">
        <v>0</v>
      </c>
      <c r="K257" s="465">
        <f t="shared" ref="K257:K258" si="113">IF(I257&gt;0,J257*100/I257,0)</f>
        <v>0</v>
      </c>
      <c r="L257" s="465"/>
      <c r="M257" s="465"/>
      <c r="N257" s="465"/>
      <c r="O257" s="465"/>
      <c r="P257" s="465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343" t="s">
        <v>119</v>
      </c>
      <c r="F258" s="342"/>
      <c r="G258" s="179"/>
      <c r="H258" s="728" t="s">
        <v>69</v>
      </c>
      <c r="I258" s="269"/>
      <c r="J258" s="214">
        <v>0</v>
      </c>
      <c r="K258" s="465">
        <f t="shared" si="113"/>
        <v>0</v>
      </c>
      <c r="L258" s="465"/>
      <c r="M258" s="465"/>
      <c r="N258" s="465"/>
      <c r="O258" s="465"/>
      <c r="P258" s="465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1" t="s">
        <v>122</v>
      </c>
      <c r="B259" s="242"/>
      <c r="C259" s="242"/>
      <c r="D259" s="243"/>
      <c r="E259" s="243"/>
      <c r="F259" s="243"/>
      <c r="G259" s="244"/>
      <c r="H259" s="245"/>
      <c r="I259" s="246"/>
      <c r="J259" s="246"/>
      <c r="K259" s="247"/>
      <c r="L259" s="247"/>
      <c r="M259" s="247"/>
      <c r="N259" s="247"/>
      <c r="O259" s="247"/>
      <c r="P259" s="247"/>
    </row>
    <row r="260" spans="1:26" ht="19.5">
      <c r="A260" s="248"/>
      <c r="B260" s="249" t="s">
        <v>123</v>
      </c>
      <c r="C260" s="250"/>
      <c r="D260" s="173"/>
      <c r="E260" s="173"/>
      <c r="F260" s="173"/>
      <c r="G260" s="174"/>
      <c r="H260" s="251" t="s">
        <v>35</v>
      </c>
      <c r="I260" s="252">
        <f t="shared" ref="I260:J260" ca="1" si="114">I271</f>
        <v>22</v>
      </c>
      <c r="J260" s="252">
        <f t="shared" si="114"/>
        <v>0</v>
      </c>
      <c r="K260" s="253">
        <f ca="1">IF(I260&gt;0,J260*100/I260,0)</f>
        <v>0</v>
      </c>
      <c r="L260" s="254"/>
      <c r="M260" s="254"/>
      <c r="N260" s="254"/>
      <c r="O260" s="254"/>
      <c r="P260" s="254"/>
    </row>
    <row r="261" spans="1:26" ht="19.5">
      <c r="A261" s="147"/>
      <c r="B261" s="148"/>
      <c r="C261" s="149" t="s">
        <v>16</v>
      </c>
      <c r="D261" s="817" t="s">
        <v>17</v>
      </c>
      <c r="E261" s="148"/>
      <c r="F261" s="148"/>
      <c r="G261" s="151"/>
      <c r="H261" s="152" t="s">
        <v>12</v>
      </c>
      <c r="I261" s="388"/>
      <c r="J261" s="388"/>
      <c r="K261" s="154"/>
      <c r="L261" s="155">
        <f t="shared" ref="L261:N261" ca="1" si="115">L262+L263</f>
        <v>26900</v>
      </c>
      <c r="M261" s="155">
        <f t="shared" ca="1" si="115"/>
        <v>23900</v>
      </c>
      <c r="N261" s="155">
        <f t="shared" ca="1" si="115"/>
        <v>0</v>
      </c>
      <c r="O261" s="155">
        <f t="shared" ref="O261:O269" ca="1" si="116">IF(L261&gt;0,N261*100/L261,0)</f>
        <v>0</v>
      </c>
      <c r="P261" s="155">
        <f t="shared" ref="P261:P269" ca="1" si="117">IF(M261&gt;0,N261*100/M261,0)</f>
        <v>0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2" t="s">
        <v>18</v>
      </c>
      <c r="F262" s="40"/>
      <c r="G262" s="157"/>
      <c r="H262" s="158" t="s">
        <v>12</v>
      </c>
      <c r="I262" s="583"/>
      <c r="J262" s="583"/>
      <c r="K262" s="93"/>
      <c r="L262" s="93">
        <f t="shared" ref="L262:N263" si="118">L265+L268</f>
        <v>0</v>
      </c>
      <c r="M262" s="93">
        <f t="shared" si="118"/>
        <v>0</v>
      </c>
      <c r="N262" s="93">
        <f t="shared" si="118"/>
        <v>0</v>
      </c>
      <c r="O262" s="93">
        <f t="shared" si="116"/>
        <v>0</v>
      </c>
      <c r="P262" s="93">
        <f t="shared" si="117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2" t="s">
        <v>19</v>
      </c>
      <c r="F263" s="40"/>
      <c r="G263" s="157"/>
      <c r="H263" s="158" t="s">
        <v>12</v>
      </c>
      <c r="I263" s="583"/>
      <c r="J263" s="583"/>
      <c r="K263" s="93"/>
      <c r="L263" s="93">
        <f t="shared" ca="1" si="118"/>
        <v>26900</v>
      </c>
      <c r="M263" s="93">
        <f t="shared" ca="1" si="118"/>
        <v>23900</v>
      </c>
      <c r="N263" s="93">
        <f t="shared" ca="1" si="118"/>
        <v>0</v>
      </c>
      <c r="O263" s="93">
        <f t="shared" ca="1" si="116"/>
        <v>0</v>
      </c>
      <c r="P263" s="93">
        <f t="shared" ca="1" si="117"/>
        <v>0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1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65">
        <f t="shared" ref="L264:N264" ca="1" si="119">L265+L266</f>
        <v>26900</v>
      </c>
      <c r="M264" s="465">
        <f t="shared" ca="1" si="119"/>
        <v>23900</v>
      </c>
      <c r="N264" s="465">
        <f t="shared" ca="1" si="119"/>
        <v>0</v>
      </c>
      <c r="O264" s="465">
        <f t="shared" ca="1" si="116"/>
        <v>0</v>
      </c>
      <c r="P264" s="465">
        <f t="shared" ca="1" si="117"/>
        <v>0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2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6"/>
        <v>0</v>
      </c>
      <c r="P265" s="93">
        <f t="shared" si="117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2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IFERROR(__xludf.DUMMYFUNCTION("IMPORTRANGE(""https://docs.google.com/spreadsheets/d/1MeEWN-I1oV_STSDYn1IFDPWt_1FKiwhDph83XaGc0o0/edit?usp=sharing"",""งบพรบ!CY14"")"),26900)</f>
        <v>26900</v>
      </c>
      <c r="M266" s="93">
        <f ca="1">IFERROR(__xludf.DUMMYFUNCTION("IMPORTRANGE(""https://docs.google.com/spreadsheets/d/1MeEWN-I1oV_STSDYn1IFDPWt_1FKiwhDph83XaGc0o0/edit?usp=sharing"",""งบพรบ!DD14"")"),23900)</f>
        <v>23900</v>
      </c>
      <c r="N266" s="93">
        <f ca="1">IFERROR(__xludf.DUMMYFUNCTION("IMPORTRANGE(""https://docs.google.com/spreadsheets/d/1MeEWN-I1oV_STSDYn1IFDPWt_1FKiwhDph83XaGc0o0/edit?usp=sharing"",""งบพรบ!DF14"")"),0)</f>
        <v>0</v>
      </c>
      <c r="O266" s="93">
        <f t="shared" ca="1" si="116"/>
        <v>0</v>
      </c>
      <c r="P266" s="93">
        <f t="shared" ca="1" si="117"/>
        <v>0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1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65">
        <f t="shared" ref="L267:N267" ca="1" si="120">L268+L269</f>
        <v>0</v>
      </c>
      <c r="M267" s="465">
        <f t="shared" ca="1" si="120"/>
        <v>0</v>
      </c>
      <c r="N267" s="465">
        <f t="shared" ca="1" si="120"/>
        <v>0</v>
      </c>
      <c r="O267" s="465">
        <f t="shared" ca="1" si="116"/>
        <v>0</v>
      </c>
      <c r="P267" s="465">
        <f t="shared" ca="1" si="117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2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6"/>
        <v>0</v>
      </c>
      <c r="P268" s="93">
        <f t="shared" si="117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2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IFERROR(__xludf.DUMMYFUNCTION("IMPORTRANGE(""https://docs.google.com/spreadsheets/d/1MeEWN-I1oV_STSDYn1IFDPWt_1FKiwhDph83XaGc0o0/edit?usp=sharing"",""งบพรบ!DB14"")"),0)</f>
        <v>0</v>
      </c>
      <c r="M269" s="93">
        <f ca="1">IFERROR(__xludf.DUMMYFUNCTION("IMPORTRANGE(""https://docs.google.com/spreadsheets/d/1MeEWN-I1oV_STSDYn1IFDPWt_1FKiwhDph83XaGc0o0/edit?usp=sharing"",""งบพรบ!DE14"")"),0)</f>
        <v>0</v>
      </c>
      <c r="N269" s="93">
        <f ca="1">IFERROR(__xludf.DUMMYFUNCTION("IMPORTRANGE(""https://docs.google.com/spreadsheets/d/1MeEWN-I1oV_STSDYn1IFDPWt_1FKiwhDph83XaGc0o0/edit?usp=sharing"",""งบพรบ!DG14"")"),0)</f>
        <v>0</v>
      </c>
      <c r="O269" s="93">
        <f t="shared" ca="1" si="116"/>
        <v>0</v>
      </c>
      <c r="P269" s="93">
        <f t="shared" ca="1" si="117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1" t="s">
        <v>16</v>
      </c>
      <c r="D270" s="818" t="s">
        <v>38</v>
      </c>
      <c r="E270" s="173"/>
      <c r="F270" s="173"/>
      <c r="G270" s="174"/>
      <c r="H270" s="726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44" t="s">
        <v>124</v>
      </c>
      <c r="E271" s="342"/>
      <c r="F271" s="268"/>
      <c r="G271" s="179"/>
      <c r="H271" s="345" t="s">
        <v>35</v>
      </c>
      <c r="I271" s="269">
        <f ca="1">IFERROR(__xludf.DUMMYFUNCTION("IMPORTRANGE(""https://docs.google.com/spreadsheets/d/1QqKyyYR6Q21VydFLVH3TRQUabQu_ym0Zz7PgGX0-kHA/edit?usp=sharing"",""แผน!EA14"")"),22)</f>
        <v>22</v>
      </c>
      <c r="J271" s="214">
        <v>0</v>
      </c>
      <c r="K271" s="163">
        <f ca="1">IF(I271&gt;0,J271*100/I271,0)</f>
        <v>0</v>
      </c>
      <c r="L271" s="163"/>
      <c r="M271" s="163"/>
      <c r="N271" s="163"/>
      <c r="O271" s="163"/>
      <c r="P271" s="163"/>
    </row>
    <row r="272" spans="1:26" ht="18.75" hidden="1">
      <c r="A272" s="346"/>
      <c r="B272" s="347"/>
      <c r="C272" s="347"/>
      <c r="D272" s="348" t="s">
        <v>125</v>
      </c>
      <c r="E272" s="349"/>
      <c r="F272" s="349"/>
      <c r="G272" s="350"/>
      <c r="H272" s="50" t="s">
        <v>35</v>
      </c>
      <c r="I272" s="468">
        <v>0</v>
      </c>
      <c r="J272" s="468">
        <v>0</v>
      </c>
      <c r="K272" s="353">
        <v>0</v>
      </c>
      <c r="L272" s="353"/>
      <c r="M272" s="353"/>
      <c r="N272" s="353"/>
      <c r="O272" s="353"/>
      <c r="P272" s="353"/>
    </row>
    <row r="273" spans="1:26" ht="19.5">
      <c r="A273" s="354" t="s">
        <v>126</v>
      </c>
      <c r="B273" s="355"/>
      <c r="C273" s="355"/>
      <c r="D273" s="355"/>
      <c r="E273" s="356"/>
      <c r="F273" s="356"/>
      <c r="G273" s="357"/>
      <c r="H273" s="358"/>
      <c r="I273" s="359"/>
      <c r="J273" s="359"/>
      <c r="K273" s="360"/>
      <c r="L273" s="360"/>
      <c r="M273" s="360"/>
      <c r="N273" s="360"/>
      <c r="O273" s="360"/>
      <c r="P273" s="360"/>
    </row>
    <row r="274" spans="1:26" ht="19.5">
      <c r="A274" s="361" t="s">
        <v>127</v>
      </c>
      <c r="B274" s="362"/>
      <c r="C274" s="363"/>
      <c r="D274" s="362"/>
      <c r="E274" s="362"/>
      <c r="F274" s="362"/>
      <c r="G274" s="362"/>
      <c r="H274" s="364"/>
      <c r="I274" s="365"/>
      <c r="J274" s="366"/>
      <c r="K274" s="367"/>
      <c r="L274" s="367"/>
      <c r="M274" s="367"/>
      <c r="N274" s="367"/>
      <c r="O274" s="367"/>
      <c r="P274" s="367"/>
    </row>
    <row r="275" spans="1:26" ht="19.5">
      <c r="A275" s="368"/>
      <c r="B275" s="377" t="s">
        <v>128</v>
      </c>
      <c r="C275" s="370"/>
      <c r="D275" s="371"/>
      <c r="E275" s="370"/>
      <c r="F275" s="370"/>
      <c r="G275" s="372"/>
      <c r="H275" s="373" t="s">
        <v>35</v>
      </c>
      <c r="I275" s="374">
        <f t="shared" ref="I275:J275" ca="1" si="121">I288</f>
        <v>50</v>
      </c>
      <c r="J275" s="374">
        <f t="shared" ca="1" si="121"/>
        <v>0</v>
      </c>
      <c r="K275" s="375">
        <f t="shared" ref="K275:K276" ca="1" si="122">IF(I275&gt;0,J275*100/I275,0)</f>
        <v>0</v>
      </c>
      <c r="L275" s="376"/>
      <c r="M275" s="376"/>
      <c r="N275" s="376"/>
      <c r="O275" s="376"/>
      <c r="P275" s="376"/>
    </row>
    <row r="276" spans="1:26" ht="19.5">
      <c r="A276" s="368"/>
      <c r="B276" s="377"/>
      <c r="C276" s="370"/>
      <c r="D276" s="371"/>
      <c r="E276" s="370"/>
      <c r="F276" s="370"/>
      <c r="G276" s="372"/>
      <c r="H276" s="373" t="s">
        <v>46</v>
      </c>
      <c r="I276" s="374">
        <f t="shared" ref="I276:J276" ca="1" si="123">I287</f>
        <v>500</v>
      </c>
      <c r="J276" s="374">
        <f t="shared" si="123"/>
        <v>0</v>
      </c>
      <c r="K276" s="375">
        <f t="shared" ca="1" si="122"/>
        <v>0</v>
      </c>
      <c r="L276" s="376"/>
      <c r="M276" s="376"/>
      <c r="N276" s="376"/>
      <c r="O276" s="376"/>
      <c r="P276" s="376"/>
    </row>
    <row r="277" spans="1:26" ht="19.5">
      <c r="A277" s="147"/>
      <c r="B277" s="148"/>
      <c r="C277" s="149" t="s">
        <v>16</v>
      </c>
      <c r="D277" s="817" t="s">
        <v>17</v>
      </c>
      <c r="E277" s="148"/>
      <c r="F277" s="148"/>
      <c r="G277" s="151"/>
      <c r="H277" s="152" t="s">
        <v>12</v>
      </c>
      <c r="I277" s="388"/>
      <c r="J277" s="388"/>
      <c r="K277" s="154"/>
      <c r="L277" s="155">
        <f t="shared" ref="L277:N277" ca="1" si="124">L278+L279</f>
        <v>343610</v>
      </c>
      <c r="M277" s="155">
        <f t="shared" ca="1" si="124"/>
        <v>157200</v>
      </c>
      <c r="N277" s="155">
        <f t="shared" ca="1" si="124"/>
        <v>21755</v>
      </c>
      <c r="O277" s="155">
        <f t="shared" ref="O277:O285" ca="1" si="125">IF(L277&gt;0,N277*100/L277,0)</f>
        <v>6.3313058409243039</v>
      </c>
      <c r="P277" s="155">
        <f t="shared" ref="P277:P285" ca="1" si="126">IF(M277&gt;0,N277*100/M277,0)</f>
        <v>13.839058524173028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2" t="s">
        <v>18</v>
      </c>
      <c r="F278" s="40"/>
      <c r="G278" s="157"/>
      <c r="H278" s="158" t="s">
        <v>12</v>
      </c>
      <c r="I278" s="583"/>
      <c r="J278" s="583"/>
      <c r="K278" s="93"/>
      <c r="L278" s="93">
        <f t="shared" ref="L278:N279" si="127">L281+L284</f>
        <v>0</v>
      </c>
      <c r="M278" s="93">
        <f t="shared" si="127"/>
        <v>0</v>
      </c>
      <c r="N278" s="93">
        <f t="shared" si="127"/>
        <v>0</v>
      </c>
      <c r="O278" s="93">
        <f t="shared" si="125"/>
        <v>0</v>
      </c>
      <c r="P278" s="93">
        <f t="shared" si="126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2" t="s">
        <v>19</v>
      </c>
      <c r="F279" s="40"/>
      <c r="G279" s="157"/>
      <c r="H279" s="158" t="s">
        <v>12</v>
      </c>
      <c r="I279" s="583"/>
      <c r="J279" s="583"/>
      <c r="K279" s="93"/>
      <c r="L279" s="93">
        <f t="shared" ca="1" si="127"/>
        <v>343610</v>
      </c>
      <c r="M279" s="93">
        <f t="shared" ca="1" si="127"/>
        <v>157200</v>
      </c>
      <c r="N279" s="93">
        <f t="shared" ca="1" si="127"/>
        <v>21755</v>
      </c>
      <c r="O279" s="93">
        <f t="shared" ca="1" si="125"/>
        <v>6.3313058409243039</v>
      </c>
      <c r="P279" s="93">
        <f t="shared" ca="1" si="126"/>
        <v>13.839058524173028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>
      <c r="A280" s="159"/>
      <c r="B280" s="33"/>
      <c r="C280" s="281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65">
        <f t="shared" ref="L280:N280" ca="1" si="128">L281+L282</f>
        <v>343610</v>
      </c>
      <c r="M280" s="465">
        <f t="shared" ca="1" si="128"/>
        <v>157200</v>
      </c>
      <c r="N280" s="465">
        <f t="shared" ca="1" si="128"/>
        <v>21755</v>
      </c>
      <c r="O280" s="465">
        <f t="shared" ca="1" si="125"/>
        <v>6.3313058409243039</v>
      </c>
      <c r="P280" s="465">
        <f t="shared" ca="1" si="126"/>
        <v>13.839058524173028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2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5"/>
        <v>0</v>
      </c>
      <c r="P281" s="93">
        <f t="shared" si="126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2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IFERROR(__xludf.DUMMYFUNCTION("IMPORTRANGE(""https://docs.google.com/spreadsheets/d/1MeEWN-I1oV_STSDYn1IFDPWt_1FKiwhDph83XaGc0o0/edit?usp=sharing"",""งบพรบ!DI14"")"),343610)</f>
        <v>343610</v>
      </c>
      <c r="M282" s="93">
        <f ca="1">IFERROR(__xludf.DUMMYFUNCTION("IMPORTRANGE(""https://docs.google.com/spreadsheets/d/1MeEWN-I1oV_STSDYn1IFDPWt_1FKiwhDph83XaGc0o0/edit?usp=sharing"",""งบพรบ!DN14"")"),157200)</f>
        <v>157200</v>
      </c>
      <c r="N282" s="93">
        <f ca="1">IFERROR(__xludf.DUMMYFUNCTION("IMPORTRANGE(""https://docs.google.com/spreadsheets/d/1MeEWN-I1oV_STSDYn1IFDPWt_1FKiwhDph83XaGc0o0/edit?usp=sharing"",""งบพรบ!DP14"")"),21755)</f>
        <v>21755</v>
      </c>
      <c r="O282" s="93">
        <f t="shared" ca="1" si="125"/>
        <v>6.3313058409243039</v>
      </c>
      <c r="P282" s="93">
        <f t="shared" ca="1" si="126"/>
        <v>13.839058524173028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>
      <c r="A283" s="159"/>
      <c r="B283" s="33"/>
      <c r="C283" s="281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65">
        <f t="shared" ref="L283:N283" ca="1" si="129">L284+L285</f>
        <v>0</v>
      </c>
      <c r="M283" s="465">
        <f t="shared" ca="1" si="129"/>
        <v>0</v>
      </c>
      <c r="N283" s="465">
        <f t="shared" ca="1" si="129"/>
        <v>0</v>
      </c>
      <c r="O283" s="465">
        <f t="shared" ca="1" si="125"/>
        <v>0</v>
      </c>
      <c r="P283" s="465">
        <f t="shared" ca="1" si="126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2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5"/>
        <v>0</v>
      </c>
      <c r="P284" s="93">
        <f t="shared" si="126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2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IFERROR(__xludf.DUMMYFUNCTION("IMPORTRANGE(""https://docs.google.com/spreadsheets/d/1MeEWN-I1oV_STSDYn1IFDPWt_1FKiwhDph83XaGc0o0/edit?usp=sharing"",""งบพรบ!DL14"")"),0)</f>
        <v>0</v>
      </c>
      <c r="M285" s="93">
        <f ca="1">IFERROR(__xludf.DUMMYFUNCTION("IMPORTRANGE(""https://docs.google.com/spreadsheets/d/1MeEWN-I1oV_STSDYn1IFDPWt_1FKiwhDph83XaGc0o0/edit?usp=sharing"",""งบพรบ!DO14"")"),0)</f>
        <v>0</v>
      </c>
      <c r="N285" s="93">
        <f ca="1">IFERROR(__xludf.DUMMYFUNCTION("IMPORTRANGE(""https://docs.google.com/spreadsheets/d/1MeEWN-I1oV_STSDYn1IFDPWt_1FKiwhDph83XaGc0o0/edit?usp=sharing"",""งบพรบ!DQ14"")"),0)</f>
        <v>0</v>
      </c>
      <c r="O285" s="93">
        <f t="shared" ca="1" si="125"/>
        <v>0</v>
      </c>
      <c r="P285" s="93">
        <f t="shared" ca="1" si="126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>
      <c r="A286" s="170"/>
      <c r="B286" s="171"/>
      <c r="C286" s="164" t="s">
        <v>16</v>
      </c>
      <c r="D286" s="818" t="s">
        <v>38</v>
      </c>
      <c r="E286" s="173"/>
      <c r="F286" s="173"/>
      <c r="G286" s="174"/>
      <c r="H286" s="726"/>
      <c r="I286" s="184"/>
      <c r="J286" s="184"/>
      <c r="K286" s="163"/>
      <c r="L286" s="163"/>
      <c r="M286" s="163"/>
      <c r="N286" s="163"/>
      <c r="O286" s="163"/>
      <c r="P286" s="163"/>
    </row>
    <row r="287" spans="1:26" ht="18.75">
      <c r="A287" s="170"/>
      <c r="B287" s="171"/>
      <c r="C287" s="171"/>
      <c r="D287" s="592" t="s">
        <v>129</v>
      </c>
      <c r="E287" s="171"/>
      <c r="F287" s="342"/>
      <c r="G287" s="179"/>
      <c r="H287" s="185" t="s">
        <v>46</v>
      </c>
      <c r="I287" s="269">
        <f ca="1">IFERROR(__xludf.DUMMYFUNCTION("IMPORTRANGE(""https://docs.google.com/spreadsheets/d/1QqKyyYR6Q21VydFLVH3TRQUabQu_ym0Zz7PgGX0-kHA/edit?usp=sharing"",""แผน!EC14"")"),500)</f>
        <v>500</v>
      </c>
      <c r="J287" s="214">
        <v>0</v>
      </c>
      <c r="K287" s="163">
        <f t="shared" ref="K287:K288" ca="1" si="130">IF(I287&gt;0,J287*100/I287,0)</f>
        <v>0</v>
      </c>
      <c r="L287" s="163"/>
      <c r="M287" s="163"/>
      <c r="N287" s="163"/>
      <c r="O287" s="163"/>
      <c r="P287" s="163"/>
    </row>
    <row r="288" spans="1:26" ht="19.5">
      <c r="A288" s="170"/>
      <c r="B288" s="171"/>
      <c r="C288" s="171"/>
      <c r="D288" s="592" t="s">
        <v>130</v>
      </c>
      <c r="E288" s="171"/>
      <c r="F288" s="342"/>
      <c r="G288" s="179"/>
      <c r="H288" s="180" t="s">
        <v>35</v>
      </c>
      <c r="I288" s="647">
        <f ca="1">IFERROR(__xludf.DUMMYFUNCTION("IMPORTRANGE(""https://docs.google.com/spreadsheets/d/1QqKyyYR6Q21VydFLVH3TRQUabQu_ym0Zz7PgGX0-kHA/edit?usp=sharing"",""แผน!EB14"")"),50)</f>
        <v>50</v>
      </c>
      <c r="J288" s="647">
        <f ca="1">IF(AND(J291&gt;=I288,J294&gt;=I288),J294,0)</f>
        <v>0</v>
      </c>
      <c r="K288" s="379">
        <f t="shared" ca="1" si="130"/>
        <v>0</v>
      </c>
      <c r="L288" s="163"/>
      <c r="M288" s="163"/>
      <c r="N288" s="163"/>
      <c r="O288" s="163"/>
      <c r="P288" s="163"/>
    </row>
    <row r="289" spans="1:26" ht="19.5">
      <c r="A289" s="170"/>
      <c r="B289" s="171"/>
      <c r="C289" s="171"/>
      <c r="D289" s="380"/>
      <c r="E289" s="381" t="s">
        <v>131</v>
      </c>
      <c r="F289" s="342"/>
      <c r="G289" s="179"/>
      <c r="H289" s="728"/>
      <c r="I289" s="184"/>
      <c r="J289" s="269"/>
      <c r="K289" s="163"/>
      <c r="L289" s="163"/>
      <c r="M289" s="163"/>
      <c r="N289" s="163"/>
      <c r="O289" s="163"/>
      <c r="P289" s="163"/>
    </row>
    <row r="290" spans="1:26" ht="19.5">
      <c r="A290" s="170"/>
      <c r="B290" s="171"/>
      <c r="C290" s="171"/>
      <c r="D290" s="380"/>
      <c r="E290" s="592" t="s">
        <v>132</v>
      </c>
      <c r="F290" s="342"/>
      <c r="G290" s="179"/>
      <c r="H290" s="728" t="s">
        <v>35</v>
      </c>
      <c r="I290" s="184">
        <f ca="1">IFERROR(__xludf.DUMMYFUNCTION("IMPORTRANGE(""https://docs.google.com/spreadsheets/d/1QqKyyYR6Q21VydFLVH3TRQUabQu_ym0Zz7PgGX0-kHA/edit?usp=sharing"",""แผน!EB14"")"),50)</f>
        <v>50</v>
      </c>
      <c r="J290" s="214">
        <v>0</v>
      </c>
      <c r="K290" s="163">
        <f t="shared" ref="K290:K291" ca="1" si="131">IF(I290&gt;0,J290*100/I290,0)</f>
        <v>0</v>
      </c>
      <c r="L290" s="163"/>
      <c r="M290" s="163"/>
      <c r="N290" s="163"/>
      <c r="O290" s="163"/>
      <c r="P290" s="163"/>
    </row>
    <row r="291" spans="1:26" ht="19.5">
      <c r="A291" s="170"/>
      <c r="B291" s="171"/>
      <c r="C291" s="171"/>
      <c r="D291" s="342"/>
      <c r="E291" s="592" t="s">
        <v>133</v>
      </c>
      <c r="F291" s="342"/>
      <c r="G291" s="179"/>
      <c r="H291" s="728" t="s">
        <v>35</v>
      </c>
      <c r="I291" s="184">
        <f ca="1">IFERROR(__xludf.DUMMYFUNCTION("IMPORTRANGE(""https://docs.google.com/spreadsheets/d/1QqKyyYR6Q21VydFLVH3TRQUabQu_ym0Zz7PgGX0-kHA/edit?usp=sharing"",""แผน!EB14"")"),50)</f>
        <v>50</v>
      </c>
      <c r="J291" s="214">
        <v>0</v>
      </c>
      <c r="K291" s="163">
        <f t="shared" ca="1" si="131"/>
        <v>0</v>
      </c>
      <c r="L291" s="163"/>
      <c r="M291" s="163"/>
      <c r="N291" s="163"/>
      <c r="O291" s="163"/>
      <c r="P291" s="163"/>
    </row>
    <row r="292" spans="1:26" ht="19.5">
      <c r="A292" s="382"/>
      <c r="B292" s="383"/>
      <c r="C292" s="383"/>
      <c r="D292" s="384"/>
      <c r="E292" s="385" t="s">
        <v>134</v>
      </c>
      <c r="F292" s="286"/>
      <c r="G292" s="287"/>
      <c r="H292" s="386"/>
      <c r="I292" s="387"/>
      <c r="J292" s="388"/>
      <c r="K292" s="279"/>
      <c r="L292" s="279"/>
      <c r="M292" s="279"/>
      <c r="N292" s="279"/>
      <c r="O292" s="279"/>
      <c r="P292" s="279"/>
    </row>
    <row r="293" spans="1:26" ht="19.5">
      <c r="A293" s="170"/>
      <c r="B293" s="171"/>
      <c r="C293" s="171"/>
      <c r="D293" s="380"/>
      <c r="E293" s="592" t="s">
        <v>132</v>
      </c>
      <c r="F293" s="342"/>
      <c r="G293" s="179"/>
      <c r="H293" s="728" t="s">
        <v>35</v>
      </c>
      <c r="I293" s="184">
        <f ca="1">IFERROR(__xludf.DUMMYFUNCTION("IMPORTRANGE(""https://docs.google.com/spreadsheets/d/1QqKyyYR6Q21VydFLVH3TRQUabQu_ym0Zz7PgGX0-kHA/edit?usp=sharing"",""แผน!EB14"")"),50)</f>
        <v>50</v>
      </c>
      <c r="J293" s="214">
        <v>0</v>
      </c>
      <c r="K293" s="163">
        <f t="shared" ref="K293:K294" ca="1" si="132">IF(I293&gt;0,J293*100/I293,0)</f>
        <v>0</v>
      </c>
      <c r="L293" s="163"/>
      <c r="M293" s="163"/>
      <c r="N293" s="163"/>
      <c r="O293" s="163"/>
      <c r="P293" s="163"/>
    </row>
    <row r="294" spans="1:26" ht="19.5">
      <c r="A294" s="346"/>
      <c r="B294" s="347"/>
      <c r="C294" s="347"/>
      <c r="D294" s="349"/>
      <c r="E294" s="698" t="s">
        <v>136</v>
      </c>
      <c r="F294" s="349"/>
      <c r="G294" s="350"/>
      <c r="H294" s="390" t="s">
        <v>35</v>
      </c>
      <c r="I294" s="391">
        <f ca="1">IFERROR(__xludf.DUMMYFUNCTION("IMPORTRANGE(""https://docs.google.com/spreadsheets/d/1QqKyyYR6Q21VydFLVH3TRQUabQu_ym0Zz7PgGX0-kHA/edit?usp=sharing"",""แผน!EB14"")"),50)</f>
        <v>50</v>
      </c>
      <c r="J294" s="392">
        <v>0</v>
      </c>
      <c r="K294" s="353">
        <f t="shared" ca="1" si="132"/>
        <v>0</v>
      </c>
      <c r="L294" s="353"/>
      <c r="M294" s="353"/>
      <c r="N294" s="353"/>
      <c r="O294" s="353"/>
      <c r="P294" s="353"/>
    </row>
    <row r="295" spans="1:26" ht="19.5">
      <c r="A295" s="393" t="s">
        <v>137</v>
      </c>
      <c r="B295" s="394"/>
      <c r="C295" s="394"/>
      <c r="D295" s="394"/>
      <c r="E295" s="395"/>
      <c r="F295" s="395"/>
      <c r="G295" s="396"/>
      <c r="H295" s="397"/>
      <c r="I295" s="398"/>
      <c r="J295" s="398"/>
      <c r="K295" s="399"/>
      <c r="L295" s="399"/>
      <c r="M295" s="399"/>
      <c r="N295" s="399"/>
      <c r="O295" s="399"/>
      <c r="P295" s="399"/>
    </row>
    <row r="296" spans="1:26" ht="19.5">
      <c r="A296" s="400" t="s">
        <v>138</v>
      </c>
      <c r="B296" s="401"/>
      <c r="C296" s="401"/>
      <c r="D296" s="402"/>
      <c r="E296" s="402"/>
      <c r="F296" s="402"/>
      <c r="G296" s="403"/>
      <c r="H296" s="404"/>
      <c r="I296" s="405"/>
      <c r="J296" s="405"/>
      <c r="K296" s="406"/>
      <c r="L296" s="406"/>
      <c r="M296" s="406"/>
      <c r="N296" s="406"/>
      <c r="O296" s="406"/>
      <c r="P296" s="406"/>
    </row>
    <row r="297" spans="1:26" ht="19.5">
      <c r="A297" s="407"/>
      <c r="B297" s="408" t="s">
        <v>139</v>
      </c>
      <c r="C297" s="409"/>
      <c r="D297" s="409"/>
      <c r="E297" s="409"/>
      <c r="F297" s="409"/>
      <c r="G297" s="410"/>
      <c r="H297" s="411" t="s">
        <v>35</v>
      </c>
      <c r="I297" s="412">
        <f t="shared" ref="I297:J297" ca="1" si="133">I309</f>
        <v>20</v>
      </c>
      <c r="J297" s="412">
        <f t="shared" si="133"/>
        <v>0</v>
      </c>
      <c r="K297" s="413">
        <f ca="1">IF(I297&gt;0,J297*100/I297,0)</f>
        <v>0</v>
      </c>
      <c r="L297" s="414"/>
      <c r="M297" s="414"/>
      <c r="N297" s="414"/>
      <c r="O297" s="414"/>
      <c r="P297" s="414"/>
    </row>
    <row r="298" spans="1:26" ht="19.5">
      <c r="A298" s="147"/>
      <c r="B298" s="148"/>
      <c r="C298" s="149" t="s">
        <v>16</v>
      </c>
      <c r="D298" s="817" t="s">
        <v>17</v>
      </c>
      <c r="E298" s="148"/>
      <c r="F298" s="148"/>
      <c r="G298" s="151"/>
      <c r="H298" s="152" t="s">
        <v>12</v>
      </c>
      <c r="I298" s="388"/>
      <c r="J298" s="388"/>
      <c r="K298" s="154"/>
      <c r="L298" s="155">
        <f t="shared" ref="L298:N298" ca="1" si="134">L299+L300</f>
        <v>82400</v>
      </c>
      <c r="M298" s="155">
        <f t="shared" ca="1" si="134"/>
        <v>49120</v>
      </c>
      <c r="N298" s="155">
        <f t="shared" ca="1" si="134"/>
        <v>0</v>
      </c>
      <c r="O298" s="155">
        <f t="shared" ref="O298:O306" ca="1" si="135">IF(L298&gt;0,N298*100/L298,0)</f>
        <v>0</v>
      </c>
      <c r="P298" s="155">
        <f t="shared" ref="P298:P306" ca="1" si="136">IF(M298&gt;0,N298*100/M298,0)</f>
        <v>0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2" t="s">
        <v>18</v>
      </c>
      <c r="F299" s="40"/>
      <c r="G299" s="157"/>
      <c r="H299" s="158" t="s">
        <v>12</v>
      </c>
      <c r="I299" s="583"/>
      <c r="J299" s="583"/>
      <c r="K299" s="93"/>
      <c r="L299" s="93">
        <f t="shared" ref="L299:N300" si="137">L302+L305</f>
        <v>0</v>
      </c>
      <c r="M299" s="93">
        <f t="shared" si="137"/>
        <v>0</v>
      </c>
      <c r="N299" s="93">
        <f t="shared" si="137"/>
        <v>0</v>
      </c>
      <c r="O299" s="93">
        <f t="shared" si="135"/>
        <v>0</v>
      </c>
      <c r="P299" s="93">
        <f t="shared" si="136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2" t="s">
        <v>19</v>
      </c>
      <c r="F300" s="40"/>
      <c r="G300" s="157"/>
      <c r="H300" s="158" t="s">
        <v>12</v>
      </c>
      <c r="I300" s="583"/>
      <c r="J300" s="583"/>
      <c r="K300" s="93"/>
      <c r="L300" s="93">
        <f t="shared" ca="1" si="137"/>
        <v>82400</v>
      </c>
      <c r="M300" s="93">
        <f t="shared" ca="1" si="137"/>
        <v>49120</v>
      </c>
      <c r="N300" s="93">
        <f t="shared" ca="1" si="137"/>
        <v>0</v>
      </c>
      <c r="O300" s="93">
        <f t="shared" ca="1" si="135"/>
        <v>0</v>
      </c>
      <c r="P300" s="93">
        <f t="shared" ca="1" si="136"/>
        <v>0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>
      <c r="A301" s="159"/>
      <c r="B301" s="33"/>
      <c r="C301" s="281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65">
        <f t="shared" ref="L301:N301" ca="1" si="138">L302+L303</f>
        <v>82400</v>
      </c>
      <c r="M301" s="465">
        <f t="shared" ca="1" si="138"/>
        <v>49120</v>
      </c>
      <c r="N301" s="465">
        <f t="shared" ca="1" si="138"/>
        <v>0</v>
      </c>
      <c r="O301" s="465">
        <f t="shared" ca="1" si="135"/>
        <v>0</v>
      </c>
      <c r="P301" s="465">
        <f t="shared" ca="1" si="136"/>
        <v>0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2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5"/>
        <v>0</v>
      </c>
      <c r="P302" s="93">
        <f t="shared" si="136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2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IFERROR(__xludf.DUMMYFUNCTION("IMPORTRANGE(""https://docs.google.com/spreadsheets/d/1MeEWN-I1oV_STSDYn1IFDPWt_1FKiwhDph83XaGc0o0/edit?usp=sharing"",""งบพรบ!DS14"")"),82400)</f>
        <v>82400</v>
      </c>
      <c r="M303" s="93">
        <f ca="1">IFERROR(__xludf.DUMMYFUNCTION("IMPORTRANGE(""https://docs.google.com/spreadsheets/d/1MeEWN-I1oV_STSDYn1IFDPWt_1FKiwhDph83XaGc0o0/edit?usp=sharing"",""งบพรบ!DX14"")"),49120)</f>
        <v>49120</v>
      </c>
      <c r="N303" s="93">
        <f ca="1">IFERROR(__xludf.DUMMYFUNCTION("IMPORTRANGE(""https://docs.google.com/spreadsheets/d/1MeEWN-I1oV_STSDYn1IFDPWt_1FKiwhDph83XaGc0o0/edit?usp=sharing"",""งบพรบ!DZ14"")"),0)</f>
        <v>0</v>
      </c>
      <c r="O303" s="93">
        <f t="shared" ca="1" si="135"/>
        <v>0</v>
      </c>
      <c r="P303" s="93">
        <f t="shared" ca="1" si="136"/>
        <v>0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>
      <c r="A304" s="159"/>
      <c r="B304" s="33"/>
      <c r="C304" s="281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65">
        <f t="shared" ref="L304:N304" ca="1" si="139">L305+L306</f>
        <v>0</v>
      </c>
      <c r="M304" s="465">
        <f t="shared" ca="1" si="139"/>
        <v>0</v>
      </c>
      <c r="N304" s="465">
        <f t="shared" ca="1" si="139"/>
        <v>0</v>
      </c>
      <c r="O304" s="465">
        <f t="shared" ca="1" si="135"/>
        <v>0</v>
      </c>
      <c r="P304" s="465">
        <f t="shared" ca="1" si="136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2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5"/>
        <v>0</v>
      </c>
      <c r="P305" s="93">
        <f t="shared" si="136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2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IFERROR(__xludf.DUMMYFUNCTION("IMPORTRANGE(""https://docs.google.com/spreadsheets/d/1MeEWN-I1oV_STSDYn1IFDPWt_1FKiwhDph83XaGc0o0/edit?usp=sharing"",""งบพรบ!DV14"")"),0)</f>
        <v>0</v>
      </c>
      <c r="M306" s="93">
        <f ca="1">IFERROR(__xludf.DUMMYFUNCTION("IMPORTRANGE(""https://docs.google.com/spreadsheets/d/1MeEWN-I1oV_STSDYn1IFDPWt_1FKiwhDph83XaGc0o0/edit?usp=sharing"",""งบพรบ!DY14"")"),0)</f>
        <v>0</v>
      </c>
      <c r="N306" s="93">
        <f ca="1">IFERROR(__xludf.DUMMYFUNCTION("IMPORTRANGE(""https://docs.google.com/spreadsheets/d/1MeEWN-I1oV_STSDYn1IFDPWt_1FKiwhDph83XaGc0o0/edit?usp=sharing"",""งบพรบ!EA14"")"),0)</f>
        <v>0</v>
      </c>
      <c r="O306" s="93">
        <f t="shared" ca="1" si="135"/>
        <v>0</v>
      </c>
      <c r="P306" s="93">
        <f t="shared" ca="1" si="136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>
      <c r="A307" s="170"/>
      <c r="B307" s="171"/>
      <c r="C307" s="164" t="s">
        <v>16</v>
      </c>
      <c r="D307" s="818" t="s">
        <v>38</v>
      </c>
      <c r="E307" s="173"/>
      <c r="F307" s="173"/>
      <c r="G307" s="174"/>
      <c r="H307" s="726"/>
      <c r="I307" s="269"/>
      <c r="J307" s="269"/>
      <c r="K307" s="465"/>
      <c r="L307" s="465"/>
      <c r="M307" s="465"/>
      <c r="N307" s="465"/>
      <c r="O307" s="465"/>
      <c r="P307" s="465"/>
    </row>
    <row r="308" spans="1:26" ht="18.75">
      <c r="A308" s="170"/>
      <c r="B308" s="171"/>
      <c r="C308" s="171"/>
      <c r="D308" s="415" t="s">
        <v>140</v>
      </c>
      <c r="E308" s="415"/>
      <c r="F308" s="415"/>
      <c r="G308" s="179"/>
      <c r="H308" s="728"/>
      <c r="I308" s="269"/>
      <c r="J308" s="214">
        <v>0</v>
      </c>
      <c r="K308" s="465"/>
      <c r="L308" s="465"/>
      <c r="M308" s="465"/>
      <c r="N308" s="465"/>
      <c r="O308" s="465"/>
      <c r="P308" s="465"/>
    </row>
    <row r="309" spans="1:26" ht="18.75">
      <c r="A309" s="170"/>
      <c r="B309" s="171"/>
      <c r="C309" s="171"/>
      <c r="D309" s="415" t="s">
        <v>141</v>
      </c>
      <c r="E309" s="415"/>
      <c r="F309" s="415"/>
      <c r="G309" s="179"/>
      <c r="H309" s="728" t="s">
        <v>35</v>
      </c>
      <c r="I309" s="269">
        <f ca="1">IFERROR(__xludf.DUMMYFUNCTION("IMPORTRANGE(""https://docs.google.com/spreadsheets/d/1QqKyyYR6Q21VydFLVH3TRQUabQu_ym0Zz7PgGX0-kHA/edit?usp=sharing"",""แผน!ED14"")"),20)</f>
        <v>20</v>
      </c>
      <c r="J309" s="214">
        <v>0</v>
      </c>
      <c r="K309" s="465">
        <f t="shared" ref="K309:K312" ca="1" si="140">IF(I309&gt;0,J309*100/I309,0)</f>
        <v>0</v>
      </c>
      <c r="L309" s="465"/>
      <c r="M309" s="465"/>
      <c r="N309" s="465"/>
      <c r="O309" s="465"/>
      <c r="P309" s="465"/>
    </row>
    <row r="310" spans="1:26" ht="18.75">
      <c r="A310" s="170"/>
      <c r="B310" s="171"/>
      <c r="C310" s="171"/>
      <c r="D310" s="415" t="s">
        <v>142</v>
      </c>
      <c r="E310" s="415"/>
      <c r="F310" s="415"/>
      <c r="G310" s="179"/>
      <c r="H310" s="728" t="s">
        <v>35</v>
      </c>
      <c r="I310" s="269">
        <f ca="1">IFERROR(__xludf.DUMMYFUNCTION("IMPORTRANGE(""https://docs.google.com/spreadsheets/d/1QqKyyYR6Q21VydFLVH3TRQUabQu_ym0Zz7PgGX0-kHA/edit?usp=sharing"",""แผน!ED14"")"),20)</f>
        <v>20</v>
      </c>
      <c r="J310" s="214">
        <v>0</v>
      </c>
      <c r="K310" s="465">
        <f t="shared" ca="1" si="140"/>
        <v>0</v>
      </c>
      <c r="L310" s="465"/>
      <c r="M310" s="465"/>
      <c r="N310" s="465"/>
      <c r="O310" s="465"/>
      <c r="P310" s="465"/>
    </row>
    <row r="311" spans="1:26" ht="18.75">
      <c r="A311" s="170"/>
      <c r="B311" s="171"/>
      <c r="C311" s="171"/>
      <c r="D311" s="415" t="s">
        <v>59</v>
      </c>
      <c r="E311" s="415"/>
      <c r="F311" s="415"/>
      <c r="G311" s="179"/>
      <c r="H311" s="728" t="s">
        <v>35</v>
      </c>
      <c r="I311" s="269">
        <f ca="1">IFERROR(__xludf.DUMMYFUNCTION("IMPORTRANGE(""https://docs.google.com/spreadsheets/d/1QqKyyYR6Q21VydFLVH3TRQUabQu_ym0Zz7PgGX0-kHA/edit?usp=sharing"",""แผน!ED14"")"),20)</f>
        <v>20</v>
      </c>
      <c r="J311" s="214">
        <v>0</v>
      </c>
      <c r="K311" s="465">
        <f t="shared" ca="1" si="140"/>
        <v>0</v>
      </c>
      <c r="L311" s="465"/>
      <c r="M311" s="465"/>
      <c r="N311" s="465"/>
      <c r="O311" s="465"/>
      <c r="P311" s="465"/>
    </row>
    <row r="312" spans="1:26" ht="18.75">
      <c r="A312" s="170"/>
      <c r="B312" s="171"/>
      <c r="C312" s="171"/>
      <c r="D312" s="415" t="s">
        <v>143</v>
      </c>
      <c r="E312" s="415"/>
      <c r="F312" s="415"/>
      <c r="G312" s="179"/>
      <c r="H312" s="728" t="s">
        <v>35</v>
      </c>
      <c r="I312" s="269">
        <f ca="1">IFERROR(__xludf.DUMMYFUNCTION("IMPORTRANGE(""https://docs.google.com/spreadsheets/d/1QqKyyYR6Q21VydFLVH3TRQUabQu_ym0Zz7PgGX0-kHA/edit?usp=sharing"",""แผน!EE14"")"),4)</f>
        <v>4</v>
      </c>
      <c r="J312" s="214">
        <v>0</v>
      </c>
      <c r="K312" s="465">
        <f t="shared" ca="1" si="140"/>
        <v>0</v>
      </c>
      <c r="L312" s="465"/>
      <c r="M312" s="465"/>
      <c r="N312" s="465"/>
      <c r="O312" s="465"/>
      <c r="P312" s="465"/>
    </row>
    <row r="313" spans="1:26" ht="19.5">
      <c r="A313" s="400" t="s">
        <v>144</v>
      </c>
      <c r="B313" s="401"/>
      <c r="C313" s="401"/>
      <c r="D313" s="402"/>
      <c r="E313" s="401"/>
      <c r="F313" s="401"/>
      <c r="G313" s="401"/>
      <c r="H313" s="417"/>
      <c r="I313" s="405"/>
      <c r="J313" s="405"/>
      <c r="K313" s="406"/>
      <c r="L313" s="406"/>
      <c r="M313" s="406"/>
      <c r="N313" s="406"/>
      <c r="O313" s="406"/>
      <c r="P313" s="406"/>
    </row>
    <row r="314" spans="1:26" ht="19.5">
      <c r="A314" s="418"/>
      <c r="B314" s="408" t="s">
        <v>145</v>
      </c>
      <c r="C314" s="419"/>
      <c r="D314" s="420"/>
      <c r="E314" s="409"/>
      <c r="F314" s="409"/>
      <c r="G314" s="410"/>
      <c r="H314" s="411" t="s">
        <v>146</v>
      </c>
      <c r="I314" s="412">
        <f t="shared" ref="I314:J314" ca="1" si="141">I325</f>
        <v>1</v>
      </c>
      <c r="J314" s="412">
        <f t="shared" si="141"/>
        <v>0</v>
      </c>
      <c r="K314" s="413">
        <f ca="1">IF(I314&gt;0,J314*100/I314,0)</f>
        <v>0</v>
      </c>
      <c r="L314" s="414"/>
      <c r="M314" s="414"/>
      <c r="N314" s="414"/>
      <c r="O314" s="414"/>
      <c r="P314" s="414"/>
    </row>
    <row r="315" spans="1:26" ht="19.5">
      <c r="A315" s="147"/>
      <c r="B315" s="148"/>
      <c r="C315" s="149" t="s">
        <v>16</v>
      </c>
      <c r="D315" s="817" t="s">
        <v>17</v>
      </c>
      <c r="E315" s="148"/>
      <c r="F315" s="148"/>
      <c r="G315" s="151"/>
      <c r="H315" s="152" t="s">
        <v>12</v>
      </c>
      <c r="I315" s="388"/>
      <c r="J315" s="388"/>
      <c r="K315" s="154"/>
      <c r="L315" s="155">
        <f t="shared" ref="L315:N315" ca="1" si="142">L316+L317</f>
        <v>296000</v>
      </c>
      <c r="M315" s="155">
        <f t="shared" ca="1" si="142"/>
        <v>135000</v>
      </c>
      <c r="N315" s="155">
        <f t="shared" ca="1" si="142"/>
        <v>42520</v>
      </c>
      <c r="O315" s="155">
        <f t="shared" ref="O315:O323" ca="1" si="143">IF(L315&gt;0,N315*100/L315,0)</f>
        <v>14.364864864864865</v>
      </c>
      <c r="P315" s="155">
        <f t="shared" ref="P315:P323" ca="1" si="144">IF(M315&gt;0,N315*100/M315,0)</f>
        <v>31.496296296296297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2" t="s">
        <v>18</v>
      </c>
      <c r="F316" s="40"/>
      <c r="G316" s="157"/>
      <c r="H316" s="158" t="s">
        <v>12</v>
      </c>
      <c r="I316" s="583"/>
      <c r="J316" s="583"/>
      <c r="K316" s="93"/>
      <c r="L316" s="93">
        <f t="shared" ref="L316:N317" si="145">L319+L322</f>
        <v>0</v>
      </c>
      <c r="M316" s="93">
        <f t="shared" si="145"/>
        <v>0</v>
      </c>
      <c r="N316" s="93">
        <f t="shared" si="145"/>
        <v>0</v>
      </c>
      <c r="O316" s="93">
        <f t="shared" si="143"/>
        <v>0</v>
      </c>
      <c r="P316" s="93">
        <f t="shared" si="144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2" t="s">
        <v>19</v>
      </c>
      <c r="F317" s="40"/>
      <c r="G317" s="157"/>
      <c r="H317" s="158" t="s">
        <v>12</v>
      </c>
      <c r="I317" s="583"/>
      <c r="J317" s="583"/>
      <c r="K317" s="93"/>
      <c r="L317" s="93">
        <f t="shared" ca="1" si="145"/>
        <v>296000</v>
      </c>
      <c r="M317" s="93">
        <f t="shared" ca="1" si="145"/>
        <v>135000</v>
      </c>
      <c r="N317" s="93">
        <f t="shared" ca="1" si="145"/>
        <v>42520</v>
      </c>
      <c r="O317" s="93">
        <f t="shared" ca="1" si="143"/>
        <v>14.364864864864865</v>
      </c>
      <c r="P317" s="93">
        <f t="shared" ca="1" si="144"/>
        <v>31.496296296296297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>
      <c r="A318" s="159"/>
      <c r="B318" s="33"/>
      <c r="C318" s="281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65">
        <f t="shared" ref="L318:N318" ca="1" si="146">L319+L320</f>
        <v>296000</v>
      </c>
      <c r="M318" s="465">
        <f t="shared" ca="1" si="146"/>
        <v>135000</v>
      </c>
      <c r="N318" s="465">
        <f t="shared" ca="1" si="146"/>
        <v>42520</v>
      </c>
      <c r="O318" s="465">
        <f t="shared" ca="1" si="143"/>
        <v>14.364864864864865</v>
      </c>
      <c r="P318" s="465">
        <f t="shared" ca="1" si="144"/>
        <v>31.496296296296297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2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3"/>
        <v>0</v>
      </c>
      <c r="P319" s="93">
        <f t="shared" si="144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2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IFERROR(__xludf.DUMMYFUNCTION("IMPORTRANGE(""https://docs.google.com/spreadsheets/d/1MeEWN-I1oV_STSDYn1IFDPWt_1FKiwhDph83XaGc0o0/edit?usp=sharing"",""งบพรบ!EC14"")"),296000)</f>
        <v>296000</v>
      </c>
      <c r="M320" s="93">
        <f ca="1">IFERROR(__xludf.DUMMYFUNCTION("IMPORTRANGE(""https://docs.google.com/spreadsheets/d/1MeEWN-I1oV_STSDYn1IFDPWt_1FKiwhDph83XaGc0o0/edit?usp=sharing"",""งบพรบ!EH14"")"),135000)</f>
        <v>135000</v>
      </c>
      <c r="N320" s="93">
        <f ca="1">IFERROR(__xludf.DUMMYFUNCTION("IMPORTRANGE(""https://docs.google.com/spreadsheets/d/1MeEWN-I1oV_STSDYn1IFDPWt_1FKiwhDph83XaGc0o0/edit?usp=sharing"",""งบพรบ!EJ14"")"),42520)</f>
        <v>42520</v>
      </c>
      <c r="O320" s="93">
        <f t="shared" ca="1" si="143"/>
        <v>14.364864864864865</v>
      </c>
      <c r="P320" s="93">
        <f t="shared" ca="1" si="144"/>
        <v>31.496296296296297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>
      <c r="A321" s="159"/>
      <c r="B321" s="33"/>
      <c r="C321" s="281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65">
        <f t="shared" ref="L321:N321" ca="1" si="147">L322+L323</f>
        <v>0</v>
      </c>
      <c r="M321" s="465">
        <f t="shared" ca="1" si="147"/>
        <v>0</v>
      </c>
      <c r="N321" s="465">
        <f t="shared" ca="1" si="147"/>
        <v>0</v>
      </c>
      <c r="O321" s="465">
        <f t="shared" ca="1" si="143"/>
        <v>0</v>
      </c>
      <c r="P321" s="465">
        <f t="shared" ca="1" si="144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2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3"/>
        <v>0</v>
      </c>
      <c r="P322" s="93">
        <f t="shared" si="144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2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IFERROR(__xludf.DUMMYFUNCTION("IMPORTRANGE(""https://docs.google.com/spreadsheets/d/1MeEWN-I1oV_STSDYn1IFDPWt_1FKiwhDph83XaGc0o0/edit?usp=sharing"",""งบพรบ!EF14"")"),0)</f>
        <v>0</v>
      </c>
      <c r="M323" s="93">
        <f ca="1">IFERROR(__xludf.DUMMYFUNCTION("IMPORTRANGE(""https://docs.google.com/spreadsheets/d/1MeEWN-I1oV_STSDYn1IFDPWt_1FKiwhDph83XaGc0o0/edit?usp=sharing"",""งบพรบ!EI14"")"),0)</f>
        <v>0</v>
      </c>
      <c r="N323" s="93">
        <f ca="1">IFERROR(__xludf.DUMMYFUNCTION("IMPORTRANGE(""https://docs.google.com/spreadsheets/d/1MeEWN-I1oV_STSDYn1IFDPWt_1FKiwhDph83XaGc0o0/edit?usp=sharing"",""งบพรบ!EK14"")"),0)</f>
        <v>0</v>
      </c>
      <c r="O323" s="93">
        <f t="shared" ca="1" si="143"/>
        <v>0</v>
      </c>
      <c r="P323" s="93">
        <f t="shared" ca="1" si="144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>
      <c r="A324" s="170"/>
      <c r="B324" s="171"/>
      <c r="C324" s="164" t="s">
        <v>16</v>
      </c>
      <c r="D324" s="818" t="s">
        <v>38</v>
      </c>
      <c r="E324" s="173"/>
      <c r="F324" s="173"/>
      <c r="G324" s="174"/>
      <c r="H324" s="726"/>
      <c r="I324" s="184"/>
      <c r="J324" s="269"/>
      <c r="K324" s="465"/>
      <c r="L324" s="465"/>
      <c r="M324" s="465"/>
      <c r="N324" s="465"/>
      <c r="O324" s="163"/>
      <c r="P324" s="163"/>
    </row>
    <row r="325" spans="1:26" ht="18.75">
      <c r="A325" s="170"/>
      <c r="B325" s="171"/>
      <c r="C325" s="171"/>
      <c r="D325" s="343" t="s">
        <v>147</v>
      </c>
      <c r="E325" s="342"/>
      <c r="F325" s="415"/>
      <c r="G325" s="179"/>
      <c r="H325" s="589" t="s">
        <v>146</v>
      </c>
      <c r="I325" s="269">
        <f ca="1">IFERROR(__xludf.DUMMYFUNCTION("IMPORTRANGE(""https://docs.google.com/spreadsheets/d/1QqKyyYR6Q21VydFLVH3TRQUabQu_ym0Zz7PgGX0-kHA/edit?usp=sharing"",""แผน!EF14"")"),1)</f>
        <v>1</v>
      </c>
      <c r="J325" s="214">
        <v>0</v>
      </c>
      <c r="K325" s="465">
        <f ca="1">IF(I325&gt;0,J325*100/I325,0)</f>
        <v>0</v>
      </c>
      <c r="L325" s="465"/>
      <c r="M325" s="465"/>
      <c r="N325" s="465"/>
      <c r="O325" s="163"/>
      <c r="P325" s="163"/>
    </row>
    <row r="326" spans="1:26" ht="19.5">
      <c r="A326" s="400" t="s">
        <v>148</v>
      </c>
      <c r="B326" s="401"/>
      <c r="C326" s="401"/>
      <c r="D326" s="402"/>
      <c r="E326" s="401"/>
      <c r="F326" s="401"/>
      <c r="G326" s="401"/>
      <c r="H326" s="417"/>
      <c r="I326" s="405"/>
      <c r="J326" s="405"/>
      <c r="K326" s="406"/>
      <c r="L326" s="406"/>
      <c r="M326" s="406"/>
      <c r="N326" s="406"/>
      <c r="O326" s="406"/>
      <c r="P326" s="406"/>
    </row>
    <row r="327" spans="1:26" ht="19.5">
      <c r="A327" s="407"/>
      <c r="B327" s="408" t="s">
        <v>149</v>
      </c>
      <c r="C327" s="420"/>
      <c r="D327" s="409"/>
      <c r="E327" s="409"/>
      <c r="F327" s="409"/>
      <c r="G327" s="410"/>
      <c r="H327" s="411" t="s">
        <v>35</v>
      </c>
      <c r="I327" s="412">
        <f ca="1">IFERROR(__xludf.DUMMYFUNCTION("IMPORTRANGE(""https://docs.google.com/spreadsheets/d/1QqKyyYR6Q21VydFLVH3TRQUabQu_ym0Zz7PgGX0-kHA/edit?usp=sharing"",""แผน!EG14"")"),7500)</f>
        <v>7500</v>
      </c>
      <c r="J327" s="412">
        <f ca="1">J338+J341+J342+J343</f>
        <v>2726</v>
      </c>
      <c r="K327" s="413">
        <f ca="1">IF(I327&gt;0,J327*100/I327,0)</f>
        <v>36.346666666666664</v>
      </c>
      <c r="L327" s="414"/>
      <c r="M327" s="414"/>
      <c r="N327" s="414"/>
      <c r="O327" s="414"/>
      <c r="P327" s="414"/>
    </row>
    <row r="328" spans="1:26" ht="19.5">
      <c r="A328" s="147"/>
      <c r="B328" s="148"/>
      <c r="C328" s="149" t="s">
        <v>16</v>
      </c>
      <c r="D328" s="817" t="s">
        <v>17</v>
      </c>
      <c r="E328" s="148"/>
      <c r="F328" s="148"/>
      <c r="G328" s="151"/>
      <c r="H328" s="152" t="s">
        <v>12</v>
      </c>
      <c r="I328" s="388"/>
      <c r="J328" s="388"/>
      <c r="K328" s="154"/>
      <c r="L328" s="155">
        <f t="shared" ref="L328:N328" ca="1" si="148">L329+L330</f>
        <v>182000</v>
      </c>
      <c r="M328" s="155">
        <f t="shared" ca="1" si="148"/>
        <v>91000</v>
      </c>
      <c r="N328" s="155">
        <f t="shared" ca="1" si="148"/>
        <v>25640</v>
      </c>
      <c r="O328" s="155">
        <f t="shared" ref="O328:O336" ca="1" si="149">IF(L328&gt;0,N328*100/L328,0)</f>
        <v>14.087912087912088</v>
      </c>
      <c r="P328" s="155">
        <f t="shared" ref="P328:P336" ca="1" si="150">IF(M328&gt;0,N328*100/M328,0)</f>
        <v>28.175824175824175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2" t="s">
        <v>18</v>
      </c>
      <c r="F329" s="40"/>
      <c r="G329" s="157"/>
      <c r="H329" s="158" t="s">
        <v>12</v>
      </c>
      <c r="I329" s="583"/>
      <c r="J329" s="583"/>
      <c r="K329" s="93"/>
      <c r="L329" s="93">
        <f t="shared" ref="L329:N330" si="151">L332+L335</f>
        <v>0</v>
      </c>
      <c r="M329" s="93">
        <f t="shared" si="151"/>
        <v>0</v>
      </c>
      <c r="N329" s="93">
        <f t="shared" si="151"/>
        <v>0</v>
      </c>
      <c r="O329" s="93">
        <f t="shared" si="149"/>
        <v>0</v>
      </c>
      <c r="P329" s="93">
        <f t="shared" si="150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2" t="s">
        <v>19</v>
      </c>
      <c r="F330" s="40"/>
      <c r="G330" s="157"/>
      <c r="H330" s="158" t="s">
        <v>12</v>
      </c>
      <c r="I330" s="583"/>
      <c r="J330" s="583"/>
      <c r="K330" s="93"/>
      <c r="L330" s="93">
        <f t="shared" ca="1" si="151"/>
        <v>182000</v>
      </c>
      <c r="M330" s="93">
        <f t="shared" ca="1" si="151"/>
        <v>91000</v>
      </c>
      <c r="N330" s="93">
        <f t="shared" ca="1" si="151"/>
        <v>25640</v>
      </c>
      <c r="O330" s="93">
        <f t="shared" ca="1" si="149"/>
        <v>14.087912087912088</v>
      </c>
      <c r="P330" s="93">
        <f t="shared" ca="1" si="150"/>
        <v>28.175824175824175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1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65">
        <f t="shared" ref="L331:N331" ca="1" si="152">L332+L333</f>
        <v>182000</v>
      </c>
      <c r="M331" s="465">
        <f t="shared" ca="1" si="152"/>
        <v>91000</v>
      </c>
      <c r="N331" s="465">
        <f t="shared" ca="1" si="152"/>
        <v>25640</v>
      </c>
      <c r="O331" s="465">
        <f t="shared" ca="1" si="149"/>
        <v>14.087912087912088</v>
      </c>
      <c r="P331" s="465">
        <f t="shared" ca="1" si="150"/>
        <v>28.175824175824175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2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49"/>
        <v>0</v>
      </c>
      <c r="P332" s="93">
        <f t="shared" si="150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2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IFERROR(__xludf.DUMMYFUNCTION("IMPORTRANGE(""https://docs.google.com/spreadsheets/d/1MeEWN-I1oV_STSDYn1IFDPWt_1FKiwhDph83XaGc0o0/edit?usp=sharing"",""งบพรบ!EM14"")"),182000)</f>
        <v>182000</v>
      </c>
      <c r="M333" s="93">
        <f ca="1">IFERROR(__xludf.DUMMYFUNCTION("IMPORTRANGE(""https://docs.google.com/spreadsheets/d/1MeEWN-I1oV_STSDYn1IFDPWt_1FKiwhDph83XaGc0o0/edit?usp=sharing"",""งบพรบ!ER14"")"),91000)</f>
        <v>91000</v>
      </c>
      <c r="N333" s="93">
        <f ca="1">IFERROR(__xludf.DUMMYFUNCTION("IMPORTRANGE(""https://docs.google.com/spreadsheets/d/1MeEWN-I1oV_STSDYn1IFDPWt_1FKiwhDph83XaGc0o0/edit?usp=sharing"",""งบพรบ!ET14"")"),25640)</f>
        <v>25640</v>
      </c>
      <c r="O333" s="93">
        <f t="shared" ca="1" si="149"/>
        <v>14.087912087912088</v>
      </c>
      <c r="P333" s="93">
        <f t="shared" ca="1" si="150"/>
        <v>28.175824175824175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1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65">
        <f t="shared" ref="L334:N334" ca="1" si="153">L335+L336</f>
        <v>0</v>
      </c>
      <c r="M334" s="465">
        <f t="shared" ca="1" si="153"/>
        <v>0</v>
      </c>
      <c r="N334" s="465">
        <f t="shared" ca="1" si="153"/>
        <v>0</v>
      </c>
      <c r="O334" s="465">
        <f t="shared" ca="1" si="149"/>
        <v>0</v>
      </c>
      <c r="P334" s="465">
        <f t="shared" ca="1" si="150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2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49"/>
        <v>0</v>
      </c>
      <c r="P335" s="93">
        <f t="shared" si="150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2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IFERROR(__xludf.DUMMYFUNCTION("IMPORTRANGE(""https://docs.google.com/spreadsheets/d/1MeEWN-I1oV_STSDYn1IFDPWt_1FKiwhDph83XaGc0o0/edit?usp=sharing"",""งบพรบ!EP14"")"),0)</f>
        <v>0</v>
      </c>
      <c r="M336" s="93">
        <f ca="1">IFERROR(__xludf.DUMMYFUNCTION("IMPORTRANGE(""https://docs.google.com/spreadsheets/d/1MeEWN-I1oV_STSDYn1IFDPWt_1FKiwhDph83XaGc0o0/edit?usp=sharing"",""งบพรบ!ES14"")"),0)</f>
        <v>0</v>
      </c>
      <c r="N336" s="93">
        <f ca="1">IFERROR(__xludf.DUMMYFUNCTION("IMPORTRANGE(""https://docs.google.com/spreadsheets/d/1MeEWN-I1oV_STSDYn1IFDPWt_1FKiwhDph83XaGc0o0/edit?usp=sharing"",""งบพรบ!EU14"")"),0)</f>
        <v>0</v>
      </c>
      <c r="O336" s="93">
        <f t="shared" ca="1" si="149"/>
        <v>0</v>
      </c>
      <c r="P336" s="93">
        <f t="shared" ca="1" si="150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18" t="s">
        <v>38</v>
      </c>
      <c r="E337" s="173"/>
      <c r="F337" s="173"/>
      <c r="G337" s="174"/>
      <c r="H337" s="726"/>
      <c r="I337" s="184"/>
      <c r="J337" s="269"/>
      <c r="K337" s="465"/>
      <c r="L337" s="465"/>
      <c r="M337" s="465"/>
      <c r="N337" s="465"/>
      <c r="O337" s="163"/>
      <c r="P337" s="163"/>
    </row>
    <row r="338" spans="1:26" ht="18.75">
      <c r="A338" s="283"/>
      <c r="B338" s="33"/>
      <c r="C338" s="280"/>
      <c r="D338" s="415" t="s">
        <v>150</v>
      </c>
      <c r="E338" s="171"/>
      <c r="F338" s="33"/>
      <c r="G338" s="35"/>
      <c r="H338" s="276" t="s">
        <v>35</v>
      </c>
      <c r="I338" s="269">
        <f ca="1">IFERROR(__xludf.DUMMYFUNCTION("IMPORTRANGE(""https://docs.google.com/spreadsheets/d/1QqKyyYR6Q21VydFLVH3TRQUabQu_ym0Zz7PgGX0-kHA/edit?usp=sharing"",""แผน!EG14"")"),7500)</f>
        <v>7500</v>
      </c>
      <c r="J338" s="269">
        <f ca="1">IFERROR(__xludf.DUMMYFUNCTION("IMPORTRANGE(""https://docs.google.com/spreadsheets/d/1kVcqe37tkHyjCSG3S0O1AXqVkqjo8mSIZil3BcpIysc/edit?usp=sharing"",""ศูนย์!D14"")"),2726)</f>
        <v>2726</v>
      </c>
      <c r="K338" s="465">
        <f ca="1">IF(I338&gt;0,J338*100/I338,0)</f>
        <v>36.346666666666664</v>
      </c>
      <c r="L338" s="465"/>
      <c r="M338" s="465"/>
      <c r="N338" s="465"/>
      <c r="O338" s="465"/>
      <c r="P338" s="465"/>
    </row>
    <row r="339" spans="1:26" ht="18.75">
      <c r="A339" s="283"/>
      <c r="B339" s="33"/>
      <c r="C339" s="280"/>
      <c r="D339" s="415" t="s">
        <v>151</v>
      </c>
      <c r="E339" s="171"/>
      <c r="F339" s="33"/>
      <c r="G339" s="35"/>
      <c r="H339" s="276"/>
      <c r="I339" s="269"/>
      <c r="J339" s="269"/>
      <c r="K339" s="465"/>
      <c r="L339" s="465"/>
      <c r="M339" s="465"/>
      <c r="N339" s="465"/>
      <c r="O339" s="465"/>
      <c r="P339" s="465"/>
    </row>
    <row r="340" spans="1:26" ht="18.75">
      <c r="A340" s="283"/>
      <c r="B340" s="33"/>
      <c r="C340" s="280"/>
      <c r="D340" s="342"/>
      <c r="E340" s="415" t="s">
        <v>152</v>
      </c>
      <c r="F340" s="33"/>
      <c r="G340" s="35"/>
      <c r="H340" s="276" t="s">
        <v>153</v>
      </c>
      <c r="I340" s="269">
        <f ca="1">IFERROR(__xludf.DUMMYFUNCTION("IMPORTRANGE(""https://docs.google.com/spreadsheets/d/1QqKyyYR6Q21VydFLVH3TRQUabQu_ym0Zz7PgGX0-kHA/edit?usp=sharing"",""แผน!EH14"")"),7)</f>
        <v>7</v>
      </c>
      <c r="J340" s="269">
        <f ca="1">IFERROR(__xludf.DUMMYFUNCTION("IMPORTRANGE(""https://docs.google.com/spreadsheets/d/1kVcqe37tkHyjCSG3S0O1AXqVkqjo8mSIZil3BcpIysc/edit?usp=sharing"",""ศูนย์!E14"")"),0)</f>
        <v>0</v>
      </c>
      <c r="K340" s="465">
        <f ca="1">IF(I340&gt;0,J340*100/I340,0)</f>
        <v>0</v>
      </c>
      <c r="L340" s="465"/>
      <c r="M340" s="465"/>
      <c r="N340" s="465"/>
      <c r="O340" s="465"/>
      <c r="P340" s="465"/>
    </row>
    <row r="341" spans="1:26" ht="18.75">
      <c r="A341" s="283"/>
      <c r="B341" s="33"/>
      <c r="C341" s="280"/>
      <c r="D341" s="342"/>
      <c r="E341" s="415" t="s">
        <v>154</v>
      </c>
      <c r="F341" s="33"/>
      <c r="G341" s="35"/>
      <c r="H341" s="276" t="s">
        <v>35</v>
      </c>
      <c r="I341" s="269"/>
      <c r="J341" s="269">
        <f ca="1">IFERROR(__xludf.DUMMYFUNCTION("IMPORTRANGE(""https://docs.google.com/spreadsheets/d/1kVcqe37tkHyjCSG3S0O1AXqVkqjo8mSIZil3BcpIysc/edit?usp=sharing"",""ศูนย์!F14"")"),0)</f>
        <v>0</v>
      </c>
      <c r="K341" s="465"/>
      <c r="L341" s="465"/>
      <c r="M341" s="465"/>
      <c r="N341" s="465"/>
      <c r="O341" s="465"/>
      <c r="P341" s="465"/>
    </row>
    <row r="342" spans="1:26" ht="18.75">
      <c r="A342" s="283"/>
      <c r="B342" s="33"/>
      <c r="C342" s="280"/>
      <c r="D342" s="415" t="s">
        <v>155</v>
      </c>
      <c r="E342" s="342"/>
      <c r="F342" s="342"/>
      <c r="G342" s="35"/>
      <c r="H342" s="276" t="s">
        <v>35</v>
      </c>
      <c r="I342" s="269"/>
      <c r="J342" s="269">
        <f ca="1">IFERROR(__xludf.DUMMYFUNCTION("IMPORTRANGE(""https://docs.google.com/spreadsheets/d/1kVcqe37tkHyjCSG3S0O1AXqVkqjo8mSIZil3BcpIysc/edit?usp=sharing"",""ศูนย์!G14"")"),0)</f>
        <v>0</v>
      </c>
      <c r="K342" s="465"/>
      <c r="L342" s="465"/>
      <c r="M342" s="465"/>
      <c r="N342" s="465"/>
      <c r="O342" s="465"/>
      <c r="P342" s="465"/>
    </row>
    <row r="343" spans="1:26" ht="18.75">
      <c r="A343" s="283"/>
      <c r="B343" s="33"/>
      <c r="C343" s="280"/>
      <c r="D343" s="415" t="s">
        <v>156</v>
      </c>
      <c r="E343" s="342"/>
      <c r="F343" s="342"/>
      <c r="G343" s="35"/>
      <c r="H343" s="276" t="s">
        <v>35</v>
      </c>
      <c r="I343" s="269"/>
      <c r="J343" s="269">
        <f ca="1">IFERROR(__xludf.DUMMYFUNCTION("IMPORTRANGE(""https://docs.google.com/spreadsheets/d/1kVcqe37tkHyjCSG3S0O1AXqVkqjo8mSIZil3BcpIysc/edit?usp=sharing"",""ศูนย์!H14"")"),0)</f>
        <v>0</v>
      </c>
      <c r="K343" s="465"/>
      <c r="L343" s="465"/>
      <c r="M343" s="465"/>
      <c r="N343" s="465"/>
      <c r="O343" s="465"/>
      <c r="P343" s="465"/>
    </row>
    <row r="344" spans="1:26" ht="19.5">
      <c r="A344" s="407"/>
      <c r="B344" s="408" t="s">
        <v>157</v>
      </c>
      <c r="C344" s="420"/>
      <c r="D344" s="409"/>
      <c r="E344" s="409"/>
      <c r="F344" s="409"/>
      <c r="G344" s="410"/>
      <c r="H344" s="411"/>
      <c r="I344" s="421"/>
      <c r="J344" s="421"/>
      <c r="K344" s="414"/>
      <c r="L344" s="414"/>
      <c r="M344" s="414"/>
      <c r="N344" s="414"/>
      <c r="O344" s="414"/>
      <c r="P344" s="414"/>
    </row>
    <row r="345" spans="1:26" ht="19.5">
      <c r="A345" s="147"/>
      <c r="B345" s="148"/>
      <c r="C345" s="149" t="s">
        <v>16</v>
      </c>
      <c r="D345" s="817" t="s">
        <v>17</v>
      </c>
      <c r="E345" s="148"/>
      <c r="F345" s="148"/>
      <c r="G345" s="151"/>
      <c r="H345" s="152" t="s">
        <v>12</v>
      </c>
      <c r="I345" s="388"/>
      <c r="J345" s="388"/>
      <c r="K345" s="154"/>
      <c r="L345" s="155">
        <f t="shared" ref="L345:N345" ca="1" si="154">L346+L347</f>
        <v>1622080</v>
      </c>
      <c r="M345" s="155">
        <f t="shared" ca="1" si="154"/>
        <v>840640</v>
      </c>
      <c r="N345" s="155">
        <f t="shared" ca="1" si="154"/>
        <v>221550</v>
      </c>
      <c r="O345" s="155">
        <f t="shared" ref="O345:O353" ca="1" si="155">IF(L345&gt;0,N345*100/L345,0)</f>
        <v>13.658389228644703</v>
      </c>
      <c r="P345" s="155">
        <f t="shared" ref="P345:P353" ca="1" si="156">IF(M345&gt;0,N345*100/M345,0)</f>
        <v>26.354920060905975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2" t="s">
        <v>18</v>
      </c>
      <c r="F346" s="40"/>
      <c r="G346" s="157"/>
      <c r="H346" s="158" t="s">
        <v>12</v>
      </c>
      <c r="I346" s="583"/>
      <c r="J346" s="583"/>
      <c r="K346" s="93"/>
      <c r="L346" s="93">
        <f t="shared" ref="L346:N347" si="157">L349+L352</f>
        <v>0</v>
      </c>
      <c r="M346" s="93">
        <f t="shared" si="157"/>
        <v>0</v>
      </c>
      <c r="N346" s="93">
        <f t="shared" si="157"/>
        <v>0</v>
      </c>
      <c r="O346" s="93">
        <f t="shared" si="155"/>
        <v>0</v>
      </c>
      <c r="P346" s="93">
        <f t="shared" si="156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2" t="s">
        <v>19</v>
      </c>
      <c r="F347" s="40"/>
      <c r="G347" s="157"/>
      <c r="H347" s="158" t="s">
        <v>12</v>
      </c>
      <c r="I347" s="583"/>
      <c r="J347" s="583"/>
      <c r="K347" s="93"/>
      <c r="L347" s="93">
        <f t="shared" ca="1" si="157"/>
        <v>1622080</v>
      </c>
      <c r="M347" s="93">
        <f t="shared" ca="1" si="157"/>
        <v>840640</v>
      </c>
      <c r="N347" s="93">
        <f t="shared" ca="1" si="157"/>
        <v>221550</v>
      </c>
      <c r="O347" s="93">
        <f t="shared" ca="1" si="155"/>
        <v>13.658389228644703</v>
      </c>
      <c r="P347" s="93">
        <f t="shared" ca="1" si="156"/>
        <v>26.354920060905975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1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65">
        <f t="shared" ref="L348:N348" ca="1" si="158">L349+L350</f>
        <v>1562080</v>
      </c>
      <c r="M348" s="465">
        <f t="shared" ca="1" si="158"/>
        <v>781040</v>
      </c>
      <c r="N348" s="465">
        <f t="shared" ca="1" si="158"/>
        <v>161950</v>
      </c>
      <c r="O348" s="465">
        <f t="shared" ca="1" si="155"/>
        <v>10.367586807333812</v>
      </c>
      <c r="P348" s="465">
        <f t="shared" ca="1" si="156"/>
        <v>20.735173614667623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2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5"/>
        <v>0</v>
      </c>
      <c r="P349" s="93">
        <f t="shared" si="156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2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IFERROR(__xludf.DUMMYFUNCTION("IMPORTRANGE(""https://docs.google.com/spreadsheets/d/1MeEWN-I1oV_STSDYn1IFDPWt_1FKiwhDph83XaGc0o0/edit?usp=sharing"",""งบพรบ!EW14"")"),1562080)</f>
        <v>1562080</v>
      </c>
      <c r="M350" s="93">
        <f ca="1">IFERROR(__xludf.DUMMYFUNCTION("IMPORTRANGE(""https://docs.google.com/spreadsheets/d/1MeEWN-I1oV_STSDYn1IFDPWt_1FKiwhDph83XaGc0o0/edit?usp=sharing"",""งบพรบ!FB14"")"),781040)</f>
        <v>781040</v>
      </c>
      <c r="N350" s="93">
        <f ca="1">IFERROR(__xludf.DUMMYFUNCTION("IMPORTRANGE(""https://docs.google.com/spreadsheets/d/1MeEWN-I1oV_STSDYn1IFDPWt_1FKiwhDph83XaGc0o0/edit?usp=sharing"",""งบพรบ!FD14"")"),161950)</f>
        <v>161950</v>
      </c>
      <c r="O350" s="93">
        <f t="shared" ca="1" si="155"/>
        <v>10.367586807333812</v>
      </c>
      <c r="P350" s="93">
        <f t="shared" ca="1" si="156"/>
        <v>20.735173614667623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1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65">
        <f t="shared" ref="L351:N351" ca="1" si="159">L352+L353</f>
        <v>60000</v>
      </c>
      <c r="M351" s="465">
        <f t="shared" ca="1" si="159"/>
        <v>59600</v>
      </c>
      <c r="N351" s="465">
        <f t="shared" ca="1" si="159"/>
        <v>59600</v>
      </c>
      <c r="O351" s="465">
        <f t="shared" ca="1" si="155"/>
        <v>99.333333333333329</v>
      </c>
      <c r="P351" s="465">
        <f t="shared" ca="1" si="156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2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5"/>
        <v>0</v>
      </c>
      <c r="P352" s="93">
        <f t="shared" si="156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2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IFERROR(__xludf.DUMMYFUNCTION("IMPORTRANGE(""https://docs.google.com/spreadsheets/d/1MeEWN-I1oV_STSDYn1IFDPWt_1FKiwhDph83XaGc0o0/edit?usp=sharing"",""งบพรบ!EZ14"")"),60000)</f>
        <v>60000</v>
      </c>
      <c r="M353" s="93">
        <f ca="1">IFERROR(__xludf.DUMMYFUNCTION("IMPORTRANGE(""https://docs.google.com/spreadsheets/d/1MeEWN-I1oV_STSDYn1IFDPWt_1FKiwhDph83XaGc0o0/edit?usp=sharing"",""งบพรบ!FC14"")"),59600)</f>
        <v>59600</v>
      </c>
      <c r="N353" s="93">
        <f ca="1">IFERROR(__xludf.DUMMYFUNCTION("IMPORTRANGE(""https://docs.google.com/spreadsheets/d/1MeEWN-I1oV_STSDYn1IFDPWt_1FKiwhDph83XaGc0o0/edit?usp=sharing"",""งบพรบ!FE14"")"),59600)</f>
        <v>59600</v>
      </c>
      <c r="O353" s="93">
        <f t="shared" ca="1" si="155"/>
        <v>99.333333333333329</v>
      </c>
      <c r="P353" s="93">
        <f t="shared" ca="1" si="156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5"/>
      <c r="B354" s="263"/>
      <c r="C354" s="256"/>
      <c r="D354" s="845" t="s">
        <v>158</v>
      </c>
      <c r="E354" s="256"/>
      <c r="F354" s="256"/>
      <c r="G354" s="258"/>
      <c r="H354" s="423"/>
      <c r="I354" s="260"/>
      <c r="J354" s="260"/>
      <c r="K354" s="261"/>
      <c r="L354" s="261"/>
      <c r="M354" s="261"/>
      <c r="N354" s="261"/>
      <c r="O354" s="261"/>
      <c r="P354" s="261"/>
    </row>
    <row r="355" spans="1:26" ht="19.5">
      <c r="A355" s="424"/>
      <c r="B355" s="425"/>
      <c r="C355" s="426"/>
      <c r="D355" s="846" t="s">
        <v>159</v>
      </c>
      <c r="E355" s="428"/>
      <c r="F355" s="428"/>
      <c r="G355" s="429"/>
      <c r="H355" s="430" t="s">
        <v>35</v>
      </c>
      <c r="I355" s="432">
        <f ca="1">IFERROR(__xludf.DUMMYFUNCTION("IMPORTRANGE(""https://docs.google.com/spreadsheets/d/1QqKyyYR6Q21VydFLVH3TRQUabQu_ym0Zz7PgGX0-kHA/edit?usp=sharing"",""แผน!EP14"")"),560)</f>
        <v>560</v>
      </c>
      <c r="J355" s="432">
        <f ca="1">J362</f>
        <v>0</v>
      </c>
      <c r="K355" s="433">
        <f ca="1">IF(I355&gt;0,J355*100/I355,0)</f>
        <v>0</v>
      </c>
      <c r="L355" s="434"/>
      <c r="M355" s="434"/>
      <c r="N355" s="434"/>
      <c r="O355" s="434"/>
      <c r="P355" s="434"/>
    </row>
    <row r="356" spans="1:26" ht="19.5">
      <c r="A356" s="424"/>
      <c r="B356" s="425"/>
      <c r="C356" s="426"/>
      <c r="D356" s="435" t="s">
        <v>160</v>
      </c>
      <c r="E356" s="428"/>
      <c r="F356" s="428"/>
      <c r="G356" s="429"/>
      <c r="H356" s="436"/>
      <c r="I356" s="437"/>
      <c r="J356" s="437"/>
      <c r="K356" s="434"/>
      <c r="L356" s="434"/>
      <c r="M356" s="434"/>
      <c r="N356" s="434"/>
      <c r="O356" s="434"/>
      <c r="P356" s="434"/>
    </row>
    <row r="357" spans="1:26" ht="19.5">
      <c r="A357" s="170"/>
      <c r="B357" s="171"/>
      <c r="C357" s="164" t="s">
        <v>16</v>
      </c>
      <c r="D357" s="818" t="s">
        <v>38</v>
      </c>
      <c r="E357" s="173"/>
      <c r="F357" s="173"/>
      <c r="G357" s="174"/>
      <c r="H357" s="726"/>
      <c r="I357" s="269"/>
      <c r="J357" s="269"/>
      <c r="K357" s="465"/>
      <c r="L357" s="163"/>
      <c r="M357" s="163"/>
      <c r="N357" s="163"/>
      <c r="O357" s="163"/>
      <c r="P357" s="163"/>
    </row>
    <row r="358" spans="1:26" ht="18.75">
      <c r="A358" s="170"/>
      <c r="B358" s="342"/>
      <c r="C358" s="171"/>
      <c r="D358" s="342"/>
      <c r="E358" s="343" t="s">
        <v>161</v>
      </c>
      <c r="F358" s="342"/>
      <c r="G358" s="179"/>
      <c r="H358" s="185" t="s">
        <v>35</v>
      </c>
      <c r="I358" s="269">
        <v>0</v>
      </c>
      <c r="J358" s="269">
        <f ca="1">IFERROR(__xludf.DUMMYFUNCTION("IMPORTRANGE(""https://docs.google.com/spreadsheets/d/1XWAQStnk-4SwqDmLtmXYiTMKHgktTP8We1SCoS47DrQ/edit?usp=sharing"",""จัดที่ดิน!W14"")"),21)</f>
        <v>21</v>
      </c>
      <c r="K358" s="465">
        <f t="shared" ref="K358:K365" si="160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342"/>
      <c r="C359" s="171"/>
      <c r="D359" s="342"/>
      <c r="E359" s="342"/>
      <c r="F359" s="342"/>
      <c r="G359" s="179"/>
      <c r="H359" s="185" t="s">
        <v>46</v>
      </c>
      <c r="I359" s="269">
        <f ca="1">IFERROR(__xludf.DUMMYFUNCTION("IMPORTRANGE(""https://docs.google.com/spreadsheets/d/1QqKyyYR6Q21VydFLVH3TRQUabQu_ym0Zz7PgGX0-kHA/edit?usp=sharing"",""แผน!EO14"")"),5600)</f>
        <v>5600</v>
      </c>
      <c r="J359" s="269">
        <f ca="1">IFERROR(__xludf.DUMMYFUNCTION("IMPORTRANGE(""https://docs.google.com/spreadsheets/d/1XWAQStnk-4SwqDmLtmXYiTMKHgktTP8We1SCoS47DrQ/edit?usp=sharing"",""จัดที่ดิน!X14"")"),171.48)</f>
        <v>171.48</v>
      </c>
      <c r="K359" s="465">
        <f t="shared" ca="1" si="160"/>
        <v>3.0621428571428573</v>
      </c>
      <c r="L359" s="163"/>
      <c r="M359" s="163"/>
      <c r="N359" s="163"/>
      <c r="O359" s="163"/>
      <c r="P359" s="163"/>
    </row>
    <row r="360" spans="1:26" ht="18.75">
      <c r="A360" s="170"/>
      <c r="B360" s="342"/>
      <c r="C360" s="171"/>
      <c r="D360" s="342"/>
      <c r="E360" s="343" t="s">
        <v>162</v>
      </c>
      <c r="F360" s="342"/>
      <c r="G360" s="179"/>
      <c r="H360" s="728" t="s">
        <v>35</v>
      </c>
      <c r="I360" s="269">
        <f ca="1">IFERROR(__xludf.DUMMYFUNCTION("IMPORTRANGE(""https://docs.google.com/spreadsheets/d/1QqKyyYR6Q21VydFLVH3TRQUabQu_ym0Zz7PgGX0-kHA/edit?usp=sharing"",""แผน!EP14"")"),560)</f>
        <v>560</v>
      </c>
      <c r="J360" s="269">
        <f ca="1">IFERROR(__xludf.DUMMYFUNCTION("IMPORTRANGE(""https://docs.google.com/spreadsheets/d/1XWAQStnk-4SwqDmLtmXYiTMKHgktTP8We1SCoS47DrQ/edit?usp=sharing"",""จัดที่ดิน!Y14"")"),6)</f>
        <v>6</v>
      </c>
      <c r="K360" s="465">
        <f t="shared" ca="1" si="160"/>
        <v>1.0714285714285714</v>
      </c>
      <c r="L360" s="163"/>
      <c r="M360" s="163"/>
      <c r="N360" s="163"/>
      <c r="O360" s="163"/>
      <c r="P360" s="163"/>
    </row>
    <row r="361" spans="1:26" ht="18.75">
      <c r="A361" s="170"/>
      <c r="B361" s="342"/>
      <c r="C361" s="171"/>
      <c r="D361" s="342"/>
      <c r="E361" s="342"/>
      <c r="F361" s="342"/>
      <c r="G361" s="179"/>
      <c r="H361" s="728" t="s">
        <v>46</v>
      </c>
      <c r="I361" s="269">
        <v>0</v>
      </c>
      <c r="J361" s="269">
        <f ca="1">IFERROR(__xludf.DUMMYFUNCTION("IMPORTRANGE(""https://docs.google.com/spreadsheets/d/1XWAQStnk-4SwqDmLtmXYiTMKHgktTP8We1SCoS47DrQ/edit?usp=sharing"",""จัดที่ดิน!Z14"")"),44.26)</f>
        <v>44.26</v>
      </c>
      <c r="K361" s="465">
        <f t="shared" si="160"/>
        <v>0</v>
      </c>
      <c r="L361" s="163"/>
      <c r="M361" s="163"/>
      <c r="N361" s="163"/>
      <c r="O361" s="163"/>
      <c r="P361" s="163"/>
    </row>
    <row r="362" spans="1:26" ht="18.75">
      <c r="A362" s="170"/>
      <c r="B362" s="342"/>
      <c r="C362" s="171"/>
      <c r="D362" s="342"/>
      <c r="E362" s="343" t="s">
        <v>163</v>
      </c>
      <c r="F362" s="342"/>
      <c r="G362" s="179"/>
      <c r="H362" s="728" t="s">
        <v>35</v>
      </c>
      <c r="I362" s="269">
        <f ca="1">IFERROR(__xludf.DUMMYFUNCTION("IMPORTRANGE(""https://docs.google.com/spreadsheets/d/1QqKyyYR6Q21VydFLVH3TRQUabQu_ym0Zz7PgGX0-kHA/edit?usp=sharing"",""แผน!EP14"")"),560)</f>
        <v>560</v>
      </c>
      <c r="J362" s="269">
        <f ca="1">IFERROR(__xludf.DUMMYFUNCTION("IMPORTRANGE(""https://docs.google.com/spreadsheets/d/1XWAQStnk-4SwqDmLtmXYiTMKHgktTP8We1SCoS47DrQ/edit?usp=sharing"",""จัดที่ดิน!AA14"")"),0)</f>
        <v>0</v>
      </c>
      <c r="K362" s="465">
        <f t="shared" ca="1" si="160"/>
        <v>0</v>
      </c>
      <c r="L362" s="163"/>
      <c r="M362" s="163"/>
      <c r="N362" s="163"/>
      <c r="O362" s="163"/>
      <c r="P362" s="163"/>
    </row>
    <row r="363" spans="1:26" ht="18.75">
      <c r="A363" s="438" t="s">
        <v>164</v>
      </c>
      <c r="B363" s="342"/>
      <c r="C363" s="171"/>
      <c r="D363" s="342"/>
      <c r="E363" s="415"/>
      <c r="F363" s="342"/>
      <c r="G363" s="179"/>
      <c r="H363" s="728" t="s">
        <v>46</v>
      </c>
      <c r="I363" s="269">
        <v>0</v>
      </c>
      <c r="J363" s="269">
        <f ca="1">IFERROR(__xludf.DUMMYFUNCTION("IMPORTRANGE(""https://docs.google.com/spreadsheets/d/1XWAQStnk-4SwqDmLtmXYiTMKHgktTP8We1SCoS47DrQ/edit?usp=sharing"",""จัดที่ดิน!AB14"")"),0)</f>
        <v>0</v>
      </c>
      <c r="K363" s="465">
        <f t="shared" si="160"/>
        <v>0</v>
      </c>
      <c r="L363" s="163"/>
      <c r="M363" s="163"/>
      <c r="N363" s="163"/>
      <c r="O363" s="163"/>
      <c r="P363" s="163"/>
    </row>
    <row r="364" spans="1:26" ht="19.5">
      <c r="A364" s="439"/>
      <c r="B364" s="440"/>
      <c r="C364" s="441"/>
      <c r="D364" s="442" t="s">
        <v>165</v>
      </c>
      <c r="E364" s="443"/>
      <c r="F364" s="443"/>
      <c r="G364" s="444"/>
      <c r="H364" s="445" t="s">
        <v>35</v>
      </c>
      <c r="I364" s="446">
        <f t="shared" ref="I364:J364" ca="1" si="161">I365+I374</f>
        <v>1110</v>
      </c>
      <c r="J364" s="446">
        <f t="shared" ca="1" si="161"/>
        <v>0</v>
      </c>
      <c r="K364" s="447">
        <f t="shared" ca="1" si="160"/>
        <v>0</v>
      </c>
      <c r="L364" s="448"/>
      <c r="M364" s="448"/>
      <c r="N364" s="448"/>
      <c r="O364" s="448"/>
      <c r="P364" s="448"/>
      <c r="Q364" s="449"/>
      <c r="R364" s="449"/>
      <c r="S364" s="449"/>
      <c r="T364" s="449"/>
      <c r="U364" s="449"/>
      <c r="V364" s="449"/>
      <c r="W364" s="449"/>
      <c r="X364" s="449"/>
      <c r="Y364" s="449"/>
      <c r="Z364" s="449"/>
    </row>
    <row r="365" spans="1:26" ht="19.5">
      <c r="A365" s="450"/>
      <c r="B365" s="451"/>
      <c r="C365" s="453"/>
      <c r="D365" s="453" t="s">
        <v>166</v>
      </c>
      <c r="E365" s="454"/>
      <c r="F365" s="454"/>
      <c r="G365" s="455"/>
      <c r="H365" s="456" t="s">
        <v>35</v>
      </c>
      <c r="I365" s="458">
        <f ca="1">IFERROR(__xludf.DUMMYFUNCTION("IMPORTRANGE(""https://docs.google.com/spreadsheets/d/1QqKyyYR6Q21VydFLVH3TRQUabQu_ym0Zz7PgGX0-kHA/edit?usp=sharing"",""แผน!EJ14"")"),160)</f>
        <v>160</v>
      </c>
      <c r="J365" s="458">
        <f ca="1">J372</f>
        <v>0</v>
      </c>
      <c r="K365" s="459">
        <f t="shared" ca="1" si="160"/>
        <v>0</v>
      </c>
      <c r="L365" s="460"/>
      <c r="M365" s="460"/>
      <c r="N365" s="460"/>
      <c r="O365" s="460"/>
      <c r="P365" s="460"/>
      <c r="Q365" s="449"/>
      <c r="R365" s="449"/>
      <c r="S365" s="449"/>
      <c r="T365" s="449"/>
      <c r="U365" s="449"/>
      <c r="V365" s="449"/>
      <c r="W365" s="449"/>
      <c r="X365" s="449"/>
      <c r="Y365" s="449"/>
      <c r="Z365" s="449"/>
    </row>
    <row r="366" spans="1:26" ht="19.5">
      <c r="A366" s="450"/>
      <c r="B366" s="451"/>
      <c r="C366" s="453"/>
      <c r="D366" s="461" t="s">
        <v>167</v>
      </c>
      <c r="E366" s="454"/>
      <c r="F366" s="454"/>
      <c r="G366" s="455"/>
      <c r="H366" s="462"/>
      <c r="I366" s="463"/>
      <c r="J366" s="463"/>
      <c r="K366" s="460"/>
      <c r="L366" s="460"/>
      <c r="M366" s="460"/>
      <c r="N366" s="460"/>
      <c r="O366" s="460"/>
      <c r="P366" s="460"/>
      <c r="Q366" s="449"/>
      <c r="R366" s="449"/>
      <c r="S366" s="449"/>
      <c r="T366" s="449"/>
      <c r="U366" s="449"/>
      <c r="V366" s="449"/>
      <c r="W366" s="449"/>
      <c r="X366" s="449"/>
      <c r="Y366" s="449"/>
      <c r="Z366" s="449"/>
    </row>
    <row r="367" spans="1:26" ht="19.5">
      <c r="A367" s="170"/>
      <c r="B367" s="171"/>
      <c r="C367" s="164" t="s">
        <v>16</v>
      </c>
      <c r="D367" s="818" t="s">
        <v>38</v>
      </c>
      <c r="E367" s="173"/>
      <c r="F367" s="173"/>
      <c r="G367" s="174"/>
      <c r="H367" s="726"/>
      <c r="I367" s="269"/>
      <c r="J367" s="269"/>
      <c r="K367" s="465"/>
      <c r="L367" s="163"/>
      <c r="M367" s="163"/>
      <c r="N367" s="163"/>
      <c r="O367" s="163"/>
      <c r="P367" s="163"/>
    </row>
    <row r="368" spans="1:26" ht="18.75">
      <c r="A368" s="170"/>
      <c r="B368" s="342"/>
      <c r="C368" s="171"/>
      <c r="D368" s="342"/>
      <c r="E368" s="343" t="s">
        <v>161</v>
      </c>
      <c r="F368" s="342"/>
      <c r="G368" s="179"/>
      <c r="H368" s="185" t="s">
        <v>35</v>
      </c>
      <c r="I368" s="269">
        <v>0</v>
      </c>
      <c r="J368" s="269">
        <f ca="1">IFERROR(__xludf.DUMMYFUNCTION("IMPORTRANGE(""https://docs.google.com/spreadsheets/d/1XWAQStnk-4SwqDmLtmXYiTMKHgktTP8We1SCoS47DrQ/edit?usp=sharing"",""จัดที่ดิน!E14"")"),4)</f>
        <v>4</v>
      </c>
      <c r="K368" s="465">
        <f t="shared" ref="K368:K374" si="162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342"/>
      <c r="C369" s="171"/>
      <c r="D369" s="342"/>
      <c r="E369" s="342"/>
      <c r="F369" s="342"/>
      <c r="G369" s="179"/>
      <c r="H369" s="185" t="s">
        <v>46</v>
      </c>
      <c r="I369" s="269">
        <f ca="1">IFERROR(__xludf.DUMMYFUNCTION("IMPORTRANGE(""https://docs.google.com/spreadsheets/d/1QqKyyYR6Q21VydFLVH3TRQUabQu_ym0Zz7PgGX0-kHA/edit?usp=sharing"",""แผน!EI14"")"),1600)</f>
        <v>1600</v>
      </c>
      <c r="J369" s="269">
        <f ca="1">IFERROR(__xludf.DUMMYFUNCTION("IMPORTRANGE(""https://docs.google.com/spreadsheets/d/1XWAQStnk-4SwqDmLtmXYiTMKHgktTP8We1SCoS47DrQ/edit?usp=sharing"",""จัดที่ดิน!F14"")"),35.41)</f>
        <v>35.409999999999997</v>
      </c>
      <c r="K369" s="465">
        <f t="shared" ca="1" si="162"/>
        <v>2.2131249999999998</v>
      </c>
      <c r="L369" s="163"/>
      <c r="M369" s="163"/>
      <c r="N369" s="163"/>
      <c r="O369" s="163"/>
      <c r="P369" s="163"/>
    </row>
    <row r="370" spans="1:26" ht="18.75">
      <c r="A370" s="170"/>
      <c r="B370" s="342"/>
      <c r="C370" s="171"/>
      <c r="D370" s="342"/>
      <c r="E370" s="343" t="s">
        <v>162</v>
      </c>
      <c r="F370" s="342"/>
      <c r="G370" s="179"/>
      <c r="H370" s="728" t="s">
        <v>35</v>
      </c>
      <c r="I370" s="269">
        <f ca="1">IFERROR(__xludf.DUMMYFUNCTION("IMPORTRANGE(""https://docs.google.com/spreadsheets/d/1QqKyyYR6Q21VydFLVH3TRQUabQu_ym0Zz7PgGX0-kHA/edit?usp=sharing"",""แผน!EJ14"")"),160)</f>
        <v>160</v>
      </c>
      <c r="J370" s="269">
        <f ca="1">IFERROR(__xludf.DUMMYFUNCTION("IMPORTRANGE(""https://docs.google.com/spreadsheets/d/1XWAQStnk-4SwqDmLtmXYiTMKHgktTP8We1SCoS47DrQ/edit?usp=sharing"",""จัดที่ดิน!G14"")"),0)</f>
        <v>0</v>
      </c>
      <c r="K370" s="465">
        <f t="shared" ca="1" si="162"/>
        <v>0</v>
      </c>
      <c r="L370" s="163"/>
      <c r="M370" s="163"/>
      <c r="N370" s="163"/>
      <c r="O370" s="163"/>
      <c r="P370" s="163"/>
    </row>
    <row r="371" spans="1:26" ht="18.75">
      <c r="A371" s="170"/>
      <c r="B371" s="342"/>
      <c r="C371" s="171"/>
      <c r="D371" s="342"/>
      <c r="E371" s="342"/>
      <c r="F371" s="342"/>
      <c r="G371" s="179"/>
      <c r="H371" s="728" t="s">
        <v>46</v>
      </c>
      <c r="I371" s="269">
        <v>0</v>
      </c>
      <c r="J371" s="269">
        <f ca="1">IFERROR(__xludf.DUMMYFUNCTION("IMPORTRANGE(""https://docs.google.com/spreadsheets/d/1XWAQStnk-4SwqDmLtmXYiTMKHgktTP8We1SCoS47DrQ/edit?usp=sharing"",""จัดที่ดิน!H14"")"),0)</f>
        <v>0</v>
      </c>
      <c r="K371" s="465">
        <f t="shared" si="162"/>
        <v>0</v>
      </c>
      <c r="L371" s="163"/>
      <c r="M371" s="163"/>
      <c r="N371" s="163"/>
      <c r="O371" s="163"/>
      <c r="P371" s="163"/>
    </row>
    <row r="372" spans="1:26" ht="18.75">
      <c r="A372" s="170"/>
      <c r="B372" s="342"/>
      <c r="C372" s="171"/>
      <c r="D372" s="342"/>
      <c r="E372" s="343" t="s">
        <v>163</v>
      </c>
      <c r="F372" s="342"/>
      <c r="G372" s="179"/>
      <c r="H372" s="728" t="s">
        <v>35</v>
      </c>
      <c r="I372" s="269">
        <f ca="1">IFERROR(__xludf.DUMMYFUNCTION("IMPORTRANGE(""https://docs.google.com/spreadsheets/d/1QqKyyYR6Q21VydFLVH3TRQUabQu_ym0Zz7PgGX0-kHA/edit?usp=sharing"",""แผน!EJ14"")"),160)</f>
        <v>160</v>
      </c>
      <c r="J372" s="269">
        <f ca="1">IFERROR(__xludf.DUMMYFUNCTION("IMPORTRANGE(""https://docs.google.com/spreadsheets/d/1XWAQStnk-4SwqDmLtmXYiTMKHgktTP8We1SCoS47DrQ/edit?usp=sharing"",""จัดที่ดิน!I14"")"),0)</f>
        <v>0</v>
      </c>
      <c r="K372" s="465">
        <f t="shared" ca="1" si="162"/>
        <v>0</v>
      </c>
      <c r="L372" s="163"/>
      <c r="M372" s="163"/>
      <c r="N372" s="163"/>
      <c r="O372" s="163"/>
      <c r="P372" s="163"/>
    </row>
    <row r="373" spans="1:26" ht="18.75">
      <c r="A373" s="438" t="s">
        <v>164</v>
      </c>
      <c r="B373" s="342"/>
      <c r="C373" s="171"/>
      <c r="D373" s="342"/>
      <c r="E373" s="415"/>
      <c r="F373" s="342"/>
      <c r="G373" s="179"/>
      <c r="H373" s="728" t="s">
        <v>46</v>
      </c>
      <c r="I373" s="269">
        <v>0</v>
      </c>
      <c r="J373" s="269">
        <f ca="1">IFERROR(__xludf.DUMMYFUNCTION("IMPORTRANGE(""https://docs.google.com/spreadsheets/d/1XWAQStnk-4SwqDmLtmXYiTMKHgktTP8We1SCoS47DrQ/edit?usp=sharing"",""จัดที่ดิน!J14"")"),0)</f>
        <v>0</v>
      </c>
      <c r="K373" s="465">
        <f t="shared" si="162"/>
        <v>0</v>
      </c>
      <c r="L373" s="163"/>
      <c r="M373" s="163"/>
      <c r="N373" s="163"/>
      <c r="O373" s="163"/>
      <c r="P373" s="163"/>
    </row>
    <row r="374" spans="1:26" ht="19.5">
      <c r="A374" s="450"/>
      <c r="B374" s="451"/>
      <c r="C374" s="453"/>
      <c r="D374" s="453" t="s">
        <v>168</v>
      </c>
      <c r="E374" s="454"/>
      <c r="F374" s="454"/>
      <c r="G374" s="455"/>
      <c r="H374" s="456" t="s">
        <v>35</v>
      </c>
      <c r="I374" s="464">
        <f ca="1">IFERROR(__xludf.DUMMYFUNCTION("IMPORTRANGE(""https://docs.google.com/spreadsheets/d/1QqKyyYR6Q21VydFLVH3TRQUabQu_ym0Zz7PgGX0-kHA/edit?usp=sharing"",""แผน!EU14"")"),950)</f>
        <v>950</v>
      </c>
      <c r="J374" s="458">
        <f ca="1">J381</f>
        <v>0</v>
      </c>
      <c r="K374" s="459">
        <f t="shared" ca="1" si="162"/>
        <v>0</v>
      </c>
      <c r="L374" s="460"/>
      <c r="M374" s="460"/>
      <c r="N374" s="460"/>
      <c r="O374" s="460"/>
      <c r="P374" s="460"/>
      <c r="Q374" s="449"/>
      <c r="R374" s="449"/>
      <c r="S374" s="449"/>
      <c r="T374" s="449"/>
      <c r="U374" s="449"/>
      <c r="V374" s="449"/>
      <c r="W374" s="449"/>
      <c r="X374" s="449"/>
      <c r="Y374" s="449"/>
      <c r="Z374" s="449"/>
    </row>
    <row r="375" spans="1:26" ht="19.5">
      <c r="A375" s="450"/>
      <c r="B375" s="451"/>
      <c r="C375" s="453"/>
      <c r="D375" s="461" t="s">
        <v>169</v>
      </c>
      <c r="E375" s="454"/>
      <c r="F375" s="454"/>
      <c r="G375" s="455"/>
      <c r="H375" s="462"/>
      <c r="I375" s="463"/>
      <c r="J375" s="463"/>
      <c r="K375" s="460"/>
      <c r="L375" s="460"/>
      <c r="M375" s="460"/>
      <c r="N375" s="460"/>
      <c r="O375" s="460"/>
      <c r="P375" s="460"/>
      <c r="Q375" s="449"/>
      <c r="R375" s="449"/>
      <c r="S375" s="449"/>
      <c r="T375" s="449"/>
      <c r="U375" s="449"/>
      <c r="V375" s="449"/>
      <c r="W375" s="449"/>
      <c r="X375" s="449"/>
      <c r="Y375" s="449"/>
      <c r="Z375" s="449"/>
    </row>
    <row r="376" spans="1:26" ht="19.5">
      <c r="A376" s="170"/>
      <c r="B376" s="171"/>
      <c r="C376" s="164" t="s">
        <v>16</v>
      </c>
      <c r="D376" s="818" t="s">
        <v>38</v>
      </c>
      <c r="E376" s="173"/>
      <c r="F376" s="173"/>
      <c r="G376" s="174"/>
      <c r="H376" s="726"/>
      <c r="I376" s="269"/>
      <c r="J376" s="269"/>
      <c r="K376" s="465"/>
      <c r="L376" s="163"/>
      <c r="M376" s="163"/>
      <c r="N376" s="163"/>
      <c r="O376" s="163"/>
      <c r="P376" s="163"/>
    </row>
    <row r="377" spans="1:26" ht="18.75">
      <c r="A377" s="170"/>
      <c r="B377" s="342"/>
      <c r="C377" s="171"/>
      <c r="D377" s="342"/>
      <c r="E377" s="343" t="s">
        <v>161</v>
      </c>
      <c r="F377" s="342"/>
      <c r="G377" s="179"/>
      <c r="H377" s="185" t="s">
        <v>35</v>
      </c>
      <c r="I377" s="269">
        <v>0</v>
      </c>
      <c r="J377" s="269">
        <f ca="1">IFERROR(__xludf.DUMMYFUNCTION("IMPORTRANGE(""https://docs.google.com/spreadsheets/d/1XWAQStnk-4SwqDmLtmXYiTMKHgktTP8We1SCoS47DrQ/edit?usp=sharing"",""จัดที่ดิน!AH14"")"),17)</f>
        <v>17</v>
      </c>
      <c r="K377" s="465">
        <f t="shared" ref="K377:K382" si="163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342"/>
      <c r="C378" s="171"/>
      <c r="D378" s="342"/>
      <c r="E378" s="342"/>
      <c r="F378" s="342"/>
      <c r="G378" s="179"/>
      <c r="H378" s="185" t="s">
        <v>46</v>
      </c>
      <c r="I378" s="269">
        <f ca="1">IFERROR(__xludf.DUMMYFUNCTION("IMPORTRANGE(""https://docs.google.com/spreadsheets/d/1QqKyyYR6Q21VydFLVH3TRQUabQu_ym0Zz7PgGX0-kHA/edit?usp=sharing"",""แผน!ET14"")"),4000)</f>
        <v>4000</v>
      </c>
      <c r="J378" s="269">
        <f ca="1">IFERROR(__xludf.DUMMYFUNCTION("IMPORTRANGE(""https://docs.google.com/spreadsheets/d/1XWAQStnk-4SwqDmLtmXYiTMKHgktTP8We1SCoS47DrQ/edit?usp=sharing"",""จัดที่ดิน!AI14"")"),136.07)</f>
        <v>136.07</v>
      </c>
      <c r="K378" s="465">
        <f t="shared" ca="1" si="163"/>
        <v>3.4017499999999998</v>
      </c>
      <c r="L378" s="163"/>
      <c r="M378" s="163"/>
      <c r="N378" s="163"/>
      <c r="O378" s="163"/>
      <c r="P378" s="163"/>
    </row>
    <row r="379" spans="1:26" ht="18.75">
      <c r="A379" s="170"/>
      <c r="B379" s="342"/>
      <c r="C379" s="171"/>
      <c r="D379" s="342"/>
      <c r="E379" s="343" t="s">
        <v>162</v>
      </c>
      <c r="F379" s="342"/>
      <c r="G379" s="179"/>
      <c r="H379" s="728" t="s">
        <v>35</v>
      </c>
      <c r="I379" s="269">
        <f ca="1">IFERROR(__xludf.DUMMYFUNCTION("IMPORTRANGE(""https://docs.google.com/spreadsheets/d/1QqKyyYR6Q21VydFLVH3TRQUabQu_ym0Zz7PgGX0-kHA/edit?usp=sharing"",""แผน!EU14"")"),950)</f>
        <v>950</v>
      </c>
      <c r="J379" s="269">
        <f ca="1">IFERROR(__xludf.DUMMYFUNCTION("IMPORTRANGE(""https://docs.google.com/spreadsheets/d/1XWAQStnk-4SwqDmLtmXYiTMKHgktTP8We1SCoS47DrQ/edit?usp=sharing"",""จัดที่ดิน!AJ14"")"),15)</f>
        <v>15</v>
      </c>
      <c r="K379" s="465">
        <f t="shared" ca="1" si="163"/>
        <v>1.5789473684210527</v>
      </c>
      <c r="L379" s="163"/>
      <c r="M379" s="163"/>
      <c r="N379" s="163"/>
      <c r="O379" s="163"/>
      <c r="P379" s="163"/>
    </row>
    <row r="380" spans="1:26" ht="18.75">
      <c r="A380" s="170"/>
      <c r="B380" s="342"/>
      <c r="C380" s="171"/>
      <c r="D380" s="342"/>
      <c r="E380" s="342"/>
      <c r="F380" s="342"/>
      <c r="G380" s="179"/>
      <c r="H380" s="728" t="s">
        <v>46</v>
      </c>
      <c r="I380" s="269">
        <v>0</v>
      </c>
      <c r="J380" s="269">
        <f ca="1">IFERROR(__xludf.DUMMYFUNCTION("IMPORTRANGE(""https://docs.google.com/spreadsheets/d/1XWAQStnk-4SwqDmLtmXYiTMKHgktTP8We1SCoS47DrQ/edit?usp=sharing"",""จัดที่ดิน!AK14"")"),168.23)</f>
        <v>168.23</v>
      </c>
      <c r="K380" s="465">
        <f t="shared" si="163"/>
        <v>0</v>
      </c>
      <c r="L380" s="163"/>
      <c r="M380" s="163"/>
      <c r="N380" s="163"/>
      <c r="O380" s="163"/>
      <c r="P380" s="163"/>
    </row>
    <row r="381" spans="1:26" ht="18.75">
      <c r="A381" s="170"/>
      <c r="B381" s="342"/>
      <c r="C381" s="171"/>
      <c r="D381" s="342"/>
      <c r="E381" s="343" t="s">
        <v>163</v>
      </c>
      <c r="F381" s="342"/>
      <c r="G381" s="179"/>
      <c r="H381" s="728" t="s">
        <v>35</v>
      </c>
      <c r="I381" s="269">
        <f ca="1">IFERROR(__xludf.DUMMYFUNCTION("IMPORTRANGE(""https://docs.google.com/spreadsheets/d/1QqKyyYR6Q21VydFLVH3TRQUabQu_ym0Zz7PgGX0-kHA/edit?usp=sharing"",""แผน!EU14"")"),950)</f>
        <v>950</v>
      </c>
      <c r="J381" s="269">
        <f ca="1">IFERROR(__xludf.DUMMYFUNCTION("IMPORTRANGE(""https://docs.google.com/spreadsheets/d/1XWAQStnk-4SwqDmLtmXYiTMKHgktTP8We1SCoS47DrQ/edit?usp=sharing"",""จัดที่ดิน!AL14"")"),0)</f>
        <v>0</v>
      </c>
      <c r="K381" s="465">
        <f t="shared" ca="1" si="163"/>
        <v>0</v>
      </c>
      <c r="L381" s="163"/>
      <c r="M381" s="163"/>
      <c r="N381" s="163"/>
      <c r="O381" s="163"/>
      <c r="P381" s="163"/>
    </row>
    <row r="382" spans="1:26" ht="18.75">
      <c r="A382" s="438" t="s">
        <v>164</v>
      </c>
      <c r="B382" s="342"/>
      <c r="C382" s="171"/>
      <c r="D382" s="342"/>
      <c r="E382" s="415"/>
      <c r="F382" s="342"/>
      <c r="G382" s="179"/>
      <c r="H382" s="728" t="s">
        <v>46</v>
      </c>
      <c r="I382" s="269">
        <v>0</v>
      </c>
      <c r="J382" s="269">
        <f ca="1">IFERROR(__xludf.DUMMYFUNCTION("IMPORTRANGE(""https://docs.google.com/spreadsheets/d/1XWAQStnk-4SwqDmLtmXYiTMKHgktTP8We1SCoS47DrQ/edit?usp=sharing"",""จัดที่ดิน!AM14"")"),0)</f>
        <v>0</v>
      </c>
      <c r="K382" s="465">
        <f t="shared" si="163"/>
        <v>0</v>
      </c>
      <c r="L382" s="163"/>
      <c r="M382" s="163"/>
      <c r="N382" s="163"/>
      <c r="O382" s="163"/>
      <c r="P382" s="163"/>
    </row>
    <row r="383" spans="1:26" ht="19.5">
      <c r="A383" s="255"/>
      <c r="B383" s="263"/>
      <c r="C383" s="256"/>
      <c r="D383" s="845" t="s">
        <v>170</v>
      </c>
      <c r="E383" s="256"/>
      <c r="F383" s="256"/>
      <c r="G383" s="258"/>
      <c r="H383" s="423"/>
      <c r="I383" s="260"/>
      <c r="J383" s="260"/>
      <c r="K383" s="261"/>
      <c r="L383" s="261"/>
      <c r="M383" s="261"/>
      <c r="N383" s="261"/>
      <c r="O383" s="261"/>
      <c r="P383" s="261"/>
    </row>
    <row r="384" spans="1:26" ht="19.5">
      <c r="A384" s="170"/>
      <c r="B384" s="171"/>
      <c r="C384" s="33" t="s">
        <v>16</v>
      </c>
      <c r="D384" s="818" t="s">
        <v>38</v>
      </c>
      <c r="E384" s="173"/>
      <c r="F384" s="173"/>
      <c r="G384" s="174"/>
      <c r="H384" s="726"/>
      <c r="I384" s="269"/>
      <c r="J384" s="269"/>
      <c r="K384" s="465"/>
      <c r="L384" s="163"/>
      <c r="M384" s="163"/>
      <c r="N384" s="163"/>
      <c r="O384" s="163"/>
      <c r="P384" s="163"/>
    </row>
    <row r="385" spans="1:26" ht="18.75">
      <c r="A385" s="346"/>
      <c r="B385" s="349"/>
      <c r="C385" s="347"/>
      <c r="D385" s="349"/>
      <c r="E385" s="466" t="s">
        <v>163</v>
      </c>
      <c r="F385" s="349"/>
      <c r="G385" s="350"/>
      <c r="H385" s="467" t="s">
        <v>35</v>
      </c>
      <c r="I385" s="468">
        <f ca="1">IFERROR(__xludf.DUMMYFUNCTION("IMPORTRANGE(""https://docs.google.com/spreadsheets/d/1QqKyyYR6Q21VydFLVH3TRQUabQu_ym0Zz7PgGX0-kHA/edit?usp=sharing"",""แผน!EW14"")"),185)</f>
        <v>185</v>
      </c>
      <c r="J385" s="468">
        <f ca="1">IFERROR(__xludf.DUMMYFUNCTION("IMPORTRANGE(""https://docs.google.com/spreadsheets/d/1XWAQStnk-4SwqDmLtmXYiTMKHgktTP8We1SCoS47DrQ/edit?usp=sharing"",""จัดที่ดิน!AP14"")"),0)</f>
        <v>0</v>
      </c>
      <c r="K385" s="469">
        <f ca="1">IF(I385&gt;0,J385*100/I385,0)</f>
        <v>0</v>
      </c>
      <c r="L385" s="353"/>
      <c r="M385" s="353"/>
      <c r="N385" s="353"/>
      <c r="O385" s="353"/>
      <c r="P385" s="353"/>
    </row>
    <row r="386" spans="1:26" ht="19.5" hidden="1">
      <c r="A386" s="470" t="s">
        <v>171</v>
      </c>
      <c r="B386" s="471"/>
      <c r="C386" s="471"/>
      <c r="D386" s="471"/>
      <c r="E386" s="472"/>
      <c r="F386" s="472"/>
      <c r="G386" s="473"/>
      <c r="H386" s="474"/>
      <c r="I386" s="475"/>
      <c r="J386" s="475"/>
      <c r="K386" s="476"/>
      <c r="L386" s="476"/>
      <c r="M386" s="476"/>
      <c r="N386" s="476"/>
      <c r="O386" s="476"/>
      <c r="P386" s="476"/>
    </row>
    <row r="387" spans="1:26" ht="19.5" hidden="1">
      <c r="A387" s="477" t="s">
        <v>172</v>
      </c>
      <c r="B387" s="478"/>
      <c r="C387" s="478"/>
      <c r="D387" s="479"/>
      <c r="E387" s="478"/>
      <c r="F387" s="478"/>
      <c r="G387" s="478"/>
      <c r="H387" s="480"/>
      <c r="I387" s="481"/>
      <c r="J387" s="481"/>
      <c r="K387" s="482"/>
      <c r="L387" s="482"/>
      <c r="M387" s="482"/>
      <c r="N387" s="482"/>
      <c r="O387" s="482"/>
      <c r="P387" s="482"/>
    </row>
    <row r="388" spans="1:26" ht="19.5" hidden="1">
      <c r="A388" s="483"/>
      <c r="B388" s="484" t="s">
        <v>173</v>
      </c>
      <c r="C388" s="485"/>
      <c r="D388" s="486"/>
      <c r="E388" s="486"/>
      <c r="F388" s="486"/>
      <c r="G388" s="487"/>
      <c r="H388" s="488" t="s">
        <v>69</v>
      </c>
      <c r="I388" s="489">
        <f t="shared" ref="I388:J388" si="164">I400</f>
        <v>0</v>
      </c>
      <c r="J388" s="489">
        <f t="shared" si="164"/>
        <v>0</v>
      </c>
      <c r="K388" s="490">
        <f>IF(I388&gt;0,J388*100/I388,0)</f>
        <v>0</v>
      </c>
      <c r="L388" s="491"/>
      <c r="M388" s="491"/>
      <c r="N388" s="491"/>
      <c r="O388" s="491"/>
      <c r="P388" s="491"/>
    </row>
    <row r="389" spans="1:26" ht="19.5" hidden="1">
      <c r="A389" s="147"/>
      <c r="B389" s="148"/>
      <c r="C389" s="149" t="s">
        <v>16</v>
      </c>
      <c r="D389" s="817" t="s">
        <v>17</v>
      </c>
      <c r="E389" s="148"/>
      <c r="F389" s="148"/>
      <c r="G389" s="151"/>
      <c r="H389" s="152" t="s">
        <v>12</v>
      </c>
      <c r="I389" s="388"/>
      <c r="J389" s="388"/>
      <c r="K389" s="154"/>
      <c r="L389" s="155">
        <f t="shared" ref="L389:N389" ca="1" si="165">L390+L391</f>
        <v>0</v>
      </c>
      <c r="M389" s="155">
        <f t="shared" ca="1" si="165"/>
        <v>0</v>
      </c>
      <c r="N389" s="155">
        <f t="shared" ca="1" si="165"/>
        <v>0</v>
      </c>
      <c r="O389" s="155">
        <f t="shared" ref="O389:O397" ca="1" si="166">IF(L389&gt;0,N389*100/L389,0)</f>
        <v>0</v>
      </c>
      <c r="P389" s="155">
        <f t="shared" ref="P389:P397" ca="1" si="167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2" t="s">
        <v>18</v>
      </c>
      <c r="F390" s="40"/>
      <c r="G390" s="157"/>
      <c r="H390" s="158" t="s">
        <v>12</v>
      </c>
      <c r="I390" s="583"/>
      <c r="J390" s="583"/>
      <c r="K390" s="93"/>
      <c r="L390" s="93">
        <f t="shared" ref="L390:N391" si="168">L393+L396</f>
        <v>0</v>
      </c>
      <c r="M390" s="93">
        <f t="shared" si="168"/>
        <v>0</v>
      </c>
      <c r="N390" s="93">
        <f t="shared" si="168"/>
        <v>0</v>
      </c>
      <c r="O390" s="93">
        <f t="shared" si="166"/>
        <v>0</v>
      </c>
      <c r="P390" s="93">
        <f t="shared" si="167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2" t="s">
        <v>19</v>
      </c>
      <c r="F391" s="40"/>
      <c r="G391" s="157"/>
      <c r="H391" s="158" t="s">
        <v>12</v>
      </c>
      <c r="I391" s="583"/>
      <c r="J391" s="583"/>
      <c r="K391" s="93"/>
      <c r="L391" s="93">
        <f t="shared" ca="1" si="168"/>
        <v>0</v>
      </c>
      <c r="M391" s="93">
        <f t="shared" ca="1" si="168"/>
        <v>0</v>
      </c>
      <c r="N391" s="93">
        <f t="shared" ca="1" si="168"/>
        <v>0</v>
      </c>
      <c r="O391" s="93">
        <f t="shared" ca="1" si="166"/>
        <v>0</v>
      </c>
      <c r="P391" s="93">
        <f t="shared" ca="1" si="167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1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65">
        <f t="shared" ref="L392:N392" ca="1" si="169">L393+L394</f>
        <v>0</v>
      </c>
      <c r="M392" s="465">
        <f t="shared" ca="1" si="169"/>
        <v>0</v>
      </c>
      <c r="N392" s="465">
        <f t="shared" ca="1" si="169"/>
        <v>0</v>
      </c>
      <c r="O392" s="465">
        <f t="shared" ca="1" si="166"/>
        <v>0</v>
      </c>
      <c r="P392" s="465">
        <f t="shared" ca="1" si="167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2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6"/>
        <v>0</v>
      </c>
      <c r="P393" s="93">
        <f t="shared" si="167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2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IFERROR(__xludf.DUMMYFUNCTION("IMPORTRANGE(""https://docs.google.com/spreadsheets/d/1MeEWN-I1oV_STSDYn1IFDPWt_1FKiwhDph83XaGc0o0/edit?usp=sharing"",""งบพรบ!FG14"")"),0)</f>
        <v>0</v>
      </c>
      <c r="M394" s="93">
        <f ca="1">IFERROR(__xludf.DUMMYFUNCTION("IMPORTRANGE(""https://docs.google.com/spreadsheets/d/1MeEWN-I1oV_STSDYn1IFDPWt_1FKiwhDph83XaGc0o0/edit?usp=sharing"",""งบพรบ!FL14"")"),0)</f>
        <v>0</v>
      </c>
      <c r="N394" s="93">
        <f ca="1">IFERROR(__xludf.DUMMYFUNCTION("IMPORTRANGE(""https://docs.google.com/spreadsheets/d/1MeEWN-I1oV_STSDYn1IFDPWt_1FKiwhDph83XaGc0o0/edit?usp=sharing"",""งบพรบ!FN14"")"),0)</f>
        <v>0</v>
      </c>
      <c r="O394" s="93">
        <f t="shared" ca="1" si="166"/>
        <v>0</v>
      </c>
      <c r="P394" s="93">
        <f t="shared" ca="1" si="167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1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65">
        <f t="shared" ref="L395:N395" ca="1" si="170">L396+L397</f>
        <v>0</v>
      </c>
      <c r="M395" s="465">
        <f t="shared" ca="1" si="170"/>
        <v>0</v>
      </c>
      <c r="N395" s="465">
        <f t="shared" ca="1" si="170"/>
        <v>0</v>
      </c>
      <c r="O395" s="465">
        <f t="shared" ca="1" si="166"/>
        <v>0</v>
      </c>
      <c r="P395" s="465">
        <f t="shared" ca="1" si="167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2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6"/>
        <v>0</v>
      </c>
      <c r="P396" s="93">
        <f t="shared" si="167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2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IFERROR(__xludf.DUMMYFUNCTION("IMPORTRANGE(""https://docs.google.com/spreadsheets/d/1MeEWN-I1oV_STSDYn1IFDPWt_1FKiwhDph83XaGc0o0/edit?usp=sharing"",""งบพรบ!FJ14"")"),0)</f>
        <v>0</v>
      </c>
      <c r="M397" s="93">
        <f ca="1">IFERROR(__xludf.DUMMYFUNCTION("IMPORTRANGE(""https://docs.google.com/spreadsheets/d/1MeEWN-I1oV_STSDYn1IFDPWt_1FKiwhDph83XaGc0o0/edit?usp=sharing"",""งบพรบ!FM14"")"),0)</f>
        <v>0</v>
      </c>
      <c r="N397" s="93">
        <f ca="1">IFERROR(__xludf.DUMMYFUNCTION("IMPORTRANGE(""https://docs.google.com/spreadsheets/d/1MeEWN-I1oV_STSDYn1IFDPWt_1FKiwhDph83XaGc0o0/edit?usp=sharing"",""งบพรบ!FO14"")"),0)</f>
        <v>0</v>
      </c>
      <c r="O397" s="93">
        <f t="shared" ca="1" si="166"/>
        <v>0</v>
      </c>
      <c r="P397" s="93">
        <f t="shared" ca="1" si="167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18" t="s">
        <v>38</v>
      </c>
      <c r="E398" s="173"/>
      <c r="F398" s="173"/>
      <c r="G398" s="174"/>
      <c r="H398" s="726"/>
      <c r="I398" s="184"/>
      <c r="J398" s="269"/>
      <c r="K398" s="465"/>
      <c r="L398" s="465"/>
      <c r="M398" s="465"/>
      <c r="N398" s="465"/>
      <c r="O398" s="163"/>
      <c r="P398" s="163"/>
    </row>
    <row r="399" spans="1:26" ht="18.75" hidden="1">
      <c r="A399" s="492"/>
      <c r="B399" s="148"/>
      <c r="C399" s="493"/>
      <c r="D399" s="494" t="s">
        <v>174</v>
      </c>
      <c r="E399" s="383"/>
      <c r="F399" s="148"/>
      <c r="G399" s="151"/>
      <c r="H399" s="495" t="s">
        <v>9</v>
      </c>
      <c r="I399" s="269">
        <v>0</v>
      </c>
      <c r="J399" s="214">
        <v>0</v>
      </c>
      <c r="K399" s="465">
        <f t="shared" ref="K399:K401" si="171">IF(I399&gt;0,J399*100/I399,0)</f>
        <v>0</v>
      </c>
      <c r="L399" s="496"/>
      <c r="M399" s="496"/>
      <c r="N399" s="496"/>
      <c r="O399" s="496"/>
      <c r="P399" s="496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3"/>
      <c r="B400" s="33"/>
      <c r="C400" s="280"/>
      <c r="D400" s="415" t="s">
        <v>175</v>
      </c>
      <c r="E400" s="171"/>
      <c r="F400" s="33"/>
      <c r="G400" s="35"/>
      <c r="H400" s="276" t="s">
        <v>69</v>
      </c>
      <c r="I400" s="269">
        <v>0</v>
      </c>
      <c r="J400" s="214">
        <v>0</v>
      </c>
      <c r="K400" s="465">
        <f t="shared" si="171"/>
        <v>0</v>
      </c>
      <c r="L400" s="465"/>
      <c r="M400" s="465"/>
      <c r="N400" s="465"/>
      <c r="O400" s="465"/>
      <c r="P400" s="465"/>
    </row>
    <row r="401" spans="1:26" ht="19.5" hidden="1">
      <c r="A401" s="483"/>
      <c r="B401" s="484" t="s">
        <v>176</v>
      </c>
      <c r="C401" s="485"/>
      <c r="D401" s="486"/>
      <c r="E401" s="486"/>
      <c r="F401" s="486"/>
      <c r="G401" s="487"/>
      <c r="H401" s="488" t="s">
        <v>69</v>
      </c>
      <c r="I401" s="489">
        <f t="shared" ref="I401:J401" si="172">I412</f>
        <v>0</v>
      </c>
      <c r="J401" s="489">
        <f t="shared" si="172"/>
        <v>0</v>
      </c>
      <c r="K401" s="490">
        <f t="shared" si="171"/>
        <v>0</v>
      </c>
      <c r="L401" s="491"/>
      <c r="M401" s="491"/>
      <c r="N401" s="491"/>
      <c r="O401" s="491"/>
      <c r="P401" s="491"/>
    </row>
    <row r="402" spans="1:26" ht="19.5" hidden="1">
      <c r="A402" s="147"/>
      <c r="B402" s="148"/>
      <c r="C402" s="149" t="s">
        <v>16</v>
      </c>
      <c r="D402" s="817" t="s">
        <v>17</v>
      </c>
      <c r="E402" s="148"/>
      <c r="F402" s="148"/>
      <c r="G402" s="151"/>
      <c r="H402" s="152" t="s">
        <v>12</v>
      </c>
      <c r="I402" s="388"/>
      <c r="J402" s="388"/>
      <c r="K402" s="154"/>
      <c r="L402" s="155">
        <f t="shared" ref="L402:N402" ca="1" si="173">L403+L404</f>
        <v>0</v>
      </c>
      <c r="M402" s="155">
        <f t="shared" ca="1" si="173"/>
        <v>0</v>
      </c>
      <c r="N402" s="155">
        <f t="shared" ca="1" si="173"/>
        <v>0</v>
      </c>
      <c r="O402" s="155">
        <f t="shared" ref="O402:O410" ca="1" si="174">IF(L402&gt;0,N402*100/L402,0)</f>
        <v>0</v>
      </c>
      <c r="P402" s="155">
        <f t="shared" ref="P402:P410" ca="1" si="175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2" t="s">
        <v>18</v>
      </c>
      <c r="F403" s="40"/>
      <c r="G403" s="157"/>
      <c r="H403" s="158" t="s">
        <v>12</v>
      </c>
      <c r="I403" s="583"/>
      <c r="J403" s="583"/>
      <c r="K403" s="93"/>
      <c r="L403" s="93">
        <f t="shared" ref="L403:N404" si="176">L406+L409</f>
        <v>0</v>
      </c>
      <c r="M403" s="93">
        <f t="shared" si="176"/>
        <v>0</v>
      </c>
      <c r="N403" s="93">
        <f t="shared" si="176"/>
        <v>0</v>
      </c>
      <c r="O403" s="93">
        <f t="shared" si="174"/>
        <v>0</v>
      </c>
      <c r="P403" s="93">
        <f t="shared" si="175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2" t="s">
        <v>19</v>
      </c>
      <c r="F404" s="40"/>
      <c r="G404" s="157"/>
      <c r="H404" s="158" t="s">
        <v>12</v>
      </c>
      <c r="I404" s="583"/>
      <c r="J404" s="583"/>
      <c r="K404" s="93"/>
      <c r="L404" s="93">
        <f t="shared" ca="1" si="176"/>
        <v>0</v>
      </c>
      <c r="M404" s="93">
        <f t="shared" ca="1" si="176"/>
        <v>0</v>
      </c>
      <c r="N404" s="93">
        <f t="shared" ca="1" si="176"/>
        <v>0</v>
      </c>
      <c r="O404" s="93">
        <f t="shared" ca="1" si="174"/>
        <v>0</v>
      </c>
      <c r="P404" s="93">
        <f t="shared" ca="1" si="175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1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65">
        <f t="shared" ref="L405:N405" ca="1" si="177">L406+L407</f>
        <v>0</v>
      </c>
      <c r="M405" s="465">
        <f t="shared" ca="1" si="177"/>
        <v>0</v>
      </c>
      <c r="N405" s="465">
        <f t="shared" ca="1" si="177"/>
        <v>0</v>
      </c>
      <c r="O405" s="465">
        <f t="shared" ca="1" si="174"/>
        <v>0</v>
      </c>
      <c r="P405" s="465">
        <f t="shared" ca="1" si="175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2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4"/>
        <v>0</v>
      </c>
      <c r="P406" s="93">
        <f t="shared" si="175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2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IFERROR(__xludf.DUMMYFUNCTION("IMPORTRANGE(""https://docs.google.com/spreadsheets/d/1MeEWN-I1oV_STSDYn1IFDPWt_1FKiwhDph83XaGc0o0/edit?usp=sharing"",""งบพรบ!FQ14"")"),0)</f>
        <v>0</v>
      </c>
      <c r="M407" s="93">
        <f ca="1">IFERROR(__xludf.DUMMYFUNCTION("IMPORTRANGE(""https://docs.google.com/spreadsheets/d/1MeEWN-I1oV_STSDYn1IFDPWt_1FKiwhDph83XaGc0o0/edit?usp=sharing"",""งบพรบ!FV14"")"),0)</f>
        <v>0</v>
      </c>
      <c r="N407" s="93">
        <f ca="1">IFERROR(__xludf.DUMMYFUNCTION("IMPORTRANGE(""https://docs.google.com/spreadsheets/d/1MeEWN-I1oV_STSDYn1IFDPWt_1FKiwhDph83XaGc0o0/edit?usp=sharing"",""งบพรบ!FX14"")"),0)</f>
        <v>0</v>
      </c>
      <c r="O407" s="93">
        <f t="shared" ca="1" si="174"/>
        <v>0</v>
      </c>
      <c r="P407" s="93">
        <f t="shared" ca="1" si="175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1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65">
        <f t="shared" ref="L408:N408" ca="1" si="178">L409+L410</f>
        <v>0</v>
      </c>
      <c r="M408" s="465">
        <f t="shared" ca="1" si="178"/>
        <v>0</v>
      </c>
      <c r="N408" s="465">
        <f t="shared" ca="1" si="178"/>
        <v>0</v>
      </c>
      <c r="O408" s="465">
        <f t="shared" ca="1" si="174"/>
        <v>0</v>
      </c>
      <c r="P408" s="465">
        <f t="shared" ca="1" si="175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2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4"/>
        <v>0</v>
      </c>
      <c r="P409" s="93">
        <f t="shared" si="175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2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IFERROR(__xludf.DUMMYFUNCTION("IMPORTRANGE(""https://docs.google.com/spreadsheets/d/1MeEWN-I1oV_STSDYn1IFDPWt_1FKiwhDph83XaGc0o0/edit?usp=sharing"",""งบพรบ!FT14"")"),0)</f>
        <v>0</v>
      </c>
      <c r="M410" s="93">
        <f ca="1">IFERROR(__xludf.DUMMYFUNCTION("IMPORTRANGE(""https://docs.google.com/spreadsheets/d/1MeEWN-I1oV_STSDYn1IFDPWt_1FKiwhDph83XaGc0o0/edit?usp=sharing"",""งบพรบ!FW14"")"),0)</f>
        <v>0</v>
      </c>
      <c r="N410" s="93">
        <f ca="1">IFERROR(__xludf.DUMMYFUNCTION("IMPORTRANGE(""https://docs.google.com/spreadsheets/d/1MeEWN-I1oV_STSDYn1IFDPWt_1FKiwhDph83XaGc0o0/edit?usp=sharing"",""งบพรบ!FY14"")"),0)</f>
        <v>0</v>
      </c>
      <c r="O410" s="93">
        <f t="shared" ca="1" si="174"/>
        <v>0</v>
      </c>
      <c r="P410" s="93">
        <f t="shared" ca="1" si="175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47" t="s">
        <v>38</v>
      </c>
      <c r="E411" s="498"/>
      <c r="F411" s="498"/>
      <c r="G411" s="499"/>
      <c r="H411" s="726"/>
      <c r="I411" s="269"/>
      <c r="J411" s="269"/>
      <c r="K411" s="465"/>
      <c r="L411" s="163"/>
      <c r="M411" s="163"/>
      <c r="N411" s="163"/>
      <c r="O411" s="163"/>
      <c r="P411" s="163"/>
    </row>
    <row r="412" spans="1:26" ht="18.75" hidden="1">
      <c r="A412" s="170"/>
      <c r="B412" s="342"/>
      <c r="C412" s="342"/>
      <c r="D412" s="415" t="s">
        <v>177</v>
      </c>
      <c r="E412" s="342"/>
      <c r="F412" s="342"/>
      <c r="G412" s="179"/>
      <c r="H412" s="500" t="s">
        <v>69</v>
      </c>
      <c r="I412" s="269">
        <v>0</v>
      </c>
      <c r="J412" s="214">
        <v>0</v>
      </c>
      <c r="K412" s="465">
        <f t="shared" ref="K412:K413" si="179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01"/>
      <c r="B413" s="502"/>
      <c r="C413" s="502"/>
      <c r="D413" s="503" t="s">
        <v>178</v>
      </c>
      <c r="E413" s="502"/>
      <c r="F413" s="502"/>
      <c r="G413" s="504"/>
      <c r="H413" s="505" t="s">
        <v>179</v>
      </c>
      <c r="I413" s="506">
        <v>0</v>
      </c>
      <c r="J413" s="507">
        <v>0</v>
      </c>
      <c r="K413" s="508">
        <f t="shared" si="179"/>
        <v>0</v>
      </c>
      <c r="L413" s="509"/>
      <c r="M413" s="509"/>
      <c r="N413" s="509"/>
      <c r="O413" s="509"/>
      <c r="P413" s="509"/>
    </row>
    <row r="414" spans="1:26" ht="19.5">
      <c r="A414" s="510" t="s">
        <v>180</v>
      </c>
      <c r="B414" s="511"/>
      <c r="C414" s="511"/>
      <c r="D414" s="511"/>
      <c r="E414" s="511"/>
      <c r="F414" s="511"/>
      <c r="G414" s="512"/>
      <c r="H414" s="513"/>
      <c r="I414" s="514"/>
      <c r="J414" s="514"/>
      <c r="K414" s="515"/>
      <c r="L414" s="516">
        <f t="shared" ref="L414:N414" ca="1" si="180">L419+L444+L467+L502+L523+L544+L629+L655+L685+L737+L754+L770+L786+L805</f>
        <v>2981059</v>
      </c>
      <c r="M414" s="516">
        <f t="shared" si="180"/>
        <v>0</v>
      </c>
      <c r="N414" s="516">
        <f t="shared" si="180"/>
        <v>0</v>
      </c>
      <c r="O414" s="516">
        <f ca="1">IF(L414&gt;0,N414*100/L414,0)</f>
        <v>0</v>
      </c>
      <c r="P414" s="516">
        <f>IF(M414&gt;0,N414*100/M414,0)</f>
        <v>0</v>
      </c>
    </row>
    <row r="415" spans="1:26" ht="19.5">
      <c r="A415" s="517" t="s">
        <v>181</v>
      </c>
      <c r="B415" s="518"/>
      <c r="C415" s="518"/>
      <c r="D415" s="518"/>
      <c r="E415" s="518"/>
      <c r="F415" s="518"/>
      <c r="G415" s="518"/>
      <c r="H415" s="519"/>
      <c r="I415" s="520"/>
      <c r="J415" s="520"/>
      <c r="K415" s="521"/>
      <c r="L415" s="522"/>
      <c r="M415" s="522"/>
      <c r="N415" s="522"/>
      <c r="O415" s="522"/>
      <c r="P415" s="522"/>
    </row>
    <row r="416" spans="1:26" ht="19.5">
      <c r="A416" s="517" t="s">
        <v>182</v>
      </c>
      <c r="B416" s="518"/>
      <c r="C416" s="518"/>
      <c r="D416" s="518"/>
      <c r="E416" s="518"/>
      <c r="F416" s="518"/>
      <c r="G416" s="523"/>
      <c r="H416" s="524"/>
      <c r="I416" s="525"/>
      <c r="J416" s="525"/>
      <c r="K416" s="522"/>
      <c r="L416" s="522"/>
      <c r="M416" s="522"/>
      <c r="N416" s="522"/>
      <c r="O416" s="522"/>
      <c r="P416" s="522"/>
    </row>
    <row r="417" spans="1:26" ht="39">
      <c r="A417" s="526">
        <v>1</v>
      </c>
      <c r="B417" s="528" t="s">
        <v>183</v>
      </c>
      <c r="C417" s="528"/>
      <c r="D417" s="529"/>
      <c r="E417" s="529"/>
      <c r="F417" s="529"/>
      <c r="G417" s="530"/>
      <c r="H417" s="531" t="s">
        <v>35</v>
      </c>
      <c r="I417" s="532">
        <f t="shared" ref="I417:J418" ca="1" si="181">I433</f>
        <v>60</v>
      </c>
      <c r="J417" s="532">
        <f t="shared" ca="1" si="181"/>
        <v>0</v>
      </c>
      <c r="K417" s="533">
        <f t="shared" ref="K417:K418" ca="1" si="182">IF(I417&gt;0,J417*100/I417,0)</f>
        <v>0</v>
      </c>
      <c r="L417" s="534"/>
      <c r="M417" s="534"/>
      <c r="N417" s="534"/>
      <c r="O417" s="534"/>
      <c r="P417" s="534"/>
    </row>
    <row r="418" spans="1:26" ht="19.5">
      <c r="A418" s="535"/>
      <c r="B418" s="526"/>
      <c r="C418" s="528"/>
      <c r="D418" s="529"/>
      <c r="E418" s="529"/>
      <c r="F418" s="529"/>
      <c r="G418" s="530"/>
      <c r="H418" s="531" t="s">
        <v>49</v>
      </c>
      <c r="I418" s="532">
        <f t="shared" ca="1" si="181"/>
        <v>2</v>
      </c>
      <c r="J418" s="532">
        <f t="shared" si="181"/>
        <v>0</v>
      </c>
      <c r="K418" s="533">
        <f t="shared" ca="1" si="182"/>
        <v>0</v>
      </c>
      <c r="L418" s="534"/>
      <c r="M418" s="534"/>
      <c r="N418" s="534"/>
      <c r="O418" s="534"/>
      <c r="P418" s="534"/>
    </row>
    <row r="419" spans="1:26" ht="19.5">
      <c r="A419" s="147"/>
      <c r="B419" s="148"/>
      <c r="C419" s="148" t="s">
        <v>16</v>
      </c>
      <c r="D419" s="848" t="s">
        <v>17</v>
      </c>
      <c r="E419" s="810"/>
      <c r="F419" s="810"/>
      <c r="G419" s="151"/>
      <c r="H419" s="274" t="s">
        <v>12</v>
      </c>
      <c r="I419" s="388"/>
      <c r="J419" s="388"/>
      <c r="K419" s="154"/>
      <c r="L419" s="155">
        <f t="shared" ref="L419:N419" ca="1" si="183">L420+L421</f>
        <v>188600</v>
      </c>
      <c r="M419" s="155">
        <f t="shared" si="183"/>
        <v>0</v>
      </c>
      <c r="N419" s="155">
        <f t="shared" si="183"/>
        <v>0</v>
      </c>
      <c r="O419" s="155">
        <f t="shared" ref="O419:O424" ca="1" si="184">IF(L419&gt;0,N419*100/L419,0)</f>
        <v>0</v>
      </c>
      <c r="P419" s="155">
        <f t="shared" ref="P419:P424" si="185">IF(M419&gt;0,N419*100/M419,0)</f>
        <v>0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536"/>
      <c r="E420" s="222" t="s">
        <v>184</v>
      </c>
      <c r="F420" s="40"/>
      <c r="G420" s="157"/>
      <c r="H420" s="165" t="s">
        <v>12</v>
      </c>
      <c r="I420" s="583"/>
      <c r="J420" s="583"/>
      <c r="K420" s="93"/>
      <c r="L420" s="93">
        <f t="shared" ref="L420:N421" si="186">L423+L430</f>
        <v>0</v>
      </c>
      <c r="M420" s="93">
        <f t="shared" si="186"/>
        <v>0</v>
      </c>
      <c r="N420" s="93">
        <f t="shared" si="186"/>
        <v>0</v>
      </c>
      <c r="O420" s="93">
        <f t="shared" si="184"/>
        <v>0</v>
      </c>
      <c r="P420" s="93">
        <f t="shared" si="185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536"/>
      <c r="E421" s="222" t="s">
        <v>185</v>
      </c>
      <c r="F421" s="40"/>
      <c r="G421" s="157"/>
      <c r="H421" s="165" t="s">
        <v>12</v>
      </c>
      <c r="I421" s="583"/>
      <c r="J421" s="583"/>
      <c r="K421" s="93"/>
      <c r="L421" s="93">
        <f t="shared" ca="1" si="186"/>
        <v>188600</v>
      </c>
      <c r="M421" s="93">
        <f t="shared" si="186"/>
        <v>0</v>
      </c>
      <c r="N421" s="93">
        <f t="shared" si="186"/>
        <v>0</v>
      </c>
      <c r="O421" s="93">
        <f t="shared" ca="1" si="184"/>
        <v>0</v>
      </c>
      <c r="P421" s="93">
        <f t="shared" si="185"/>
        <v>0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0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65">
        <f t="shared" ref="L422:N422" ca="1" si="187">L423+L424</f>
        <v>188600</v>
      </c>
      <c r="M422" s="465">
        <f t="shared" si="187"/>
        <v>0</v>
      </c>
      <c r="N422" s="465">
        <f t="shared" si="187"/>
        <v>0</v>
      </c>
      <c r="O422" s="465">
        <f t="shared" ca="1" si="184"/>
        <v>0</v>
      </c>
      <c r="P422" s="465">
        <f t="shared" si="185"/>
        <v>0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536"/>
      <c r="E423" s="222" t="s">
        <v>184</v>
      </c>
      <c r="F423" s="40"/>
      <c r="G423" s="157"/>
      <c r="H423" s="165" t="s">
        <v>12</v>
      </c>
      <c r="I423" s="583"/>
      <c r="J423" s="583"/>
      <c r="K423" s="93"/>
      <c r="L423" s="93">
        <v>0</v>
      </c>
      <c r="M423" s="93">
        <v>0</v>
      </c>
      <c r="N423" s="93">
        <v>0</v>
      </c>
      <c r="O423" s="93">
        <f t="shared" si="184"/>
        <v>0</v>
      </c>
      <c r="P423" s="93">
        <f t="shared" si="185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536"/>
      <c r="E424" s="222" t="s">
        <v>185</v>
      </c>
      <c r="F424" s="40"/>
      <c r="G424" s="157"/>
      <c r="H424" s="165" t="s">
        <v>12</v>
      </c>
      <c r="I424" s="583"/>
      <c r="J424" s="583"/>
      <c r="K424" s="93"/>
      <c r="L424" s="93">
        <f ca="1">IFERROR(__xludf.DUMMYFUNCTION("IMPORTRANGE(""https://docs.google.com/spreadsheets/d/1QqKyyYR6Q21VydFLVH3TRQUabQu_ym0Zz7PgGX0-kHA/edit?usp=sharing"",""แผน!EY14"")"),188600)</f>
        <v>188600</v>
      </c>
      <c r="M424" s="93">
        <v>0</v>
      </c>
      <c r="N424" s="93">
        <f>N425+N426+N427+N428</f>
        <v>0</v>
      </c>
      <c r="O424" s="93">
        <f t="shared" ca="1" si="184"/>
        <v>0</v>
      </c>
      <c r="P424" s="93">
        <f t="shared" si="185"/>
        <v>0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37"/>
      <c r="B425" s="538"/>
      <c r="C425" s="727"/>
      <c r="D425" s="727"/>
      <c r="E425" s="727"/>
      <c r="F425" s="727" t="s">
        <v>186</v>
      </c>
      <c r="G425" s="189"/>
      <c r="H425" s="161" t="s">
        <v>12</v>
      </c>
      <c r="I425" s="269"/>
      <c r="J425" s="269"/>
      <c r="K425" s="465"/>
      <c r="L425" s="465"/>
      <c r="M425" s="465"/>
      <c r="N425" s="789">
        <v>0</v>
      </c>
      <c r="O425" s="465"/>
      <c r="P425" s="465"/>
      <c r="Q425" s="541"/>
      <c r="R425" s="541"/>
      <c r="S425" s="541"/>
      <c r="T425" s="541"/>
      <c r="U425" s="541"/>
      <c r="V425" s="541"/>
      <c r="W425" s="541"/>
      <c r="X425" s="541"/>
      <c r="Y425" s="541"/>
      <c r="Z425" s="541"/>
    </row>
    <row r="426" spans="1:26" ht="18.75">
      <c r="A426" s="537"/>
      <c r="B426" s="538"/>
      <c r="C426" s="727"/>
      <c r="D426" s="727"/>
      <c r="E426" s="727"/>
      <c r="F426" s="727" t="s">
        <v>187</v>
      </c>
      <c r="G426" s="189"/>
      <c r="H426" s="161" t="s">
        <v>12</v>
      </c>
      <c r="I426" s="269"/>
      <c r="J426" s="269"/>
      <c r="K426" s="465"/>
      <c r="L426" s="465"/>
      <c r="M426" s="465"/>
      <c r="N426" s="789">
        <v>0</v>
      </c>
      <c r="O426" s="465"/>
      <c r="P426" s="465"/>
      <c r="Q426" s="541"/>
      <c r="R426" s="541"/>
      <c r="S426" s="541"/>
      <c r="T426" s="541"/>
      <c r="U426" s="541"/>
      <c r="V426" s="541"/>
      <c r="W426" s="541"/>
      <c r="X426" s="541"/>
      <c r="Y426" s="541"/>
      <c r="Z426" s="541"/>
    </row>
    <row r="427" spans="1:26" ht="18.75">
      <c r="A427" s="537"/>
      <c r="B427" s="538"/>
      <c r="C427" s="727"/>
      <c r="D427" s="727"/>
      <c r="E427" s="727"/>
      <c r="F427" s="727" t="s">
        <v>188</v>
      </c>
      <c r="G427" s="189"/>
      <c r="H427" s="161" t="s">
        <v>12</v>
      </c>
      <c r="I427" s="269"/>
      <c r="J427" s="269"/>
      <c r="K427" s="465"/>
      <c r="L427" s="465"/>
      <c r="M427" s="465"/>
      <c r="N427" s="789">
        <v>0</v>
      </c>
      <c r="O427" s="465"/>
      <c r="P427" s="465"/>
      <c r="Q427" s="541"/>
      <c r="R427" s="541"/>
      <c r="S427" s="541"/>
      <c r="T427" s="541"/>
      <c r="U427" s="541"/>
      <c r="V427" s="541"/>
      <c r="W427" s="541"/>
      <c r="X427" s="541"/>
      <c r="Y427" s="541"/>
      <c r="Z427" s="541"/>
    </row>
    <row r="428" spans="1:26" ht="18.75">
      <c r="A428" s="283"/>
      <c r="B428" s="280"/>
      <c r="C428" s="33"/>
      <c r="D428" s="33"/>
      <c r="E428" s="33"/>
      <c r="F428" s="281" t="s">
        <v>189</v>
      </c>
      <c r="G428" s="213"/>
      <c r="H428" s="161" t="s">
        <v>12</v>
      </c>
      <c r="I428" s="269"/>
      <c r="J428" s="269"/>
      <c r="K428" s="465"/>
      <c r="L428" s="465"/>
      <c r="M428" s="465"/>
      <c r="N428" s="789">
        <v>0</v>
      </c>
      <c r="O428" s="465"/>
      <c r="P428" s="465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0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65">
        <f t="shared" ref="L429:N429" ca="1" si="188">L430+L431</f>
        <v>0</v>
      </c>
      <c r="M429" s="465">
        <f t="shared" si="188"/>
        <v>0</v>
      </c>
      <c r="N429" s="465">
        <f t="shared" si="188"/>
        <v>0</v>
      </c>
      <c r="O429" s="465">
        <f t="shared" ref="O429:O431" ca="1" si="189">IF(L429&gt;0,N429*100/L429,0)</f>
        <v>0</v>
      </c>
      <c r="P429" s="465">
        <f t="shared" ref="P429:P431" si="190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542"/>
      <c r="C430" s="40"/>
      <c r="D430" s="40"/>
      <c r="E430" s="222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89"/>
        <v>0</v>
      </c>
      <c r="P430" s="93">
        <f t="shared" si="190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542"/>
      <c r="C431" s="40"/>
      <c r="D431" s="40"/>
      <c r="E431" s="222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IFERROR(__xludf.DUMMYFUNCTION("IMPORTRANGE(""https://docs.google.com/spreadsheets/d/1QqKyyYR6Q21VydFLVH3TRQUabQu_ym0Zz7PgGX0-kHA/edit?usp=sharing"",""แผน!FB14"")"),0)</f>
        <v>0</v>
      </c>
      <c r="M431" s="93">
        <v>0</v>
      </c>
      <c r="N431" s="93">
        <v>0</v>
      </c>
      <c r="O431" s="93">
        <f t="shared" ca="1" si="189"/>
        <v>0</v>
      </c>
      <c r="P431" s="93">
        <f t="shared" si="190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382"/>
      <c r="B432" s="383"/>
      <c r="C432" s="148" t="s">
        <v>16</v>
      </c>
      <c r="D432" s="849" t="s">
        <v>38</v>
      </c>
      <c r="E432" s="544"/>
      <c r="F432" s="544"/>
      <c r="G432" s="545"/>
      <c r="H432" s="546"/>
      <c r="I432" s="388"/>
      <c r="J432" s="388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190</v>
      </c>
      <c r="E433" s="342"/>
      <c r="F433" s="342"/>
      <c r="G433" s="179"/>
      <c r="H433" s="196" t="s">
        <v>35</v>
      </c>
      <c r="I433" s="647">
        <f ca="1">I435</f>
        <v>60</v>
      </c>
      <c r="J433" s="647">
        <f ca="1">IF(AND(J435=I435,J437=I437,J439=I439),I437+I439,IF(AND(J435=I437,J437=I437),I437,IF(AND(J435=I439,J439=I439),I439,0)))</f>
        <v>0</v>
      </c>
      <c r="K433" s="195">
        <f t="shared" ref="K433:K435" ca="1" si="191">IF(I433&gt;0,J433*100/I433,0)</f>
        <v>0</v>
      </c>
      <c r="L433" s="465"/>
      <c r="M433" s="465"/>
      <c r="N433" s="465"/>
      <c r="O433" s="465"/>
      <c r="P433" s="465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191</v>
      </c>
      <c r="E434" s="342"/>
      <c r="F434" s="342"/>
      <c r="G434" s="179"/>
      <c r="H434" s="196" t="s">
        <v>49</v>
      </c>
      <c r="I434" s="647">
        <f t="shared" ref="I434:J434" ca="1" si="192">I438+I440</f>
        <v>2</v>
      </c>
      <c r="J434" s="647">
        <f t="shared" si="192"/>
        <v>0</v>
      </c>
      <c r="K434" s="195">
        <f t="shared" ca="1" si="191"/>
        <v>0</v>
      </c>
      <c r="L434" s="465"/>
      <c r="M434" s="465"/>
      <c r="N434" s="465"/>
      <c r="O434" s="465"/>
      <c r="P434" s="465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15" t="s">
        <v>192</v>
      </c>
      <c r="E435" s="342"/>
      <c r="F435" s="342"/>
      <c r="G435" s="179"/>
      <c r="H435" s="589" t="s">
        <v>35</v>
      </c>
      <c r="I435" s="547">
        <f ca="1">IFERROR(__xludf.DUMMYFUNCTION("IMPORTRANGE(""https://docs.google.com/spreadsheets/d/1QqKyyYR6Q21VydFLVH3TRQUabQu_ym0Zz7PgGX0-kHA/edit?usp=sharing"",""แผน!FC14"")"),60)</f>
        <v>60</v>
      </c>
      <c r="J435" s="548">
        <v>0</v>
      </c>
      <c r="K435" s="465">
        <f t="shared" ca="1" si="191"/>
        <v>0</v>
      </c>
      <c r="L435" s="465"/>
      <c r="M435" s="465"/>
      <c r="N435" s="465"/>
      <c r="O435" s="465"/>
      <c r="P435" s="465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15" t="s">
        <v>193</v>
      </c>
      <c r="E436" s="342"/>
      <c r="F436" s="342"/>
      <c r="G436" s="179"/>
      <c r="H436" s="589"/>
      <c r="I436" s="269"/>
      <c r="J436" s="269"/>
      <c r="K436" s="465"/>
      <c r="L436" s="465"/>
      <c r="M436" s="465"/>
      <c r="N436" s="465"/>
      <c r="O436" s="465"/>
      <c r="P436" s="465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15" t="s">
        <v>194</v>
      </c>
      <c r="E437" s="342"/>
      <c r="F437" s="342"/>
      <c r="G437" s="179"/>
      <c r="H437" s="589" t="s">
        <v>35</v>
      </c>
      <c r="I437" s="547">
        <f ca="1">IFERROR(__xludf.DUMMYFUNCTION("IMPORTRANGE(""https://docs.google.com/spreadsheets/d/1QqKyyYR6Q21VydFLVH3TRQUabQu_ym0Zz7PgGX0-kHA/edit?usp=sharing"",""แผน!FD14"")"),40)</f>
        <v>40</v>
      </c>
      <c r="J437" s="548">
        <v>0</v>
      </c>
      <c r="K437" s="465">
        <f t="shared" ref="K437:K443" ca="1" si="193">IF(I437&gt;0,J437*100/I437,0)</f>
        <v>0</v>
      </c>
      <c r="L437" s="465"/>
      <c r="M437" s="465"/>
      <c r="N437" s="465"/>
      <c r="O437" s="465"/>
      <c r="P437" s="465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15" t="s">
        <v>195</v>
      </c>
      <c r="E438" s="342"/>
      <c r="F438" s="342"/>
      <c r="G438" s="179"/>
      <c r="H438" s="589" t="s">
        <v>49</v>
      </c>
      <c r="I438" s="269">
        <f ca="1">IFERROR(__xludf.DUMMYFUNCTION("IMPORTRANGE(""https://docs.google.com/spreadsheets/d/1QqKyyYR6Q21VydFLVH3TRQUabQu_ym0Zz7PgGX0-kHA/edit?usp=sharing"",""แผน!FE14"")"),1)</f>
        <v>1</v>
      </c>
      <c r="J438" s="214">
        <v>0</v>
      </c>
      <c r="K438" s="465">
        <f t="shared" ca="1" si="193"/>
        <v>0</v>
      </c>
      <c r="L438" s="465"/>
      <c r="M438" s="465"/>
      <c r="N438" s="465"/>
      <c r="O438" s="465"/>
      <c r="P438" s="465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15" t="s">
        <v>196</v>
      </c>
      <c r="E439" s="342"/>
      <c r="F439" s="342"/>
      <c r="G439" s="179"/>
      <c r="H439" s="589" t="s">
        <v>35</v>
      </c>
      <c r="I439" s="547">
        <f ca="1">IFERROR(__xludf.DUMMYFUNCTION("IMPORTRANGE(""https://docs.google.com/spreadsheets/d/1QqKyyYR6Q21VydFLVH3TRQUabQu_ym0Zz7PgGX0-kHA/edit?usp=sharing"",""แผน!FF14"")"),20)</f>
        <v>20</v>
      </c>
      <c r="J439" s="548">
        <v>0</v>
      </c>
      <c r="K439" s="465">
        <f t="shared" ca="1" si="193"/>
        <v>0</v>
      </c>
      <c r="L439" s="465"/>
      <c r="M439" s="465"/>
      <c r="N439" s="465"/>
      <c r="O439" s="465"/>
      <c r="P439" s="465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15" t="s">
        <v>197</v>
      </c>
      <c r="E440" s="342"/>
      <c r="F440" s="342"/>
      <c r="G440" s="179"/>
      <c r="H440" s="589" t="s">
        <v>49</v>
      </c>
      <c r="I440" s="269">
        <f ca="1">IFERROR(__xludf.DUMMYFUNCTION("IMPORTRANGE(""https://docs.google.com/spreadsheets/d/1QqKyyYR6Q21VydFLVH3TRQUabQu_ym0Zz7PgGX0-kHA/edit?usp=sharing"",""แผน!FG14"")"),1)</f>
        <v>1</v>
      </c>
      <c r="J440" s="214">
        <v>0</v>
      </c>
      <c r="K440" s="465">
        <f t="shared" ca="1" si="193"/>
        <v>0</v>
      </c>
      <c r="L440" s="465"/>
      <c r="M440" s="465"/>
      <c r="N440" s="465"/>
      <c r="O440" s="465"/>
      <c r="P440" s="465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>
      <c r="A441" s="170"/>
      <c r="B441" s="171"/>
      <c r="C441" s="171"/>
      <c r="D441" s="415" t="s">
        <v>198</v>
      </c>
      <c r="E441" s="342"/>
      <c r="F441" s="342"/>
      <c r="G441" s="179"/>
      <c r="H441" s="589" t="s">
        <v>35</v>
      </c>
      <c r="I441" s="269">
        <f ca="1">IFERROR(__xludf.DUMMYFUNCTION("IMPORTRANGE(""https://docs.google.com/spreadsheets/d/1QqKyyYR6Q21VydFLVH3TRQUabQu_ym0Zz7PgGX0-kHA/edit?usp=sharing"",""แผน!FH14"")"),0)</f>
        <v>0</v>
      </c>
      <c r="J441" s="269">
        <v>0</v>
      </c>
      <c r="K441" s="465">
        <f t="shared" ca="1" si="193"/>
        <v>0</v>
      </c>
      <c r="L441" s="465"/>
      <c r="M441" s="465"/>
      <c r="N441" s="465"/>
      <c r="O441" s="465"/>
      <c r="P441" s="465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 hidden="1">
      <c r="A442" s="549">
        <v>2</v>
      </c>
      <c r="B442" s="550" t="s">
        <v>199</v>
      </c>
      <c r="C442" s="551"/>
      <c r="D442" s="551"/>
      <c r="E442" s="551"/>
      <c r="F442" s="551"/>
      <c r="G442" s="552"/>
      <c r="H442" s="553" t="s">
        <v>35</v>
      </c>
      <c r="I442" s="554">
        <f t="shared" ref="I442:J442" ca="1" si="194">I460</f>
        <v>0</v>
      </c>
      <c r="J442" s="554">
        <f t="shared" si="194"/>
        <v>0</v>
      </c>
      <c r="K442" s="555">
        <f t="shared" ca="1" si="193"/>
        <v>0</v>
      </c>
      <c r="L442" s="556"/>
      <c r="M442" s="556"/>
      <c r="N442" s="556"/>
      <c r="O442" s="556"/>
      <c r="P442" s="556"/>
      <c r="Q442" s="541"/>
      <c r="R442" s="541"/>
      <c r="S442" s="541"/>
      <c r="T442" s="541"/>
      <c r="U442" s="541"/>
      <c r="V442" s="541"/>
      <c r="W442" s="541"/>
      <c r="X442" s="541"/>
      <c r="Y442" s="541"/>
      <c r="Z442" s="541"/>
    </row>
    <row r="443" spans="1:26" ht="19.5" hidden="1">
      <c r="A443" s="557"/>
      <c r="B443" s="558"/>
      <c r="C443" s="559"/>
      <c r="D443" s="559"/>
      <c r="E443" s="559"/>
      <c r="F443" s="559"/>
      <c r="G443" s="560"/>
      <c r="H443" s="531" t="s">
        <v>46</v>
      </c>
      <c r="I443" s="532">
        <f t="shared" ref="I443:J443" ca="1" si="195">I462</f>
        <v>0</v>
      </c>
      <c r="J443" s="532">
        <f t="shared" si="195"/>
        <v>0</v>
      </c>
      <c r="K443" s="533">
        <f t="shared" ca="1" si="193"/>
        <v>0</v>
      </c>
      <c r="L443" s="534"/>
      <c r="M443" s="534"/>
      <c r="N443" s="534"/>
      <c r="O443" s="534"/>
      <c r="P443" s="534"/>
      <c r="Q443" s="541"/>
      <c r="R443" s="541"/>
      <c r="S443" s="541"/>
      <c r="T443" s="541"/>
      <c r="U443" s="541"/>
      <c r="V443" s="541"/>
      <c r="W443" s="541"/>
      <c r="X443" s="541"/>
      <c r="Y443" s="541"/>
      <c r="Z443" s="541"/>
    </row>
    <row r="444" spans="1:26" ht="19.5" hidden="1">
      <c r="A444" s="561"/>
      <c r="B444" s="727"/>
      <c r="C444" s="727" t="s">
        <v>16</v>
      </c>
      <c r="D444" s="811" t="s">
        <v>17</v>
      </c>
      <c r="E444" s="805"/>
      <c r="F444" s="805"/>
      <c r="G444" s="189"/>
      <c r="H444" s="562" t="s">
        <v>12</v>
      </c>
      <c r="I444" s="269"/>
      <c r="J444" s="269"/>
      <c r="K444" s="465"/>
      <c r="L444" s="195">
        <f t="shared" ref="L444:N444" ca="1" si="196">L445+L446</f>
        <v>0</v>
      </c>
      <c r="M444" s="195">
        <f t="shared" si="196"/>
        <v>0</v>
      </c>
      <c r="N444" s="195">
        <f t="shared" si="196"/>
        <v>0</v>
      </c>
      <c r="O444" s="195">
        <f t="shared" ref="O444:O449" ca="1" si="197">IF(L444&gt;0,N444*100/L444,0)</f>
        <v>0</v>
      </c>
      <c r="P444" s="195">
        <f t="shared" ref="P444:P449" si="198">IF(M444&gt;0,N444*100/M444,0)</f>
        <v>0</v>
      </c>
      <c r="Q444" s="541"/>
      <c r="R444" s="541"/>
      <c r="S444" s="541"/>
      <c r="T444" s="541"/>
      <c r="U444" s="541"/>
      <c r="V444" s="541"/>
      <c r="W444" s="541"/>
      <c r="X444" s="541"/>
      <c r="Y444" s="541"/>
      <c r="Z444" s="541"/>
    </row>
    <row r="445" spans="1:26" ht="18.75" hidden="1">
      <c r="A445" s="563"/>
      <c r="B445" s="723"/>
      <c r="C445" s="723"/>
      <c r="D445" s="684"/>
      <c r="E445" s="723" t="s">
        <v>184</v>
      </c>
      <c r="F445" s="723"/>
      <c r="G445" s="567"/>
      <c r="H445" s="165" t="s">
        <v>12</v>
      </c>
      <c r="I445" s="583"/>
      <c r="J445" s="583"/>
      <c r="K445" s="93"/>
      <c r="L445" s="93">
        <f t="shared" ref="L445:N446" si="199">L448+L455</f>
        <v>0</v>
      </c>
      <c r="M445" s="93">
        <f t="shared" si="199"/>
        <v>0</v>
      </c>
      <c r="N445" s="93">
        <f t="shared" si="199"/>
        <v>0</v>
      </c>
      <c r="O445" s="93">
        <f t="shared" si="197"/>
        <v>0</v>
      </c>
      <c r="P445" s="93">
        <f t="shared" si="198"/>
        <v>0</v>
      </c>
      <c r="Q445" s="568"/>
      <c r="R445" s="568"/>
      <c r="S445" s="568"/>
      <c r="T445" s="568"/>
      <c r="U445" s="568"/>
      <c r="V445" s="568"/>
      <c r="W445" s="568"/>
      <c r="X445" s="568"/>
      <c r="Y445" s="568"/>
      <c r="Z445" s="568"/>
    </row>
    <row r="446" spans="1:26" ht="18.75" hidden="1">
      <c r="A446" s="563"/>
      <c r="B446" s="571"/>
      <c r="C446" s="723"/>
      <c r="D446" s="684"/>
      <c r="E446" s="723" t="s">
        <v>185</v>
      </c>
      <c r="F446" s="723"/>
      <c r="G446" s="567"/>
      <c r="H446" s="165" t="s">
        <v>12</v>
      </c>
      <c r="I446" s="583"/>
      <c r="J446" s="583"/>
      <c r="K446" s="93"/>
      <c r="L446" s="93">
        <f t="shared" ca="1" si="199"/>
        <v>0</v>
      </c>
      <c r="M446" s="93">
        <f t="shared" si="199"/>
        <v>0</v>
      </c>
      <c r="N446" s="93">
        <f t="shared" si="199"/>
        <v>0</v>
      </c>
      <c r="O446" s="93">
        <f t="shared" ca="1" si="197"/>
        <v>0</v>
      </c>
      <c r="P446" s="93">
        <f t="shared" si="198"/>
        <v>0</v>
      </c>
      <c r="Q446" s="568"/>
      <c r="R446" s="568"/>
      <c r="S446" s="568"/>
      <c r="T446" s="568"/>
      <c r="U446" s="568"/>
      <c r="V446" s="568"/>
      <c r="W446" s="568"/>
      <c r="X446" s="568"/>
      <c r="Y446" s="568"/>
      <c r="Z446" s="568"/>
    </row>
    <row r="447" spans="1:26" ht="18.75" hidden="1">
      <c r="A447" s="561"/>
      <c r="B447" s="538"/>
      <c r="C447" s="727"/>
      <c r="D447" s="570" t="s">
        <v>20</v>
      </c>
      <c r="E447" s="727"/>
      <c r="F447" s="727"/>
      <c r="G447" s="189"/>
      <c r="H447" s="161" t="s">
        <v>12</v>
      </c>
      <c r="I447" s="184"/>
      <c r="J447" s="184"/>
      <c r="K447" s="163"/>
      <c r="L447" s="465">
        <f t="shared" ref="L447:N447" ca="1" si="200">L448+L449</f>
        <v>0</v>
      </c>
      <c r="M447" s="465">
        <f t="shared" si="200"/>
        <v>0</v>
      </c>
      <c r="N447" s="465">
        <f t="shared" si="200"/>
        <v>0</v>
      </c>
      <c r="O447" s="465">
        <f t="shared" ca="1" si="197"/>
        <v>0</v>
      </c>
      <c r="P447" s="465">
        <f t="shared" si="198"/>
        <v>0</v>
      </c>
      <c r="Q447" s="541"/>
      <c r="R447" s="541"/>
      <c r="S447" s="541"/>
      <c r="T447" s="541"/>
      <c r="U447" s="541"/>
      <c r="V447" s="541"/>
      <c r="W447" s="541"/>
      <c r="X447" s="541"/>
      <c r="Y447" s="541"/>
      <c r="Z447" s="541"/>
    </row>
    <row r="448" spans="1:26" ht="18.75" hidden="1">
      <c r="A448" s="563"/>
      <c r="B448" s="571"/>
      <c r="C448" s="723"/>
      <c r="D448" s="684"/>
      <c r="E448" s="723" t="s">
        <v>184</v>
      </c>
      <c r="F448" s="723"/>
      <c r="G448" s="567"/>
      <c r="H448" s="165" t="s">
        <v>12</v>
      </c>
      <c r="I448" s="583"/>
      <c r="J448" s="583"/>
      <c r="K448" s="93"/>
      <c r="L448" s="93">
        <v>0</v>
      </c>
      <c r="M448" s="93">
        <v>0</v>
      </c>
      <c r="N448" s="93">
        <v>0</v>
      </c>
      <c r="O448" s="93">
        <f t="shared" si="197"/>
        <v>0</v>
      </c>
      <c r="P448" s="93">
        <f t="shared" si="198"/>
        <v>0</v>
      </c>
      <c r="Q448" s="568"/>
      <c r="R448" s="568"/>
      <c r="S448" s="568"/>
      <c r="T448" s="568"/>
      <c r="U448" s="568"/>
      <c r="V448" s="568"/>
      <c r="W448" s="568"/>
      <c r="X448" s="568"/>
      <c r="Y448" s="568"/>
      <c r="Z448" s="568"/>
    </row>
    <row r="449" spans="1:26" ht="18.75" hidden="1">
      <c r="A449" s="563"/>
      <c r="B449" s="571"/>
      <c r="C449" s="723"/>
      <c r="D449" s="684"/>
      <c r="E449" s="723" t="s">
        <v>185</v>
      </c>
      <c r="F449" s="723"/>
      <c r="G449" s="567"/>
      <c r="H449" s="165" t="s">
        <v>12</v>
      </c>
      <c r="I449" s="583"/>
      <c r="J449" s="583"/>
      <c r="K449" s="93"/>
      <c r="L449" s="93">
        <f ca="1">IFERROR(__xludf.DUMMYFUNCTION("IMPORTRANGE(""https://docs.google.com/spreadsheets/d/1QqKyyYR6Q21VydFLVH3TRQUabQu_ym0Zz7PgGX0-kHA/edit?usp=sharing"",""แผน!FJ14"")"),0)</f>
        <v>0</v>
      </c>
      <c r="M449" s="93">
        <v>0</v>
      </c>
      <c r="N449" s="93">
        <f>N450+N451+N452+N453</f>
        <v>0</v>
      </c>
      <c r="O449" s="93">
        <f t="shared" ca="1" si="197"/>
        <v>0</v>
      </c>
      <c r="P449" s="93">
        <f t="shared" si="198"/>
        <v>0</v>
      </c>
      <c r="Q449" s="568"/>
      <c r="R449" s="568"/>
      <c r="S449" s="568"/>
      <c r="T449" s="568"/>
      <c r="U449" s="568"/>
      <c r="V449" s="568"/>
      <c r="W449" s="568"/>
      <c r="X449" s="568"/>
      <c r="Y449" s="568"/>
      <c r="Z449" s="568"/>
    </row>
    <row r="450" spans="1:26" ht="18.75" hidden="1">
      <c r="A450" s="537"/>
      <c r="B450" s="538"/>
      <c r="C450" s="727"/>
      <c r="D450" s="727"/>
      <c r="E450" s="727"/>
      <c r="F450" s="727" t="s">
        <v>186</v>
      </c>
      <c r="G450" s="189"/>
      <c r="H450" s="161" t="s">
        <v>12</v>
      </c>
      <c r="I450" s="269"/>
      <c r="J450" s="269"/>
      <c r="K450" s="465"/>
      <c r="L450" s="465"/>
      <c r="M450" s="465"/>
      <c r="N450" s="789">
        <v>0</v>
      </c>
      <c r="O450" s="465"/>
      <c r="P450" s="465"/>
      <c r="Q450" s="541"/>
      <c r="R450" s="541"/>
      <c r="S450" s="541"/>
      <c r="T450" s="541"/>
      <c r="U450" s="541"/>
      <c r="V450" s="541"/>
      <c r="W450" s="541"/>
      <c r="X450" s="541"/>
      <c r="Y450" s="541"/>
      <c r="Z450" s="541"/>
    </row>
    <row r="451" spans="1:26" ht="18.75" hidden="1">
      <c r="A451" s="537"/>
      <c r="B451" s="538"/>
      <c r="C451" s="727"/>
      <c r="D451" s="727"/>
      <c r="E451" s="727"/>
      <c r="F451" s="727" t="s">
        <v>187</v>
      </c>
      <c r="G451" s="189"/>
      <c r="H451" s="161" t="s">
        <v>12</v>
      </c>
      <c r="I451" s="269"/>
      <c r="J451" s="269"/>
      <c r="K451" s="465"/>
      <c r="L451" s="465"/>
      <c r="M451" s="465"/>
      <c r="N451" s="789">
        <v>0</v>
      </c>
      <c r="O451" s="465"/>
      <c r="P451" s="465"/>
      <c r="Q451" s="541"/>
      <c r="R451" s="541"/>
      <c r="S451" s="541"/>
      <c r="T451" s="541"/>
      <c r="U451" s="541"/>
      <c r="V451" s="541"/>
      <c r="W451" s="541"/>
      <c r="X451" s="541"/>
      <c r="Y451" s="541"/>
      <c r="Z451" s="541"/>
    </row>
    <row r="452" spans="1:26" ht="18.75" hidden="1">
      <c r="A452" s="537"/>
      <c r="B452" s="538"/>
      <c r="C452" s="538"/>
      <c r="D452" s="538"/>
      <c r="E452" s="538"/>
      <c r="F452" s="727" t="s">
        <v>188</v>
      </c>
      <c r="G452" s="189"/>
      <c r="H452" s="161" t="s">
        <v>12</v>
      </c>
      <c r="I452" s="269"/>
      <c r="J452" s="269"/>
      <c r="K452" s="465"/>
      <c r="L452" s="465"/>
      <c r="M452" s="465"/>
      <c r="N452" s="789">
        <v>0</v>
      </c>
      <c r="O452" s="465"/>
      <c r="P452" s="465"/>
      <c r="Q452" s="541"/>
      <c r="R452" s="541"/>
      <c r="S452" s="541"/>
      <c r="T452" s="541"/>
      <c r="U452" s="541"/>
      <c r="V452" s="541"/>
      <c r="W452" s="541"/>
      <c r="X452" s="541"/>
      <c r="Y452" s="541"/>
      <c r="Z452" s="541"/>
    </row>
    <row r="453" spans="1:26" ht="18.75" hidden="1">
      <c r="A453" s="537"/>
      <c r="B453" s="538"/>
      <c r="C453" s="538"/>
      <c r="D453" s="538"/>
      <c r="E453" s="538"/>
      <c r="F453" s="727" t="s">
        <v>189</v>
      </c>
      <c r="G453" s="189"/>
      <c r="H453" s="161" t="s">
        <v>12</v>
      </c>
      <c r="I453" s="269"/>
      <c r="J453" s="269"/>
      <c r="K453" s="465"/>
      <c r="L453" s="465"/>
      <c r="M453" s="465"/>
      <c r="N453" s="789">
        <v>0</v>
      </c>
      <c r="O453" s="465"/>
      <c r="P453" s="465"/>
      <c r="Q453" s="541"/>
      <c r="R453" s="541"/>
      <c r="S453" s="541"/>
      <c r="T453" s="541"/>
      <c r="U453" s="541"/>
      <c r="V453" s="541"/>
      <c r="W453" s="541"/>
      <c r="X453" s="541"/>
      <c r="Y453" s="541"/>
      <c r="Z453" s="541"/>
    </row>
    <row r="454" spans="1:26" ht="18.75" hidden="1">
      <c r="A454" s="561"/>
      <c r="B454" s="538"/>
      <c r="C454" s="538"/>
      <c r="D454" s="570" t="s">
        <v>21</v>
      </c>
      <c r="E454" s="538"/>
      <c r="F454" s="727"/>
      <c r="G454" s="189"/>
      <c r="H454" s="168" t="s">
        <v>12</v>
      </c>
      <c r="I454" s="184"/>
      <c r="J454" s="184"/>
      <c r="K454" s="163"/>
      <c r="L454" s="465">
        <f t="shared" ref="L454:N454" ca="1" si="201">L455+L456</f>
        <v>0</v>
      </c>
      <c r="M454" s="465">
        <f t="shared" si="201"/>
        <v>0</v>
      </c>
      <c r="N454" s="465">
        <f t="shared" si="201"/>
        <v>0</v>
      </c>
      <c r="O454" s="465">
        <f t="shared" ref="O454:O456" ca="1" si="202">IF(L454&gt;0,N454*100/L454,0)</f>
        <v>0</v>
      </c>
      <c r="P454" s="465">
        <f t="shared" ref="P454:P456" si="203">IF(M454&gt;0,N454*100/M454,0)</f>
        <v>0</v>
      </c>
      <c r="Q454" s="541"/>
      <c r="R454" s="541"/>
      <c r="S454" s="541"/>
      <c r="T454" s="541"/>
      <c r="U454" s="541"/>
      <c r="V454" s="541"/>
      <c r="W454" s="541"/>
      <c r="X454" s="541"/>
      <c r="Y454" s="541"/>
      <c r="Z454" s="541"/>
    </row>
    <row r="455" spans="1:26" ht="18.75" hidden="1">
      <c r="A455" s="563"/>
      <c r="B455" s="571"/>
      <c r="C455" s="571"/>
      <c r="D455" s="571"/>
      <c r="E455" s="571" t="s">
        <v>18</v>
      </c>
      <c r="F455" s="723"/>
      <c r="G455" s="567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2"/>
        <v>0</v>
      </c>
      <c r="P455" s="93">
        <f t="shared" si="203"/>
        <v>0</v>
      </c>
      <c r="Q455" s="568"/>
      <c r="R455" s="568"/>
      <c r="S455" s="568"/>
      <c r="T455" s="568"/>
      <c r="U455" s="568"/>
      <c r="V455" s="568"/>
      <c r="W455" s="568"/>
      <c r="X455" s="568"/>
      <c r="Y455" s="568"/>
      <c r="Z455" s="568"/>
    </row>
    <row r="456" spans="1:26" ht="18.75" hidden="1">
      <c r="A456" s="563"/>
      <c r="B456" s="571"/>
      <c r="C456" s="571"/>
      <c r="D456" s="571"/>
      <c r="E456" s="571" t="s">
        <v>19</v>
      </c>
      <c r="F456" s="723"/>
      <c r="G456" s="567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IFERROR(__xludf.DUMMYFUNCTION("IMPORTRANGE(""https://docs.google.com/spreadsheets/d/1QqKyyYR6Q21VydFLVH3TRQUabQu_ym0Zz7PgGX0-kHA/edit?usp=sharing"",""แผน!FM14"")"),0)</f>
        <v>0</v>
      </c>
      <c r="M456" s="93">
        <v>0</v>
      </c>
      <c r="N456" s="93">
        <v>0</v>
      </c>
      <c r="O456" s="93">
        <f t="shared" ca="1" si="202"/>
        <v>0</v>
      </c>
      <c r="P456" s="93">
        <f t="shared" si="203"/>
        <v>0</v>
      </c>
      <c r="Q456" s="568"/>
      <c r="R456" s="568"/>
      <c r="S456" s="568"/>
      <c r="T456" s="568"/>
      <c r="U456" s="568"/>
      <c r="V456" s="568"/>
      <c r="W456" s="568"/>
      <c r="X456" s="568"/>
      <c r="Y456" s="568"/>
      <c r="Z456" s="568"/>
    </row>
    <row r="457" spans="1:26" ht="19.5" hidden="1">
      <c r="A457" s="572"/>
      <c r="B457" s="584"/>
      <c r="C457" s="538" t="s">
        <v>16</v>
      </c>
      <c r="D457" s="850" t="s">
        <v>38</v>
      </c>
      <c r="E457" s="575"/>
      <c r="F457" s="725"/>
      <c r="G457" s="577"/>
      <c r="H457" s="726"/>
      <c r="I457" s="269"/>
      <c r="J457" s="269"/>
      <c r="K457" s="465"/>
      <c r="L457" s="465"/>
      <c r="M457" s="465"/>
      <c r="N457" s="465"/>
      <c r="O457" s="465"/>
      <c r="P457" s="465"/>
      <c r="Q457" s="541"/>
      <c r="R457" s="541"/>
      <c r="S457" s="541"/>
      <c r="T457" s="541"/>
      <c r="U457" s="541"/>
      <c r="V457" s="541"/>
      <c r="W457" s="541"/>
      <c r="X457" s="541"/>
      <c r="Y457" s="541"/>
      <c r="Z457" s="541"/>
    </row>
    <row r="458" spans="1:26" ht="18.75" hidden="1">
      <c r="A458" s="578"/>
      <c r="B458" s="580"/>
      <c r="C458" s="580"/>
      <c r="D458" s="580" t="s">
        <v>200</v>
      </c>
      <c r="E458" s="580"/>
      <c r="F458" s="684"/>
      <c r="G458" s="581"/>
      <c r="H458" s="582" t="s">
        <v>35</v>
      </c>
      <c r="I458" s="583">
        <v>0</v>
      </c>
      <c r="J458" s="583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568"/>
      <c r="R458" s="568"/>
      <c r="S458" s="568"/>
      <c r="T458" s="568"/>
      <c r="U458" s="568"/>
      <c r="V458" s="568"/>
      <c r="W458" s="568"/>
      <c r="X458" s="568"/>
      <c r="Y458" s="568"/>
      <c r="Z458" s="568"/>
    </row>
    <row r="459" spans="1:26" ht="18.75" hidden="1">
      <c r="A459" s="578"/>
      <c r="B459" s="580"/>
      <c r="C459" s="580"/>
      <c r="D459" s="580" t="s">
        <v>201</v>
      </c>
      <c r="E459" s="580"/>
      <c r="F459" s="684"/>
      <c r="G459" s="581"/>
      <c r="H459" s="582"/>
      <c r="I459" s="583"/>
      <c r="J459" s="583"/>
      <c r="K459" s="93"/>
      <c r="L459" s="93"/>
      <c r="M459" s="93"/>
      <c r="N459" s="93"/>
      <c r="O459" s="93"/>
      <c r="P459" s="93"/>
      <c r="Q459" s="568"/>
      <c r="R459" s="568"/>
      <c r="S459" s="568"/>
      <c r="T459" s="568"/>
      <c r="U459" s="568"/>
      <c r="V459" s="568"/>
      <c r="W459" s="568"/>
      <c r="X459" s="568"/>
      <c r="Y459" s="568"/>
      <c r="Z459" s="568"/>
    </row>
    <row r="460" spans="1:26" ht="18.75" hidden="1">
      <c r="A460" s="572"/>
      <c r="B460" s="584"/>
      <c r="C460" s="584"/>
      <c r="D460" s="584" t="s">
        <v>202</v>
      </c>
      <c r="E460" s="584"/>
      <c r="F460" s="592"/>
      <c r="G460" s="726"/>
      <c r="H460" s="728" t="s">
        <v>35</v>
      </c>
      <c r="I460" s="269">
        <f ca="1">IFERROR(__xludf.DUMMYFUNCTION("IMPORTRANGE(""https://docs.google.com/spreadsheets/d/1QqKyyYR6Q21VydFLVH3TRQUabQu_ym0Zz7PgGX0-kHA/edit?usp=sharing"",""แผน!FN14"")"),0)</f>
        <v>0</v>
      </c>
      <c r="J460" s="214">
        <v>0</v>
      </c>
      <c r="K460" s="465">
        <f ca="1">IF(I460&gt;0,J460*100/I460,0)</f>
        <v>0</v>
      </c>
      <c r="L460" s="465"/>
      <c r="M460" s="465"/>
      <c r="N460" s="465"/>
      <c r="O460" s="465"/>
      <c r="P460" s="465"/>
      <c r="Q460" s="541"/>
      <c r="R460" s="541"/>
      <c r="S460" s="541"/>
      <c r="T460" s="541"/>
      <c r="U460" s="541"/>
      <c r="V460" s="541"/>
      <c r="W460" s="541"/>
      <c r="X460" s="541"/>
      <c r="Y460" s="541"/>
      <c r="Z460" s="541"/>
    </row>
    <row r="461" spans="1:26" ht="18.75" hidden="1">
      <c r="A461" s="572"/>
      <c r="B461" s="584"/>
      <c r="C461" s="584"/>
      <c r="D461" s="584" t="s">
        <v>203</v>
      </c>
      <c r="E461" s="592"/>
      <c r="F461" s="592"/>
      <c r="G461" s="726"/>
      <c r="H461" s="728"/>
      <c r="I461" s="269"/>
      <c r="J461" s="269"/>
      <c r="K461" s="465"/>
      <c r="L461" s="465"/>
      <c r="M461" s="465"/>
      <c r="N461" s="465"/>
      <c r="O461" s="465"/>
      <c r="P461" s="465"/>
      <c r="Q461" s="541"/>
      <c r="R461" s="541"/>
      <c r="S461" s="541"/>
      <c r="T461" s="541"/>
      <c r="U461" s="541"/>
      <c r="V461" s="541"/>
      <c r="W461" s="541"/>
      <c r="X461" s="541"/>
      <c r="Y461" s="541"/>
      <c r="Z461" s="541"/>
    </row>
    <row r="462" spans="1:26" ht="18.75" hidden="1">
      <c r="A462" s="572"/>
      <c r="B462" s="584"/>
      <c r="C462" s="584"/>
      <c r="D462" s="584" t="s">
        <v>204</v>
      </c>
      <c r="E462" s="592"/>
      <c r="F462" s="592"/>
      <c r="G462" s="726"/>
      <c r="H462" s="728" t="s">
        <v>46</v>
      </c>
      <c r="I462" s="269">
        <f ca="1">IFERROR(__xludf.DUMMYFUNCTION("IMPORTRANGE(""https://docs.google.com/spreadsheets/d/1QqKyyYR6Q21VydFLVH3TRQUabQu_ym0Zz7PgGX0-kHA/edit?usp=sharing"",""แผน!FO14"")"),0)</f>
        <v>0</v>
      </c>
      <c r="J462" s="214">
        <v>0</v>
      </c>
      <c r="K462" s="465">
        <f ca="1">IF(I462&gt;0,J462*100/I462,0)</f>
        <v>0</v>
      </c>
      <c r="L462" s="465"/>
      <c r="M462" s="465"/>
      <c r="N462" s="465"/>
      <c r="O462" s="465"/>
      <c r="P462" s="465"/>
      <c r="Q462" s="541"/>
      <c r="R462" s="541"/>
      <c r="S462" s="541"/>
      <c r="T462" s="541"/>
      <c r="U462" s="541"/>
      <c r="V462" s="541"/>
      <c r="W462" s="541"/>
      <c r="X462" s="541"/>
      <c r="Y462" s="541"/>
      <c r="Z462" s="541"/>
    </row>
    <row r="463" spans="1:26" ht="18.75" hidden="1">
      <c r="A463" s="572"/>
      <c r="B463" s="584"/>
      <c r="C463" s="584"/>
      <c r="D463" s="584" t="s">
        <v>59</v>
      </c>
      <c r="E463" s="592"/>
      <c r="F463" s="727"/>
      <c r="G463" s="189"/>
      <c r="H463" s="728" t="s">
        <v>46</v>
      </c>
      <c r="I463" s="269">
        <f ca="1">IFERROR(__xludf.DUMMYFUNCTION("IMPORTRANGE(""https://docs.google.com/spreadsheets/d/1QqKyyYR6Q21VydFLVH3TRQUabQu_ym0Zz7PgGX0-kHA/edit?usp=sharing"",""แผน!FO14"")"),0)</f>
        <v>0</v>
      </c>
      <c r="J463" s="214">
        <v>0</v>
      </c>
      <c r="K463" s="465"/>
      <c r="L463" s="465"/>
      <c r="M463" s="465"/>
      <c r="N463" s="465"/>
      <c r="O463" s="465"/>
      <c r="P463" s="465"/>
      <c r="Q463" s="541"/>
      <c r="R463" s="541"/>
      <c r="S463" s="541"/>
      <c r="T463" s="541"/>
      <c r="U463" s="541"/>
      <c r="V463" s="541"/>
      <c r="W463" s="541"/>
      <c r="X463" s="541"/>
      <c r="Y463" s="541"/>
      <c r="Z463" s="541"/>
    </row>
    <row r="464" spans="1:26" ht="19.5" hidden="1">
      <c r="A464" s="572"/>
      <c r="B464" s="584"/>
      <c r="C464" s="584"/>
      <c r="D464" s="584"/>
      <c r="E464" s="592"/>
      <c r="F464" s="592"/>
      <c r="G464" s="586"/>
      <c r="H464" s="728" t="s">
        <v>35</v>
      </c>
      <c r="I464" s="269">
        <f ca="1">IFERROR(__xludf.DUMMYFUNCTION("IMPORTRANGE(""https://docs.google.com/spreadsheets/d/1QqKyyYR6Q21VydFLVH3TRQUabQu_ym0Zz7PgGX0-kHA/edit?usp=sharing"",""แผน!FN14"")"),0)</f>
        <v>0</v>
      </c>
      <c r="J464" s="214">
        <v>0</v>
      </c>
      <c r="K464" s="465"/>
      <c r="L464" s="465"/>
      <c r="M464" s="465"/>
      <c r="N464" s="465"/>
      <c r="O464" s="465"/>
      <c r="P464" s="465"/>
      <c r="Q464" s="541"/>
      <c r="R464" s="541"/>
      <c r="S464" s="541"/>
      <c r="T464" s="541"/>
      <c r="U464" s="541"/>
      <c r="V464" s="541"/>
      <c r="W464" s="541"/>
      <c r="X464" s="541"/>
      <c r="Y464" s="541"/>
      <c r="Z464" s="541"/>
    </row>
    <row r="465" spans="1:26" ht="19.5">
      <c r="A465" s="549">
        <v>3</v>
      </c>
      <c r="B465" s="550" t="s">
        <v>205</v>
      </c>
      <c r="C465" s="551"/>
      <c r="D465" s="551"/>
      <c r="E465" s="551"/>
      <c r="F465" s="551"/>
      <c r="G465" s="552"/>
      <c r="H465" s="553" t="s">
        <v>35</v>
      </c>
      <c r="I465" s="554">
        <f ca="1">IFERROR(__xludf.DUMMYFUNCTION("IMPORTRANGE(""https://docs.google.com/spreadsheets/d/1QqKyyYR6Q21VydFLVH3TRQUabQu_ym0Zz7PgGX0-kHA/edit?usp=sharing"",""แผน!FX14"")"),131)</f>
        <v>131</v>
      </c>
      <c r="J465" s="554">
        <f>J485+J489+J492</f>
        <v>0</v>
      </c>
      <c r="K465" s="555">
        <f t="shared" ref="K465:K466" ca="1" si="204">IF(I465&gt;0,J465*100/I465,0)</f>
        <v>0</v>
      </c>
      <c r="L465" s="556"/>
      <c r="M465" s="556"/>
      <c r="N465" s="556"/>
      <c r="O465" s="556"/>
      <c r="P465" s="556"/>
      <c r="Q465" s="541"/>
      <c r="R465" s="541"/>
      <c r="S465" s="541"/>
      <c r="T465" s="541"/>
      <c r="U465" s="541"/>
      <c r="V465" s="541"/>
      <c r="W465" s="541"/>
      <c r="X465" s="541"/>
      <c r="Y465" s="541"/>
      <c r="Z465" s="541"/>
    </row>
    <row r="466" spans="1:26" ht="19.5">
      <c r="A466" s="557"/>
      <c r="B466" s="558"/>
      <c r="C466" s="559"/>
      <c r="D466" s="559"/>
      <c r="E466" s="559"/>
      <c r="F466" s="559"/>
      <c r="G466" s="560"/>
      <c r="H466" s="531" t="s">
        <v>46</v>
      </c>
      <c r="I466" s="532">
        <f ca="1">IFERROR(__xludf.DUMMYFUNCTION("IMPORTRANGE(""https://docs.google.com/spreadsheets/d/1QqKyyYR6Q21VydFLVH3TRQUabQu_ym0Zz7PgGX0-kHA/edit?usp=sharing"",""แผน!FW14"")"),1300)</f>
        <v>1300</v>
      </c>
      <c r="J466" s="532">
        <f>J483+J487</f>
        <v>0</v>
      </c>
      <c r="K466" s="533">
        <f t="shared" ca="1" si="204"/>
        <v>0</v>
      </c>
      <c r="L466" s="534"/>
      <c r="M466" s="534"/>
      <c r="N466" s="534"/>
      <c r="O466" s="534"/>
      <c r="P466" s="534"/>
      <c r="Q466" s="541"/>
      <c r="R466" s="541"/>
      <c r="S466" s="541"/>
      <c r="T466" s="541"/>
      <c r="U466" s="541"/>
      <c r="V466" s="541"/>
      <c r="W466" s="541"/>
      <c r="X466" s="541"/>
      <c r="Y466" s="541"/>
      <c r="Z466" s="541"/>
    </row>
    <row r="467" spans="1:26" ht="19.5">
      <c r="A467" s="561"/>
      <c r="B467" s="727"/>
      <c r="C467" s="727" t="s">
        <v>16</v>
      </c>
      <c r="D467" s="811" t="s">
        <v>17</v>
      </c>
      <c r="E467" s="805"/>
      <c r="F467" s="805"/>
      <c r="G467" s="189"/>
      <c r="H467" s="562" t="s">
        <v>12</v>
      </c>
      <c r="I467" s="269"/>
      <c r="J467" s="269"/>
      <c r="K467" s="465"/>
      <c r="L467" s="195">
        <f t="shared" ref="L467:N467" ca="1" si="205">L468+L469</f>
        <v>1161548</v>
      </c>
      <c r="M467" s="195">
        <f t="shared" si="205"/>
        <v>0</v>
      </c>
      <c r="N467" s="195">
        <f t="shared" si="205"/>
        <v>0</v>
      </c>
      <c r="O467" s="195">
        <f t="shared" ref="O467:O472" ca="1" si="206">IF(L467&gt;0,N467*100/L467,0)</f>
        <v>0</v>
      </c>
      <c r="P467" s="195">
        <f t="shared" ref="P467:P472" si="207">IF(M467&gt;0,N467*100/M467,0)</f>
        <v>0</v>
      </c>
      <c r="Q467" s="541"/>
      <c r="R467" s="541"/>
      <c r="S467" s="541"/>
      <c r="T467" s="541"/>
      <c r="U467" s="541"/>
      <c r="V467" s="541"/>
      <c r="W467" s="541"/>
      <c r="X467" s="541"/>
      <c r="Y467" s="541"/>
      <c r="Z467" s="541"/>
    </row>
    <row r="468" spans="1:26" ht="18.75" hidden="1">
      <c r="A468" s="563"/>
      <c r="B468" s="723"/>
      <c r="C468" s="723"/>
      <c r="D468" s="684"/>
      <c r="E468" s="723" t="s">
        <v>184</v>
      </c>
      <c r="F468" s="723"/>
      <c r="G468" s="567"/>
      <c r="H468" s="165" t="s">
        <v>12</v>
      </c>
      <c r="I468" s="583"/>
      <c r="J468" s="583"/>
      <c r="K468" s="93"/>
      <c r="L468" s="93">
        <f t="shared" ref="L468:N469" si="208">L471+L478</f>
        <v>0</v>
      </c>
      <c r="M468" s="93">
        <f t="shared" si="208"/>
        <v>0</v>
      </c>
      <c r="N468" s="93">
        <f t="shared" si="208"/>
        <v>0</v>
      </c>
      <c r="O468" s="93">
        <f t="shared" si="206"/>
        <v>0</v>
      </c>
      <c r="P468" s="93">
        <f t="shared" si="207"/>
        <v>0</v>
      </c>
      <c r="Q468" s="568"/>
      <c r="R468" s="568"/>
      <c r="S468" s="568"/>
      <c r="T468" s="568"/>
      <c r="U468" s="568"/>
      <c r="V468" s="568"/>
      <c r="W468" s="568"/>
      <c r="X468" s="568"/>
      <c r="Y468" s="568"/>
      <c r="Z468" s="568"/>
    </row>
    <row r="469" spans="1:26" ht="18.75" hidden="1">
      <c r="A469" s="563"/>
      <c r="B469" s="571"/>
      <c r="C469" s="723"/>
      <c r="D469" s="684"/>
      <c r="E469" s="723" t="s">
        <v>185</v>
      </c>
      <c r="F469" s="723"/>
      <c r="G469" s="567"/>
      <c r="H469" s="165" t="s">
        <v>12</v>
      </c>
      <c r="I469" s="583"/>
      <c r="J469" s="583"/>
      <c r="K469" s="93"/>
      <c r="L469" s="93">
        <f t="shared" ca="1" si="208"/>
        <v>1161548</v>
      </c>
      <c r="M469" s="93">
        <f t="shared" si="208"/>
        <v>0</v>
      </c>
      <c r="N469" s="93">
        <f t="shared" si="208"/>
        <v>0</v>
      </c>
      <c r="O469" s="93">
        <f t="shared" ca="1" si="206"/>
        <v>0</v>
      </c>
      <c r="P469" s="93">
        <f t="shared" si="207"/>
        <v>0</v>
      </c>
      <c r="Q469" s="568"/>
      <c r="R469" s="568"/>
      <c r="S469" s="568"/>
      <c r="T469" s="568"/>
      <c r="U469" s="568"/>
      <c r="V469" s="568"/>
      <c r="W469" s="568"/>
      <c r="X469" s="568"/>
      <c r="Y469" s="568"/>
      <c r="Z469" s="568"/>
    </row>
    <row r="470" spans="1:26" ht="18.75">
      <c r="A470" s="561"/>
      <c r="B470" s="538"/>
      <c r="C470" s="727"/>
      <c r="D470" s="570" t="s">
        <v>20</v>
      </c>
      <c r="E470" s="727"/>
      <c r="F470" s="727"/>
      <c r="G470" s="189"/>
      <c r="H470" s="161" t="s">
        <v>12</v>
      </c>
      <c r="I470" s="184"/>
      <c r="J470" s="184"/>
      <c r="K470" s="163"/>
      <c r="L470" s="465">
        <f t="shared" ref="L470:N470" ca="1" si="209">L471+L472</f>
        <v>1161548</v>
      </c>
      <c r="M470" s="465">
        <f t="shared" si="209"/>
        <v>0</v>
      </c>
      <c r="N470" s="465">
        <f t="shared" si="209"/>
        <v>0</v>
      </c>
      <c r="O470" s="465">
        <f t="shared" ca="1" si="206"/>
        <v>0</v>
      </c>
      <c r="P470" s="465">
        <f t="shared" si="207"/>
        <v>0</v>
      </c>
      <c r="Q470" s="541"/>
      <c r="R470" s="541"/>
      <c r="S470" s="541"/>
      <c r="T470" s="541"/>
      <c r="U470" s="541"/>
      <c r="V470" s="541"/>
      <c r="W470" s="541"/>
      <c r="X470" s="541"/>
      <c r="Y470" s="541"/>
      <c r="Z470" s="541"/>
    </row>
    <row r="471" spans="1:26" ht="18.75" hidden="1">
      <c r="A471" s="563"/>
      <c r="B471" s="571"/>
      <c r="C471" s="723"/>
      <c r="D471" s="684"/>
      <c r="E471" s="723" t="s">
        <v>184</v>
      </c>
      <c r="F471" s="723"/>
      <c r="G471" s="567"/>
      <c r="H471" s="165" t="s">
        <v>12</v>
      </c>
      <c r="I471" s="583"/>
      <c r="J471" s="583"/>
      <c r="K471" s="93"/>
      <c r="L471" s="93">
        <v>0</v>
      </c>
      <c r="M471" s="93">
        <v>0</v>
      </c>
      <c r="N471" s="93">
        <v>0</v>
      </c>
      <c r="O471" s="93">
        <f t="shared" si="206"/>
        <v>0</v>
      </c>
      <c r="P471" s="93">
        <f t="shared" si="207"/>
        <v>0</v>
      </c>
      <c r="Q471" s="568"/>
      <c r="R471" s="568"/>
      <c r="S471" s="568"/>
      <c r="T471" s="568"/>
      <c r="U471" s="568"/>
      <c r="V471" s="568"/>
      <c r="W471" s="568"/>
      <c r="X471" s="568"/>
      <c r="Y471" s="568"/>
      <c r="Z471" s="568"/>
    </row>
    <row r="472" spans="1:26" ht="18.75" hidden="1">
      <c r="A472" s="563"/>
      <c r="B472" s="571"/>
      <c r="C472" s="723"/>
      <c r="D472" s="684"/>
      <c r="E472" s="723" t="s">
        <v>185</v>
      </c>
      <c r="F472" s="723"/>
      <c r="G472" s="567"/>
      <c r="H472" s="165" t="s">
        <v>12</v>
      </c>
      <c r="I472" s="583"/>
      <c r="J472" s="583"/>
      <c r="K472" s="93"/>
      <c r="L472" s="93">
        <f ca="1">IFERROR(__xludf.DUMMYFUNCTION("IMPORTRANGE(""https://docs.google.com/spreadsheets/d/1QqKyyYR6Q21VydFLVH3TRQUabQu_ym0Zz7PgGX0-kHA/edit?usp=sharing"",""แผน!FS14"")"),1161548)</f>
        <v>1161548</v>
      </c>
      <c r="M472" s="93">
        <v>0</v>
      </c>
      <c r="N472" s="93">
        <f>N473+N474+N475+N476</f>
        <v>0</v>
      </c>
      <c r="O472" s="93">
        <f t="shared" ca="1" si="206"/>
        <v>0</v>
      </c>
      <c r="P472" s="93">
        <f t="shared" si="207"/>
        <v>0</v>
      </c>
      <c r="Q472" s="568"/>
      <c r="R472" s="568"/>
      <c r="S472" s="568"/>
      <c r="T472" s="568"/>
      <c r="U472" s="568"/>
      <c r="V472" s="568"/>
      <c r="W472" s="568"/>
      <c r="X472" s="568"/>
      <c r="Y472" s="568"/>
      <c r="Z472" s="568"/>
    </row>
    <row r="473" spans="1:26" ht="18.75">
      <c r="A473" s="537"/>
      <c r="B473" s="538"/>
      <c r="C473" s="727"/>
      <c r="D473" s="727"/>
      <c r="E473" s="727"/>
      <c r="F473" s="727" t="s">
        <v>186</v>
      </c>
      <c r="G473" s="189"/>
      <c r="H473" s="161" t="s">
        <v>12</v>
      </c>
      <c r="I473" s="269"/>
      <c r="J473" s="269"/>
      <c r="K473" s="465"/>
      <c r="L473" s="465"/>
      <c r="M473" s="465"/>
      <c r="N473" s="789">
        <v>0</v>
      </c>
      <c r="O473" s="465"/>
      <c r="P473" s="465"/>
      <c r="Q473" s="541"/>
      <c r="R473" s="541"/>
      <c r="S473" s="541"/>
      <c r="T473" s="541"/>
      <c r="U473" s="541"/>
      <c r="V473" s="541"/>
      <c r="W473" s="541"/>
      <c r="X473" s="541"/>
      <c r="Y473" s="541"/>
      <c r="Z473" s="541"/>
    </row>
    <row r="474" spans="1:26" ht="18.75">
      <c r="A474" s="537"/>
      <c r="B474" s="538"/>
      <c r="C474" s="727"/>
      <c r="D474" s="727"/>
      <c r="E474" s="727"/>
      <c r="F474" s="727" t="s">
        <v>187</v>
      </c>
      <c r="G474" s="189"/>
      <c r="H474" s="161" t="s">
        <v>12</v>
      </c>
      <c r="I474" s="269"/>
      <c r="J474" s="269"/>
      <c r="K474" s="465"/>
      <c r="L474" s="465"/>
      <c r="M474" s="465"/>
      <c r="N474" s="789">
        <v>0</v>
      </c>
      <c r="O474" s="465"/>
      <c r="P474" s="465"/>
      <c r="Q474" s="541"/>
      <c r="R474" s="541"/>
      <c r="S474" s="541"/>
      <c r="T474" s="541"/>
      <c r="U474" s="541"/>
      <c r="V474" s="541"/>
      <c r="W474" s="541"/>
      <c r="X474" s="541"/>
      <c r="Y474" s="541"/>
      <c r="Z474" s="541"/>
    </row>
    <row r="475" spans="1:26" ht="18.75">
      <c r="A475" s="537"/>
      <c r="B475" s="538"/>
      <c r="C475" s="538"/>
      <c r="D475" s="538"/>
      <c r="E475" s="538"/>
      <c r="F475" s="727" t="s">
        <v>188</v>
      </c>
      <c r="G475" s="189"/>
      <c r="H475" s="161" t="s">
        <v>12</v>
      </c>
      <c r="I475" s="269"/>
      <c r="J475" s="269"/>
      <c r="K475" s="465"/>
      <c r="L475" s="465"/>
      <c r="M475" s="465"/>
      <c r="N475" s="789">
        <v>0</v>
      </c>
      <c r="O475" s="465"/>
      <c r="P475" s="465"/>
      <c r="Q475" s="541"/>
      <c r="R475" s="541"/>
      <c r="S475" s="541"/>
      <c r="T475" s="541"/>
      <c r="U475" s="541"/>
      <c r="V475" s="541"/>
      <c r="W475" s="541"/>
      <c r="X475" s="541"/>
      <c r="Y475" s="541"/>
      <c r="Z475" s="541"/>
    </row>
    <row r="476" spans="1:26" ht="18.75">
      <c r="A476" s="537"/>
      <c r="B476" s="538"/>
      <c r="C476" s="538"/>
      <c r="D476" s="538"/>
      <c r="E476" s="538"/>
      <c r="F476" s="727" t="s">
        <v>189</v>
      </c>
      <c r="G476" s="189"/>
      <c r="H476" s="161" t="s">
        <v>12</v>
      </c>
      <c r="I476" s="269"/>
      <c r="J476" s="269"/>
      <c r="K476" s="465"/>
      <c r="L476" s="465"/>
      <c r="M476" s="465"/>
      <c r="N476" s="789">
        <v>0</v>
      </c>
      <c r="O476" s="465"/>
      <c r="P476" s="465"/>
      <c r="Q476" s="541"/>
      <c r="R476" s="541"/>
      <c r="S476" s="541"/>
      <c r="T476" s="541"/>
      <c r="U476" s="541"/>
      <c r="V476" s="541"/>
      <c r="W476" s="541"/>
      <c r="X476" s="541"/>
      <c r="Y476" s="541"/>
      <c r="Z476" s="541"/>
    </row>
    <row r="477" spans="1:26" ht="18.75">
      <c r="A477" s="561"/>
      <c r="B477" s="538"/>
      <c r="C477" s="538"/>
      <c r="D477" s="570" t="s">
        <v>21</v>
      </c>
      <c r="E477" s="538"/>
      <c r="F477" s="538"/>
      <c r="G477" s="189"/>
      <c r="H477" s="168" t="s">
        <v>12</v>
      </c>
      <c r="I477" s="184"/>
      <c r="J477" s="184"/>
      <c r="K477" s="163"/>
      <c r="L477" s="465">
        <f t="shared" ref="L477:N477" ca="1" si="210">L478+L479</f>
        <v>0</v>
      </c>
      <c r="M477" s="465">
        <f t="shared" si="210"/>
        <v>0</v>
      </c>
      <c r="N477" s="465">
        <f t="shared" si="210"/>
        <v>0</v>
      </c>
      <c r="O477" s="465">
        <f t="shared" ref="O477:O479" ca="1" si="211">IF(L477&gt;0,N477*100/L477,0)</f>
        <v>0</v>
      </c>
      <c r="P477" s="465">
        <f t="shared" ref="P477:P479" si="212">IF(M477&gt;0,N477*100/M477,0)</f>
        <v>0</v>
      </c>
      <c r="Q477" s="541"/>
      <c r="R477" s="541"/>
      <c r="S477" s="541"/>
      <c r="T477" s="541"/>
      <c r="U477" s="541"/>
      <c r="V477" s="541"/>
      <c r="W477" s="541"/>
      <c r="X477" s="541"/>
      <c r="Y477" s="541"/>
      <c r="Z477" s="541"/>
    </row>
    <row r="478" spans="1:26" ht="18.75" hidden="1">
      <c r="A478" s="563"/>
      <c r="B478" s="571"/>
      <c r="C478" s="571"/>
      <c r="D478" s="571"/>
      <c r="E478" s="571" t="s">
        <v>18</v>
      </c>
      <c r="F478" s="571"/>
      <c r="G478" s="567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1"/>
        <v>0</v>
      </c>
      <c r="P478" s="93">
        <f t="shared" si="212"/>
        <v>0</v>
      </c>
      <c r="Q478" s="568"/>
      <c r="R478" s="568"/>
      <c r="S478" s="568"/>
      <c r="T478" s="568"/>
      <c r="U478" s="568"/>
      <c r="V478" s="568"/>
      <c r="W478" s="568"/>
      <c r="X478" s="568"/>
      <c r="Y478" s="568"/>
      <c r="Z478" s="568"/>
    </row>
    <row r="479" spans="1:26" ht="18.75" hidden="1">
      <c r="A479" s="563"/>
      <c r="B479" s="571"/>
      <c r="C479" s="571"/>
      <c r="D479" s="571"/>
      <c r="E479" s="571" t="s">
        <v>19</v>
      </c>
      <c r="F479" s="571"/>
      <c r="G479" s="567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IFERROR(__xludf.DUMMYFUNCTION("IMPORTRANGE(""https://docs.google.com/spreadsheets/d/1QqKyyYR6Q21VydFLVH3TRQUabQu_ym0Zz7PgGX0-kHA/edit?usp=sharing"",""แผน!FV14"")"),0)</f>
        <v>0</v>
      </c>
      <c r="M479" s="93">
        <v>0</v>
      </c>
      <c r="N479" s="93">
        <v>0</v>
      </c>
      <c r="O479" s="93">
        <f t="shared" ca="1" si="211"/>
        <v>0</v>
      </c>
      <c r="P479" s="93">
        <f t="shared" si="212"/>
        <v>0</v>
      </c>
      <c r="Q479" s="568"/>
      <c r="R479" s="568"/>
      <c r="S479" s="568"/>
      <c r="T479" s="568"/>
      <c r="U479" s="568"/>
      <c r="V479" s="568"/>
      <c r="W479" s="568"/>
      <c r="X479" s="568"/>
      <c r="Y479" s="568"/>
      <c r="Z479" s="568"/>
    </row>
    <row r="480" spans="1:26" ht="19.5">
      <c r="A480" s="572"/>
      <c r="B480" s="584"/>
      <c r="C480" s="538" t="s">
        <v>16</v>
      </c>
      <c r="D480" s="851" t="s">
        <v>38</v>
      </c>
      <c r="E480" s="575"/>
      <c r="F480" s="725"/>
      <c r="G480" s="577"/>
      <c r="H480" s="726"/>
      <c r="I480" s="269"/>
      <c r="J480" s="269"/>
      <c r="K480" s="465"/>
      <c r="L480" s="465"/>
      <c r="M480" s="465"/>
      <c r="N480" s="465"/>
      <c r="O480" s="465"/>
      <c r="P480" s="465"/>
      <c r="Q480" s="541"/>
      <c r="R480" s="541"/>
      <c r="S480" s="541"/>
      <c r="T480" s="541"/>
      <c r="U480" s="541"/>
      <c r="V480" s="541"/>
      <c r="W480" s="541"/>
      <c r="X480" s="541"/>
      <c r="Y480" s="541"/>
      <c r="Z480" s="541"/>
    </row>
    <row r="481" spans="1:26" ht="19.5">
      <c r="A481" s="572"/>
      <c r="B481" s="584"/>
      <c r="C481" s="584"/>
      <c r="D481" s="591" t="s">
        <v>206</v>
      </c>
      <c r="E481" s="584"/>
      <c r="F481" s="584"/>
      <c r="G481" s="726"/>
      <c r="H481" s="189"/>
      <c r="I481" s="269"/>
      <c r="J481" s="269"/>
      <c r="K481" s="465"/>
      <c r="L481" s="465"/>
      <c r="M481" s="465"/>
      <c r="N481" s="465"/>
      <c r="O481" s="465"/>
      <c r="P481" s="465"/>
      <c r="Q481" s="541"/>
      <c r="R481" s="541"/>
      <c r="S481" s="541"/>
      <c r="T481" s="541"/>
      <c r="U481" s="541"/>
      <c r="V481" s="541"/>
      <c r="W481" s="541"/>
      <c r="X481" s="541"/>
      <c r="Y481" s="541"/>
      <c r="Z481" s="541"/>
    </row>
    <row r="482" spans="1:26" ht="18.75">
      <c r="A482" s="572"/>
      <c r="B482" s="584"/>
      <c r="C482" s="584"/>
      <c r="D482" s="584"/>
      <c r="E482" s="584" t="s">
        <v>207</v>
      </c>
      <c r="F482" s="584"/>
      <c r="G482" s="726"/>
      <c r="H482" s="189"/>
      <c r="I482" s="269"/>
      <c r="J482" s="269"/>
      <c r="K482" s="465"/>
      <c r="L482" s="465"/>
      <c r="M482" s="465"/>
      <c r="N482" s="465"/>
      <c r="O482" s="465"/>
      <c r="P482" s="465"/>
      <c r="Q482" s="541"/>
      <c r="R482" s="541"/>
      <c r="S482" s="541"/>
      <c r="T482" s="541"/>
      <c r="U482" s="541"/>
      <c r="V482" s="541"/>
      <c r="W482" s="541"/>
      <c r="X482" s="541"/>
      <c r="Y482" s="541"/>
      <c r="Z482" s="541"/>
    </row>
    <row r="483" spans="1:26" ht="18.75">
      <c r="A483" s="572"/>
      <c r="B483" s="584"/>
      <c r="C483" s="584"/>
      <c r="D483" s="584"/>
      <c r="E483" s="584"/>
      <c r="F483" s="584" t="s">
        <v>208</v>
      </c>
      <c r="G483" s="726"/>
      <c r="H483" s="589" t="s">
        <v>46</v>
      </c>
      <c r="I483" s="269">
        <f ca="1">IFERROR(__xludf.DUMMYFUNCTION("IMPORTRANGE(""https://docs.google.com/spreadsheets/d/1QqKyyYR6Q21VydFLVH3TRQUabQu_ym0Zz7PgGX0-kHA/edit?usp=sharing"",""แผน!FY14"")"),1170)</f>
        <v>1170</v>
      </c>
      <c r="J483" s="214">
        <v>0</v>
      </c>
      <c r="K483" s="465">
        <f ca="1">IF(I483&gt;0,J483*100/I483,0)</f>
        <v>0</v>
      </c>
      <c r="L483" s="465"/>
      <c r="M483" s="465"/>
      <c r="N483" s="465"/>
      <c r="O483" s="465"/>
      <c r="P483" s="465"/>
      <c r="Q483" s="541"/>
      <c r="R483" s="541"/>
      <c r="S483" s="541"/>
      <c r="T483" s="541"/>
      <c r="U483" s="541"/>
      <c r="V483" s="541"/>
      <c r="W483" s="541"/>
      <c r="X483" s="541"/>
      <c r="Y483" s="541"/>
      <c r="Z483" s="541"/>
    </row>
    <row r="484" spans="1:26" ht="18.75">
      <c r="A484" s="572"/>
      <c r="B484" s="584"/>
      <c r="C484" s="584"/>
      <c r="D484" s="584"/>
      <c r="E484" s="584"/>
      <c r="F484" s="584" t="s">
        <v>209</v>
      </c>
      <c r="G484" s="726"/>
      <c r="H484" s="589" t="s">
        <v>35</v>
      </c>
      <c r="I484" s="269"/>
      <c r="J484" s="214">
        <v>0</v>
      </c>
      <c r="K484" s="465"/>
      <c r="L484" s="465"/>
      <c r="M484" s="465"/>
      <c r="N484" s="465"/>
      <c r="O484" s="465"/>
      <c r="P484" s="465"/>
      <c r="Q484" s="541"/>
      <c r="R484" s="541"/>
      <c r="S484" s="541"/>
      <c r="T484" s="541"/>
      <c r="U484" s="541"/>
      <c r="V484" s="541"/>
      <c r="W484" s="541"/>
      <c r="X484" s="541"/>
      <c r="Y484" s="541"/>
      <c r="Z484" s="541"/>
    </row>
    <row r="485" spans="1:26" ht="18.75">
      <c r="A485" s="572"/>
      <c r="B485" s="584"/>
      <c r="C485" s="584"/>
      <c r="D485" s="584"/>
      <c r="E485" s="584"/>
      <c r="F485" s="584" t="s">
        <v>210</v>
      </c>
      <c r="G485" s="726"/>
      <c r="H485" s="589" t="s">
        <v>35</v>
      </c>
      <c r="I485" s="269">
        <f ca="1">IFERROR(__xludf.DUMMYFUNCTION("IMPORTRANGE(""https://docs.google.com/spreadsheets/d/1QqKyyYR6Q21VydFLVH3TRQUabQu_ym0Zz7PgGX0-kHA/edit?usp=sharing"",""แผน!FZ14"")"),117)</f>
        <v>117</v>
      </c>
      <c r="J485" s="214">
        <v>0</v>
      </c>
      <c r="K485" s="465">
        <f ca="1">IF(I485&gt;0,J485*100/I485,0)</f>
        <v>0</v>
      </c>
      <c r="L485" s="465"/>
      <c r="M485" s="465"/>
      <c r="N485" s="465"/>
      <c r="O485" s="465"/>
      <c r="P485" s="465"/>
      <c r="Q485" s="541"/>
      <c r="R485" s="541"/>
      <c r="S485" s="541"/>
      <c r="T485" s="541"/>
      <c r="U485" s="541"/>
      <c r="V485" s="541"/>
      <c r="W485" s="541"/>
      <c r="X485" s="541"/>
      <c r="Y485" s="541"/>
      <c r="Z485" s="541"/>
    </row>
    <row r="486" spans="1:26" ht="18.75">
      <c r="A486" s="572"/>
      <c r="B486" s="584"/>
      <c r="C486" s="584"/>
      <c r="D486" s="584"/>
      <c r="E486" s="584" t="s">
        <v>62</v>
      </c>
      <c r="F486" s="584"/>
      <c r="G486" s="726"/>
      <c r="H486" s="589"/>
      <c r="I486" s="269"/>
      <c r="J486" s="269"/>
      <c r="K486" s="465"/>
      <c r="L486" s="465"/>
      <c r="M486" s="465"/>
      <c r="N486" s="465"/>
      <c r="O486" s="465"/>
      <c r="P486" s="465"/>
      <c r="Q486" s="541"/>
      <c r="R486" s="541"/>
      <c r="S486" s="541"/>
      <c r="T486" s="541"/>
      <c r="U486" s="541"/>
      <c r="V486" s="541"/>
      <c r="W486" s="541"/>
      <c r="X486" s="541"/>
      <c r="Y486" s="541"/>
      <c r="Z486" s="541"/>
    </row>
    <row r="487" spans="1:26" ht="18.75">
      <c r="A487" s="572"/>
      <c r="B487" s="584"/>
      <c r="C487" s="584"/>
      <c r="D487" s="584"/>
      <c r="E487" s="584"/>
      <c r="F487" s="584" t="s">
        <v>208</v>
      </c>
      <c r="G487" s="726"/>
      <c r="H487" s="589" t="s">
        <v>46</v>
      </c>
      <c r="I487" s="269">
        <f ca="1">IFERROR(__xludf.DUMMYFUNCTION("IMPORTRANGE(""https://docs.google.com/spreadsheets/d/1QqKyyYR6Q21VydFLVH3TRQUabQu_ym0Zz7PgGX0-kHA/edit?usp=sharing"",""แผน!GA14"")"),130)</f>
        <v>130</v>
      </c>
      <c r="J487" s="214">
        <v>0</v>
      </c>
      <c r="K487" s="465">
        <f ca="1">IF(I487&gt;0,J487*100/I487,0)</f>
        <v>0</v>
      </c>
      <c r="L487" s="465"/>
      <c r="M487" s="465"/>
      <c r="N487" s="465"/>
      <c r="O487" s="465"/>
      <c r="P487" s="465"/>
      <c r="Q487" s="541"/>
      <c r="R487" s="541"/>
      <c r="S487" s="541"/>
      <c r="T487" s="541"/>
      <c r="U487" s="541"/>
      <c r="V487" s="541"/>
      <c r="W487" s="541"/>
      <c r="X487" s="541"/>
      <c r="Y487" s="541"/>
      <c r="Z487" s="541"/>
    </row>
    <row r="488" spans="1:26" ht="18.75">
      <c r="A488" s="572"/>
      <c r="B488" s="584"/>
      <c r="C488" s="584"/>
      <c r="D488" s="584"/>
      <c r="E488" s="584"/>
      <c r="F488" s="584" t="s">
        <v>211</v>
      </c>
      <c r="G488" s="726"/>
      <c r="H488" s="589" t="s">
        <v>35</v>
      </c>
      <c r="I488" s="269"/>
      <c r="J488" s="214">
        <v>0</v>
      </c>
      <c r="K488" s="465"/>
      <c r="L488" s="465"/>
      <c r="M488" s="465"/>
      <c r="N488" s="465"/>
      <c r="O488" s="465"/>
      <c r="P488" s="465"/>
      <c r="Q488" s="541"/>
      <c r="R488" s="541"/>
      <c r="S488" s="541"/>
      <c r="T488" s="541"/>
      <c r="U488" s="541"/>
      <c r="V488" s="541"/>
      <c r="W488" s="541"/>
      <c r="X488" s="541"/>
      <c r="Y488" s="541"/>
      <c r="Z488" s="541"/>
    </row>
    <row r="489" spans="1:26" ht="18.75">
      <c r="A489" s="572"/>
      <c r="B489" s="584"/>
      <c r="C489" s="584"/>
      <c r="D489" s="584"/>
      <c r="E489" s="584"/>
      <c r="F489" s="584" t="s">
        <v>212</v>
      </c>
      <c r="G489" s="726"/>
      <c r="H489" s="589" t="s">
        <v>35</v>
      </c>
      <c r="I489" s="269">
        <f ca="1">IFERROR(__xludf.DUMMYFUNCTION("IMPORTRANGE(""https://docs.google.com/spreadsheets/d/1QqKyyYR6Q21VydFLVH3TRQUabQu_ym0Zz7PgGX0-kHA/edit?usp=sharing"",""แผน!GB14"")"),13)</f>
        <v>13</v>
      </c>
      <c r="J489" s="214">
        <v>0</v>
      </c>
      <c r="K489" s="465">
        <f ca="1">IF(I489&gt;0,J489*100/I489,0)</f>
        <v>0</v>
      </c>
      <c r="L489" s="465"/>
      <c r="M489" s="465"/>
      <c r="N489" s="465"/>
      <c r="O489" s="465"/>
      <c r="P489" s="465"/>
      <c r="Q489" s="541"/>
      <c r="R489" s="541"/>
      <c r="S489" s="541"/>
      <c r="T489" s="541"/>
      <c r="U489" s="541"/>
      <c r="V489" s="541"/>
      <c r="W489" s="541"/>
      <c r="X489" s="541"/>
      <c r="Y489" s="541"/>
      <c r="Z489" s="541"/>
    </row>
    <row r="490" spans="1:26" ht="18.75">
      <c r="A490" s="572"/>
      <c r="B490" s="584"/>
      <c r="C490" s="584"/>
      <c r="D490" s="584"/>
      <c r="E490" s="584" t="s">
        <v>63</v>
      </c>
      <c r="F490" s="592"/>
      <c r="G490" s="726"/>
      <c r="H490" s="589"/>
      <c r="I490" s="269"/>
      <c r="J490" s="269"/>
      <c r="K490" s="465"/>
      <c r="L490" s="465"/>
      <c r="M490" s="465"/>
      <c r="N490" s="465"/>
      <c r="O490" s="465"/>
      <c r="P490" s="465"/>
      <c r="Q490" s="541"/>
      <c r="R490" s="541"/>
      <c r="S490" s="541"/>
      <c r="T490" s="541"/>
      <c r="U490" s="541"/>
      <c r="V490" s="541"/>
      <c r="W490" s="541"/>
      <c r="X490" s="541"/>
      <c r="Y490" s="541"/>
      <c r="Z490" s="541"/>
    </row>
    <row r="491" spans="1:26" ht="18.75">
      <c r="A491" s="572"/>
      <c r="B491" s="584"/>
      <c r="C491" s="584"/>
      <c r="D491" s="584"/>
      <c r="E491" s="584"/>
      <c r="F491" s="584" t="s">
        <v>213</v>
      </c>
      <c r="G491" s="726"/>
      <c r="H491" s="589" t="s">
        <v>35</v>
      </c>
      <c r="I491" s="269"/>
      <c r="J491" s="214">
        <v>0</v>
      </c>
      <c r="K491" s="465"/>
      <c r="L491" s="465"/>
      <c r="M491" s="465"/>
      <c r="N491" s="465"/>
      <c r="O491" s="465"/>
      <c r="P491" s="465"/>
      <c r="Q491" s="541"/>
      <c r="R491" s="541"/>
      <c r="S491" s="541"/>
      <c r="T491" s="541"/>
      <c r="U491" s="541"/>
      <c r="V491" s="541"/>
      <c r="W491" s="541"/>
      <c r="X491" s="541"/>
      <c r="Y491" s="541"/>
      <c r="Z491" s="541"/>
    </row>
    <row r="492" spans="1:26" ht="18.75">
      <c r="A492" s="572"/>
      <c r="B492" s="584"/>
      <c r="C492" s="584"/>
      <c r="D492" s="584"/>
      <c r="E492" s="584"/>
      <c r="F492" s="584" t="s">
        <v>214</v>
      </c>
      <c r="G492" s="726"/>
      <c r="H492" s="589" t="s">
        <v>35</v>
      </c>
      <c r="I492" s="269">
        <f ca="1">IFERROR(__xludf.DUMMYFUNCTION("IMPORTRANGE(""https://docs.google.com/spreadsheets/d/1QqKyyYR6Q21VydFLVH3TRQUabQu_ym0Zz7PgGX0-kHA/edit?usp=sharing"",""แผน!GC14"")"),1)</f>
        <v>1</v>
      </c>
      <c r="J492" s="214">
        <v>0</v>
      </c>
      <c r="K492" s="465">
        <f ca="1">IF(I492&gt;0,J492*100/I492,0)</f>
        <v>0</v>
      </c>
      <c r="L492" s="465"/>
      <c r="M492" s="465"/>
      <c r="N492" s="465"/>
      <c r="O492" s="465"/>
      <c r="P492" s="465"/>
      <c r="Q492" s="541"/>
      <c r="R492" s="541"/>
      <c r="S492" s="541"/>
      <c r="T492" s="541"/>
      <c r="U492" s="541"/>
      <c r="V492" s="541"/>
      <c r="W492" s="541"/>
      <c r="X492" s="541"/>
      <c r="Y492" s="541"/>
      <c r="Z492" s="541"/>
    </row>
    <row r="493" spans="1:26" ht="19.5">
      <c r="A493" s="572"/>
      <c r="B493" s="584"/>
      <c r="C493" s="584"/>
      <c r="D493" s="591" t="s">
        <v>59</v>
      </c>
      <c r="E493" s="584"/>
      <c r="F493" s="592"/>
      <c r="G493" s="726"/>
      <c r="H493" s="189"/>
      <c r="I493" s="269"/>
      <c r="J493" s="269"/>
      <c r="K493" s="465"/>
      <c r="L493" s="465"/>
      <c r="M493" s="465"/>
      <c r="N493" s="465"/>
      <c r="O493" s="465"/>
      <c r="P493" s="465"/>
      <c r="Q493" s="541"/>
      <c r="R493" s="541"/>
      <c r="S493" s="541"/>
      <c r="T493" s="541"/>
      <c r="U493" s="541"/>
      <c r="V493" s="541"/>
      <c r="W493" s="541"/>
      <c r="X493" s="541"/>
      <c r="Y493" s="541"/>
      <c r="Z493" s="541"/>
    </row>
    <row r="494" spans="1:26" ht="18.75">
      <c r="A494" s="572"/>
      <c r="B494" s="584"/>
      <c r="C494" s="584"/>
      <c r="D494" s="584"/>
      <c r="E494" s="584" t="s">
        <v>207</v>
      </c>
      <c r="F494" s="592"/>
      <c r="G494" s="726"/>
      <c r="H494" s="189"/>
      <c r="I494" s="269"/>
      <c r="J494" s="269"/>
      <c r="K494" s="465"/>
      <c r="L494" s="465"/>
      <c r="M494" s="465"/>
      <c r="N494" s="465"/>
      <c r="O494" s="465"/>
      <c r="P494" s="465"/>
      <c r="Q494" s="541"/>
      <c r="R494" s="541"/>
      <c r="S494" s="541"/>
      <c r="T494" s="541"/>
      <c r="U494" s="541"/>
      <c r="V494" s="541"/>
      <c r="W494" s="541"/>
      <c r="X494" s="541"/>
      <c r="Y494" s="541"/>
      <c r="Z494" s="541"/>
    </row>
    <row r="495" spans="1:26" ht="18.75">
      <c r="A495" s="572"/>
      <c r="B495" s="584"/>
      <c r="C495" s="584"/>
      <c r="D495" s="584"/>
      <c r="E495" s="584"/>
      <c r="F495" s="592" t="s">
        <v>215</v>
      </c>
      <c r="G495" s="726"/>
      <c r="H495" s="589" t="s">
        <v>46</v>
      </c>
      <c r="I495" s="269">
        <f ca="1">IFERROR(__xludf.DUMMYFUNCTION("IMPORTRANGE(""https://docs.google.com/spreadsheets/d/1QqKyyYR6Q21VydFLVH3TRQUabQu_ym0Zz7PgGX0-kHA/edit?usp=sharing"",""แผน!FY14"")"),1170)</f>
        <v>1170</v>
      </c>
      <c r="J495" s="214">
        <v>0</v>
      </c>
      <c r="K495" s="465">
        <f ca="1">IF(I495&gt;0,J495*100/I495,0)</f>
        <v>0</v>
      </c>
      <c r="L495" s="465"/>
      <c r="M495" s="465"/>
      <c r="N495" s="465"/>
      <c r="O495" s="465"/>
      <c r="P495" s="465"/>
      <c r="Q495" s="541"/>
      <c r="R495" s="541"/>
      <c r="S495" s="541"/>
      <c r="T495" s="541"/>
      <c r="U495" s="541"/>
      <c r="V495" s="541"/>
      <c r="W495" s="541"/>
      <c r="X495" s="541"/>
      <c r="Y495" s="541"/>
      <c r="Z495" s="541"/>
    </row>
    <row r="496" spans="1:26" ht="18.75">
      <c r="A496" s="572"/>
      <c r="B496" s="584"/>
      <c r="C496" s="584"/>
      <c r="D496" s="584"/>
      <c r="E496" s="584"/>
      <c r="F496" s="592" t="s">
        <v>216</v>
      </c>
      <c r="G496" s="726"/>
      <c r="H496" s="589" t="s">
        <v>46</v>
      </c>
      <c r="I496" s="269"/>
      <c r="J496" s="214">
        <v>0</v>
      </c>
      <c r="K496" s="465"/>
      <c r="L496" s="465"/>
      <c r="M496" s="465"/>
      <c r="N496" s="465"/>
      <c r="O496" s="465"/>
      <c r="P496" s="465"/>
      <c r="Q496" s="541"/>
      <c r="R496" s="541"/>
      <c r="S496" s="541"/>
      <c r="T496" s="541"/>
      <c r="U496" s="541"/>
      <c r="V496" s="541"/>
      <c r="W496" s="541"/>
      <c r="X496" s="541"/>
      <c r="Y496" s="541"/>
      <c r="Z496" s="541"/>
    </row>
    <row r="497" spans="1:26" ht="18.75">
      <c r="A497" s="572"/>
      <c r="B497" s="584"/>
      <c r="C497" s="584"/>
      <c r="D497" s="584"/>
      <c r="E497" s="584" t="s">
        <v>62</v>
      </c>
      <c r="F497" s="592"/>
      <c r="G497" s="726"/>
      <c r="H497" s="189"/>
      <c r="I497" s="269"/>
      <c r="J497" s="269"/>
      <c r="K497" s="465"/>
      <c r="L497" s="465"/>
      <c r="M497" s="465"/>
      <c r="N497" s="465"/>
      <c r="O497" s="465"/>
      <c r="P497" s="465"/>
      <c r="Q497" s="541"/>
      <c r="R497" s="541"/>
      <c r="S497" s="541"/>
      <c r="T497" s="541"/>
      <c r="U497" s="541"/>
      <c r="V497" s="541"/>
      <c r="W497" s="541"/>
      <c r="X497" s="541"/>
      <c r="Y497" s="541"/>
      <c r="Z497" s="541"/>
    </row>
    <row r="498" spans="1:26" ht="18.75">
      <c r="A498" s="572"/>
      <c r="B498" s="584"/>
      <c r="C498" s="584"/>
      <c r="D498" s="584"/>
      <c r="E498" s="592"/>
      <c r="F498" s="592" t="s">
        <v>217</v>
      </c>
      <c r="G498" s="726"/>
      <c r="H498" s="589" t="s">
        <v>46</v>
      </c>
      <c r="I498" s="269">
        <f ca="1">IFERROR(__xludf.DUMMYFUNCTION("IMPORTRANGE(""https://docs.google.com/spreadsheets/d/1QqKyyYR6Q21VydFLVH3TRQUabQu_ym0Zz7PgGX0-kHA/edit?usp=sharing"",""แผน!GA14"")"),130)</f>
        <v>130</v>
      </c>
      <c r="J498" s="214">
        <v>0</v>
      </c>
      <c r="K498" s="465">
        <f ca="1">IF(I498&gt;0,J498*100/I498,0)</f>
        <v>0</v>
      </c>
      <c r="L498" s="465"/>
      <c r="M498" s="465"/>
      <c r="N498" s="465"/>
      <c r="O498" s="465"/>
      <c r="P498" s="465"/>
      <c r="Q498" s="541"/>
      <c r="R498" s="541"/>
      <c r="S498" s="541"/>
      <c r="T498" s="541"/>
      <c r="U498" s="541"/>
      <c r="V498" s="541"/>
      <c r="W498" s="541"/>
      <c r="X498" s="541"/>
      <c r="Y498" s="541"/>
      <c r="Z498" s="541"/>
    </row>
    <row r="499" spans="1:26" ht="18.75">
      <c r="A499" s="572"/>
      <c r="B499" s="584"/>
      <c r="C499" s="584"/>
      <c r="D499" s="584"/>
      <c r="E499" s="592"/>
      <c r="F499" s="592" t="s">
        <v>218</v>
      </c>
      <c r="G499" s="726"/>
      <c r="H499" s="589" t="s">
        <v>46</v>
      </c>
      <c r="I499" s="269"/>
      <c r="J499" s="214">
        <v>0</v>
      </c>
      <c r="K499" s="465"/>
      <c r="L499" s="465"/>
      <c r="M499" s="465"/>
      <c r="N499" s="465"/>
      <c r="O499" s="465"/>
      <c r="P499" s="465"/>
      <c r="Q499" s="541"/>
      <c r="R499" s="541"/>
      <c r="S499" s="541"/>
      <c r="T499" s="541"/>
      <c r="U499" s="541"/>
      <c r="V499" s="541"/>
      <c r="W499" s="541"/>
      <c r="X499" s="541"/>
      <c r="Y499" s="541"/>
      <c r="Z499" s="541"/>
    </row>
    <row r="500" spans="1:26" ht="19.5" hidden="1">
      <c r="A500" s="593">
        <v>4</v>
      </c>
      <c r="B500" s="594" t="s">
        <v>219</v>
      </c>
      <c r="C500" s="595"/>
      <c r="D500" s="596"/>
      <c r="E500" s="596"/>
      <c r="F500" s="596"/>
      <c r="G500" s="597"/>
      <c r="H500" s="598" t="s">
        <v>109</v>
      </c>
      <c r="I500" s="599"/>
      <c r="J500" s="599">
        <f t="shared" ref="J500:J501" si="213">J516</f>
        <v>0</v>
      </c>
      <c r="K500" s="600">
        <f t="shared" ref="K500:K501" si="214">IF(I500&gt;0,J500*100/I500,0)</f>
        <v>0</v>
      </c>
      <c r="L500" s="601"/>
      <c r="M500" s="601"/>
      <c r="N500" s="601"/>
      <c r="O500" s="601"/>
      <c r="P500" s="601"/>
      <c r="Q500" s="568"/>
      <c r="R500" s="568"/>
      <c r="S500" s="568"/>
      <c r="T500" s="568"/>
      <c r="U500" s="568"/>
      <c r="V500" s="568"/>
      <c r="W500" s="568"/>
      <c r="X500" s="568"/>
      <c r="Y500" s="568"/>
      <c r="Z500" s="568"/>
    </row>
    <row r="501" spans="1:26" ht="19.5" hidden="1">
      <c r="A501" s="602"/>
      <c r="B501" s="604" t="s">
        <v>220</v>
      </c>
      <c r="C501" s="604"/>
      <c r="D501" s="605"/>
      <c r="E501" s="605"/>
      <c r="F501" s="605"/>
      <c r="G501" s="606"/>
      <c r="H501" s="607" t="s">
        <v>35</v>
      </c>
      <c r="I501" s="608"/>
      <c r="J501" s="608">
        <f t="shared" si="213"/>
        <v>0</v>
      </c>
      <c r="K501" s="609">
        <f t="shared" si="214"/>
        <v>0</v>
      </c>
      <c r="L501" s="610"/>
      <c r="M501" s="610"/>
      <c r="N501" s="610"/>
      <c r="O501" s="610"/>
      <c r="P501" s="610"/>
      <c r="Q501" s="568"/>
      <c r="R501" s="568"/>
      <c r="S501" s="568"/>
      <c r="T501" s="568"/>
      <c r="U501" s="568"/>
      <c r="V501" s="568"/>
      <c r="W501" s="568"/>
      <c r="X501" s="568"/>
      <c r="Y501" s="568"/>
      <c r="Z501" s="568"/>
    </row>
    <row r="502" spans="1:26" ht="19.5" hidden="1">
      <c r="A502" s="563"/>
      <c r="B502" s="723"/>
      <c r="C502" s="723" t="s">
        <v>16</v>
      </c>
      <c r="D502" s="812" t="s">
        <v>17</v>
      </c>
      <c r="E502" s="805"/>
      <c r="F502" s="805"/>
      <c r="G502" s="567"/>
      <c r="H502" s="612" t="s">
        <v>12</v>
      </c>
      <c r="I502" s="583"/>
      <c r="J502" s="583"/>
      <c r="K502" s="93"/>
      <c r="L502" s="613">
        <f t="shared" ref="L502:N502" si="215">L503+L504</f>
        <v>0</v>
      </c>
      <c r="M502" s="613">
        <f t="shared" si="215"/>
        <v>0</v>
      </c>
      <c r="N502" s="613">
        <f t="shared" si="215"/>
        <v>0</v>
      </c>
      <c r="O502" s="613">
        <f t="shared" ref="O502:O507" si="216">IF(L502&gt;0,N502*100/L502,0)</f>
        <v>0</v>
      </c>
      <c r="P502" s="613">
        <f t="shared" ref="P502:P507" si="217">IF(M502&gt;0,N502*100/M502,0)</f>
        <v>0</v>
      </c>
      <c r="Q502" s="568"/>
      <c r="R502" s="568"/>
      <c r="S502" s="568"/>
      <c r="T502" s="568"/>
      <c r="U502" s="568"/>
      <c r="V502" s="568"/>
      <c r="W502" s="568"/>
      <c r="X502" s="568"/>
      <c r="Y502" s="568"/>
      <c r="Z502" s="568"/>
    </row>
    <row r="503" spans="1:26" ht="18.75" hidden="1">
      <c r="A503" s="563"/>
      <c r="B503" s="723"/>
      <c r="C503" s="723"/>
      <c r="D503" s="684"/>
      <c r="E503" s="723" t="s">
        <v>184</v>
      </c>
      <c r="F503" s="723"/>
      <c r="G503" s="567"/>
      <c r="H503" s="165" t="s">
        <v>12</v>
      </c>
      <c r="I503" s="583"/>
      <c r="J503" s="583"/>
      <c r="K503" s="93"/>
      <c r="L503" s="93">
        <f t="shared" ref="L503:N504" si="218">L506+L513</f>
        <v>0</v>
      </c>
      <c r="M503" s="93">
        <f t="shared" si="218"/>
        <v>0</v>
      </c>
      <c r="N503" s="93">
        <f t="shared" si="218"/>
        <v>0</v>
      </c>
      <c r="O503" s="93">
        <f t="shared" si="216"/>
        <v>0</v>
      </c>
      <c r="P503" s="93">
        <f t="shared" si="217"/>
        <v>0</v>
      </c>
      <c r="Q503" s="568"/>
      <c r="R503" s="568"/>
      <c r="S503" s="568"/>
      <c r="T503" s="568"/>
      <c r="U503" s="568"/>
      <c r="V503" s="568"/>
      <c r="W503" s="568"/>
      <c r="X503" s="568"/>
      <c r="Y503" s="568"/>
      <c r="Z503" s="568"/>
    </row>
    <row r="504" spans="1:26" ht="18.75" hidden="1">
      <c r="A504" s="563"/>
      <c r="B504" s="571"/>
      <c r="C504" s="723"/>
      <c r="D504" s="684"/>
      <c r="E504" s="723" t="s">
        <v>185</v>
      </c>
      <c r="F504" s="723"/>
      <c r="G504" s="567"/>
      <c r="H504" s="165" t="s">
        <v>12</v>
      </c>
      <c r="I504" s="583"/>
      <c r="J504" s="583"/>
      <c r="K504" s="93"/>
      <c r="L504" s="93">
        <f t="shared" si="218"/>
        <v>0</v>
      </c>
      <c r="M504" s="93">
        <f t="shared" si="218"/>
        <v>0</v>
      </c>
      <c r="N504" s="93">
        <f t="shared" si="218"/>
        <v>0</v>
      </c>
      <c r="O504" s="93">
        <f t="shared" si="216"/>
        <v>0</v>
      </c>
      <c r="P504" s="93">
        <f t="shared" si="217"/>
        <v>0</v>
      </c>
      <c r="Q504" s="568"/>
      <c r="R504" s="568"/>
      <c r="S504" s="568"/>
      <c r="T504" s="568"/>
      <c r="U504" s="568"/>
      <c r="V504" s="568"/>
      <c r="W504" s="568"/>
      <c r="X504" s="568"/>
      <c r="Y504" s="568"/>
      <c r="Z504" s="568"/>
    </row>
    <row r="505" spans="1:26" ht="18.75" hidden="1">
      <c r="A505" s="563"/>
      <c r="B505" s="571"/>
      <c r="C505" s="723"/>
      <c r="D505" s="614" t="s">
        <v>20</v>
      </c>
      <c r="E505" s="723"/>
      <c r="F505" s="723"/>
      <c r="G505" s="567"/>
      <c r="H505" s="165" t="s">
        <v>12</v>
      </c>
      <c r="I505" s="166"/>
      <c r="J505" s="166"/>
      <c r="K505" s="167"/>
      <c r="L505" s="93">
        <f t="shared" ref="L505:N505" si="219">L506+L507</f>
        <v>0</v>
      </c>
      <c r="M505" s="93">
        <f t="shared" si="219"/>
        <v>0</v>
      </c>
      <c r="N505" s="93">
        <f t="shared" si="219"/>
        <v>0</v>
      </c>
      <c r="O505" s="93">
        <f t="shared" si="216"/>
        <v>0</v>
      </c>
      <c r="P505" s="93">
        <f t="shared" si="217"/>
        <v>0</v>
      </c>
      <c r="Q505" s="568"/>
      <c r="R505" s="568"/>
      <c r="S505" s="568"/>
      <c r="T505" s="568"/>
      <c r="U505" s="568"/>
      <c r="V505" s="568"/>
      <c r="W505" s="568"/>
      <c r="X505" s="568"/>
      <c r="Y505" s="568"/>
      <c r="Z505" s="568"/>
    </row>
    <row r="506" spans="1:26" ht="18.75" hidden="1">
      <c r="A506" s="563"/>
      <c r="B506" s="571"/>
      <c r="C506" s="723"/>
      <c r="D506" s="684"/>
      <c r="E506" s="723" t="s">
        <v>184</v>
      </c>
      <c r="F506" s="723"/>
      <c r="G506" s="567"/>
      <c r="H506" s="165" t="s">
        <v>12</v>
      </c>
      <c r="I506" s="583"/>
      <c r="J506" s="583"/>
      <c r="K506" s="93"/>
      <c r="L506" s="93">
        <v>0</v>
      </c>
      <c r="M506" s="93">
        <v>0</v>
      </c>
      <c r="N506" s="93">
        <v>0</v>
      </c>
      <c r="O506" s="93">
        <f t="shared" si="216"/>
        <v>0</v>
      </c>
      <c r="P506" s="93">
        <f t="shared" si="217"/>
        <v>0</v>
      </c>
      <c r="Q506" s="568"/>
      <c r="R506" s="568"/>
      <c r="S506" s="568"/>
      <c r="T506" s="568"/>
      <c r="U506" s="568"/>
      <c r="V506" s="568"/>
      <c r="W506" s="568"/>
      <c r="X506" s="568"/>
      <c r="Y506" s="568"/>
      <c r="Z506" s="568"/>
    </row>
    <row r="507" spans="1:26" ht="18.75" hidden="1">
      <c r="A507" s="563"/>
      <c r="B507" s="571"/>
      <c r="C507" s="723"/>
      <c r="D507" s="684"/>
      <c r="E507" s="723" t="s">
        <v>185</v>
      </c>
      <c r="F507" s="723"/>
      <c r="G507" s="567"/>
      <c r="H507" s="165" t="s">
        <v>12</v>
      </c>
      <c r="I507" s="583"/>
      <c r="J507" s="583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6"/>
        <v>0</v>
      </c>
      <c r="P507" s="93">
        <f t="shared" si="217"/>
        <v>0</v>
      </c>
      <c r="Q507" s="568"/>
      <c r="R507" s="568"/>
      <c r="S507" s="568"/>
      <c r="T507" s="568"/>
      <c r="U507" s="568"/>
      <c r="V507" s="568"/>
      <c r="W507" s="568"/>
      <c r="X507" s="568"/>
      <c r="Y507" s="568"/>
      <c r="Z507" s="568"/>
    </row>
    <row r="508" spans="1:26" ht="18.75" hidden="1">
      <c r="A508" s="615"/>
      <c r="B508" s="571"/>
      <c r="C508" s="723"/>
      <c r="D508" s="723"/>
      <c r="E508" s="723"/>
      <c r="F508" s="723" t="s">
        <v>186</v>
      </c>
      <c r="G508" s="567"/>
      <c r="H508" s="165" t="s">
        <v>12</v>
      </c>
      <c r="I508" s="583"/>
      <c r="J508" s="583"/>
      <c r="K508" s="93"/>
      <c r="L508" s="93"/>
      <c r="M508" s="93"/>
      <c r="N508" s="93">
        <v>0</v>
      </c>
      <c r="O508" s="93"/>
      <c r="P508" s="93"/>
      <c r="Q508" s="568"/>
      <c r="R508" s="568"/>
      <c r="S508" s="568"/>
      <c r="T508" s="568"/>
      <c r="U508" s="568"/>
      <c r="V508" s="568"/>
      <c r="W508" s="568"/>
      <c r="X508" s="568"/>
      <c r="Y508" s="568"/>
      <c r="Z508" s="568"/>
    </row>
    <row r="509" spans="1:26" ht="18.75" hidden="1">
      <c r="A509" s="615"/>
      <c r="B509" s="571"/>
      <c r="C509" s="723"/>
      <c r="D509" s="723"/>
      <c r="E509" s="723"/>
      <c r="F509" s="723" t="s">
        <v>187</v>
      </c>
      <c r="G509" s="567"/>
      <c r="H509" s="165" t="s">
        <v>12</v>
      </c>
      <c r="I509" s="583"/>
      <c r="J509" s="583"/>
      <c r="K509" s="93"/>
      <c r="L509" s="93"/>
      <c r="M509" s="93"/>
      <c r="N509" s="93">
        <v>0</v>
      </c>
      <c r="O509" s="93"/>
      <c r="P509" s="93"/>
      <c r="Q509" s="568"/>
      <c r="R509" s="568"/>
      <c r="S509" s="568"/>
      <c r="T509" s="568"/>
      <c r="U509" s="568"/>
      <c r="V509" s="568"/>
      <c r="W509" s="568"/>
      <c r="X509" s="568"/>
      <c r="Y509" s="568"/>
      <c r="Z509" s="568"/>
    </row>
    <row r="510" spans="1:26" ht="18.75" hidden="1">
      <c r="A510" s="615"/>
      <c r="B510" s="571"/>
      <c r="C510" s="571"/>
      <c r="D510" s="571"/>
      <c r="E510" s="723"/>
      <c r="F510" s="723" t="s">
        <v>188</v>
      </c>
      <c r="G510" s="567"/>
      <c r="H510" s="165" t="s">
        <v>12</v>
      </c>
      <c r="I510" s="583"/>
      <c r="J510" s="583"/>
      <c r="K510" s="93"/>
      <c r="L510" s="93"/>
      <c r="M510" s="93"/>
      <c r="N510" s="93">
        <v>0</v>
      </c>
      <c r="O510" s="93"/>
      <c r="P510" s="93"/>
      <c r="Q510" s="568"/>
      <c r="R510" s="568"/>
      <c r="S510" s="568"/>
      <c r="T510" s="568"/>
      <c r="U510" s="568"/>
      <c r="V510" s="568"/>
      <c r="W510" s="568"/>
      <c r="X510" s="568"/>
      <c r="Y510" s="568"/>
      <c r="Z510" s="568"/>
    </row>
    <row r="511" spans="1:26" ht="18.75" hidden="1">
      <c r="A511" s="615"/>
      <c r="B511" s="571"/>
      <c r="C511" s="571"/>
      <c r="D511" s="571"/>
      <c r="E511" s="723"/>
      <c r="F511" s="723" t="s">
        <v>189</v>
      </c>
      <c r="G511" s="567"/>
      <c r="H511" s="165" t="s">
        <v>12</v>
      </c>
      <c r="I511" s="583"/>
      <c r="J511" s="583"/>
      <c r="K511" s="93"/>
      <c r="L511" s="93"/>
      <c r="M511" s="93"/>
      <c r="N511" s="93">
        <v>0</v>
      </c>
      <c r="O511" s="93"/>
      <c r="P511" s="93"/>
      <c r="Q511" s="568"/>
      <c r="R511" s="568"/>
      <c r="S511" s="568"/>
      <c r="T511" s="568"/>
      <c r="U511" s="568"/>
      <c r="V511" s="568"/>
      <c r="W511" s="568"/>
      <c r="X511" s="568"/>
      <c r="Y511" s="568"/>
      <c r="Z511" s="568"/>
    </row>
    <row r="512" spans="1:26" ht="18.75" hidden="1">
      <c r="A512" s="563"/>
      <c r="B512" s="571"/>
      <c r="C512" s="571"/>
      <c r="D512" s="614" t="s">
        <v>21</v>
      </c>
      <c r="E512" s="571"/>
      <c r="F512" s="723"/>
      <c r="G512" s="567"/>
      <c r="H512" s="169" t="s">
        <v>12</v>
      </c>
      <c r="I512" s="166"/>
      <c r="J512" s="166"/>
      <c r="K512" s="167"/>
      <c r="L512" s="93">
        <f t="shared" ref="L512:N512" si="220">L513+L514</f>
        <v>0</v>
      </c>
      <c r="M512" s="93">
        <f t="shared" si="220"/>
        <v>0</v>
      </c>
      <c r="N512" s="93">
        <f t="shared" si="220"/>
        <v>0</v>
      </c>
      <c r="O512" s="93">
        <f t="shared" ref="O512:O514" si="221">IF(L512&gt;0,N512*100/L512,0)</f>
        <v>0</v>
      </c>
      <c r="P512" s="93">
        <f t="shared" ref="P512:P514" si="222">IF(M512&gt;0,N512*100/M512,0)</f>
        <v>0</v>
      </c>
      <c r="Q512" s="568"/>
      <c r="R512" s="568"/>
      <c r="S512" s="568"/>
      <c r="T512" s="568"/>
      <c r="U512" s="568"/>
      <c r="V512" s="568"/>
      <c r="W512" s="568"/>
      <c r="X512" s="568"/>
      <c r="Y512" s="568"/>
      <c r="Z512" s="568"/>
    </row>
    <row r="513" spans="1:26" ht="18.75" hidden="1">
      <c r="A513" s="563"/>
      <c r="B513" s="571"/>
      <c r="C513" s="571"/>
      <c r="D513" s="571"/>
      <c r="E513" s="571" t="s">
        <v>18</v>
      </c>
      <c r="F513" s="723"/>
      <c r="G513" s="567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1"/>
        <v>0</v>
      </c>
      <c r="P513" s="93">
        <f t="shared" si="222"/>
        <v>0</v>
      </c>
      <c r="Q513" s="568"/>
      <c r="R513" s="568"/>
      <c r="S513" s="568"/>
      <c r="T513" s="568"/>
      <c r="U513" s="568"/>
      <c r="V513" s="568"/>
      <c r="W513" s="568"/>
      <c r="X513" s="568"/>
      <c r="Y513" s="568"/>
      <c r="Z513" s="568"/>
    </row>
    <row r="514" spans="1:26" ht="18.75" hidden="1">
      <c r="A514" s="563"/>
      <c r="B514" s="571"/>
      <c r="C514" s="571"/>
      <c r="D514" s="723"/>
      <c r="E514" s="571" t="s">
        <v>19</v>
      </c>
      <c r="F514" s="723"/>
      <c r="G514" s="567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1"/>
        <v>0</v>
      </c>
      <c r="P514" s="93">
        <f t="shared" si="222"/>
        <v>0</v>
      </c>
      <c r="Q514" s="568"/>
      <c r="R514" s="568"/>
      <c r="S514" s="568"/>
      <c r="T514" s="568"/>
      <c r="U514" s="568"/>
      <c r="V514" s="568"/>
      <c r="W514" s="568"/>
      <c r="X514" s="568"/>
      <c r="Y514" s="568"/>
      <c r="Z514" s="568"/>
    </row>
    <row r="515" spans="1:26" ht="19.5" hidden="1">
      <c r="A515" s="578"/>
      <c r="B515" s="580"/>
      <c r="C515" s="571" t="s">
        <v>16</v>
      </c>
      <c r="D515" s="852" t="s">
        <v>38</v>
      </c>
      <c r="E515" s="617"/>
      <c r="F515" s="617"/>
      <c r="G515" s="618"/>
      <c r="H515" s="581"/>
      <c r="I515" s="166"/>
      <c r="J515" s="166"/>
      <c r="K515" s="167"/>
      <c r="L515" s="167"/>
      <c r="M515" s="167"/>
      <c r="N515" s="167"/>
      <c r="O515" s="167"/>
      <c r="P515" s="167"/>
      <c r="Q515" s="568"/>
      <c r="R515" s="568"/>
      <c r="S515" s="568"/>
      <c r="T515" s="568"/>
      <c r="U515" s="568"/>
      <c r="V515" s="568"/>
      <c r="W515" s="568"/>
      <c r="X515" s="568"/>
      <c r="Y515" s="568"/>
      <c r="Z515" s="568"/>
    </row>
    <row r="516" spans="1:26" ht="18.75" hidden="1">
      <c r="A516" s="578"/>
      <c r="B516" s="580"/>
      <c r="C516" s="580"/>
      <c r="D516" s="580" t="s">
        <v>221</v>
      </c>
      <c r="E516" s="684"/>
      <c r="F516" s="684"/>
      <c r="G516" s="581"/>
      <c r="H516" s="619" t="s">
        <v>109</v>
      </c>
      <c r="I516" s="583"/>
      <c r="J516" s="583">
        <v>0</v>
      </c>
      <c r="K516" s="167">
        <f t="shared" ref="K516:K517" si="223">IF(I516&gt;0,J516*100/I516,0)</f>
        <v>0</v>
      </c>
      <c r="L516" s="167"/>
      <c r="M516" s="167"/>
      <c r="N516" s="167"/>
      <c r="O516" s="167"/>
      <c r="P516" s="167"/>
      <c r="Q516" s="568"/>
      <c r="R516" s="568"/>
      <c r="S516" s="568"/>
      <c r="T516" s="568"/>
      <c r="U516" s="568"/>
      <c r="V516" s="568"/>
      <c r="W516" s="568"/>
      <c r="X516" s="568"/>
      <c r="Y516" s="568"/>
      <c r="Z516" s="568"/>
    </row>
    <row r="517" spans="1:26" ht="19.5" hidden="1">
      <c r="A517" s="578"/>
      <c r="B517" s="580"/>
      <c r="C517" s="580"/>
      <c r="D517" s="580" t="s">
        <v>222</v>
      </c>
      <c r="E517" s="684"/>
      <c r="F517" s="684"/>
      <c r="G517" s="581"/>
      <c r="H517" s="620" t="s">
        <v>35</v>
      </c>
      <c r="I517" s="621"/>
      <c r="J517" s="621">
        <f>J518+J519</f>
        <v>0</v>
      </c>
      <c r="K517" s="622">
        <f t="shared" si="223"/>
        <v>0</v>
      </c>
      <c r="L517" s="167"/>
      <c r="M517" s="167"/>
      <c r="N517" s="167"/>
      <c r="O517" s="167"/>
      <c r="P517" s="167"/>
      <c r="Q517" s="568"/>
      <c r="R517" s="568"/>
      <c r="S517" s="568"/>
      <c r="T517" s="568"/>
      <c r="U517" s="568"/>
      <c r="V517" s="568"/>
      <c r="W517" s="568"/>
      <c r="X517" s="568"/>
      <c r="Y517" s="568"/>
      <c r="Z517" s="568"/>
    </row>
    <row r="518" spans="1:26" ht="18.75" hidden="1">
      <c r="A518" s="578"/>
      <c r="B518" s="580"/>
      <c r="C518" s="580"/>
      <c r="D518" s="580"/>
      <c r="E518" s="580" t="s">
        <v>223</v>
      </c>
      <c r="F518" s="684"/>
      <c r="G518" s="581"/>
      <c r="H518" s="582" t="s">
        <v>35</v>
      </c>
      <c r="I518" s="583"/>
      <c r="J518" s="583"/>
      <c r="K518" s="167"/>
      <c r="L518" s="167"/>
      <c r="M518" s="167"/>
      <c r="N518" s="167"/>
      <c r="O518" s="167"/>
      <c r="P518" s="167"/>
      <c r="Q518" s="568"/>
      <c r="R518" s="568"/>
      <c r="S518" s="568"/>
      <c r="T518" s="568"/>
      <c r="U518" s="568"/>
      <c r="V518" s="568"/>
      <c r="W518" s="568"/>
      <c r="X518" s="568"/>
      <c r="Y518" s="568"/>
      <c r="Z518" s="568"/>
    </row>
    <row r="519" spans="1:26" ht="18.75" hidden="1">
      <c r="A519" s="578"/>
      <c r="B519" s="580"/>
      <c r="C519" s="580"/>
      <c r="D519" s="580"/>
      <c r="E519" s="580" t="s">
        <v>224</v>
      </c>
      <c r="F519" s="684"/>
      <c r="G519" s="581"/>
      <c r="H519" s="619" t="s">
        <v>35</v>
      </c>
      <c r="I519" s="583"/>
      <c r="J519" s="583"/>
      <c r="K519" s="167"/>
      <c r="L519" s="167"/>
      <c r="M519" s="167"/>
      <c r="N519" s="167"/>
      <c r="O519" s="167"/>
      <c r="P519" s="167"/>
      <c r="Q519" s="568"/>
      <c r="R519" s="568"/>
      <c r="S519" s="568"/>
      <c r="T519" s="568"/>
      <c r="U519" s="568"/>
      <c r="V519" s="568"/>
      <c r="W519" s="568"/>
      <c r="X519" s="568"/>
      <c r="Y519" s="568"/>
      <c r="Z519" s="568"/>
    </row>
    <row r="520" spans="1:26" ht="19.5">
      <c r="A520" s="623" t="s">
        <v>137</v>
      </c>
      <c r="B520" s="624"/>
      <c r="C520" s="624"/>
      <c r="D520" s="625"/>
      <c r="E520" s="625"/>
      <c r="F520" s="625"/>
      <c r="G520" s="626"/>
      <c r="H520" s="627"/>
      <c r="I520" s="628"/>
      <c r="J520" s="628"/>
      <c r="K520" s="629"/>
      <c r="L520" s="629"/>
      <c r="M520" s="629"/>
      <c r="N520" s="629"/>
      <c r="O520" s="629"/>
      <c r="P520" s="629"/>
    </row>
    <row r="521" spans="1:26" ht="19.5" hidden="1">
      <c r="A521" s="630">
        <v>5</v>
      </c>
      <c r="B521" s="631" t="s">
        <v>225</v>
      </c>
      <c r="C521" s="632"/>
      <c r="D521" s="633"/>
      <c r="E521" s="633"/>
      <c r="F521" s="633"/>
      <c r="G521" s="633"/>
      <c r="H521" s="634"/>
      <c r="I521" s="635"/>
      <c r="J521" s="635"/>
      <c r="K521" s="636"/>
      <c r="L521" s="636"/>
      <c r="M521" s="636"/>
      <c r="N521" s="636"/>
      <c r="O521" s="636"/>
      <c r="P521" s="636"/>
      <c r="Q521" s="541"/>
      <c r="R521" s="541"/>
      <c r="S521" s="541"/>
      <c r="T521" s="541"/>
      <c r="U521" s="541"/>
      <c r="V521" s="541"/>
      <c r="W521" s="541"/>
      <c r="X521" s="541"/>
      <c r="Y521" s="541"/>
      <c r="Z521" s="541"/>
    </row>
    <row r="522" spans="1:26" ht="19.5" hidden="1">
      <c r="A522" s="637"/>
      <c r="B522" s="638" t="s">
        <v>226</v>
      </c>
      <c r="C522" s="639"/>
      <c r="D522" s="639"/>
      <c r="E522" s="639"/>
      <c r="F522" s="639"/>
      <c r="G522" s="640"/>
      <c r="H522" s="641" t="s">
        <v>35</v>
      </c>
      <c r="I522" s="672">
        <f t="shared" ref="I522:J522" ca="1" si="224">I537</f>
        <v>0</v>
      </c>
      <c r="J522" s="672">
        <f t="shared" ca="1" si="224"/>
        <v>0</v>
      </c>
      <c r="K522" s="643">
        <f ca="1">IF(I522&gt;0,J522*100/I522,0)</f>
        <v>0</v>
      </c>
      <c r="L522" s="644"/>
      <c r="M522" s="644"/>
      <c r="N522" s="644"/>
      <c r="O522" s="644"/>
      <c r="P522" s="644"/>
      <c r="Q522" s="541"/>
      <c r="R522" s="541"/>
      <c r="S522" s="541"/>
      <c r="T522" s="541"/>
      <c r="U522" s="541"/>
      <c r="V522" s="541"/>
      <c r="W522" s="541"/>
      <c r="X522" s="541"/>
      <c r="Y522" s="541"/>
      <c r="Z522" s="541"/>
    </row>
    <row r="523" spans="1:26" ht="19.5" hidden="1">
      <c r="A523" s="561"/>
      <c r="B523" s="727"/>
      <c r="C523" s="727" t="s">
        <v>16</v>
      </c>
      <c r="D523" s="811" t="s">
        <v>17</v>
      </c>
      <c r="E523" s="805"/>
      <c r="F523" s="805"/>
      <c r="G523" s="189"/>
      <c r="H523" s="562" t="s">
        <v>12</v>
      </c>
      <c r="I523" s="269"/>
      <c r="J523" s="269"/>
      <c r="K523" s="465"/>
      <c r="L523" s="195">
        <f t="shared" ref="L523:N523" ca="1" si="225">L524+L525</f>
        <v>0</v>
      </c>
      <c r="M523" s="195">
        <f t="shared" si="225"/>
        <v>0</v>
      </c>
      <c r="N523" s="195">
        <f t="shared" si="225"/>
        <v>0</v>
      </c>
      <c r="O523" s="195">
        <f t="shared" ref="O523:O528" ca="1" si="226">IF(L523&gt;0,N523*100/L523,0)</f>
        <v>0</v>
      </c>
      <c r="P523" s="195">
        <f t="shared" ref="P523:P528" si="227">IF(M523&gt;0,N523*100/M523,0)</f>
        <v>0</v>
      </c>
      <c r="Q523" s="541"/>
      <c r="R523" s="541"/>
      <c r="S523" s="541"/>
      <c r="T523" s="541"/>
      <c r="U523" s="541"/>
      <c r="V523" s="541"/>
      <c r="W523" s="541"/>
      <c r="X523" s="541"/>
      <c r="Y523" s="541"/>
      <c r="Z523" s="541"/>
    </row>
    <row r="524" spans="1:26" ht="18.75" hidden="1">
      <c r="A524" s="563"/>
      <c r="B524" s="723"/>
      <c r="C524" s="723"/>
      <c r="D524" s="684"/>
      <c r="E524" s="723" t="s">
        <v>184</v>
      </c>
      <c r="F524" s="723"/>
      <c r="G524" s="567"/>
      <c r="H524" s="165" t="s">
        <v>12</v>
      </c>
      <c r="I524" s="583"/>
      <c r="J524" s="583"/>
      <c r="K524" s="93"/>
      <c r="L524" s="93">
        <f t="shared" ref="L524:N525" si="228">L527+L534</f>
        <v>0</v>
      </c>
      <c r="M524" s="93">
        <f t="shared" si="228"/>
        <v>0</v>
      </c>
      <c r="N524" s="93">
        <f t="shared" si="228"/>
        <v>0</v>
      </c>
      <c r="O524" s="93">
        <f t="shared" si="226"/>
        <v>0</v>
      </c>
      <c r="P524" s="93">
        <f t="shared" si="227"/>
        <v>0</v>
      </c>
      <c r="Q524" s="568"/>
      <c r="R524" s="568"/>
      <c r="S524" s="568"/>
      <c r="T524" s="568"/>
      <c r="U524" s="568"/>
      <c r="V524" s="568"/>
      <c r="W524" s="568"/>
      <c r="X524" s="568"/>
      <c r="Y524" s="568"/>
      <c r="Z524" s="568"/>
    </row>
    <row r="525" spans="1:26" ht="18.75" hidden="1">
      <c r="A525" s="563"/>
      <c r="B525" s="571"/>
      <c r="C525" s="723"/>
      <c r="D525" s="684"/>
      <c r="E525" s="723" t="s">
        <v>185</v>
      </c>
      <c r="F525" s="723"/>
      <c r="G525" s="567"/>
      <c r="H525" s="165" t="s">
        <v>12</v>
      </c>
      <c r="I525" s="583"/>
      <c r="J525" s="583"/>
      <c r="K525" s="93"/>
      <c r="L525" s="93">
        <f t="shared" ca="1" si="228"/>
        <v>0</v>
      </c>
      <c r="M525" s="93">
        <f t="shared" si="228"/>
        <v>0</v>
      </c>
      <c r="N525" s="93">
        <f t="shared" si="228"/>
        <v>0</v>
      </c>
      <c r="O525" s="93">
        <f t="shared" ca="1" si="226"/>
        <v>0</v>
      </c>
      <c r="P525" s="93">
        <f t="shared" si="227"/>
        <v>0</v>
      </c>
      <c r="Q525" s="568"/>
      <c r="R525" s="568"/>
      <c r="S525" s="568"/>
      <c r="T525" s="568"/>
      <c r="U525" s="568"/>
      <c r="V525" s="568"/>
      <c r="W525" s="568"/>
      <c r="X525" s="568"/>
      <c r="Y525" s="568"/>
      <c r="Z525" s="568"/>
    </row>
    <row r="526" spans="1:26" ht="18.75" hidden="1">
      <c r="A526" s="561"/>
      <c r="B526" s="538"/>
      <c r="C526" s="727"/>
      <c r="D526" s="570" t="s">
        <v>20</v>
      </c>
      <c r="E526" s="727"/>
      <c r="F526" s="727"/>
      <c r="G526" s="189"/>
      <c r="H526" s="161" t="s">
        <v>12</v>
      </c>
      <c r="I526" s="184"/>
      <c r="J526" s="184"/>
      <c r="K526" s="163"/>
      <c r="L526" s="465">
        <f t="shared" ref="L526:N526" ca="1" si="229">L527+L528</f>
        <v>0</v>
      </c>
      <c r="M526" s="465">
        <f t="shared" si="229"/>
        <v>0</v>
      </c>
      <c r="N526" s="465">
        <f t="shared" si="229"/>
        <v>0</v>
      </c>
      <c r="O526" s="465">
        <f t="shared" ca="1" si="226"/>
        <v>0</v>
      </c>
      <c r="P526" s="465">
        <f t="shared" si="227"/>
        <v>0</v>
      </c>
      <c r="Q526" s="541"/>
      <c r="R526" s="541"/>
      <c r="S526" s="541"/>
      <c r="T526" s="541"/>
      <c r="U526" s="541"/>
      <c r="V526" s="541"/>
      <c r="W526" s="541"/>
      <c r="X526" s="541"/>
      <c r="Y526" s="541"/>
      <c r="Z526" s="541"/>
    </row>
    <row r="527" spans="1:26" ht="18.75" hidden="1">
      <c r="A527" s="563"/>
      <c r="B527" s="571"/>
      <c r="C527" s="723"/>
      <c r="D527" s="684"/>
      <c r="E527" s="723" t="s">
        <v>184</v>
      </c>
      <c r="F527" s="723"/>
      <c r="G527" s="567"/>
      <c r="H527" s="165" t="s">
        <v>12</v>
      </c>
      <c r="I527" s="583"/>
      <c r="J527" s="583"/>
      <c r="K527" s="93"/>
      <c r="L527" s="93">
        <v>0</v>
      </c>
      <c r="M527" s="93">
        <v>0</v>
      </c>
      <c r="N527" s="93">
        <v>0</v>
      </c>
      <c r="O527" s="93">
        <f t="shared" si="226"/>
        <v>0</v>
      </c>
      <c r="P527" s="93">
        <f t="shared" si="227"/>
        <v>0</v>
      </c>
      <c r="Q527" s="568"/>
      <c r="R527" s="568"/>
      <c r="S527" s="568"/>
      <c r="T527" s="568"/>
      <c r="U527" s="568"/>
      <c r="V527" s="568"/>
      <c r="W527" s="568"/>
      <c r="X527" s="568"/>
      <c r="Y527" s="568"/>
      <c r="Z527" s="568"/>
    </row>
    <row r="528" spans="1:26" ht="18.75" hidden="1">
      <c r="A528" s="563"/>
      <c r="B528" s="571"/>
      <c r="C528" s="723"/>
      <c r="D528" s="684"/>
      <c r="E528" s="723" t="s">
        <v>185</v>
      </c>
      <c r="F528" s="723"/>
      <c r="G528" s="567"/>
      <c r="H528" s="165" t="s">
        <v>12</v>
      </c>
      <c r="I528" s="583"/>
      <c r="J528" s="583"/>
      <c r="K528" s="93"/>
      <c r="L528" s="93">
        <f ca="1">IFERROR(__xludf.DUMMYFUNCTION("IMPORTRANGE(""https://docs.google.com/spreadsheets/d/1QqKyyYR6Q21VydFLVH3TRQUabQu_ym0Zz7PgGX0-kHA/edit?usp=sharing"",""แผน!GQ14"")"),0)</f>
        <v>0</v>
      </c>
      <c r="M528" s="93">
        <v>0</v>
      </c>
      <c r="N528" s="93">
        <f>N529+N530+N531+N532</f>
        <v>0</v>
      </c>
      <c r="O528" s="93">
        <f t="shared" ca="1" si="226"/>
        <v>0</v>
      </c>
      <c r="P528" s="93">
        <f t="shared" si="227"/>
        <v>0</v>
      </c>
      <c r="Q528" s="568"/>
      <c r="R528" s="568"/>
      <c r="S528" s="568"/>
      <c r="T528" s="568"/>
      <c r="U528" s="568"/>
      <c r="V528" s="568"/>
      <c r="W528" s="568"/>
      <c r="X528" s="568"/>
      <c r="Y528" s="568"/>
      <c r="Z528" s="568"/>
    </row>
    <row r="529" spans="1:26" ht="18.75" hidden="1">
      <c r="A529" s="537"/>
      <c r="B529" s="538"/>
      <c r="C529" s="727"/>
      <c r="D529" s="727"/>
      <c r="E529" s="727"/>
      <c r="F529" s="727" t="s">
        <v>186</v>
      </c>
      <c r="G529" s="189"/>
      <c r="H529" s="161" t="s">
        <v>12</v>
      </c>
      <c r="I529" s="269"/>
      <c r="J529" s="269"/>
      <c r="K529" s="465"/>
      <c r="L529" s="465"/>
      <c r="M529" s="465"/>
      <c r="N529" s="789">
        <v>0</v>
      </c>
      <c r="O529" s="465"/>
      <c r="P529" s="465"/>
      <c r="Q529" s="541"/>
      <c r="R529" s="541"/>
      <c r="S529" s="541"/>
      <c r="T529" s="541"/>
      <c r="U529" s="541"/>
      <c r="V529" s="541"/>
      <c r="W529" s="541"/>
      <c r="X529" s="541"/>
      <c r="Y529" s="541"/>
      <c r="Z529" s="541"/>
    </row>
    <row r="530" spans="1:26" ht="18.75" hidden="1">
      <c r="A530" s="537"/>
      <c r="B530" s="538"/>
      <c r="C530" s="727"/>
      <c r="D530" s="727"/>
      <c r="E530" s="727"/>
      <c r="F530" s="727" t="s">
        <v>187</v>
      </c>
      <c r="G530" s="189"/>
      <c r="H530" s="161" t="s">
        <v>12</v>
      </c>
      <c r="I530" s="269"/>
      <c r="J530" s="269"/>
      <c r="K530" s="465"/>
      <c r="L530" s="465"/>
      <c r="M530" s="465"/>
      <c r="N530" s="789">
        <v>0</v>
      </c>
      <c r="O530" s="465"/>
      <c r="P530" s="465"/>
      <c r="Q530" s="541"/>
      <c r="R530" s="541"/>
      <c r="S530" s="541"/>
      <c r="T530" s="541"/>
      <c r="U530" s="541"/>
      <c r="V530" s="541"/>
      <c r="W530" s="541"/>
      <c r="X530" s="541"/>
      <c r="Y530" s="541"/>
      <c r="Z530" s="541"/>
    </row>
    <row r="531" spans="1:26" ht="18.75" hidden="1">
      <c r="A531" s="537"/>
      <c r="B531" s="538"/>
      <c r="C531" s="727"/>
      <c r="D531" s="727"/>
      <c r="E531" s="727"/>
      <c r="F531" s="727" t="s">
        <v>188</v>
      </c>
      <c r="G531" s="189"/>
      <c r="H531" s="161" t="s">
        <v>12</v>
      </c>
      <c r="I531" s="269"/>
      <c r="J531" s="269"/>
      <c r="K531" s="465"/>
      <c r="L531" s="465"/>
      <c r="M531" s="465"/>
      <c r="N531" s="789">
        <v>0</v>
      </c>
      <c r="O531" s="465"/>
      <c r="P531" s="465"/>
      <c r="Q531" s="541"/>
      <c r="R531" s="541"/>
      <c r="S531" s="541"/>
      <c r="T531" s="541"/>
      <c r="U531" s="541"/>
      <c r="V531" s="541"/>
      <c r="W531" s="541"/>
      <c r="X531" s="541"/>
      <c r="Y531" s="541"/>
      <c r="Z531" s="541"/>
    </row>
    <row r="532" spans="1:26" ht="18.75" hidden="1">
      <c r="A532" s="537"/>
      <c r="B532" s="538"/>
      <c r="C532" s="727"/>
      <c r="D532" s="727"/>
      <c r="E532" s="727"/>
      <c r="F532" s="727" t="s">
        <v>189</v>
      </c>
      <c r="G532" s="189"/>
      <c r="H532" s="161" t="s">
        <v>12</v>
      </c>
      <c r="I532" s="269"/>
      <c r="J532" s="269"/>
      <c r="K532" s="465"/>
      <c r="L532" s="465"/>
      <c r="M532" s="465"/>
      <c r="N532" s="789">
        <v>0</v>
      </c>
      <c r="O532" s="465"/>
      <c r="P532" s="465"/>
      <c r="Q532" s="541"/>
      <c r="R532" s="541"/>
      <c r="S532" s="541"/>
      <c r="T532" s="541"/>
      <c r="U532" s="541"/>
      <c r="V532" s="541"/>
      <c r="W532" s="541"/>
      <c r="X532" s="541"/>
      <c r="Y532" s="541"/>
      <c r="Z532" s="541"/>
    </row>
    <row r="533" spans="1:26" ht="18.75" hidden="1">
      <c r="A533" s="561"/>
      <c r="B533" s="538"/>
      <c r="C533" s="727"/>
      <c r="D533" s="570" t="s">
        <v>21</v>
      </c>
      <c r="E533" s="727"/>
      <c r="F533" s="727"/>
      <c r="G533" s="189"/>
      <c r="H533" s="168" t="s">
        <v>12</v>
      </c>
      <c r="I533" s="184"/>
      <c r="J533" s="184"/>
      <c r="K533" s="163"/>
      <c r="L533" s="465">
        <f t="shared" ref="L533:N533" ca="1" si="230">L534+L535</f>
        <v>0</v>
      </c>
      <c r="M533" s="465">
        <f t="shared" si="230"/>
        <v>0</v>
      </c>
      <c r="N533" s="465">
        <f t="shared" si="230"/>
        <v>0</v>
      </c>
      <c r="O533" s="465">
        <f t="shared" ref="O533:O535" ca="1" si="231">IF(L533&gt;0,N533*100/L533,0)</f>
        <v>0</v>
      </c>
      <c r="P533" s="465">
        <f t="shared" ref="P533:P535" si="232">IF(M533&gt;0,N533*100/M533,0)</f>
        <v>0</v>
      </c>
      <c r="Q533" s="541"/>
      <c r="R533" s="541"/>
      <c r="S533" s="541"/>
      <c r="T533" s="541"/>
      <c r="U533" s="541"/>
      <c r="V533" s="541"/>
      <c r="W533" s="541"/>
      <c r="X533" s="541"/>
      <c r="Y533" s="541"/>
      <c r="Z533" s="541"/>
    </row>
    <row r="534" spans="1:26" ht="18.75" hidden="1">
      <c r="A534" s="563"/>
      <c r="B534" s="571"/>
      <c r="C534" s="723"/>
      <c r="D534" s="723"/>
      <c r="E534" s="723" t="s">
        <v>18</v>
      </c>
      <c r="F534" s="723"/>
      <c r="G534" s="567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1"/>
        <v>0</v>
      </c>
      <c r="P534" s="93">
        <f t="shared" si="232"/>
        <v>0</v>
      </c>
      <c r="Q534" s="568"/>
      <c r="R534" s="568"/>
      <c r="S534" s="568"/>
      <c r="T534" s="568"/>
      <c r="U534" s="568"/>
      <c r="V534" s="568"/>
      <c r="W534" s="568"/>
      <c r="X534" s="568"/>
      <c r="Y534" s="568"/>
      <c r="Z534" s="568"/>
    </row>
    <row r="535" spans="1:26" ht="18.75" hidden="1">
      <c r="A535" s="563"/>
      <c r="B535" s="571"/>
      <c r="C535" s="723"/>
      <c r="D535" s="723"/>
      <c r="E535" s="723" t="s">
        <v>19</v>
      </c>
      <c r="F535" s="723"/>
      <c r="G535" s="567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IFERROR(__xludf.DUMMYFUNCTION("IMPORTRANGE(""https://docs.google.com/spreadsheets/d/1QqKyyYR6Q21VydFLVH3TRQUabQu_ym0Zz7PgGX0-kHA/edit?usp=sharing"",""แผน!GT14"")"),0)</f>
        <v>0</v>
      </c>
      <c r="M535" s="93">
        <v>0</v>
      </c>
      <c r="N535" s="93">
        <v>0</v>
      </c>
      <c r="O535" s="93">
        <f t="shared" ca="1" si="231"/>
        <v>0</v>
      </c>
      <c r="P535" s="93">
        <f t="shared" si="232"/>
        <v>0</v>
      </c>
      <c r="Q535" s="568"/>
      <c r="R535" s="568"/>
      <c r="S535" s="568"/>
      <c r="T535" s="568"/>
      <c r="U535" s="568"/>
      <c r="V535" s="568"/>
      <c r="W535" s="568"/>
      <c r="X535" s="568"/>
      <c r="Y535" s="568"/>
      <c r="Z535" s="568"/>
    </row>
    <row r="536" spans="1:26" ht="19.5" hidden="1">
      <c r="A536" s="572"/>
      <c r="B536" s="584"/>
      <c r="C536" s="727" t="s">
        <v>16</v>
      </c>
      <c r="D536" s="853" t="s">
        <v>38</v>
      </c>
      <c r="E536" s="725"/>
      <c r="F536" s="725"/>
      <c r="G536" s="577"/>
      <c r="H536" s="726"/>
      <c r="I536" s="184"/>
      <c r="J536" s="184"/>
      <c r="K536" s="163"/>
      <c r="L536" s="163"/>
      <c r="M536" s="163"/>
      <c r="N536" s="163"/>
      <c r="O536" s="163"/>
      <c r="P536" s="163"/>
      <c r="Q536" s="541"/>
      <c r="R536" s="541"/>
      <c r="S536" s="541"/>
      <c r="T536" s="541"/>
      <c r="U536" s="541"/>
      <c r="V536" s="541"/>
      <c r="W536" s="541"/>
      <c r="X536" s="541"/>
      <c r="Y536" s="541"/>
      <c r="Z536" s="541"/>
    </row>
    <row r="537" spans="1:26" ht="19.5" hidden="1">
      <c r="A537" s="537"/>
      <c r="B537" s="538"/>
      <c r="C537" s="727"/>
      <c r="D537" s="727" t="s">
        <v>227</v>
      </c>
      <c r="E537" s="727"/>
      <c r="F537" s="727"/>
      <c r="G537" s="189"/>
      <c r="H537" s="589" t="s">
        <v>35</v>
      </c>
      <c r="I537" s="647">
        <f ca="1">IFERROR(__xludf.DUMMYFUNCTION("IMPORTRANGE(""https://docs.google.com/spreadsheets/d/1QqKyyYR6Q21VydFLVH3TRQUabQu_ym0Zz7PgGX0-kHA/edit?usp=sharing"",""แผน!GU14"")"),0)</f>
        <v>0</v>
      </c>
      <c r="J537" s="647">
        <f ca="1">IF(AND(J538=I538,J539=I539,J540=I540,J541=I541),I537,0)</f>
        <v>0</v>
      </c>
      <c r="K537" s="465">
        <f t="shared" ref="K537:K543" ca="1" si="233">IF(I537&gt;0,J537*100/I537,0)</f>
        <v>0</v>
      </c>
      <c r="L537" s="465"/>
      <c r="M537" s="465"/>
      <c r="N537" s="465"/>
      <c r="O537" s="465"/>
      <c r="P537" s="465"/>
      <c r="Q537" s="648"/>
      <c r="R537" s="648"/>
      <c r="S537" s="648"/>
      <c r="T537" s="648"/>
      <c r="U537" s="648"/>
      <c r="V537" s="648"/>
      <c r="W537" s="648"/>
      <c r="X537" s="648"/>
      <c r="Y537" s="648"/>
      <c r="Z537" s="648"/>
    </row>
    <row r="538" spans="1:26" ht="18.75" hidden="1">
      <c r="A538" s="537"/>
      <c r="B538" s="538"/>
      <c r="C538" s="727"/>
      <c r="D538" s="727"/>
      <c r="E538" s="727" t="s">
        <v>228</v>
      </c>
      <c r="F538" s="727"/>
      <c r="G538" s="189"/>
      <c r="H538" s="589" t="s">
        <v>35</v>
      </c>
      <c r="I538" s="269">
        <f ca="1">IFERROR(__xludf.DUMMYFUNCTION("IMPORTRANGE(""https://docs.google.com/spreadsheets/d/1QqKyyYR6Q21VydFLVH3TRQUabQu_ym0Zz7PgGX0-kHA/edit?usp=sharing"",""แผน!GV14"")"),0)</f>
        <v>0</v>
      </c>
      <c r="J538" s="214">
        <v>0</v>
      </c>
      <c r="K538" s="465">
        <f t="shared" ca="1" si="233"/>
        <v>0</v>
      </c>
      <c r="L538" s="465"/>
      <c r="M538" s="465"/>
      <c r="N538" s="465"/>
      <c r="O538" s="465"/>
      <c r="P538" s="465"/>
      <c r="Q538" s="648"/>
      <c r="R538" s="648"/>
      <c r="S538" s="648"/>
      <c r="T538" s="648"/>
      <c r="U538" s="648"/>
      <c r="V538" s="648"/>
      <c r="W538" s="648"/>
      <c r="X538" s="648"/>
      <c r="Y538" s="648"/>
      <c r="Z538" s="648"/>
    </row>
    <row r="539" spans="1:26" ht="18.75" hidden="1">
      <c r="A539" s="537"/>
      <c r="B539" s="538"/>
      <c r="C539" s="727"/>
      <c r="D539" s="727"/>
      <c r="E539" s="727" t="s">
        <v>229</v>
      </c>
      <c r="F539" s="727"/>
      <c r="G539" s="189"/>
      <c r="H539" s="589" t="s">
        <v>35</v>
      </c>
      <c r="I539" s="269">
        <f ca="1">IFERROR(__xludf.DUMMYFUNCTION("IMPORTRANGE(""https://docs.google.com/spreadsheets/d/1QqKyyYR6Q21VydFLVH3TRQUabQu_ym0Zz7PgGX0-kHA/edit?usp=sharing"",""แผน!GW14"")"),0)</f>
        <v>0</v>
      </c>
      <c r="J539" s="214">
        <v>0</v>
      </c>
      <c r="K539" s="465">
        <f t="shared" ca="1" si="233"/>
        <v>0</v>
      </c>
      <c r="L539" s="465"/>
      <c r="M539" s="465"/>
      <c r="N539" s="465"/>
      <c r="O539" s="465"/>
      <c r="P539" s="465"/>
      <c r="Q539" s="648"/>
      <c r="R539" s="648"/>
      <c r="S539" s="648"/>
      <c r="T539" s="648"/>
      <c r="U539" s="648"/>
      <c r="V539" s="648"/>
      <c r="W539" s="648"/>
      <c r="X539" s="648"/>
      <c r="Y539" s="648"/>
      <c r="Z539" s="648"/>
    </row>
    <row r="540" spans="1:26" ht="18.75" hidden="1">
      <c r="A540" s="537"/>
      <c r="B540" s="538"/>
      <c r="C540" s="727"/>
      <c r="D540" s="727"/>
      <c r="E540" s="727" t="s">
        <v>230</v>
      </c>
      <c r="F540" s="727"/>
      <c r="G540" s="189"/>
      <c r="H540" s="589" t="s">
        <v>35</v>
      </c>
      <c r="I540" s="269">
        <f ca="1">IFERROR(__xludf.DUMMYFUNCTION("IMPORTRANGE(""https://docs.google.com/spreadsheets/d/1QqKyyYR6Q21VydFLVH3TRQUabQu_ym0Zz7PgGX0-kHA/edit?usp=sharing"",""แผน!GX14"")"),0)</f>
        <v>0</v>
      </c>
      <c r="J540" s="214">
        <v>0</v>
      </c>
      <c r="K540" s="465">
        <f t="shared" ca="1" si="233"/>
        <v>0</v>
      </c>
      <c r="L540" s="465"/>
      <c r="M540" s="465"/>
      <c r="N540" s="465"/>
      <c r="O540" s="465"/>
      <c r="P540" s="465"/>
      <c r="Q540" s="648"/>
      <c r="R540" s="648"/>
      <c r="S540" s="648"/>
      <c r="T540" s="648"/>
      <c r="U540" s="648"/>
      <c r="V540" s="648"/>
      <c r="W540" s="648"/>
      <c r="X540" s="648"/>
      <c r="Y540" s="648"/>
      <c r="Z540" s="648"/>
    </row>
    <row r="541" spans="1:26" ht="18.75" hidden="1">
      <c r="A541" s="537"/>
      <c r="B541" s="538"/>
      <c r="C541" s="727"/>
      <c r="D541" s="727"/>
      <c r="E541" s="733" t="s">
        <v>231</v>
      </c>
      <c r="F541" s="727"/>
      <c r="G541" s="189"/>
      <c r="H541" s="589" t="s">
        <v>35</v>
      </c>
      <c r="I541" s="269">
        <f ca="1">IFERROR(__xludf.DUMMYFUNCTION("IMPORTRANGE(""https://docs.google.com/spreadsheets/d/1QqKyyYR6Q21VydFLVH3TRQUabQu_ym0Zz7PgGX0-kHA/edit?usp=sharing"",""แผน!GY14"")"),0)</f>
        <v>0</v>
      </c>
      <c r="J541" s="214">
        <v>0</v>
      </c>
      <c r="K541" s="465">
        <f t="shared" ca="1" si="233"/>
        <v>0</v>
      </c>
      <c r="L541" s="465"/>
      <c r="M541" s="465"/>
      <c r="N541" s="465"/>
      <c r="O541" s="465"/>
      <c r="P541" s="465"/>
      <c r="Q541" s="648"/>
      <c r="R541" s="648"/>
      <c r="S541" s="648"/>
      <c r="T541" s="648"/>
      <c r="U541" s="648"/>
      <c r="V541" s="648"/>
      <c r="W541" s="648"/>
      <c r="X541" s="648"/>
      <c r="Y541" s="648"/>
      <c r="Z541" s="648"/>
    </row>
    <row r="542" spans="1:26" ht="18.75" hidden="1">
      <c r="A542" s="537"/>
      <c r="B542" s="538"/>
      <c r="C542" s="727"/>
      <c r="D542" s="727" t="s">
        <v>59</v>
      </c>
      <c r="E542" s="727"/>
      <c r="F542" s="727"/>
      <c r="G542" s="189"/>
      <c r="H542" s="589" t="s">
        <v>35</v>
      </c>
      <c r="I542" s="269">
        <f ca="1">IFERROR(__xludf.DUMMYFUNCTION("IMPORTRANGE(""https://docs.google.com/spreadsheets/d/1QqKyyYR6Q21VydFLVH3TRQUabQu_ym0Zz7PgGX0-kHA/edit?usp=sharing"",""แผน!GZ14"")"),0)</f>
        <v>0</v>
      </c>
      <c r="J542" s="214">
        <v>0</v>
      </c>
      <c r="K542" s="465">
        <f t="shared" ca="1" si="233"/>
        <v>0</v>
      </c>
      <c r="L542" s="465"/>
      <c r="M542" s="465"/>
      <c r="N542" s="465"/>
      <c r="O542" s="465"/>
      <c r="P542" s="465"/>
      <c r="Q542" s="648"/>
      <c r="R542" s="648"/>
      <c r="S542" s="648"/>
      <c r="T542" s="648"/>
      <c r="U542" s="648"/>
      <c r="V542" s="648"/>
      <c r="W542" s="648"/>
      <c r="X542" s="648"/>
      <c r="Y542" s="648"/>
      <c r="Z542" s="648"/>
    </row>
    <row r="543" spans="1:26" ht="19.5">
      <c r="A543" s="630">
        <v>6</v>
      </c>
      <c r="B543" s="651" t="s">
        <v>232</v>
      </c>
      <c r="C543" s="633"/>
      <c r="D543" s="633"/>
      <c r="E543" s="633"/>
      <c r="F543" s="633"/>
      <c r="G543" s="634"/>
      <c r="H543" s="652" t="s">
        <v>46</v>
      </c>
      <c r="I543" s="653">
        <f t="shared" ref="I543:J543" ca="1" si="234">I559</f>
        <v>156826</v>
      </c>
      <c r="J543" s="653">
        <f t="shared" si="234"/>
        <v>0</v>
      </c>
      <c r="K543" s="654">
        <f t="shared" ca="1" si="233"/>
        <v>0</v>
      </c>
      <c r="L543" s="636"/>
      <c r="M543" s="636"/>
      <c r="N543" s="636"/>
      <c r="O543" s="636"/>
      <c r="P543" s="636"/>
      <c r="Q543" s="541"/>
      <c r="R543" s="541"/>
      <c r="S543" s="541"/>
      <c r="T543" s="541"/>
      <c r="U543" s="541"/>
      <c r="V543" s="541"/>
      <c r="W543" s="541"/>
      <c r="X543" s="541"/>
      <c r="Y543" s="541"/>
      <c r="Z543" s="541"/>
    </row>
    <row r="544" spans="1:26" ht="19.5">
      <c r="A544" s="655"/>
      <c r="B544" s="656"/>
      <c r="C544" s="656" t="s">
        <v>16</v>
      </c>
      <c r="D544" s="854" t="s">
        <v>17</v>
      </c>
      <c r="E544" s="810"/>
      <c r="F544" s="810"/>
      <c r="G544" s="657"/>
      <c r="H544" s="274" t="s">
        <v>12</v>
      </c>
      <c r="I544" s="388"/>
      <c r="J544" s="388"/>
      <c r="K544" s="154"/>
      <c r="L544" s="155">
        <f t="shared" ref="L544:N544" ca="1" si="235">L545+L546</f>
        <v>781791</v>
      </c>
      <c r="M544" s="155">
        <f t="shared" si="235"/>
        <v>0</v>
      </c>
      <c r="N544" s="155">
        <f t="shared" si="235"/>
        <v>0</v>
      </c>
      <c r="O544" s="155">
        <f t="shared" ref="O544:O549" ca="1" si="236">IF(L544&gt;0,N544*100/L544,0)</f>
        <v>0</v>
      </c>
      <c r="P544" s="155">
        <f t="shared" ref="P544:P549" si="237">IF(M544&gt;0,N544*100/M544,0)</f>
        <v>0</v>
      </c>
      <c r="Q544" s="541"/>
      <c r="R544" s="541"/>
      <c r="S544" s="541"/>
      <c r="T544" s="541"/>
      <c r="U544" s="541"/>
      <c r="V544" s="541"/>
      <c r="W544" s="541"/>
      <c r="X544" s="541"/>
      <c r="Y544" s="541"/>
      <c r="Z544" s="541"/>
    </row>
    <row r="545" spans="1:26" ht="18.75" hidden="1">
      <c r="A545" s="563"/>
      <c r="B545" s="723"/>
      <c r="C545" s="723"/>
      <c r="D545" s="723"/>
      <c r="E545" s="723" t="s">
        <v>184</v>
      </c>
      <c r="F545" s="723"/>
      <c r="G545" s="567"/>
      <c r="H545" s="165" t="s">
        <v>12</v>
      </c>
      <c r="I545" s="583"/>
      <c r="J545" s="583"/>
      <c r="K545" s="93"/>
      <c r="L545" s="93">
        <f t="shared" ref="L545:L546" si="238">L548+L556</f>
        <v>0</v>
      </c>
      <c r="M545" s="93">
        <f t="shared" ref="M545:N546" si="239">M548+M555</f>
        <v>0</v>
      </c>
      <c r="N545" s="93">
        <f t="shared" si="239"/>
        <v>0</v>
      </c>
      <c r="O545" s="93">
        <f t="shared" si="236"/>
        <v>0</v>
      </c>
      <c r="P545" s="93">
        <f t="shared" si="237"/>
        <v>0</v>
      </c>
      <c r="Q545" s="568"/>
      <c r="R545" s="568"/>
      <c r="S545" s="568"/>
      <c r="T545" s="568"/>
      <c r="U545" s="568"/>
      <c r="V545" s="568"/>
      <c r="W545" s="568"/>
      <c r="X545" s="568"/>
      <c r="Y545" s="568"/>
      <c r="Z545" s="568"/>
    </row>
    <row r="546" spans="1:26" ht="18.75" hidden="1">
      <c r="A546" s="563"/>
      <c r="B546" s="571"/>
      <c r="C546" s="723"/>
      <c r="D546" s="723"/>
      <c r="E546" s="723" t="s">
        <v>185</v>
      </c>
      <c r="F546" s="723"/>
      <c r="G546" s="567"/>
      <c r="H546" s="165" t="s">
        <v>12</v>
      </c>
      <c r="I546" s="583"/>
      <c r="J546" s="583"/>
      <c r="K546" s="93"/>
      <c r="L546" s="93">
        <f t="shared" ca="1" si="238"/>
        <v>781791</v>
      </c>
      <c r="M546" s="93">
        <f t="shared" si="239"/>
        <v>0</v>
      </c>
      <c r="N546" s="93">
        <f t="shared" si="239"/>
        <v>0</v>
      </c>
      <c r="O546" s="93">
        <f t="shared" ca="1" si="236"/>
        <v>0</v>
      </c>
      <c r="P546" s="93">
        <f t="shared" si="237"/>
        <v>0</v>
      </c>
      <c r="Q546" s="568"/>
      <c r="R546" s="568"/>
      <c r="S546" s="568"/>
      <c r="T546" s="568"/>
      <c r="U546" s="568"/>
      <c r="V546" s="568"/>
      <c r="W546" s="568"/>
      <c r="X546" s="568"/>
      <c r="Y546" s="568"/>
      <c r="Z546" s="568"/>
    </row>
    <row r="547" spans="1:26" ht="18.75">
      <c r="A547" s="561"/>
      <c r="B547" s="538"/>
      <c r="C547" s="727"/>
      <c r="D547" s="570" t="s">
        <v>20</v>
      </c>
      <c r="E547" s="727"/>
      <c r="F547" s="727"/>
      <c r="G547" s="189"/>
      <c r="H547" s="161" t="s">
        <v>12</v>
      </c>
      <c r="I547" s="184"/>
      <c r="J547" s="184"/>
      <c r="K547" s="163"/>
      <c r="L547" s="465">
        <f t="shared" ref="L547:N547" ca="1" si="240">L548+L549</f>
        <v>781791</v>
      </c>
      <c r="M547" s="465">
        <f t="shared" si="240"/>
        <v>0</v>
      </c>
      <c r="N547" s="465">
        <f t="shared" si="240"/>
        <v>0</v>
      </c>
      <c r="O547" s="465">
        <f t="shared" ca="1" si="236"/>
        <v>0</v>
      </c>
      <c r="P547" s="465">
        <f t="shared" si="237"/>
        <v>0</v>
      </c>
      <c r="Q547" s="541"/>
      <c r="R547" s="541"/>
      <c r="S547" s="541"/>
      <c r="T547" s="541"/>
      <c r="U547" s="541"/>
      <c r="V547" s="541"/>
      <c r="W547" s="541"/>
      <c r="X547" s="541"/>
      <c r="Y547" s="541"/>
      <c r="Z547" s="541"/>
    </row>
    <row r="548" spans="1:26" ht="18.75" hidden="1">
      <c r="A548" s="563"/>
      <c r="B548" s="571"/>
      <c r="C548" s="723"/>
      <c r="D548" s="684"/>
      <c r="E548" s="723" t="s">
        <v>184</v>
      </c>
      <c r="F548" s="723"/>
      <c r="G548" s="567"/>
      <c r="H548" s="165" t="s">
        <v>12</v>
      </c>
      <c r="I548" s="583"/>
      <c r="J548" s="583"/>
      <c r="K548" s="93"/>
      <c r="L548" s="93">
        <v>0</v>
      </c>
      <c r="M548" s="93">
        <v>0</v>
      </c>
      <c r="N548" s="93">
        <v>0</v>
      </c>
      <c r="O548" s="93">
        <f t="shared" si="236"/>
        <v>0</v>
      </c>
      <c r="P548" s="93">
        <f t="shared" si="237"/>
        <v>0</v>
      </c>
      <c r="Q548" s="568"/>
      <c r="R548" s="568"/>
      <c r="S548" s="568"/>
      <c r="T548" s="568"/>
      <c r="U548" s="568"/>
      <c r="V548" s="568"/>
      <c r="W548" s="568"/>
      <c r="X548" s="568"/>
      <c r="Y548" s="568"/>
      <c r="Z548" s="568"/>
    </row>
    <row r="549" spans="1:26" ht="18.75" hidden="1">
      <c r="A549" s="563"/>
      <c r="B549" s="571"/>
      <c r="C549" s="723"/>
      <c r="D549" s="684"/>
      <c r="E549" s="723" t="s">
        <v>185</v>
      </c>
      <c r="F549" s="723"/>
      <c r="G549" s="567"/>
      <c r="H549" s="165" t="s">
        <v>12</v>
      </c>
      <c r="I549" s="583"/>
      <c r="J549" s="583"/>
      <c r="K549" s="93"/>
      <c r="L549" s="93">
        <f ca="1">IFERROR(__xludf.DUMMYFUNCTION("IMPORTRANGE(""https://docs.google.com/spreadsheets/d/1QqKyyYR6Q21VydFLVH3TRQUabQu_ym0Zz7PgGX0-kHA/edit?usp=sharing"",""แผน!HB14"")"),781791)</f>
        <v>781791</v>
      </c>
      <c r="M549" s="93">
        <v>0</v>
      </c>
      <c r="N549" s="93">
        <f>N550+N551+N552+N553+N554</f>
        <v>0</v>
      </c>
      <c r="O549" s="93">
        <f t="shared" ca="1" si="236"/>
        <v>0</v>
      </c>
      <c r="P549" s="93">
        <f t="shared" si="237"/>
        <v>0</v>
      </c>
      <c r="Q549" s="568"/>
      <c r="R549" s="568"/>
      <c r="S549" s="568"/>
      <c r="T549" s="568"/>
      <c r="U549" s="568"/>
      <c r="V549" s="568"/>
      <c r="W549" s="568"/>
      <c r="X549" s="568"/>
      <c r="Y549" s="568"/>
      <c r="Z549" s="568"/>
    </row>
    <row r="550" spans="1:26" ht="18.75">
      <c r="A550" s="537"/>
      <c r="B550" s="538"/>
      <c r="C550" s="727"/>
      <c r="D550" s="727"/>
      <c r="E550" s="727"/>
      <c r="F550" s="727" t="s">
        <v>186</v>
      </c>
      <c r="G550" s="189"/>
      <c r="H550" s="161" t="s">
        <v>12</v>
      </c>
      <c r="I550" s="269"/>
      <c r="J550" s="269"/>
      <c r="K550" s="465"/>
      <c r="L550" s="465"/>
      <c r="M550" s="465"/>
      <c r="N550" s="789">
        <v>0</v>
      </c>
      <c r="O550" s="465"/>
      <c r="P550" s="465"/>
      <c r="Q550" s="541"/>
      <c r="R550" s="541"/>
      <c r="S550" s="541"/>
      <c r="T550" s="541"/>
      <c r="U550" s="541"/>
      <c r="V550" s="541"/>
      <c r="W550" s="541"/>
      <c r="X550" s="541"/>
      <c r="Y550" s="541"/>
      <c r="Z550" s="541"/>
    </row>
    <row r="551" spans="1:26" ht="18.75">
      <c r="A551" s="537"/>
      <c r="B551" s="538"/>
      <c r="C551" s="538"/>
      <c r="D551" s="538"/>
      <c r="E551" s="727"/>
      <c r="F551" s="727" t="s">
        <v>187</v>
      </c>
      <c r="G551" s="189"/>
      <c r="H551" s="161" t="s">
        <v>12</v>
      </c>
      <c r="I551" s="269"/>
      <c r="J551" s="269"/>
      <c r="K551" s="465"/>
      <c r="L551" s="465"/>
      <c r="M551" s="465"/>
      <c r="N551" s="789">
        <v>0</v>
      </c>
      <c r="O551" s="465"/>
      <c r="P551" s="465"/>
      <c r="Q551" s="541"/>
      <c r="R551" s="541"/>
      <c r="S551" s="541"/>
      <c r="T551" s="541"/>
      <c r="U551" s="541"/>
      <c r="V551" s="541"/>
      <c r="W551" s="541"/>
      <c r="X551" s="541"/>
      <c r="Y551" s="541"/>
      <c r="Z551" s="541"/>
    </row>
    <row r="552" spans="1:26" ht="18.75">
      <c r="A552" s="537"/>
      <c r="B552" s="538"/>
      <c r="C552" s="727"/>
      <c r="D552" s="727"/>
      <c r="E552" s="727"/>
      <c r="F552" s="727" t="s">
        <v>188</v>
      </c>
      <c r="G552" s="189"/>
      <c r="H552" s="161" t="s">
        <v>12</v>
      </c>
      <c r="I552" s="269"/>
      <c r="J552" s="269"/>
      <c r="K552" s="465"/>
      <c r="L552" s="465"/>
      <c r="M552" s="465"/>
      <c r="N552" s="789">
        <v>0</v>
      </c>
      <c r="O552" s="465"/>
      <c r="P552" s="465"/>
      <c r="Q552" s="541"/>
      <c r="R552" s="541"/>
      <c r="S552" s="541"/>
      <c r="T552" s="541"/>
      <c r="U552" s="541"/>
      <c r="V552" s="541"/>
      <c r="W552" s="541"/>
      <c r="X552" s="541"/>
      <c r="Y552" s="541"/>
      <c r="Z552" s="541"/>
    </row>
    <row r="553" spans="1:26" ht="18.75">
      <c r="A553" s="537"/>
      <c r="B553" s="538"/>
      <c r="C553" s="538"/>
      <c r="D553" s="538"/>
      <c r="E553" s="727"/>
      <c r="F553" s="727" t="s">
        <v>189</v>
      </c>
      <c r="G553" s="189"/>
      <c r="H553" s="161" t="s">
        <v>12</v>
      </c>
      <c r="I553" s="269"/>
      <c r="J553" s="269"/>
      <c r="K553" s="465"/>
      <c r="L553" s="465"/>
      <c r="M553" s="465"/>
      <c r="N553" s="789">
        <v>0</v>
      </c>
      <c r="O553" s="465"/>
      <c r="P553" s="465"/>
      <c r="Q553" s="541"/>
      <c r="R553" s="541"/>
      <c r="S553" s="541"/>
      <c r="T553" s="541"/>
      <c r="U553" s="541"/>
      <c r="V553" s="541"/>
      <c r="W553" s="541"/>
      <c r="X553" s="541"/>
      <c r="Y553" s="541"/>
      <c r="Z553" s="541"/>
    </row>
    <row r="554" spans="1:26" ht="18.75">
      <c r="A554" s="537"/>
      <c r="B554" s="538"/>
      <c r="C554" s="538"/>
      <c r="D554" s="538"/>
      <c r="E554" s="727"/>
      <c r="F554" s="727" t="s">
        <v>233</v>
      </c>
      <c r="G554" s="189"/>
      <c r="H554" s="161" t="s">
        <v>12</v>
      </c>
      <c r="I554" s="269"/>
      <c r="J554" s="269"/>
      <c r="K554" s="465"/>
      <c r="L554" s="465"/>
      <c r="M554" s="465"/>
      <c r="N554" s="789">
        <v>0</v>
      </c>
      <c r="O554" s="465"/>
      <c r="P554" s="465"/>
      <c r="Q554" s="541"/>
      <c r="R554" s="541"/>
      <c r="S554" s="541"/>
      <c r="T554" s="541"/>
      <c r="U554" s="541"/>
      <c r="V554" s="541"/>
      <c r="W554" s="541"/>
      <c r="X554" s="541"/>
      <c r="Y554" s="541"/>
      <c r="Z554" s="541"/>
    </row>
    <row r="555" spans="1:26" ht="18.75">
      <c r="A555" s="561"/>
      <c r="B555" s="538"/>
      <c r="C555" s="538"/>
      <c r="D555" s="570" t="s">
        <v>21</v>
      </c>
      <c r="E555" s="727"/>
      <c r="F555" s="727"/>
      <c r="G555" s="189"/>
      <c r="H555" s="168" t="s">
        <v>12</v>
      </c>
      <c r="I555" s="184"/>
      <c r="J555" s="184"/>
      <c r="K555" s="163"/>
      <c r="L555" s="465">
        <f t="shared" ref="L555:N555" ca="1" si="241">L556+L557</f>
        <v>0</v>
      </c>
      <c r="M555" s="465">
        <f t="shared" si="241"/>
        <v>0</v>
      </c>
      <c r="N555" s="465">
        <f t="shared" si="241"/>
        <v>0</v>
      </c>
      <c r="O555" s="465">
        <f t="shared" ref="O555:O557" ca="1" si="242">IF(L555&gt;0,N555*100/L555,0)</f>
        <v>0</v>
      </c>
      <c r="P555" s="465">
        <f t="shared" ref="P555:P557" si="243">IF(M555&gt;0,N555*100/M555,0)</f>
        <v>0</v>
      </c>
      <c r="Q555" s="541"/>
      <c r="R555" s="541"/>
      <c r="S555" s="541"/>
      <c r="T555" s="541"/>
      <c r="U555" s="541"/>
      <c r="V555" s="541"/>
      <c r="W555" s="541"/>
      <c r="X555" s="541"/>
      <c r="Y555" s="541"/>
      <c r="Z555" s="541"/>
    </row>
    <row r="556" spans="1:26" ht="18.75" hidden="1">
      <c r="A556" s="563"/>
      <c r="B556" s="571"/>
      <c r="C556" s="571"/>
      <c r="D556" s="723"/>
      <c r="E556" s="723" t="s">
        <v>18</v>
      </c>
      <c r="F556" s="723"/>
      <c r="G556" s="567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2"/>
        <v>0</v>
      </c>
      <c r="P556" s="93">
        <f t="shared" si="243"/>
        <v>0</v>
      </c>
      <c r="Q556" s="568"/>
      <c r="R556" s="568"/>
      <c r="S556" s="568"/>
      <c r="T556" s="568"/>
      <c r="U556" s="568"/>
      <c r="V556" s="568"/>
      <c r="W556" s="568"/>
      <c r="X556" s="568"/>
      <c r="Y556" s="568"/>
      <c r="Z556" s="568"/>
    </row>
    <row r="557" spans="1:26" ht="18.75" hidden="1">
      <c r="A557" s="563"/>
      <c r="B557" s="571"/>
      <c r="C557" s="571"/>
      <c r="D557" s="723"/>
      <c r="E557" s="723" t="s">
        <v>19</v>
      </c>
      <c r="F557" s="723"/>
      <c r="G557" s="567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IFERROR(__xludf.DUMMYFUNCTION("IMPORTRANGE(""https://docs.google.com/spreadsheets/d/1QqKyyYR6Q21VydFLVH3TRQUabQu_ym0Zz7PgGX0-kHA/edit?usp=sharing"",""แผน!HF14"")"),0)</f>
        <v>0</v>
      </c>
      <c r="M557" s="93">
        <v>0</v>
      </c>
      <c r="N557" s="93">
        <v>0</v>
      </c>
      <c r="O557" s="93">
        <f t="shared" ca="1" si="242"/>
        <v>0</v>
      </c>
      <c r="P557" s="93">
        <f t="shared" si="243"/>
        <v>0</v>
      </c>
      <c r="Q557" s="568"/>
      <c r="R557" s="568"/>
      <c r="S557" s="568"/>
      <c r="T557" s="568"/>
      <c r="U557" s="568"/>
      <c r="V557" s="568"/>
      <c r="W557" s="568"/>
      <c r="X557" s="568"/>
      <c r="Y557" s="568"/>
      <c r="Z557" s="568"/>
    </row>
    <row r="558" spans="1:26" ht="19.5">
      <c r="A558" s="572"/>
      <c r="B558" s="584"/>
      <c r="C558" s="538" t="s">
        <v>16</v>
      </c>
      <c r="D558" s="853" t="s">
        <v>38</v>
      </c>
      <c r="E558" s="725"/>
      <c r="F558" s="725"/>
      <c r="G558" s="577"/>
      <c r="H558" s="726"/>
      <c r="I558" s="184"/>
      <c r="J558" s="184"/>
      <c r="K558" s="163"/>
      <c r="L558" s="163"/>
      <c r="M558" s="163"/>
      <c r="N558" s="163"/>
      <c r="O558" s="163"/>
      <c r="P558" s="163"/>
      <c r="Q558" s="541"/>
      <c r="R558" s="541"/>
      <c r="S558" s="541"/>
      <c r="T558" s="541"/>
      <c r="U558" s="541"/>
      <c r="V558" s="541"/>
      <c r="W558" s="541"/>
      <c r="X558" s="541"/>
      <c r="Y558" s="541"/>
      <c r="Z558" s="541"/>
    </row>
    <row r="559" spans="1:26" ht="19.5">
      <c r="A559" s="658"/>
      <c r="B559" s="659" t="s">
        <v>234</v>
      </c>
      <c r="C559" s="660"/>
      <c r="D559" s="660"/>
      <c r="E559" s="639"/>
      <c r="F559" s="639"/>
      <c r="G559" s="640"/>
      <c r="H559" s="661" t="s">
        <v>46</v>
      </c>
      <c r="I559" s="672">
        <f t="shared" ref="I559:J559" ca="1" si="244">I576</f>
        <v>156826</v>
      </c>
      <c r="J559" s="672">
        <f t="shared" si="244"/>
        <v>0</v>
      </c>
      <c r="K559" s="643">
        <f t="shared" ref="K559:K561" ca="1" si="245">IF(I559&gt;0,J559*100/I559,0)</f>
        <v>0</v>
      </c>
      <c r="L559" s="644"/>
      <c r="M559" s="644"/>
      <c r="N559" s="644"/>
      <c r="O559" s="644"/>
      <c r="P559" s="644"/>
      <c r="Q559" s="541"/>
      <c r="R559" s="541"/>
      <c r="S559" s="541"/>
      <c r="T559" s="541"/>
      <c r="U559" s="541"/>
      <c r="V559" s="541"/>
      <c r="W559" s="541"/>
      <c r="X559" s="541"/>
      <c r="Y559" s="541"/>
      <c r="Z559" s="541"/>
    </row>
    <row r="560" spans="1:26" ht="19.5">
      <c r="A560" s="572"/>
      <c r="B560" s="584"/>
      <c r="C560" s="591" t="s">
        <v>235</v>
      </c>
      <c r="D560" s="584"/>
      <c r="E560" s="592"/>
      <c r="F560" s="592"/>
      <c r="G560" s="726"/>
      <c r="H560" s="731" t="s">
        <v>46</v>
      </c>
      <c r="I560" s="193">
        <f ca="1">IFERROR(__xludf.DUMMYFUNCTION("IMPORTRANGE(""https://docs.google.com/spreadsheets/d/1QqKyyYR6Q21VydFLVH3TRQUabQu_ym0Zz7PgGX0-kHA/edit?usp=sharing"",""แผน!HH14"")"),156826)</f>
        <v>156826</v>
      </c>
      <c r="J560" s="193">
        <f t="shared" ref="J560:J561" si="246">J562+J564+J566</f>
        <v>0</v>
      </c>
      <c r="K560" s="379">
        <f t="shared" ca="1" si="245"/>
        <v>0</v>
      </c>
      <c r="L560" s="163"/>
      <c r="M560" s="163"/>
      <c r="N560" s="163"/>
      <c r="O560" s="163"/>
      <c r="P560" s="163"/>
      <c r="Q560" s="541"/>
      <c r="R560" s="541"/>
      <c r="S560" s="541"/>
      <c r="T560" s="541"/>
      <c r="U560" s="541"/>
      <c r="V560" s="541"/>
      <c r="W560" s="541"/>
      <c r="X560" s="541"/>
      <c r="Y560" s="541"/>
      <c r="Z560" s="541"/>
    </row>
    <row r="561" spans="1:26" ht="19.5">
      <c r="A561" s="572"/>
      <c r="B561" s="584"/>
      <c r="C561" s="584"/>
      <c r="D561" s="592"/>
      <c r="E561" s="592"/>
      <c r="F561" s="592"/>
      <c r="G561" s="726"/>
      <c r="H561" s="731" t="s">
        <v>34</v>
      </c>
      <c r="I561" s="193">
        <f ca="1">IFERROR(__xludf.DUMMYFUNCTION("IMPORTRANGE(""https://docs.google.com/spreadsheets/d/1QqKyyYR6Q21VydFLVH3TRQUabQu_ym0Zz7PgGX0-kHA/edit?usp=sharing"",""แผน!HG14"")"),12334)</f>
        <v>12334</v>
      </c>
      <c r="J561" s="193">
        <f t="shared" si="246"/>
        <v>0</v>
      </c>
      <c r="K561" s="379">
        <f t="shared" ca="1" si="245"/>
        <v>0</v>
      </c>
      <c r="L561" s="163"/>
      <c r="M561" s="163"/>
      <c r="N561" s="163"/>
      <c r="O561" s="163"/>
      <c r="P561" s="163"/>
      <c r="Q561" s="541"/>
      <c r="R561" s="541"/>
      <c r="S561" s="541"/>
      <c r="T561" s="541"/>
      <c r="U561" s="541"/>
      <c r="V561" s="541"/>
      <c r="W561" s="541"/>
      <c r="X561" s="541"/>
      <c r="Y561" s="541"/>
      <c r="Z561" s="541"/>
    </row>
    <row r="562" spans="1:26" ht="18.75">
      <c r="A562" s="572"/>
      <c r="B562" s="584"/>
      <c r="C562" s="584"/>
      <c r="D562" s="592" t="s">
        <v>236</v>
      </c>
      <c r="E562" s="592"/>
      <c r="F562" s="592"/>
      <c r="G562" s="726"/>
      <c r="H562" s="728" t="s">
        <v>46</v>
      </c>
      <c r="I562" s="184"/>
      <c r="J562" s="214">
        <v>0</v>
      </c>
      <c r="K562" s="163"/>
      <c r="L562" s="163"/>
      <c r="M562" s="163"/>
      <c r="N562" s="163"/>
      <c r="O562" s="163"/>
      <c r="P562" s="163"/>
      <c r="Q562" s="541"/>
      <c r="R562" s="541"/>
      <c r="S562" s="541"/>
      <c r="T562" s="541"/>
      <c r="U562" s="541"/>
      <c r="V562" s="541"/>
      <c r="W562" s="541"/>
      <c r="X562" s="541"/>
      <c r="Y562" s="541"/>
      <c r="Z562" s="541"/>
    </row>
    <row r="563" spans="1:26" ht="18.75">
      <c r="A563" s="572"/>
      <c r="B563" s="584"/>
      <c r="C563" s="584"/>
      <c r="D563" s="584"/>
      <c r="E563" s="592"/>
      <c r="F563" s="592"/>
      <c r="G563" s="726"/>
      <c r="H563" s="728" t="s">
        <v>34</v>
      </c>
      <c r="I563" s="184"/>
      <c r="J563" s="214">
        <v>0</v>
      </c>
      <c r="K563" s="163"/>
      <c r="L563" s="163"/>
      <c r="M563" s="163"/>
      <c r="N563" s="163"/>
      <c r="O563" s="163"/>
      <c r="P563" s="163"/>
      <c r="Q563" s="541"/>
      <c r="R563" s="541"/>
      <c r="S563" s="541"/>
      <c r="T563" s="541"/>
      <c r="U563" s="541"/>
      <c r="V563" s="541"/>
      <c r="W563" s="541"/>
      <c r="X563" s="541"/>
      <c r="Y563" s="541"/>
      <c r="Z563" s="541"/>
    </row>
    <row r="564" spans="1:26" ht="18.75">
      <c r="A564" s="572"/>
      <c r="B564" s="584"/>
      <c r="C564" s="584"/>
      <c r="D564" s="592" t="s">
        <v>237</v>
      </c>
      <c r="E564" s="592"/>
      <c r="F564" s="592"/>
      <c r="G564" s="726"/>
      <c r="H564" s="728" t="s">
        <v>46</v>
      </c>
      <c r="I564" s="184"/>
      <c r="J564" s="214">
        <v>0</v>
      </c>
      <c r="K564" s="163"/>
      <c r="L564" s="163"/>
      <c r="M564" s="163"/>
      <c r="N564" s="163"/>
      <c r="O564" s="163"/>
      <c r="P564" s="163"/>
      <c r="Q564" s="541"/>
      <c r="R564" s="541"/>
      <c r="S564" s="541"/>
      <c r="T564" s="541"/>
      <c r="U564" s="541"/>
      <c r="V564" s="541"/>
      <c r="W564" s="541"/>
      <c r="X564" s="541"/>
      <c r="Y564" s="541"/>
      <c r="Z564" s="541"/>
    </row>
    <row r="565" spans="1:26" ht="18.75">
      <c r="A565" s="572"/>
      <c r="B565" s="584"/>
      <c r="C565" s="584"/>
      <c r="D565" s="592"/>
      <c r="E565" s="592"/>
      <c r="F565" s="592"/>
      <c r="G565" s="726"/>
      <c r="H565" s="728" t="s">
        <v>34</v>
      </c>
      <c r="I565" s="184"/>
      <c r="J565" s="214">
        <v>0</v>
      </c>
      <c r="K565" s="163"/>
      <c r="L565" s="163"/>
      <c r="M565" s="163"/>
      <c r="N565" s="163"/>
      <c r="O565" s="163"/>
      <c r="P565" s="163"/>
      <c r="Q565" s="541"/>
      <c r="R565" s="541"/>
      <c r="S565" s="541"/>
      <c r="T565" s="541"/>
      <c r="U565" s="541"/>
      <c r="V565" s="541"/>
      <c r="W565" s="541"/>
      <c r="X565" s="541"/>
      <c r="Y565" s="541"/>
      <c r="Z565" s="541"/>
    </row>
    <row r="566" spans="1:26" ht="18.75">
      <c r="A566" s="572"/>
      <c r="B566" s="584"/>
      <c r="C566" s="584"/>
      <c r="D566" s="592" t="s">
        <v>238</v>
      </c>
      <c r="E566" s="592"/>
      <c r="F566" s="592"/>
      <c r="G566" s="726"/>
      <c r="H566" s="728" t="s">
        <v>46</v>
      </c>
      <c r="I566" s="184"/>
      <c r="J566" s="214">
        <v>0</v>
      </c>
      <c r="K566" s="163"/>
      <c r="L566" s="163"/>
      <c r="M566" s="163"/>
      <c r="N566" s="163"/>
      <c r="O566" s="163"/>
      <c r="P566" s="163"/>
      <c r="Q566" s="541"/>
      <c r="R566" s="541"/>
      <c r="S566" s="541"/>
      <c r="T566" s="541"/>
      <c r="U566" s="541"/>
      <c r="V566" s="541"/>
      <c r="W566" s="541"/>
      <c r="X566" s="541"/>
      <c r="Y566" s="541"/>
      <c r="Z566" s="541"/>
    </row>
    <row r="567" spans="1:26" ht="18.75">
      <c r="A567" s="572"/>
      <c r="B567" s="584"/>
      <c r="C567" s="584"/>
      <c r="D567" s="592"/>
      <c r="E567" s="592"/>
      <c r="F567" s="592"/>
      <c r="G567" s="726"/>
      <c r="H567" s="728" t="s">
        <v>34</v>
      </c>
      <c r="I567" s="184"/>
      <c r="J567" s="214">
        <v>0</v>
      </c>
      <c r="K567" s="163"/>
      <c r="L567" s="163"/>
      <c r="M567" s="163"/>
      <c r="N567" s="163"/>
      <c r="O567" s="163"/>
      <c r="P567" s="163"/>
      <c r="Q567" s="541"/>
      <c r="R567" s="541"/>
      <c r="S567" s="541"/>
      <c r="T567" s="541"/>
      <c r="U567" s="541"/>
      <c r="V567" s="541"/>
      <c r="W567" s="541"/>
      <c r="X567" s="541"/>
      <c r="Y567" s="541"/>
      <c r="Z567" s="541"/>
    </row>
    <row r="568" spans="1:26" ht="19.5">
      <c r="A568" s="572"/>
      <c r="B568" s="584"/>
      <c r="C568" s="591" t="s">
        <v>239</v>
      </c>
      <c r="D568" s="592"/>
      <c r="E568" s="592"/>
      <c r="F568" s="592"/>
      <c r="G568" s="726"/>
      <c r="H568" s="731" t="s">
        <v>46</v>
      </c>
      <c r="I568" s="193">
        <f ca="1">IFERROR(__xludf.DUMMYFUNCTION("IMPORTRANGE(""https://docs.google.com/spreadsheets/d/1QqKyyYR6Q21VydFLVH3TRQUabQu_ym0Zz7PgGX0-kHA/edit?usp=sharing"",""แผน!HH14"")"),156826)</f>
        <v>156826</v>
      </c>
      <c r="J568" s="647">
        <f t="shared" ref="J568:J569" si="247">J570+J572+J574</f>
        <v>0</v>
      </c>
      <c r="K568" s="379">
        <f t="shared" ref="K568:K569" ca="1" si="248">IF(I568&gt;0,J568*100/I568,0)</f>
        <v>0</v>
      </c>
      <c r="L568" s="163"/>
      <c r="M568" s="163"/>
      <c r="N568" s="163"/>
      <c r="O568" s="163"/>
      <c r="P568" s="163"/>
      <c r="Q568" s="541"/>
      <c r="R568" s="541"/>
      <c r="S568" s="541"/>
      <c r="T568" s="541"/>
      <c r="U568" s="541"/>
      <c r="V568" s="541"/>
      <c r="W568" s="541"/>
      <c r="X568" s="541"/>
      <c r="Y568" s="541"/>
      <c r="Z568" s="541"/>
    </row>
    <row r="569" spans="1:26" ht="19.5">
      <c r="A569" s="572"/>
      <c r="B569" s="584"/>
      <c r="C569" s="584"/>
      <c r="D569" s="584"/>
      <c r="E569" s="592"/>
      <c r="F569" s="592"/>
      <c r="G569" s="726"/>
      <c r="H569" s="731" t="s">
        <v>34</v>
      </c>
      <c r="I569" s="193">
        <f ca="1">IFERROR(__xludf.DUMMYFUNCTION("IMPORTRANGE(""https://docs.google.com/spreadsheets/d/1QqKyyYR6Q21VydFLVH3TRQUabQu_ym0Zz7PgGX0-kHA/edit?usp=sharing"",""แผน!HG14"")"),12334)</f>
        <v>12334</v>
      </c>
      <c r="J569" s="647">
        <f t="shared" si="247"/>
        <v>0</v>
      </c>
      <c r="K569" s="379">
        <f t="shared" ca="1" si="248"/>
        <v>0</v>
      </c>
      <c r="L569" s="163"/>
      <c r="M569" s="163"/>
      <c r="N569" s="163"/>
      <c r="O569" s="163"/>
      <c r="P569" s="163"/>
      <c r="Q569" s="541"/>
      <c r="R569" s="541"/>
      <c r="S569" s="541"/>
      <c r="T569" s="541"/>
      <c r="U569" s="541"/>
      <c r="V569" s="541"/>
      <c r="W569" s="541"/>
      <c r="X569" s="541"/>
      <c r="Y569" s="541"/>
      <c r="Z569" s="541"/>
    </row>
    <row r="570" spans="1:26" ht="18.75">
      <c r="A570" s="572"/>
      <c r="B570" s="584"/>
      <c r="C570" s="584"/>
      <c r="D570" s="592" t="s">
        <v>240</v>
      </c>
      <c r="E570" s="584"/>
      <c r="F570" s="592"/>
      <c r="G570" s="726"/>
      <c r="H570" s="728" t="s">
        <v>46</v>
      </c>
      <c r="I570" s="184"/>
      <c r="J570" s="214">
        <v>0</v>
      </c>
      <c r="K570" s="163"/>
      <c r="L570" s="163"/>
      <c r="M570" s="163"/>
      <c r="N570" s="163"/>
      <c r="O570" s="163"/>
      <c r="P570" s="163"/>
      <c r="Q570" s="541"/>
      <c r="R570" s="541"/>
      <c r="S570" s="541"/>
      <c r="T570" s="541"/>
      <c r="U570" s="541"/>
      <c r="V570" s="541"/>
      <c r="W570" s="541"/>
      <c r="X570" s="541"/>
      <c r="Y570" s="541"/>
      <c r="Z570" s="541"/>
    </row>
    <row r="571" spans="1:26" ht="18.75">
      <c r="A571" s="572"/>
      <c r="B571" s="584"/>
      <c r="C571" s="584"/>
      <c r="D571" s="584"/>
      <c r="E571" s="592"/>
      <c r="F571" s="592"/>
      <c r="G571" s="726"/>
      <c r="H571" s="728" t="s">
        <v>34</v>
      </c>
      <c r="I571" s="184"/>
      <c r="J571" s="214">
        <v>0</v>
      </c>
      <c r="K571" s="163"/>
      <c r="L571" s="163"/>
      <c r="M571" s="163"/>
      <c r="N571" s="163"/>
      <c r="O571" s="163"/>
      <c r="P571" s="163"/>
      <c r="Q571" s="541"/>
      <c r="R571" s="541"/>
      <c r="S571" s="541"/>
      <c r="T571" s="541"/>
      <c r="U571" s="541"/>
      <c r="V571" s="541"/>
      <c r="W571" s="541"/>
      <c r="X571" s="541"/>
      <c r="Y571" s="541"/>
      <c r="Z571" s="541"/>
    </row>
    <row r="572" spans="1:26" ht="18.75">
      <c r="A572" s="572"/>
      <c r="B572" s="584"/>
      <c r="C572" s="584"/>
      <c r="D572" s="592" t="s">
        <v>241</v>
      </c>
      <c r="E572" s="592"/>
      <c r="F572" s="592"/>
      <c r="G572" s="726"/>
      <c r="H572" s="728" t="s">
        <v>46</v>
      </c>
      <c r="I572" s="184"/>
      <c r="J572" s="214">
        <v>0</v>
      </c>
      <c r="K572" s="163"/>
      <c r="L572" s="163"/>
      <c r="M572" s="163"/>
      <c r="N572" s="163"/>
      <c r="O572" s="163"/>
      <c r="P572" s="163"/>
      <c r="Q572" s="541"/>
      <c r="R572" s="541"/>
      <c r="S572" s="541"/>
      <c r="T572" s="541"/>
      <c r="U572" s="541"/>
      <c r="V572" s="541"/>
      <c r="W572" s="541"/>
      <c r="X572" s="541"/>
      <c r="Y572" s="541"/>
      <c r="Z572" s="541"/>
    </row>
    <row r="573" spans="1:26" ht="18.75">
      <c r="A573" s="572"/>
      <c r="B573" s="584"/>
      <c r="C573" s="584"/>
      <c r="D573" s="592"/>
      <c r="E573" s="592"/>
      <c r="F573" s="592"/>
      <c r="G573" s="726"/>
      <c r="H573" s="728" t="s">
        <v>34</v>
      </c>
      <c r="I573" s="184"/>
      <c r="J573" s="214">
        <v>0</v>
      </c>
      <c r="K573" s="163"/>
      <c r="L573" s="163"/>
      <c r="M573" s="163"/>
      <c r="N573" s="163"/>
      <c r="O573" s="163"/>
      <c r="P573" s="163"/>
      <c r="Q573" s="541"/>
      <c r="R573" s="541"/>
      <c r="S573" s="541"/>
      <c r="T573" s="541"/>
      <c r="U573" s="541"/>
      <c r="V573" s="541"/>
      <c r="W573" s="541"/>
      <c r="X573" s="541"/>
      <c r="Y573" s="541"/>
      <c r="Z573" s="541"/>
    </row>
    <row r="574" spans="1:26" ht="18.75">
      <c r="A574" s="572"/>
      <c r="B574" s="584"/>
      <c r="C574" s="584"/>
      <c r="D574" s="592" t="s">
        <v>242</v>
      </c>
      <c r="E574" s="592"/>
      <c r="F574" s="592"/>
      <c r="G574" s="726"/>
      <c r="H574" s="728" t="s">
        <v>46</v>
      </c>
      <c r="I574" s="184"/>
      <c r="J574" s="214">
        <v>0</v>
      </c>
      <c r="K574" s="163"/>
      <c r="L574" s="163"/>
      <c r="M574" s="163"/>
      <c r="N574" s="163"/>
      <c r="O574" s="163"/>
      <c r="P574" s="163"/>
      <c r="Q574" s="541"/>
      <c r="R574" s="541"/>
      <c r="S574" s="541"/>
      <c r="T574" s="541"/>
      <c r="U574" s="541"/>
      <c r="V574" s="541"/>
      <c r="W574" s="541"/>
      <c r="X574" s="541"/>
      <c r="Y574" s="541"/>
      <c r="Z574" s="541"/>
    </row>
    <row r="575" spans="1:26" ht="18.75">
      <c r="A575" s="572"/>
      <c r="B575" s="584"/>
      <c r="C575" s="584"/>
      <c r="D575" s="584"/>
      <c r="E575" s="592"/>
      <c r="F575" s="592"/>
      <c r="G575" s="726"/>
      <c r="H575" s="728" t="s">
        <v>34</v>
      </c>
      <c r="I575" s="184"/>
      <c r="J575" s="214">
        <v>0</v>
      </c>
      <c r="K575" s="163"/>
      <c r="L575" s="163"/>
      <c r="M575" s="163"/>
      <c r="N575" s="163"/>
      <c r="O575" s="163"/>
      <c r="P575" s="163"/>
      <c r="Q575" s="541"/>
      <c r="R575" s="541"/>
      <c r="S575" s="541"/>
      <c r="T575" s="541"/>
      <c r="U575" s="541"/>
      <c r="V575" s="541"/>
      <c r="W575" s="541"/>
      <c r="X575" s="541"/>
      <c r="Y575" s="541"/>
      <c r="Z575" s="541"/>
    </row>
    <row r="576" spans="1:26" ht="19.5">
      <c r="A576" s="572"/>
      <c r="B576" s="584"/>
      <c r="C576" s="591" t="s">
        <v>243</v>
      </c>
      <c r="D576" s="584"/>
      <c r="E576" s="584"/>
      <c r="F576" s="592"/>
      <c r="G576" s="726"/>
      <c r="H576" s="731" t="s">
        <v>46</v>
      </c>
      <c r="I576" s="193">
        <f ca="1">IFERROR(__xludf.DUMMYFUNCTION("IMPORTRANGE(""https://docs.google.com/spreadsheets/d/1QqKyyYR6Q21VydFLVH3TRQUabQu_ym0Zz7PgGX0-kHA/edit?usp=sharing"",""แผน!HH14"")"),156826)</f>
        <v>156826</v>
      </c>
      <c r="J576" s="647">
        <f t="shared" ref="J576:J577" si="249">J578+J580+J582+J588+J590</f>
        <v>0</v>
      </c>
      <c r="K576" s="379">
        <f t="shared" ref="K576:K577" ca="1" si="250">IF(I576&gt;0,J576*100/I576,0)</f>
        <v>0</v>
      </c>
      <c r="L576" s="163"/>
      <c r="M576" s="163"/>
      <c r="N576" s="163"/>
      <c r="O576" s="163"/>
      <c r="P576" s="163"/>
      <c r="Q576" s="541"/>
      <c r="R576" s="541"/>
      <c r="S576" s="541"/>
      <c r="T576" s="541"/>
      <c r="U576" s="541"/>
      <c r="V576" s="541"/>
      <c r="W576" s="541"/>
      <c r="X576" s="541"/>
      <c r="Y576" s="541"/>
      <c r="Z576" s="541"/>
    </row>
    <row r="577" spans="1:26" ht="19.5">
      <c r="A577" s="572"/>
      <c r="B577" s="584"/>
      <c r="C577" s="584"/>
      <c r="D577" s="584"/>
      <c r="E577" s="592"/>
      <c r="F577" s="592"/>
      <c r="G577" s="726"/>
      <c r="H577" s="731" t="s">
        <v>34</v>
      </c>
      <c r="I577" s="193">
        <f ca="1">IFERROR(__xludf.DUMMYFUNCTION("IMPORTRANGE(""https://docs.google.com/spreadsheets/d/1QqKyyYR6Q21VydFLVH3TRQUabQu_ym0Zz7PgGX0-kHA/edit?usp=sharing"",""แผน!HG14"")"),12334)</f>
        <v>12334</v>
      </c>
      <c r="J577" s="647">
        <f t="shared" si="249"/>
        <v>0</v>
      </c>
      <c r="K577" s="379">
        <f t="shared" ca="1" si="250"/>
        <v>0</v>
      </c>
      <c r="L577" s="163"/>
      <c r="M577" s="163"/>
      <c r="N577" s="163"/>
      <c r="O577" s="163"/>
      <c r="P577" s="163"/>
      <c r="Q577" s="541"/>
      <c r="R577" s="541"/>
      <c r="S577" s="541"/>
      <c r="T577" s="541"/>
      <c r="U577" s="541"/>
      <c r="V577" s="541"/>
      <c r="W577" s="541"/>
      <c r="X577" s="541"/>
      <c r="Y577" s="541"/>
      <c r="Z577" s="541"/>
    </row>
    <row r="578" spans="1:26" ht="18.75">
      <c r="A578" s="572"/>
      <c r="B578" s="584"/>
      <c r="C578" s="584"/>
      <c r="D578" s="592" t="s">
        <v>244</v>
      </c>
      <c r="E578" s="592"/>
      <c r="F578" s="592"/>
      <c r="G578" s="726"/>
      <c r="H578" s="728" t="s">
        <v>46</v>
      </c>
      <c r="I578" s="184"/>
      <c r="J578" s="214">
        <v>0</v>
      </c>
      <c r="K578" s="163"/>
      <c r="L578" s="163"/>
      <c r="M578" s="163"/>
      <c r="N578" s="163"/>
      <c r="O578" s="163"/>
      <c r="P578" s="163"/>
      <c r="Q578" s="541"/>
      <c r="R578" s="541"/>
      <c r="S578" s="541"/>
      <c r="T578" s="541"/>
      <c r="U578" s="541"/>
      <c r="V578" s="541"/>
      <c r="W578" s="541"/>
      <c r="X578" s="541"/>
      <c r="Y578" s="541"/>
      <c r="Z578" s="541"/>
    </row>
    <row r="579" spans="1:26" ht="18.75">
      <c r="A579" s="572"/>
      <c r="B579" s="584"/>
      <c r="C579" s="584"/>
      <c r="D579" s="584"/>
      <c r="E579" s="592"/>
      <c r="F579" s="592"/>
      <c r="G579" s="726"/>
      <c r="H579" s="728" t="s">
        <v>34</v>
      </c>
      <c r="I579" s="184"/>
      <c r="J579" s="214">
        <v>0</v>
      </c>
      <c r="K579" s="163"/>
      <c r="L579" s="163"/>
      <c r="M579" s="163"/>
      <c r="N579" s="163"/>
      <c r="O579" s="163"/>
      <c r="P579" s="163"/>
      <c r="Q579" s="541"/>
      <c r="R579" s="541"/>
      <c r="S579" s="541"/>
      <c r="T579" s="541"/>
      <c r="U579" s="541"/>
      <c r="V579" s="541"/>
      <c r="W579" s="541"/>
      <c r="X579" s="541"/>
      <c r="Y579" s="541"/>
      <c r="Z579" s="541"/>
    </row>
    <row r="580" spans="1:26" ht="18.75">
      <c r="A580" s="572"/>
      <c r="B580" s="584"/>
      <c r="C580" s="584"/>
      <c r="D580" s="592" t="s">
        <v>245</v>
      </c>
      <c r="E580" s="592"/>
      <c r="F580" s="592"/>
      <c r="G580" s="726"/>
      <c r="H580" s="728" t="s">
        <v>46</v>
      </c>
      <c r="I580" s="184"/>
      <c r="J580" s="214">
        <v>0</v>
      </c>
      <c r="K580" s="163"/>
      <c r="L580" s="163"/>
      <c r="M580" s="163"/>
      <c r="N580" s="163"/>
      <c r="O580" s="163"/>
      <c r="P580" s="163"/>
      <c r="Q580" s="541"/>
      <c r="R580" s="541"/>
      <c r="S580" s="541"/>
      <c r="T580" s="541"/>
      <c r="U580" s="541"/>
      <c r="V580" s="541"/>
      <c r="W580" s="541"/>
      <c r="X580" s="541"/>
      <c r="Y580" s="541"/>
      <c r="Z580" s="541"/>
    </row>
    <row r="581" spans="1:26" ht="18.75">
      <c r="A581" s="572"/>
      <c r="B581" s="584"/>
      <c r="C581" s="584"/>
      <c r="D581" s="584"/>
      <c r="E581" s="592"/>
      <c r="F581" s="592"/>
      <c r="G581" s="726"/>
      <c r="H581" s="728" t="s">
        <v>34</v>
      </c>
      <c r="I581" s="184"/>
      <c r="J581" s="214">
        <v>0</v>
      </c>
      <c r="K581" s="163"/>
      <c r="L581" s="163"/>
      <c r="M581" s="163"/>
      <c r="N581" s="163"/>
      <c r="O581" s="163"/>
      <c r="P581" s="163"/>
      <c r="Q581" s="541"/>
      <c r="R581" s="541"/>
      <c r="S581" s="541"/>
      <c r="T581" s="541"/>
      <c r="U581" s="541"/>
      <c r="V581" s="541"/>
      <c r="W581" s="541"/>
      <c r="X581" s="541"/>
      <c r="Y581" s="541"/>
      <c r="Z581" s="541"/>
    </row>
    <row r="582" spans="1:26" ht="19.5">
      <c r="A582" s="572"/>
      <c r="B582" s="584"/>
      <c r="C582" s="584"/>
      <c r="D582" s="592" t="s">
        <v>246</v>
      </c>
      <c r="E582" s="592"/>
      <c r="F582" s="592"/>
      <c r="G582" s="726"/>
      <c r="H582" s="728" t="s">
        <v>46</v>
      </c>
      <c r="I582" s="184"/>
      <c r="J582" s="647">
        <f t="shared" ref="J582:J583" si="251">J584+J586</f>
        <v>0</v>
      </c>
      <c r="K582" s="379"/>
      <c r="L582" s="163"/>
      <c r="M582" s="163"/>
      <c r="N582" s="163"/>
      <c r="O582" s="163"/>
      <c r="P582" s="163"/>
      <c r="Q582" s="541"/>
      <c r="R582" s="541"/>
      <c r="S582" s="541"/>
      <c r="T582" s="541"/>
      <c r="U582" s="541"/>
      <c r="V582" s="541"/>
      <c r="W582" s="541"/>
      <c r="X582" s="541"/>
      <c r="Y582" s="541"/>
      <c r="Z582" s="541"/>
    </row>
    <row r="583" spans="1:26" ht="19.5">
      <c r="A583" s="572"/>
      <c r="B583" s="584"/>
      <c r="C583" s="584"/>
      <c r="D583" s="584"/>
      <c r="E583" s="592"/>
      <c r="F583" s="592"/>
      <c r="G583" s="726"/>
      <c r="H583" s="728" t="s">
        <v>34</v>
      </c>
      <c r="I583" s="184"/>
      <c r="J583" s="647">
        <f t="shared" si="251"/>
        <v>0</v>
      </c>
      <c r="K583" s="379"/>
      <c r="L583" s="163"/>
      <c r="M583" s="163"/>
      <c r="N583" s="163"/>
      <c r="O583" s="163"/>
      <c r="P583" s="163"/>
      <c r="Q583" s="541"/>
      <c r="R583" s="541"/>
      <c r="S583" s="541"/>
      <c r="T583" s="541"/>
      <c r="U583" s="541"/>
      <c r="V583" s="541"/>
      <c r="W583" s="541"/>
      <c r="X583" s="541"/>
      <c r="Y583" s="541"/>
      <c r="Z583" s="541"/>
    </row>
    <row r="584" spans="1:26" ht="18.75">
      <c r="A584" s="572"/>
      <c r="B584" s="584"/>
      <c r="C584" s="584"/>
      <c r="D584" s="584"/>
      <c r="E584" s="592" t="s">
        <v>247</v>
      </c>
      <c r="F584" s="592"/>
      <c r="G584" s="726"/>
      <c r="H584" s="728" t="s">
        <v>46</v>
      </c>
      <c r="I584" s="184"/>
      <c r="J584" s="214">
        <v>0</v>
      </c>
      <c r="K584" s="163"/>
      <c r="L584" s="163"/>
      <c r="M584" s="163"/>
      <c r="N584" s="163"/>
      <c r="O584" s="163"/>
      <c r="P584" s="163"/>
      <c r="Q584" s="541"/>
      <c r="R584" s="541"/>
      <c r="S584" s="541"/>
      <c r="T584" s="541"/>
      <c r="U584" s="541"/>
      <c r="V584" s="541"/>
      <c r="W584" s="541"/>
      <c r="X584" s="541"/>
      <c r="Y584" s="541"/>
      <c r="Z584" s="541"/>
    </row>
    <row r="585" spans="1:26" ht="18.75">
      <c r="A585" s="572"/>
      <c r="B585" s="584"/>
      <c r="C585" s="584"/>
      <c r="D585" s="584"/>
      <c r="E585" s="592"/>
      <c r="F585" s="592"/>
      <c r="G585" s="726"/>
      <c r="H585" s="728" t="s">
        <v>34</v>
      </c>
      <c r="I585" s="184"/>
      <c r="J585" s="214">
        <v>0</v>
      </c>
      <c r="K585" s="163"/>
      <c r="L585" s="163"/>
      <c r="M585" s="163"/>
      <c r="N585" s="163"/>
      <c r="O585" s="163"/>
      <c r="P585" s="163"/>
      <c r="Q585" s="541"/>
      <c r="R585" s="541"/>
      <c r="S585" s="541"/>
      <c r="T585" s="541"/>
      <c r="U585" s="541"/>
      <c r="V585" s="541"/>
      <c r="W585" s="541"/>
      <c r="X585" s="541"/>
      <c r="Y585" s="541"/>
      <c r="Z585" s="541"/>
    </row>
    <row r="586" spans="1:26" ht="18.75">
      <c r="A586" s="572"/>
      <c r="B586" s="584"/>
      <c r="C586" s="584"/>
      <c r="D586" s="584"/>
      <c r="E586" s="592" t="s">
        <v>248</v>
      </c>
      <c r="F586" s="592"/>
      <c r="G586" s="726"/>
      <c r="H586" s="728" t="s">
        <v>46</v>
      </c>
      <c r="I586" s="184"/>
      <c r="J586" s="214">
        <v>0</v>
      </c>
      <c r="K586" s="163"/>
      <c r="L586" s="163"/>
      <c r="M586" s="163"/>
      <c r="N586" s="163"/>
      <c r="O586" s="163"/>
      <c r="P586" s="163"/>
      <c r="Q586" s="541"/>
      <c r="R586" s="541"/>
      <c r="S586" s="541"/>
      <c r="T586" s="541"/>
      <c r="U586" s="541"/>
      <c r="V586" s="541"/>
      <c r="W586" s="541"/>
      <c r="X586" s="541"/>
      <c r="Y586" s="541"/>
      <c r="Z586" s="541"/>
    </row>
    <row r="587" spans="1:26" ht="18.75">
      <c r="A587" s="572"/>
      <c r="B587" s="584"/>
      <c r="C587" s="584"/>
      <c r="D587" s="584"/>
      <c r="E587" s="584"/>
      <c r="F587" s="592"/>
      <c r="G587" s="726"/>
      <c r="H587" s="728" t="s">
        <v>34</v>
      </c>
      <c r="I587" s="184"/>
      <c r="J587" s="214">
        <v>0</v>
      </c>
      <c r="K587" s="163"/>
      <c r="L587" s="163"/>
      <c r="M587" s="163"/>
      <c r="N587" s="163"/>
      <c r="O587" s="163"/>
      <c r="P587" s="163"/>
      <c r="Q587" s="541"/>
      <c r="R587" s="541"/>
      <c r="S587" s="541"/>
      <c r="T587" s="541"/>
      <c r="U587" s="541"/>
      <c r="V587" s="541"/>
      <c r="W587" s="541"/>
      <c r="X587" s="541"/>
      <c r="Y587" s="541"/>
      <c r="Z587" s="541"/>
    </row>
    <row r="588" spans="1:26" ht="18.75">
      <c r="A588" s="572"/>
      <c r="B588" s="584"/>
      <c r="C588" s="584"/>
      <c r="D588" s="592" t="s">
        <v>249</v>
      </c>
      <c r="E588" s="592"/>
      <c r="F588" s="592"/>
      <c r="G588" s="726"/>
      <c r="H588" s="728" t="s">
        <v>46</v>
      </c>
      <c r="I588" s="184"/>
      <c r="J588" s="214">
        <v>0</v>
      </c>
      <c r="K588" s="163"/>
      <c r="L588" s="163"/>
      <c r="M588" s="163"/>
      <c r="N588" s="163"/>
      <c r="O588" s="163"/>
      <c r="P588" s="163"/>
      <c r="Q588" s="541"/>
      <c r="R588" s="541"/>
      <c r="S588" s="541"/>
      <c r="T588" s="541"/>
      <c r="U588" s="541"/>
      <c r="V588" s="541"/>
      <c r="W588" s="541"/>
      <c r="X588" s="541"/>
      <c r="Y588" s="541"/>
      <c r="Z588" s="541"/>
    </row>
    <row r="589" spans="1:26" ht="18.75">
      <c r="A589" s="572"/>
      <c r="B589" s="584"/>
      <c r="C589" s="584"/>
      <c r="D589" s="584"/>
      <c r="E589" s="584"/>
      <c r="F589" s="592"/>
      <c r="G589" s="726"/>
      <c r="H589" s="728" t="s">
        <v>34</v>
      </c>
      <c r="I589" s="184"/>
      <c r="J589" s="214">
        <v>0</v>
      </c>
      <c r="K589" s="163"/>
      <c r="L589" s="163"/>
      <c r="M589" s="163"/>
      <c r="N589" s="163"/>
      <c r="O589" s="163"/>
      <c r="P589" s="163"/>
      <c r="Q589" s="541"/>
      <c r="R589" s="541"/>
      <c r="S589" s="541"/>
      <c r="T589" s="541"/>
      <c r="U589" s="541"/>
      <c r="V589" s="541"/>
      <c r="W589" s="541"/>
      <c r="X589" s="541"/>
      <c r="Y589" s="541"/>
      <c r="Z589" s="541"/>
    </row>
    <row r="590" spans="1:26" ht="18.75">
      <c r="A590" s="572"/>
      <c r="B590" s="584"/>
      <c r="C590" s="584"/>
      <c r="D590" s="592" t="s">
        <v>250</v>
      </c>
      <c r="E590" s="592"/>
      <c r="F590" s="592"/>
      <c r="G590" s="726"/>
      <c r="H590" s="728" t="s">
        <v>46</v>
      </c>
      <c r="I590" s="184"/>
      <c r="J590" s="214">
        <v>0</v>
      </c>
      <c r="K590" s="163"/>
      <c r="L590" s="163"/>
      <c r="M590" s="163"/>
      <c r="N590" s="163"/>
      <c r="O590" s="163"/>
      <c r="P590" s="163"/>
      <c r="Q590" s="541"/>
      <c r="R590" s="541"/>
      <c r="S590" s="541"/>
      <c r="T590" s="541"/>
      <c r="U590" s="541"/>
      <c r="V590" s="541"/>
      <c r="W590" s="541"/>
      <c r="X590" s="541"/>
      <c r="Y590" s="541"/>
      <c r="Z590" s="541"/>
    </row>
    <row r="591" spans="1:26" ht="18.75">
      <c r="A591" s="662"/>
      <c r="B591" s="663"/>
      <c r="C591" s="663"/>
      <c r="D591" s="663"/>
      <c r="E591" s="541"/>
      <c r="F591" s="541"/>
      <c r="G591" s="664"/>
      <c r="H591" s="665" t="s">
        <v>34</v>
      </c>
      <c r="I591" s="666"/>
      <c r="J591" s="667">
        <v>0</v>
      </c>
      <c r="K591" s="668"/>
      <c r="L591" s="668"/>
      <c r="M591" s="668"/>
      <c r="N591" s="668"/>
      <c r="O591" s="668"/>
      <c r="P591" s="668"/>
      <c r="Q591" s="541"/>
      <c r="R591" s="541"/>
      <c r="S591" s="541"/>
      <c r="T591" s="541"/>
      <c r="U591" s="541"/>
      <c r="V591" s="541"/>
      <c r="W591" s="541"/>
      <c r="X591" s="541"/>
      <c r="Y591" s="541"/>
      <c r="Z591" s="541"/>
    </row>
    <row r="592" spans="1:26" ht="19.5">
      <c r="A592" s="658"/>
      <c r="B592" s="659" t="s">
        <v>251</v>
      </c>
      <c r="C592" s="660"/>
      <c r="D592" s="660"/>
      <c r="E592" s="639"/>
      <c r="F592" s="639"/>
      <c r="G592" s="640"/>
      <c r="H592" s="661" t="s">
        <v>46</v>
      </c>
      <c r="I592" s="672">
        <f t="shared" ref="I592:J592" ca="1" si="252">I593</f>
        <v>6645</v>
      </c>
      <c r="J592" s="672">
        <f t="shared" si="252"/>
        <v>0</v>
      </c>
      <c r="K592" s="643">
        <f t="shared" ref="K592:K594" ca="1" si="253">IF(I592&gt;0,J592*100/I592,0)</f>
        <v>0</v>
      </c>
      <c r="L592" s="644"/>
      <c r="M592" s="644"/>
      <c r="N592" s="644"/>
      <c r="O592" s="644"/>
      <c r="P592" s="644"/>
      <c r="Q592" s="541"/>
      <c r="R592" s="541"/>
      <c r="S592" s="541"/>
      <c r="T592" s="541"/>
      <c r="U592" s="541"/>
      <c r="V592" s="541"/>
      <c r="W592" s="541"/>
      <c r="X592" s="541"/>
      <c r="Y592" s="541"/>
      <c r="Z592" s="541"/>
    </row>
    <row r="593" spans="1:26" ht="19.5">
      <c r="A593" s="572"/>
      <c r="B593" s="584"/>
      <c r="C593" s="591" t="s">
        <v>252</v>
      </c>
      <c r="D593" s="584"/>
      <c r="E593" s="584"/>
      <c r="F593" s="592"/>
      <c r="G593" s="726"/>
      <c r="H593" s="731" t="s">
        <v>46</v>
      </c>
      <c r="I593" s="193">
        <f ca="1">IFERROR(__xludf.DUMMYFUNCTION("IMPORTRANGE(""https://docs.google.com/spreadsheets/d/1QqKyyYR6Q21VydFLVH3TRQUabQu_ym0Zz7PgGX0-kHA/edit?usp=sharing"",""แผน!HJ14"")"),6645)</f>
        <v>6645</v>
      </c>
      <c r="J593" s="193">
        <f t="shared" ref="J593:J594" si="254">J595+J603+J609</f>
        <v>0</v>
      </c>
      <c r="K593" s="379">
        <f t="shared" ca="1" si="253"/>
        <v>0</v>
      </c>
      <c r="L593" s="163"/>
      <c r="M593" s="163"/>
      <c r="N593" s="163"/>
      <c r="O593" s="163"/>
      <c r="P593" s="163"/>
      <c r="Q593" s="541"/>
      <c r="R593" s="541"/>
      <c r="S593" s="541"/>
      <c r="T593" s="541"/>
      <c r="U593" s="541"/>
      <c r="V593" s="541"/>
      <c r="W593" s="541"/>
      <c r="X593" s="541"/>
      <c r="Y593" s="541"/>
      <c r="Z593" s="541"/>
    </row>
    <row r="594" spans="1:26" ht="19.5">
      <c r="A594" s="572"/>
      <c r="B594" s="584"/>
      <c r="C594" s="584"/>
      <c r="D594" s="584"/>
      <c r="E594" s="592"/>
      <c r="F594" s="592"/>
      <c r="G594" s="726"/>
      <c r="H594" s="731" t="s">
        <v>34</v>
      </c>
      <c r="I594" s="193">
        <f ca="1">IFERROR(__xludf.DUMMYFUNCTION("IMPORTRANGE(""https://docs.google.com/spreadsheets/d/1QqKyyYR6Q21VydFLVH3TRQUabQu_ym0Zz7PgGX0-kHA/edit?usp=sharing"",""แผน!HI14"")"),390)</f>
        <v>390</v>
      </c>
      <c r="J594" s="193">
        <f t="shared" si="254"/>
        <v>0</v>
      </c>
      <c r="K594" s="379">
        <f t="shared" ca="1" si="253"/>
        <v>0</v>
      </c>
      <c r="L594" s="163"/>
      <c r="M594" s="163"/>
      <c r="N594" s="163"/>
      <c r="O594" s="163"/>
      <c r="P594" s="163"/>
      <c r="Q594" s="541"/>
      <c r="R594" s="541"/>
      <c r="S594" s="541"/>
      <c r="T594" s="541"/>
      <c r="U594" s="541"/>
      <c r="V594" s="541"/>
      <c r="W594" s="541"/>
      <c r="X594" s="541"/>
      <c r="Y594" s="541"/>
      <c r="Z594" s="541"/>
    </row>
    <row r="595" spans="1:26" ht="18.75">
      <c r="A595" s="572"/>
      <c r="B595" s="584"/>
      <c r="C595" s="584" t="s">
        <v>253</v>
      </c>
      <c r="D595" s="584"/>
      <c r="E595" s="584"/>
      <c r="F595" s="592"/>
      <c r="G595" s="726"/>
      <c r="H595" s="728" t="s">
        <v>46</v>
      </c>
      <c r="I595" s="184"/>
      <c r="J595" s="184">
        <f t="shared" ref="J595:J596" si="255">J597+J599</f>
        <v>0</v>
      </c>
      <c r="K595" s="163"/>
      <c r="L595" s="163"/>
      <c r="M595" s="163"/>
      <c r="N595" s="163"/>
      <c r="O595" s="163"/>
      <c r="P595" s="163"/>
      <c r="Q595" s="541"/>
      <c r="R595" s="541"/>
      <c r="S595" s="541"/>
      <c r="T595" s="541"/>
      <c r="U595" s="541"/>
      <c r="V595" s="541"/>
      <c r="W595" s="541"/>
      <c r="X595" s="541"/>
      <c r="Y595" s="541"/>
      <c r="Z595" s="541"/>
    </row>
    <row r="596" spans="1:26" ht="18.75">
      <c r="A596" s="572"/>
      <c r="B596" s="584"/>
      <c r="C596" s="584"/>
      <c r="D596" s="584"/>
      <c r="E596" s="592"/>
      <c r="F596" s="592"/>
      <c r="G596" s="726"/>
      <c r="H596" s="728" t="s">
        <v>34</v>
      </c>
      <c r="I596" s="184"/>
      <c r="J596" s="184">
        <f t="shared" si="255"/>
        <v>0</v>
      </c>
      <c r="K596" s="163"/>
      <c r="L596" s="163"/>
      <c r="M596" s="163"/>
      <c r="N596" s="163"/>
      <c r="O596" s="163"/>
      <c r="P596" s="163"/>
      <c r="Q596" s="541"/>
      <c r="R596" s="541"/>
      <c r="S596" s="541"/>
      <c r="T596" s="541"/>
      <c r="U596" s="541"/>
      <c r="V596" s="541"/>
      <c r="W596" s="541"/>
      <c r="X596" s="541"/>
      <c r="Y596" s="541"/>
      <c r="Z596" s="541"/>
    </row>
    <row r="597" spans="1:26" ht="18.75">
      <c r="A597" s="572"/>
      <c r="B597" s="584"/>
      <c r="C597" s="584"/>
      <c r="D597" s="710" t="s">
        <v>254</v>
      </c>
      <c r="E597" s="592"/>
      <c r="F597" s="592"/>
      <c r="G597" s="726"/>
      <c r="H597" s="728" t="s">
        <v>46</v>
      </c>
      <c r="I597" s="184"/>
      <c r="J597" s="214">
        <v>0</v>
      </c>
      <c r="K597" s="163"/>
      <c r="L597" s="163"/>
      <c r="M597" s="163"/>
      <c r="N597" s="163"/>
      <c r="O597" s="163"/>
      <c r="P597" s="163"/>
      <c r="Q597" s="541"/>
      <c r="R597" s="541"/>
      <c r="S597" s="541"/>
      <c r="T597" s="541"/>
      <c r="U597" s="541"/>
      <c r="V597" s="541"/>
      <c r="W597" s="541"/>
      <c r="X597" s="541"/>
      <c r="Y597" s="541"/>
      <c r="Z597" s="541"/>
    </row>
    <row r="598" spans="1:26" ht="18.75">
      <c r="A598" s="572"/>
      <c r="B598" s="584"/>
      <c r="C598" s="584"/>
      <c r="D598" s="584"/>
      <c r="E598" s="592"/>
      <c r="F598" s="592"/>
      <c r="G598" s="726"/>
      <c r="H598" s="728" t="s">
        <v>34</v>
      </c>
      <c r="I598" s="269"/>
      <c r="J598" s="214">
        <v>0</v>
      </c>
      <c r="K598" s="163"/>
      <c r="L598" s="163"/>
      <c r="M598" s="163"/>
      <c r="N598" s="163"/>
      <c r="O598" s="163"/>
      <c r="P598" s="163"/>
      <c r="Q598" s="541"/>
      <c r="R598" s="541"/>
      <c r="S598" s="541"/>
      <c r="T598" s="541"/>
      <c r="U598" s="541"/>
      <c r="V598" s="541"/>
      <c r="W598" s="541"/>
      <c r="X598" s="541"/>
      <c r="Y598" s="541"/>
      <c r="Z598" s="541"/>
    </row>
    <row r="599" spans="1:26" ht="18.75">
      <c r="A599" s="572"/>
      <c r="B599" s="584"/>
      <c r="C599" s="584"/>
      <c r="D599" s="710" t="s">
        <v>255</v>
      </c>
      <c r="E599" s="592"/>
      <c r="F599" s="592"/>
      <c r="G599" s="726"/>
      <c r="H599" s="728" t="s">
        <v>46</v>
      </c>
      <c r="I599" s="269"/>
      <c r="J599" s="214">
        <v>0</v>
      </c>
      <c r="K599" s="163"/>
      <c r="L599" s="163"/>
      <c r="M599" s="163"/>
      <c r="N599" s="163"/>
      <c r="O599" s="163"/>
      <c r="P599" s="163"/>
      <c r="Q599" s="541"/>
      <c r="R599" s="541"/>
      <c r="S599" s="541"/>
      <c r="T599" s="541"/>
      <c r="U599" s="541"/>
      <c r="V599" s="541"/>
      <c r="W599" s="541"/>
      <c r="X599" s="541"/>
      <c r="Y599" s="541"/>
      <c r="Z599" s="541"/>
    </row>
    <row r="600" spans="1:26" ht="18.75">
      <c r="A600" s="572"/>
      <c r="B600" s="584"/>
      <c r="C600" s="584"/>
      <c r="D600" s="584"/>
      <c r="E600" s="592"/>
      <c r="F600" s="592"/>
      <c r="G600" s="726"/>
      <c r="H600" s="728" t="s">
        <v>34</v>
      </c>
      <c r="I600" s="269"/>
      <c r="J600" s="214">
        <v>0</v>
      </c>
      <c r="K600" s="163"/>
      <c r="L600" s="163"/>
      <c r="M600" s="163"/>
      <c r="N600" s="163"/>
      <c r="O600" s="163"/>
      <c r="P600" s="163"/>
      <c r="Q600" s="541"/>
      <c r="R600" s="541"/>
      <c r="S600" s="541"/>
      <c r="T600" s="541"/>
      <c r="U600" s="541"/>
      <c r="V600" s="541"/>
      <c r="W600" s="541"/>
      <c r="X600" s="541"/>
      <c r="Y600" s="541"/>
      <c r="Z600" s="541"/>
    </row>
    <row r="601" spans="1:26" ht="18.75">
      <c r="A601" s="572"/>
      <c r="B601" s="584"/>
      <c r="C601" s="584"/>
      <c r="D601" s="710" t="s">
        <v>256</v>
      </c>
      <c r="E601" s="592"/>
      <c r="F601" s="592"/>
      <c r="G601" s="726"/>
      <c r="H601" s="728" t="s">
        <v>46</v>
      </c>
      <c r="I601" s="269"/>
      <c r="J601" s="214">
        <v>0</v>
      </c>
      <c r="K601" s="163"/>
      <c r="L601" s="163"/>
      <c r="M601" s="163"/>
      <c r="N601" s="163"/>
      <c r="O601" s="163"/>
      <c r="P601" s="163"/>
      <c r="Q601" s="541"/>
      <c r="R601" s="541"/>
      <c r="S601" s="541"/>
      <c r="T601" s="541"/>
      <c r="U601" s="541"/>
      <c r="V601" s="541"/>
      <c r="W601" s="541"/>
      <c r="X601" s="541"/>
      <c r="Y601" s="541"/>
      <c r="Z601" s="541"/>
    </row>
    <row r="602" spans="1:26" ht="18.75">
      <c r="A602" s="572"/>
      <c r="B602" s="584"/>
      <c r="C602" s="584"/>
      <c r="D602" s="584"/>
      <c r="E602" s="592"/>
      <c r="F602" s="592"/>
      <c r="G602" s="726"/>
      <c r="H602" s="728" t="s">
        <v>34</v>
      </c>
      <c r="I602" s="269"/>
      <c r="J602" s="214">
        <v>0</v>
      </c>
      <c r="K602" s="163"/>
      <c r="L602" s="163"/>
      <c r="M602" s="163"/>
      <c r="N602" s="163"/>
      <c r="O602" s="163"/>
      <c r="P602" s="163"/>
      <c r="Q602" s="541"/>
      <c r="R602" s="541"/>
      <c r="S602" s="541"/>
      <c r="T602" s="541"/>
      <c r="U602" s="541"/>
      <c r="V602" s="541"/>
      <c r="W602" s="541"/>
      <c r="X602" s="541"/>
      <c r="Y602" s="541"/>
      <c r="Z602" s="541"/>
    </row>
    <row r="603" spans="1:26" ht="18.75">
      <c r="A603" s="572"/>
      <c r="B603" s="584"/>
      <c r="C603" s="669" t="s">
        <v>257</v>
      </c>
      <c r="D603" s="584"/>
      <c r="E603" s="584"/>
      <c r="F603" s="592"/>
      <c r="G603" s="726"/>
      <c r="H603" s="728" t="s">
        <v>46</v>
      </c>
      <c r="I603" s="269"/>
      <c r="J603" s="269">
        <f t="shared" ref="J603:J604" si="256">J605+J607</f>
        <v>0</v>
      </c>
      <c r="K603" s="163"/>
      <c r="L603" s="163"/>
      <c r="M603" s="163"/>
      <c r="N603" s="163"/>
      <c r="O603" s="163"/>
      <c r="P603" s="163"/>
      <c r="Q603" s="541"/>
      <c r="R603" s="541"/>
      <c r="S603" s="541"/>
      <c r="T603" s="541"/>
      <c r="U603" s="541"/>
      <c r="V603" s="541"/>
      <c r="W603" s="541"/>
      <c r="X603" s="541"/>
      <c r="Y603" s="541"/>
      <c r="Z603" s="541"/>
    </row>
    <row r="604" spans="1:26" ht="18.75">
      <c r="A604" s="572"/>
      <c r="B604" s="584"/>
      <c r="C604" s="584"/>
      <c r="D604" s="584"/>
      <c r="E604" s="592"/>
      <c r="F604" s="592"/>
      <c r="G604" s="726"/>
      <c r="H604" s="728" t="s">
        <v>34</v>
      </c>
      <c r="I604" s="269"/>
      <c r="J604" s="269">
        <f t="shared" si="256"/>
        <v>0</v>
      </c>
      <c r="K604" s="163"/>
      <c r="L604" s="163"/>
      <c r="M604" s="163"/>
      <c r="N604" s="163"/>
      <c r="O604" s="163"/>
      <c r="P604" s="163"/>
      <c r="Q604" s="541"/>
      <c r="R604" s="541"/>
      <c r="S604" s="541"/>
      <c r="T604" s="541"/>
      <c r="U604" s="541"/>
      <c r="V604" s="541"/>
      <c r="W604" s="541"/>
      <c r="X604" s="541"/>
      <c r="Y604" s="541"/>
      <c r="Z604" s="541"/>
    </row>
    <row r="605" spans="1:26" ht="18.75">
      <c r="A605" s="572"/>
      <c r="B605" s="584"/>
      <c r="C605" s="584"/>
      <c r="D605" s="669" t="s">
        <v>258</v>
      </c>
      <c r="E605" s="592"/>
      <c r="F605" s="592"/>
      <c r="G605" s="726"/>
      <c r="H605" s="728" t="s">
        <v>46</v>
      </c>
      <c r="I605" s="269"/>
      <c r="J605" s="214">
        <v>0</v>
      </c>
      <c r="K605" s="163"/>
      <c r="L605" s="163"/>
      <c r="M605" s="163"/>
      <c r="N605" s="163"/>
      <c r="O605" s="163"/>
      <c r="P605" s="163"/>
      <c r="Q605" s="541"/>
      <c r="R605" s="541"/>
      <c r="S605" s="541"/>
      <c r="T605" s="541"/>
      <c r="U605" s="541"/>
      <c r="V605" s="541"/>
      <c r="W605" s="541"/>
      <c r="X605" s="541"/>
      <c r="Y605" s="541"/>
      <c r="Z605" s="541"/>
    </row>
    <row r="606" spans="1:26" ht="18.75">
      <c r="A606" s="572"/>
      <c r="B606" s="584"/>
      <c r="C606" s="584"/>
      <c r="D606" s="584"/>
      <c r="E606" s="584"/>
      <c r="F606" s="592"/>
      <c r="G606" s="726"/>
      <c r="H606" s="728" t="s">
        <v>34</v>
      </c>
      <c r="I606" s="269"/>
      <c r="J606" s="214">
        <v>0</v>
      </c>
      <c r="K606" s="163"/>
      <c r="L606" s="163"/>
      <c r="M606" s="163"/>
      <c r="N606" s="163"/>
      <c r="O606" s="163"/>
      <c r="P606" s="163"/>
      <c r="Q606" s="541"/>
      <c r="R606" s="541"/>
      <c r="S606" s="541"/>
      <c r="T606" s="541"/>
      <c r="U606" s="541"/>
      <c r="V606" s="541"/>
      <c r="W606" s="541"/>
      <c r="X606" s="541"/>
      <c r="Y606" s="541"/>
      <c r="Z606" s="541"/>
    </row>
    <row r="607" spans="1:26" ht="18.75">
      <c r="A607" s="572"/>
      <c r="B607" s="584"/>
      <c r="C607" s="584"/>
      <c r="D607" s="669" t="s">
        <v>259</v>
      </c>
      <c r="E607" s="584"/>
      <c r="F607" s="592"/>
      <c r="G607" s="726"/>
      <c r="H607" s="728" t="s">
        <v>46</v>
      </c>
      <c r="I607" s="269"/>
      <c r="J607" s="214">
        <v>0</v>
      </c>
      <c r="K607" s="163"/>
      <c r="L607" s="163"/>
      <c r="M607" s="163"/>
      <c r="N607" s="163"/>
      <c r="O607" s="163"/>
      <c r="P607" s="163"/>
      <c r="Q607" s="541"/>
      <c r="R607" s="541"/>
      <c r="S607" s="541"/>
      <c r="T607" s="541"/>
      <c r="U607" s="541"/>
      <c r="V607" s="541"/>
      <c r="W607" s="541"/>
      <c r="X607" s="541"/>
      <c r="Y607" s="541"/>
      <c r="Z607" s="541"/>
    </row>
    <row r="608" spans="1:26" ht="18.75">
      <c r="A608" s="572"/>
      <c r="B608" s="584"/>
      <c r="C608" s="584"/>
      <c r="D608" s="584"/>
      <c r="E608" s="592"/>
      <c r="F608" s="592"/>
      <c r="G608" s="726"/>
      <c r="H608" s="728" t="s">
        <v>34</v>
      </c>
      <c r="I608" s="269"/>
      <c r="J608" s="214">
        <v>0</v>
      </c>
      <c r="K608" s="163"/>
      <c r="L608" s="163"/>
      <c r="M608" s="163"/>
      <c r="N608" s="163"/>
      <c r="O608" s="163"/>
      <c r="P608" s="163"/>
      <c r="Q608" s="541"/>
      <c r="R608" s="541"/>
      <c r="S608" s="541"/>
      <c r="T608" s="541"/>
      <c r="U608" s="541"/>
      <c r="V608" s="541"/>
      <c r="W608" s="541"/>
      <c r="X608" s="541"/>
      <c r="Y608" s="541"/>
      <c r="Z608" s="541"/>
    </row>
    <row r="609" spans="1:26" ht="18.75">
      <c r="A609" s="572"/>
      <c r="B609" s="584"/>
      <c r="C609" s="584" t="s">
        <v>260</v>
      </c>
      <c r="D609" s="584"/>
      <c r="E609" s="584"/>
      <c r="F609" s="592"/>
      <c r="G609" s="726"/>
      <c r="H609" s="728" t="s">
        <v>46</v>
      </c>
      <c r="I609" s="269"/>
      <c r="J609" s="214">
        <v>0</v>
      </c>
      <c r="K609" s="163"/>
      <c r="L609" s="163"/>
      <c r="M609" s="163"/>
      <c r="N609" s="163"/>
      <c r="O609" s="163"/>
      <c r="P609" s="163"/>
      <c r="Q609" s="541"/>
      <c r="R609" s="541"/>
      <c r="S609" s="541"/>
      <c r="T609" s="541"/>
      <c r="U609" s="541"/>
      <c r="V609" s="541"/>
      <c r="W609" s="541"/>
      <c r="X609" s="541"/>
      <c r="Y609" s="541"/>
      <c r="Z609" s="541"/>
    </row>
    <row r="610" spans="1:26" ht="18.75">
      <c r="A610" s="572"/>
      <c r="B610" s="584"/>
      <c r="C610" s="584"/>
      <c r="D610" s="584"/>
      <c r="E610" s="592"/>
      <c r="F610" s="592"/>
      <c r="G610" s="726"/>
      <c r="H610" s="728" t="s">
        <v>34</v>
      </c>
      <c r="I610" s="269"/>
      <c r="J610" s="214">
        <v>0</v>
      </c>
      <c r="K610" s="163"/>
      <c r="L610" s="163"/>
      <c r="M610" s="163"/>
      <c r="N610" s="163"/>
      <c r="O610" s="163"/>
      <c r="P610" s="163"/>
      <c r="Q610" s="541"/>
      <c r="R610" s="541"/>
      <c r="S610" s="541"/>
      <c r="T610" s="541"/>
      <c r="U610" s="541"/>
      <c r="V610" s="541"/>
      <c r="W610" s="541"/>
      <c r="X610" s="541"/>
      <c r="Y610" s="541"/>
      <c r="Z610" s="541"/>
    </row>
    <row r="611" spans="1:26" ht="19.5">
      <c r="A611" s="658"/>
      <c r="B611" s="670" t="s">
        <v>261</v>
      </c>
      <c r="C611" s="660"/>
      <c r="D611" s="660"/>
      <c r="E611" s="639"/>
      <c r="F611" s="639"/>
      <c r="G611" s="640"/>
      <c r="H611" s="671" t="s">
        <v>46</v>
      </c>
      <c r="I611" s="672">
        <v>0</v>
      </c>
      <c r="J611" s="672">
        <f>J614+J616</f>
        <v>0</v>
      </c>
      <c r="K611" s="643">
        <f t="shared" ref="K611:K613" si="257">IF(I611&gt;0,J611*100/I611,0)</f>
        <v>0</v>
      </c>
      <c r="L611" s="644"/>
      <c r="M611" s="644"/>
      <c r="N611" s="644"/>
      <c r="O611" s="644"/>
      <c r="P611" s="644"/>
      <c r="Q611" s="541"/>
      <c r="R611" s="541"/>
      <c r="S611" s="541"/>
      <c r="T611" s="541"/>
      <c r="U611" s="541"/>
      <c r="V611" s="541"/>
      <c r="W611" s="541"/>
      <c r="X611" s="541"/>
      <c r="Y611" s="541"/>
      <c r="Z611" s="541"/>
    </row>
    <row r="612" spans="1:26" ht="19.5" hidden="1">
      <c r="A612" s="673"/>
      <c r="B612" s="683"/>
      <c r="C612" s="675" t="s">
        <v>262</v>
      </c>
      <c r="D612" s="683"/>
      <c r="E612" s="683"/>
      <c r="F612" s="676"/>
      <c r="G612" s="677"/>
      <c r="H612" s="678" t="s">
        <v>46</v>
      </c>
      <c r="I612" s="680">
        <v>0</v>
      </c>
      <c r="J612" s="680">
        <f t="shared" ref="J612:J613" si="258">J614+J616</f>
        <v>0</v>
      </c>
      <c r="K612" s="681">
        <f t="shared" si="257"/>
        <v>0</v>
      </c>
      <c r="L612" s="682"/>
      <c r="M612" s="682"/>
      <c r="N612" s="682"/>
      <c r="O612" s="682"/>
      <c r="P612" s="682"/>
      <c r="Q612" s="568"/>
      <c r="R612" s="568"/>
      <c r="S612" s="568"/>
      <c r="T612" s="568"/>
      <c r="U612" s="568"/>
      <c r="V612" s="568"/>
      <c r="W612" s="568"/>
      <c r="X612" s="568"/>
      <c r="Y612" s="568"/>
      <c r="Z612" s="568"/>
    </row>
    <row r="613" spans="1:26" ht="19.5" hidden="1">
      <c r="A613" s="673"/>
      <c r="B613" s="683"/>
      <c r="C613" s="683" t="s">
        <v>263</v>
      </c>
      <c r="D613" s="683"/>
      <c r="E613" s="683"/>
      <c r="F613" s="676"/>
      <c r="G613" s="677"/>
      <c r="H613" s="678" t="s">
        <v>34</v>
      </c>
      <c r="I613" s="680">
        <v>0</v>
      </c>
      <c r="J613" s="680">
        <f t="shared" si="258"/>
        <v>0</v>
      </c>
      <c r="K613" s="681">
        <f t="shared" si="257"/>
        <v>0</v>
      </c>
      <c r="L613" s="682"/>
      <c r="M613" s="682"/>
      <c r="N613" s="682"/>
      <c r="O613" s="682"/>
      <c r="P613" s="682"/>
      <c r="Q613" s="568"/>
      <c r="R613" s="568"/>
      <c r="S613" s="568"/>
      <c r="T613" s="568"/>
      <c r="U613" s="568"/>
      <c r="V613" s="568"/>
      <c r="W613" s="568"/>
      <c r="X613" s="568"/>
      <c r="Y613" s="568"/>
      <c r="Z613" s="568"/>
    </row>
    <row r="614" spans="1:26" ht="18.75" hidden="1">
      <c r="A614" s="578"/>
      <c r="B614" s="580"/>
      <c r="C614" s="580"/>
      <c r="D614" s="684" t="s">
        <v>264</v>
      </c>
      <c r="E614" s="580"/>
      <c r="F614" s="684"/>
      <c r="G614" s="581"/>
      <c r="H614" s="582" t="s">
        <v>46</v>
      </c>
      <c r="I614" s="583"/>
      <c r="J614" s="583">
        <v>0</v>
      </c>
      <c r="K614" s="167"/>
      <c r="L614" s="167"/>
      <c r="M614" s="167"/>
      <c r="N614" s="167"/>
      <c r="O614" s="167"/>
      <c r="P614" s="167"/>
      <c r="Q614" s="568"/>
      <c r="R614" s="568"/>
      <c r="S614" s="568"/>
      <c r="T614" s="568"/>
      <c r="U614" s="568"/>
      <c r="V614" s="568"/>
      <c r="W614" s="568"/>
      <c r="X614" s="568"/>
      <c r="Y614" s="568"/>
      <c r="Z614" s="568"/>
    </row>
    <row r="615" spans="1:26" ht="18.75" hidden="1">
      <c r="A615" s="578"/>
      <c r="B615" s="580"/>
      <c r="C615" s="580"/>
      <c r="D615" s="580"/>
      <c r="E615" s="580"/>
      <c r="F615" s="684"/>
      <c r="G615" s="581"/>
      <c r="H615" s="582" t="s">
        <v>34</v>
      </c>
      <c r="I615" s="583"/>
      <c r="J615" s="583">
        <v>0</v>
      </c>
      <c r="K615" s="167"/>
      <c r="L615" s="167"/>
      <c r="M615" s="167"/>
      <c r="N615" s="167"/>
      <c r="O615" s="167"/>
      <c r="P615" s="167"/>
      <c r="Q615" s="568"/>
      <c r="R615" s="568"/>
      <c r="S615" s="568"/>
      <c r="T615" s="568"/>
      <c r="U615" s="568"/>
      <c r="V615" s="568"/>
      <c r="W615" s="568"/>
      <c r="X615" s="568"/>
      <c r="Y615" s="568"/>
      <c r="Z615" s="568"/>
    </row>
    <row r="616" spans="1:26" ht="18.75" hidden="1">
      <c r="A616" s="578"/>
      <c r="B616" s="580"/>
      <c r="C616" s="580"/>
      <c r="D616" s="685" t="s">
        <v>264</v>
      </c>
      <c r="E616" s="684"/>
      <c r="F616" s="684"/>
      <c r="G616" s="581"/>
      <c r="H616" s="582" t="s">
        <v>46</v>
      </c>
      <c r="I616" s="583"/>
      <c r="J616" s="583">
        <v>0</v>
      </c>
      <c r="K616" s="167"/>
      <c r="L616" s="167"/>
      <c r="M616" s="167"/>
      <c r="N616" s="167"/>
      <c r="O616" s="167"/>
      <c r="P616" s="167"/>
      <c r="Q616" s="568"/>
      <c r="R616" s="568"/>
      <c r="S616" s="568"/>
      <c r="T616" s="568"/>
      <c r="U616" s="568"/>
      <c r="V616" s="568"/>
      <c r="W616" s="568"/>
      <c r="X616" s="568"/>
      <c r="Y616" s="568"/>
      <c r="Z616" s="568"/>
    </row>
    <row r="617" spans="1:26" ht="18.75" hidden="1">
      <c r="A617" s="578"/>
      <c r="B617" s="580"/>
      <c r="C617" s="580"/>
      <c r="D617" s="580"/>
      <c r="E617" s="684"/>
      <c r="F617" s="684"/>
      <c r="G617" s="581"/>
      <c r="H617" s="582" t="s">
        <v>34</v>
      </c>
      <c r="I617" s="583"/>
      <c r="J617" s="583">
        <v>0</v>
      </c>
      <c r="K617" s="167"/>
      <c r="L617" s="167"/>
      <c r="M617" s="167"/>
      <c r="N617" s="167"/>
      <c r="O617" s="167"/>
      <c r="P617" s="167"/>
      <c r="Q617" s="568"/>
      <c r="R617" s="568"/>
      <c r="S617" s="568"/>
      <c r="T617" s="568"/>
      <c r="U617" s="568"/>
      <c r="V617" s="568"/>
      <c r="W617" s="568"/>
      <c r="X617" s="568"/>
      <c r="Y617" s="568"/>
      <c r="Z617" s="568"/>
    </row>
    <row r="618" spans="1:26" ht="18.75" hidden="1">
      <c r="A618" s="578"/>
      <c r="B618" s="580"/>
      <c r="C618" s="580"/>
      <c r="D618" s="685" t="s">
        <v>265</v>
      </c>
      <c r="E618" s="684"/>
      <c r="F618" s="684"/>
      <c r="G618" s="581"/>
      <c r="H618" s="582" t="s">
        <v>46</v>
      </c>
      <c r="I618" s="583"/>
      <c r="J618" s="583">
        <v>0</v>
      </c>
      <c r="K618" s="167"/>
      <c r="L618" s="167"/>
      <c r="M618" s="167"/>
      <c r="N618" s="167"/>
      <c r="O618" s="167"/>
      <c r="P618" s="167"/>
      <c r="Q618" s="568"/>
      <c r="R618" s="568"/>
      <c r="S618" s="568"/>
      <c r="T618" s="568"/>
      <c r="U618" s="568"/>
      <c r="V618" s="568"/>
      <c r="W618" s="568"/>
      <c r="X618" s="568"/>
      <c r="Y618" s="568"/>
      <c r="Z618" s="568"/>
    </row>
    <row r="619" spans="1:26" ht="18.75" hidden="1">
      <c r="A619" s="578"/>
      <c r="B619" s="580"/>
      <c r="C619" s="580"/>
      <c r="D619" s="580"/>
      <c r="E619" s="684"/>
      <c r="F619" s="684"/>
      <c r="G619" s="581"/>
      <c r="H619" s="582" t="s">
        <v>34</v>
      </c>
      <c r="I619" s="583"/>
      <c r="J619" s="583">
        <v>0</v>
      </c>
      <c r="K619" s="167"/>
      <c r="L619" s="167"/>
      <c r="M619" s="167"/>
      <c r="N619" s="167"/>
      <c r="O619" s="167"/>
      <c r="P619" s="167"/>
      <c r="Q619" s="568"/>
      <c r="R619" s="568"/>
      <c r="S619" s="568"/>
      <c r="T619" s="568"/>
      <c r="U619" s="568"/>
      <c r="V619" s="568"/>
      <c r="W619" s="568"/>
      <c r="X619" s="568"/>
      <c r="Y619" s="568"/>
      <c r="Z619" s="568"/>
    </row>
    <row r="620" spans="1:26" ht="19.5">
      <c r="A620" s="686"/>
      <c r="B620" s="695"/>
      <c r="C620" s="688" t="s">
        <v>266</v>
      </c>
      <c r="D620" s="695"/>
      <c r="E620" s="695"/>
      <c r="F620" s="689"/>
      <c r="G620" s="690"/>
      <c r="H620" s="691" t="s">
        <v>46</v>
      </c>
      <c r="I620" s="692">
        <f ca="1">IFERROR(__xludf.DUMMYFUNCTION("IMPORTRANGE(""https://docs.google.com/spreadsheets/d/1QqKyyYR6Q21VydFLVH3TRQUabQu_ym0Zz7PgGX0-kHA/edit?usp=sharing"",""แผน!HL14"")"),0)</f>
        <v>0</v>
      </c>
      <c r="J620" s="692">
        <f t="shared" ref="J620:J621" si="259">J622+J624+J626</f>
        <v>0</v>
      </c>
      <c r="K620" s="693">
        <f t="shared" ref="K620:K621" ca="1" si="260">IF(I620&gt;0,J620*100/I620,0)</f>
        <v>0</v>
      </c>
      <c r="L620" s="694"/>
      <c r="M620" s="694"/>
      <c r="N620" s="694"/>
      <c r="O620" s="694"/>
      <c r="P620" s="694"/>
      <c r="Q620" s="541"/>
      <c r="R620" s="541"/>
      <c r="S620" s="541"/>
      <c r="T620" s="541"/>
      <c r="U620" s="541"/>
      <c r="V620" s="541"/>
      <c r="W620" s="541"/>
      <c r="X620" s="541"/>
      <c r="Y620" s="541"/>
      <c r="Z620" s="541"/>
    </row>
    <row r="621" spans="1:26" ht="19.5">
      <c r="A621" s="686"/>
      <c r="B621" s="695"/>
      <c r="C621" s="695" t="s">
        <v>267</v>
      </c>
      <c r="D621" s="695"/>
      <c r="E621" s="695"/>
      <c r="F621" s="689"/>
      <c r="G621" s="690"/>
      <c r="H621" s="691" t="s">
        <v>34</v>
      </c>
      <c r="I621" s="692">
        <f ca="1">IFERROR(__xludf.DUMMYFUNCTION("IMPORTRANGE(""https://docs.google.com/spreadsheets/d/1QqKyyYR6Q21VydFLVH3TRQUabQu_ym0Zz7PgGX0-kHA/edit?usp=sharing"",""แผน!HK14"")"),0)</f>
        <v>0</v>
      </c>
      <c r="J621" s="692">
        <f t="shared" si="259"/>
        <v>0</v>
      </c>
      <c r="K621" s="693">
        <f t="shared" ca="1" si="260"/>
        <v>0</v>
      </c>
      <c r="L621" s="694"/>
      <c r="M621" s="694"/>
      <c r="N621" s="694"/>
      <c r="O621" s="694"/>
      <c r="P621" s="694"/>
      <c r="Q621" s="541"/>
      <c r="R621" s="541"/>
      <c r="S621" s="541"/>
      <c r="T621" s="541"/>
      <c r="U621" s="541"/>
      <c r="V621" s="541"/>
      <c r="W621" s="541"/>
      <c r="X621" s="541"/>
      <c r="Y621" s="541"/>
      <c r="Z621" s="541"/>
    </row>
    <row r="622" spans="1:26" ht="18.75">
      <c r="A622" s="572"/>
      <c r="B622" s="584"/>
      <c r="C622" s="584"/>
      <c r="D622" s="710" t="s">
        <v>268</v>
      </c>
      <c r="E622" s="592"/>
      <c r="F622" s="592"/>
      <c r="G622" s="726"/>
      <c r="H622" s="728" t="s">
        <v>46</v>
      </c>
      <c r="I622" s="269"/>
      <c r="J622" s="214">
        <v>0</v>
      </c>
      <c r="K622" s="163"/>
      <c r="L622" s="163"/>
      <c r="M622" s="163"/>
      <c r="N622" s="163"/>
      <c r="O622" s="163"/>
      <c r="P622" s="163"/>
      <c r="Q622" s="541"/>
      <c r="R622" s="541"/>
      <c r="S622" s="541"/>
      <c r="T622" s="541"/>
      <c r="U622" s="541"/>
      <c r="V622" s="541"/>
      <c r="W622" s="541"/>
      <c r="X622" s="541"/>
      <c r="Y622" s="541"/>
      <c r="Z622" s="541"/>
    </row>
    <row r="623" spans="1:26" ht="18.75">
      <c r="A623" s="572"/>
      <c r="B623" s="584"/>
      <c r="C623" s="584"/>
      <c r="D623" s="584"/>
      <c r="E623" s="592"/>
      <c r="F623" s="592"/>
      <c r="G623" s="726"/>
      <c r="H623" s="728" t="s">
        <v>34</v>
      </c>
      <c r="I623" s="269"/>
      <c r="J623" s="214">
        <v>0</v>
      </c>
      <c r="K623" s="163"/>
      <c r="L623" s="163"/>
      <c r="M623" s="163"/>
      <c r="N623" s="163"/>
      <c r="O623" s="163"/>
      <c r="P623" s="163"/>
      <c r="Q623" s="541"/>
      <c r="R623" s="541"/>
      <c r="S623" s="541"/>
      <c r="T623" s="541"/>
      <c r="U623" s="541"/>
      <c r="V623" s="541"/>
      <c r="W623" s="541"/>
      <c r="X623" s="541"/>
      <c r="Y623" s="541"/>
      <c r="Z623" s="541"/>
    </row>
    <row r="624" spans="1:26" ht="18.75">
      <c r="A624" s="572"/>
      <c r="B624" s="584"/>
      <c r="C624" s="584"/>
      <c r="D624" s="710" t="s">
        <v>264</v>
      </c>
      <c r="E624" s="592"/>
      <c r="F624" s="592"/>
      <c r="G624" s="726"/>
      <c r="H624" s="728" t="s">
        <v>46</v>
      </c>
      <c r="I624" s="269"/>
      <c r="J624" s="214">
        <v>0</v>
      </c>
      <c r="K624" s="163"/>
      <c r="L624" s="163"/>
      <c r="M624" s="163"/>
      <c r="N624" s="163"/>
      <c r="O624" s="163"/>
      <c r="P624" s="163"/>
      <c r="Q624" s="541"/>
      <c r="R624" s="541"/>
      <c r="S624" s="541"/>
      <c r="T624" s="541"/>
      <c r="U624" s="541"/>
      <c r="V624" s="541"/>
      <c r="W624" s="541"/>
      <c r="X624" s="541"/>
      <c r="Y624" s="541"/>
      <c r="Z624" s="541"/>
    </row>
    <row r="625" spans="1:26" ht="18.75">
      <c r="A625" s="572"/>
      <c r="B625" s="584"/>
      <c r="C625" s="584"/>
      <c r="D625" s="584"/>
      <c r="E625" s="592"/>
      <c r="F625" s="592"/>
      <c r="G625" s="726"/>
      <c r="H625" s="728" t="s">
        <v>34</v>
      </c>
      <c r="I625" s="269"/>
      <c r="J625" s="214">
        <v>0</v>
      </c>
      <c r="K625" s="163"/>
      <c r="L625" s="163"/>
      <c r="M625" s="163"/>
      <c r="N625" s="163"/>
      <c r="O625" s="163"/>
      <c r="P625" s="163"/>
      <c r="Q625" s="541"/>
      <c r="R625" s="541"/>
      <c r="S625" s="541"/>
      <c r="T625" s="541"/>
      <c r="U625" s="541"/>
      <c r="V625" s="541"/>
      <c r="W625" s="541"/>
      <c r="X625" s="541"/>
      <c r="Y625" s="541"/>
      <c r="Z625" s="541"/>
    </row>
    <row r="626" spans="1:26" ht="18.75">
      <c r="A626" s="572"/>
      <c r="B626" s="584"/>
      <c r="C626" s="584"/>
      <c r="D626" s="710" t="s">
        <v>269</v>
      </c>
      <c r="E626" s="592"/>
      <c r="F626" s="592"/>
      <c r="G626" s="726"/>
      <c r="H626" s="728" t="s">
        <v>46</v>
      </c>
      <c r="I626" s="269"/>
      <c r="J626" s="214">
        <v>0</v>
      </c>
      <c r="K626" s="163"/>
      <c r="L626" s="163"/>
      <c r="M626" s="163"/>
      <c r="N626" s="163"/>
      <c r="O626" s="163"/>
      <c r="P626" s="163"/>
      <c r="Q626" s="541"/>
      <c r="R626" s="541"/>
      <c r="S626" s="541"/>
      <c r="T626" s="541"/>
      <c r="U626" s="541"/>
      <c r="V626" s="541"/>
      <c r="W626" s="541"/>
      <c r="X626" s="541"/>
      <c r="Y626" s="541"/>
      <c r="Z626" s="541"/>
    </row>
    <row r="627" spans="1:26" ht="18.75">
      <c r="A627" s="696"/>
      <c r="B627" s="697"/>
      <c r="C627" s="697"/>
      <c r="D627" s="697"/>
      <c r="E627" s="698"/>
      <c r="F627" s="698"/>
      <c r="G627" s="699"/>
      <c r="H627" s="390" t="s">
        <v>34</v>
      </c>
      <c r="I627" s="468"/>
      <c r="J627" s="392">
        <v>0</v>
      </c>
      <c r="K627" s="353"/>
      <c r="L627" s="353"/>
      <c r="M627" s="353"/>
      <c r="N627" s="353"/>
      <c r="O627" s="353"/>
      <c r="P627" s="353"/>
      <c r="Q627" s="541"/>
      <c r="R627" s="541"/>
      <c r="S627" s="541"/>
      <c r="T627" s="541"/>
      <c r="U627" s="541"/>
      <c r="V627" s="541"/>
      <c r="W627" s="541"/>
      <c r="X627" s="541"/>
      <c r="Y627" s="541"/>
      <c r="Z627" s="541"/>
    </row>
    <row r="628" spans="1:26" ht="19.5">
      <c r="A628" s="700">
        <v>7</v>
      </c>
      <c r="B628" s="701" t="s">
        <v>270</v>
      </c>
      <c r="C628" s="702"/>
      <c r="D628" s="702"/>
      <c r="E628" s="702"/>
      <c r="F628" s="702"/>
      <c r="G628" s="703"/>
      <c r="H628" s="704" t="s">
        <v>35</v>
      </c>
      <c r="I628" s="705">
        <f t="shared" ref="I628:J628" ca="1" si="261">I651</f>
        <v>350</v>
      </c>
      <c r="J628" s="705">
        <f t="shared" ca="1" si="261"/>
        <v>0</v>
      </c>
      <c r="K628" s="706">
        <f ca="1">IF(I628&gt;0,J628*100/I628,0)</f>
        <v>0</v>
      </c>
      <c r="L628" s="707"/>
      <c r="M628" s="707"/>
      <c r="N628" s="707"/>
      <c r="O628" s="707"/>
      <c r="P628" s="707"/>
      <c r="Q628" s="541"/>
      <c r="R628" s="541"/>
      <c r="S628" s="541"/>
      <c r="T628" s="541"/>
      <c r="U628" s="541"/>
      <c r="V628" s="541"/>
      <c r="W628" s="541"/>
      <c r="X628" s="541"/>
      <c r="Y628" s="541"/>
      <c r="Z628" s="541"/>
    </row>
    <row r="629" spans="1:26" ht="19.5">
      <c r="A629" s="561"/>
      <c r="B629" s="727"/>
      <c r="C629" s="727" t="s">
        <v>16</v>
      </c>
      <c r="D629" s="811" t="s">
        <v>17</v>
      </c>
      <c r="E629" s="805"/>
      <c r="F629" s="805"/>
      <c r="G629" s="189"/>
      <c r="H629" s="562" t="s">
        <v>12</v>
      </c>
      <c r="I629" s="269"/>
      <c r="J629" s="269"/>
      <c r="K629" s="465"/>
      <c r="L629" s="195">
        <f t="shared" ref="L629:N629" ca="1" si="262">L630+L631</f>
        <v>509340</v>
      </c>
      <c r="M629" s="195">
        <f t="shared" si="262"/>
        <v>0</v>
      </c>
      <c r="N629" s="195">
        <f t="shared" si="262"/>
        <v>0</v>
      </c>
      <c r="O629" s="195">
        <f t="shared" ref="O629:O634" ca="1" si="263">IF(L629&gt;0,N629*100/L629,0)</f>
        <v>0</v>
      </c>
      <c r="P629" s="195">
        <f t="shared" ref="P629:P634" si="264">IF(M629&gt;0,N629*100/M629,0)</f>
        <v>0</v>
      </c>
      <c r="Q629" s="541"/>
      <c r="R629" s="541"/>
      <c r="S629" s="541"/>
      <c r="T629" s="541"/>
      <c r="U629" s="541"/>
      <c r="V629" s="541"/>
      <c r="W629" s="541"/>
      <c r="X629" s="541"/>
      <c r="Y629" s="541"/>
      <c r="Z629" s="541"/>
    </row>
    <row r="630" spans="1:26" ht="18.75" hidden="1">
      <c r="A630" s="563"/>
      <c r="B630" s="723"/>
      <c r="C630" s="723"/>
      <c r="D630" s="684"/>
      <c r="E630" s="723" t="s">
        <v>184</v>
      </c>
      <c r="F630" s="723"/>
      <c r="G630" s="567"/>
      <c r="H630" s="165" t="s">
        <v>12</v>
      </c>
      <c r="I630" s="583"/>
      <c r="J630" s="583"/>
      <c r="K630" s="93"/>
      <c r="L630" s="93">
        <f t="shared" ref="L630:N631" si="265">L633+L640</f>
        <v>0</v>
      </c>
      <c r="M630" s="93">
        <f t="shared" si="265"/>
        <v>0</v>
      </c>
      <c r="N630" s="93">
        <f t="shared" si="265"/>
        <v>0</v>
      </c>
      <c r="O630" s="93">
        <f t="shared" si="263"/>
        <v>0</v>
      </c>
      <c r="P630" s="93">
        <f t="shared" si="264"/>
        <v>0</v>
      </c>
      <c r="Q630" s="568"/>
      <c r="R630" s="568"/>
      <c r="S630" s="568"/>
      <c r="T630" s="568"/>
      <c r="U630" s="568"/>
      <c r="V630" s="568"/>
      <c r="W630" s="568"/>
      <c r="X630" s="568"/>
      <c r="Y630" s="568"/>
      <c r="Z630" s="568"/>
    </row>
    <row r="631" spans="1:26" ht="18.75" hidden="1">
      <c r="A631" s="563"/>
      <c r="B631" s="571"/>
      <c r="C631" s="723"/>
      <c r="D631" s="684"/>
      <c r="E631" s="723" t="s">
        <v>185</v>
      </c>
      <c r="F631" s="723"/>
      <c r="G631" s="567"/>
      <c r="H631" s="165" t="s">
        <v>12</v>
      </c>
      <c r="I631" s="583"/>
      <c r="J631" s="583"/>
      <c r="K631" s="93"/>
      <c r="L631" s="93">
        <f t="shared" ca="1" si="265"/>
        <v>509340</v>
      </c>
      <c r="M631" s="93">
        <f t="shared" si="265"/>
        <v>0</v>
      </c>
      <c r="N631" s="93">
        <f t="shared" si="265"/>
        <v>0</v>
      </c>
      <c r="O631" s="93">
        <f t="shared" ca="1" si="263"/>
        <v>0</v>
      </c>
      <c r="P631" s="93">
        <f t="shared" si="264"/>
        <v>0</v>
      </c>
      <c r="Q631" s="568"/>
      <c r="R631" s="568"/>
      <c r="S631" s="568"/>
      <c r="T631" s="568"/>
      <c r="U631" s="568"/>
      <c r="V631" s="568"/>
      <c r="W631" s="568"/>
      <c r="X631" s="568"/>
      <c r="Y631" s="568"/>
      <c r="Z631" s="568"/>
    </row>
    <row r="632" spans="1:26" ht="18.75">
      <c r="A632" s="561"/>
      <c r="B632" s="538"/>
      <c r="C632" s="727"/>
      <c r="D632" s="570" t="s">
        <v>20</v>
      </c>
      <c r="E632" s="727"/>
      <c r="F632" s="727"/>
      <c r="G632" s="189"/>
      <c r="H632" s="161" t="s">
        <v>12</v>
      </c>
      <c r="I632" s="184"/>
      <c r="J632" s="184"/>
      <c r="K632" s="163"/>
      <c r="L632" s="465">
        <f t="shared" ref="L632:N632" ca="1" si="266">L633+L634</f>
        <v>509340</v>
      </c>
      <c r="M632" s="465">
        <f t="shared" si="266"/>
        <v>0</v>
      </c>
      <c r="N632" s="465">
        <f t="shared" si="266"/>
        <v>0</v>
      </c>
      <c r="O632" s="465">
        <f t="shared" ca="1" si="263"/>
        <v>0</v>
      </c>
      <c r="P632" s="465">
        <f t="shared" si="264"/>
        <v>0</v>
      </c>
      <c r="Q632" s="541"/>
      <c r="R632" s="541"/>
      <c r="S632" s="541"/>
      <c r="T632" s="541"/>
      <c r="U632" s="541"/>
      <c r="V632" s="541"/>
      <c r="W632" s="541"/>
      <c r="X632" s="541"/>
      <c r="Y632" s="541"/>
      <c r="Z632" s="541"/>
    </row>
    <row r="633" spans="1:26" ht="18.75" hidden="1">
      <c r="A633" s="563"/>
      <c r="B633" s="571"/>
      <c r="C633" s="723"/>
      <c r="D633" s="684"/>
      <c r="E633" s="723" t="s">
        <v>184</v>
      </c>
      <c r="F633" s="723"/>
      <c r="G633" s="567"/>
      <c r="H633" s="165" t="s">
        <v>12</v>
      </c>
      <c r="I633" s="583"/>
      <c r="J633" s="583"/>
      <c r="K633" s="93"/>
      <c r="L633" s="93">
        <v>0</v>
      </c>
      <c r="M633" s="93">
        <v>0</v>
      </c>
      <c r="N633" s="93">
        <v>0</v>
      </c>
      <c r="O633" s="93">
        <f t="shared" si="263"/>
        <v>0</v>
      </c>
      <c r="P633" s="93">
        <f t="shared" si="264"/>
        <v>0</v>
      </c>
      <c r="Q633" s="568"/>
      <c r="R633" s="568"/>
      <c r="S633" s="568"/>
      <c r="T633" s="568"/>
      <c r="U633" s="568"/>
      <c r="V633" s="568"/>
      <c r="W633" s="568"/>
      <c r="X633" s="568"/>
      <c r="Y633" s="568"/>
      <c r="Z633" s="568"/>
    </row>
    <row r="634" spans="1:26" ht="18.75" hidden="1">
      <c r="A634" s="563"/>
      <c r="B634" s="571"/>
      <c r="C634" s="723"/>
      <c r="D634" s="684"/>
      <c r="E634" s="723" t="s">
        <v>185</v>
      </c>
      <c r="F634" s="723"/>
      <c r="G634" s="567"/>
      <c r="H634" s="165" t="s">
        <v>12</v>
      </c>
      <c r="I634" s="583"/>
      <c r="J634" s="583"/>
      <c r="K634" s="93"/>
      <c r="L634" s="93">
        <f ca="1">IFERROR(__xludf.DUMMYFUNCTION("IMPORTRANGE(""https://docs.google.com/spreadsheets/d/1QqKyyYR6Q21VydFLVH3TRQUabQu_ym0Zz7PgGX0-kHA/edit?usp=sharing"",""แผน!HN14"")"),509340)</f>
        <v>509340</v>
      </c>
      <c r="M634" s="93">
        <v>0</v>
      </c>
      <c r="N634" s="93">
        <f>N635+N636+N637+N638</f>
        <v>0</v>
      </c>
      <c r="O634" s="93">
        <f t="shared" ca="1" si="263"/>
        <v>0</v>
      </c>
      <c r="P634" s="93">
        <f t="shared" si="264"/>
        <v>0</v>
      </c>
      <c r="Q634" s="568"/>
      <c r="R634" s="568"/>
      <c r="S634" s="568"/>
      <c r="T634" s="568"/>
      <c r="U634" s="568"/>
      <c r="V634" s="568"/>
      <c r="W634" s="568"/>
      <c r="X634" s="568"/>
      <c r="Y634" s="568"/>
      <c r="Z634" s="568"/>
    </row>
    <row r="635" spans="1:26" ht="18.75">
      <c r="A635" s="537"/>
      <c r="B635" s="538"/>
      <c r="C635" s="727"/>
      <c r="D635" s="727"/>
      <c r="E635" s="727"/>
      <c r="F635" s="727" t="s">
        <v>186</v>
      </c>
      <c r="G635" s="189"/>
      <c r="H635" s="161" t="s">
        <v>12</v>
      </c>
      <c r="I635" s="269"/>
      <c r="J635" s="269"/>
      <c r="K635" s="465"/>
      <c r="L635" s="465"/>
      <c r="M635" s="465"/>
      <c r="N635" s="789">
        <v>0</v>
      </c>
      <c r="O635" s="465"/>
      <c r="P635" s="465"/>
      <c r="Q635" s="541"/>
      <c r="R635" s="541"/>
      <c r="S635" s="541"/>
      <c r="T635" s="541"/>
      <c r="U635" s="541"/>
      <c r="V635" s="541"/>
      <c r="W635" s="541"/>
      <c r="X635" s="541"/>
      <c r="Y635" s="541"/>
      <c r="Z635" s="541"/>
    </row>
    <row r="636" spans="1:26" ht="18.75">
      <c r="A636" s="537"/>
      <c r="B636" s="538"/>
      <c r="C636" s="727"/>
      <c r="D636" s="727"/>
      <c r="E636" s="727"/>
      <c r="F636" s="727" t="s">
        <v>187</v>
      </c>
      <c r="G636" s="189"/>
      <c r="H636" s="161" t="s">
        <v>12</v>
      </c>
      <c r="I636" s="269"/>
      <c r="J636" s="269"/>
      <c r="K636" s="465"/>
      <c r="L636" s="465"/>
      <c r="M636" s="465"/>
      <c r="N636" s="789">
        <v>0</v>
      </c>
      <c r="O636" s="465"/>
      <c r="P636" s="465"/>
      <c r="Q636" s="541"/>
      <c r="R636" s="541"/>
      <c r="S636" s="541"/>
      <c r="T636" s="541"/>
      <c r="U636" s="541"/>
      <c r="V636" s="541"/>
      <c r="W636" s="541"/>
      <c r="X636" s="541"/>
      <c r="Y636" s="541"/>
      <c r="Z636" s="541"/>
    </row>
    <row r="637" spans="1:26" ht="18.75">
      <c r="A637" s="537"/>
      <c r="B637" s="538"/>
      <c r="C637" s="727"/>
      <c r="D637" s="727"/>
      <c r="E637" s="727"/>
      <c r="F637" s="727" t="s">
        <v>188</v>
      </c>
      <c r="G637" s="189"/>
      <c r="H637" s="161" t="s">
        <v>12</v>
      </c>
      <c r="I637" s="269"/>
      <c r="J637" s="269"/>
      <c r="K637" s="465"/>
      <c r="L637" s="465"/>
      <c r="M637" s="465"/>
      <c r="N637" s="789">
        <v>0</v>
      </c>
      <c r="O637" s="465"/>
      <c r="P637" s="465"/>
      <c r="Q637" s="541"/>
      <c r="R637" s="541"/>
      <c r="S637" s="541"/>
      <c r="T637" s="541"/>
      <c r="U637" s="541"/>
      <c r="V637" s="541"/>
      <c r="W637" s="541"/>
      <c r="X637" s="541"/>
      <c r="Y637" s="541"/>
      <c r="Z637" s="541"/>
    </row>
    <row r="638" spans="1:26" ht="18.75">
      <c r="A638" s="537"/>
      <c r="B638" s="538"/>
      <c r="C638" s="727"/>
      <c r="D638" s="727"/>
      <c r="E638" s="727"/>
      <c r="F638" s="727" t="s">
        <v>189</v>
      </c>
      <c r="G638" s="189"/>
      <c r="H638" s="161" t="s">
        <v>12</v>
      </c>
      <c r="I638" s="269"/>
      <c r="J638" s="269"/>
      <c r="K638" s="465"/>
      <c r="L638" s="465"/>
      <c r="M638" s="465"/>
      <c r="N638" s="789">
        <v>0</v>
      </c>
      <c r="O638" s="465"/>
      <c r="P638" s="465"/>
      <c r="Q638" s="541"/>
      <c r="R638" s="541"/>
      <c r="S638" s="541"/>
      <c r="T638" s="541"/>
      <c r="U638" s="541"/>
      <c r="V638" s="541"/>
      <c r="W638" s="541"/>
      <c r="X638" s="541"/>
      <c r="Y638" s="541"/>
      <c r="Z638" s="541"/>
    </row>
    <row r="639" spans="1:26" ht="18.75">
      <c r="A639" s="561"/>
      <c r="B639" s="538"/>
      <c r="C639" s="727"/>
      <c r="D639" s="570" t="s">
        <v>21</v>
      </c>
      <c r="E639" s="727"/>
      <c r="F639" s="727"/>
      <c r="G639" s="189"/>
      <c r="H639" s="168" t="s">
        <v>12</v>
      </c>
      <c r="I639" s="184"/>
      <c r="J639" s="184"/>
      <c r="K639" s="163"/>
      <c r="L639" s="465">
        <f t="shared" ref="L639:N639" ca="1" si="267">L640+L641</f>
        <v>0</v>
      </c>
      <c r="M639" s="465">
        <f t="shared" si="267"/>
        <v>0</v>
      </c>
      <c r="N639" s="465">
        <f t="shared" si="267"/>
        <v>0</v>
      </c>
      <c r="O639" s="465">
        <f t="shared" ref="O639:O641" ca="1" si="268">IF(L639&gt;0,N639*100/L639,0)</f>
        <v>0</v>
      </c>
      <c r="P639" s="465">
        <f t="shared" ref="P639:P641" si="269">IF(M639&gt;0,N639*100/M639,0)</f>
        <v>0</v>
      </c>
      <c r="Q639" s="541"/>
      <c r="R639" s="541"/>
      <c r="S639" s="541"/>
      <c r="T639" s="541"/>
      <c r="U639" s="541"/>
      <c r="V639" s="541"/>
      <c r="W639" s="541"/>
      <c r="X639" s="541"/>
      <c r="Y639" s="541"/>
      <c r="Z639" s="541"/>
    </row>
    <row r="640" spans="1:26" ht="18.75" hidden="1">
      <c r="A640" s="563"/>
      <c r="B640" s="571"/>
      <c r="C640" s="723"/>
      <c r="D640" s="723"/>
      <c r="E640" s="723" t="s">
        <v>18</v>
      </c>
      <c r="F640" s="723"/>
      <c r="G640" s="567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8"/>
        <v>0</v>
      </c>
      <c r="P640" s="93">
        <f t="shared" si="269"/>
        <v>0</v>
      </c>
      <c r="Q640" s="568"/>
      <c r="R640" s="568"/>
      <c r="S640" s="568"/>
      <c r="T640" s="568"/>
      <c r="U640" s="568"/>
      <c r="V640" s="568"/>
      <c r="W640" s="568"/>
      <c r="X640" s="568"/>
      <c r="Y640" s="568"/>
      <c r="Z640" s="568"/>
    </row>
    <row r="641" spans="1:26" ht="18.75" hidden="1">
      <c r="A641" s="563"/>
      <c r="B641" s="571"/>
      <c r="C641" s="723"/>
      <c r="D641" s="723"/>
      <c r="E641" s="723" t="s">
        <v>19</v>
      </c>
      <c r="F641" s="723"/>
      <c r="G641" s="567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IFERROR(__xludf.DUMMYFUNCTION("IMPORTRANGE(""https://docs.google.com/spreadsheets/d/1QqKyyYR6Q21VydFLVH3TRQUabQu_ym0Zz7PgGX0-kHA/edit?usp=sharing"",""แผน!HQ14"")"),0)</f>
        <v>0</v>
      </c>
      <c r="M641" s="93">
        <v>0</v>
      </c>
      <c r="N641" s="93">
        <v>0</v>
      </c>
      <c r="O641" s="93">
        <f t="shared" ca="1" si="268"/>
        <v>0</v>
      </c>
      <c r="P641" s="93">
        <f t="shared" si="269"/>
        <v>0</v>
      </c>
      <c r="Q641" s="568"/>
      <c r="R641" s="568"/>
      <c r="S641" s="568"/>
      <c r="T641" s="568"/>
      <c r="U641" s="568"/>
      <c r="V641" s="568"/>
      <c r="W641" s="568"/>
      <c r="X641" s="568"/>
      <c r="Y641" s="568"/>
      <c r="Z641" s="568"/>
    </row>
    <row r="642" spans="1:26" ht="19.5">
      <c r="A642" s="572"/>
      <c r="B642" s="584"/>
      <c r="C642" s="727" t="s">
        <v>16</v>
      </c>
      <c r="D642" s="853" t="s">
        <v>38</v>
      </c>
      <c r="E642" s="725"/>
      <c r="F642" s="725"/>
      <c r="G642" s="577"/>
      <c r="H642" s="726"/>
      <c r="I642" s="184"/>
      <c r="J642" s="184"/>
      <c r="K642" s="163"/>
      <c r="L642" s="163"/>
      <c r="M642" s="163"/>
      <c r="N642" s="163"/>
      <c r="O642" s="163"/>
      <c r="P642" s="163"/>
      <c r="Q642" s="541"/>
      <c r="R642" s="541"/>
      <c r="S642" s="541"/>
      <c r="T642" s="541"/>
      <c r="U642" s="541"/>
      <c r="V642" s="541"/>
      <c r="W642" s="541"/>
      <c r="X642" s="541"/>
      <c r="Y642" s="541"/>
      <c r="Z642" s="541"/>
    </row>
    <row r="643" spans="1:26" ht="18.75">
      <c r="A643" s="708"/>
      <c r="B643" s="538"/>
      <c r="C643" s="727"/>
      <c r="D643" s="592"/>
      <c r="E643" s="710" t="s">
        <v>271</v>
      </c>
      <c r="F643" s="592"/>
      <c r="G643" s="726"/>
      <c r="H643" s="728" t="s">
        <v>272</v>
      </c>
      <c r="I643" s="269">
        <f ca="1">IFERROR(__xludf.DUMMYFUNCTION("IMPORTRANGE(""https://docs.google.com/spreadsheets/d/1QqKyyYR6Q21VydFLVH3TRQUabQu_ym0Zz7PgGX0-kHA/edit?usp=sharing"",""แผน!HR14"")"),0)</f>
        <v>0</v>
      </c>
      <c r="J643" s="214">
        <v>0</v>
      </c>
      <c r="K643" s="163">
        <f t="shared" ref="K643:K652" ca="1" si="270">IF(I643&gt;0,J643*100/I643,0)</f>
        <v>0</v>
      </c>
      <c r="L643" s="163"/>
      <c r="M643" s="163"/>
      <c r="N643" s="465"/>
      <c r="O643" s="163"/>
      <c r="P643" s="163"/>
      <c r="Q643" s="541"/>
      <c r="R643" s="541"/>
      <c r="S643" s="541"/>
      <c r="T643" s="541"/>
      <c r="U643" s="541"/>
      <c r="V643" s="541"/>
      <c r="W643" s="541"/>
      <c r="X643" s="541"/>
      <c r="Y643" s="541"/>
      <c r="Z643" s="541"/>
    </row>
    <row r="644" spans="1:26" ht="18.75">
      <c r="A644" s="708"/>
      <c r="B644" s="538"/>
      <c r="C644" s="727"/>
      <c r="D644" s="592"/>
      <c r="E644" s="710" t="s">
        <v>273</v>
      </c>
      <c r="F644" s="592"/>
      <c r="G644" s="726"/>
      <c r="H644" s="728" t="s">
        <v>274</v>
      </c>
      <c r="I644" s="269">
        <f ca="1">IFERROR(__xludf.DUMMYFUNCTION("IMPORTRANGE(""https://docs.google.com/spreadsheets/d/1QqKyyYR6Q21VydFLVH3TRQUabQu_ym0Zz7PgGX0-kHA/edit?usp=sharing"",""แผน!HR14"")"),0)</f>
        <v>0</v>
      </c>
      <c r="J644" s="214">
        <v>0</v>
      </c>
      <c r="K644" s="163">
        <f t="shared" ca="1" si="270"/>
        <v>0</v>
      </c>
      <c r="L644" s="163"/>
      <c r="M644" s="163"/>
      <c r="N644" s="465"/>
      <c r="O644" s="163"/>
      <c r="P644" s="163"/>
      <c r="Q644" s="541"/>
      <c r="R644" s="541"/>
      <c r="S644" s="541"/>
      <c r="T644" s="541"/>
      <c r="U644" s="541"/>
      <c r="V644" s="541"/>
      <c r="W644" s="541"/>
      <c r="X644" s="541"/>
      <c r="Y644" s="541"/>
      <c r="Z644" s="541"/>
    </row>
    <row r="645" spans="1:26" ht="18.75">
      <c r="A645" s="708"/>
      <c r="B645" s="538"/>
      <c r="C645" s="727"/>
      <c r="D645" s="592"/>
      <c r="E645" s="710" t="s">
        <v>275</v>
      </c>
      <c r="F645" s="592"/>
      <c r="G645" s="726"/>
      <c r="H645" s="728" t="s">
        <v>34</v>
      </c>
      <c r="I645" s="269">
        <v>0</v>
      </c>
      <c r="J645" s="269">
        <f ca="1">IFERROR(__xludf.DUMMYFUNCTION("IMPORTRANGE(""https://docs.google.com/spreadsheets/d/1XWAQStnk-4SwqDmLtmXYiTMKHgktTP8We1SCoS47DrQ/edit?usp=sharing"",""จัดที่ดิน!AS69"")"),0)</f>
        <v>0</v>
      </c>
      <c r="K645" s="163">
        <f t="shared" si="270"/>
        <v>0</v>
      </c>
      <c r="L645" s="163"/>
      <c r="M645" s="163"/>
      <c r="N645" s="465"/>
      <c r="O645" s="163"/>
      <c r="P645" s="163"/>
      <c r="Q645" s="541"/>
      <c r="R645" s="541"/>
      <c r="S645" s="541"/>
      <c r="T645" s="541"/>
      <c r="U645" s="541"/>
      <c r="V645" s="541"/>
      <c r="W645" s="541"/>
      <c r="X645" s="541"/>
      <c r="Y645" s="541"/>
      <c r="Z645" s="541"/>
    </row>
    <row r="646" spans="1:26" ht="18.75">
      <c r="A646" s="708"/>
      <c r="B646" s="538"/>
      <c r="C646" s="727"/>
      <c r="D646" s="592"/>
      <c r="E646" s="592"/>
      <c r="F646" s="592"/>
      <c r="G646" s="726"/>
      <c r="H646" s="728" t="s">
        <v>46</v>
      </c>
      <c r="I646" s="269">
        <v>0</v>
      </c>
      <c r="J646" s="269">
        <f ca="1">IFERROR(__xludf.DUMMYFUNCTION("IMPORTRANGE(""https://docs.google.com/spreadsheets/d/1XWAQStnk-4SwqDmLtmXYiTMKHgktTP8We1SCoS47DrQ/edit?usp=sharing"",""จัดที่ดิน!AT69"")"),0)</f>
        <v>0</v>
      </c>
      <c r="K646" s="465">
        <f t="shared" si="270"/>
        <v>0</v>
      </c>
      <c r="L646" s="163"/>
      <c r="M646" s="163"/>
      <c r="N646" s="465"/>
      <c r="O646" s="163"/>
      <c r="P646" s="163"/>
      <c r="Q646" s="541"/>
      <c r="R646" s="541"/>
      <c r="S646" s="541"/>
      <c r="T646" s="541"/>
      <c r="U646" s="541"/>
      <c r="V646" s="541"/>
      <c r="W646" s="541"/>
      <c r="X646" s="541"/>
      <c r="Y646" s="541"/>
      <c r="Z646" s="541"/>
    </row>
    <row r="647" spans="1:26" ht="18.75">
      <c r="A647" s="708"/>
      <c r="B647" s="538"/>
      <c r="C647" s="727"/>
      <c r="D647" s="592"/>
      <c r="E647" s="710" t="s">
        <v>162</v>
      </c>
      <c r="F647" s="592"/>
      <c r="G647" s="726"/>
      <c r="H647" s="728" t="s">
        <v>35</v>
      </c>
      <c r="I647" s="269">
        <f ca="1">IFERROR(__xludf.DUMMYFUNCTION("IMPORTRANGE(""https://docs.google.com/spreadsheets/d/1QqKyyYR6Q21VydFLVH3TRQUabQu_ym0Zz7PgGX0-kHA/edit?usp=sharing"",""แผน!HS14"")"),350)</f>
        <v>350</v>
      </c>
      <c r="J647" s="269">
        <f ca="1">IFERROR(__xludf.DUMMYFUNCTION("IMPORTRANGE(""https://docs.google.com/spreadsheets/d/1XWAQStnk-4SwqDmLtmXYiTMKHgktTP8We1SCoS47DrQ/edit?usp=sharing"",""จัดที่ดิน!AU69"")"),0)</f>
        <v>0</v>
      </c>
      <c r="K647" s="163">
        <f t="shared" ca="1" si="270"/>
        <v>0</v>
      </c>
      <c r="L647" s="163"/>
      <c r="M647" s="163"/>
      <c r="N647" s="163"/>
      <c r="O647" s="163"/>
      <c r="P647" s="163"/>
      <c r="Q647" s="541"/>
      <c r="R647" s="541"/>
      <c r="S647" s="541"/>
      <c r="T647" s="541"/>
      <c r="U647" s="541"/>
      <c r="V647" s="541"/>
      <c r="W647" s="541"/>
      <c r="X647" s="541"/>
      <c r="Y647" s="541"/>
      <c r="Z647" s="541"/>
    </row>
    <row r="648" spans="1:26" ht="18.75">
      <c r="A648" s="708"/>
      <c r="B648" s="538"/>
      <c r="C648" s="727"/>
      <c r="D648" s="592"/>
      <c r="E648" s="592"/>
      <c r="F648" s="592"/>
      <c r="G648" s="726"/>
      <c r="H648" s="728" t="s">
        <v>46</v>
      </c>
      <c r="I648" s="269">
        <v>0</v>
      </c>
      <c r="J648" s="269">
        <f ca="1">IFERROR(__xludf.DUMMYFUNCTION("IMPORTRANGE(""https://docs.google.com/spreadsheets/d/1XWAQStnk-4SwqDmLtmXYiTMKHgktTP8We1SCoS47DrQ/edit?usp=sharing"",""จัดที่ดิน!AV69"")"),0)</f>
        <v>0</v>
      </c>
      <c r="K648" s="465">
        <f t="shared" si="270"/>
        <v>0</v>
      </c>
      <c r="L648" s="163"/>
      <c r="M648" s="163"/>
      <c r="N648" s="163"/>
      <c r="O648" s="163"/>
      <c r="P648" s="163"/>
      <c r="Q648" s="541"/>
      <c r="R648" s="541"/>
      <c r="S648" s="541"/>
      <c r="T648" s="541"/>
      <c r="U648" s="541"/>
      <c r="V648" s="541"/>
      <c r="W648" s="541"/>
      <c r="X648" s="541"/>
      <c r="Y648" s="541"/>
      <c r="Z648" s="541"/>
    </row>
    <row r="649" spans="1:26" ht="18.75">
      <c r="A649" s="708"/>
      <c r="B649" s="538"/>
      <c r="C649" s="727"/>
      <c r="D649" s="592"/>
      <c r="E649" s="710" t="s">
        <v>276</v>
      </c>
      <c r="F649" s="592"/>
      <c r="G649" s="726"/>
      <c r="H649" s="728" t="s">
        <v>35</v>
      </c>
      <c r="I649" s="269">
        <f ca="1">IFERROR(__xludf.DUMMYFUNCTION("IMPORTRANGE(""https://docs.google.com/spreadsheets/d/1QqKyyYR6Q21VydFLVH3TRQUabQu_ym0Zz7PgGX0-kHA/edit?usp=sharing"",""แผน!HS14"")"),350)</f>
        <v>350</v>
      </c>
      <c r="J649" s="269">
        <f ca="1">IFERROR(__xludf.DUMMYFUNCTION("IMPORTRANGE(""https://docs.google.com/spreadsheets/d/1XWAQStnk-4SwqDmLtmXYiTMKHgktTP8We1SCoS47DrQ/edit?usp=sharing"",""จัดที่ดิน!AW69"")"),0)</f>
        <v>0</v>
      </c>
      <c r="K649" s="163">
        <f t="shared" ca="1" si="270"/>
        <v>0</v>
      </c>
      <c r="L649" s="163"/>
      <c r="M649" s="163"/>
      <c r="N649" s="163"/>
      <c r="O649" s="163"/>
      <c r="P649" s="163"/>
      <c r="Q649" s="541"/>
      <c r="R649" s="541"/>
      <c r="S649" s="541"/>
      <c r="T649" s="541"/>
      <c r="U649" s="541"/>
      <c r="V649" s="541"/>
      <c r="W649" s="541"/>
      <c r="X649" s="541"/>
      <c r="Y649" s="541"/>
      <c r="Z649" s="541"/>
    </row>
    <row r="650" spans="1:26" ht="18.75">
      <c r="A650" s="708"/>
      <c r="B650" s="538"/>
      <c r="C650" s="727"/>
      <c r="D650" s="592"/>
      <c r="E650" s="592"/>
      <c r="F650" s="592"/>
      <c r="G650" s="726"/>
      <c r="H650" s="728" t="s">
        <v>46</v>
      </c>
      <c r="I650" s="269">
        <v>0</v>
      </c>
      <c r="J650" s="269">
        <f ca="1">IFERROR(__xludf.DUMMYFUNCTION("IMPORTRANGE(""https://docs.google.com/spreadsheets/d/1XWAQStnk-4SwqDmLtmXYiTMKHgktTP8We1SCoS47DrQ/edit?usp=sharing"",""จัดที่ดิน!AX69"")"),0)</f>
        <v>0</v>
      </c>
      <c r="K650" s="465">
        <f t="shared" si="270"/>
        <v>0</v>
      </c>
      <c r="L650" s="163"/>
      <c r="M650" s="163"/>
      <c r="N650" s="163"/>
      <c r="O650" s="163"/>
      <c r="P650" s="163"/>
      <c r="Q650" s="541"/>
      <c r="R650" s="541"/>
      <c r="S650" s="541"/>
      <c r="T650" s="541"/>
      <c r="U650" s="541"/>
      <c r="V650" s="541"/>
      <c r="W650" s="541"/>
      <c r="X650" s="541"/>
      <c r="Y650" s="541"/>
      <c r="Z650" s="541"/>
    </row>
    <row r="651" spans="1:26" ht="18.75">
      <c r="A651" s="708"/>
      <c r="B651" s="538"/>
      <c r="C651" s="727"/>
      <c r="D651" s="592"/>
      <c r="E651" s="710" t="s">
        <v>277</v>
      </c>
      <c r="F651" s="592"/>
      <c r="G651" s="726"/>
      <c r="H651" s="728" t="s">
        <v>35</v>
      </c>
      <c r="I651" s="269">
        <f ca="1">IFERROR(__xludf.DUMMYFUNCTION("IMPORTRANGE(""https://docs.google.com/spreadsheets/d/1QqKyyYR6Q21VydFLVH3TRQUabQu_ym0Zz7PgGX0-kHA/edit?usp=sharing"",""แผน!HS14"")"),350)</f>
        <v>350</v>
      </c>
      <c r="J651" s="269">
        <f ca="1">IFERROR(__xludf.DUMMYFUNCTION("IMPORTRANGE(""https://docs.google.com/spreadsheets/d/1XWAQStnk-4SwqDmLtmXYiTMKHgktTP8We1SCoS47DrQ/edit?usp=sharing"",""จัดที่ดิน!AY69"")"),0)</f>
        <v>0</v>
      </c>
      <c r="K651" s="163">
        <f t="shared" ca="1" si="270"/>
        <v>0</v>
      </c>
      <c r="L651" s="163"/>
      <c r="M651" s="163"/>
      <c r="N651" s="163"/>
      <c r="O651" s="163"/>
      <c r="P651" s="163"/>
      <c r="Q651" s="541"/>
      <c r="R651" s="541"/>
      <c r="S651" s="541"/>
      <c r="T651" s="541"/>
      <c r="U651" s="541"/>
      <c r="V651" s="541"/>
      <c r="W651" s="541"/>
      <c r="X651" s="541"/>
      <c r="Y651" s="541"/>
      <c r="Z651" s="541"/>
    </row>
    <row r="652" spans="1:26" ht="18.75">
      <c r="A652" s="711"/>
      <c r="B652" s="712"/>
      <c r="C652" s="713"/>
      <c r="D652" s="698"/>
      <c r="E652" s="698"/>
      <c r="F652" s="698"/>
      <c r="G652" s="699"/>
      <c r="H652" s="467" t="s">
        <v>46</v>
      </c>
      <c r="I652" s="468">
        <v>0</v>
      </c>
      <c r="J652" s="468">
        <f ca="1">IFERROR(__xludf.DUMMYFUNCTION("IMPORTRANGE(""https://docs.google.com/spreadsheets/d/1XWAQStnk-4SwqDmLtmXYiTMKHgktTP8We1SCoS47DrQ/edit?usp=sharing"",""จัดที่ดิน!AZ69"")"),0)</f>
        <v>0</v>
      </c>
      <c r="K652" s="469">
        <f t="shared" si="270"/>
        <v>0</v>
      </c>
      <c r="L652" s="353"/>
      <c r="M652" s="353"/>
      <c r="N652" s="353"/>
      <c r="O652" s="353"/>
      <c r="P652" s="353"/>
      <c r="Q652" s="541"/>
      <c r="R652" s="541"/>
      <c r="S652" s="541"/>
      <c r="T652" s="541"/>
      <c r="U652" s="541"/>
      <c r="V652" s="541"/>
      <c r="W652" s="541"/>
      <c r="X652" s="541"/>
      <c r="Y652" s="541"/>
      <c r="Z652" s="541"/>
    </row>
    <row r="653" spans="1:26" ht="19.5" hidden="1">
      <c r="A653" s="714">
        <v>8</v>
      </c>
      <c r="B653" s="701" t="s">
        <v>278</v>
      </c>
      <c r="C653" s="702"/>
      <c r="D653" s="702"/>
      <c r="E653" s="702"/>
      <c r="F653" s="702"/>
      <c r="G653" s="703"/>
      <c r="H653" s="703"/>
      <c r="I653" s="715"/>
      <c r="J653" s="715"/>
      <c r="K653" s="707"/>
      <c r="L653" s="707"/>
      <c r="M653" s="707"/>
      <c r="N653" s="707"/>
      <c r="O653" s="707"/>
      <c r="P653" s="707"/>
      <c r="Q653" s="541"/>
      <c r="R653" s="541"/>
      <c r="S653" s="541"/>
      <c r="T653" s="541"/>
      <c r="U653" s="541"/>
      <c r="V653" s="541"/>
      <c r="W653" s="541"/>
      <c r="X653" s="541"/>
      <c r="Y653" s="541"/>
      <c r="Z653" s="541"/>
    </row>
    <row r="654" spans="1:26" ht="19.5" hidden="1">
      <c r="A654" s="639"/>
      <c r="B654" s="638" t="s">
        <v>279</v>
      </c>
      <c r="C654" s="639"/>
      <c r="D654" s="639"/>
      <c r="E654" s="639"/>
      <c r="F654" s="639"/>
      <c r="G654" s="640"/>
      <c r="H654" s="671" t="s">
        <v>46</v>
      </c>
      <c r="I654" s="672">
        <f t="shared" ref="I654:J654" ca="1" si="271">I669</f>
        <v>0</v>
      </c>
      <c r="J654" s="672">
        <f t="shared" si="271"/>
        <v>0</v>
      </c>
      <c r="K654" s="643">
        <f ca="1">IF(I654&gt;0,J654*100/I654,0)</f>
        <v>0</v>
      </c>
      <c r="L654" s="644"/>
      <c r="M654" s="644"/>
      <c r="N654" s="644"/>
      <c r="O654" s="644"/>
      <c r="P654" s="644"/>
      <c r="Q654" s="541"/>
      <c r="R654" s="541"/>
      <c r="S654" s="541"/>
      <c r="T654" s="541"/>
      <c r="U654" s="541"/>
      <c r="V654" s="541"/>
      <c r="W654" s="541"/>
      <c r="X654" s="541"/>
      <c r="Y654" s="541"/>
      <c r="Z654" s="541"/>
    </row>
    <row r="655" spans="1:26" ht="19.5" hidden="1">
      <c r="A655" s="561"/>
      <c r="B655" s="727"/>
      <c r="C655" s="727" t="s">
        <v>16</v>
      </c>
      <c r="D655" s="811" t="s">
        <v>17</v>
      </c>
      <c r="E655" s="805"/>
      <c r="F655" s="805"/>
      <c r="G655" s="189"/>
      <c r="H655" s="562" t="s">
        <v>12</v>
      </c>
      <c r="I655" s="269"/>
      <c r="J655" s="269"/>
      <c r="K655" s="465"/>
      <c r="L655" s="195">
        <f t="shared" ref="L655:N655" ca="1" si="272">L656+L657</f>
        <v>0</v>
      </c>
      <c r="M655" s="195">
        <f t="shared" si="272"/>
        <v>0</v>
      </c>
      <c r="N655" s="195">
        <f t="shared" si="272"/>
        <v>0</v>
      </c>
      <c r="O655" s="195">
        <f t="shared" ref="O655:O660" ca="1" si="273">IF(L655&gt;0,N655*100/L655,0)</f>
        <v>0</v>
      </c>
      <c r="P655" s="195">
        <f t="shared" ref="P655:P660" si="274">IF(M655&gt;0,N655*100/M655,0)</f>
        <v>0</v>
      </c>
      <c r="Q655" s="541"/>
      <c r="R655" s="541"/>
      <c r="S655" s="541"/>
      <c r="T655" s="541"/>
      <c r="U655" s="541"/>
      <c r="V655" s="541"/>
      <c r="W655" s="541"/>
      <c r="X655" s="541"/>
      <c r="Y655" s="541"/>
      <c r="Z655" s="541"/>
    </row>
    <row r="656" spans="1:26" ht="18.75" hidden="1">
      <c r="A656" s="563"/>
      <c r="B656" s="723"/>
      <c r="C656" s="723"/>
      <c r="D656" s="684"/>
      <c r="E656" s="723" t="s">
        <v>184</v>
      </c>
      <c r="F656" s="723"/>
      <c r="G656" s="567"/>
      <c r="H656" s="165" t="s">
        <v>12</v>
      </c>
      <c r="I656" s="583"/>
      <c r="J656" s="583"/>
      <c r="K656" s="93"/>
      <c r="L656" s="93">
        <f t="shared" ref="L656:N657" si="275">L659+L666</f>
        <v>0</v>
      </c>
      <c r="M656" s="93">
        <f t="shared" si="275"/>
        <v>0</v>
      </c>
      <c r="N656" s="93">
        <f t="shared" si="275"/>
        <v>0</v>
      </c>
      <c r="O656" s="93">
        <f t="shared" si="273"/>
        <v>0</v>
      </c>
      <c r="P656" s="93">
        <f t="shared" si="274"/>
        <v>0</v>
      </c>
      <c r="Q656" s="568"/>
      <c r="R656" s="568"/>
      <c r="S656" s="568"/>
      <c r="T656" s="568"/>
      <c r="U656" s="568"/>
      <c r="V656" s="568"/>
      <c r="W656" s="568"/>
      <c r="X656" s="568"/>
      <c r="Y656" s="568"/>
      <c r="Z656" s="568"/>
    </row>
    <row r="657" spans="1:26" ht="18.75" hidden="1">
      <c r="A657" s="563"/>
      <c r="B657" s="571"/>
      <c r="C657" s="723"/>
      <c r="D657" s="684"/>
      <c r="E657" s="723" t="s">
        <v>185</v>
      </c>
      <c r="F657" s="723"/>
      <c r="G657" s="567"/>
      <c r="H657" s="165" t="s">
        <v>12</v>
      </c>
      <c r="I657" s="583"/>
      <c r="J657" s="583"/>
      <c r="K657" s="93"/>
      <c r="L657" s="93">
        <f t="shared" ca="1" si="275"/>
        <v>0</v>
      </c>
      <c r="M657" s="93">
        <f t="shared" si="275"/>
        <v>0</v>
      </c>
      <c r="N657" s="93">
        <f t="shared" si="275"/>
        <v>0</v>
      </c>
      <c r="O657" s="93">
        <f t="shared" ca="1" si="273"/>
        <v>0</v>
      </c>
      <c r="P657" s="93">
        <f t="shared" si="274"/>
        <v>0</v>
      </c>
      <c r="Q657" s="568"/>
      <c r="R657" s="568"/>
      <c r="S657" s="568"/>
      <c r="T657" s="568"/>
      <c r="U657" s="568"/>
      <c r="V657" s="568"/>
      <c r="W657" s="568"/>
      <c r="X657" s="568"/>
      <c r="Y657" s="568"/>
      <c r="Z657" s="568"/>
    </row>
    <row r="658" spans="1:26" ht="18.75" hidden="1">
      <c r="A658" s="561"/>
      <c r="B658" s="538"/>
      <c r="C658" s="727"/>
      <c r="D658" s="570" t="s">
        <v>20</v>
      </c>
      <c r="E658" s="727"/>
      <c r="F658" s="727"/>
      <c r="G658" s="189"/>
      <c r="H658" s="161" t="s">
        <v>12</v>
      </c>
      <c r="I658" s="184"/>
      <c r="J658" s="184"/>
      <c r="K658" s="163"/>
      <c r="L658" s="465">
        <f t="shared" ref="L658:N658" ca="1" si="276">L659+L660</f>
        <v>0</v>
      </c>
      <c r="M658" s="465">
        <f t="shared" si="276"/>
        <v>0</v>
      </c>
      <c r="N658" s="465">
        <f t="shared" si="276"/>
        <v>0</v>
      </c>
      <c r="O658" s="465">
        <f t="shared" ca="1" si="273"/>
        <v>0</v>
      </c>
      <c r="P658" s="465">
        <f t="shared" si="274"/>
        <v>0</v>
      </c>
      <c r="Q658" s="541"/>
      <c r="R658" s="541"/>
      <c r="S658" s="541"/>
      <c r="T658" s="541"/>
      <c r="U658" s="541"/>
      <c r="V658" s="541"/>
      <c r="W658" s="541"/>
      <c r="X658" s="541"/>
      <c r="Y658" s="541"/>
      <c r="Z658" s="541"/>
    </row>
    <row r="659" spans="1:26" ht="18.75" hidden="1">
      <c r="A659" s="563"/>
      <c r="B659" s="571"/>
      <c r="C659" s="723"/>
      <c r="D659" s="684"/>
      <c r="E659" s="723" t="s">
        <v>184</v>
      </c>
      <c r="F659" s="723"/>
      <c r="G659" s="567"/>
      <c r="H659" s="165" t="s">
        <v>12</v>
      </c>
      <c r="I659" s="583"/>
      <c r="J659" s="583"/>
      <c r="K659" s="93"/>
      <c r="L659" s="93">
        <v>0</v>
      </c>
      <c r="M659" s="93">
        <v>0</v>
      </c>
      <c r="N659" s="93">
        <v>0</v>
      </c>
      <c r="O659" s="93">
        <f t="shared" si="273"/>
        <v>0</v>
      </c>
      <c r="P659" s="93">
        <f t="shared" si="274"/>
        <v>0</v>
      </c>
      <c r="Q659" s="568"/>
      <c r="R659" s="568"/>
      <c r="S659" s="568"/>
      <c r="T659" s="568"/>
      <c r="U659" s="568"/>
      <c r="V659" s="568"/>
      <c r="W659" s="568"/>
      <c r="X659" s="568"/>
      <c r="Y659" s="568"/>
      <c r="Z659" s="568"/>
    </row>
    <row r="660" spans="1:26" ht="18.75" hidden="1">
      <c r="A660" s="563"/>
      <c r="B660" s="571"/>
      <c r="C660" s="723"/>
      <c r="D660" s="684"/>
      <c r="E660" s="723" t="s">
        <v>185</v>
      </c>
      <c r="F660" s="723"/>
      <c r="G660" s="567"/>
      <c r="H660" s="165" t="s">
        <v>12</v>
      </c>
      <c r="I660" s="583"/>
      <c r="J660" s="583"/>
      <c r="K660" s="93"/>
      <c r="L660" s="93">
        <f ca="1">IFERROR(__xludf.DUMMYFUNCTION("IMPORTRANGE(""https://docs.google.com/spreadsheets/d/1QqKyyYR6Q21VydFLVH3TRQUabQu_ym0Zz7PgGX0-kHA/edit?usp=sharing"",""แผน!HV14"")"),0)</f>
        <v>0</v>
      </c>
      <c r="M660" s="93">
        <v>0</v>
      </c>
      <c r="N660" s="93">
        <f>N661+N662+N663+N664</f>
        <v>0</v>
      </c>
      <c r="O660" s="93">
        <f t="shared" ca="1" si="273"/>
        <v>0</v>
      </c>
      <c r="P660" s="93">
        <f t="shared" si="274"/>
        <v>0</v>
      </c>
      <c r="Q660" s="568"/>
      <c r="R660" s="568"/>
      <c r="S660" s="568"/>
      <c r="T660" s="568"/>
      <c r="U660" s="568"/>
      <c r="V660" s="568"/>
      <c r="W660" s="568"/>
      <c r="X660" s="568"/>
      <c r="Y660" s="568"/>
      <c r="Z660" s="568"/>
    </row>
    <row r="661" spans="1:26" ht="18.75" hidden="1">
      <c r="A661" s="537"/>
      <c r="B661" s="538"/>
      <c r="C661" s="727"/>
      <c r="D661" s="727"/>
      <c r="E661" s="727"/>
      <c r="F661" s="727" t="s">
        <v>186</v>
      </c>
      <c r="G661" s="189"/>
      <c r="H661" s="161" t="s">
        <v>12</v>
      </c>
      <c r="I661" s="269"/>
      <c r="J661" s="269"/>
      <c r="K661" s="465"/>
      <c r="L661" s="465"/>
      <c r="M661" s="465"/>
      <c r="N661" s="789">
        <v>0</v>
      </c>
      <c r="O661" s="465"/>
      <c r="P661" s="465"/>
      <c r="Q661" s="541"/>
      <c r="R661" s="541"/>
      <c r="S661" s="541"/>
      <c r="T661" s="541"/>
      <c r="U661" s="541"/>
      <c r="V661" s="541"/>
      <c r="W661" s="541"/>
      <c r="X661" s="541"/>
      <c r="Y661" s="541"/>
      <c r="Z661" s="541"/>
    </row>
    <row r="662" spans="1:26" ht="18.75" hidden="1">
      <c r="A662" s="537"/>
      <c r="B662" s="538"/>
      <c r="C662" s="727"/>
      <c r="D662" s="727"/>
      <c r="E662" s="727"/>
      <c r="F662" s="727" t="s">
        <v>187</v>
      </c>
      <c r="G662" s="189"/>
      <c r="H662" s="161" t="s">
        <v>12</v>
      </c>
      <c r="I662" s="269"/>
      <c r="J662" s="269"/>
      <c r="K662" s="465"/>
      <c r="L662" s="465"/>
      <c r="M662" s="465"/>
      <c r="N662" s="789">
        <v>0</v>
      </c>
      <c r="O662" s="465"/>
      <c r="P662" s="465"/>
      <c r="Q662" s="541"/>
      <c r="R662" s="541"/>
      <c r="S662" s="541"/>
      <c r="T662" s="541"/>
      <c r="U662" s="541"/>
      <c r="V662" s="541"/>
      <c r="W662" s="541"/>
      <c r="X662" s="541"/>
      <c r="Y662" s="541"/>
      <c r="Z662" s="541"/>
    </row>
    <row r="663" spans="1:26" ht="18.75" hidden="1">
      <c r="A663" s="537"/>
      <c r="B663" s="538"/>
      <c r="C663" s="538"/>
      <c r="D663" s="727"/>
      <c r="E663" s="727"/>
      <c r="F663" s="727" t="s">
        <v>188</v>
      </c>
      <c r="G663" s="189"/>
      <c r="H663" s="161" t="s">
        <v>12</v>
      </c>
      <c r="I663" s="269"/>
      <c r="J663" s="269"/>
      <c r="K663" s="465"/>
      <c r="L663" s="465"/>
      <c r="M663" s="465"/>
      <c r="N663" s="789">
        <v>0</v>
      </c>
      <c r="O663" s="465"/>
      <c r="P663" s="465"/>
      <c r="Q663" s="541"/>
      <c r="R663" s="541"/>
      <c r="S663" s="541"/>
      <c r="T663" s="541"/>
      <c r="U663" s="541"/>
      <c r="V663" s="541"/>
      <c r="W663" s="541"/>
      <c r="X663" s="541"/>
      <c r="Y663" s="541"/>
      <c r="Z663" s="541"/>
    </row>
    <row r="664" spans="1:26" ht="18.75" hidden="1">
      <c r="A664" s="537"/>
      <c r="B664" s="538"/>
      <c r="C664" s="538"/>
      <c r="D664" s="538"/>
      <c r="E664" s="727"/>
      <c r="F664" s="727" t="s">
        <v>189</v>
      </c>
      <c r="G664" s="189"/>
      <c r="H664" s="161" t="s">
        <v>12</v>
      </c>
      <c r="I664" s="269"/>
      <c r="J664" s="269"/>
      <c r="K664" s="465"/>
      <c r="L664" s="465"/>
      <c r="M664" s="465"/>
      <c r="N664" s="789">
        <v>0</v>
      </c>
      <c r="O664" s="465"/>
      <c r="P664" s="465"/>
      <c r="Q664" s="541"/>
      <c r="R664" s="541"/>
      <c r="S664" s="541"/>
      <c r="T664" s="541"/>
      <c r="U664" s="541"/>
      <c r="V664" s="541"/>
      <c r="W664" s="541"/>
      <c r="X664" s="541"/>
      <c r="Y664" s="541"/>
      <c r="Z664" s="541"/>
    </row>
    <row r="665" spans="1:26" ht="18.75" hidden="1">
      <c r="A665" s="561"/>
      <c r="B665" s="538"/>
      <c r="C665" s="538"/>
      <c r="D665" s="570" t="s">
        <v>21</v>
      </c>
      <c r="E665" s="727"/>
      <c r="F665" s="727"/>
      <c r="G665" s="189"/>
      <c r="H665" s="168" t="s">
        <v>12</v>
      </c>
      <c r="I665" s="184"/>
      <c r="J665" s="184"/>
      <c r="K665" s="163"/>
      <c r="L665" s="465">
        <f t="shared" ref="L665:N665" si="277">L666+L667</f>
        <v>0</v>
      </c>
      <c r="M665" s="465">
        <f t="shared" si="277"/>
        <v>0</v>
      </c>
      <c r="N665" s="465">
        <f t="shared" si="277"/>
        <v>0</v>
      </c>
      <c r="O665" s="465">
        <f t="shared" ref="O665:O667" si="278">IF(L665&gt;0,N665*100/L665,0)</f>
        <v>0</v>
      </c>
      <c r="P665" s="465">
        <f t="shared" ref="P665:P667" si="279">IF(M665&gt;0,N665*100/M665,0)</f>
        <v>0</v>
      </c>
      <c r="Q665" s="541"/>
      <c r="R665" s="541"/>
      <c r="S665" s="541"/>
      <c r="T665" s="541"/>
      <c r="U665" s="541"/>
      <c r="V665" s="541"/>
      <c r="W665" s="541"/>
      <c r="X665" s="541"/>
      <c r="Y665" s="541"/>
      <c r="Z665" s="541"/>
    </row>
    <row r="666" spans="1:26" ht="18.75" hidden="1">
      <c r="A666" s="563"/>
      <c r="B666" s="571"/>
      <c r="C666" s="571"/>
      <c r="D666" s="571"/>
      <c r="E666" s="723" t="s">
        <v>18</v>
      </c>
      <c r="F666" s="723"/>
      <c r="G666" s="567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8"/>
        <v>0</v>
      </c>
      <c r="P666" s="93">
        <f t="shared" si="279"/>
        <v>0</v>
      </c>
      <c r="Q666" s="568"/>
      <c r="R666" s="568"/>
      <c r="S666" s="568"/>
      <c r="T666" s="568"/>
      <c r="U666" s="568"/>
      <c r="V666" s="568"/>
      <c r="W666" s="568"/>
      <c r="X666" s="568"/>
      <c r="Y666" s="568"/>
      <c r="Z666" s="568"/>
    </row>
    <row r="667" spans="1:26" ht="18.75" hidden="1">
      <c r="A667" s="563"/>
      <c r="B667" s="571"/>
      <c r="C667" s="571"/>
      <c r="D667" s="571"/>
      <c r="E667" s="723" t="s">
        <v>19</v>
      </c>
      <c r="F667" s="723"/>
      <c r="G667" s="567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8"/>
        <v>0</v>
      </c>
      <c r="P667" s="93">
        <f t="shared" si="279"/>
        <v>0</v>
      </c>
      <c r="Q667" s="568"/>
      <c r="R667" s="568"/>
      <c r="S667" s="568"/>
      <c r="T667" s="568"/>
      <c r="U667" s="568"/>
      <c r="V667" s="568"/>
      <c r="W667" s="568"/>
      <c r="X667" s="568"/>
      <c r="Y667" s="568"/>
      <c r="Z667" s="568"/>
    </row>
    <row r="668" spans="1:26" ht="19.5" hidden="1">
      <c r="A668" s="572"/>
      <c r="B668" s="584"/>
      <c r="C668" s="538" t="s">
        <v>16</v>
      </c>
      <c r="D668" s="850" t="s">
        <v>38</v>
      </c>
      <c r="E668" s="725"/>
      <c r="F668" s="725"/>
      <c r="G668" s="577"/>
      <c r="H668" s="726"/>
      <c r="I668" s="184"/>
      <c r="J668" s="184"/>
      <c r="K668" s="163"/>
      <c r="L668" s="163"/>
      <c r="M668" s="163"/>
      <c r="N668" s="163"/>
      <c r="O668" s="163"/>
      <c r="P668" s="163"/>
      <c r="Q668" s="541"/>
      <c r="R668" s="541"/>
      <c r="S668" s="541"/>
      <c r="T668" s="541"/>
      <c r="U668" s="541"/>
      <c r="V668" s="541"/>
      <c r="W668" s="541"/>
      <c r="X668" s="541"/>
      <c r="Y668" s="541"/>
      <c r="Z668" s="541"/>
    </row>
    <row r="669" spans="1:26" ht="19.5" hidden="1">
      <c r="A669" s="572"/>
      <c r="B669" s="584"/>
      <c r="C669" s="584"/>
      <c r="D669" s="584" t="s">
        <v>280</v>
      </c>
      <c r="E669" s="592"/>
      <c r="F669" s="592"/>
      <c r="G669" s="726"/>
      <c r="H669" s="731" t="s">
        <v>46</v>
      </c>
      <c r="I669" s="647">
        <f ca="1">IFERROR(__xludf.DUMMYFUNCTION("IMPORTRANGE(""https://docs.google.com/spreadsheets/d/1QqKyyYR6Q21VydFLVH3TRQUabQu_ym0Zz7PgGX0-kHA/edit?usp=sharing"",""แผน!IA14"")"),0)</f>
        <v>0</v>
      </c>
      <c r="J669" s="647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41"/>
      <c r="R669" s="541"/>
      <c r="S669" s="541"/>
      <c r="T669" s="541"/>
      <c r="U669" s="541"/>
      <c r="V669" s="541"/>
      <c r="W669" s="541"/>
      <c r="X669" s="541"/>
      <c r="Y669" s="541"/>
      <c r="Z669" s="541"/>
    </row>
    <row r="670" spans="1:26" ht="18.75" hidden="1">
      <c r="A670" s="572"/>
      <c r="B670" s="584"/>
      <c r="C670" s="584"/>
      <c r="D670" s="584"/>
      <c r="E670" s="592" t="s">
        <v>281</v>
      </c>
      <c r="F670" s="592"/>
      <c r="G670" s="726"/>
      <c r="H670" s="728" t="s">
        <v>69</v>
      </c>
      <c r="I670" s="269">
        <f ca="1">IFERROR(__xludf.DUMMYFUNCTION("IMPORTRANGE(""https://docs.google.com/spreadsheets/d/1QqKyyYR6Q21VydFLVH3TRQUabQu_ym0Zz7PgGX0-kHA/edit?usp=sharing"",""แผน!HZ14"")"),0)</f>
        <v>0</v>
      </c>
      <c r="J670" s="214">
        <v>0</v>
      </c>
      <c r="K670" s="465">
        <f ca="1">IF(I670&gt;0,(J670*100)/I670,0)</f>
        <v>0</v>
      </c>
      <c r="L670" s="163"/>
      <c r="M670" s="163"/>
      <c r="N670" s="163"/>
      <c r="O670" s="163"/>
      <c r="P670" s="163"/>
      <c r="Q670" s="541"/>
      <c r="R670" s="541"/>
      <c r="S670" s="541"/>
      <c r="T670" s="541"/>
      <c r="U670" s="541"/>
      <c r="V670" s="541"/>
      <c r="W670" s="541"/>
      <c r="X670" s="541"/>
      <c r="Y670" s="541"/>
      <c r="Z670" s="541"/>
    </row>
    <row r="671" spans="1:26" ht="18.75" hidden="1">
      <c r="A671" s="572"/>
      <c r="B671" s="584"/>
      <c r="C671" s="584"/>
      <c r="D671" s="584"/>
      <c r="E671" s="592" t="s">
        <v>282</v>
      </c>
      <c r="F671" s="592"/>
      <c r="G671" s="726"/>
      <c r="H671" s="728" t="s">
        <v>69</v>
      </c>
      <c r="I671" s="269">
        <f ca="1">IFERROR(__xludf.DUMMYFUNCTION("IMPORTRANGE(""https://docs.google.com/spreadsheets/d/1QqKyyYR6Q21VydFLVH3TRQUabQu_ym0Zz7PgGX0-kHA/edit?usp=sharing"",""แผน!HZ14"")"),0)</f>
        <v>0</v>
      </c>
      <c r="J671" s="214">
        <v>0</v>
      </c>
      <c r="K671" s="465">
        <f ca="1">IF(I$671&gt;0,J671*100/I$671,0)</f>
        <v>0</v>
      </c>
      <c r="L671" s="163"/>
      <c r="M671" s="163"/>
      <c r="N671" s="163"/>
      <c r="O671" s="163"/>
      <c r="P671" s="163"/>
      <c r="Q671" s="541"/>
      <c r="R671" s="541"/>
      <c r="S671" s="541"/>
      <c r="T671" s="541"/>
      <c r="U671" s="541"/>
      <c r="V671" s="541"/>
      <c r="W671" s="541"/>
      <c r="X671" s="541"/>
      <c r="Y671" s="541"/>
      <c r="Z671" s="541"/>
    </row>
    <row r="672" spans="1:26" ht="18.75" hidden="1">
      <c r="A672" s="572"/>
      <c r="B672" s="584"/>
      <c r="C672" s="584"/>
      <c r="D672" s="584"/>
      <c r="E672" s="592" t="s">
        <v>283</v>
      </c>
      <c r="F672" s="592"/>
      <c r="G672" s="726"/>
      <c r="H672" s="728" t="s">
        <v>46</v>
      </c>
      <c r="I672" s="269"/>
      <c r="J672" s="214">
        <v>0</v>
      </c>
      <c r="K672" s="465">
        <f t="shared" ref="K672:K675" ca="1" si="280">IF(I$669&gt;0,J672*100/I$669,0)</f>
        <v>0</v>
      </c>
      <c r="L672" s="163"/>
      <c r="M672" s="163"/>
      <c r="N672" s="163"/>
      <c r="O672" s="163"/>
      <c r="P672" s="163"/>
      <c r="Q672" s="541"/>
      <c r="R672" s="541"/>
      <c r="S672" s="541"/>
      <c r="T672" s="541"/>
      <c r="U672" s="541"/>
      <c r="V672" s="541"/>
      <c r="W672" s="541"/>
      <c r="X672" s="541"/>
      <c r="Y672" s="541"/>
      <c r="Z672" s="541"/>
    </row>
    <row r="673" spans="1:26" ht="18.75" hidden="1">
      <c r="A673" s="572"/>
      <c r="B673" s="584"/>
      <c r="C673" s="584"/>
      <c r="D673" s="584"/>
      <c r="E673" s="592" t="s">
        <v>284</v>
      </c>
      <c r="F673" s="592"/>
      <c r="G673" s="726"/>
      <c r="H673" s="728" t="s">
        <v>46</v>
      </c>
      <c r="I673" s="269"/>
      <c r="J673" s="214">
        <v>0</v>
      </c>
      <c r="K673" s="465">
        <f t="shared" ca="1" si="280"/>
        <v>0</v>
      </c>
      <c r="L673" s="163"/>
      <c r="M673" s="163"/>
      <c r="N673" s="163"/>
      <c r="O673" s="163"/>
      <c r="P673" s="163"/>
      <c r="Q673" s="541"/>
      <c r="R673" s="541"/>
      <c r="S673" s="541"/>
      <c r="T673" s="541"/>
      <c r="U673" s="541"/>
      <c r="V673" s="541"/>
      <c r="W673" s="541"/>
      <c r="X673" s="541"/>
      <c r="Y673" s="541"/>
      <c r="Z673" s="541"/>
    </row>
    <row r="674" spans="1:26" ht="18.75" hidden="1">
      <c r="A674" s="572"/>
      <c r="B674" s="584"/>
      <c r="C674" s="584"/>
      <c r="D674" s="584"/>
      <c r="E674" s="592" t="s">
        <v>285</v>
      </c>
      <c r="F674" s="592"/>
      <c r="G674" s="726"/>
      <c r="H674" s="728" t="s">
        <v>46</v>
      </c>
      <c r="I674" s="269"/>
      <c r="J674" s="214">
        <v>0</v>
      </c>
      <c r="K674" s="465">
        <f t="shared" ca="1" si="280"/>
        <v>0</v>
      </c>
      <c r="L674" s="163"/>
      <c r="M674" s="163"/>
      <c r="N674" s="163"/>
      <c r="O674" s="163"/>
      <c r="P674" s="163"/>
      <c r="Q674" s="541"/>
      <c r="R674" s="541"/>
      <c r="S674" s="541"/>
      <c r="T674" s="541"/>
      <c r="U674" s="541"/>
      <c r="V674" s="541"/>
      <c r="W674" s="541"/>
      <c r="X674" s="541"/>
      <c r="Y674" s="541"/>
      <c r="Z674" s="541"/>
    </row>
    <row r="675" spans="1:26" ht="19.5" hidden="1">
      <c r="A675" s="572"/>
      <c r="B675" s="584"/>
      <c r="C675" s="584"/>
      <c r="D675" s="584"/>
      <c r="E675" s="592" t="s">
        <v>286</v>
      </c>
      <c r="F675" s="592"/>
      <c r="G675" s="726"/>
      <c r="H675" s="728" t="s">
        <v>46</v>
      </c>
      <c r="I675" s="269"/>
      <c r="J675" s="647">
        <f>J676+J677</f>
        <v>0</v>
      </c>
      <c r="K675" s="195">
        <f t="shared" ca="1" si="280"/>
        <v>0</v>
      </c>
      <c r="L675" s="163"/>
      <c r="M675" s="163"/>
      <c r="N675" s="163"/>
      <c r="O675" s="163"/>
      <c r="P675" s="163"/>
      <c r="Q675" s="541"/>
      <c r="R675" s="541"/>
      <c r="S675" s="541"/>
      <c r="T675" s="541"/>
      <c r="U675" s="541"/>
      <c r="V675" s="541"/>
      <c r="W675" s="541"/>
      <c r="X675" s="541"/>
      <c r="Y675" s="541"/>
      <c r="Z675" s="541"/>
    </row>
    <row r="676" spans="1:26" ht="18.75" hidden="1">
      <c r="A676" s="572"/>
      <c r="B676" s="584"/>
      <c r="C676" s="584"/>
      <c r="D676" s="584"/>
      <c r="E676" s="592"/>
      <c r="F676" s="592" t="s">
        <v>287</v>
      </c>
      <c r="G676" s="726"/>
      <c r="H676" s="728" t="s">
        <v>46</v>
      </c>
      <c r="I676" s="269"/>
      <c r="J676" s="214">
        <v>0</v>
      </c>
      <c r="K676" s="465"/>
      <c r="L676" s="163"/>
      <c r="M676" s="163"/>
      <c r="N676" s="163"/>
      <c r="O676" s="163"/>
      <c r="P676" s="163"/>
      <c r="Q676" s="541"/>
      <c r="R676" s="541"/>
      <c r="S676" s="541"/>
      <c r="T676" s="541"/>
      <c r="U676" s="541"/>
      <c r="V676" s="541"/>
      <c r="W676" s="541"/>
      <c r="X676" s="541"/>
      <c r="Y676" s="541"/>
      <c r="Z676" s="541"/>
    </row>
    <row r="677" spans="1:26" ht="18.75" hidden="1">
      <c r="A677" s="572"/>
      <c r="B677" s="584"/>
      <c r="C677" s="584"/>
      <c r="D677" s="584"/>
      <c r="E677" s="592"/>
      <c r="F677" s="592" t="s">
        <v>288</v>
      </c>
      <c r="G677" s="726"/>
      <c r="H677" s="728" t="s">
        <v>46</v>
      </c>
      <c r="I677" s="269"/>
      <c r="J677" s="214">
        <v>0</v>
      </c>
      <c r="K677" s="465"/>
      <c r="L677" s="163"/>
      <c r="M677" s="163"/>
      <c r="N677" s="163"/>
      <c r="O677" s="163"/>
      <c r="P677" s="163"/>
      <c r="Q677" s="541"/>
      <c r="R677" s="541"/>
      <c r="S677" s="541"/>
      <c r="T677" s="541"/>
      <c r="U677" s="541"/>
      <c r="V677" s="541"/>
      <c r="W677" s="541"/>
      <c r="X677" s="541"/>
      <c r="Y677" s="541"/>
      <c r="Z677" s="541"/>
    </row>
    <row r="678" spans="1:26" ht="19.5" hidden="1">
      <c r="A678" s="572"/>
      <c r="B678" s="584"/>
      <c r="C678" s="584"/>
      <c r="D678" s="584" t="s">
        <v>289</v>
      </c>
      <c r="E678" s="592"/>
      <c r="F678" s="592"/>
      <c r="G678" s="726"/>
      <c r="H678" s="728" t="s">
        <v>46</v>
      </c>
      <c r="I678" s="647">
        <f ca="1">IFERROR(__xludf.DUMMYFUNCTION("IMPORTRANGE(""https://docs.google.com/spreadsheets/d/1QqKyyYR6Q21VydFLVH3TRQUabQu_ym0Zz7PgGX0-kHA/edit?usp=sharing"",""แผน!IB14"")"),0)</f>
        <v>0</v>
      </c>
      <c r="J678" s="647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41"/>
      <c r="R678" s="541"/>
      <c r="S678" s="541"/>
      <c r="T678" s="541"/>
      <c r="U678" s="541"/>
      <c r="V678" s="541"/>
      <c r="W678" s="541"/>
      <c r="X678" s="541"/>
      <c r="Y678" s="541"/>
      <c r="Z678" s="541"/>
    </row>
    <row r="679" spans="1:26" ht="18.75" hidden="1">
      <c r="A679" s="572"/>
      <c r="B679" s="584"/>
      <c r="C679" s="584"/>
      <c r="D679" s="584"/>
      <c r="E679" s="592" t="s">
        <v>290</v>
      </c>
      <c r="F679" s="592"/>
      <c r="G679" s="726"/>
      <c r="H679" s="728" t="s">
        <v>46</v>
      </c>
      <c r="I679" s="269"/>
      <c r="J679" s="269">
        <f>J680+J681</f>
        <v>0</v>
      </c>
      <c r="K679" s="465"/>
      <c r="L679" s="163"/>
      <c r="M679" s="163"/>
      <c r="N679" s="163"/>
      <c r="O679" s="163"/>
      <c r="P679" s="163"/>
      <c r="Q679" s="541"/>
      <c r="R679" s="541"/>
      <c r="S679" s="541"/>
      <c r="T679" s="541"/>
      <c r="U679" s="541"/>
      <c r="V679" s="541"/>
      <c r="W679" s="541"/>
      <c r="X679" s="541"/>
      <c r="Y679" s="541"/>
      <c r="Z679" s="541"/>
    </row>
    <row r="680" spans="1:26" ht="18.75" hidden="1">
      <c r="A680" s="572"/>
      <c r="B680" s="584"/>
      <c r="C680" s="584"/>
      <c r="D680" s="584"/>
      <c r="E680" s="592"/>
      <c r="F680" s="592" t="s">
        <v>287</v>
      </c>
      <c r="G680" s="726"/>
      <c r="H680" s="728" t="s">
        <v>46</v>
      </c>
      <c r="I680" s="269"/>
      <c r="J680" s="214">
        <v>0</v>
      </c>
      <c r="K680" s="465"/>
      <c r="L680" s="163"/>
      <c r="M680" s="163"/>
      <c r="N680" s="163"/>
      <c r="O680" s="163"/>
      <c r="P680" s="163"/>
      <c r="Q680" s="541"/>
      <c r="R680" s="541"/>
      <c r="S680" s="541"/>
      <c r="T680" s="541"/>
      <c r="U680" s="541"/>
      <c r="V680" s="541"/>
      <c r="W680" s="541"/>
      <c r="X680" s="541"/>
      <c r="Y680" s="541"/>
      <c r="Z680" s="541"/>
    </row>
    <row r="681" spans="1:26" ht="18.75" hidden="1">
      <c r="A681" s="572"/>
      <c r="B681" s="584"/>
      <c r="C681" s="584"/>
      <c r="D681" s="584"/>
      <c r="E681" s="592"/>
      <c r="F681" s="592" t="s">
        <v>288</v>
      </c>
      <c r="G681" s="726"/>
      <c r="H681" s="728" t="s">
        <v>46</v>
      </c>
      <c r="I681" s="269"/>
      <c r="J681" s="214">
        <v>0</v>
      </c>
      <c r="K681" s="465"/>
      <c r="L681" s="163"/>
      <c r="M681" s="163"/>
      <c r="N681" s="163"/>
      <c r="O681" s="163"/>
      <c r="P681" s="163"/>
      <c r="Q681" s="541"/>
      <c r="R681" s="541"/>
      <c r="S681" s="541"/>
      <c r="T681" s="541"/>
      <c r="U681" s="541"/>
      <c r="V681" s="541"/>
      <c r="W681" s="541"/>
      <c r="X681" s="541"/>
      <c r="Y681" s="541"/>
      <c r="Z681" s="541"/>
    </row>
    <row r="682" spans="1:26" ht="18.75" hidden="1">
      <c r="A682" s="572"/>
      <c r="B682" s="584"/>
      <c r="C682" s="584"/>
      <c r="D682" s="584"/>
      <c r="E682" s="592" t="s">
        <v>291</v>
      </c>
      <c r="F682" s="592"/>
      <c r="G682" s="726"/>
      <c r="H682" s="728" t="s">
        <v>46</v>
      </c>
      <c r="I682" s="269"/>
      <c r="J682" s="214">
        <v>0</v>
      </c>
      <c r="K682" s="465"/>
      <c r="L682" s="163"/>
      <c r="M682" s="163"/>
      <c r="N682" s="163"/>
      <c r="O682" s="163"/>
      <c r="P682" s="163"/>
      <c r="Q682" s="541"/>
      <c r="R682" s="541"/>
      <c r="S682" s="541"/>
      <c r="T682" s="541"/>
      <c r="U682" s="541"/>
      <c r="V682" s="541"/>
      <c r="W682" s="541"/>
      <c r="X682" s="541"/>
      <c r="Y682" s="541"/>
      <c r="Z682" s="541"/>
    </row>
    <row r="683" spans="1:26" ht="18.75" hidden="1">
      <c r="A683" s="572"/>
      <c r="B683" s="584"/>
      <c r="C683" s="584"/>
      <c r="D683" s="584"/>
      <c r="E683" s="592"/>
      <c r="F683" s="592" t="s">
        <v>292</v>
      </c>
      <c r="G683" s="726"/>
      <c r="H683" s="728" t="s">
        <v>46</v>
      </c>
      <c r="I683" s="269"/>
      <c r="J683" s="214">
        <v>0</v>
      </c>
      <c r="K683" s="465"/>
      <c r="L683" s="163"/>
      <c r="M683" s="163"/>
      <c r="N683" s="163"/>
      <c r="O683" s="163"/>
      <c r="P683" s="163"/>
      <c r="Q683" s="541"/>
      <c r="R683" s="541"/>
      <c r="S683" s="541"/>
      <c r="T683" s="541"/>
      <c r="U683" s="541"/>
      <c r="V683" s="541"/>
      <c r="W683" s="541"/>
      <c r="X683" s="541"/>
      <c r="Y683" s="541"/>
      <c r="Z683" s="541"/>
    </row>
    <row r="684" spans="1:26" ht="19.5">
      <c r="A684" s="717"/>
      <c r="B684" s="718" t="s">
        <v>293</v>
      </c>
      <c r="C684" s="717"/>
      <c r="D684" s="717"/>
      <c r="E684" s="717"/>
      <c r="F684" s="717"/>
      <c r="G684" s="719"/>
      <c r="H684" s="719"/>
      <c r="I684" s="720"/>
      <c r="J684" s="720"/>
      <c r="K684" s="721"/>
      <c r="L684" s="721"/>
      <c r="M684" s="721"/>
      <c r="N684" s="721"/>
      <c r="O684" s="721"/>
      <c r="P684" s="721"/>
      <c r="Q684" s="541"/>
      <c r="R684" s="541"/>
      <c r="S684" s="541"/>
      <c r="T684" s="541"/>
      <c r="U684" s="541"/>
      <c r="V684" s="541"/>
      <c r="W684" s="541"/>
      <c r="X684" s="541"/>
      <c r="Y684" s="541"/>
      <c r="Z684" s="541"/>
    </row>
    <row r="685" spans="1:26" ht="19.5">
      <c r="A685" s="561"/>
      <c r="B685" s="727"/>
      <c r="C685" s="727" t="s">
        <v>16</v>
      </c>
      <c r="D685" s="811" t="s">
        <v>17</v>
      </c>
      <c r="E685" s="805"/>
      <c r="F685" s="805"/>
      <c r="G685" s="189"/>
      <c r="H685" s="562" t="s">
        <v>12</v>
      </c>
      <c r="I685" s="269"/>
      <c r="J685" s="269"/>
      <c r="K685" s="465"/>
      <c r="L685" s="195">
        <f t="shared" ref="L685:N685" ca="1" si="281">L686+L687</f>
        <v>4580</v>
      </c>
      <c r="M685" s="195">
        <f t="shared" si="281"/>
        <v>0</v>
      </c>
      <c r="N685" s="195">
        <f t="shared" si="281"/>
        <v>0</v>
      </c>
      <c r="O685" s="195">
        <f t="shared" ref="O685:O688" ca="1" si="282">IF(L685&gt;0,N685*100/L685,0)</f>
        <v>0</v>
      </c>
      <c r="P685" s="195">
        <f t="shared" ref="P685:P688" si="283">IF(M685&gt;0,N685*100/M685,0)</f>
        <v>0</v>
      </c>
      <c r="Q685" s="541"/>
      <c r="R685" s="541"/>
      <c r="S685" s="541"/>
      <c r="T685" s="541"/>
      <c r="U685" s="541"/>
      <c r="V685" s="541"/>
      <c r="W685" s="541"/>
      <c r="X685" s="541"/>
      <c r="Y685" s="541"/>
      <c r="Z685" s="541"/>
    </row>
    <row r="686" spans="1:26" ht="18.75" hidden="1">
      <c r="A686" s="563"/>
      <c r="B686" s="723"/>
      <c r="C686" s="723"/>
      <c r="D686" s="684"/>
      <c r="E686" s="723" t="s">
        <v>184</v>
      </c>
      <c r="F686" s="723"/>
      <c r="G686" s="567"/>
      <c r="H686" s="165" t="s">
        <v>12</v>
      </c>
      <c r="I686" s="583"/>
      <c r="J686" s="583"/>
      <c r="K686" s="93"/>
      <c r="L686" s="93">
        <f t="shared" ref="L686:N687" si="284">L689+L696</f>
        <v>0</v>
      </c>
      <c r="M686" s="93">
        <f t="shared" si="284"/>
        <v>0</v>
      </c>
      <c r="N686" s="93">
        <f t="shared" si="284"/>
        <v>0</v>
      </c>
      <c r="O686" s="93">
        <f t="shared" si="282"/>
        <v>0</v>
      </c>
      <c r="P686" s="93">
        <f t="shared" si="283"/>
        <v>0</v>
      </c>
      <c r="Q686" s="568"/>
      <c r="R686" s="568"/>
      <c r="S686" s="568"/>
      <c r="T686" s="568"/>
      <c r="U686" s="568"/>
      <c r="V686" s="568"/>
      <c r="W686" s="568"/>
      <c r="X686" s="568"/>
      <c r="Y686" s="568"/>
      <c r="Z686" s="568"/>
    </row>
    <row r="687" spans="1:26" ht="18.75" hidden="1">
      <c r="A687" s="563"/>
      <c r="B687" s="571"/>
      <c r="C687" s="723"/>
      <c r="D687" s="684"/>
      <c r="E687" s="723" t="s">
        <v>185</v>
      </c>
      <c r="F687" s="723"/>
      <c r="G687" s="567"/>
      <c r="H687" s="165" t="s">
        <v>12</v>
      </c>
      <c r="I687" s="583"/>
      <c r="J687" s="583"/>
      <c r="K687" s="93"/>
      <c r="L687" s="93">
        <f t="shared" ca="1" si="284"/>
        <v>4580</v>
      </c>
      <c r="M687" s="93">
        <f t="shared" si="284"/>
        <v>0</v>
      </c>
      <c r="N687" s="93">
        <f t="shared" si="284"/>
        <v>0</v>
      </c>
      <c r="O687" s="93">
        <f t="shared" ca="1" si="282"/>
        <v>0</v>
      </c>
      <c r="P687" s="93">
        <f t="shared" si="283"/>
        <v>0</v>
      </c>
      <c r="Q687" s="568"/>
      <c r="R687" s="568"/>
      <c r="S687" s="568"/>
      <c r="T687" s="568"/>
      <c r="U687" s="568"/>
      <c r="V687" s="568"/>
      <c r="W687" s="568"/>
      <c r="X687" s="568"/>
      <c r="Y687" s="568"/>
      <c r="Z687" s="568"/>
    </row>
    <row r="688" spans="1:26" ht="18.75">
      <c r="A688" s="561"/>
      <c r="B688" s="538"/>
      <c r="C688" s="727"/>
      <c r="D688" s="570" t="s">
        <v>20</v>
      </c>
      <c r="E688" s="727"/>
      <c r="F688" s="727"/>
      <c r="G688" s="189"/>
      <c r="H688" s="161" t="s">
        <v>12</v>
      </c>
      <c r="I688" s="184"/>
      <c r="J688" s="184"/>
      <c r="K688" s="163"/>
      <c r="L688" s="465">
        <f t="shared" ref="L688:N688" ca="1" si="285">L689+L690</f>
        <v>4580</v>
      </c>
      <c r="M688" s="465">
        <f t="shared" si="285"/>
        <v>0</v>
      </c>
      <c r="N688" s="465">
        <f t="shared" si="285"/>
        <v>0</v>
      </c>
      <c r="O688" s="465">
        <f t="shared" ca="1" si="282"/>
        <v>0</v>
      </c>
      <c r="P688" s="465">
        <f t="shared" si="283"/>
        <v>0</v>
      </c>
      <c r="Q688" s="541"/>
      <c r="R688" s="541"/>
      <c r="S688" s="541"/>
      <c r="T688" s="541"/>
      <c r="U688" s="541"/>
      <c r="V688" s="541"/>
      <c r="W688" s="541"/>
      <c r="X688" s="541"/>
      <c r="Y688" s="541"/>
      <c r="Z688" s="541"/>
    </row>
    <row r="689" spans="1:26" ht="18.75" hidden="1">
      <c r="A689" s="563"/>
      <c r="B689" s="571"/>
      <c r="C689" s="723"/>
      <c r="D689" s="684"/>
      <c r="E689" s="723" t="s">
        <v>184</v>
      </c>
      <c r="F689" s="723"/>
      <c r="G689" s="567"/>
      <c r="H689" s="165" t="s">
        <v>12</v>
      </c>
      <c r="I689" s="583"/>
      <c r="J689" s="583"/>
      <c r="K689" s="93"/>
      <c r="L689" s="93">
        <v>0</v>
      </c>
      <c r="M689" s="93">
        <v>0</v>
      </c>
      <c r="N689" s="93">
        <v>0</v>
      </c>
      <c r="O689" s="93"/>
      <c r="P689" s="93"/>
      <c r="Q689" s="568"/>
      <c r="R689" s="568"/>
      <c r="S689" s="568"/>
      <c r="T689" s="568"/>
      <c r="U689" s="568"/>
      <c r="V689" s="568"/>
      <c r="W689" s="568"/>
      <c r="X689" s="568"/>
      <c r="Y689" s="568"/>
      <c r="Z689" s="568"/>
    </row>
    <row r="690" spans="1:26" ht="18.75" hidden="1">
      <c r="A690" s="563"/>
      <c r="B690" s="571"/>
      <c r="C690" s="723"/>
      <c r="D690" s="684"/>
      <c r="E690" s="723" t="s">
        <v>185</v>
      </c>
      <c r="F690" s="723"/>
      <c r="G690" s="567"/>
      <c r="H690" s="165" t="s">
        <v>12</v>
      </c>
      <c r="I690" s="583"/>
      <c r="J690" s="583"/>
      <c r="K690" s="93"/>
      <c r="L690" s="93">
        <f ca="1">IFERROR(__xludf.DUMMYFUNCTION("IMPORTRANGE(""https://docs.google.com/spreadsheets/d/1QqKyyYR6Q21VydFLVH3TRQUabQu_ym0Zz7PgGX0-kHA/edit?usp=sharing"",""แผน!HW14"")"),4580)</f>
        <v>4580</v>
      </c>
      <c r="M690" s="93">
        <v>0</v>
      </c>
      <c r="N690" s="93">
        <f>N691+N692+N693+N694</f>
        <v>0</v>
      </c>
      <c r="O690" s="93">
        <f ca="1">IF(L690&gt;0,N690*100/L690,0)</f>
        <v>0</v>
      </c>
      <c r="P690" s="93">
        <f>IF(M690&gt;0,N690*100/M690,0)</f>
        <v>0</v>
      </c>
      <c r="Q690" s="568"/>
      <c r="R690" s="568"/>
      <c r="S690" s="568"/>
      <c r="T690" s="568"/>
      <c r="U690" s="568"/>
      <c r="V690" s="568"/>
      <c r="W690" s="568"/>
      <c r="X690" s="568"/>
      <c r="Y690" s="568"/>
      <c r="Z690" s="568"/>
    </row>
    <row r="691" spans="1:26" ht="18.75">
      <c r="A691" s="537"/>
      <c r="B691" s="538"/>
      <c r="C691" s="727"/>
      <c r="D691" s="727"/>
      <c r="E691" s="727"/>
      <c r="F691" s="727" t="s">
        <v>186</v>
      </c>
      <c r="G691" s="189"/>
      <c r="H691" s="161" t="s">
        <v>12</v>
      </c>
      <c r="I691" s="269"/>
      <c r="J691" s="269"/>
      <c r="K691" s="465"/>
      <c r="L691" s="465"/>
      <c r="M691" s="465"/>
      <c r="N691" s="789">
        <v>0</v>
      </c>
      <c r="O691" s="465"/>
      <c r="P691" s="465"/>
      <c r="Q691" s="541"/>
      <c r="R691" s="541"/>
      <c r="S691" s="541"/>
      <c r="T691" s="541"/>
      <c r="U691" s="541"/>
      <c r="V691" s="541"/>
      <c r="W691" s="541"/>
      <c r="X691" s="541"/>
      <c r="Y691" s="541"/>
      <c r="Z691" s="541"/>
    </row>
    <row r="692" spans="1:26" ht="18.75">
      <c r="A692" s="537"/>
      <c r="B692" s="538"/>
      <c r="C692" s="727"/>
      <c r="D692" s="727"/>
      <c r="E692" s="727"/>
      <c r="F692" s="727" t="s">
        <v>187</v>
      </c>
      <c r="G692" s="189"/>
      <c r="H692" s="161" t="s">
        <v>12</v>
      </c>
      <c r="I692" s="269"/>
      <c r="J692" s="269"/>
      <c r="K692" s="465"/>
      <c r="L692" s="465"/>
      <c r="M692" s="465"/>
      <c r="N692" s="789">
        <v>0</v>
      </c>
      <c r="O692" s="465"/>
      <c r="P692" s="465"/>
      <c r="Q692" s="541"/>
      <c r="R692" s="541"/>
      <c r="S692" s="541"/>
      <c r="T692" s="541"/>
      <c r="U692" s="541"/>
      <c r="V692" s="541"/>
      <c r="W692" s="541"/>
      <c r="X692" s="541"/>
      <c r="Y692" s="541"/>
      <c r="Z692" s="541"/>
    </row>
    <row r="693" spans="1:26" ht="18.75">
      <c r="A693" s="537"/>
      <c r="B693" s="538"/>
      <c r="C693" s="727"/>
      <c r="D693" s="727"/>
      <c r="E693" s="727"/>
      <c r="F693" s="727" t="s">
        <v>188</v>
      </c>
      <c r="G693" s="189"/>
      <c r="H693" s="161" t="s">
        <v>12</v>
      </c>
      <c r="I693" s="269"/>
      <c r="J693" s="269"/>
      <c r="K693" s="465"/>
      <c r="L693" s="465"/>
      <c r="M693" s="465"/>
      <c r="N693" s="789">
        <v>0</v>
      </c>
      <c r="O693" s="465"/>
      <c r="P693" s="465"/>
      <c r="Q693" s="541"/>
      <c r="R693" s="541"/>
      <c r="S693" s="541"/>
      <c r="T693" s="541"/>
      <c r="U693" s="541"/>
      <c r="V693" s="541"/>
      <c r="W693" s="541"/>
      <c r="X693" s="541"/>
      <c r="Y693" s="541"/>
      <c r="Z693" s="541"/>
    </row>
    <row r="694" spans="1:26" ht="18.75">
      <c r="A694" s="537"/>
      <c r="B694" s="538"/>
      <c r="C694" s="727"/>
      <c r="D694" s="727"/>
      <c r="E694" s="727"/>
      <c r="F694" s="727" t="s">
        <v>189</v>
      </c>
      <c r="G694" s="189"/>
      <c r="H694" s="161" t="s">
        <v>12</v>
      </c>
      <c r="I694" s="269"/>
      <c r="J694" s="269"/>
      <c r="K694" s="465"/>
      <c r="L694" s="465"/>
      <c r="M694" s="465"/>
      <c r="N694" s="789">
        <v>0</v>
      </c>
      <c r="O694" s="465"/>
      <c r="P694" s="465"/>
      <c r="Q694" s="541"/>
      <c r="R694" s="541"/>
      <c r="S694" s="541"/>
      <c r="T694" s="541"/>
      <c r="U694" s="541"/>
      <c r="V694" s="541"/>
      <c r="W694" s="541"/>
      <c r="X694" s="541"/>
      <c r="Y694" s="541"/>
      <c r="Z694" s="541"/>
    </row>
    <row r="695" spans="1:26" ht="18.75">
      <c r="A695" s="561"/>
      <c r="B695" s="538"/>
      <c r="C695" s="727"/>
      <c r="D695" s="570" t="s">
        <v>21</v>
      </c>
      <c r="E695" s="727"/>
      <c r="F695" s="727"/>
      <c r="G695" s="189"/>
      <c r="H695" s="168" t="s">
        <v>12</v>
      </c>
      <c r="I695" s="184"/>
      <c r="J695" s="184"/>
      <c r="K695" s="163"/>
      <c r="L695" s="465">
        <f t="shared" ref="L695:N695" si="286">L696+L697</f>
        <v>0</v>
      </c>
      <c r="M695" s="465">
        <f t="shared" si="286"/>
        <v>0</v>
      </c>
      <c r="N695" s="465">
        <f t="shared" si="286"/>
        <v>0</v>
      </c>
      <c r="O695" s="465">
        <f t="shared" ref="O695:O697" si="287">IF(L695&gt;0,N695*100/L695,0)</f>
        <v>0</v>
      </c>
      <c r="P695" s="465">
        <f t="shared" ref="P695:P697" si="288">IF(M695&gt;0,N695*100/M695,0)</f>
        <v>0</v>
      </c>
      <c r="Q695" s="541"/>
      <c r="R695" s="541"/>
      <c r="S695" s="541"/>
      <c r="T695" s="541"/>
      <c r="U695" s="541"/>
      <c r="V695" s="541"/>
      <c r="W695" s="541"/>
      <c r="X695" s="541"/>
      <c r="Y695" s="541"/>
      <c r="Z695" s="541"/>
    </row>
    <row r="696" spans="1:26" ht="18.75" hidden="1">
      <c r="A696" s="563"/>
      <c r="B696" s="571"/>
      <c r="C696" s="723"/>
      <c r="D696" s="723"/>
      <c r="E696" s="723" t="s">
        <v>18</v>
      </c>
      <c r="F696" s="723"/>
      <c r="G696" s="567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7"/>
        <v>0</v>
      </c>
      <c r="P696" s="93">
        <f t="shared" si="288"/>
        <v>0</v>
      </c>
      <c r="Q696" s="568"/>
      <c r="R696" s="568"/>
      <c r="S696" s="568"/>
      <c r="T696" s="568"/>
      <c r="U696" s="568"/>
      <c r="V696" s="568"/>
      <c r="W696" s="568"/>
      <c r="X696" s="568"/>
      <c r="Y696" s="568"/>
      <c r="Z696" s="568"/>
    </row>
    <row r="697" spans="1:26" ht="18.75" hidden="1">
      <c r="A697" s="563"/>
      <c r="B697" s="571"/>
      <c r="C697" s="723"/>
      <c r="D697" s="723"/>
      <c r="E697" s="723" t="s">
        <v>19</v>
      </c>
      <c r="F697" s="723"/>
      <c r="G697" s="567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7"/>
        <v>0</v>
      </c>
      <c r="P697" s="93">
        <f t="shared" si="288"/>
        <v>0</v>
      </c>
      <c r="Q697" s="568"/>
      <c r="R697" s="568"/>
      <c r="S697" s="568"/>
      <c r="T697" s="568"/>
      <c r="U697" s="568"/>
      <c r="V697" s="568"/>
      <c r="W697" s="568"/>
      <c r="X697" s="568"/>
      <c r="Y697" s="568"/>
      <c r="Z697" s="568"/>
    </row>
    <row r="698" spans="1:26" ht="19.5">
      <c r="A698" s="572"/>
      <c r="B698" s="584"/>
      <c r="C698" s="727" t="s">
        <v>16</v>
      </c>
      <c r="D698" s="855" t="s">
        <v>38</v>
      </c>
      <c r="E698" s="725"/>
      <c r="F698" s="725"/>
      <c r="G698" s="577"/>
      <c r="H698" s="726"/>
      <c r="I698" s="184"/>
      <c r="J698" s="184"/>
      <c r="K698" s="163"/>
      <c r="L698" s="163"/>
      <c r="M698" s="163"/>
      <c r="N698" s="163"/>
      <c r="O698" s="163"/>
      <c r="P698" s="163"/>
      <c r="Q698" s="541"/>
      <c r="R698" s="541"/>
      <c r="S698" s="541"/>
      <c r="T698" s="541"/>
      <c r="U698" s="541"/>
      <c r="V698" s="541"/>
      <c r="W698" s="541"/>
      <c r="X698" s="541"/>
      <c r="Y698" s="541"/>
      <c r="Z698" s="541"/>
    </row>
    <row r="699" spans="1:26" ht="18.75">
      <c r="A699" s="708"/>
      <c r="B699" s="727"/>
      <c r="C699" s="727"/>
      <c r="D699" s="727" t="s">
        <v>294</v>
      </c>
      <c r="E699" s="727"/>
      <c r="F699" s="727"/>
      <c r="G699" s="189"/>
      <c r="H699" s="728" t="s">
        <v>46</v>
      </c>
      <c r="I699" s="729">
        <f ca="1">IFERROR(__xludf.DUMMYFUNCTION("IMPORTRANGE(""https://docs.google.com/spreadsheets/d/1QqKyyYR6Q21VydFLVH3TRQUabQu_ym0Zz7PgGX0-kHA/edit?usp=sharing"",""แผน!IC14"")"),0)</f>
        <v>0</v>
      </c>
      <c r="J699" s="269">
        <f ca="1">IFERROR(__xludf.DUMMYFUNCTION("IMPORTRANGE(""https://docs.google.com/spreadsheets/d/1XWAQStnk-4SwqDmLtmXYiTMKHgktTP8We1SCoS47DrQ/edit?usp=sharing"",""จัดที่ดิน!BB69"")"),0)</f>
        <v>0</v>
      </c>
      <c r="K699" s="465">
        <f t="shared" ref="K699:K701" ca="1" si="289">IF(I699&gt;0,J699*100/I699,0)</f>
        <v>0</v>
      </c>
      <c r="L699" s="465"/>
      <c r="M699" s="189"/>
      <c r="N699" s="730"/>
      <c r="O699" s="465"/>
      <c r="P699" s="465"/>
      <c r="Q699" s="541"/>
      <c r="R699" s="541"/>
      <c r="S699" s="541"/>
      <c r="T699" s="541"/>
      <c r="U699" s="541"/>
      <c r="V699" s="541"/>
      <c r="W699" s="541"/>
      <c r="X699" s="541"/>
      <c r="Y699" s="541"/>
      <c r="Z699" s="541"/>
    </row>
    <row r="700" spans="1:26" ht="18.75">
      <c r="A700" s="708"/>
      <c r="B700" s="727"/>
      <c r="C700" s="727"/>
      <c r="D700" s="727" t="s">
        <v>295</v>
      </c>
      <c r="E700" s="727"/>
      <c r="F700" s="727"/>
      <c r="G700" s="189"/>
      <c r="H700" s="728" t="s">
        <v>35</v>
      </c>
      <c r="I700" s="729">
        <f ca="1">IFERROR(__xludf.DUMMYFUNCTION("IMPORTRANGE(""https://docs.google.com/spreadsheets/d/1QqKyyYR6Q21VydFLVH3TRQUabQu_ym0Zz7PgGX0-kHA/edit?usp=sharing"",""แผน!ID14"")"),0)</f>
        <v>0</v>
      </c>
      <c r="J700" s="269">
        <f ca="1">IFERROR(__xludf.DUMMYFUNCTION("IMPORTRANGE(""https://docs.google.com/spreadsheets/d/1XWAQStnk-4SwqDmLtmXYiTMKHgktTP8We1SCoS47DrQ/edit?usp=sharing"",""จัดที่ดิน!BD69"")"),0)</f>
        <v>0</v>
      </c>
      <c r="K700" s="465">
        <f t="shared" ca="1" si="289"/>
        <v>0</v>
      </c>
      <c r="L700" s="465"/>
      <c r="M700" s="189"/>
      <c r="N700" s="730"/>
      <c r="O700" s="465"/>
      <c r="P700" s="465"/>
      <c r="Q700" s="541"/>
      <c r="R700" s="541"/>
      <c r="S700" s="541"/>
      <c r="T700" s="541"/>
      <c r="U700" s="541"/>
      <c r="V700" s="541"/>
      <c r="W700" s="541"/>
      <c r="X700" s="541"/>
      <c r="Y700" s="541"/>
      <c r="Z700" s="541"/>
    </row>
    <row r="701" spans="1:26" ht="19.5">
      <c r="A701" s="708"/>
      <c r="B701" s="727"/>
      <c r="C701" s="727"/>
      <c r="D701" s="727" t="s">
        <v>296</v>
      </c>
      <c r="E701" s="727"/>
      <c r="F701" s="727"/>
      <c r="G701" s="189"/>
      <c r="H701" s="731" t="s">
        <v>46</v>
      </c>
      <c r="I701" s="732">
        <f ca="1">IFERROR(__xludf.DUMMYFUNCTION("IMPORTRANGE(""https://docs.google.com/spreadsheets/d/1QqKyyYR6Q21VydFLVH3TRQUabQu_ym0Zz7PgGX0-kHA/edit?usp=sharing"",""แผน!IE14"")"),40)</f>
        <v>40</v>
      </c>
      <c r="J701" s="647">
        <f>J704+J707</f>
        <v>0</v>
      </c>
      <c r="K701" s="195">
        <f t="shared" ca="1" si="289"/>
        <v>0</v>
      </c>
      <c r="L701" s="465"/>
      <c r="M701" s="189"/>
      <c r="N701" s="730"/>
      <c r="O701" s="465"/>
      <c r="P701" s="465"/>
      <c r="Q701" s="541"/>
      <c r="R701" s="541"/>
      <c r="S701" s="541"/>
      <c r="T701" s="541"/>
      <c r="U701" s="541"/>
      <c r="V701" s="541"/>
      <c r="W701" s="541"/>
      <c r="X701" s="541"/>
      <c r="Y701" s="541"/>
      <c r="Z701" s="541"/>
    </row>
    <row r="702" spans="1:26" ht="18.75">
      <c r="A702" s="708"/>
      <c r="B702" s="727"/>
      <c r="C702" s="727"/>
      <c r="D702" s="727"/>
      <c r="E702" s="727" t="s">
        <v>297</v>
      </c>
      <c r="F702" s="727"/>
      <c r="G702" s="189"/>
      <c r="H702" s="728" t="s">
        <v>35</v>
      </c>
      <c r="I702" s="729"/>
      <c r="J702" s="214">
        <v>0</v>
      </c>
      <c r="K702" s="465"/>
      <c r="L702" s="465"/>
      <c r="M702" s="189"/>
      <c r="N702" s="730"/>
      <c r="O702" s="465"/>
      <c r="P702" s="465"/>
      <c r="Q702" s="541"/>
      <c r="R702" s="541"/>
      <c r="S702" s="541"/>
      <c r="T702" s="541"/>
      <c r="U702" s="541"/>
      <c r="V702" s="541"/>
      <c r="W702" s="541"/>
      <c r="X702" s="541"/>
      <c r="Y702" s="541"/>
      <c r="Z702" s="541"/>
    </row>
    <row r="703" spans="1:26" ht="18.75">
      <c r="A703" s="708"/>
      <c r="B703" s="727"/>
      <c r="C703" s="727"/>
      <c r="D703" s="727"/>
      <c r="E703" s="727"/>
      <c r="F703" s="727"/>
      <c r="G703" s="189"/>
      <c r="H703" s="728" t="s">
        <v>34</v>
      </c>
      <c r="I703" s="729"/>
      <c r="J703" s="214">
        <v>0</v>
      </c>
      <c r="K703" s="465"/>
      <c r="L703" s="465"/>
      <c r="M703" s="189"/>
      <c r="N703" s="730"/>
      <c r="O703" s="465"/>
      <c r="P703" s="465"/>
      <c r="Q703" s="541"/>
      <c r="R703" s="541"/>
      <c r="S703" s="541"/>
      <c r="T703" s="541"/>
      <c r="U703" s="541"/>
      <c r="V703" s="541"/>
      <c r="W703" s="541"/>
      <c r="X703" s="541"/>
      <c r="Y703" s="541"/>
      <c r="Z703" s="541"/>
    </row>
    <row r="704" spans="1:26" ht="18.75">
      <c r="A704" s="708"/>
      <c r="B704" s="727"/>
      <c r="C704" s="727"/>
      <c r="D704" s="727"/>
      <c r="E704" s="727"/>
      <c r="F704" s="727"/>
      <c r="G704" s="189"/>
      <c r="H704" s="728" t="s">
        <v>46</v>
      </c>
      <c r="I704" s="729">
        <f ca="1">IFERROR(__xludf.DUMMYFUNCTION("IMPORTRANGE(""https://docs.google.com/spreadsheets/d/1QqKyyYR6Q21VydFLVH3TRQUabQu_ym0Zz7PgGX0-kHA/edit?usp=sharing"",""แผน!IF14"")"),40)</f>
        <v>40</v>
      </c>
      <c r="J704" s="214">
        <v>0</v>
      </c>
      <c r="K704" s="465"/>
      <c r="L704" s="465"/>
      <c r="M704" s="189"/>
      <c r="N704" s="730"/>
      <c r="O704" s="465"/>
      <c r="P704" s="465"/>
      <c r="Q704" s="541"/>
      <c r="R704" s="541"/>
      <c r="S704" s="541"/>
      <c r="T704" s="541"/>
      <c r="U704" s="541"/>
      <c r="V704" s="541"/>
      <c r="W704" s="541"/>
      <c r="X704" s="541"/>
      <c r="Y704" s="541"/>
      <c r="Z704" s="541"/>
    </row>
    <row r="705" spans="1:26" ht="18.75">
      <c r="A705" s="708"/>
      <c r="B705" s="727"/>
      <c r="C705" s="727"/>
      <c r="D705" s="727"/>
      <c r="E705" s="727" t="s">
        <v>298</v>
      </c>
      <c r="F705" s="727"/>
      <c r="G705" s="189"/>
      <c r="H705" s="728" t="s">
        <v>35</v>
      </c>
      <c r="I705" s="729"/>
      <c r="J705" s="214">
        <v>0</v>
      </c>
      <c r="K705" s="465"/>
      <c r="L705" s="465"/>
      <c r="M705" s="189"/>
      <c r="N705" s="730"/>
      <c r="O705" s="465"/>
      <c r="P705" s="465"/>
      <c r="Q705" s="541"/>
      <c r="R705" s="541"/>
      <c r="S705" s="541"/>
      <c r="T705" s="541"/>
      <c r="U705" s="541"/>
      <c r="V705" s="541"/>
      <c r="W705" s="541"/>
      <c r="X705" s="541"/>
      <c r="Y705" s="541"/>
      <c r="Z705" s="541"/>
    </row>
    <row r="706" spans="1:26" ht="18.75">
      <c r="A706" s="708"/>
      <c r="B706" s="727"/>
      <c r="C706" s="727"/>
      <c r="D706" s="727"/>
      <c r="E706" s="727"/>
      <c r="F706" s="727"/>
      <c r="G706" s="189"/>
      <c r="H706" s="728" t="s">
        <v>34</v>
      </c>
      <c r="I706" s="729"/>
      <c r="J706" s="214">
        <v>0</v>
      </c>
      <c r="K706" s="465"/>
      <c r="L706" s="465"/>
      <c r="M706" s="189"/>
      <c r="N706" s="730"/>
      <c r="O706" s="465"/>
      <c r="P706" s="465"/>
      <c r="Q706" s="541"/>
      <c r="R706" s="541"/>
      <c r="S706" s="541"/>
      <c r="T706" s="541"/>
      <c r="U706" s="541"/>
      <c r="V706" s="541"/>
      <c r="W706" s="541"/>
      <c r="X706" s="541"/>
      <c r="Y706" s="541"/>
      <c r="Z706" s="541"/>
    </row>
    <row r="707" spans="1:26" ht="18.75">
      <c r="A707" s="708"/>
      <c r="B707" s="727"/>
      <c r="C707" s="727"/>
      <c r="D707" s="727"/>
      <c r="E707" s="727"/>
      <c r="F707" s="727"/>
      <c r="G707" s="189"/>
      <c r="H707" s="728" t="s">
        <v>46</v>
      </c>
      <c r="I707" s="729">
        <f ca="1">IFERROR(__xludf.DUMMYFUNCTION("IMPORTRANGE(""https://docs.google.com/spreadsheets/d/1QqKyyYR6Q21VydFLVH3TRQUabQu_ym0Zz7PgGX0-kHA/edit?usp=sharing"",""แผน!IG14"")"),0)</f>
        <v>0</v>
      </c>
      <c r="J707" s="214">
        <v>0</v>
      </c>
      <c r="K707" s="465"/>
      <c r="L707" s="465"/>
      <c r="M707" s="189"/>
      <c r="N707" s="730"/>
      <c r="O707" s="465"/>
      <c r="P707" s="465"/>
      <c r="Q707" s="541"/>
      <c r="R707" s="541"/>
      <c r="S707" s="541"/>
      <c r="T707" s="541"/>
      <c r="U707" s="541"/>
      <c r="V707" s="541"/>
      <c r="W707" s="541"/>
      <c r="X707" s="541"/>
      <c r="Y707" s="541"/>
      <c r="Z707" s="541"/>
    </row>
    <row r="708" spans="1:26" ht="19.5">
      <c r="A708" s="708"/>
      <c r="B708" s="727"/>
      <c r="C708" s="727"/>
      <c r="D708" s="733" t="s">
        <v>299</v>
      </c>
      <c r="E708" s="727"/>
      <c r="F708" s="727"/>
      <c r="G708" s="189"/>
      <c r="H708" s="731" t="s">
        <v>46</v>
      </c>
      <c r="I708" s="732">
        <f ca="1">IFERROR(__xludf.DUMMYFUNCTION("IMPORTRANGE(""https://docs.google.com/spreadsheets/d/1QqKyyYR6Q21VydFLVH3TRQUabQu_ym0Zz7PgGX0-kHA/edit?usp=sharing"",""แผน!IH14"")"),40)</f>
        <v>40</v>
      </c>
      <c r="J708" s="647">
        <f>J714+J717</f>
        <v>0</v>
      </c>
      <c r="K708" s="195">
        <f ca="1">IF(I708&gt;0,J708*100/I708,0)</f>
        <v>0</v>
      </c>
      <c r="L708" s="465"/>
      <c r="M708" s="189"/>
      <c r="N708" s="730"/>
      <c r="O708" s="465"/>
      <c r="P708" s="465"/>
      <c r="Q708" s="541"/>
      <c r="R708" s="541"/>
      <c r="S708" s="541"/>
      <c r="T708" s="541"/>
      <c r="U708" s="541"/>
      <c r="V708" s="541"/>
      <c r="W708" s="541"/>
      <c r="X708" s="541"/>
      <c r="Y708" s="541"/>
      <c r="Z708" s="541"/>
    </row>
    <row r="709" spans="1:26" ht="18.75">
      <c r="A709" s="708"/>
      <c r="B709" s="727"/>
      <c r="C709" s="727"/>
      <c r="D709" s="727"/>
      <c r="E709" s="727" t="s">
        <v>300</v>
      </c>
      <c r="F709" s="727"/>
      <c r="G709" s="189"/>
      <c r="H709" s="728" t="s">
        <v>34</v>
      </c>
      <c r="I709" s="729"/>
      <c r="J709" s="214">
        <v>0</v>
      </c>
      <c r="K709" s="465"/>
      <c r="L709" s="730"/>
      <c r="M709" s="189"/>
      <c r="N709" s="730"/>
      <c r="O709" s="465"/>
      <c r="P709" s="465"/>
      <c r="Q709" s="541"/>
      <c r="R709" s="541"/>
      <c r="S709" s="541"/>
      <c r="T709" s="541"/>
      <c r="U709" s="541"/>
      <c r="V709" s="541"/>
      <c r="W709" s="541"/>
      <c r="X709" s="541"/>
      <c r="Y709" s="541"/>
      <c r="Z709" s="541"/>
    </row>
    <row r="710" spans="1:26" ht="18.75">
      <c r="A710" s="708"/>
      <c r="B710" s="727"/>
      <c r="C710" s="727"/>
      <c r="D710" s="727"/>
      <c r="E710" s="727"/>
      <c r="F710" s="727"/>
      <c r="G710" s="189"/>
      <c r="H710" s="728" t="s">
        <v>46</v>
      </c>
      <c r="I710" s="729"/>
      <c r="J710" s="214">
        <v>0</v>
      </c>
      <c r="K710" s="465"/>
      <c r="L710" s="730"/>
      <c r="M710" s="189"/>
      <c r="N710" s="730"/>
      <c r="O710" s="465"/>
      <c r="P710" s="465"/>
      <c r="Q710" s="541"/>
      <c r="R710" s="541"/>
      <c r="S710" s="541"/>
      <c r="T710" s="541"/>
      <c r="U710" s="541"/>
      <c r="V710" s="541"/>
      <c r="W710" s="541"/>
      <c r="X710" s="541"/>
      <c r="Y710" s="541"/>
      <c r="Z710" s="541"/>
    </row>
    <row r="711" spans="1:26" ht="18.75">
      <c r="A711" s="708"/>
      <c r="B711" s="727"/>
      <c r="C711" s="727"/>
      <c r="D711" s="727"/>
      <c r="E711" s="727" t="s">
        <v>301</v>
      </c>
      <c r="F711" s="727"/>
      <c r="G711" s="189"/>
      <c r="H711" s="726"/>
      <c r="I711" s="729"/>
      <c r="J711" s="269"/>
      <c r="K711" s="465"/>
      <c r="L711" s="730"/>
      <c r="M711" s="189"/>
      <c r="N711" s="730"/>
      <c r="O711" s="465"/>
      <c r="P711" s="465"/>
      <c r="Q711" s="541"/>
      <c r="R711" s="541"/>
      <c r="S711" s="541"/>
      <c r="T711" s="541"/>
      <c r="U711" s="541"/>
      <c r="V711" s="541"/>
      <c r="W711" s="541"/>
      <c r="X711" s="541"/>
      <c r="Y711" s="541"/>
      <c r="Z711" s="541"/>
    </row>
    <row r="712" spans="1:26" ht="18.75">
      <c r="A712" s="708"/>
      <c r="B712" s="727"/>
      <c r="C712" s="727"/>
      <c r="D712" s="727"/>
      <c r="E712" s="727"/>
      <c r="F712" s="727" t="s">
        <v>302</v>
      </c>
      <c r="G712" s="189"/>
      <c r="H712" s="728" t="s">
        <v>35</v>
      </c>
      <c r="I712" s="729"/>
      <c r="J712" s="214">
        <v>0</v>
      </c>
      <c r="K712" s="465"/>
      <c r="L712" s="730"/>
      <c r="M712" s="189"/>
      <c r="N712" s="730"/>
      <c r="O712" s="465"/>
      <c r="P712" s="465"/>
      <c r="Q712" s="541"/>
      <c r="R712" s="541"/>
      <c r="S712" s="541"/>
      <c r="T712" s="541"/>
      <c r="U712" s="541"/>
      <c r="V712" s="541"/>
      <c r="W712" s="541"/>
      <c r="X712" s="541"/>
      <c r="Y712" s="541"/>
      <c r="Z712" s="541"/>
    </row>
    <row r="713" spans="1:26" ht="18.75">
      <c r="A713" s="708"/>
      <c r="B713" s="727"/>
      <c r="C713" s="727"/>
      <c r="D713" s="727"/>
      <c r="E713" s="727"/>
      <c r="F713" s="727"/>
      <c r="G713" s="189"/>
      <c r="H713" s="728" t="s">
        <v>34</v>
      </c>
      <c r="I713" s="729"/>
      <c r="J713" s="214">
        <v>0</v>
      </c>
      <c r="K713" s="465"/>
      <c r="L713" s="730"/>
      <c r="M713" s="189"/>
      <c r="N713" s="730"/>
      <c r="O713" s="465"/>
      <c r="P713" s="465"/>
      <c r="Q713" s="541"/>
      <c r="R713" s="541"/>
      <c r="S713" s="541"/>
      <c r="T713" s="541"/>
      <c r="U713" s="541"/>
      <c r="V713" s="541"/>
      <c r="W713" s="541"/>
      <c r="X713" s="541"/>
      <c r="Y713" s="541"/>
      <c r="Z713" s="541"/>
    </row>
    <row r="714" spans="1:26" ht="18.75">
      <c r="A714" s="708"/>
      <c r="B714" s="727"/>
      <c r="C714" s="727"/>
      <c r="D714" s="727"/>
      <c r="E714" s="727"/>
      <c r="F714" s="727"/>
      <c r="G714" s="189"/>
      <c r="H714" s="728" t="s">
        <v>46</v>
      </c>
      <c r="I714" s="729"/>
      <c r="J714" s="214">
        <v>0</v>
      </c>
      <c r="K714" s="465"/>
      <c r="L714" s="730"/>
      <c r="M714" s="189"/>
      <c r="N714" s="730"/>
      <c r="O714" s="465"/>
      <c r="P714" s="465"/>
      <c r="Q714" s="541"/>
      <c r="R714" s="541"/>
      <c r="S714" s="541"/>
      <c r="T714" s="541"/>
      <c r="U714" s="541"/>
      <c r="V714" s="541"/>
      <c r="W714" s="541"/>
      <c r="X714" s="541"/>
      <c r="Y714" s="541"/>
      <c r="Z714" s="541"/>
    </row>
    <row r="715" spans="1:26" ht="18.75">
      <c r="A715" s="708"/>
      <c r="B715" s="727"/>
      <c r="C715" s="727"/>
      <c r="D715" s="727"/>
      <c r="E715" s="727"/>
      <c r="F715" s="727" t="s">
        <v>303</v>
      </c>
      <c r="G715" s="189"/>
      <c r="H715" s="728" t="s">
        <v>35</v>
      </c>
      <c r="I715" s="729"/>
      <c r="J715" s="214">
        <v>0</v>
      </c>
      <c r="K715" s="465"/>
      <c r="L715" s="730"/>
      <c r="M715" s="189"/>
      <c r="N715" s="730"/>
      <c r="O715" s="465"/>
      <c r="P715" s="465"/>
      <c r="Q715" s="541"/>
      <c r="R715" s="541"/>
      <c r="S715" s="541"/>
      <c r="T715" s="541"/>
      <c r="U715" s="541"/>
      <c r="V715" s="541"/>
      <c r="W715" s="541"/>
      <c r="X715" s="541"/>
      <c r="Y715" s="541"/>
      <c r="Z715" s="541"/>
    </row>
    <row r="716" spans="1:26" ht="18.75">
      <c r="A716" s="708"/>
      <c r="B716" s="727"/>
      <c r="C716" s="727"/>
      <c r="D716" s="727"/>
      <c r="E716" s="727"/>
      <c r="F716" s="727"/>
      <c r="G716" s="189"/>
      <c r="H716" s="728" t="s">
        <v>34</v>
      </c>
      <c r="I716" s="729"/>
      <c r="J716" s="214">
        <v>0</v>
      </c>
      <c r="K716" s="465"/>
      <c r="L716" s="730"/>
      <c r="M716" s="189"/>
      <c r="N716" s="730"/>
      <c r="O716" s="465"/>
      <c r="P716" s="465"/>
      <c r="Q716" s="541"/>
      <c r="R716" s="541"/>
      <c r="S716" s="541"/>
      <c r="T716" s="541"/>
      <c r="U716" s="541"/>
      <c r="V716" s="541"/>
      <c r="W716" s="541"/>
      <c r="X716" s="541"/>
      <c r="Y716" s="541"/>
      <c r="Z716" s="541"/>
    </row>
    <row r="717" spans="1:26" ht="18.75">
      <c r="A717" s="708"/>
      <c r="B717" s="727"/>
      <c r="C717" s="727"/>
      <c r="D717" s="727"/>
      <c r="E717" s="727"/>
      <c r="F717" s="727"/>
      <c r="G717" s="189"/>
      <c r="H717" s="728" t="s">
        <v>46</v>
      </c>
      <c r="I717" s="729"/>
      <c r="J717" s="214">
        <v>0</v>
      </c>
      <c r="K717" s="465"/>
      <c r="L717" s="730"/>
      <c r="M717" s="189"/>
      <c r="N717" s="730"/>
      <c r="O717" s="465"/>
      <c r="P717" s="465"/>
      <c r="Q717" s="541"/>
      <c r="R717" s="541"/>
      <c r="S717" s="541"/>
      <c r="T717" s="541"/>
      <c r="U717" s="541"/>
      <c r="V717" s="541"/>
      <c r="W717" s="541"/>
      <c r="X717" s="541"/>
      <c r="Y717" s="541"/>
      <c r="Z717" s="541"/>
    </row>
    <row r="718" spans="1:26" ht="18.75">
      <c r="A718" s="708"/>
      <c r="B718" s="727"/>
      <c r="C718" s="727"/>
      <c r="D718" s="727" t="s">
        <v>304</v>
      </c>
      <c r="E718" s="727"/>
      <c r="F718" s="727"/>
      <c r="G718" s="189"/>
      <c r="H718" s="728" t="s">
        <v>35</v>
      </c>
      <c r="I718" s="729"/>
      <c r="J718" s="269">
        <f ca="1">IFERROR(__xludf.DUMMYFUNCTION("IMPORTRANGE(""https://docs.google.com/spreadsheets/d/1XWAQStnk-4SwqDmLtmXYiTMKHgktTP8We1SCoS47DrQ/edit?usp=sharing"",""จัดที่ดิน!BF69"")"),0)</f>
        <v>0</v>
      </c>
      <c r="K718" s="465"/>
      <c r="L718" s="465"/>
      <c r="M718" s="189"/>
      <c r="N718" s="730"/>
      <c r="O718" s="465"/>
      <c r="P718" s="465"/>
      <c r="Q718" s="541"/>
      <c r="R718" s="541"/>
      <c r="S718" s="541"/>
      <c r="T718" s="541"/>
      <c r="U718" s="541"/>
      <c r="V718" s="541"/>
      <c r="W718" s="541"/>
      <c r="X718" s="541"/>
      <c r="Y718" s="541"/>
      <c r="Z718" s="541"/>
    </row>
    <row r="719" spans="1:26" ht="18.75">
      <c r="A719" s="708"/>
      <c r="B719" s="727"/>
      <c r="C719" s="727"/>
      <c r="D719" s="727"/>
      <c r="E719" s="727"/>
      <c r="F719" s="727"/>
      <c r="G719" s="189"/>
      <c r="H719" s="728" t="s">
        <v>34</v>
      </c>
      <c r="I719" s="729"/>
      <c r="J719" s="269">
        <f ca="1">IFERROR(__xludf.DUMMYFUNCTION("IMPORTRANGE(""https://docs.google.com/spreadsheets/d/1XWAQStnk-4SwqDmLtmXYiTMKHgktTP8We1SCoS47DrQ/edit?usp=sharing"",""จัดที่ดิน!BG69"")"),0)</f>
        <v>0</v>
      </c>
      <c r="K719" s="465"/>
      <c r="L719" s="730"/>
      <c r="M719" s="189"/>
      <c r="N719" s="730"/>
      <c r="O719" s="465"/>
      <c r="P719" s="465"/>
      <c r="Q719" s="541"/>
      <c r="R719" s="541"/>
      <c r="S719" s="541"/>
      <c r="T719" s="541"/>
      <c r="U719" s="541"/>
      <c r="V719" s="541"/>
      <c r="W719" s="541"/>
      <c r="X719" s="541"/>
      <c r="Y719" s="541"/>
      <c r="Z719" s="541"/>
    </row>
    <row r="720" spans="1:26" ht="18.75">
      <c r="A720" s="708"/>
      <c r="B720" s="727"/>
      <c r="C720" s="727"/>
      <c r="D720" s="727"/>
      <c r="E720" s="727"/>
      <c r="F720" s="727"/>
      <c r="G720" s="189"/>
      <c r="H720" s="728" t="s">
        <v>46</v>
      </c>
      <c r="I720" s="729">
        <f ca="1">IFERROR(__xludf.DUMMYFUNCTION("IMPORTRANGE(""https://docs.google.com/spreadsheets/d/1QqKyyYR6Q21VydFLVH3TRQUabQu_ym0Zz7PgGX0-kHA/edit?usp=sharing"",""แผน!II14"")"),50)</f>
        <v>50</v>
      </c>
      <c r="J720" s="269">
        <f ca="1">IFERROR(__xludf.DUMMYFUNCTION("IMPORTRANGE(""https://docs.google.com/spreadsheets/d/1XWAQStnk-4SwqDmLtmXYiTMKHgktTP8We1SCoS47DrQ/edit?usp=sharing"",""จัดที่ดิน!BH69"")"),0)</f>
        <v>0</v>
      </c>
      <c r="K720" s="465">
        <f t="shared" ref="K720:K723" ca="1" si="290">IF(I720&gt;0,J720*100/I720,0)</f>
        <v>0</v>
      </c>
      <c r="L720" s="730"/>
      <c r="M720" s="189"/>
      <c r="N720" s="730"/>
      <c r="O720" s="465"/>
      <c r="P720" s="465"/>
      <c r="Q720" s="541"/>
      <c r="R720" s="541"/>
      <c r="S720" s="541"/>
      <c r="T720" s="541"/>
      <c r="U720" s="541"/>
      <c r="V720" s="541"/>
      <c r="W720" s="541"/>
      <c r="X720" s="541"/>
      <c r="Y720" s="541"/>
      <c r="Z720" s="541"/>
    </row>
    <row r="721" spans="1:26" ht="19.5">
      <c r="A721" s="708"/>
      <c r="B721" s="727"/>
      <c r="C721" s="727"/>
      <c r="D721" s="727" t="s">
        <v>305</v>
      </c>
      <c r="E721" s="727"/>
      <c r="F721" s="727"/>
      <c r="G721" s="189"/>
      <c r="H721" s="731" t="s">
        <v>35</v>
      </c>
      <c r="I721" s="732">
        <f ca="1">IFERROR(__xludf.DUMMYFUNCTION("IMPORTRANGE(""https://docs.google.com/spreadsheets/d/1QqKyyYR6Q21VydFLVH3TRQUabQu_ym0Zz7PgGX0-kHA/edit?usp=sharing"",""แผน!IJ14"")"),4)</f>
        <v>4</v>
      </c>
      <c r="J721" s="647">
        <f ca="1">J723+J726</f>
        <v>0</v>
      </c>
      <c r="K721" s="195">
        <f t="shared" ca="1" si="290"/>
        <v>0</v>
      </c>
      <c r="L721" s="730"/>
      <c r="M721" s="189"/>
      <c r="N721" s="730"/>
      <c r="O721" s="465"/>
      <c r="P721" s="465"/>
      <c r="Q721" s="541"/>
      <c r="R721" s="541"/>
      <c r="S721" s="541"/>
      <c r="T721" s="541"/>
      <c r="U721" s="541"/>
      <c r="V721" s="541"/>
      <c r="W721" s="541"/>
      <c r="X721" s="541"/>
      <c r="Y721" s="541"/>
      <c r="Z721" s="541"/>
    </row>
    <row r="722" spans="1:26" ht="19.5">
      <c r="A722" s="708"/>
      <c r="B722" s="727"/>
      <c r="C722" s="727"/>
      <c r="D722" s="727"/>
      <c r="E722" s="727"/>
      <c r="F722" s="727"/>
      <c r="G722" s="189"/>
      <c r="H722" s="731" t="s">
        <v>46</v>
      </c>
      <c r="I722" s="732">
        <f ca="1">IFERROR(__xludf.DUMMYFUNCTION("IMPORTRANGE(""https://docs.google.com/spreadsheets/d/1QqKyyYR6Q21VydFLVH3TRQUabQu_ym0Zz7PgGX0-kHA/edit?usp=sharing"",""แผน!IK14"")"),50)</f>
        <v>50</v>
      </c>
      <c r="J722" s="647">
        <f ca="1">J725+J728</f>
        <v>0</v>
      </c>
      <c r="K722" s="195">
        <f t="shared" ca="1" si="290"/>
        <v>0</v>
      </c>
      <c r="L722" s="465"/>
      <c r="M722" s="189"/>
      <c r="N722" s="730"/>
      <c r="O722" s="465"/>
      <c r="P722" s="465"/>
      <c r="Q722" s="541"/>
      <c r="R722" s="541"/>
      <c r="S722" s="541"/>
      <c r="T722" s="541"/>
      <c r="U722" s="541"/>
      <c r="V722" s="541"/>
      <c r="W722" s="541"/>
      <c r="X722" s="541"/>
      <c r="Y722" s="541"/>
      <c r="Z722" s="541"/>
    </row>
    <row r="723" spans="1:26" ht="18.75">
      <c r="A723" s="708"/>
      <c r="B723" s="727"/>
      <c r="C723" s="727"/>
      <c r="D723" s="727"/>
      <c r="E723" s="727" t="s">
        <v>306</v>
      </c>
      <c r="F723" s="727"/>
      <c r="G723" s="189"/>
      <c r="H723" s="728" t="s">
        <v>35</v>
      </c>
      <c r="I723" s="729">
        <f ca="1">IFERROR(__xludf.DUMMYFUNCTION("IMPORTRANGE(""https://docs.google.com/spreadsheets/d/1QqKyyYR6Q21VydFLVH3TRQUabQu_ym0Zz7PgGX0-kHA/edit?usp=sharing"",""แผน!IL14"")"),4)</f>
        <v>4</v>
      </c>
      <c r="J723" s="269">
        <f ca="1">IFERROR(__xludf.DUMMYFUNCTION("IMPORTRANGE(""https://docs.google.com/spreadsheets/d/1XWAQStnk-4SwqDmLtmXYiTMKHgktTP8We1SCoS47DrQ/edit?usp=sharing"",""จัดที่ดิน!BM69"")"),0)</f>
        <v>0</v>
      </c>
      <c r="K723" s="465">
        <f t="shared" ca="1" si="290"/>
        <v>0</v>
      </c>
      <c r="L723" s="465"/>
      <c r="M723" s="189"/>
      <c r="N723" s="730"/>
      <c r="O723" s="465"/>
      <c r="P723" s="465"/>
      <c r="Q723" s="541"/>
      <c r="R723" s="541"/>
      <c r="S723" s="541"/>
      <c r="T723" s="541"/>
      <c r="U723" s="541"/>
      <c r="V723" s="541"/>
      <c r="W723" s="541"/>
      <c r="X723" s="541"/>
      <c r="Y723" s="541"/>
      <c r="Z723" s="541"/>
    </row>
    <row r="724" spans="1:26" ht="18.75">
      <c r="A724" s="708"/>
      <c r="B724" s="727"/>
      <c r="C724" s="727"/>
      <c r="D724" s="727"/>
      <c r="E724" s="727"/>
      <c r="F724" s="727"/>
      <c r="G724" s="189"/>
      <c r="H724" s="728" t="s">
        <v>34</v>
      </c>
      <c r="I724" s="729"/>
      <c r="J724" s="269">
        <f ca="1">IFERROR(__xludf.DUMMYFUNCTION("IMPORTRANGE(""https://docs.google.com/spreadsheets/d/1XWAQStnk-4SwqDmLtmXYiTMKHgktTP8We1SCoS47DrQ/edit?usp=sharing"",""จัดที่ดิน!BN69"")"),0)</f>
        <v>0</v>
      </c>
      <c r="K724" s="465"/>
      <c r="L724" s="730"/>
      <c r="M724" s="189"/>
      <c r="N724" s="730"/>
      <c r="O724" s="465"/>
      <c r="P724" s="465"/>
      <c r="Q724" s="541"/>
      <c r="R724" s="541"/>
      <c r="S724" s="541"/>
      <c r="T724" s="541"/>
      <c r="U724" s="541"/>
      <c r="V724" s="541"/>
      <c r="W724" s="541"/>
      <c r="X724" s="541"/>
      <c r="Y724" s="541"/>
      <c r="Z724" s="541"/>
    </row>
    <row r="725" spans="1:26" ht="18.75">
      <c r="A725" s="708"/>
      <c r="B725" s="727"/>
      <c r="C725" s="727"/>
      <c r="D725" s="727"/>
      <c r="E725" s="727"/>
      <c r="F725" s="727"/>
      <c r="G725" s="189"/>
      <c r="H725" s="728" t="s">
        <v>46</v>
      </c>
      <c r="I725" s="729">
        <f ca="1">IFERROR(__xludf.DUMMYFUNCTION("IMPORTRANGE(""https://docs.google.com/spreadsheets/d/1QqKyyYR6Q21VydFLVH3TRQUabQu_ym0Zz7PgGX0-kHA/edit?usp=sharing"",""แผน!IM14"")"),50)</f>
        <v>50</v>
      </c>
      <c r="J725" s="269">
        <f ca="1">IFERROR(__xludf.DUMMYFUNCTION("IMPORTRANGE(""https://docs.google.com/spreadsheets/d/1XWAQStnk-4SwqDmLtmXYiTMKHgktTP8We1SCoS47DrQ/edit?usp=sharing"",""จัดที่ดิน!BO69"")"),0)</f>
        <v>0</v>
      </c>
      <c r="K725" s="465">
        <f t="shared" ref="K725:K726" ca="1" si="291">IF(I725&gt;0,J725*100/I725,0)</f>
        <v>0</v>
      </c>
      <c r="L725" s="730"/>
      <c r="M725" s="189"/>
      <c r="N725" s="730"/>
      <c r="O725" s="465"/>
      <c r="P725" s="465"/>
      <c r="Q725" s="541"/>
      <c r="R725" s="541"/>
      <c r="S725" s="541"/>
      <c r="T725" s="541"/>
      <c r="U725" s="541"/>
      <c r="V725" s="541"/>
      <c r="W725" s="541"/>
      <c r="X725" s="541"/>
      <c r="Y725" s="541"/>
      <c r="Z725" s="541"/>
    </row>
    <row r="726" spans="1:26" ht="18.75">
      <c r="A726" s="708"/>
      <c r="B726" s="727"/>
      <c r="C726" s="727"/>
      <c r="D726" s="727"/>
      <c r="E726" s="727" t="s">
        <v>307</v>
      </c>
      <c r="F726" s="727"/>
      <c r="G726" s="189"/>
      <c r="H726" s="728" t="s">
        <v>35</v>
      </c>
      <c r="I726" s="729">
        <f ca="1">IFERROR(__xludf.DUMMYFUNCTION("IMPORTRANGE(""https://docs.google.com/spreadsheets/d/1QqKyyYR6Q21VydFLVH3TRQUabQu_ym0Zz7PgGX0-kHA/edit?usp=sharing"",""แผน!IN14"")"),0)</f>
        <v>0</v>
      </c>
      <c r="J726" s="269">
        <f ca="1">IFERROR(__xludf.DUMMYFUNCTION("IMPORTRANGE(""https://docs.google.com/spreadsheets/d/1XWAQStnk-4SwqDmLtmXYiTMKHgktTP8We1SCoS47DrQ/edit?usp=sharing"",""จัดที่ดิน!BR69"")"),0)</f>
        <v>0</v>
      </c>
      <c r="K726" s="465">
        <f t="shared" ca="1" si="291"/>
        <v>0</v>
      </c>
      <c r="L726" s="465"/>
      <c r="M726" s="189"/>
      <c r="N726" s="730"/>
      <c r="O726" s="465"/>
      <c r="P726" s="465"/>
      <c r="Q726" s="541"/>
      <c r="R726" s="541"/>
      <c r="S726" s="541"/>
      <c r="T726" s="541"/>
      <c r="U726" s="541"/>
      <c r="V726" s="541"/>
      <c r="W726" s="541"/>
      <c r="X726" s="541"/>
      <c r="Y726" s="541"/>
      <c r="Z726" s="541"/>
    </row>
    <row r="727" spans="1:26" ht="18.75">
      <c r="A727" s="708"/>
      <c r="B727" s="727"/>
      <c r="C727" s="727"/>
      <c r="D727" s="727"/>
      <c r="E727" s="727"/>
      <c r="F727" s="727"/>
      <c r="G727" s="189"/>
      <c r="H727" s="728" t="s">
        <v>34</v>
      </c>
      <c r="I727" s="729"/>
      <c r="J727" s="269">
        <f ca="1">IFERROR(__xludf.DUMMYFUNCTION("IMPORTRANGE(""https://docs.google.com/spreadsheets/d/1XWAQStnk-4SwqDmLtmXYiTMKHgktTP8We1SCoS47DrQ/edit?usp=sharing"",""จัดที่ดิน!BS69"")"),0)</f>
        <v>0</v>
      </c>
      <c r="K727" s="465"/>
      <c r="L727" s="730"/>
      <c r="M727" s="189"/>
      <c r="N727" s="730"/>
      <c r="O727" s="465"/>
      <c r="P727" s="465"/>
      <c r="Q727" s="541"/>
      <c r="R727" s="541"/>
      <c r="S727" s="541"/>
      <c r="T727" s="541"/>
      <c r="U727" s="541"/>
      <c r="V727" s="541"/>
      <c r="W727" s="541"/>
      <c r="X727" s="541"/>
      <c r="Y727" s="541"/>
      <c r="Z727" s="541"/>
    </row>
    <row r="728" spans="1:26" ht="18.75">
      <c r="A728" s="708"/>
      <c r="B728" s="727"/>
      <c r="C728" s="727"/>
      <c r="D728" s="727"/>
      <c r="E728" s="727"/>
      <c r="F728" s="727"/>
      <c r="G728" s="189"/>
      <c r="H728" s="728" t="s">
        <v>46</v>
      </c>
      <c r="I728" s="729">
        <f ca="1">IFERROR(__xludf.DUMMYFUNCTION("IMPORTRANGE(""https://docs.google.com/spreadsheets/d/1QqKyyYR6Q21VydFLVH3TRQUabQu_ym0Zz7PgGX0-kHA/edit?usp=sharing"",""แผน!IO14"")"),0)</f>
        <v>0</v>
      </c>
      <c r="J728" s="269">
        <f ca="1">IFERROR(__xludf.DUMMYFUNCTION("IMPORTRANGE(""https://docs.google.com/spreadsheets/d/1XWAQStnk-4SwqDmLtmXYiTMKHgktTP8We1SCoS47DrQ/edit?usp=sharing"",""จัดที่ดิน!BT69"")"),0)</f>
        <v>0</v>
      </c>
      <c r="K728" s="465">
        <f t="shared" ref="K728:K729" ca="1" si="292">IF(I728&gt;0,J728*100/I728,0)</f>
        <v>0</v>
      </c>
      <c r="L728" s="730"/>
      <c r="M728" s="189"/>
      <c r="N728" s="730"/>
      <c r="O728" s="465"/>
      <c r="P728" s="465"/>
      <c r="Q728" s="541"/>
      <c r="R728" s="541"/>
      <c r="S728" s="541"/>
      <c r="T728" s="541"/>
      <c r="U728" s="541"/>
      <c r="V728" s="541"/>
      <c r="W728" s="541"/>
      <c r="X728" s="541"/>
      <c r="Y728" s="541"/>
      <c r="Z728" s="541"/>
    </row>
    <row r="729" spans="1:26" ht="19.5">
      <c r="A729" s="708"/>
      <c r="B729" s="727"/>
      <c r="C729" s="727"/>
      <c r="D729" s="727" t="s">
        <v>308</v>
      </c>
      <c r="E729" s="727"/>
      <c r="F729" s="727"/>
      <c r="G729" s="189"/>
      <c r="H729" s="731" t="s">
        <v>46</v>
      </c>
      <c r="I729" s="732">
        <f ca="1">IFERROR(__xludf.DUMMYFUNCTION("IMPORTRANGE(""https://docs.google.com/spreadsheets/d/1QqKyyYR6Q21VydFLVH3TRQUabQu_ym0Zz7PgGX0-kHA/edit?usp=sharing"",""แผน!IP14"")"),0)</f>
        <v>0</v>
      </c>
      <c r="J729" s="647">
        <f>J732+J735</f>
        <v>0</v>
      </c>
      <c r="K729" s="195">
        <f t="shared" ca="1" si="292"/>
        <v>0</v>
      </c>
      <c r="L729" s="465"/>
      <c r="M729" s="189"/>
      <c r="N729" s="730"/>
      <c r="O729" s="465"/>
      <c r="P729" s="465"/>
      <c r="Q729" s="541"/>
      <c r="R729" s="541"/>
      <c r="S729" s="541"/>
      <c r="T729" s="541"/>
      <c r="U729" s="541"/>
      <c r="V729" s="541"/>
      <c r="W729" s="541"/>
      <c r="X729" s="541"/>
      <c r="Y729" s="541"/>
      <c r="Z729" s="541"/>
    </row>
    <row r="730" spans="1:26" ht="18.75">
      <c r="A730" s="708"/>
      <c r="B730" s="727"/>
      <c r="C730" s="727"/>
      <c r="D730" s="727"/>
      <c r="E730" s="727" t="s">
        <v>309</v>
      </c>
      <c r="F730" s="727"/>
      <c r="G730" s="189"/>
      <c r="H730" s="728" t="s">
        <v>35</v>
      </c>
      <c r="I730" s="729"/>
      <c r="J730" s="214">
        <v>0</v>
      </c>
      <c r="K730" s="465"/>
      <c r="L730" s="730"/>
      <c r="M730" s="465"/>
      <c r="N730" s="730"/>
      <c r="O730" s="465"/>
      <c r="P730" s="465"/>
      <c r="Q730" s="541"/>
      <c r="R730" s="541"/>
      <c r="S730" s="541"/>
      <c r="T730" s="541"/>
      <c r="U730" s="541"/>
      <c r="V730" s="541"/>
      <c r="W730" s="541"/>
      <c r="X730" s="541"/>
      <c r="Y730" s="541"/>
      <c r="Z730" s="541"/>
    </row>
    <row r="731" spans="1:26" ht="18.75">
      <c r="A731" s="708"/>
      <c r="B731" s="727"/>
      <c r="C731" s="727"/>
      <c r="D731" s="727"/>
      <c r="E731" s="727"/>
      <c r="F731" s="727"/>
      <c r="G731" s="189"/>
      <c r="H731" s="728" t="s">
        <v>34</v>
      </c>
      <c r="I731" s="729"/>
      <c r="J731" s="214">
        <v>0</v>
      </c>
      <c r="K731" s="465"/>
      <c r="L731" s="730"/>
      <c r="M731" s="465"/>
      <c r="N731" s="730"/>
      <c r="O731" s="465"/>
      <c r="P731" s="465"/>
      <c r="Q731" s="541"/>
      <c r="R731" s="541"/>
      <c r="S731" s="541"/>
      <c r="T731" s="541"/>
      <c r="U731" s="541"/>
      <c r="V731" s="541"/>
      <c r="W731" s="541"/>
      <c r="X731" s="541"/>
      <c r="Y731" s="541"/>
      <c r="Z731" s="541"/>
    </row>
    <row r="732" spans="1:26" ht="18.75">
      <c r="A732" s="708"/>
      <c r="B732" s="727"/>
      <c r="C732" s="727"/>
      <c r="D732" s="727"/>
      <c r="E732" s="727"/>
      <c r="F732" s="727"/>
      <c r="G732" s="189"/>
      <c r="H732" s="728" t="s">
        <v>46</v>
      </c>
      <c r="I732" s="729"/>
      <c r="J732" s="214">
        <v>0</v>
      </c>
      <c r="K732" s="465"/>
      <c r="L732" s="730"/>
      <c r="M732" s="465"/>
      <c r="N732" s="730"/>
      <c r="O732" s="465"/>
      <c r="P732" s="465"/>
      <c r="Q732" s="541"/>
      <c r="R732" s="541"/>
      <c r="S732" s="541"/>
      <c r="T732" s="541"/>
      <c r="U732" s="541"/>
      <c r="V732" s="541"/>
      <c r="W732" s="541"/>
      <c r="X732" s="541"/>
      <c r="Y732" s="541"/>
      <c r="Z732" s="541"/>
    </row>
    <row r="733" spans="1:26" ht="18.75">
      <c r="A733" s="708"/>
      <c r="B733" s="727"/>
      <c r="C733" s="727"/>
      <c r="D733" s="727"/>
      <c r="E733" s="727" t="s">
        <v>310</v>
      </c>
      <c r="F733" s="727"/>
      <c r="G733" s="189"/>
      <c r="H733" s="728" t="s">
        <v>35</v>
      </c>
      <c r="I733" s="729"/>
      <c r="J733" s="214">
        <v>0</v>
      </c>
      <c r="K733" s="465"/>
      <c r="L733" s="730"/>
      <c r="M733" s="465"/>
      <c r="N733" s="730"/>
      <c r="O733" s="465"/>
      <c r="P733" s="465"/>
      <c r="Q733" s="541"/>
      <c r="R733" s="541"/>
      <c r="S733" s="541"/>
      <c r="T733" s="541"/>
      <c r="U733" s="541"/>
      <c r="V733" s="541"/>
      <c r="W733" s="541"/>
      <c r="X733" s="541"/>
      <c r="Y733" s="541"/>
      <c r="Z733" s="541"/>
    </row>
    <row r="734" spans="1:26" ht="18.75">
      <c r="A734" s="708"/>
      <c r="B734" s="727"/>
      <c r="C734" s="727"/>
      <c r="D734" s="727"/>
      <c r="E734" s="727"/>
      <c r="F734" s="727"/>
      <c r="G734" s="189"/>
      <c r="H734" s="728" t="s">
        <v>34</v>
      </c>
      <c r="I734" s="729"/>
      <c r="J734" s="214">
        <v>0</v>
      </c>
      <c r="K734" s="465"/>
      <c r="L734" s="730"/>
      <c r="M734" s="465"/>
      <c r="N734" s="730"/>
      <c r="O734" s="465"/>
      <c r="P734" s="465"/>
      <c r="Q734" s="541"/>
      <c r="R734" s="541"/>
      <c r="S734" s="541"/>
      <c r="T734" s="541"/>
      <c r="U734" s="541"/>
      <c r="V734" s="541"/>
      <c r="W734" s="541"/>
      <c r="X734" s="541"/>
      <c r="Y734" s="541"/>
      <c r="Z734" s="541"/>
    </row>
    <row r="735" spans="1:26" ht="19.5">
      <c r="A735" s="734"/>
      <c r="B735" s="735" t="s">
        <v>311</v>
      </c>
      <c r="C735" s="698"/>
      <c r="D735" s="698"/>
      <c r="E735" s="698"/>
      <c r="F735" s="698"/>
      <c r="G735" s="699"/>
      <c r="H735" s="390" t="s">
        <v>46</v>
      </c>
      <c r="I735" s="736"/>
      <c r="J735" s="392">
        <v>0</v>
      </c>
      <c r="K735" s="469"/>
      <c r="L735" s="737"/>
      <c r="M735" s="469"/>
      <c r="N735" s="737"/>
      <c r="O735" s="469"/>
      <c r="P735" s="469"/>
      <c r="Q735" s="541"/>
      <c r="R735" s="541"/>
      <c r="S735" s="541"/>
      <c r="T735" s="541"/>
      <c r="U735" s="541"/>
      <c r="V735" s="541"/>
      <c r="W735" s="541"/>
      <c r="X735" s="541"/>
      <c r="Y735" s="541"/>
      <c r="Z735" s="541"/>
    </row>
    <row r="736" spans="1:26" ht="19.5" hidden="1">
      <c r="A736" s="738">
        <v>9</v>
      </c>
      <c r="B736" s="739" t="s">
        <v>312</v>
      </c>
      <c r="C736" s="740"/>
      <c r="D736" s="740"/>
      <c r="E736" s="740"/>
      <c r="F736" s="740"/>
      <c r="G736" s="741"/>
      <c r="H736" s="742" t="s">
        <v>46</v>
      </c>
      <c r="I736" s="743"/>
      <c r="J736" s="743">
        <f>J751</f>
        <v>0</v>
      </c>
      <c r="K736" s="744">
        <f>IF(I736&gt;0,J736*100/I736,0)</f>
        <v>0</v>
      </c>
      <c r="L736" s="745"/>
      <c r="M736" s="745"/>
      <c r="N736" s="745"/>
      <c r="O736" s="745"/>
      <c r="P736" s="745"/>
      <c r="Q736" s="568"/>
      <c r="R736" s="568"/>
      <c r="S736" s="568"/>
      <c r="T736" s="568"/>
      <c r="U736" s="568"/>
      <c r="V736" s="568"/>
      <c r="W736" s="568"/>
      <c r="X736" s="568"/>
      <c r="Y736" s="568"/>
      <c r="Z736" s="568"/>
    </row>
    <row r="737" spans="1:26" ht="19.5" hidden="1">
      <c r="A737" s="563"/>
      <c r="B737" s="723"/>
      <c r="C737" s="723" t="s">
        <v>16</v>
      </c>
      <c r="D737" s="812" t="s">
        <v>17</v>
      </c>
      <c r="E737" s="805"/>
      <c r="F737" s="805"/>
      <c r="G737" s="567"/>
      <c r="H737" s="612" t="s">
        <v>12</v>
      </c>
      <c r="I737" s="583"/>
      <c r="J737" s="583"/>
      <c r="K737" s="93"/>
      <c r="L737" s="613">
        <f t="shared" ref="L737:N737" si="293">L738+L739</f>
        <v>0</v>
      </c>
      <c r="M737" s="613">
        <f t="shared" si="293"/>
        <v>0</v>
      </c>
      <c r="N737" s="613">
        <f t="shared" si="293"/>
        <v>0</v>
      </c>
      <c r="O737" s="613">
        <f t="shared" ref="O737:O742" si="294">IF(L737&gt;0,N737*100/L737,0)</f>
        <v>0</v>
      </c>
      <c r="P737" s="613">
        <f t="shared" ref="P737:P742" si="295">IF(M737&gt;0,N737*100/M737,0)</f>
        <v>0</v>
      </c>
      <c r="Q737" s="568"/>
      <c r="R737" s="568"/>
      <c r="S737" s="568"/>
      <c r="T737" s="568"/>
      <c r="U737" s="568"/>
      <c r="V737" s="568"/>
      <c r="W737" s="568"/>
      <c r="X737" s="568"/>
      <c r="Y737" s="568"/>
      <c r="Z737" s="568"/>
    </row>
    <row r="738" spans="1:26" ht="18.75" hidden="1">
      <c r="A738" s="563"/>
      <c r="B738" s="723"/>
      <c r="C738" s="723"/>
      <c r="D738" s="684"/>
      <c r="E738" s="723" t="s">
        <v>184</v>
      </c>
      <c r="F738" s="723"/>
      <c r="G738" s="567"/>
      <c r="H738" s="165" t="s">
        <v>12</v>
      </c>
      <c r="I738" s="583"/>
      <c r="J738" s="583"/>
      <c r="K738" s="93"/>
      <c r="L738" s="93">
        <f t="shared" ref="L738:N739" si="296">L741+L748</f>
        <v>0</v>
      </c>
      <c r="M738" s="93">
        <f t="shared" si="296"/>
        <v>0</v>
      </c>
      <c r="N738" s="93">
        <f t="shared" si="296"/>
        <v>0</v>
      </c>
      <c r="O738" s="93">
        <f t="shared" si="294"/>
        <v>0</v>
      </c>
      <c r="P738" s="93">
        <f t="shared" si="295"/>
        <v>0</v>
      </c>
      <c r="Q738" s="568"/>
      <c r="R738" s="568"/>
      <c r="S738" s="568"/>
      <c r="T738" s="568"/>
      <c r="U738" s="568"/>
      <c r="V738" s="568"/>
      <c r="W738" s="568"/>
      <c r="X738" s="568"/>
      <c r="Y738" s="568"/>
      <c r="Z738" s="568"/>
    </row>
    <row r="739" spans="1:26" ht="18.75" hidden="1">
      <c r="A739" s="563"/>
      <c r="B739" s="571"/>
      <c r="C739" s="723"/>
      <c r="D739" s="684"/>
      <c r="E739" s="723" t="s">
        <v>185</v>
      </c>
      <c r="F739" s="723"/>
      <c r="G739" s="567"/>
      <c r="H739" s="165" t="s">
        <v>12</v>
      </c>
      <c r="I739" s="583"/>
      <c r="J739" s="583"/>
      <c r="K739" s="93"/>
      <c r="L739" s="93">
        <f t="shared" si="296"/>
        <v>0</v>
      </c>
      <c r="M739" s="93">
        <f t="shared" si="296"/>
        <v>0</v>
      </c>
      <c r="N739" s="93">
        <f t="shared" si="296"/>
        <v>0</v>
      </c>
      <c r="O739" s="93">
        <f t="shared" si="294"/>
        <v>0</v>
      </c>
      <c r="P739" s="93">
        <f t="shared" si="295"/>
        <v>0</v>
      </c>
      <c r="Q739" s="568"/>
      <c r="R739" s="568"/>
      <c r="S739" s="568"/>
      <c r="T739" s="568"/>
      <c r="U739" s="568"/>
      <c r="V739" s="568"/>
      <c r="W739" s="568"/>
      <c r="X739" s="568"/>
      <c r="Y739" s="568"/>
      <c r="Z739" s="568"/>
    </row>
    <row r="740" spans="1:26" ht="19.5" hidden="1">
      <c r="A740" s="563"/>
      <c r="B740" s="571"/>
      <c r="C740" s="723"/>
      <c r="D740" s="611" t="s">
        <v>20</v>
      </c>
      <c r="E740" s="723"/>
      <c r="F740" s="723"/>
      <c r="G740" s="567"/>
      <c r="H740" s="612" t="s">
        <v>12</v>
      </c>
      <c r="I740" s="166"/>
      <c r="J740" s="166"/>
      <c r="K740" s="167"/>
      <c r="L740" s="613">
        <f t="shared" ref="L740:N740" si="297">L741+L742</f>
        <v>0</v>
      </c>
      <c r="M740" s="613">
        <f t="shared" si="297"/>
        <v>0</v>
      </c>
      <c r="N740" s="613">
        <f t="shared" si="297"/>
        <v>0</v>
      </c>
      <c r="O740" s="613">
        <f t="shared" si="294"/>
        <v>0</v>
      </c>
      <c r="P740" s="613">
        <f t="shared" si="295"/>
        <v>0</v>
      </c>
      <c r="Q740" s="568"/>
      <c r="R740" s="568"/>
      <c r="S740" s="568"/>
      <c r="T740" s="568"/>
      <c r="U740" s="568"/>
      <c r="V740" s="568"/>
      <c r="W740" s="568"/>
      <c r="X740" s="568"/>
      <c r="Y740" s="568"/>
      <c r="Z740" s="568"/>
    </row>
    <row r="741" spans="1:26" ht="18.75" hidden="1">
      <c r="A741" s="563"/>
      <c r="B741" s="571"/>
      <c r="C741" s="723"/>
      <c r="D741" s="684"/>
      <c r="E741" s="723" t="s">
        <v>184</v>
      </c>
      <c r="F741" s="723"/>
      <c r="G741" s="567"/>
      <c r="H741" s="165" t="s">
        <v>12</v>
      </c>
      <c r="I741" s="583"/>
      <c r="J741" s="583"/>
      <c r="K741" s="93"/>
      <c r="L741" s="93">
        <v>0</v>
      </c>
      <c r="M741" s="93">
        <v>0</v>
      </c>
      <c r="N741" s="93">
        <v>0</v>
      </c>
      <c r="O741" s="93">
        <f t="shared" si="294"/>
        <v>0</v>
      </c>
      <c r="P741" s="93">
        <f t="shared" si="295"/>
        <v>0</v>
      </c>
      <c r="Q741" s="568"/>
      <c r="R741" s="568"/>
      <c r="S741" s="568"/>
      <c r="T741" s="568"/>
      <c r="U741" s="568"/>
      <c r="V741" s="568"/>
      <c r="W741" s="568"/>
      <c r="X741" s="568"/>
      <c r="Y741" s="568"/>
      <c r="Z741" s="568"/>
    </row>
    <row r="742" spans="1:26" ht="18.75" hidden="1">
      <c r="A742" s="563"/>
      <c r="B742" s="571"/>
      <c r="C742" s="723"/>
      <c r="D742" s="684"/>
      <c r="E742" s="723" t="s">
        <v>185</v>
      </c>
      <c r="F742" s="723"/>
      <c r="G742" s="567"/>
      <c r="H742" s="165" t="s">
        <v>12</v>
      </c>
      <c r="I742" s="583"/>
      <c r="J742" s="583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4"/>
        <v>0</v>
      </c>
      <c r="P742" s="93">
        <f t="shared" si="295"/>
        <v>0</v>
      </c>
      <c r="Q742" s="568"/>
      <c r="R742" s="568"/>
      <c r="S742" s="568"/>
      <c r="T742" s="568"/>
      <c r="U742" s="568"/>
      <c r="V742" s="568"/>
      <c r="W742" s="568"/>
      <c r="X742" s="568"/>
      <c r="Y742" s="568"/>
      <c r="Z742" s="568"/>
    </row>
    <row r="743" spans="1:26" ht="18.75" hidden="1">
      <c r="A743" s="615"/>
      <c r="B743" s="571"/>
      <c r="C743" s="723"/>
      <c r="D743" s="723"/>
      <c r="E743" s="723"/>
      <c r="F743" s="723" t="s">
        <v>186</v>
      </c>
      <c r="G743" s="567"/>
      <c r="H743" s="165" t="s">
        <v>12</v>
      </c>
      <c r="I743" s="583"/>
      <c r="J743" s="583"/>
      <c r="K743" s="93"/>
      <c r="L743" s="93"/>
      <c r="M743" s="93"/>
      <c r="N743" s="93"/>
      <c r="O743" s="93"/>
      <c r="P743" s="93"/>
      <c r="Q743" s="568"/>
      <c r="R743" s="568"/>
      <c r="S743" s="568"/>
      <c r="T743" s="568"/>
      <c r="U743" s="568"/>
      <c r="V743" s="568"/>
      <c r="W743" s="568"/>
      <c r="X743" s="568"/>
      <c r="Y743" s="568"/>
      <c r="Z743" s="568"/>
    </row>
    <row r="744" spans="1:26" ht="18.75" hidden="1">
      <c r="A744" s="615"/>
      <c r="B744" s="571"/>
      <c r="C744" s="723"/>
      <c r="D744" s="723"/>
      <c r="E744" s="723"/>
      <c r="F744" s="723" t="s">
        <v>187</v>
      </c>
      <c r="G744" s="567"/>
      <c r="H744" s="165" t="s">
        <v>12</v>
      </c>
      <c r="I744" s="583"/>
      <c r="J744" s="583"/>
      <c r="K744" s="93"/>
      <c r="L744" s="93"/>
      <c r="M744" s="93"/>
      <c r="N744" s="93"/>
      <c r="O744" s="93"/>
      <c r="P744" s="93"/>
      <c r="Q744" s="568"/>
      <c r="R744" s="568"/>
      <c r="S744" s="568"/>
      <c r="T744" s="568"/>
      <c r="U744" s="568"/>
      <c r="V744" s="568"/>
      <c r="W744" s="568"/>
      <c r="X744" s="568"/>
      <c r="Y744" s="568"/>
      <c r="Z744" s="568"/>
    </row>
    <row r="745" spans="1:26" ht="18.75" hidden="1">
      <c r="A745" s="615"/>
      <c r="B745" s="571"/>
      <c r="C745" s="723"/>
      <c r="D745" s="723"/>
      <c r="E745" s="723"/>
      <c r="F745" s="723" t="s">
        <v>188</v>
      </c>
      <c r="G745" s="567"/>
      <c r="H745" s="165" t="s">
        <v>12</v>
      </c>
      <c r="I745" s="583"/>
      <c r="J745" s="583"/>
      <c r="K745" s="93"/>
      <c r="L745" s="93"/>
      <c r="M745" s="93"/>
      <c r="N745" s="93"/>
      <c r="O745" s="93"/>
      <c r="P745" s="93"/>
      <c r="Q745" s="568"/>
      <c r="R745" s="568"/>
      <c r="S745" s="568"/>
      <c r="T745" s="568"/>
      <c r="U745" s="568"/>
      <c r="V745" s="568"/>
      <c r="W745" s="568"/>
      <c r="X745" s="568"/>
      <c r="Y745" s="568"/>
      <c r="Z745" s="568"/>
    </row>
    <row r="746" spans="1:26" ht="18.75" hidden="1">
      <c r="A746" s="615"/>
      <c r="B746" s="571"/>
      <c r="C746" s="723"/>
      <c r="D746" s="723"/>
      <c r="E746" s="723"/>
      <c r="F746" s="723" t="s">
        <v>189</v>
      </c>
      <c r="G746" s="567"/>
      <c r="H746" s="165" t="s">
        <v>12</v>
      </c>
      <c r="I746" s="583"/>
      <c r="J746" s="583"/>
      <c r="K746" s="93"/>
      <c r="L746" s="93"/>
      <c r="M746" s="93"/>
      <c r="N746" s="93"/>
      <c r="O746" s="93"/>
      <c r="P746" s="93"/>
      <c r="Q746" s="568"/>
      <c r="R746" s="568"/>
      <c r="S746" s="568"/>
      <c r="T746" s="568"/>
      <c r="U746" s="568"/>
      <c r="V746" s="568"/>
      <c r="W746" s="568"/>
      <c r="X746" s="568"/>
      <c r="Y746" s="568"/>
      <c r="Z746" s="568"/>
    </row>
    <row r="747" spans="1:26" ht="19.5" hidden="1">
      <c r="A747" s="563"/>
      <c r="B747" s="571"/>
      <c r="C747" s="723"/>
      <c r="D747" s="611" t="s">
        <v>21</v>
      </c>
      <c r="E747" s="723"/>
      <c r="F747" s="723"/>
      <c r="G747" s="567"/>
      <c r="H747" s="747" t="s">
        <v>12</v>
      </c>
      <c r="I747" s="166"/>
      <c r="J747" s="166"/>
      <c r="K747" s="167"/>
      <c r="L747" s="613">
        <f t="shared" ref="L747:N747" si="298">L748+L749</f>
        <v>0</v>
      </c>
      <c r="M747" s="613">
        <f t="shared" si="298"/>
        <v>0</v>
      </c>
      <c r="N747" s="613">
        <f t="shared" si="298"/>
        <v>0</v>
      </c>
      <c r="O747" s="613">
        <f t="shared" ref="O747:O749" si="299">IF(L747&gt;0,N747*100/L747,0)</f>
        <v>0</v>
      </c>
      <c r="P747" s="613">
        <f t="shared" ref="P747:P749" si="300">IF(M747&gt;0,N747*100/M747,0)</f>
        <v>0</v>
      </c>
      <c r="Q747" s="568"/>
      <c r="R747" s="568"/>
      <c r="S747" s="568"/>
      <c r="T747" s="568"/>
      <c r="U747" s="568"/>
      <c r="V747" s="568"/>
      <c r="W747" s="568"/>
      <c r="X747" s="568"/>
      <c r="Y747" s="568"/>
      <c r="Z747" s="568"/>
    </row>
    <row r="748" spans="1:26" ht="18.75" hidden="1">
      <c r="A748" s="563"/>
      <c r="B748" s="571"/>
      <c r="C748" s="723"/>
      <c r="D748" s="723"/>
      <c r="E748" s="723" t="s">
        <v>18</v>
      </c>
      <c r="F748" s="723"/>
      <c r="G748" s="567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299"/>
        <v>0</v>
      </c>
      <c r="P748" s="93">
        <f t="shared" si="300"/>
        <v>0</v>
      </c>
      <c r="Q748" s="568"/>
      <c r="R748" s="568"/>
      <c r="S748" s="568"/>
      <c r="T748" s="568"/>
      <c r="U748" s="568"/>
      <c r="V748" s="568"/>
      <c r="W748" s="568"/>
      <c r="X748" s="568"/>
      <c r="Y748" s="568"/>
      <c r="Z748" s="568"/>
    </row>
    <row r="749" spans="1:26" ht="18.75" hidden="1">
      <c r="A749" s="563"/>
      <c r="B749" s="571"/>
      <c r="C749" s="723"/>
      <c r="D749" s="723"/>
      <c r="E749" s="723" t="s">
        <v>19</v>
      </c>
      <c r="F749" s="723"/>
      <c r="G749" s="567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299"/>
        <v>0</v>
      </c>
      <c r="P749" s="93">
        <f t="shared" si="300"/>
        <v>0</v>
      </c>
      <c r="Q749" s="568"/>
      <c r="R749" s="568"/>
      <c r="S749" s="568"/>
      <c r="T749" s="568"/>
      <c r="U749" s="568"/>
      <c r="V749" s="568"/>
      <c r="W749" s="568"/>
      <c r="X749" s="568"/>
      <c r="Y749" s="568"/>
      <c r="Z749" s="568"/>
    </row>
    <row r="750" spans="1:26" ht="19.5" hidden="1">
      <c r="A750" s="578"/>
      <c r="B750" s="580"/>
      <c r="C750" s="723" t="s">
        <v>16</v>
      </c>
      <c r="D750" s="856" t="s">
        <v>38</v>
      </c>
      <c r="E750" s="617"/>
      <c r="F750" s="617"/>
      <c r="G750" s="618"/>
      <c r="H750" s="581"/>
      <c r="I750" s="166"/>
      <c r="J750" s="166"/>
      <c r="K750" s="167"/>
      <c r="L750" s="167"/>
      <c r="M750" s="167"/>
      <c r="N750" s="167"/>
      <c r="O750" s="167"/>
      <c r="P750" s="167"/>
      <c r="Q750" s="568"/>
      <c r="R750" s="568"/>
      <c r="S750" s="568"/>
      <c r="T750" s="568"/>
      <c r="U750" s="568"/>
      <c r="V750" s="568"/>
      <c r="W750" s="568"/>
      <c r="X750" s="568"/>
      <c r="Y750" s="568"/>
      <c r="Z750" s="568"/>
    </row>
    <row r="751" spans="1:26" ht="18.75" hidden="1">
      <c r="A751" s="615"/>
      <c r="B751" s="571"/>
      <c r="C751" s="723"/>
      <c r="D751" s="723"/>
      <c r="E751" s="723" t="s">
        <v>313</v>
      </c>
      <c r="F751" s="723"/>
      <c r="G751" s="567"/>
      <c r="H751" s="165" t="s">
        <v>46</v>
      </c>
      <c r="I751" s="583"/>
      <c r="J751" s="583"/>
      <c r="K751" s="93"/>
      <c r="L751" s="93"/>
      <c r="M751" s="93"/>
      <c r="N751" s="93"/>
      <c r="O751" s="93"/>
      <c r="P751" s="93"/>
      <c r="Q751" s="568"/>
      <c r="R751" s="568"/>
      <c r="S751" s="568"/>
      <c r="T751" s="568"/>
      <c r="U751" s="568"/>
      <c r="V751" s="568"/>
      <c r="W751" s="568"/>
      <c r="X751" s="568"/>
      <c r="Y751" s="568"/>
      <c r="Z751" s="568"/>
    </row>
    <row r="752" spans="1:26" ht="18.75" hidden="1">
      <c r="A752" s="615"/>
      <c r="B752" s="571"/>
      <c r="C752" s="723"/>
      <c r="D752" s="723"/>
      <c r="E752" s="723"/>
      <c r="F752" s="723"/>
      <c r="G752" s="567"/>
      <c r="H752" s="165" t="s">
        <v>314</v>
      </c>
      <c r="I752" s="583"/>
      <c r="J752" s="583"/>
      <c r="K752" s="93"/>
      <c r="L752" s="93"/>
      <c r="M752" s="93"/>
      <c r="N752" s="93"/>
      <c r="O752" s="93"/>
      <c r="P752" s="93"/>
      <c r="Q752" s="568"/>
      <c r="R752" s="568"/>
      <c r="S752" s="568"/>
      <c r="T752" s="568"/>
      <c r="U752" s="568"/>
      <c r="V752" s="568"/>
      <c r="W752" s="568"/>
      <c r="X752" s="568"/>
      <c r="Y752" s="568"/>
      <c r="Z752" s="568"/>
    </row>
    <row r="753" spans="1:26" ht="19.5" hidden="1">
      <c r="A753" s="749">
        <v>10</v>
      </c>
      <c r="B753" s="750" t="s">
        <v>315</v>
      </c>
      <c r="C753" s="751"/>
      <c r="D753" s="751"/>
      <c r="E753" s="751"/>
      <c r="F753" s="751"/>
      <c r="G753" s="752"/>
      <c r="H753" s="753" t="s">
        <v>46</v>
      </c>
      <c r="I753" s="754"/>
      <c r="J753" s="754">
        <f>J768</f>
        <v>0</v>
      </c>
      <c r="K753" s="755">
        <f>IF(I753&gt;0,J753*100/I753,0)</f>
        <v>0</v>
      </c>
      <c r="L753" s="756"/>
      <c r="M753" s="756"/>
      <c r="N753" s="756"/>
      <c r="O753" s="756"/>
      <c r="P753" s="756"/>
      <c r="Q753" s="568"/>
      <c r="R753" s="568"/>
      <c r="S753" s="568"/>
      <c r="T753" s="568"/>
      <c r="U753" s="568"/>
      <c r="V753" s="568"/>
      <c r="W753" s="568"/>
      <c r="X753" s="568"/>
      <c r="Y753" s="568"/>
      <c r="Z753" s="568"/>
    </row>
    <row r="754" spans="1:26" ht="19.5" hidden="1">
      <c r="A754" s="563"/>
      <c r="B754" s="723"/>
      <c r="C754" s="723" t="s">
        <v>16</v>
      </c>
      <c r="D754" s="812" t="s">
        <v>17</v>
      </c>
      <c r="E754" s="805"/>
      <c r="F754" s="805"/>
      <c r="G754" s="567"/>
      <c r="H754" s="612" t="s">
        <v>12</v>
      </c>
      <c r="I754" s="583"/>
      <c r="J754" s="583"/>
      <c r="K754" s="93"/>
      <c r="L754" s="613">
        <f t="shared" ref="L754:N754" si="301">L755+L756</f>
        <v>0</v>
      </c>
      <c r="M754" s="613">
        <f t="shared" si="301"/>
        <v>0</v>
      </c>
      <c r="N754" s="613">
        <f t="shared" si="301"/>
        <v>0</v>
      </c>
      <c r="O754" s="613">
        <f t="shared" ref="O754:O759" si="302">IF(L754&gt;0,N754*100/L754,0)</f>
        <v>0</v>
      </c>
      <c r="P754" s="613">
        <f t="shared" ref="P754:P759" si="303">IF(M754&gt;0,N754*100/M754,0)</f>
        <v>0</v>
      </c>
      <c r="Q754" s="568"/>
      <c r="R754" s="568"/>
      <c r="S754" s="568"/>
      <c r="T754" s="568"/>
      <c r="U754" s="568"/>
      <c r="V754" s="568"/>
      <c r="W754" s="568"/>
      <c r="X754" s="568"/>
      <c r="Y754" s="568"/>
      <c r="Z754" s="568"/>
    </row>
    <row r="755" spans="1:26" ht="18.75" hidden="1">
      <c r="A755" s="563"/>
      <c r="B755" s="723"/>
      <c r="C755" s="723"/>
      <c r="D755" s="684"/>
      <c r="E755" s="723" t="s">
        <v>184</v>
      </c>
      <c r="F755" s="723"/>
      <c r="G755" s="567"/>
      <c r="H755" s="165" t="s">
        <v>12</v>
      </c>
      <c r="I755" s="583"/>
      <c r="J755" s="583"/>
      <c r="K755" s="93"/>
      <c r="L755" s="93">
        <f t="shared" ref="L755:N756" si="304">L758+L765</f>
        <v>0</v>
      </c>
      <c r="M755" s="93">
        <f t="shared" si="304"/>
        <v>0</v>
      </c>
      <c r="N755" s="93">
        <f t="shared" si="304"/>
        <v>0</v>
      </c>
      <c r="O755" s="93">
        <f t="shared" si="302"/>
        <v>0</v>
      </c>
      <c r="P755" s="93">
        <f t="shared" si="303"/>
        <v>0</v>
      </c>
      <c r="Q755" s="568"/>
      <c r="R755" s="568"/>
      <c r="S755" s="568"/>
      <c r="T755" s="568"/>
      <c r="U755" s="568"/>
      <c r="V755" s="568"/>
      <c r="W755" s="568"/>
      <c r="X755" s="568"/>
      <c r="Y755" s="568"/>
      <c r="Z755" s="568"/>
    </row>
    <row r="756" spans="1:26" ht="18.75" hidden="1">
      <c r="A756" s="563"/>
      <c r="B756" s="571"/>
      <c r="C756" s="723"/>
      <c r="D756" s="684"/>
      <c r="E756" s="723" t="s">
        <v>185</v>
      </c>
      <c r="F756" s="723"/>
      <c r="G756" s="567"/>
      <c r="H756" s="165" t="s">
        <v>12</v>
      </c>
      <c r="I756" s="583"/>
      <c r="J756" s="583"/>
      <c r="K756" s="93"/>
      <c r="L756" s="93">
        <f t="shared" si="304"/>
        <v>0</v>
      </c>
      <c r="M756" s="93">
        <f t="shared" si="304"/>
        <v>0</v>
      </c>
      <c r="N756" s="93">
        <f t="shared" si="304"/>
        <v>0</v>
      </c>
      <c r="O756" s="93">
        <f t="shared" si="302"/>
        <v>0</v>
      </c>
      <c r="P756" s="93">
        <f t="shared" si="303"/>
        <v>0</v>
      </c>
      <c r="Q756" s="568"/>
      <c r="R756" s="568"/>
      <c r="S756" s="568"/>
      <c r="T756" s="568"/>
      <c r="U756" s="568"/>
      <c r="V756" s="568"/>
      <c r="W756" s="568"/>
      <c r="X756" s="568"/>
      <c r="Y756" s="568"/>
      <c r="Z756" s="568"/>
    </row>
    <row r="757" spans="1:26" ht="19.5" hidden="1">
      <c r="A757" s="563"/>
      <c r="B757" s="571"/>
      <c r="C757" s="723"/>
      <c r="D757" s="611" t="s">
        <v>20</v>
      </c>
      <c r="E757" s="723"/>
      <c r="F757" s="723"/>
      <c r="G757" s="567"/>
      <c r="H757" s="612" t="s">
        <v>12</v>
      </c>
      <c r="I757" s="166"/>
      <c r="J757" s="166"/>
      <c r="K757" s="167"/>
      <c r="L757" s="613">
        <f t="shared" ref="L757:N757" si="305">L758+L759</f>
        <v>0</v>
      </c>
      <c r="M757" s="613">
        <f t="shared" si="305"/>
        <v>0</v>
      </c>
      <c r="N757" s="613">
        <f t="shared" si="305"/>
        <v>0</v>
      </c>
      <c r="O757" s="613">
        <f t="shared" si="302"/>
        <v>0</v>
      </c>
      <c r="P757" s="613">
        <f t="shared" si="303"/>
        <v>0</v>
      </c>
      <c r="Q757" s="568"/>
      <c r="R757" s="568"/>
      <c r="S757" s="568"/>
      <c r="T757" s="568"/>
      <c r="U757" s="568"/>
      <c r="V757" s="568"/>
      <c r="W757" s="568"/>
      <c r="X757" s="568"/>
      <c r="Y757" s="568"/>
      <c r="Z757" s="568"/>
    </row>
    <row r="758" spans="1:26" ht="18.75" hidden="1">
      <c r="A758" s="563"/>
      <c r="B758" s="571"/>
      <c r="C758" s="723"/>
      <c r="D758" s="684"/>
      <c r="E758" s="723" t="s">
        <v>184</v>
      </c>
      <c r="F758" s="723"/>
      <c r="G758" s="567"/>
      <c r="H758" s="165" t="s">
        <v>12</v>
      </c>
      <c r="I758" s="583"/>
      <c r="J758" s="583"/>
      <c r="K758" s="93"/>
      <c r="L758" s="93">
        <v>0</v>
      </c>
      <c r="M758" s="93">
        <v>0</v>
      </c>
      <c r="N758" s="93">
        <v>0</v>
      </c>
      <c r="O758" s="93">
        <f t="shared" si="302"/>
        <v>0</v>
      </c>
      <c r="P758" s="93">
        <f t="shared" si="303"/>
        <v>0</v>
      </c>
      <c r="Q758" s="568"/>
      <c r="R758" s="568"/>
      <c r="S758" s="568"/>
      <c r="T758" s="568"/>
      <c r="U758" s="568"/>
      <c r="V758" s="568"/>
      <c r="W758" s="568"/>
      <c r="X758" s="568"/>
      <c r="Y758" s="568"/>
      <c r="Z758" s="568"/>
    </row>
    <row r="759" spans="1:26" ht="18.75" hidden="1">
      <c r="A759" s="563"/>
      <c r="B759" s="571"/>
      <c r="C759" s="723"/>
      <c r="D759" s="684"/>
      <c r="E759" s="723" t="s">
        <v>185</v>
      </c>
      <c r="F759" s="723"/>
      <c r="G759" s="567"/>
      <c r="H759" s="165" t="s">
        <v>12</v>
      </c>
      <c r="I759" s="583"/>
      <c r="J759" s="583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2"/>
        <v>0</v>
      </c>
      <c r="P759" s="93">
        <f t="shared" si="303"/>
        <v>0</v>
      </c>
      <c r="Q759" s="568"/>
      <c r="R759" s="568"/>
      <c r="S759" s="568"/>
      <c r="T759" s="568"/>
      <c r="U759" s="568"/>
      <c r="V759" s="568"/>
      <c r="W759" s="568"/>
      <c r="X759" s="568"/>
      <c r="Y759" s="568"/>
      <c r="Z759" s="568"/>
    </row>
    <row r="760" spans="1:26" ht="18.75" hidden="1">
      <c r="A760" s="615"/>
      <c r="B760" s="571"/>
      <c r="C760" s="723"/>
      <c r="D760" s="723"/>
      <c r="E760" s="723"/>
      <c r="F760" s="723" t="s">
        <v>186</v>
      </c>
      <c r="G760" s="567"/>
      <c r="H760" s="165" t="s">
        <v>12</v>
      </c>
      <c r="I760" s="583"/>
      <c r="J760" s="583"/>
      <c r="K760" s="93"/>
      <c r="L760" s="93"/>
      <c r="M760" s="93"/>
      <c r="N760" s="93"/>
      <c r="O760" s="93"/>
      <c r="P760" s="93"/>
      <c r="Q760" s="568"/>
      <c r="R760" s="568"/>
      <c r="S760" s="568"/>
      <c r="T760" s="568"/>
      <c r="U760" s="568"/>
      <c r="V760" s="568"/>
      <c r="W760" s="568"/>
      <c r="X760" s="568"/>
      <c r="Y760" s="568"/>
      <c r="Z760" s="568"/>
    </row>
    <row r="761" spans="1:26" ht="18.75" hidden="1">
      <c r="A761" s="615"/>
      <c r="B761" s="571"/>
      <c r="C761" s="723"/>
      <c r="D761" s="723"/>
      <c r="E761" s="723"/>
      <c r="F761" s="723" t="s">
        <v>187</v>
      </c>
      <c r="G761" s="567"/>
      <c r="H761" s="165" t="s">
        <v>12</v>
      </c>
      <c r="I761" s="583"/>
      <c r="J761" s="583"/>
      <c r="K761" s="93"/>
      <c r="L761" s="93"/>
      <c r="M761" s="93"/>
      <c r="N761" s="93"/>
      <c r="O761" s="93"/>
      <c r="P761" s="93"/>
      <c r="Q761" s="568"/>
      <c r="R761" s="568"/>
      <c r="S761" s="568"/>
      <c r="T761" s="568"/>
      <c r="U761" s="568"/>
      <c r="V761" s="568"/>
      <c r="W761" s="568"/>
      <c r="X761" s="568"/>
      <c r="Y761" s="568"/>
      <c r="Z761" s="568"/>
    </row>
    <row r="762" spans="1:26" ht="18.75" hidden="1">
      <c r="A762" s="615"/>
      <c r="B762" s="571"/>
      <c r="C762" s="723"/>
      <c r="D762" s="723"/>
      <c r="E762" s="723"/>
      <c r="F762" s="723" t="s">
        <v>188</v>
      </c>
      <c r="G762" s="567"/>
      <c r="H762" s="165" t="s">
        <v>12</v>
      </c>
      <c r="I762" s="583"/>
      <c r="J762" s="583"/>
      <c r="K762" s="93"/>
      <c r="L762" s="93"/>
      <c r="M762" s="93"/>
      <c r="N762" s="93"/>
      <c r="O762" s="93"/>
      <c r="P762" s="93"/>
      <c r="Q762" s="568"/>
      <c r="R762" s="568"/>
      <c r="S762" s="568"/>
      <c r="T762" s="568"/>
      <c r="U762" s="568"/>
      <c r="V762" s="568"/>
      <c r="W762" s="568"/>
      <c r="X762" s="568"/>
      <c r="Y762" s="568"/>
      <c r="Z762" s="568"/>
    </row>
    <row r="763" spans="1:26" ht="18.75" hidden="1">
      <c r="A763" s="615"/>
      <c r="B763" s="571"/>
      <c r="C763" s="723"/>
      <c r="D763" s="723"/>
      <c r="E763" s="723"/>
      <c r="F763" s="723" t="s">
        <v>189</v>
      </c>
      <c r="G763" s="567"/>
      <c r="H763" s="165" t="s">
        <v>12</v>
      </c>
      <c r="I763" s="583"/>
      <c r="J763" s="583"/>
      <c r="K763" s="93"/>
      <c r="L763" s="93"/>
      <c r="M763" s="93"/>
      <c r="N763" s="93"/>
      <c r="O763" s="93"/>
      <c r="P763" s="93"/>
      <c r="Q763" s="568"/>
      <c r="R763" s="568"/>
      <c r="S763" s="568"/>
      <c r="T763" s="568"/>
      <c r="U763" s="568"/>
      <c r="V763" s="568"/>
      <c r="W763" s="568"/>
      <c r="X763" s="568"/>
      <c r="Y763" s="568"/>
      <c r="Z763" s="568"/>
    </row>
    <row r="764" spans="1:26" ht="19.5" hidden="1">
      <c r="A764" s="563"/>
      <c r="B764" s="571"/>
      <c r="C764" s="723"/>
      <c r="D764" s="611" t="s">
        <v>21</v>
      </c>
      <c r="E764" s="723"/>
      <c r="F764" s="723"/>
      <c r="G764" s="567"/>
      <c r="H764" s="747" t="s">
        <v>12</v>
      </c>
      <c r="I764" s="166"/>
      <c r="J764" s="166"/>
      <c r="K764" s="167"/>
      <c r="L764" s="613">
        <f t="shared" ref="L764:N764" si="306">L765+L766</f>
        <v>0</v>
      </c>
      <c r="M764" s="613">
        <f t="shared" si="306"/>
        <v>0</v>
      </c>
      <c r="N764" s="613">
        <f t="shared" si="306"/>
        <v>0</v>
      </c>
      <c r="O764" s="613">
        <f t="shared" ref="O764:O766" si="307">IF(L764&gt;0,N764*100/L764,0)</f>
        <v>0</v>
      </c>
      <c r="P764" s="613">
        <f t="shared" ref="P764:P766" si="308">IF(M764&gt;0,N764*100/M764,0)</f>
        <v>0</v>
      </c>
      <c r="Q764" s="568"/>
      <c r="R764" s="568"/>
      <c r="S764" s="568"/>
      <c r="T764" s="568"/>
      <c r="U764" s="568"/>
      <c r="V764" s="568"/>
      <c r="W764" s="568"/>
      <c r="X764" s="568"/>
      <c r="Y764" s="568"/>
      <c r="Z764" s="568"/>
    </row>
    <row r="765" spans="1:26" ht="18.75" hidden="1">
      <c r="A765" s="563"/>
      <c r="B765" s="571"/>
      <c r="C765" s="723"/>
      <c r="D765" s="723"/>
      <c r="E765" s="723" t="s">
        <v>18</v>
      </c>
      <c r="F765" s="723"/>
      <c r="G765" s="567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7"/>
        <v>0</v>
      </c>
      <c r="P765" s="93">
        <f t="shared" si="308"/>
        <v>0</v>
      </c>
      <c r="Q765" s="568"/>
      <c r="R765" s="568"/>
      <c r="S765" s="568"/>
      <c r="T765" s="568"/>
      <c r="U765" s="568"/>
      <c r="V765" s="568"/>
      <c r="W765" s="568"/>
      <c r="X765" s="568"/>
      <c r="Y765" s="568"/>
      <c r="Z765" s="568"/>
    </row>
    <row r="766" spans="1:26" ht="18.75" hidden="1">
      <c r="A766" s="563"/>
      <c r="B766" s="571"/>
      <c r="C766" s="723"/>
      <c r="D766" s="723"/>
      <c r="E766" s="723" t="s">
        <v>19</v>
      </c>
      <c r="F766" s="723"/>
      <c r="G766" s="567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7"/>
        <v>0</v>
      </c>
      <c r="P766" s="93">
        <f t="shared" si="308"/>
        <v>0</v>
      </c>
      <c r="Q766" s="568"/>
      <c r="R766" s="568"/>
      <c r="S766" s="568"/>
      <c r="T766" s="568"/>
      <c r="U766" s="568"/>
      <c r="V766" s="568"/>
      <c r="W766" s="568"/>
      <c r="X766" s="568"/>
      <c r="Y766" s="568"/>
      <c r="Z766" s="568"/>
    </row>
    <row r="767" spans="1:26" ht="19.5" hidden="1">
      <c r="A767" s="578"/>
      <c r="B767" s="580"/>
      <c r="C767" s="723" t="s">
        <v>16</v>
      </c>
      <c r="D767" s="856" t="s">
        <v>38</v>
      </c>
      <c r="E767" s="617"/>
      <c r="F767" s="617"/>
      <c r="G767" s="618"/>
      <c r="H767" s="581"/>
      <c r="I767" s="166"/>
      <c r="J767" s="166"/>
      <c r="K767" s="167"/>
      <c r="L767" s="167"/>
      <c r="M767" s="167"/>
      <c r="N767" s="167"/>
      <c r="O767" s="167"/>
      <c r="P767" s="167"/>
      <c r="Q767" s="568"/>
      <c r="R767" s="568"/>
      <c r="S767" s="568"/>
      <c r="T767" s="568"/>
      <c r="U767" s="568"/>
      <c r="V767" s="568"/>
      <c r="W767" s="568"/>
      <c r="X767" s="568"/>
      <c r="Y767" s="568"/>
      <c r="Z767" s="568"/>
    </row>
    <row r="768" spans="1:26" ht="18.75" hidden="1">
      <c r="A768" s="615"/>
      <c r="B768" s="571"/>
      <c r="C768" s="723"/>
      <c r="D768" s="723"/>
      <c r="E768" s="723" t="s">
        <v>316</v>
      </c>
      <c r="F768" s="723"/>
      <c r="G768" s="567"/>
      <c r="H768" s="165" t="s">
        <v>46</v>
      </c>
      <c r="I768" s="583"/>
      <c r="J768" s="583"/>
      <c r="K768" s="93"/>
      <c r="L768" s="93"/>
      <c r="M768" s="93"/>
      <c r="N768" s="93"/>
      <c r="O768" s="93"/>
      <c r="P768" s="93"/>
      <c r="Q768" s="568"/>
      <c r="R768" s="568"/>
      <c r="S768" s="568"/>
      <c r="T768" s="568"/>
      <c r="U768" s="568"/>
      <c r="V768" s="568"/>
      <c r="W768" s="568"/>
      <c r="X768" s="568"/>
      <c r="Y768" s="568"/>
      <c r="Z768" s="568"/>
    </row>
    <row r="769" spans="1:26" ht="19.5" hidden="1">
      <c r="A769" s="757">
        <v>11</v>
      </c>
      <c r="B769" s="758" t="s">
        <v>317</v>
      </c>
      <c r="C769" s="759"/>
      <c r="D769" s="759"/>
      <c r="E769" s="759"/>
      <c r="F769" s="759"/>
      <c r="G769" s="760"/>
      <c r="H769" s="761" t="s">
        <v>46</v>
      </c>
      <c r="I769" s="762"/>
      <c r="J769" s="762">
        <f>J784</f>
        <v>0</v>
      </c>
      <c r="K769" s="763">
        <f>IF(I769&gt;0,J769*100/I769,0)</f>
        <v>0</v>
      </c>
      <c r="L769" s="764"/>
      <c r="M769" s="764"/>
      <c r="N769" s="764"/>
      <c r="O769" s="764"/>
      <c r="P769" s="764"/>
      <c r="Q769" s="568"/>
      <c r="R769" s="568"/>
      <c r="S769" s="568"/>
      <c r="T769" s="568"/>
      <c r="U769" s="568"/>
      <c r="V769" s="568"/>
      <c r="W769" s="568"/>
      <c r="X769" s="568"/>
      <c r="Y769" s="568"/>
      <c r="Z769" s="568"/>
    </row>
    <row r="770" spans="1:26" ht="19.5" hidden="1">
      <c r="A770" s="563"/>
      <c r="B770" s="723"/>
      <c r="C770" s="723" t="s">
        <v>16</v>
      </c>
      <c r="D770" s="812" t="s">
        <v>17</v>
      </c>
      <c r="E770" s="805"/>
      <c r="F770" s="805"/>
      <c r="G770" s="567"/>
      <c r="H770" s="612" t="s">
        <v>12</v>
      </c>
      <c r="I770" s="583"/>
      <c r="J770" s="583"/>
      <c r="K770" s="93"/>
      <c r="L770" s="613">
        <f t="shared" ref="L770:N770" si="309">L771+L772</f>
        <v>0</v>
      </c>
      <c r="M770" s="613">
        <f t="shared" si="309"/>
        <v>0</v>
      </c>
      <c r="N770" s="613">
        <f t="shared" si="309"/>
        <v>0</v>
      </c>
      <c r="O770" s="613">
        <f t="shared" ref="O770:O775" si="310">IF(L770&gt;0,N770*100/L770,0)</f>
        <v>0</v>
      </c>
      <c r="P770" s="613">
        <f t="shared" ref="P770:P775" si="311">IF(M770&gt;0,N770*100/M770,0)</f>
        <v>0</v>
      </c>
      <c r="Q770" s="568"/>
      <c r="R770" s="568"/>
      <c r="S770" s="568"/>
      <c r="T770" s="568"/>
      <c r="U770" s="568"/>
      <c r="V770" s="568"/>
      <c r="W770" s="568"/>
      <c r="X770" s="568"/>
      <c r="Y770" s="568"/>
      <c r="Z770" s="568"/>
    </row>
    <row r="771" spans="1:26" ht="18.75" hidden="1">
      <c r="A771" s="563"/>
      <c r="B771" s="723"/>
      <c r="C771" s="723"/>
      <c r="D771" s="684"/>
      <c r="E771" s="723" t="s">
        <v>184</v>
      </c>
      <c r="F771" s="723"/>
      <c r="G771" s="567"/>
      <c r="H771" s="165" t="s">
        <v>12</v>
      </c>
      <c r="I771" s="583"/>
      <c r="J771" s="583"/>
      <c r="K771" s="93"/>
      <c r="L771" s="93">
        <f t="shared" ref="L771:N772" si="312">L774+L781</f>
        <v>0</v>
      </c>
      <c r="M771" s="93">
        <f t="shared" si="312"/>
        <v>0</v>
      </c>
      <c r="N771" s="93">
        <f t="shared" si="312"/>
        <v>0</v>
      </c>
      <c r="O771" s="93">
        <f t="shared" si="310"/>
        <v>0</v>
      </c>
      <c r="P771" s="93">
        <f t="shared" si="311"/>
        <v>0</v>
      </c>
      <c r="Q771" s="568"/>
      <c r="R771" s="568"/>
      <c r="S771" s="568"/>
      <c r="T771" s="568"/>
      <c r="U771" s="568"/>
      <c r="V771" s="568"/>
      <c r="W771" s="568"/>
      <c r="X771" s="568"/>
      <c r="Y771" s="568"/>
      <c r="Z771" s="568"/>
    </row>
    <row r="772" spans="1:26" ht="18.75" hidden="1">
      <c r="A772" s="563"/>
      <c r="B772" s="571"/>
      <c r="C772" s="723"/>
      <c r="D772" s="684"/>
      <c r="E772" s="723" t="s">
        <v>185</v>
      </c>
      <c r="F772" s="723"/>
      <c r="G772" s="567"/>
      <c r="H772" s="165" t="s">
        <v>12</v>
      </c>
      <c r="I772" s="583"/>
      <c r="J772" s="583"/>
      <c r="K772" s="93"/>
      <c r="L772" s="93">
        <f t="shared" si="312"/>
        <v>0</v>
      </c>
      <c r="M772" s="93">
        <f t="shared" si="312"/>
        <v>0</v>
      </c>
      <c r="N772" s="93">
        <f t="shared" si="312"/>
        <v>0</v>
      </c>
      <c r="O772" s="93">
        <f t="shared" si="310"/>
        <v>0</v>
      </c>
      <c r="P772" s="93">
        <f t="shared" si="311"/>
        <v>0</v>
      </c>
      <c r="Q772" s="568"/>
      <c r="R772" s="568"/>
      <c r="S772" s="568"/>
      <c r="T772" s="568"/>
      <c r="U772" s="568"/>
      <c r="V772" s="568"/>
      <c r="W772" s="568"/>
      <c r="X772" s="568"/>
      <c r="Y772" s="568"/>
      <c r="Z772" s="568"/>
    </row>
    <row r="773" spans="1:26" ht="19.5" hidden="1">
      <c r="A773" s="563"/>
      <c r="B773" s="571"/>
      <c r="C773" s="723"/>
      <c r="D773" s="611" t="s">
        <v>20</v>
      </c>
      <c r="E773" s="723"/>
      <c r="F773" s="723"/>
      <c r="G773" s="567"/>
      <c r="H773" s="612" t="s">
        <v>12</v>
      </c>
      <c r="I773" s="166"/>
      <c r="J773" s="166"/>
      <c r="K773" s="167"/>
      <c r="L773" s="613">
        <f t="shared" ref="L773:N773" si="313">L774+L775</f>
        <v>0</v>
      </c>
      <c r="M773" s="613">
        <f t="shared" si="313"/>
        <v>0</v>
      </c>
      <c r="N773" s="613">
        <f t="shared" si="313"/>
        <v>0</v>
      </c>
      <c r="O773" s="613">
        <f t="shared" si="310"/>
        <v>0</v>
      </c>
      <c r="P773" s="613">
        <f t="shared" si="311"/>
        <v>0</v>
      </c>
      <c r="Q773" s="568"/>
      <c r="R773" s="568"/>
      <c r="S773" s="568"/>
      <c r="T773" s="568"/>
      <c r="U773" s="568"/>
      <c r="V773" s="568"/>
      <c r="W773" s="568"/>
      <c r="X773" s="568"/>
      <c r="Y773" s="568"/>
      <c r="Z773" s="568"/>
    </row>
    <row r="774" spans="1:26" ht="18.75" hidden="1">
      <c r="A774" s="563"/>
      <c r="B774" s="571"/>
      <c r="C774" s="723"/>
      <c r="D774" s="684"/>
      <c r="E774" s="723" t="s">
        <v>184</v>
      </c>
      <c r="F774" s="723"/>
      <c r="G774" s="567"/>
      <c r="H774" s="165" t="s">
        <v>12</v>
      </c>
      <c r="I774" s="583"/>
      <c r="J774" s="583"/>
      <c r="K774" s="93"/>
      <c r="L774" s="93">
        <v>0</v>
      </c>
      <c r="M774" s="93">
        <v>0</v>
      </c>
      <c r="N774" s="93">
        <v>0</v>
      </c>
      <c r="O774" s="93">
        <f t="shared" si="310"/>
        <v>0</v>
      </c>
      <c r="P774" s="93">
        <f t="shared" si="311"/>
        <v>0</v>
      </c>
      <c r="Q774" s="568"/>
      <c r="R774" s="568"/>
      <c r="S774" s="568"/>
      <c r="T774" s="568"/>
      <c r="U774" s="568"/>
      <c r="V774" s="568"/>
      <c r="W774" s="568"/>
      <c r="X774" s="568"/>
      <c r="Y774" s="568"/>
      <c r="Z774" s="568"/>
    </row>
    <row r="775" spans="1:26" ht="18.75" hidden="1">
      <c r="A775" s="563"/>
      <c r="B775" s="571"/>
      <c r="C775" s="723"/>
      <c r="D775" s="684"/>
      <c r="E775" s="723" t="s">
        <v>185</v>
      </c>
      <c r="F775" s="723"/>
      <c r="G775" s="567"/>
      <c r="H775" s="165" t="s">
        <v>12</v>
      </c>
      <c r="I775" s="583"/>
      <c r="J775" s="583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0"/>
        <v>0</v>
      </c>
      <c r="P775" s="93">
        <f t="shared" si="311"/>
        <v>0</v>
      </c>
      <c r="Q775" s="568"/>
      <c r="R775" s="568"/>
      <c r="S775" s="568"/>
      <c r="T775" s="568"/>
      <c r="U775" s="568"/>
      <c r="V775" s="568"/>
      <c r="W775" s="568"/>
      <c r="X775" s="568"/>
      <c r="Y775" s="568"/>
      <c r="Z775" s="568"/>
    </row>
    <row r="776" spans="1:26" ht="18.75" hidden="1">
      <c r="A776" s="615"/>
      <c r="B776" s="571"/>
      <c r="C776" s="723"/>
      <c r="D776" s="723"/>
      <c r="E776" s="723"/>
      <c r="F776" s="723" t="s">
        <v>186</v>
      </c>
      <c r="G776" s="567"/>
      <c r="H776" s="165" t="s">
        <v>12</v>
      </c>
      <c r="I776" s="583"/>
      <c r="J776" s="583"/>
      <c r="K776" s="93"/>
      <c r="L776" s="93"/>
      <c r="M776" s="93"/>
      <c r="N776" s="93"/>
      <c r="O776" s="93"/>
      <c r="P776" s="93"/>
      <c r="Q776" s="568"/>
      <c r="R776" s="568"/>
      <c r="S776" s="568"/>
      <c r="T776" s="568"/>
      <c r="U776" s="568"/>
      <c r="V776" s="568"/>
      <c r="W776" s="568"/>
      <c r="X776" s="568"/>
      <c r="Y776" s="568"/>
      <c r="Z776" s="568"/>
    </row>
    <row r="777" spans="1:26" ht="18.75" hidden="1">
      <c r="A777" s="615"/>
      <c r="B777" s="571"/>
      <c r="C777" s="723"/>
      <c r="D777" s="723"/>
      <c r="E777" s="723"/>
      <c r="F777" s="723" t="s">
        <v>187</v>
      </c>
      <c r="G777" s="567"/>
      <c r="H777" s="165" t="s">
        <v>12</v>
      </c>
      <c r="I777" s="583"/>
      <c r="J777" s="583"/>
      <c r="K777" s="93"/>
      <c r="L777" s="93"/>
      <c r="M777" s="93"/>
      <c r="N777" s="93"/>
      <c r="O777" s="93"/>
      <c r="P777" s="93"/>
      <c r="Q777" s="568"/>
      <c r="R777" s="568"/>
      <c r="S777" s="568"/>
      <c r="T777" s="568"/>
      <c r="U777" s="568"/>
      <c r="V777" s="568"/>
      <c r="W777" s="568"/>
      <c r="X777" s="568"/>
      <c r="Y777" s="568"/>
      <c r="Z777" s="568"/>
    </row>
    <row r="778" spans="1:26" ht="18.75" hidden="1">
      <c r="A778" s="615"/>
      <c r="B778" s="571"/>
      <c r="C778" s="723"/>
      <c r="D778" s="723"/>
      <c r="E778" s="723"/>
      <c r="F778" s="723" t="s">
        <v>188</v>
      </c>
      <c r="G778" s="567"/>
      <c r="H778" s="165" t="s">
        <v>12</v>
      </c>
      <c r="I778" s="583"/>
      <c r="J778" s="583"/>
      <c r="K778" s="93"/>
      <c r="L778" s="93"/>
      <c r="M778" s="93"/>
      <c r="N778" s="93"/>
      <c r="O778" s="93"/>
      <c r="P778" s="93"/>
      <c r="Q778" s="568"/>
      <c r="R778" s="568"/>
      <c r="S778" s="568"/>
      <c r="T778" s="568"/>
      <c r="U778" s="568"/>
      <c r="V778" s="568"/>
      <c r="W778" s="568"/>
      <c r="X778" s="568"/>
      <c r="Y778" s="568"/>
      <c r="Z778" s="568"/>
    </row>
    <row r="779" spans="1:26" ht="18.75" hidden="1">
      <c r="A779" s="615"/>
      <c r="B779" s="571"/>
      <c r="C779" s="723"/>
      <c r="D779" s="723"/>
      <c r="E779" s="723"/>
      <c r="F779" s="723" t="s">
        <v>189</v>
      </c>
      <c r="G779" s="567"/>
      <c r="H779" s="165" t="s">
        <v>12</v>
      </c>
      <c r="I779" s="583"/>
      <c r="J779" s="583"/>
      <c r="K779" s="93"/>
      <c r="L779" s="93"/>
      <c r="M779" s="93"/>
      <c r="N779" s="93"/>
      <c r="O779" s="93"/>
      <c r="P779" s="93"/>
      <c r="Q779" s="568"/>
      <c r="R779" s="568"/>
      <c r="S779" s="568"/>
      <c r="T779" s="568"/>
      <c r="U779" s="568"/>
      <c r="V779" s="568"/>
      <c r="W779" s="568"/>
      <c r="X779" s="568"/>
      <c r="Y779" s="568"/>
      <c r="Z779" s="568"/>
    </row>
    <row r="780" spans="1:26" ht="19.5" hidden="1">
      <c r="A780" s="563"/>
      <c r="B780" s="571"/>
      <c r="C780" s="723"/>
      <c r="D780" s="611" t="s">
        <v>21</v>
      </c>
      <c r="E780" s="723"/>
      <c r="F780" s="723"/>
      <c r="G780" s="567"/>
      <c r="H780" s="747" t="s">
        <v>12</v>
      </c>
      <c r="I780" s="166"/>
      <c r="J780" s="166"/>
      <c r="K780" s="167"/>
      <c r="L780" s="613">
        <f t="shared" ref="L780:N780" si="314">L781+L782</f>
        <v>0</v>
      </c>
      <c r="M780" s="613">
        <f t="shared" si="314"/>
        <v>0</v>
      </c>
      <c r="N780" s="613">
        <f t="shared" si="314"/>
        <v>0</v>
      </c>
      <c r="O780" s="613">
        <f t="shared" ref="O780:O782" si="315">IF(L780&gt;0,N780*100/L780,0)</f>
        <v>0</v>
      </c>
      <c r="P780" s="613">
        <f t="shared" ref="P780:P782" si="316">IF(M780&gt;0,N780*100/M780,0)</f>
        <v>0</v>
      </c>
      <c r="Q780" s="568"/>
      <c r="R780" s="568"/>
      <c r="S780" s="568"/>
      <c r="T780" s="568"/>
      <c r="U780" s="568"/>
      <c r="V780" s="568"/>
      <c r="W780" s="568"/>
      <c r="X780" s="568"/>
      <c r="Y780" s="568"/>
      <c r="Z780" s="568"/>
    </row>
    <row r="781" spans="1:26" ht="18.75" hidden="1">
      <c r="A781" s="563"/>
      <c r="B781" s="571"/>
      <c r="C781" s="723"/>
      <c r="D781" s="723"/>
      <c r="E781" s="723" t="s">
        <v>18</v>
      </c>
      <c r="F781" s="723"/>
      <c r="G781" s="567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5"/>
        <v>0</v>
      </c>
      <c r="P781" s="93">
        <f t="shared" si="316"/>
        <v>0</v>
      </c>
      <c r="Q781" s="568"/>
      <c r="R781" s="568"/>
      <c r="S781" s="568"/>
      <c r="T781" s="568"/>
      <c r="U781" s="568"/>
      <c r="V781" s="568"/>
      <c r="W781" s="568"/>
      <c r="X781" s="568"/>
      <c r="Y781" s="568"/>
      <c r="Z781" s="568"/>
    </row>
    <row r="782" spans="1:26" ht="18.75" hidden="1">
      <c r="A782" s="563"/>
      <c r="B782" s="571"/>
      <c r="C782" s="723"/>
      <c r="D782" s="723"/>
      <c r="E782" s="723" t="s">
        <v>19</v>
      </c>
      <c r="F782" s="723"/>
      <c r="G782" s="567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5"/>
        <v>0</v>
      </c>
      <c r="P782" s="93">
        <f t="shared" si="316"/>
        <v>0</v>
      </c>
      <c r="Q782" s="568"/>
      <c r="R782" s="568"/>
      <c r="S782" s="568"/>
      <c r="T782" s="568"/>
      <c r="U782" s="568"/>
      <c r="V782" s="568"/>
      <c r="W782" s="568"/>
      <c r="X782" s="568"/>
      <c r="Y782" s="568"/>
      <c r="Z782" s="568"/>
    </row>
    <row r="783" spans="1:26" ht="19.5" hidden="1">
      <c r="A783" s="578"/>
      <c r="B783" s="580"/>
      <c r="C783" s="723" t="s">
        <v>16</v>
      </c>
      <c r="D783" s="856" t="s">
        <v>38</v>
      </c>
      <c r="E783" s="617"/>
      <c r="F783" s="617"/>
      <c r="G783" s="618"/>
      <c r="H783" s="765"/>
      <c r="I783" s="166"/>
      <c r="J783" s="166"/>
      <c r="K783" s="167"/>
      <c r="L783" s="167"/>
      <c r="M783" s="167"/>
      <c r="N783" s="167"/>
      <c r="O783" s="167"/>
      <c r="P783" s="167"/>
      <c r="Q783" s="568"/>
      <c r="R783" s="568"/>
      <c r="S783" s="568"/>
      <c r="T783" s="568"/>
      <c r="U783" s="568"/>
      <c r="V783" s="568"/>
      <c r="W783" s="568"/>
      <c r="X783" s="568"/>
      <c r="Y783" s="568"/>
      <c r="Z783" s="568"/>
    </row>
    <row r="784" spans="1:26" ht="18.75" hidden="1">
      <c r="A784" s="615"/>
      <c r="B784" s="571"/>
      <c r="C784" s="723"/>
      <c r="D784" s="723"/>
      <c r="E784" s="723" t="s">
        <v>318</v>
      </c>
      <c r="F784" s="723"/>
      <c r="G784" s="567"/>
      <c r="H784" s="165" t="s">
        <v>46</v>
      </c>
      <c r="I784" s="583"/>
      <c r="J784" s="583"/>
      <c r="K784" s="93"/>
      <c r="L784" s="93"/>
      <c r="M784" s="93"/>
      <c r="N784" s="93"/>
      <c r="O784" s="93"/>
      <c r="P784" s="93"/>
      <c r="Q784" s="568"/>
      <c r="R784" s="568"/>
      <c r="S784" s="568"/>
      <c r="T784" s="568"/>
      <c r="U784" s="568"/>
      <c r="V784" s="568"/>
      <c r="W784" s="568"/>
      <c r="X784" s="568"/>
      <c r="Y784" s="568"/>
      <c r="Z784" s="568"/>
    </row>
    <row r="785" spans="1:26" ht="19.5">
      <c r="A785" s="766">
        <v>12</v>
      </c>
      <c r="B785" s="767" t="s">
        <v>319</v>
      </c>
      <c r="C785" s="768"/>
      <c r="D785" s="768"/>
      <c r="E785" s="768"/>
      <c r="F785" s="768"/>
      <c r="G785" s="769"/>
      <c r="H785" s="770" t="s">
        <v>46</v>
      </c>
      <c r="I785" s="771">
        <f t="shared" ref="I785:J785" ca="1" si="317">I800</f>
        <v>5000</v>
      </c>
      <c r="J785" s="771">
        <f t="shared" ca="1" si="317"/>
        <v>0</v>
      </c>
      <c r="K785" s="772">
        <f ca="1">IF(I785&gt;0,J785*100/I785,0)</f>
        <v>0</v>
      </c>
      <c r="L785" s="773"/>
      <c r="M785" s="773"/>
      <c r="N785" s="773"/>
      <c r="O785" s="773"/>
      <c r="P785" s="773"/>
      <c r="Q785" s="541"/>
      <c r="R785" s="541"/>
      <c r="S785" s="541"/>
      <c r="T785" s="541"/>
      <c r="U785" s="541"/>
      <c r="V785" s="541"/>
      <c r="W785" s="541"/>
      <c r="X785" s="541"/>
      <c r="Y785" s="541"/>
      <c r="Z785" s="541"/>
    </row>
    <row r="786" spans="1:26" ht="19.5">
      <c r="A786" s="561"/>
      <c r="B786" s="538"/>
      <c r="C786" s="727" t="s">
        <v>16</v>
      </c>
      <c r="D786" s="811" t="s">
        <v>17</v>
      </c>
      <c r="E786" s="805"/>
      <c r="F786" s="805"/>
      <c r="G786" s="189"/>
      <c r="H786" s="562" t="s">
        <v>12</v>
      </c>
      <c r="I786" s="269"/>
      <c r="J786" s="269"/>
      <c r="K786" s="465"/>
      <c r="L786" s="195">
        <f t="shared" ref="L786:N786" ca="1" si="318">L787+L788</f>
        <v>335200</v>
      </c>
      <c r="M786" s="195">
        <f t="shared" si="318"/>
        <v>0</v>
      </c>
      <c r="N786" s="195">
        <f t="shared" si="318"/>
        <v>0</v>
      </c>
      <c r="O786" s="195">
        <f t="shared" ref="O786:O791" ca="1" si="319">IF(L786&gt;0,N786*100/L786,0)</f>
        <v>0</v>
      </c>
      <c r="P786" s="195">
        <f t="shared" ref="P786:P791" si="320">IF(M786&gt;0,N786*100/M786,0)</f>
        <v>0</v>
      </c>
      <c r="Q786" s="541"/>
      <c r="R786" s="541"/>
      <c r="S786" s="541"/>
      <c r="T786" s="541"/>
      <c r="U786" s="541"/>
      <c r="V786" s="541"/>
      <c r="W786" s="541"/>
      <c r="X786" s="541"/>
      <c r="Y786" s="541"/>
      <c r="Z786" s="541"/>
    </row>
    <row r="787" spans="1:26" ht="18.75" hidden="1">
      <c r="A787" s="563"/>
      <c r="B787" s="571"/>
      <c r="C787" s="723"/>
      <c r="D787" s="684"/>
      <c r="E787" s="723" t="s">
        <v>184</v>
      </c>
      <c r="F787" s="723"/>
      <c r="G787" s="567"/>
      <c r="H787" s="165" t="s">
        <v>12</v>
      </c>
      <c r="I787" s="583"/>
      <c r="J787" s="583"/>
      <c r="K787" s="93"/>
      <c r="L787" s="93">
        <f t="shared" ref="L787:N788" si="321">L790+L797</f>
        <v>0</v>
      </c>
      <c r="M787" s="93">
        <f t="shared" si="321"/>
        <v>0</v>
      </c>
      <c r="N787" s="93">
        <f t="shared" si="321"/>
        <v>0</v>
      </c>
      <c r="O787" s="93">
        <f t="shared" si="319"/>
        <v>0</v>
      </c>
      <c r="P787" s="93">
        <f t="shared" si="320"/>
        <v>0</v>
      </c>
      <c r="Q787" s="568"/>
      <c r="R787" s="568"/>
      <c r="S787" s="568"/>
      <c r="T787" s="568"/>
      <c r="U787" s="568"/>
      <c r="V787" s="568"/>
      <c r="W787" s="568"/>
      <c r="X787" s="568"/>
      <c r="Y787" s="568"/>
      <c r="Z787" s="568"/>
    </row>
    <row r="788" spans="1:26" ht="18.75" hidden="1">
      <c r="A788" s="563"/>
      <c r="B788" s="571"/>
      <c r="C788" s="571"/>
      <c r="D788" s="580"/>
      <c r="E788" s="723" t="s">
        <v>185</v>
      </c>
      <c r="F788" s="723"/>
      <c r="G788" s="567"/>
      <c r="H788" s="165" t="s">
        <v>12</v>
      </c>
      <c r="I788" s="583"/>
      <c r="J788" s="583"/>
      <c r="K788" s="93"/>
      <c r="L788" s="93">
        <f t="shared" ca="1" si="321"/>
        <v>335200</v>
      </c>
      <c r="M788" s="93">
        <f t="shared" si="321"/>
        <v>0</v>
      </c>
      <c r="N788" s="93">
        <f t="shared" si="321"/>
        <v>0</v>
      </c>
      <c r="O788" s="93">
        <f t="shared" ca="1" si="319"/>
        <v>0</v>
      </c>
      <c r="P788" s="93">
        <f t="shared" si="320"/>
        <v>0</v>
      </c>
      <c r="Q788" s="568"/>
      <c r="R788" s="568"/>
      <c r="S788" s="568"/>
      <c r="T788" s="568"/>
      <c r="U788" s="568"/>
      <c r="V788" s="568"/>
      <c r="W788" s="568"/>
      <c r="X788" s="568"/>
      <c r="Y788" s="568"/>
      <c r="Z788" s="568"/>
    </row>
    <row r="789" spans="1:26" ht="18.75">
      <c r="A789" s="561"/>
      <c r="B789" s="538"/>
      <c r="C789" s="538"/>
      <c r="D789" s="570" t="s">
        <v>20</v>
      </c>
      <c r="E789" s="727"/>
      <c r="F789" s="727"/>
      <c r="G789" s="189"/>
      <c r="H789" s="161" t="s">
        <v>12</v>
      </c>
      <c r="I789" s="184"/>
      <c r="J789" s="184"/>
      <c r="K789" s="163"/>
      <c r="L789" s="465">
        <f t="shared" ref="L789:N789" ca="1" si="322">L790+L791</f>
        <v>335200</v>
      </c>
      <c r="M789" s="465">
        <f t="shared" si="322"/>
        <v>0</v>
      </c>
      <c r="N789" s="465">
        <f t="shared" si="322"/>
        <v>0</v>
      </c>
      <c r="O789" s="465">
        <f t="shared" ca="1" si="319"/>
        <v>0</v>
      </c>
      <c r="P789" s="465">
        <f t="shared" si="320"/>
        <v>0</v>
      </c>
      <c r="Q789" s="541"/>
      <c r="R789" s="541"/>
      <c r="S789" s="541"/>
      <c r="T789" s="541"/>
      <c r="U789" s="541"/>
      <c r="V789" s="541"/>
      <c r="W789" s="541"/>
      <c r="X789" s="541"/>
      <c r="Y789" s="541"/>
      <c r="Z789" s="541"/>
    </row>
    <row r="790" spans="1:26" ht="18.75" hidden="1">
      <c r="A790" s="563"/>
      <c r="B790" s="571"/>
      <c r="C790" s="571"/>
      <c r="D790" s="580"/>
      <c r="E790" s="723" t="s">
        <v>184</v>
      </c>
      <c r="F790" s="723"/>
      <c r="G790" s="567"/>
      <c r="H790" s="165" t="s">
        <v>12</v>
      </c>
      <c r="I790" s="583"/>
      <c r="J790" s="583"/>
      <c r="K790" s="93"/>
      <c r="L790" s="93">
        <v>0</v>
      </c>
      <c r="M790" s="93">
        <v>0</v>
      </c>
      <c r="N790" s="93">
        <v>0</v>
      </c>
      <c r="O790" s="93">
        <f t="shared" si="319"/>
        <v>0</v>
      </c>
      <c r="P790" s="93">
        <f t="shared" si="320"/>
        <v>0</v>
      </c>
      <c r="Q790" s="568"/>
      <c r="R790" s="568"/>
      <c r="S790" s="568"/>
      <c r="T790" s="568"/>
      <c r="U790" s="568"/>
      <c r="V790" s="568"/>
      <c r="W790" s="568"/>
      <c r="X790" s="568"/>
      <c r="Y790" s="568"/>
      <c r="Z790" s="568"/>
    </row>
    <row r="791" spans="1:26" ht="18.75" hidden="1">
      <c r="A791" s="563"/>
      <c r="B791" s="571"/>
      <c r="C791" s="571"/>
      <c r="D791" s="580"/>
      <c r="E791" s="723" t="s">
        <v>185</v>
      </c>
      <c r="F791" s="723"/>
      <c r="G791" s="567"/>
      <c r="H791" s="165" t="s">
        <v>12</v>
      </c>
      <c r="I791" s="583"/>
      <c r="J791" s="583"/>
      <c r="K791" s="93"/>
      <c r="L791" s="93">
        <f ca="1">IFERROR(__xludf.DUMMYFUNCTION("IMPORTRANGE(""https://docs.google.com/spreadsheets/d/1QqKyyYR6Q21VydFLVH3TRQUabQu_ym0Zz7PgGX0-kHA/edit?usp=sharing"",""แผน!JJ14"")"),335200)</f>
        <v>335200</v>
      </c>
      <c r="M791" s="93">
        <v>0</v>
      </c>
      <c r="N791" s="93">
        <f>N792+N793+N794+N795</f>
        <v>0</v>
      </c>
      <c r="O791" s="93">
        <f t="shared" ca="1" si="319"/>
        <v>0</v>
      </c>
      <c r="P791" s="93">
        <f t="shared" si="320"/>
        <v>0</v>
      </c>
      <c r="Q791" s="568"/>
      <c r="R791" s="568"/>
      <c r="S791" s="568"/>
      <c r="T791" s="568"/>
      <c r="U791" s="568"/>
      <c r="V791" s="568"/>
      <c r="W791" s="568"/>
      <c r="X791" s="568"/>
      <c r="Y791" s="568"/>
      <c r="Z791" s="568"/>
    </row>
    <row r="792" spans="1:26" ht="18.75">
      <c r="A792" s="537"/>
      <c r="B792" s="538"/>
      <c r="C792" s="727"/>
      <c r="D792" s="727"/>
      <c r="E792" s="727"/>
      <c r="F792" s="727" t="s">
        <v>186</v>
      </c>
      <c r="G792" s="189"/>
      <c r="H792" s="161" t="s">
        <v>12</v>
      </c>
      <c r="I792" s="269"/>
      <c r="J792" s="269"/>
      <c r="K792" s="465"/>
      <c r="L792" s="465"/>
      <c r="M792" s="465"/>
      <c r="N792" s="789">
        <v>0</v>
      </c>
      <c r="O792" s="465"/>
      <c r="P792" s="465"/>
      <c r="Q792" s="541"/>
      <c r="R792" s="541"/>
      <c r="S792" s="541"/>
      <c r="T792" s="541"/>
      <c r="U792" s="541"/>
      <c r="V792" s="541"/>
      <c r="W792" s="541"/>
      <c r="X792" s="541"/>
      <c r="Y792" s="541"/>
      <c r="Z792" s="541"/>
    </row>
    <row r="793" spans="1:26" ht="18.75">
      <c r="A793" s="537"/>
      <c r="B793" s="538"/>
      <c r="C793" s="727"/>
      <c r="D793" s="727"/>
      <c r="E793" s="727"/>
      <c r="F793" s="727" t="s">
        <v>187</v>
      </c>
      <c r="G793" s="189"/>
      <c r="H793" s="161" t="s">
        <v>12</v>
      </c>
      <c r="I793" s="269"/>
      <c r="J793" s="269"/>
      <c r="K793" s="465"/>
      <c r="L793" s="465"/>
      <c r="M793" s="465"/>
      <c r="N793" s="789">
        <v>0</v>
      </c>
      <c r="O793" s="465"/>
      <c r="P793" s="465"/>
      <c r="Q793" s="541"/>
      <c r="R793" s="541"/>
      <c r="S793" s="541"/>
      <c r="T793" s="541"/>
      <c r="U793" s="541"/>
      <c r="V793" s="541"/>
      <c r="W793" s="541"/>
      <c r="X793" s="541"/>
      <c r="Y793" s="541"/>
      <c r="Z793" s="541"/>
    </row>
    <row r="794" spans="1:26" ht="18.75">
      <c r="A794" s="537"/>
      <c r="B794" s="538"/>
      <c r="C794" s="727"/>
      <c r="D794" s="727"/>
      <c r="E794" s="727"/>
      <c r="F794" s="727" t="s">
        <v>188</v>
      </c>
      <c r="G794" s="189"/>
      <c r="H794" s="161" t="s">
        <v>12</v>
      </c>
      <c r="I794" s="269"/>
      <c r="J794" s="269"/>
      <c r="K794" s="465"/>
      <c r="L794" s="465"/>
      <c r="M794" s="465"/>
      <c r="N794" s="789">
        <v>0</v>
      </c>
      <c r="O794" s="465"/>
      <c r="P794" s="465"/>
      <c r="Q794" s="541"/>
      <c r="R794" s="541"/>
      <c r="S794" s="541"/>
      <c r="T794" s="541"/>
      <c r="U794" s="541"/>
      <c r="V794" s="541"/>
      <c r="W794" s="541"/>
      <c r="X794" s="541"/>
      <c r="Y794" s="541"/>
      <c r="Z794" s="541"/>
    </row>
    <row r="795" spans="1:26" ht="18.75">
      <c r="A795" s="537"/>
      <c r="B795" s="538"/>
      <c r="C795" s="727"/>
      <c r="D795" s="727"/>
      <c r="E795" s="727"/>
      <c r="F795" s="727" t="s">
        <v>189</v>
      </c>
      <c r="G795" s="189"/>
      <c r="H795" s="161" t="s">
        <v>12</v>
      </c>
      <c r="I795" s="269"/>
      <c r="J795" s="269"/>
      <c r="K795" s="465"/>
      <c r="L795" s="465"/>
      <c r="M795" s="465"/>
      <c r="N795" s="789">
        <v>0</v>
      </c>
      <c r="O795" s="465"/>
      <c r="P795" s="465"/>
      <c r="Q795" s="541"/>
      <c r="R795" s="541"/>
      <c r="S795" s="541"/>
      <c r="T795" s="541"/>
      <c r="U795" s="541"/>
      <c r="V795" s="541"/>
      <c r="W795" s="541"/>
      <c r="X795" s="541"/>
      <c r="Y795" s="541"/>
      <c r="Z795" s="541"/>
    </row>
    <row r="796" spans="1:26" ht="18.75">
      <c r="A796" s="561"/>
      <c r="B796" s="538"/>
      <c r="C796" s="727"/>
      <c r="D796" s="570" t="s">
        <v>21</v>
      </c>
      <c r="E796" s="727"/>
      <c r="F796" s="727"/>
      <c r="G796" s="189"/>
      <c r="H796" s="168" t="s">
        <v>12</v>
      </c>
      <c r="I796" s="184"/>
      <c r="J796" s="184"/>
      <c r="K796" s="163"/>
      <c r="L796" s="465">
        <f t="shared" ref="L796:N796" si="323">L797+L798</f>
        <v>0</v>
      </c>
      <c r="M796" s="465">
        <f t="shared" si="323"/>
        <v>0</v>
      </c>
      <c r="N796" s="465">
        <f t="shared" si="323"/>
        <v>0</v>
      </c>
      <c r="O796" s="465">
        <f t="shared" ref="O796:O798" si="324">IF(L796&gt;0,N796*100/L796,0)</f>
        <v>0</v>
      </c>
      <c r="P796" s="465">
        <f t="shared" ref="P796:P798" si="325">IF(M796&gt;0,N796*100/M796,0)</f>
        <v>0</v>
      </c>
      <c r="Q796" s="541"/>
      <c r="R796" s="541"/>
      <c r="S796" s="541"/>
      <c r="T796" s="541"/>
      <c r="U796" s="541"/>
      <c r="V796" s="541"/>
      <c r="W796" s="541"/>
      <c r="X796" s="541"/>
      <c r="Y796" s="541"/>
      <c r="Z796" s="541"/>
    </row>
    <row r="797" spans="1:26" ht="18.75" hidden="1">
      <c r="A797" s="563"/>
      <c r="B797" s="571"/>
      <c r="C797" s="723"/>
      <c r="D797" s="723"/>
      <c r="E797" s="723" t="s">
        <v>18</v>
      </c>
      <c r="F797" s="723"/>
      <c r="G797" s="567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4"/>
        <v>0</v>
      </c>
      <c r="P797" s="93">
        <f t="shared" si="325"/>
        <v>0</v>
      </c>
      <c r="Q797" s="568"/>
      <c r="R797" s="568"/>
      <c r="S797" s="568"/>
      <c r="T797" s="568"/>
      <c r="U797" s="568"/>
      <c r="V797" s="568"/>
      <c r="W797" s="568"/>
      <c r="X797" s="568"/>
      <c r="Y797" s="568"/>
      <c r="Z797" s="568"/>
    </row>
    <row r="798" spans="1:26" ht="18.75" hidden="1">
      <c r="A798" s="563"/>
      <c r="B798" s="571"/>
      <c r="C798" s="723"/>
      <c r="D798" s="723"/>
      <c r="E798" s="723" t="s">
        <v>19</v>
      </c>
      <c r="F798" s="723"/>
      <c r="G798" s="567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4"/>
        <v>0</v>
      </c>
      <c r="P798" s="93">
        <f t="shared" si="325"/>
        <v>0</v>
      </c>
      <c r="Q798" s="568"/>
      <c r="R798" s="568"/>
      <c r="S798" s="568"/>
      <c r="T798" s="568"/>
      <c r="U798" s="568"/>
      <c r="V798" s="568"/>
      <c r="W798" s="568"/>
      <c r="X798" s="568"/>
      <c r="Y798" s="568"/>
      <c r="Z798" s="568"/>
    </row>
    <row r="799" spans="1:26" ht="19.5">
      <c r="A799" s="572"/>
      <c r="B799" s="584"/>
      <c r="C799" s="727" t="s">
        <v>16</v>
      </c>
      <c r="D799" s="855" t="s">
        <v>38</v>
      </c>
      <c r="E799" s="725"/>
      <c r="F799" s="725"/>
      <c r="G799" s="577"/>
      <c r="H799" s="774"/>
      <c r="I799" s="184"/>
      <c r="J799" s="184"/>
      <c r="K799" s="163"/>
      <c r="L799" s="163"/>
      <c r="M799" s="163"/>
      <c r="N799" s="163"/>
      <c r="O799" s="163"/>
      <c r="P799" s="163"/>
      <c r="Q799" s="541"/>
      <c r="R799" s="541"/>
      <c r="S799" s="541"/>
      <c r="T799" s="541"/>
      <c r="U799" s="541"/>
      <c r="V799" s="541"/>
      <c r="W799" s="541"/>
      <c r="X799" s="541"/>
      <c r="Y799" s="541"/>
      <c r="Z799" s="541"/>
    </row>
    <row r="800" spans="1:26" ht="18.75">
      <c r="A800" s="572"/>
      <c r="B800" s="584"/>
      <c r="C800" s="584"/>
      <c r="D800" s="584"/>
      <c r="E800" s="592"/>
      <c r="F800" s="592" t="s">
        <v>320</v>
      </c>
      <c r="G800" s="726"/>
      <c r="H800" s="185" t="s">
        <v>46</v>
      </c>
      <c r="I800" s="184">
        <f ca="1">IFERROR(__xludf.DUMMYFUNCTION("IMPORTRANGE(""https://docs.google.com/spreadsheets/d/1QqKyyYR6Q21VydFLVH3TRQUabQu_ym0Zz7PgGX0-kHA/edit?usp=sharing"",""แผน!JN14"")"),5000)</f>
        <v>5000</v>
      </c>
      <c r="J800" s="184">
        <f ca="1">IFERROR(__xludf.DUMMYFUNCTION("IMPORTRANGE(""https://docs.google.com/spreadsheets/d/1MaWodYyGHDf7siQLGxnXhG4mBNTNIuy296niS2xXulU/edit?usp=sharing"",""RTK!H69"")"),0)</f>
        <v>0</v>
      </c>
      <c r="K800" s="465">
        <f ca="1">IF(I800&gt;0,J800*100/I800,0)</f>
        <v>0</v>
      </c>
      <c r="L800" s="465"/>
      <c r="M800" s="465"/>
      <c r="N800" s="465"/>
      <c r="O800" s="163"/>
      <c r="P800" s="163"/>
      <c r="Q800" s="541"/>
      <c r="R800" s="541"/>
      <c r="S800" s="541"/>
      <c r="T800" s="541"/>
      <c r="U800" s="541"/>
      <c r="V800" s="541"/>
      <c r="W800" s="541"/>
      <c r="X800" s="541"/>
      <c r="Y800" s="541"/>
      <c r="Z800" s="541"/>
    </row>
    <row r="801" spans="1:26" ht="18.75">
      <c r="A801" s="572"/>
      <c r="B801" s="584"/>
      <c r="C801" s="584"/>
      <c r="D801" s="584"/>
      <c r="E801" s="592"/>
      <c r="F801" s="592"/>
      <c r="G801" s="726"/>
      <c r="H801" s="161" t="s">
        <v>34</v>
      </c>
      <c r="I801" s="184"/>
      <c r="J801" s="269">
        <f ca="1">IFERROR(__xludf.DUMMYFUNCTION("IMPORTRANGE(""https://docs.google.com/spreadsheets/d/1MaWodYyGHDf7siQLGxnXhG4mBNTNIuy296niS2xXulU/edit?usp=sharing"",""RTK!I69"")"),0)</f>
        <v>0</v>
      </c>
      <c r="K801" s="465"/>
      <c r="L801" s="465"/>
      <c r="M801" s="465"/>
      <c r="N801" s="465"/>
      <c r="O801" s="163"/>
      <c r="P801" s="163"/>
      <c r="Q801" s="541"/>
      <c r="R801" s="541"/>
      <c r="S801" s="541"/>
      <c r="T801" s="541"/>
      <c r="U801" s="541"/>
      <c r="V801" s="541"/>
      <c r="W801" s="541"/>
      <c r="X801" s="541"/>
      <c r="Y801" s="541"/>
      <c r="Z801" s="541"/>
    </row>
    <row r="802" spans="1:26" ht="18.75" hidden="1">
      <c r="A802" s="578"/>
      <c r="B802" s="580"/>
      <c r="C802" s="580"/>
      <c r="D802" s="580"/>
      <c r="E802" s="684"/>
      <c r="F802" s="684" t="s">
        <v>321</v>
      </c>
      <c r="G802" s="581"/>
      <c r="H802" s="619" t="s">
        <v>46</v>
      </c>
      <c r="I802" s="166"/>
      <c r="J802" s="583"/>
      <c r="K802" s="167">
        <f>IF(I802&gt;0,J802*100/I802,0)</f>
        <v>0</v>
      </c>
      <c r="L802" s="167"/>
      <c r="M802" s="167"/>
      <c r="N802" s="167"/>
      <c r="O802" s="167"/>
      <c r="P802" s="167"/>
      <c r="Q802" s="568"/>
      <c r="R802" s="568"/>
      <c r="S802" s="568"/>
      <c r="T802" s="568"/>
      <c r="U802" s="568"/>
      <c r="V802" s="568"/>
      <c r="W802" s="568"/>
      <c r="X802" s="568"/>
      <c r="Y802" s="568"/>
      <c r="Z802" s="568"/>
    </row>
    <row r="803" spans="1:26" ht="18.75" hidden="1">
      <c r="A803" s="578"/>
      <c r="B803" s="580"/>
      <c r="C803" s="580"/>
      <c r="D803" s="580"/>
      <c r="E803" s="684"/>
      <c r="F803" s="684"/>
      <c r="G803" s="581"/>
      <c r="H803" s="619" t="s">
        <v>34</v>
      </c>
      <c r="I803" s="166"/>
      <c r="J803" s="583"/>
      <c r="K803" s="167"/>
      <c r="L803" s="167"/>
      <c r="M803" s="167"/>
      <c r="N803" s="167"/>
      <c r="O803" s="167"/>
      <c r="P803" s="167"/>
      <c r="Q803" s="568"/>
      <c r="R803" s="568"/>
      <c r="S803" s="568"/>
      <c r="T803" s="568"/>
      <c r="U803" s="568"/>
      <c r="V803" s="568"/>
      <c r="W803" s="568"/>
      <c r="X803" s="568"/>
      <c r="Y803" s="568"/>
      <c r="Z803" s="568"/>
    </row>
    <row r="804" spans="1:26" ht="19.5" hidden="1">
      <c r="A804" s="757">
        <v>13</v>
      </c>
      <c r="B804" s="758" t="s">
        <v>322</v>
      </c>
      <c r="C804" s="759"/>
      <c r="D804" s="775"/>
      <c r="E804" s="759"/>
      <c r="F804" s="759"/>
      <c r="G804" s="760"/>
      <c r="H804" s="761" t="s">
        <v>46</v>
      </c>
      <c r="I804" s="762"/>
      <c r="J804" s="762">
        <f>J819</f>
        <v>0</v>
      </c>
      <c r="K804" s="763">
        <f>IF(I804&gt;0,J804*100/I804,0)</f>
        <v>0</v>
      </c>
      <c r="L804" s="764"/>
      <c r="M804" s="764"/>
      <c r="N804" s="764"/>
      <c r="O804" s="764"/>
      <c r="P804" s="764"/>
      <c r="Q804" s="568"/>
      <c r="R804" s="568"/>
      <c r="S804" s="568"/>
      <c r="T804" s="568"/>
      <c r="U804" s="568"/>
      <c r="V804" s="568"/>
      <c r="W804" s="568"/>
      <c r="X804" s="568"/>
      <c r="Y804" s="568"/>
      <c r="Z804" s="568"/>
    </row>
    <row r="805" spans="1:26" ht="19.5" hidden="1">
      <c r="A805" s="563"/>
      <c r="B805" s="723"/>
      <c r="C805" s="723" t="s">
        <v>16</v>
      </c>
      <c r="D805" s="812" t="s">
        <v>17</v>
      </c>
      <c r="E805" s="805"/>
      <c r="F805" s="805"/>
      <c r="G805" s="567"/>
      <c r="H805" s="612" t="s">
        <v>12</v>
      </c>
      <c r="I805" s="583"/>
      <c r="J805" s="583"/>
      <c r="K805" s="93"/>
      <c r="L805" s="613">
        <f t="shared" ref="L805:N805" si="326">L806+L807</f>
        <v>0</v>
      </c>
      <c r="M805" s="613">
        <f t="shared" si="326"/>
        <v>0</v>
      </c>
      <c r="N805" s="613">
        <f t="shared" si="326"/>
        <v>0</v>
      </c>
      <c r="O805" s="613">
        <f t="shared" ref="O805:O810" si="327">IF(L805&gt;0,N805*100/L805,0)</f>
        <v>0</v>
      </c>
      <c r="P805" s="613">
        <f t="shared" ref="P805:P810" si="328">IF(M805&gt;0,N805*100/M805,0)</f>
        <v>0</v>
      </c>
      <c r="Q805" s="568"/>
      <c r="R805" s="568"/>
      <c r="S805" s="568"/>
      <c r="T805" s="568"/>
      <c r="U805" s="568"/>
      <c r="V805" s="568"/>
      <c r="W805" s="568"/>
      <c r="X805" s="568"/>
      <c r="Y805" s="568"/>
      <c r="Z805" s="568"/>
    </row>
    <row r="806" spans="1:26" ht="18.75" hidden="1">
      <c r="A806" s="563"/>
      <c r="B806" s="723"/>
      <c r="C806" s="723"/>
      <c r="D806" s="580"/>
      <c r="E806" s="723" t="s">
        <v>184</v>
      </c>
      <c r="F806" s="723"/>
      <c r="G806" s="567"/>
      <c r="H806" s="165" t="s">
        <v>12</v>
      </c>
      <c r="I806" s="583"/>
      <c r="J806" s="583"/>
      <c r="K806" s="93"/>
      <c r="L806" s="93">
        <f t="shared" ref="L806:N807" si="329">L809+L816</f>
        <v>0</v>
      </c>
      <c r="M806" s="93">
        <f t="shared" si="329"/>
        <v>0</v>
      </c>
      <c r="N806" s="93">
        <f t="shared" si="329"/>
        <v>0</v>
      </c>
      <c r="O806" s="93">
        <f t="shared" si="327"/>
        <v>0</v>
      </c>
      <c r="P806" s="93">
        <f t="shared" si="328"/>
        <v>0</v>
      </c>
      <c r="Q806" s="568"/>
      <c r="R806" s="568"/>
      <c r="S806" s="568"/>
      <c r="T806" s="568"/>
      <c r="U806" s="568"/>
      <c r="V806" s="568"/>
      <c r="W806" s="568"/>
      <c r="X806" s="568"/>
      <c r="Y806" s="568"/>
      <c r="Z806" s="568"/>
    </row>
    <row r="807" spans="1:26" ht="18.75" hidden="1">
      <c r="A807" s="563"/>
      <c r="B807" s="723"/>
      <c r="C807" s="723"/>
      <c r="D807" s="580"/>
      <c r="E807" s="723" t="s">
        <v>185</v>
      </c>
      <c r="F807" s="723"/>
      <c r="G807" s="567"/>
      <c r="H807" s="165" t="s">
        <v>12</v>
      </c>
      <c r="I807" s="583"/>
      <c r="J807" s="583"/>
      <c r="K807" s="93"/>
      <c r="L807" s="93">
        <f t="shared" si="329"/>
        <v>0</v>
      </c>
      <c r="M807" s="93">
        <f t="shared" si="329"/>
        <v>0</v>
      </c>
      <c r="N807" s="93">
        <f t="shared" si="329"/>
        <v>0</v>
      </c>
      <c r="O807" s="93">
        <f t="shared" si="327"/>
        <v>0</v>
      </c>
      <c r="P807" s="93">
        <f t="shared" si="328"/>
        <v>0</v>
      </c>
      <c r="Q807" s="568"/>
      <c r="R807" s="568"/>
      <c r="S807" s="568"/>
      <c r="T807" s="568"/>
      <c r="U807" s="568"/>
      <c r="V807" s="568"/>
      <c r="W807" s="568"/>
      <c r="X807" s="568"/>
      <c r="Y807" s="568"/>
      <c r="Z807" s="568"/>
    </row>
    <row r="808" spans="1:26" ht="19.5" hidden="1">
      <c r="A808" s="563"/>
      <c r="B808" s="571"/>
      <c r="C808" s="723"/>
      <c r="D808" s="857" t="s">
        <v>20</v>
      </c>
      <c r="E808" s="805"/>
      <c r="F808" s="805"/>
      <c r="G808" s="567"/>
      <c r="H808" s="612" t="s">
        <v>12</v>
      </c>
      <c r="I808" s="166"/>
      <c r="J808" s="166"/>
      <c r="K808" s="167"/>
      <c r="L808" s="613">
        <f t="shared" ref="L808:N808" si="330">L809+L810</f>
        <v>0</v>
      </c>
      <c r="M808" s="613">
        <f t="shared" si="330"/>
        <v>0</v>
      </c>
      <c r="N808" s="613">
        <f t="shared" si="330"/>
        <v>0</v>
      </c>
      <c r="O808" s="613">
        <f t="shared" si="327"/>
        <v>0</v>
      </c>
      <c r="P808" s="613">
        <f t="shared" si="328"/>
        <v>0</v>
      </c>
      <c r="Q808" s="568"/>
      <c r="R808" s="568"/>
      <c r="S808" s="568"/>
      <c r="T808" s="568"/>
      <c r="U808" s="568"/>
      <c r="V808" s="568"/>
      <c r="W808" s="568"/>
      <c r="X808" s="568"/>
      <c r="Y808" s="568"/>
      <c r="Z808" s="568"/>
    </row>
    <row r="809" spans="1:26" ht="18.75" hidden="1">
      <c r="A809" s="563"/>
      <c r="B809" s="723"/>
      <c r="C809" s="723"/>
      <c r="D809" s="580"/>
      <c r="E809" s="723" t="s">
        <v>184</v>
      </c>
      <c r="F809" s="723"/>
      <c r="G809" s="567"/>
      <c r="H809" s="165" t="s">
        <v>12</v>
      </c>
      <c r="I809" s="583"/>
      <c r="J809" s="583"/>
      <c r="K809" s="93"/>
      <c r="L809" s="93">
        <v>0</v>
      </c>
      <c r="M809" s="93">
        <v>0</v>
      </c>
      <c r="N809" s="93">
        <v>0</v>
      </c>
      <c r="O809" s="93">
        <f t="shared" si="327"/>
        <v>0</v>
      </c>
      <c r="P809" s="93">
        <f t="shared" si="328"/>
        <v>0</v>
      </c>
      <c r="Q809" s="568"/>
      <c r="R809" s="568"/>
      <c r="S809" s="568"/>
      <c r="T809" s="568"/>
      <c r="U809" s="568"/>
      <c r="V809" s="568"/>
      <c r="W809" s="568"/>
      <c r="X809" s="568"/>
      <c r="Y809" s="568"/>
      <c r="Z809" s="568"/>
    </row>
    <row r="810" spans="1:26" ht="18.75" hidden="1">
      <c r="A810" s="563"/>
      <c r="B810" s="723"/>
      <c r="C810" s="723"/>
      <c r="D810" s="580"/>
      <c r="E810" s="723" t="s">
        <v>185</v>
      </c>
      <c r="F810" s="723"/>
      <c r="G810" s="567"/>
      <c r="H810" s="165" t="s">
        <v>12</v>
      </c>
      <c r="I810" s="583"/>
      <c r="J810" s="583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7"/>
        <v>0</v>
      </c>
      <c r="P810" s="93">
        <f t="shared" si="328"/>
        <v>0</v>
      </c>
      <c r="Q810" s="568"/>
      <c r="R810" s="568"/>
      <c r="S810" s="568"/>
      <c r="T810" s="568"/>
      <c r="U810" s="568"/>
      <c r="V810" s="568"/>
      <c r="W810" s="568"/>
      <c r="X810" s="568"/>
      <c r="Y810" s="568"/>
      <c r="Z810" s="568"/>
    </row>
    <row r="811" spans="1:26" ht="18.75" hidden="1">
      <c r="A811" s="615"/>
      <c r="B811" s="571"/>
      <c r="C811" s="723"/>
      <c r="D811" s="571"/>
      <c r="E811" s="723"/>
      <c r="F811" s="723" t="s">
        <v>186</v>
      </c>
      <c r="G811" s="567"/>
      <c r="H811" s="165" t="s">
        <v>12</v>
      </c>
      <c r="I811" s="583"/>
      <c r="J811" s="583"/>
      <c r="K811" s="93"/>
      <c r="L811" s="93"/>
      <c r="M811" s="93"/>
      <c r="N811" s="93"/>
      <c r="O811" s="93"/>
      <c r="P811" s="93"/>
      <c r="Q811" s="568"/>
      <c r="R811" s="568"/>
      <c r="S811" s="568"/>
      <c r="T811" s="568"/>
      <c r="U811" s="568"/>
      <c r="V811" s="568"/>
      <c r="W811" s="568"/>
      <c r="X811" s="568"/>
      <c r="Y811" s="568"/>
      <c r="Z811" s="568"/>
    </row>
    <row r="812" spans="1:26" ht="18.75" hidden="1">
      <c r="A812" s="615"/>
      <c r="B812" s="571"/>
      <c r="C812" s="723"/>
      <c r="D812" s="571"/>
      <c r="E812" s="723"/>
      <c r="F812" s="723" t="s">
        <v>187</v>
      </c>
      <c r="G812" s="567"/>
      <c r="H812" s="165" t="s">
        <v>12</v>
      </c>
      <c r="I812" s="583"/>
      <c r="J812" s="583"/>
      <c r="K812" s="93"/>
      <c r="L812" s="93"/>
      <c r="M812" s="93"/>
      <c r="N812" s="93"/>
      <c r="O812" s="93"/>
      <c r="P812" s="93"/>
      <c r="Q812" s="568"/>
      <c r="R812" s="568"/>
      <c r="S812" s="568"/>
      <c r="T812" s="568"/>
      <c r="U812" s="568"/>
      <c r="V812" s="568"/>
      <c r="W812" s="568"/>
      <c r="X812" s="568"/>
      <c r="Y812" s="568"/>
      <c r="Z812" s="568"/>
    </row>
    <row r="813" spans="1:26" ht="18.75" hidden="1">
      <c r="A813" s="615"/>
      <c r="B813" s="571"/>
      <c r="C813" s="723"/>
      <c r="D813" s="571"/>
      <c r="E813" s="723"/>
      <c r="F813" s="723" t="s">
        <v>188</v>
      </c>
      <c r="G813" s="567"/>
      <c r="H813" s="165" t="s">
        <v>12</v>
      </c>
      <c r="I813" s="583"/>
      <c r="J813" s="583"/>
      <c r="K813" s="93"/>
      <c r="L813" s="93"/>
      <c r="M813" s="93"/>
      <c r="N813" s="93"/>
      <c r="O813" s="93"/>
      <c r="P813" s="93"/>
      <c r="Q813" s="568"/>
      <c r="R813" s="568"/>
      <c r="S813" s="568"/>
      <c r="T813" s="568"/>
      <c r="U813" s="568"/>
      <c r="V813" s="568"/>
      <c r="W813" s="568"/>
      <c r="X813" s="568"/>
      <c r="Y813" s="568"/>
      <c r="Z813" s="568"/>
    </row>
    <row r="814" spans="1:26" ht="18.75" hidden="1">
      <c r="A814" s="615"/>
      <c r="B814" s="571"/>
      <c r="C814" s="723"/>
      <c r="D814" s="571"/>
      <c r="E814" s="723"/>
      <c r="F814" s="723" t="s">
        <v>189</v>
      </c>
      <c r="G814" s="567"/>
      <c r="H814" s="165" t="s">
        <v>12</v>
      </c>
      <c r="I814" s="583"/>
      <c r="J814" s="583"/>
      <c r="K814" s="93"/>
      <c r="L814" s="93"/>
      <c r="M814" s="93"/>
      <c r="N814" s="93"/>
      <c r="O814" s="93"/>
      <c r="P814" s="93"/>
      <c r="Q814" s="568"/>
      <c r="R814" s="568"/>
      <c r="S814" s="568"/>
      <c r="T814" s="568"/>
      <c r="U814" s="568"/>
      <c r="V814" s="568"/>
      <c r="W814" s="568"/>
      <c r="X814" s="568"/>
      <c r="Y814" s="568"/>
      <c r="Z814" s="568"/>
    </row>
    <row r="815" spans="1:26" ht="19.5" hidden="1">
      <c r="A815" s="563"/>
      <c r="B815" s="571"/>
      <c r="C815" s="723"/>
      <c r="D815" s="857" t="s">
        <v>21</v>
      </c>
      <c r="E815" s="805"/>
      <c r="F815" s="805"/>
      <c r="G815" s="567"/>
      <c r="H815" s="747" t="s">
        <v>12</v>
      </c>
      <c r="I815" s="166"/>
      <c r="J815" s="166"/>
      <c r="K815" s="167"/>
      <c r="L815" s="613">
        <f t="shared" ref="L815:N815" si="331">L816+L817</f>
        <v>0</v>
      </c>
      <c r="M815" s="613">
        <f t="shared" si="331"/>
        <v>0</v>
      </c>
      <c r="N815" s="613">
        <f t="shared" si="331"/>
        <v>0</v>
      </c>
      <c r="O815" s="613">
        <f t="shared" ref="O815:O817" si="332">IF(L815&gt;0,N815*100/L815,0)</f>
        <v>0</v>
      </c>
      <c r="P815" s="613">
        <f t="shared" ref="P815:P817" si="333">IF(M815&gt;0,N815*100/M815,0)</f>
        <v>0</v>
      </c>
      <c r="Q815" s="568"/>
      <c r="R815" s="568"/>
      <c r="S815" s="568"/>
      <c r="T815" s="568"/>
      <c r="U815" s="568"/>
      <c r="V815" s="568"/>
      <c r="W815" s="568"/>
      <c r="X815" s="568"/>
      <c r="Y815" s="568"/>
      <c r="Z815" s="568"/>
    </row>
    <row r="816" spans="1:26" ht="18.75" hidden="1">
      <c r="A816" s="563"/>
      <c r="B816" s="571"/>
      <c r="C816" s="723"/>
      <c r="D816" s="571"/>
      <c r="E816" s="723" t="s">
        <v>18</v>
      </c>
      <c r="F816" s="723"/>
      <c r="G816" s="567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2"/>
        <v>0</v>
      </c>
      <c r="P816" s="93">
        <f t="shared" si="333"/>
        <v>0</v>
      </c>
      <c r="Q816" s="568"/>
      <c r="R816" s="568"/>
      <c r="S816" s="568"/>
      <c r="T816" s="568"/>
      <c r="U816" s="568"/>
      <c r="V816" s="568"/>
      <c r="W816" s="568"/>
      <c r="X816" s="568"/>
      <c r="Y816" s="568"/>
      <c r="Z816" s="568"/>
    </row>
    <row r="817" spans="1:26" ht="18.75" hidden="1">
      <c r="A817" s="563"/>
      <c r="B817" s="571"/>
      <c r="C817" s="723"/>
      <c r="D817" s="571"/>
      <c r="E817" s="723" t="s">
        <v>19</v>
      </c>
      <c r="F817" s="723"/>
      <c r="G817" s="567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2"/>
        <v>0</v>
      </c>
      <c r="P817" s="93">
        <f t="shared" si="333"/>
        <v>0</v>
      </c>
      <c r="Q817" s="568"/>
      <c r="R817" s="568"/>
      <c r="S817" s="568"/>
      <c r="T817" s="568"/>
      <c r="U817" s="568"/>
      <c r="V817" s="568"/>
      <c r="W817" s="568"/>
      <c r="X817" s="568"/>
      <c r="Y817" s="568"/>
      <c r="Z817" s="568"/>
    </row>
    <row r="818" spans="1:26" ht="19.5" hidden="1">
      <c r="A818" s="578"/>
      <c r="B818" s="580"/>
      <c r="C818" s="723" t="s">
        <v>16</v>
      </c>
      <c r="D818" s="858" t="s">
        <v>38</v>
      </c>
      <c r="E818" s="617"/>
      <c r="F818" s="617"/>
      <c r="G818" s="618"/>
      <c r="H818" s="581"/>
      <c r="I818" s="166"/>
      <c r="J818" s="166"/>
      <c r="K818" s="167"/>
      <c r="L818" s="167"/>
      <c r="M818" s="167"/>
      <c r="N818" s="167"/>
      <c r="O818" s="167"/>
      <c r="P818" s="167"/>
      <c r="Q818" s="568"/>
      <c r="R818" s="568"/>
      <c r="S818" s="568"/>
      <c r="T818" s="568"/>
      <c r="U818" s="568"/>
      <c r="V818" s="568"/>
      <c r="W818" s="568"/>
      <c r="X818" s="568"/>
      <c r="Y818" s="568"/>
      <c r="Z818" s="568"/>
    </row>
    <row r="819" spans="1:26" ht="19.5" hidden="1" thickBot="1">
      <c r="A819" s="777"/>
      <c r="B819" s="778"/>
      <c r="C819" s="780"/>
      <c r="D819" s="778"/>
      <c r="E819" s="780" t="s">
        <v>323</v>
      </c>
      <c r="F819" s="780"/>
      <c r="G819" s="781"/>
      <c r="H819" s="782" t="s">
        <v>46</v>
      </c>
      <c r="I819" s="783"/>
      <c r="J819" s="783"/>
      <c r="K819" s="784"/>
      <c r="L819" s="784"/>
      <c r="M819" s="784"/>
      <c r="N819" s="784"/>
      <c r="O819" s="784"/>
      <c r="P819" s="784"/>
      <c r="Q819" s="568"/>
      <c r="R819" s="568"/>
      <c r="S819" s="568"/>
      <c r="T819" s="568"/>
      <c r="U819" s="568"/>
      <c r="V819" s="568"/>
      <c r="W819" s="568"/>
      <c r="X819" s="568"/>
      <c r="Y819" s="568"/>
      <c r="Z819" s="568"/>
    </row>
    <row r="820" spans="1:26" ht="19.5">
      <c r="A820" s="785" t="s">
        <v>332</v>
      </c>
      <c r="B820" s="786"/>
      <c r="C820" s="786"/>
      <c r="D820" s="787"/>
      <c r="E820" s="786"/>
      <c r="F820" s="786"/>
      <c r="G820" s="788"/>
      <c r="H820" s="788"/>
      <c r="I820" s="214"/>
      <c r="J820" s="214"/>
      <c r="K820" s="789"/>
      <c r="L820" s="789"/>
      <c r="M820" s="789"/>
      <c r="N820" s="789"/>
      <c r="O820" s="789"/>
      <c r="P820" s="789"/>
      <c r="Q820" s="541"/>
      <c r="R820" s="541"/>
      <c r="S820" s="541"/>
      <c r="T820" s="541"/>
      <c r="U820" s="541"/>
      <c r="V820" s="541"/>
      <c r="W820" s="541"/>
      <c r="X820" s="541"/>
      <c r="Y820" s="541"/>
      <c r="Z820" s="541"/>
    </row>
    <row r="821" spans="1:26" ht="18.75">
      <c r="A821" s="708"/>
      <c r="B821" s="727" t="s">
        <v>325</v>
      </c>
      <c r="C821" s="727"/>
      <c r="D821" s="538"/>
      <c r="E821" s="727"/>
      <c r="F821" s="727"/>
      <c r="G821" s="189"/>
      <c r="H821" s="589" t="s">
        <v>12</v>
      </c>
      <c r="I821" s="269">
        <f ca="1">IFERROR(__xludf.DUMMYFUNCTION("IMPORTRANGE(""https://docs.google.com/spreadsheets/d/19vJNZY_5yjcGF2XGBMNZRCAIB0Kwfpjp8YEOfu-bneM/edit?usp=sharing"",""งานกองทุน!D14"")"),4991000)</f>
        <v>4991000</v>
      </c>
      <c r="J821" s="269">
        <f ca="1">IFERROR(__xludf.DUMMYFUNCTION("IMPORTRANGE(""https://docs.google.com/spreadsheets/d/19vJNZY_5yjcGF2XGBMNZRCAIB0Kwfpjp8YEOfu-bneM/edit?usp=sharing"",""งานกองทุน!F14"")"),0)</f>
        <v>0</v>
      </c>
      <c r="K821" s="465">
        <f t="shared" ref="K821:K828" ca="1" si="334">IF(I821&gt;0,J821*100/I821,0)</f>
        <v>0</v>
      </c>
      <c r="L821" s="465"/>
      <c r="M821" s="465"/>
      <c r="N821" s="465"/>
      <c r="O821" s="465"/>
      <c r="P821" s="465"/>
      <c r="Q821" s="541"/>
      <c r="R821" s="541"/>
      <c r="S821" s="541"/>
      <c r="T821" s="541"/>
      <c r="U821" s="541"/>
      <c r="V821" s="541"/>
      <c r="W821" s="541"/>
      <c r="X821" s="541"/>
      <c r="Y821" s="541"/>
      <c r="Z821" s="541"/>
    </row>
    <row r="822" spans="1:26" ht="18.75">
      <c r="A822" s="708"/>
      <c r="B822" s="727"/>
      <c r="C822" s="727"/>
      <c r="D822" s="538"/>
      <c r="E822" s="727"/>
      <c r="F822" s="727"/>
      <c r="G822" s="189"/>
      <c r="H822" s="589" t="s">
        <v>35</v>
      </c>
      <c r="I822" s="269">
        <f ca="1">IFERROR(__xludf.DUMMYFUNCTION("IMPORTRANGE(""https://docs.google.com/spreadsheets/d/19vJNZY_5yjcGF2XGBMNZRCAIB0Kwfpjp8YEOfu-bneM/edit?usp=sharing"",""งานกองทุน!C14"")"),166)</f>
        <v>166</v>
      </c>
      <c r="J822" s="269">
        <f ca="1">IFERROR(__xludf.DUMMYFUNCTION("IMPORTRANGE(""https://docs.google.com/spreadsheets/d/19vJNZY_5yjcGF2XGBMNZRCAIB0Kwfpjp8YEOfu-bneM/edit?usp=sharing"",""งานกองทุน!E14"")"),0)</f>
        <v>0</v>
      </c>
      <c r="K822" s="465">
        <f t="shared" ca="1" si="334"/>
        <v>0</v>
      </c>
      <c r="L822" s="465"/>
      <c r="M822" s="465"/>
      <c r="N822" s="465"/>
      <c r="O822" s="465"/>
      <c r="P822" s="465"/>
      <c r="Q822" s="541"/>
      <c r="R822" s="541"/>
      <c r="S822" s="541"/>
      <c r="T822" s="541"/>
      <c r="U822" s="541"/>
      <c r="V822" s="541"/>
      <c r="W822" s="541"/>
      <c r="X822" s="541"/>
      <c r="Y822" s="541"/>
      <c r="Z822" s="541"/>
    </row>
    <row r="823" spans="1:26" ht="18.75">
      <c r="A823" s="708"/>
      <c r="B823" s="727" t="s">
        <v>326</v>
      </c>
      <c r="C823" s="727"/>
      <c r="D823" s="538"/>
      <c r="E823" s="727"/>
      <c r="F823" s="727"/>
      <c r="G823" s="189"/>
      <c r="H823" s="589" t="s">
        <v>12</v>
      </c>
      <c r="I823" s="269">
        <f ca="1">IFERROR(__xludf.DUMMYFUNCTION("IMPORTRANGE(""https://docs.google.com/spreadsheets/d/19vJNZY_5yjcGF2XGBMNZRCAIB0Kwfpjp8YEOfu-bneM/edit?usp=sharing"",""งานกองทุน!I14"")"),4731042.35)</f>
        <v>4731042.3499999996</v>
      </c>
      <c r="J823" s="269">
        <f ca="1">IFERROR(__xludf.DUMMYFUNCTION("IMPORTRANGE(""https://docs.google.com/spreadsheets/d/19vJNZY_5yjcGF2XGBMNZRCAIB0Kwfpjp8YEOfu-bneM/edit?usp=sharing"",""งานกองทุน!K14"")"),36000)</f>
        <v>36000</v>
      </c>
      <c r="K823" s="465">
        <f t="shared" ca="1" si="334"/>
        <v>0.76093167925245908</v>
      </c>
      <c r="L823" s="465"/>
      <c r="M823" s="465"/>
      <c r="N823" s="465"/>
      <c r="O823" s="465"/>
      <c r="P823" s="465"/>
      <c r="Q823" s="541"/>
      <c r="R823" s="541"/>
      <c r="S823" s="541"/>
      <c r="T823" s="541"/>
      <c r="U823" s="541"/>
      <c r="V823" s="541"/>
      <c r="W823" s="541"/>
      <c r="X823" s="541"/>
      <c r="Y823" s="541"/>
      <c r="Z823" s="541"/>
    </row>
    <row r="824" spans="1:26" ht="18.75">
      <c r="A824" s="708"/>
      <c r="B824" s="727"/>
      <c r="C824" s="727"/>
      <c r="D824" s="538"/>
      <c r="E824" s="727"/>
      <c r="F824" s="727"/>
      <c r="G824" s="189"/>
      <c r="H824" s="589" t="s">
        <v>35</v>
      </c>
      <c r="I824" s="269">
        <f ca="1">IFERROR(__xludf.DUMMYFUNCTION("IMPORTRANGE(""https://docs.google.com/spreadsheets/d/19vJNZY_5yjcGF2XGBMNZRCAIB0Kwfpjp8YEOfu-bneM/edit?usp=sharing"",""งานกองทุน!H14"")"),130)</f>
        <v>130</v>
      </c>
      <c r="J824" s="269">
        <f ca="1">IFERROR(__xludf.DUMMYFUNCTION("IMPORTRANGE(""https://docs.google.com/spreadsheets/d/19vJNZY_5yjcGF2XGBMNZRCAIB0Kwfpjp8YEOfu-bneM/edit?usp=sharing"",""งานกองทุน!J14"")"),2)</f>
        <v>2</v>
      </c>
      <c r="K824" s="465">
        <f t="shared" ca="1" si="334"/>
        <v>1.5384615384615385</v>
      </c>
      <c r="L824" s="465"/>
      <c r="M824" s="465"/>
      <c r="N824" s="465"/>
      <c r="O824" s="465"/>
      <c r="P824" s="465"/>
      <c r="Q824" s="541"/>
      <c r="R824" s="541"/>
      <c r="S824" s="541"/>
      <c r="T824" s="541"/>
      <c r="U824" s="541"/>
      <c r="V824" s="541"/>
      <c r="W824" s="541"/>
      <c r="X824" s="541"/>
      <c r="Y824" s="541"/>
      <c r="Z824" s="541"/>
    </row>
    <row r="825" spans="1:26" ht="18.75">
      <c r="A825" s="708"/>
      <c r="B825" s="727" t="s">
        <v>327</v>
      </c>
      <c r="C825" s="727"/>
      <c r="D825" s="538"/>
      <c r="E825" s="727"/>
      <c r="F825" s="727"/>
      <c r="G825" s="189"/>
      <c r="H825" s="589" t="s">
        <v>12</v>
      </c>
      <c r="I825" s="269">
        <f ca="1">IFERROR(__xludf.DUMMYFUNCTION("IMPORTRANGE(""https://docs.google.com/spreadsheets/d/19vJNZY_5yjcGF2XGBMNZRCAIB0Kwfpjp8YEOfu-bneM/edit?usp=sharing"",""งานกองทุน!N14"")"),2398102.65)</f>
        <v>2398102.65</v>
      </c>
      <c r="J825" s="269">
        <f ca="1">IFERROR(__xludf.DUMMYFUNCTION("IMPORTRANGE(""https://docs.google.com/spreadsheets/d/19vJNZY_5yjcGF2XGBMNZRCAIB0Kwfpjp8YEOfu-bneM/edit?usp=sharing"",""งานกองทุน!P14"")"),24995.52)</f>
        <v>24995.52</v>
      </c>
      <c r="K825" s="465">
        <f t="shared" ca="1" si="334"/>
        <v>1.042304006461108</v>
      </c>
      <c r="L825" s="465"/>
      <c r="M825" s="465"/>
      <c r="N825" s="465"/>
      <c r="O825" s="465"/>
      <c r="P825" s="465"/>
      <c r="Q825" s="541"/>
      <c r="R825" s="541"/>
      <c r="S825" s="541"/>
      <c r="T825" s="541"/>
      <c r="U825" s="541"/>
      <c r="V825" s="541"/>
      <c r="W825" s="541"/>
      <c r="X825" s="541"/>
      <c r="Y825" s="541"/>
      <c r="Z825" s="541"/>
    </row>
    <row r="826" spans="1:26" ht="18.75">
      <c r="A826" s="708"/>
      <c r="B826" s="727"/>
      <c r="C826" s="727"/>
      <c r="D826" s="538"/>
      <c r="E826" s="727"/>
      <c r="F826" s="727"/>
      <c r="G826" s="189"/>
      <c r="H826" s="589" t="s">
        <v>35</v>
      </c>
      <c r="I826" s="269">
        <f ca="1">IFERROR(__xludf.DUMMYFUNCTION("IMPORTRANGE(""https://docs.google.com/spreadsheets/d/19vJNZY_5yjcGF2XGBMNZRCAIB0Kwfpjp8YEOfu-bneM/edit?usp=sharing"",""งานกองทุน!M14"")"),276)</f>
        <v>276</v>
      </c>
      <c r="J826" s="269">
        <f ca="1">IFERROR(__xludf.DUMMYFUNCTION("IMPORTRANGE(""https://docs.google.com/spreadsheets/d/19vJNZY_5yjcGF2XGBMNZRCAIB0Kwfpjp8YEOfu-bneM/edit?usp=sharing"",""งานกองทุน!O14"")"),5)</f>
        <v>5</v>
      </c>
      <c r="K826" s="465">
        <f t="shared" ca="1" si="334"/>
        <v>1.8115942028985508</v>
      </c>
      <c r="L826" s="465"/>
      <c r="M826" s="465"/>
      <c r="N826" s="465"/>
      <c r="O826" s="465"/>
      <c r="P826" s="465"/>
      <c r="Q826" s="541"/>
      <c r="R826" s="541"/>
      <c r="S826" s="541"/>
      <c r="T826" s="541"/>
      <c r="U826" s="541"/>
      <c r="V826" s="541"/>
      <c r="W826" s="541"/>
      <c r="X826" s="541"/>
      <c r="Y826" s="541"/>
      <c r="Z826" s="541"/>
    </row>
    <row r="827" spans="1:26" ht="18.75">
      <c r="A827" s="708"/>
      <c r="B827" s="727" t="s">
        <v>328</v>
      </c>
      <c r="C827" s="727"/>
      <c r="D827" s="538"/>
      <c r="E827" s="727"/>
      <c r="F827" s="727"/>
      <c r="G827" s="189"/>
      <c r="H827" s="589" t="s">
        <v>12</v>
      </c>
      <c r="I827" s="269">
        <f ca="1">IFERROR(__xludf.DUMMYFUNCTION("IMPORTRANGE(""https://docs.google.com/spreadsheets/d/19vJNZY_5yjcGF2XGBMNZRCAIB0Kwfpjp8YEOfu-bneM/edit?usp=sharing"",""งานกองทุน!S14"")"),5000000)</f>
        <v>5000000</v>
      </c>
      <c r="J827" s="269">
        <f ca="1">IFERROR(__xludf.DUMMYFUNCTION("IMPORTRANGE(""https://docs.google.com/spreadsheets/d/19vJNZY_5yjcGF2XGBMNZRCAIB0Kwfpjp8YEOfu-bneM/edit?usp=sharing"",""งานกองทุน!U14"")"),0)</f>
        <v>0</v>
      </c>
      <c r="K827" s="465">
        <f t="shared" ca="1" si="334"/>
        <v>0</v>
      </c>
      <c r="L827" s="465"/>
      <c r="M827" s="465"/>
      <c r="N827" s="465"/>
      <c r="O827" s="465"/>
      <c r="P827" s="465"/>
      <c r="Q827" s="541"/>
      <c r="R827" s="541"/>
      <c r="S827" s="541"/>
      <c r="T827" s="541"/>
      <c r="U827" s="541"/>
      <c r="V827" s="541"/>
      <c r="W827" s="541"/>
      <c r="X827" s="541"/>
      <c r="Y827" s="541"/>
      <c r="Z827" s="541"/>
    </row>
    <row r="828" spans="1:26" ht="18.75">
      <c r="A828" s="711"/>
      <c r="B828" s="713"/>
      <c r="C828" s="713"/>
      <c r="D828" s="712"/>
      <c r="E828" s="713"/>
      <c r="F828" s="713"/>
      <c r="G828" s="790"/>
      <c r="H828" s="791" t="s">
        <v>35</v>
      </c>
      <c r="I828" s="468">
        <f ca="1">IFERROR(__xludf.DUMMYFUNCTION("IMPORTRANGE(""https://docs.google.com/spreadsheets/d/19vJNZY_5yjcGF2XGBMNZRCAIB0Kwfpjp8YEOfu-bneM/edit?usp=sharing"",""งานกองทุน!R14"")"),188)</f>
        <v>188</v>
      </c>
      <c r="J828" s="468">
        <f ca="1">IFERROR(__xludf.DUMMYFUNCTION("IMPORTRANGE(""https://docs.google.com/spreadsheets/d/19vJNZY_5yjcGF2XGBMNZRCAIB0Kwfpjp8YEOfu-bneM/edit?usp=sharing"",""งานกองทุน!T14"")"),1)</f>
        <v>1</v>
      </c>
      <c r="K828" s="469">
        <f t="shared" ca="1" si="334"/>
        <v>0.53191489361702127</v>
      </c>
      <c r="L828" s="469"/>
      <c r="M828" s="469"/>
      <c r="N828" s="469"/>
      <c r="O828" s="469"/>
      <c r="P828" s="469"/>
      <c r="Q828" s="541"/>
      <c r="R828" s="541"/>
      <c r="S828" s="541"/>
      <c r="T828" s="541"/>
      <c r="U828" s="541"/>
      <c r="V828" s="541"/>
      <c r="W828" s="541"/>
      <c r="X828" s="541"/>
      <c r="Y828" s="541"/>
      <c r="Z828" s="541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2" fitToHeight="0" pageOrder="overThenDown" orientation="portrait" cellComments="atEnd" r:id="rId1"/>
  <headerFooter>
    <oddFooter>&amp;Cหน้า &amp;P/&amp;N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7B1E90-4D88-4016-AD64-3D0F16A6FF89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activeCell="S28" sqref="S28"/>
      <selection pane="bottomLeft" activeCell="S28" sqref="S28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9" width="16.85546875" bestFit="1" customWidth="1"/>
    <col min="10" max="10" width="12.5703125" bestFit="1" customWidth="1"/>
    <col min="11" max="11" width="12.5703125" customWidth="1"/>
    <col min="12" max="14" width="21.28515625" bestFit="1" customWidth="1"/>
    <col min="15" max="15" width="20.140625" bestFit="1" customWidth="1"/>
    <col min="16" max="16" width="22" bestFit="1" customWidth="1"/>
  </cols>
  <sheetData>
    <row r="1" spans="1:26" ht="19.5">
      <c r="A1" s="792" t="s">
        <v>0</v>
      </c>
      <c r="B1" s="793"/>
      <c r="C1" s="793"/>
      <c r="D1" s="793"/>
      <c r="E1" s="793"/>
      <c r="F1" s="793"/>
      <c r="G1" s="793"/>
      <c r="H1" s="793"/>
      <c r="I1" s="793"/>
      <c r="J1" s="793"/>
      <c r="K1" s="793"/>
      <c r="L1" s="793"/>
      <c r="M1" s="793"/>
      <c r="N1" s="793"/>
      <c r="O1" s="793"/>
      <c r="P1" s="793"/>
    </row>
    <row r="2" spans="1:26" ht="19.5">
      <c r="A2" s="792" t="s">
        <v>333</v>
      </c>
      <c r="B2" s="793"/>
      <c r="C2" s="793"/>
      <c r="D2" s="793"/>
      <c r="E2" s="793"/>
      <c r="F2" s="793"/>
      <c r="G2" s="793"/>
      <c r="H2" s="793"/>
      <c r="I2" s="793"/>
      <c r="J2" s="793"/>
      <c r="K2" s="793"/>
      <c r="L2" s="793"/>
      <c r="M2" s="793"/>
      <c r="N2" s="793"/>
      <c r="O2" s="793"/>
      <c r="P2" s="793"/>
    </row>
    <row r="3" spans="1:26" ht="19.5">
      <c r="A3" s="792" t="s">
        <v>355</v>
      </c>
      <c r="B3" s="793"/>
      <c r="C3" s="793"/>
      <c r="D3" s="793"/>
      <c r="E3" s="793"/>
      <c r="F3" s="793"/>
      <c r="G3" s="793"/>
      <c r="H3" s="793"/>
      <c r="I3" s="793"/>
      <c r="J3" s="793"/>
      <c r="K3" s="793"/>
      <c r="L3" s="793"/>
      <c r="M3" s="793"/>
      <c r="N3" s="793"/>
      <c r="O3" s="793"/>
      <c r="P3" s="793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00" t="s">
        <v>2</v>
      </c>
      <c r="B5" s="793"/>
      <c r="C5" s="793"/>
      <c r="D5" s="793"/>
      <c r="E5" s="793"/>
      <c r="F5" s="793"/>
      <c r="G5" s="801"/>
      <c r="H5" s="794" t="s">
        <v>3</v>
      </c>
      <c r="I5" s="796" t="s">
        <v>4</v>
      </c>
      <c r="J5" s="797"/>
      <c r="K5" s="795"/>
      <c r="L5" s="798" t="s">
        <v>5</v>
      </c>
      <c r="M5" s="795"/>
      <c r="N5" s="799" t="s">
        <v>6</v>
      </c>
      <c r="O5" s="797"/>
      <c r="P5" s="795"/>
    </row>
    <row r="6" spans="1:26" ht="19.5">
      <c r="A6" s="802"/>
      <c r="B6" s="797"/>
      <c r="C6" s="797"/>
      <c r="D6" s="797"/>
      <c r="E6" s="797"/>
      <c r="F6" s="797"/>
      <c r="G6" s="795"/>
      <c r="H6" s="795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03" t="s">
        <v>15</v>
      </c>
      <c r="B7" s="797"/>
      <c r="C7" s="797"/>
      <c r="D7" s="797"/>
      <c r="E7" s="797"/>
      <c r="F7" s="797"/>
      <c r="G7" s="795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7630132</v>
      </c>
      <c r="M8" s="22">
        <f t="shared" ca="1" si="0"/>
        <v>2940122</v>
      </c>
      <c r="N8" s="22">
        <f t="shared" ca="1" si="0"/>
        <v>1334268.29</v>
      </c>
      <c r="O8" s="22">
        <f t="shared" ref="O8:O16" ca="1" si="1">IF(L8&gt;0,N8*100/L8,0)</f>
        <v>17.486831027300706</v>
      </c>
      <c r="P8" s="22">
        <f t="shared" ref="P8:P16" ca="1" si="2">IF(M8&gt;0,N8*100/M8,0)</f>
        <v>45.381391996658643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7630132</v>
      </c>
      <c r="M10" s="30">
        <f t="shared" ca="1" si="3"/>
        <v>2940122</v>
      </c>
      <c r="N10" s="30">
        <f t="shared" ca="1" si="3"/>
        <v>1334268.29</v>
      </c>
      <c r="O10" s="30">
        <f t="shared" ca="1" si="1"/>
        <v>17.486831027300706</v>
      </c>
      <c r="P10" s="30">
        <f t="shared" ca="1" si="2"/>
        <v>45.381391996658643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589" t="s">
        <v>12</v>
      </c>
      <c r="I11" s="269"/>
      <c r="J11" s="269"/>
      <c r="K11" s="465"/>
      <c r="L11" s="465">
        <f t="shared" ref="L11:N11" ca="1" si="4">L12+L13</f>
        <v>7202632</v>
      </c>
      <c r="M11" s="465">
        <f t="shared" ca="1" si="4"/>
        <v>2512622</v>
      </c>
      <c r="N11" s="465">
        <f t="shared" ca="1" si="4"/>
        <v>906768.29</v>
      </c>
      <c r="O11" s="465">
        <f t="shared" ca="1" si="1"/>
        <v>12.589401901971391</v>
      </c>
      <c r="P11" s="465">
        <f t="shared" ca="1" si="2"/>
        <v>36.088527840638186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2" t="s">
        <v>18</v>
      </c>
      <c r="F12" s="40"/>
      <c r="G12" s="42"/>
      <c r="H12" s="43" t="s">
        <v>12</v>
      </c>
      <c r="I12" s="583"/>
      <c r="J12" s="583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2" t="s">
        <v>19</v>
      </c>
      <c r="F13" s="40"/>
      <c r="G13" s="42"/>
      <c r="H13" s="43" t="s">
        <v>12</v>
      </c>
      <c r="I13" s="583"/>
      <c r="J13" s="583"/>
      <c r="K13" s="93"/>
      <c r="L13" s="93">
        <f t="shared" ca="1" si="5"/>
        <v>7202632</v>
      </c>
      <c r="M13" s="93">
        <f t="shared" ca="1" si="5"/>
        <v>2512622</v>
      </c>
      <c r="N13" s="93">
        <f t="shared" ca="1" si="5"/>
        <v>906768.29</v>
      </c>
      <c r="O13" s="93">
        <f t="shared" ca="1" si="1"/>
        <v>12.589401901971391</v>
      </c>
      <c r="P13" s="93">
        <f t="shared" ca="1" si="2"/>
        <v>36.088527840638186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589" t="s">
        <v>12</v>
      </c>
      <c r="I14" s="269"/>
      <c r="J14" s="269"/>
      <c r="K14" s="465"/>
      <c r="L14" s="465">
        <f t="shared" ref="L14:N14" ca="1" si="6">L15+L16</f>
        <v>427500</v>
      </c>
      <c r="M14" s="465">
        <f t="shared" ca="1" si="6"/>
        <v>427500</v>
      </c>
      <c r="N14" s="465">
        <f t="shared" ca="1" si="6"/>
        <v>427500</v>
      </c>
      <c r="O14" s="465">
        <f t="shared" ca="1" si="1"/>
        <v>100</v>
      </c>
      <c r="P14" s="465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2" t="s">
        <v>18</v>
      </c>
      <c r="F15" s="40"/>
      <c r="G15" s="42"/>
      <c r="H15" s="43" t="s">
        <v>12</v>
      </c>
      <c r="I15" s="583"/>
      <c r="J15" s="583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427500</v>
      </c>
      <c r="M16" s="52">
        <f t="shared" ca="1" si="7"/>
        <v>427500</v>
      </c>
      <c r="N16" s="52">
        <f t="shared" ca="1" si="7"/>
        <v>427500</v>
      </c>
      <c r="O16" s="52">
        <f t="shared" ca="1" si="1"/>
        <v>100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03" t="s">
        <v>22</v>
      </c>
      <c r="B17" s="797"/>
      <c r="C17" s="797"/>
      <c r="D17" s="797"/>
      <c r="E17" s="797"/>
      <c r="F17" s="797"/>
      <c r="G17" s="795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5405027</v>
      </c>
      <c r="M18" s="22">
        <f t="shared" ca="1" si="8"/>
        <v>2940122</v>
      </c>
      <c r="N18" s="22">
        <f t="shared" ca="1" si="8"/>
        <v>1334268.29</v>
      </c>
      <c r="O18" s="22">
        <f t="shared" ref="O18:O26" ca="1" si="9">IF(L18&gt;0,N18*100/L18,0)</f>
        <v>24.685691486832535</v>
      </c>
      <c r="P18" s="22">
        <f t="shared" ref="P18:P26" ca="1" si="10">IF(M18&gt;0,N18*100/M18,0)</f>
        <v>45.381391996658643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5405027</v>
      </c>
      <c r="M20" s="30">
        <f t="shared" ca="1" si="11"/>
        <v>2940122</v>
      </c>
      <c r="N20" s="30">
        <f t="shared" ca="1" si="11"/>
        <v>1334268.29</v>
      </c>
      <c r="O20" s="30">
        <f t="shared" ca="1" si="9"/>
        <v>24.685691486832535</v>
      </c>
      <c r="P20" s="30">
        <f t="shared" ca="1" si="10"/>
        <v>45.381391996658643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589" t="s">
        <v>12</v>
      </c>
      <c r="I21" s="269"/>
      <c r="J21" s="269"/>
      <c r="K21" s="465"/>
      <c r="L21" s="465">
        <f t="shared" ref="L21:N21" ca="1" si="12">L22+L23</f>
        <v>4977527</v>
      </c>
      <c r="M21" s="465">
        <f t="shared" ca="1" si="12"/>
        <v>2512622</v>
      </c>
      <c r="N21" s="465">
        <f t="shared" ca="1" si="12"/>
        <v>906768.29</v>
      </c>
      <c r="O21" s="465">
        <f t="shared" ca="1" si="9"/>
        <v>18.217245029509634</v>
      </c>
      <c r="P21" s="465">
        <f t="shared" ca="1" si="10"/>
        <v>36.088527840638186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2" t="s">
        <v>18</v>
      </c>
      <c r="F22" s="40"/>
      <c r="G22" s="42"/>
      <c r="H22" s="43" t="s">
        <v>12</v>
      </c>
      <c r="I22" s="583"/>
      <c r="J22" s="583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2" t="s">
        <v>19</v>
      </c>
      <c r="F23" s="40"/>
      <c r="G23" s="42"/>
      <c r="H23" s="43" t="s">
        <v>12</v>
      </c>
      <c r="I23" s="583"/>
      <c r="J23" s="583"/>
      <c r="K23" s="93"/>
      <c r="L23" s="93">
        <f t="shared" ca="1" si="13"/>
        <v>4977527</v>
      </c>
      <c r="M23" s="93">
        <f t="shared" ca="1" si="13"/>
        <v>2512622</v>
      </c>
      <c r="N23" s="93">
        <f t="shared" ca="1" si="13"/>
        <v>906768.29</v>
      </c>
      <c r="O23" s="93">
        <f t="shared" ca="1" si="9"/>
        <v>18.217245029509634</v>
      </c>
      <c r="P23" s="93">
        <f t="shared" ca="1" si="10"/>
        <v>36.088527840638186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589" t="s">
        <v>12</v>
      </c>
      <c r="I24" s="269"/>
      <c r="J24" s="269"/>
      <c r="K24" s="465"/>
      <c r="L24" s="465">
        <f t="shared" ref="L24:N24" ca="1" si="14">L25+L26</f>
        <v>427500</v>
      </c>
      <c r="M24" s="465">
        <f t="shared" ca="1" si="14"/>
        <v>427500</v>
      </c>
      <c r="N24" s="465">
        <f t="shared" ca="1" si="14"/>
        <v>427500</v>
      </c>
      <c r="O24" s="465">
        <f t="shared" ca="1" si="9"/>
        <v>100</v>
      </c>
      <c r="P24" s="465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2" t="s">
        <v>18</v>
      </c>
      <c r="F25" s="40"/>
      <c r="G25" s="42"/>
      <c r="H25" s="43" t="s">
        <v>12</v>
      </c>
      <c r="I25" s="583"/>
      <c r="J25" s="583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427500</v>
      </c>
      <c r="M26" s="52">
        <f t="shared" ca="1" si="15"/>
        <v>427500</v>
      </c>
      <c r="N26" s="52">
        <f t="shared" ca="1" si="15"/>
        <v>427500</v>
      </c>
      <c r="O26" s="52">
        <f t="shared" ca="1" si="9"/>
        <v>100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03" t="s">
        <v>23</v>
      </c>
      <c r="B27" s="797"/>
      <c r="C27" s="797"/>
      <c r="D27" s="797"/>
      <c r="E27" s="797"/>
      <c r="F27" s="797"/>
      <c r="G27" s="795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2225105</v>
      </c>
      <c r="M28" s="22">
        <f t="shared" si="16"/>
        <v>0</v>
      </c>
      <c r="N28" s="22">
        <f t="shared" si="16"/>
        <v>0</v>
      </c>
      <c r="O28" s="22">
        <f t="shared" ref="O28:O37" ca="1" si="17">IF(L28&gt;0,N28*100/L28,0)</f>
        <v>0</v>
      </c>
      <c r="P28" s="22">
        <f t="shared" ref="P28:P37" si="18">IF(M28&gt;0,N28*100/M28,0)</f>
        <v>0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2225105</v>
      </c>
      <c r="M30" s="30">
        <f t="shared" si="19"/>
        <v>0</v>
      </c>
      <c r="N30" s="30">
        <f t="shared" si="19"/>
        <v>0</v>
      </c>
      <c r="O30" s="30">
        <f t="shared" ca="1" si="17"/>
        <v>0</v>
      </c>
      <c r="P30" s="30">
        <f t="shared" si="18"/>
        <v>0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589" t="s">
        <v>12</v>
      </c>
      <c r="I31" s="269"/>
      <c r="J31" s="269"/>
      <c r="K31" s="465"/>
      <c r="L31" s="465">
        <f t="shared" ref="L31:N31" ca="1" si="20">L32+L33</f>
        <v>2225105</v>
      </c>
      <c r="M31" s="465">
        <f t="shared" si="20"/>
        <v>0</v>
      </c>
      <c r="N31" s="465">
        <f t="shared" si="20"/>
        <v>0</v>
      </c>
      <c r="O31" s="465">
        <f t="shared" ca="1" si="17"/>
        <v>0</v>
      </c>
      <c r="P31" s="465">
        <f t="shared" si="18"/>
        <v>0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2" t="s">
        <v>18</v>
      </c>
      <c r="F32" s="40"/>
      <c r="G32" s="42"/>
      <c r="H32" s="43" t="s">
        <v>12</v>
      </c>
      <c r="I32" s="583"/>
      <c r="J32" s="583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2" t="s">
        <v>19</v>
      </c>
      <c r="F33" s="40"/>
      <c r="G33" s="42"/>
      <c r="H33" s="43" t="s">
        <v>12</v>
      </c>
      <c r="I33" s="583"/>
      <c r="J33" s="583"/>
      <c r="K33" s="93"/>
      <c r="L33" s="93">
        <f t="shared" ca="1" si="21"/>
        <v>2225105</v>
      </c>
      <c r="M33" s="93">
        <f t="shared" si="21"/>
        <v>0</v>
      </c>
      <c r="N33" s="93">
        <f t="shared" si="21"/>
        <v>0</v>
      </c>
      <c r="O33" s="93">
        <f t="shared" ca="1" si="17"/>
        <v>0</v>
      </c>
      <c r="P33" s="93">
        <f t="shared" si="18"/>
        <v>0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589" t="s">
        <v>12</v>
      </c>
      <c r="I34" s="269"/>
      <c r="J34" s="269"/>
      <c r="K34" s="465"/>
      <c r="L34" s="465">
        <f t="shared" ref="L34:N34" ca="1" si="22">L35+L36</f>
        <v>0</v>
      </c>
      <c r="M34" s="465">
        <f t="shared" si="22"/>
        <v>0</v>
      </c>
      <c r="N34" s="465">
        <f t="shared" si="22"/>
        <v>0</v>
      </c>
      <c r="O34" s="465">
        <f t="shared" ca="1" si="17"/>
        <v>0</v>
      </c>
      <c r="P34" s="465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2" t="s">
        <v>18</v>
      </c>
      <c r="F35" s="40"/>
      <c r="G35" s="42"/>
      <c r="H35" s="43" t="s">
        <v>12</v>
      </c>
      <c r="I35" s="583"/>
      <c r="J35" s="583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53" t="s">
        <v>24</v>
      </c>
      <c r="B37" s="54"/>
      <c r="C37" s="54"/>
      <c r="D37" s="54"/>
      <c r="E37" s="54"/>
      <c r="F37" s="54"/>
      <c r="G37" s="55"/>
      <c r="H37" s="56"/>
      <c r="I37" s="392"/>
      <c r="J37" s="392"/>
      <c r="K37" s="58"/>
      <c r="L37" s="59">
        <f t="shared" ref="L37:N37" ca="1" si="24">L41+L53+L66+L88+L119+L132+L149+L165+L181+L261+L277+L298+L315+L328+L345+L389+L402</f>
        <v>5405027</v>
      </c>
      <c r="M37" s="59">
        <f t="shared" ca="1" si="24"/>
        <v>2940122</v>
      </c>
      <c r="N37" s="59">
        <f t="shared" ca="1" si="24"/>
        <v>1334268.29</v>
      </c>
      <c r="O37" s="59">
        <f t="shared" ca="1" si="17"/>
        <v>24.685691486832535</v>
      </c>
      <c r="P37" s="59">
        <f t="shared" ca="1" si="18"/>
        <v>45.381391996658643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04" t="s">
        <v>27</v>
      </c>
      <c r="C40" s="805"/>
      <c r="D40" s="805"/>
      <c r="E40" s="805"/>
      <c r="F40" s="805"/>
      <c r="G40" s="806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15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705292</v>
      </c>
      <c r="M41" s="85">
        <f t="shared" ca="1" si="25"/>
        <v>355292</v>
      </c>
      <c r="N41" s="85">
        <f t="shared" ca="1" si="25"/>
        <v>160527.48000000001</v>
      </c>
      <c r="O41" s="85">
        <f t="shared" ref="O41:O49" ca="1" si="26">IF(L41&gt;0,N41*100/L41,0)</f>
        <v>22.76042830487231</v>
      </c>
      <c r="P41" s="85">
        <f t="shared" ref="P41:P49" ca="1" si="27">IF(M41&gt;0,N41*100/M41,0)</f>
        <v>45.181844792452409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705292</v>
      </c>
      <c r="M43" s="92">
        <f t="shared" ca="1" si="28"/>
        <v>355292</v>
      </c>
      <c r="N43" s="92">
        <f t="shared" ca="1" si="28"/>
        <v>160527.48000000001</v>
      </c>
      <c r="O43" s="92">
        <f t="shared" ca="1" si="26"/>
        <v>22.76042830487231</v>
      </c>
      <c r="P43" s="92">
        <f t="shared" ca="1" si="27"/>
        <v>45.181844792452409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589" t="s">
        <v>12</v>
      </c>
      <c r="I44" s="269"/>
      <c r="J44" s="269"/>
      <c r="K44" s="465"/>
      <c r="L44" s="465">
        <f t="shared" ref="L44:N44" ca="1" si="29">L45+L46</f>
        <v>705292</v>
      </c>
      <c r="M44" s="465">
        <f t="shared" ca="1" si="29"/>
        <v>355292</v>
      </c>
      <c r="N44" s="465">
        <f t="shared" ca="1" si="29"/>
        <v>160527.48000000001</v>
      </c>
      <c r="O44" s="465">
        <f t="shared" ca="1" si="26"/>
        <v>22.76042830487231</v>
      </c>
      <c r="P44" s="465">
        <f t="shared" ca="1" si="27"/>
        <v>45.181844792452409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2" t="s">
        <v>18</v>
      </c>
      <c r="F45" s="40"/>
      <c r="G45" s="42"/>
      <c r="H45" s="43" t="s">
        <v>12</v>
      </c>
      <c r="I45" s="583"/>
      <c r="J45" s="583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2" t="s">
        <v>19</v>
      </c>
      <c r="F46" s="40"/>
      <c r="G46" s="42"/>
      <c r="H46" s="43" t="s">
        <v>12</v>
      </c>
      <c r="I46" s="583"/>
      <c r="J46" s="583"/>
      <c r="K46" s="93"/>
      <c r="L46" s="93">
        <f ca="1">IFERROR(__xludf.DUMMYFUNCTION("IMPORTRANGE(""https://docs.google.com/spreadsheets/d/1MeEWN-I1oV_STSDYn1IFDPWt_1FKiwhDph83XaGc0o0/edit?usp=sharing"",""งบพรบ!M15"")"),705292)</f>
        <v>705292</v>
      </c>
      <c r="M46" s="93">
        <f ca="1">IFERROR(__xludf.DUMMYFUNCTION("IMPORTRANGE(""https://docs.google.com/spreadsheets/d/1MeEWN-I1oV_STSDYn1IFDPWt_1FKiwhDph83XaGc0o0/edit?usp=sharing"",""งบพรบ!R15"")"),355292)</f>
        <v>355292</v>
      </c>
      <c r="N46" s="93">
        <f ca="1">IFERROR(__xludf.DUMMYFUNCTION("IMPORTRANGE(""https://docs.google.com/spreadsheets/d/1MeEWN-I1oV_STSDYn1IFDPWt_1FKiwhDph83XaGc0o0/edit?usp=sharing"",""งบพรบ!T15"")"),160527.48)</f>
        <v>160527.48000000001</v>
      </c>
      <c r="O46" s="93">
        <f t="shared" ca="1" si="26"/>
        <v>22.76042830487231</v>
      </c>
      <c r="P46" s="93">
        <f t="shared" ca="1" si="27"/>
        <v>45.181844792452409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589" t="s">
        <v>12</v>
      </c>
      <c r="I47" s="269"/>
      <c r="J47" s="269"/>
      <c r="K47" s="465"/>
      <c r="L47" s="465">
        <f t="shared" ref="L47:N47" ca="1" si="30">L48+L49</f>
        <v>0</v>
      </c>
      <c r="M47" s="465">
        <f t="shared" ca="1" si="30"/>
        <v>0</v>
      </c>
      <c r="N47" s="465">
        <f t="shared" ca="1" si="30"/>
        <v>0</v>
      </c>
      <c r="O47" s="465">
        <f t="shared" ca="1" si="26"/>
        <v>0</v>
      </c>
      <c r="P47" s="465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2" t="s">
        <v>18</v>
      </c>
      <c r="F48" s="40"/>
      <c r="G48" s="42"/>
      <c r="H48" s="43" t="s">
        <v>12</v>
      </c>
      <c r="I48" s="583"/>
      <c r="J48" s="583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IFERROR(__xludf.DUMMYFUNCTION("IMPORTRANGE(""https://docs.google.com/spreadsheets/d/1MeEWN-I1oV_STSDYn1IFDPWt_1FKiwhDph83XaGc0o0/edit?usp=sharing"",""งบพรบ!P15"")"),0)</f>
        <v>0</v>
      </c>
      <c r="M49" s="52">
        <f ca="1">IFERROR(__xludf.DUMMYFUNCTION("IMPORTRANGE(""https://docs.google.com/spreadsheets/d/1MeEWN-I1oV_STSDYn1IFDPWt_1FKiwhDph83XaGc0o0/edit?usp=sharing"",""งบพรบ!S15"")"),0)</f>
        <v>0</v>
      </c>
      <c r="N49" s="52">
        <f ca="1">IFERROR(__xludf.DUMMYFUNCTION("IMPORTRANGE(""https://docs.google.com/spreadsheets/d/1MeEWN-I1oV_STSDYn1IFDPWt_1FKiwhDph83XaGc0o0/edit?usp=sharing"",""งบพรบ!U15"")"),0)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07" t="s">
        <v>28</v>
      </c>
      <c r="B50" s="797"/>
      <c r="C50" s="797"/>
      <c r="D50" s="797"/>
      <c r="E50" s="797"/>
      <c r="F50" s="797"/>
      <c r="G50" s="795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08" t="s">
        <v>29</v>
      </c>
      <c r="C51" s="805"/>
      <c r="D51" s="805"/>
      <c r="E51" s="805"/>
      <c r="F51" s="805"/>
      <c r="G51" s="806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16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779100</v>
      </c>
      <c r="M53" s="116">
        <f t="shared" ca="1" si="31"/>
        <v>404500</v>
      </c>
      <c r="N53" s="116">
        <f t="shared" ca="1" si="31"/>
        <v>242462.6</v>
      </c>
      <c r="O53" s="116">
        <f t="shared" ref="O53:O61" ca="1" si="32">IF(L53&gt;0,N53*100/L53,0)</f>
        <v>31.120857399563597</v>
      </c>
      <c r="P53" s="116">
        <f t="shared" ref="P53:P61" ca="1" si="33">IF(M53&gt;0,N53*100/M53,0)</f>
        <v>59.94131025957973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779100</v>
      </c>
      <c r="M55" s="123">
        <f t="shared" ca="1" si="34"/>
        <v>404500</v>
      </c>
      <c r="N55" s="123">
        <f t="shared" ca="1" si="34"/>
        <v>242462.6</v>
      </c>
      <c r="O55" s="123">
        <f t="shared" ca="1" si="32"/>
        <v>31.120857399563597</v>
      </c>
      <c r="P55" s="123">
        <f t="shared" ca="1" si="33"/>
        <v>59.94131025957973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589" t="s">
        <v>12</v>
      </c>
      <c r="I56" s="269"/>
      <c r="J56" s="269"/>
      <c r="K56" s="465"/>
      <c r="L56" s="465">
        <f t="shared" ref="L56:N56" ca="1" si="35">L57+L58</f>
        <v>749200</v>
      </c>
      <c r="M56" s="465">
        <f t="shared" ca="1" si="35"/>
        <v>374600</v>
      </c>
      <c r="N56" s="465">
        <f t="shared" ca="1" si="35"/>
        <v>212562.6</v>
      </c>
      <c r="O56" s="465">
        <f t="shared" ca="1" si="32"/>
        <v>28.371943406300055</v>
      </c>
      <c r="P56" s="465">
        <f t="shared" ca="1" si="33"/>
        <v>56.74388681260011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2" t="s">
        <v>18</v>
      </c>
      <c r="F57" s="40"/>
      <c r="G57" s="42"/>
      <c r="H57" s="43" t="s">
        <v>12</v>
      </c>
      <c r="I57" s="583"/>
      <c r="J57" s="583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2" t="s">
        <v>19</v>
      </c>
      <c r="F58" s="40"/>
      <c r="G58" s="42"/>
      <c r="H58" s="43" t="s">
        <v>12</v>
      </c>
      <c r="I58" s="583"/>
      <c r="J58" s="583"/>
      <c r="K58" s="93"/>
      <c r="L58" s="93">
        <f ca="1">IFERROR(__xludf.DUMMYFUNCTION("IMPORTRANGE(""https://docs.google.com/spreadsheets/d/1MeEWN-I1oV_STSDYn1IFDPWt_1FKiwhDph83XaGc0o0/edit?usp=sharing"",""งบพรบ!W15"")"),749200)</f>
        <v>749200</v>
      </c>
      <c r="M58" s="93">
        <f ca="1">IFERROR(__xludf.DUMMYFUNCTION("IMPORTRANGE(""https://docs.google.com/spreadsheets/d/1MeEWN-I1oV_STSDYn1IFDPWt_1FKiwhDph83XaGc0o0/edit?usp=sharing"",""งบพรบ!AB15"")"),374600)</f>
        <v>374600</v>
      </c>
      <c r="N58" s="93">
        <f ca="1">IFERROR(__xludf.DUMMYFUNCTION("IMPORTRANGE(""https://docs.google.com/spreadsheets/d/1MeEWN-I1oV_STSDYn1IFDPWt_1FKiwhDph83XaGc0o0/edit?usp=sharing"",""งบพรบ!AD15"")"),212562.6)</f>
        <v>212562.6</v>
      </c>
      <c r="O58" s="93">
        <f t="shared" ca="1" si="32"/>
        <v>28.371943406300055</v>
      </c>
      <c r="P58" s="93">
        <f t="shared" ca="1" si="33"/>
        <v>56.74388681260011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589" t="s">
        <v>12</v>
      </c>
      <c r="I59" s="269"/>
      <c r="J59" s="269"/>
      <c r="K59" s="465"/>
      <c r="L59" s="465">
        <f t="shared" ref="L59:N59" ca="1" si="36">L60+L61</f>
        <v>29900</v>
      </c>
      <c r="M59" s="465">
        <f t="shared" ca="1" si="36"/>
        <v>29900</v>
      </c>
      <c r="N59" s="465">
        <f t="shared" ca="1" si="36"/>
        <v>29900</v>
      </c>
      <c r="O59" s="465">
        <f t="shared" ca="1" si="32"/>
        <v>100</v>
      </c>
      <c r="P59" s="465">
        <f t="shared" ca="1" si="33"/>
        <v>100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2" t="s">
        <v>18</v>
      </c>
      <c r="F60" s="40"/>
      <c r="G60" s="42"/>
      <c r="H60" s="43" t="s">
        <v>12</v>
      </c>
      <c r="I60" s="583"/>
      <c r="J60" s="583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IFERROR(__xludf.DUMMYFUNCTION("IMPORTRANGE(""https://docs.google.com/spreadsheets/d/1MeEWN-I1oV_STSDYn1IFDPWt_1FKiwhDph83XaGc0o0/edit?usp=sharing"",""งบพรบ!Z15"")"),29900)</f>
        <v>29900</v>
      </c>
      <c r="M61" s="52">
        <f ca="1">IFERROR(__xludf.DUMMYFUNCTION("IMPORTRANGE(""https://docs.google.com/spreadsheets/d/1MeEWN-I1oV_STSDYn1IFDPWt_1FKiwhDph83XaGc0o0/edit?usp=sharing"",""งบพรบ!AC15"")"),29900)</f>
        <v>29900</v>
      </c>
      <c r="N61" s="52">
        <f ca="1">IFERROR(__xludf.DUMMYFUNCTION("IMPORTRANGE(""https://docs.google.com/spreadsheets/d/1MeEWN-I1oV_STSDYn1IFDPWt_1FKiwhDph83XaGc0o0/edit?usp=sharing"",""งบพรบ!AE15"")"),29900)</f>
        <v>29900</v>
      </c>
      <c r="O61" s="52">
        <f t="shared" ca="1" si="32"/>
        <v>100</v>
      </c>
      <c r="P61" s="52">
        <f t="shared" ca="1" si="33"/>
        <v>100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>
      <c r="A64" s="138"/>
      <c r="B64" s="208" t="s">
        <v>33</v>
      </c>
      <c r="C64" s="140"/>
      <c r="D64" s="141"/>
      <c r="E64" s="140"/>
      <c r="F64" s="140"/>
      <c r="G64" s="142"/>
      <c r="H64" s="143" t="s">
        <v>34</v>
      </c>
      <c r="I64" s="144">
        <f t="shared" ref="I64:J65" ca="1" si="37">I76</f>
        <v>1</v>
      </c>
      <c r="J64" s="144">
        <f t="shared" si="37"/>
        <v>0</v>
      </c>
      <c r="K64" s="145">
        <f t="shared" ref="K64:K65" ca="1" si="38">IF(I64&gt;0,J64*100/I64,0)</f>
        <v>0</v>
      </c>
      <c r="L64" s="146"/>
      <c r="M64" s="146"/>
      <c r="N64" s="146"/>
      <c r="O64" s="146"/>
      <c r="P64" s="146"/>
    </row>
    <row r="65" spans="1:26" ht="19.5">
      <c r="A65" s="138"/>
      <c r="B65" s="140"/>
      <c r="C65" s="140"/>
      <c r="D65" s="141"/>
      <c r="E65" s="140"/>
      <c r="F65" s="140"/>
      <c r="G65" s="142"/>
      <c r="H65" s="143" t="s">
        <v>35</v>
      </c>
      <c r="I65" s="144">
        <f t="shared" ca="1" si="37"/>
        <v>60</v>
      </c>
      <c r="J65" s="144">
        <f t="shared" si="37"/>
        <v>0</v>
      </c>
      <c r="K65" s="145">
        <f t="shared" ca="1" si="38"/>
        <v>0</v>
      </c>
      <c r="L65" s="146"/>
      <c r="M65" s="146"/>
      <c r="N65" s="146"/>
      <c r="O65" s="146"/>
      <c r="P65" s="146"/>
    </row>
    <row r="66" spans="1:26" ht="19.5">
      <c r="A66" s="147"/>
      <c r="B66" s="148"/>
      <c r="C66" s="149" t="s">
        <v>16</v>
      </c>
      <c r="D66" s="817" t="s">
        <v>17</v>
      </c>
      <c r="E66" s="148"/>
      <c r="F66" s="148"/>
      <c r="G66" s="151"/>
      <c r="H66" s="152" t="s">
        <v>12</v>
      </c>
      <c r="I66" s="388"/>
      <c r="J66" s="388"/>
      <c r="K66" s="154"/>
      <c r="L66" s="155">
        <f t="shared" ref="L66:N66" ca="1" si="39">L67+L68</f>
        <v>552000</v>
      </c>
      <c r="M66" s="155">
        <f t="shared" ca="1" si="39"/>
        <v>270000</v>
      </c>
      <c r="N66" s="155">
        <f t="shared" ca="1" si="39"/>
        <v>57710</v>
      </c>
      <c r="O66" s="155">
        <f t="shared" ref="O66:O74" ca="1" si="40">IF(L66&gt;0,N66*100/L66,0)</f>
        <v>10.454710144927537</v>
      </c>
      <c r="P66" s="155">
        <f t="shared" ref="P66:P74" ca="1" si="41">IF(M66&gt;0,N66*100/M66,0)</f>
        <v>21.374074074074073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2" t="s">
        <v>18</v>
      </c>
      <c r="F67" s="40"/>
      <c r="G67" s="157"/>
      <c r="H67" s="158" t="s">
        <v>12</v>
      </c>
      <c r="I67" s="583"/>
      <c r="J67" s="583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2" t="s">
        <v>19</v>
      </c>
      <c r="F68" s="40"/>
      <c r="G68" s="157"/>
      <c r="H68" s="158" t="s">
        <v>12</v>
      </c>
      <c r="I68" s="583"/>
      <c r="J68" s="583"/>
      <c r="K68" s="93"/>
      <c r="L68" s="93">
        <f t="shared" ca="1" si="42"/>
        <v>552000</v>
      </c>
      <c r="M68" s="93">
        <f t="shared" ca="1" si="42"/>
        <v>270000</v>
      </c>
      <c r="N68" s="93">
        <f t="shared" ca="1" si="42"/>
        <v>57710</v>
      </c>
      <c r="O68" s="93">
        <f t="shared" ca="1" si="40"/>
        <v>10.454710144927537</v>
      </c>
      <c r="P68" s="93">
        <f t="shared" ca="1" si="41"/>
        <v>21.374074074074073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>
      <c r="A69" s="159"/>
      <c r="B69" s="33"/>
      <c r="C69" s="281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65">
        <f t="shared" ref="L69:N69" ca="1" si="43">L70+L71</f>
        <v>552000</v>
      </c>
      <c r="M69" s="465">
        <f t="shared" ca="1" si="43"/>
        <v>270000</v>
      </c>
      <c r="N69" s="465">
        <f t="shared" ca="1" si="43"/>
        <v>57710</v>
      </c>
      <c r="O69" s="465">
        <f t="shared" ca="1" si="40"/>
        <v>10.454710144927537</v>
      </c>
      <c r="P69" s="465">
        <f t="shared" ca="1" si="41"/>
        <v>21.374074074074073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2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2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IFERROR(__xludf.DUMMYFUNCTION("IMPORTRANGE(""https://docs.google.com/spreadsheets/d/1MeEWN-I1oV_STSDYn1IFDPWt_1FKiwhDph83XaGc0o0/edit?usp=sharing"",""งบพรบ!AG15"")"),552000)</f>
        <v>552000</v>
      </c>
      <c r="M71" s="93">
        <f ca="1">IFERROR(__xludf.DUMMYFUNCTION("IMPORTRANGE(""https://docs.google.com/spreadsheets/d/1MeEWN-I1oV_STSDYn1IFDPWt_1FKiwhDph83XaGc0o0/edit?usp=sharing"",""งบพรบ!AL15"")"),270000)</f>
        <v>270000</v>
      </c>
      <c r="N71" s="93">
        <f ca="1">IFERROR(__xludf.DUMMYFUNCTION("IMPORTRANGE(""https://docs.google.com/spreadsheets/d/1MeEWN-I1oV_STSDYn1IFDPWt_1FKiwhDph83XaGc0o0/edit?usp=sharing"",""งบพรบ!AN15"")"),57710)</f>
        <v>57710</v>
      </c>
      <c r="O71" s="93">
        <f t="shared" ca="1" si="40"/>
        <v>10.454710144927537</v>
      </c>
      <c r="P71" s="93">
        <f t="shared" ca="1" si="41"/>
        <v>21.374074074074073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>
      <c r="A72" s="159"/>
      <c r="B72" s="33"/>
      <c r="C72" s="281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65">
        <f t="shared" ref="L72:N72" ca="1" si="44">L73+L74</f>
        <v>0</v>
      </c>
      <c r="M72" s="465">
        <f t="shared" ca="1" si="44"/>
        <v>0</v>
      </c>
      <c r="N72" s="465">
        <f t="shared" ca="1" si="44"/>
        <v>0</v>
      </c>
      <c r="O72" s="465">
        <f t="shared" ca="1" si="40"/>
        <v>0</v>
      </c>
      <c r="P72" s="465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2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2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IFERROR(__xludf.DUMMYFUNCTION("IMPORTRANGE(""https://docs.google.com/spreadsheets/d/1MeEWN-I1oV_STSDYn1IFDPWt_1FKiwhDph83XaGc0o0/edit?usp=sharing"",""งบพรบ!AJ15"")"),0)</f>
        <v>0</v>
      </c>
      <c r="M74" s="93">
        <f ca="1">IFERROR(__xludf.DUMMYFUNCTION("IMPORTRANGE(""https://docs.google.com/spreadsheets/d/1MeEWN-I1oV_STSDYn1IFDPWt_1FKiwhDph83XaGc0o0/edit?usp=sharing"",""งบพรบ!AM15"")"),0)</f>
        <v>0</v>
      </c>
      <c r="N74" s="93">
        <f ca="1">IFERROR(__xludf.DUMMYFUNCTION("IMPORTRANGE(""https://docs.google.com/spreadsheets/d/1MeEWN-I1oV_STSDYn1IFDPWt_1FKiwhDph83XaGc0o0/edit?usp=sharing"",""งบพรบ!AO15"")"),0)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>
      <c r="A75" s="170"/>
      <c r="B75" s="171"/>
      <c r="C75" s="164" t="s">
        <v>16</v>
      </c>
      <c r="D75" s="818" t="s">
        <v>38</v>
      </c>
      <c r="E75" s="173"/>
      <c r="F75" s="173"/>
      <c r="G75" s="174"/>
      <c r="H75" s="726"/>
      <c r="I75" s="184"/>
      <c r="J75" s="184"/>
      <c r="K75" s="163"/>
      <c r="L75" s="163"/>
      <c r="M75" s="163"/>
      <c r="N75" s="163"/>
      <c r="O75" s="163"/>
      <c r="P75" s="163"/>
    </row>
    <row r="76" spans="1:26" ht="19.5">
      <c r="A76" s="170"/>
      <c r="B76" s="171"/>
      <c r="C76" s="171"/>
      <c r="D76" s="343" t="s">
        <v>39</v>
      </c>
      <c r="E76" s="415"/>
      <c r="F76" s="342"/>
      <c r="G76" s="179"/>
      <c r="H76" s="180" t="s">
        <v>34</v>
      </c>
      <c r="I76" s="269">
        <f t="shared" ref="I76:J77" ca="1" si="45">I78+I80+I82</f>
        <v>1</v>
      </c>
      <c r="J76" s="269">
        <f t="shared" si="45"/>
        <v>0</v>
      </c>
      <c r="K76" s="163">
        <f t="shared" ref="K76:K84" ca="1" si="46">IF(I76&gt;0,J76*100/I76,0)</f>
        <v>0</v>
      </c>
      <c r="L76" s="163"/>
      <c r="M76" s="163"/>
      <c r="N76" s="163"/>
      <c r="O76" s="163"/>
      <c r="P76" s="163"/>
    </row>
    <row r="77" spans="1:26" ht="19.5">
      <c r="A77" s="170"/>
      <c r="B77" s="171"/>
      <c r="C77" s="171"/>
      <c r="D77" s="171"/>
      <c r="E77" s="342"/>
      <c r="F77" s="342"/>
      <c r="G77" s="179"/>
      <c r="H77" s="180" t="s">
        <v>35</v>
      </c>
      <c r="I77" s="269">
        <f t="shared" ca="1" si="45"/>
        <v>60</v>
      </c>
      <c r="J77" s="269">
        <f t="shared" si="45"/>
        <v>0</v>
      </c>
      <c r="K77" s="163">
        <f t="shared" ca="1" si="46"/>
        <v>0</v>
      </c>
      <c r="L77" s="163"/>
      <c r="M77" s="163"/>
      <c r="N77" s="163"/>
      <c r="O77" s="163"/>
      <c r="P77" s="163"/>
    </row>
    <row r="78" spans="1:26" ht="18.75">
      <c r="A78" s="170"/>
      <c r="B78" s="171"/>
      <c r="C78" s="171"/>
      <c r="D78" s="171"/>
      <c r="E78" s="415" t="s">
        <v>40</v>
      </c>
      <c r="F78" s="415"/>
      <c r="G78" s="179"/>
      <c r="H78" s="728" t="s">
        <v>34</v>
      </c>
      <c r="I78" s="184">
        <f ca="1">IFERROR(__xludf.DUMMYFUNCTION("IMPORTRANGE(""https://docs.google.com/spreadsheets/d/1QqKyyYR6Q21VydFLVH3TRQUabQu_ym0Zz7PgGX0-kHA/edit?usp=sharing"",""แผน!H15"")"),0)</f>
        <v>0</v>
      </c>
      <c r="J78" s="214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>
      <c r="A79" s="170"/>
      <c r="B79" s="171"/>
      <c r="C79" s="171"/>
      <c r="D79" s="171"/>
      <c r="E79" s="342"/>
      <c r="F79" s="342"/>
      <c r="G79" s="179"/>
      <c r="H79" s="728" t="s">
        <v>35</v>
      </c>
      <c r="I79" s="184">
        <f ca="1">IFERROR(__xludf.DUMMYFUNCTION("IMPORTRANGE(""https://docs.google.com/spreadsheets/d/1QqKyyYR6Q21VydFLVH3TRQUabQu_ym0Zz7PgGX0-kHA/edit?usp=sharing"",""แผน!I15"")"),0)</f>
        <v>0</v>
      </c>
      <c r="J79" s="214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>
      <c r="A80" s="170"/>
      <c r="B80" s="171"/>
      <c r="C80" s="171"/>
      <c r="D80" s="171"/>
      <c r="E80" s="415" t="s">
        <v>41</v>
      </c>
      <c r="F80" s="415"/>
      <c r="G80" s="179"/>
      <c r="H80" s="728" t="s">
        <v>34</v>
      </c>
      <c r="I80" s="184">
        <f ca="1">IFERROR(__xludf.DUMMYFUNCTION("IMPORTRANGE(""https://docs.google.com/spreadsheets/d/1QqKyyYR6Q21VydFLVH3TRQUabQu_ym0Zz7PgGX0-kHA/edit?usp=sharing"",""แผน!F15"")"),1)</f>
        <v>1</v>
      </c>
      <c r="J80" s="214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>
      <c r="A81" s="170"/>
      <c r="B81" s="171"/>
      <c r="C81" s="171"/>
      <c r="D81" s="171"/>
      <c r="E81" s="342"/>
      <c r="F81" s="342"/>
      <c r="G81" s="179"/>
      <c r="H81" s="728" t="s">
        <v>35</v>
      </c>
      <c r="I81" s="184">
        <f ca="1">IFERROR(__xludf.DUMMYFUNCTION("IMPORTRANGE(""https://docs.google.com/spreadsheets/d/1QqKyyYR6Q21VydFLVH3TRQUabQu_ym0Zz7PgGX0-kHA/edit?usp=sharing"",""แผน!G15"")"),60)</f>
        <v>60</v>
      </c>
      <c r="J81" s="214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>
      <c r="A82" s="170"/>
      <c r="B82" s="171"/>
      <c r="C82" s="171"/>
      <c r="D82" s="171"/>
      <c r="E82" s="415" t="s">
        <v>42</v>
      </c>
      <c r="F82" s="415"/>
      <c r="G82" s="179"/>
      <c r="H82" s="728" t="s">
        <v>34</v>
      </c>
      <c r="I82" s="184">
        <f ca="1">IFERROR(__xludf.DUMMYFUNCTION("IMPORTRANGE(""https://docs.google.com/spreadsheets/d/1QqKyyYR6Q21VydFLVH3TRQUabQu_ym0Zz7PgGX0-kHA/edit?usp=sharing"",""แผน!D15"")"),0)</f>
        <v>0</v>
      </c>
      <c r="J82" s="214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>
      <c r="A83" s="170"/>
      <c r="B83" s="171"/>
      <c r="C83" s="171"/>
      <c r="D83" s="171"/>
      <c r="E83" s="342"/>
      <c r="F83" s="342"/>
      <c r="G83" s="179"/>
      <c r="H83" s="728" t="s">
        <v>35</v>
      </c>
      <c r="I83" s="184">
        <f ca="1">IFERROR(__xludf.DUMMYFUNCTION("IMPORTRANGE(""https://docs.google.com/spreadsheets/d/1QqKyyYR6Q21VydFLVH3TRQUabQu_ym0Zz7PgGX0-kHA/edit?usp=sharing"",""แผน!E15"")"),0)</f>
        <v>0</v>
      </c>
      <c r="J83" s="214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>
      <c r="A84" s="170"/>
      <c r="B84" s="171"/>
      <c r="C84" s="171"/>
      <c r="D84" s="343" t="s">
        <v>43</v>
      </c>
      <c r="E84" s="415"/>
      <c r="F84" s="342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IFERROR(__xludf.DUMMYFUNCTION("IMPORTRANGE(""https://docs.google.com/spreadsheets/d/1QqKyyYR6Q21VydFLVH3TRQUabQu_ym0Zz7PgGX0-kHA/edit?usp=sharing"",""แผน!J15"")"),1)</f>
        <v>1</v>
      </c>
      <c r="J84" s="214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8" t="s">
        <v>45</v>
      </c>
      <c r="C86" s="140"/>
      <c r="D86" s="141"/>
      <c r="E86" s="140"/>
      <c r="F86" s="140"/>
      <c r="G86" s="142"/>
      <c r="H86" s="143" t="s">
        <v>46</v>
      </c>
      <c r="I86" s="144">
        <f t="shared" ref="I86:J87" ca="1" si="47">I98</f>
        <v>45</v>
      </c>
      <c r="J86" s="144">
        <f t="shared" si="47"/>
        <v>0</v>
      </c>
      <c r="K86" s="145">
        <f t="shared" ref="K86:K87" ca="1" si="48">IF(I86&gt;0,J86*100/I86,0)</f>
        <v>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143" t="s">
        <v>35</v>
      </c>
      <c r="I87" s="144">
        <f t="shared" ca="1" si="47"/>
        <v>15</v>
      </c>
      <c r="J87" s="144">
        <f t="shared" si="47"/>
        <v>0</v>
      </c>
      <c r="K87" s="145">
        <f t="shared" ca="1" si="48"/>
        <v>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17" t="s">
        <v>17</v>
      </c>
      <c r="E88" s="148"/>
      <c r="F88" s="148"/>
      <c r="G88" s="151"/>
      <c r="H88" s="152" t="s">
        <v>12</v>
      </c>
      <c r="I88" s="388"/>
      <c r="J88" s="388"/>
      <c r="K88" s="154"/>
      <c r="L88" s="155">
        <f t="shared" ref="L88:N88" ca="1" si="49">L89+L90</f>
        <v>98460</v>
      </c>
      <c r="M88" s="155">
        <f t="shared" ca="1" si="49"/>
        <v>32760</v>
      </c>
      <c r="N88" s="155">
        <f t="shared" ca="1" si="49"/>
        <v>0</v>
      </c>
      <c r="O88" s="155">
        <f t="shared" ref="O88:O96" ca="1" si="50">IF(L88&gt;0,N88*100/L88,0)</f>
        <v>0</v>
      </c>
      <c r="P88" s="155">
        <f t="shared" ref="P88:P96" ca="1" si="51">IF(M88&gt;0,N88*100/M88,0)</f>
        <v>0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2" t="s">
        <v>18</v>
      </c>
      <c r="F89" s="40"/>
      <c r="G89" s="157"/>
      <c r="H89" s="158" t="s">
        <v>12</v>
      </c>
      <c r="I89" s="583"/>
      <c r="J89" s="583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2" t="s">
        <v>19</v>
      </c>
      <c r="F90" s="40"/>
      <c r="G90" s="157"/>
      <c r="H90" s="158" t="s">
        <v>12</v>
      </c>
      <c r="I90" s="583"/>
      <c r="J90" s="583"/>
      <c r="K90" s="93"/>
      <c r="L90" s="93">
        <f t="shared" ca="1" si="52"/>
        <v>98460</v>
      </c>
      <c r="M90" s="93">
        <f t="shared" ca="1" si="52"/>
        <v>32760</v>
      </c>
      <c r="N90" s="93">
        <f t="shared" ca="1" si="52"/>
        <v>0</v>
      </c>
      <c r="O90" s="93">
        <f t="shared" ca="1" si="50"/>
        <v>0</v>
      </c>
      <c r="P90" s="93">
        <f t="shared" ca="1" si="51"/>
        <v>0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1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65">
        <f t="shared" ref="L91:N91" ca="1" si="53">L92+L93</f>
        <v>98460</v>
      </c>
      <c r="M91" s="465">
        <f t="shared" ca="1" si="53"/>
        <v>32760</v>
      </c>
      <c r="N91" s="465">
        <f t="shared" ca="1" si="53"/>
        <v>0</v>
      </c>
      <c r="O91" s="465">
        <f t="shared" ca="1" si="50"/>
        <v>0</v>
      </c>
      <c r="P91" s="465">
        <f t="shared" ca="1" si="51"/>
        <v>0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2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2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IFERROR(__xludf.DUMMYFUNCTION("IMPORTRANGE(""https://docs.google.com/spreadsheets/d/1MeEWN-I1oV_STSDYn1IFDPWt_1FKiwhDph83XaGc0o0/edit?usp=sharing"",""งบพรบ!AQ15"")"),98460)</f>
        <v>98460</v>
      </c>
      <c r="M93" s="93">
        <f ca="1">IFERROR(__xludf.DUMMYFUNCTION("IMPORTRANGE(""https://docs.google.com/spreadsheets/d/1MeEWN-I1oV_STSDYn1IFDPWt_1FKiwhDph83XaGc0o0/edit?usp=sharing"",""งบพรบ!AV15"")"),32760)</f>
        <v>32760</v>
      </c>
      <c r="N93" s="93">
        <f ca="1">IFERROR(__xludf.DUMMYFUNCTION("IMPORTRANGE(""https://docs.google.com/spreadsheets/d/1MeEWN-I1oV_STSDYn1IFDPWt_1FKiwhDph83XaGc0o0/edit?usp=sharing"",""งบพรบ!AX15"")"),0)</f>
        <v>0</v>
      </c>
      <c r="O93" s="93">
        <f t="shared" ca="1" si="50"/>
        <v>0</v>
      </c>
      <c r="P93" s="93">
        <f t="shared" ca="1" si="51"/>
        <v>0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1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65">
        <f t="shared" ref="L94:N94" ca="1" si="54">L95+L96</f>
        <v>0</v>
      </c>
      <c r="M94" s="465">
        <f t="shared" ca="1" si="54"/>
        <v>0</v>
      </c>
      <c r="N94" s="465">
        <f t="shared" ca="1" si="54"/>
        <v>0</v>
      </c>
      <c r="O94" s="465">
        <f t="shared" ca="1" si="50"/>
        <v>0</v>
      </c>
      <c r="P94" s="465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2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2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IFERROR(__xludf.DUMMYFUNCTION("IMPORTRANGE(""https://docs.google.com/spreadsheets/d/1MeEWN-I1oV_STSDYn1IFDPWt_1FKiwhDph83XaGc0o0/edit?usp=sharing"",""งบพรบ!AT15"")"),0)</f>
        <v>0</v>
      </c>
      <c r="M96" s="93">
        <f ca="1">IFERROR(__xludf.DUMMYFUNCTION("IMPORTRANGE(""https://docs.google.com/spreadsheets/d/1MeEWN-I1oV_STSDYn1IFDPWt_1FKiwhDph83XaGc0o0/edit?usp=sharing"",""งบพรบ!AW15"")"),0)</f>
        <v>0</v>
      </c>
      <c r="N96" s="93">
        <f ca="1">IFERROR(__xludf.DUMMYFUNCTION("IMPORTRANGE(""https://docs.google.com/spreadsheets/d/1MeEWN-I1oV_STSDYn1IFDPWt_1FKiwhDph83XaGc0o0/edit?usp=sharing"",""งบพรบ!AY15"")"),0)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18" t="s">
        <v>38</v>
      </c>
      <c r="E97" s="173"/>
      <c r="F97" s="173"/>
      <c r="G97" s="174"/>
      <c r="H97" s="726"/>
      <c r="I97" s="184"/>
      <c r="J97" s="269"/>
      <c r="K97" s="465"/>
      <c r="L97" s="465"/>
      <c r="M97" s="465"/>
      <c r="N97" s="465"/>
      <c r="O97" s="163"/>
      <c r="P97" s="163"/>
    </row>
    <row r="98" spans="1:16" ht="18.75">
      <c r="A98" s="170"/>
      <c r="B98" s="171"/>
      <c r="C98" s="171"/>
      <c r="D98" s="415" t="s">
        <v>47</v>
      </c>
      <c r="E98" s="415"/>
      <c r="F98" s="342"/>
      <c r="G98" s="179"/>
      <c r="H98" s="589" t="s">
        <v>46</v>
      </c>
      <c r="I98" s="269">
        <f ca="1">IFERROR(__xludf.DUMMYFUNCTION("IMPORTRANGE(""https://docs.google.com/spreadsheets/d/1QqKyyYR6Q21VydFLVH3TRQUabQu_ym0Zz7PgGX0-kHA/edit?usp=sharing"",""แผน!K15"")"),45)</f>
        <v>45</v>
      </c>
      <c r="J98" s="269">
        <f>J102</f>
        <v>0</v>
      </c>
      <c r="K98" s="465">
        <f t="shared" ref="K98:K100" ca="1" si="55">IF(I98&gt;0,J98*100/I98,0)</f>
        <v>0</v>
      </c>
      <c r="L98" s="465"/>
      <c r="M98" s="465"/>
      <c r="N98" s="465"/>
      <c r="O98" s="163"/>
      <c r="P98" s="163"/>
    </row>
    <row r="99" spans="1:16" ht="18.75">
      <c r="A99" s="170"/>
      <c r="B99" s="171"/>
      <c r="C99" s="171"/>
      <c r="D99" s="415" t="s">
        <v>48</v>
      </c>
      <c r="E99" s="415"/>
      <c r="F99" s="342"/>
      <c r="G99" s="179"/>
      <c r="H99" s="589" t="s">
        <v>35</v>
      </c>
      <c r="I99" s="269">
        <f ca="1">IFERROR(__xludf.DUMMYFUNCTION("IMPORTRANGE(""https://docs.google.com/spreadsheets/d/1QqKyyYR6Q21VydFLVH3TRQUabQu_ym0Zz7PgGX0-kHA/edit?usp=sharing"",""แผน!L15"")"),15)</f>
        <v>15</v>
      </c>
      <c r="J99" s="269">
        <f>J104</f>
        <v>0</v>
      </c>
      <c r="K99" s="465">
        <f t="shared" ca="1" si="55"/>
        <v>0</v>
      </c>
      <c r="L99" s="465"/>
      <c r="M99" s="465"/>
      <c r="N99" s="465"/>
      <c r="O99" s="163"/>
      <c r="P99" s="163"/>
    </row>
    <row r="100" spans="1:16" ht="18.75">
      <c r="A100" s="170"/>
      <c r="B100" s="171"/>
      <c r="C100" s="171"/>
      <c r="D100" s="171"/>
      <c r="E100" s="342"/>
      <c r="F100" s="342"/>
      <c r="G100" s="179"/>
      <c r="H100" s="589" t="s">
        <v>49</v>
      </c>
      <c r="I100" s="269">
        <f ca="1">IFERROR(__xludf.DUMMYFUNCTION("IMPORTRANGE(""https://docs.google.com/spreadsheets/d/1QqKyyYR6Q21VydFLVH3TRQUabQu_ym0Zz7PgGX0-kHA/edit?usp=sharing"",""แผน!M15"")"),2)</f>
        <v>2</v>
      </c>
      <c r="J100" s="269">
        <f>J107+J110</f>
        <v>0</v>
      </c>
      <c r="K100" s="465">
        <f t="shared" ca="1" si="55"/>
        <v>0</v>
      </c>
      <c r="L100" s="465"/>
      <c r="M100" s="465"/>
      <c r="N100" s="465"/>
      <c r="O100" s="163"/>
      <c r="P100" s="163"/>
    </row>
    <row r="101" spans="1:16" ht="19.5">
      <c r="A101" s="170"/>
      <c r="B101" s="171"/>
      <c r="C101" s="171"/>
      <c r="D101" s="342"/>
      <c r="E101" s="191" t="s">
        <v>50</v>
      </c>
      <c r="F101" s="342"/>
      <c r="G101" s="179"/>
      <c r="H101" s="589"/>
      <c r="I101" s="269"/>
      <c r="J101" s="269"/>
      <c r="K101" s="465"/>
      <c r="L101" s="465"/>
      <c r="M101" s="465"/>
      <c r="N101" s="465"/>
      <c r="O101" s="163"/>
      <c r="P101" s="163"/>
    </row>
    <row r="102" spans="1:16" ht="18.75">
      <c r="A102" s="170"/>
      <c r="B102" s="171"/>
      <c r="C102" s="171"/>
      <c r="D102" s="342"/>
      <c r="E102" s="592" t="s">
        <v>47</v>
      </c>
      <c r="F102" s="342"/>
      <c r="G102" s="179"/>
      <c r="H102" s="589" t="s">
        <v>46</v>
      </c>
      <c r="I102" s="269">
        <f ca="1">IFERROR(__xludf.DUMMYFUNCTION("IMPORTRANGE(""https://docs.google.com/spreadsheets/d/1QqKyyYR6Q21VydFLVH3TRQUabQu_ym0Zz7PgGX0-kHA/edit?usp=sharing"",""แผน!N15"")"),45)</f>
        <v>45</v>
      </c>
      <c r="J102" s="214">
        <v>0</v>
      </c>
      <c r="K102" s="465">
        <f t="shared" ref="K102:K104" ca="1" si="56">IF(I102&gt;0,J102*100/I102,0)</f>
        <v>0</v>
      </c>
      <c r="L102" s="465"/>
      <c r="M102" s="465"/>
      <c r="N102" s="465"/>
      <c r="O102" s="163"/>
      <c r="P102" s="163"/>
    </row>
    <row r="103" spans="1:16" ht="19.5">
      <c r="A103" s="170"/>
      <c r="B103" s="171"/>
      <c r="C103" s="171"/>
      <c r="D103" s="342"/>
      <c r="E103" s="415" t="s">
        <v>51</v>
      </c>
      <c r="F103" s="342"/>
      <c r="G103" s="179"/>
      <c r="H103" s="589" t="s">
        <v>35</v>
      </c>
      <c r="I103" s="269">
        <f ca="1">IFERROR(__xludf.DUMMYFUNCTION("IMPORTRANGE(""https://docs.google.com/spreadsheets/d/1QqKyyYR6Q21VydFLVH3TRQUabQu_ym0Zz7PgGX0-kHA/edit?usp=sharing"",""แผน!O15"")"),15)</f>
        <v>15</v>
      </c>
      <c r="J103" s="214">
        <v>0</v>
      </c>
      <c r="K103" s="465">
        <f t="shared" ca="1" si="56"/>
        <v>0</v>
      </c>
      <c r="L103" s="465"/>
      <c r="M103" s="465"/>
      <c r="N103" s="465"/>
      <c r="O103" s="163"/>
      <c r="P103" s="163"/>
    </row>
    <row r="104" spans="1:16" ht="18.75">
      <c r="A104" s="170"/>
      <c r="B104" s="171"/>
      <c r="C104" s="171"/>
      <c r="D104" s="342"/>
      <c r="E104" s="188" t="s">
        <v>52</v>
      </c>
      <c r="F104" s="342"/>
      <c r="G104" s="179"/>
      <c r="H104" s="589" t="s">
        <v>35</v>
      </c>
      <c r="I104" s="269">
        <f ca="1">IFERROR(__xludf.DUMMYFUNCTION("IMPORTRANGE(""https://docs.google.com/spreadsheets/d/1QqKyyYR6Q21VydFLVH3TRQUabQu_ym0Zz7PgGX0-kHA/edit?usp=sharing"",""แผน!O15"")"),15)</f>
        <v>15</v>
      </c>
      <c r="J104" s="214">
        <v>0</v>
      </c>
      <c r="K104" s="465">
        <f t="shared" ca="1" si="56"/>
        <v>0</v>
      </c>
      <c r="L104" s="465"/>
      <c r="M104" s="465"/>
      <c r="N104" s="465"/>
      <c r="O104" s="163"/>
      <c r="P104" s="163"/>
    </row>
    <row r="105" spans="1:16" ht="19.5">
      <c r="A105" s="170"/>
      <c r="B105" s="171"/>
      <c r="C105" s="171"/>
      <c r="D105" s="342"/>
      <c r="E105" s="191" t="s">
        <v>53</v>
      </c>
      <c r="F105" s="342"/>
      <c r="G105" s="179"/>
      <c r="H105" s="189"/>
      <c r="I105" s="269"/>
      <c r="J105" s="269"/>
      <c r="K105" s="465"/>
      <c r="L105" s="465"/>
      <c r="M105" s="465"/>
      <c r="N105" s="465"/>
      <c r="O105" s="163"/>
      <c r="P105" s="163"/>
    </row>
    <row r="106" spans="1:16" ht="19.5">
      <c r="A106" s="170"/>
      <c r="B106" s="171"/>
      <c r="C106" s="171"/>
      <c r="D106" s="342"/>
      <c r="E106" s="415" t="s">
        <v>54</v>
      </c>
      <c r="F106" s="342"/>
      <c r="G106" s="179"/>
      <c r="H106" s="589" t="s">
        <v>49</v>
      </c>
      <c r="I106" s="269">
        <f ca="1">IFERROR(__xludf.DUMMYFUNCTION("IMPORTRANGE(""https://docs.google.com/spreadsheets/d/1QqKyyYR6Q21VydFLVH3TRQUabQu_ym0Zz7PgGX0-kHA/edit?usp=sharing"",""แผน!P15"")"),1)</f>
        <v>1</v>
      </c>
      <c r="J106" s="214">
        <v>0</v>
      </c>
      <c r="K106" s="465">
        <f t="shared" ref="K106:K107" ca="1" si="57">IF(I106&gt;0,J106*100/I106,0)</f>
        <v>0</v>
      </c>
      <c r="L106" s="465"/>
      <c r="M106" s="465"/>
      <c r="N106" s="465"/>
      <c r="O106" s="163"/>
      <c r="P106" s="163"/>
    </row>
    <row r="107" spans="1:16" ht="18.75">
      <c r="A107" s="170"/>
      <c r="B107" s="171"/>
      <c r="C107" s="171"/>
      <c r="D107" s="342"/>
      <c r="E107" s="188" t="s">
        <v>55</v>
      </c>
      <c r="F107" s="342"/>
      <c r="G107" s="179"/>
      <c r="H107" s="589" t="s">
        <v>49</v>
      </c>
      <c r="I107" s="269">
        <f ca="1">IFERROR(__xludf.DUMMYFUNCTION("IMPORTRANGE(""https://docs.google.com/spreadsheets/d/1QqKyyYR6Q21VydFLVH3TRQUabQu_ym0Zz7PgGX0-kHA/edit?usp=sharing"",""แผน!P15"")"),1)</f>
        <v>1</v>
      </c>
      <c r="J107" s="214">
        <v>0</v>
      </c>
      <c r="K107" s="465">
        <f t="shared" ca="1" si="57"/>
        <v>0</v>
      </c>
      <c r="L107" s="465"/>
      <c r="M107" s="465"/>
      <c r="N107" s="465"/>
      <c r="O107" s="163"/>
      <c r="P107" s="163"/>
    </row>
    <row r="108" spans="1:16" ht="19.5">
      <c r="A108" s="170"/>
      <c r="B108" s="171"/>
      <c r="C108" s="171"/>
      <c r="D108" s="342"/>
      <c r="E108" s="191" t="s">
        <v>56</v>
      </c>
      <c r="F108" s="342"/>
      <c r="G108" s="179"/>
      <c r="H108" s="189"/>
      <c r="I108" s="269"/>
      <c r="J108" s="269"/>
      <c r="K108" s="465"/>
      <c r="L108" s="465"/>
      <c r="M108" s="465"/>
      <c r="N108" s="465"/>
      <c r="O108" s="163"/>
      <c r="P108" s="163"/>
    </row>
    <row r="109" spans="1:16" ht="19.5">
      <c r="A109" s="170"/>
      <c r="B109" s="171"/>
      <c r="C109" s="171"/>
      <c r="D109" s="342"/>
      <c r="E109" s="415" t="s">
        <v>57</v>
      </c>
      <c r="F109" s="342"/>
      <c r="G109" s="179"/>
      <c r="H109" s="589" t="s">
        <v>49</v>
      </c>
      <c r="I109" s="269">
        <f ca="1">IFERROR(__xludf.DUMMYFUNCTION("IMPORTRANGE(""https://docs.google.com/spreadsheets/d/1QqKyyYR6Q21VydFLVH3TRQUabQu_ym0Zz7PgGX0-kHA/edit?usp=sharing"",""แผน!Q15"")"),1)</f>
        <v>1</v>
      </c>
      <c r="J109" s="214">
        <v>0</v>
      </c>
      <c r="K109" s="465">
        <f t="shared" ref="K109:K116" ca="1" si="58">IF(I109&gt;0,J109*100/I109,0)</f>
        <v>0</v>
      </c>
      <c r="L109" s="465"/>
      <c r="M109" s="465"/>
      <c r="N109" s="465"/>
      <c r="O109" s="163"/>
      <c r="P109" s="163"/>
    </row>
    <row r="110" spans="1:16" ht="18.75">
      <c r="A110" s="170"/>
      <c r="B110" s="171"/>
      <c r="C110" s="171"/>
      <c r="D110" s="342"/>
      <c r="E110" s="190" t="s">
        <v>58</v>
      </c>
      <c r="F110" s="342"/>
      <c r="G110" s="179"/>
      <c r="H110" s="589" t="s">
        <v>49</v>
      </c>
      <c r="I110" s="269">
        <f ca="1">IFERROR(__xludf.DUMMYFUNCTION("IMPORTRANGE(""https://docs.google.com/spreadsheets/d/1QqKyyYR6Q21VydFLVH3TRQUabQu_ym0Zz7PgGX0-kHA/edit?usp=sharing"",""แผน!Q15"")"),1)</f>
        <v>1</v>
      </c>
      <c r="J110" s="214">
        <v>0</v>
      </c>
      <c r="K110" s="465">
        <f t="shared" ca="1" si="58"/>
        <v>0</v>
      </c>
      <c r="L110" s="465"/>
      <c r="M110" s="465"/>
      <c r="N110" s="465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342"/>
      <c r="G111" s="179"/>
      <c r="H111" s="731" t="s">
        <v>35</v>
      </c>
      <c r="I111" s="193">
        <f ca="1">IFERROR(__xludf.DUMMYFUNCTION("IMPORTRANGE(""https://docs.google.com/spreadsheets/d/1QqKyyYR6Q21VydFLVH3TRQUabQu_ym0Zz7PgGX0-kHA/edit?usp=sharing"",""แผน!R15"")"),15)</f>
        <v>15</v>
      </c>
      <c r="J111" s="647">
        <f>J114</f>
        <v>0</v>
      </c>
      <c r="K111" s="195">
        <f t="shared" ca="1" si="58"/>
        <v>0</v>
      </c>
      <c r="L111" s="465"/>
      <c r="M111" s="465"/>
      <c r="N111" s="465"/>
      <c r="O111" s="163"/>
      <c r="P111" s="163"/>
    </row>
    <row r="112" spans="1:16" ht="19.5">
      <c r="A112" s="170"/>
      <c r="B112" s="171"/>
      <c r="C112" s="171"/>
      <c r="D112" s="171"/>
      <c r="E112" s="342"/>
      <c r="F112" s="342"/>
      <c r="G112" s="179"/>
      <c r="H112" s="196" t="s">
        <v>49</v>
      </c>
      <c r="I112" s="193">
        <f t="shared" ref="I112:J112" ca="1" si="59">I115+I116</f>
        <v>2</v>
      </c>
      <c r="J112" s="647">
        <f t="shared" si="59"/>
        <v>0</v>
      </c>
      <c r="K112" s="195">
        <f t="shared" ca="1" si="58"/>
        <v>0</v>
      </c>
      <c r="L112" s="465"/>
      <c r="M112" s="465"/>
      <c r="N112" s="465"/>
      <c r="O112" s="163"/>
      <c r="P112" s="163"/>
    </row>
    <row r="113" spans="1:26" ht="19.5">
      <c r="A113" s="170"/>
      <c r="B113" s="171"/>
      <c r="C113" s="171"/>
      <c r="D113" s="171"/>
      <c r="E113" s="494" t="s">
        <v>60</v>
      </c>
      <c r="F113" s="342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IFERROR(__xludf.DUMMYFUNCTION("IMPORTRANGE(""https://docs.google.com/spreadsheets/d/1QqKyyYR6Q21VydFLVH3TRQUabQu_ym0Zz7PgGX0-kHA/edit?usp=sharing"",""แผน!R15"")"),15)</f>
        <v>15</v>
      </c>
      <c r="J113" s="214">
        <v>0</v>
      </c>
      <c r="K113" s="465">
        <f t="shared" ca="1" si="58"/>
        <v>0</v>
      </c>
      <c r="L113" s="465"/>
      <c r="M113" s="465"/>
      <c r="N113" s="465"/>
      <c r="O113" s="163"/>
      <c r="P113" s="163"/>
    </row>
    <row r="114" spans="1:26" ht="19.5">
      <c r="A114" s="170"/>
      <c r="B114" s="171"/>
      <c r="C114" s="171"/>
      <c r="D114" s="171"/>
      <c r="E114" s="415" t="s">
        <v>61</v>
      </c>
      <c r="F114" s="342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IFERROR(__xludf.DUMMYFUNCTION("IMPORTRANGE(""https://docs.google.com/spreadsheets/d/1QqKyyYR6Q21VydFLVH3TRQUabQu_ym0Zz7PgGX0-kHA/edit?usp=sharing"",""แผน!R15"")"),15)</f>
        <v>15</v>
      </c>
      <c r="J114" s="214">
        <v>0</v>
      </c>
      <c r="K114" s="465">
        <f t="shared" ca="1" si="58"/>
        <v>0</v>
      </c>
      <c r="L114" s="465"/>
      <c r="M114" s="465"/>
      <c r="N114" s="465"/>
      <c r="O114" s="163"/>
      <c r="P114" s="163"/>
    </row>
    <row r="115" spans="1:26" ht="18.75">
      <c r="A115" s="170"/>
      <c r="B115" s="171"/>
      <c r="C115" s="171"/>
      <c r="D115" s="171"/>
      <c r="E115" s="415" t="s">
        <v>62</v>
      </c>
      <c r="F115" s="342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IFERROR(__xludf.DUMMYFUNCTION("IMPORTRANGE(""https://docs.google.com/spreadsheets/d/1QqKyyYR6Q21VydFLVH3TRQUabQu_ym0Zz7PgGX0-kHA/edit?usp=sharing"",""แผน!S15"")"),1)</f>
        <v>1</v>
      </c>
      <c r="J115" s="214">
        <v>0</v>
      </c>
      <c r="K115" s="465">
        <f t="shared" ca="1" si="58"/>
        <v>0</v>
      </c>
      <c r="L115" s="465"/>
      <c r="M115" s="465"/>
      <c r="N115" s="465"/>
      <c r="O115" s="163"/>
      <c r="P115" s="163"/>
    </row>
    <row r="116" spans="1:26" ht="18.75">
      <c r="A116" s="170"/>
      <c r="B116" s="171"/>
      <c r="C116" s="171"/>
      <c r="D116" s="171"/>
      <c r="E116" s="415" t="s">
        <v>63</v>
      </c>
      <c r="F116" s="342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IFERROR(__xludf.DUMMYFUNCTION("IMPORTRANGE(""https://docs.google.com/spreadsheets/d/1QqKyyYR6Q21VydFLVH3TRQUabQu_ym0Zz7PgGX0-kHA/edit?usp=sharing"",""แผน!T15"")"),1)</f>
        <v>1</v>
      </c>
      <c r="J116" s="214">
        <v>0</v>
      </c>
      <c r="K116" s="465">
        <f t="shared" ca="1" si="58"/>
        <v>0</v>
      </c>
      <c r="L116" s="465"/>
      <c r="M116" s="465"/>
      <c r="N116" s="465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8" t="s">
        <v>65</v>
      </c>
      <c r="C118" s="204"/>
      <c r="D118" s="141"/>
      <c r="E118" s="140"/>
      <c r="F118" s="140"/>
      <c r="G118" s="142"/>
      <c r="H118" s="143"/>
      <c r="I118" s="205"/>
      <c r="J118" s="205"/>
      <c r="K118" s="146"/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17" t="s">
        <v>17</v>
      </c>
      <c r="E119" s="148"/>
      <c r="F119" s="148"/>
      <c r="G119" s="151"/>
      <c r="H119" s="152" t="s">
        <v>12</v>
      </c>
      <c r="I119" s="388"/>
      <c r="J119" s="388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2" t="s">
        <v>18</v>
      </c>
      <c r="F120" s="40"/>
      <c r="G120" s="157"/>
      <c r="H120" s="158" t="s">
        <v>12</v>
      </c>
      <c r="I120" s="583"/>
      <c r="J120" s="583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2" t="s">
        <v>19</v>
      </c>
      <c r="F121" s="40"/>
      <c r="G121" s="157"/>
      <c r="H121" s="158" t="s">
        <v>12</v>
      </c>
      <c r="I121" s="583"/>
      <c r="J121" s="583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1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65">
        <f t="shared" ref="L122:N122" ca="1" si="64">L123+L124</f>
        <v>0</v>
      </c>
      <c r="M122" s="465">
        <f t="shared" ca="1" si="64"/>
        <v>0</v>
      </c>
      <c r="N122" s="465">
        <f t="shared" ca="1" si="64"/>
        <v>0</v>
      </c>
      <c r="O122" s="465">
        <f t="shared" ca="1" si="61"/>
        <v>0</v>
      </c>
      <c r="P122" s="465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2"/>
      <c r="D123" s="40"/>
      <c r="E123" s="222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2"/>
      <c r="D124" s="40"/>
      <c r="E124" s="222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IFERROR(__xludf.DUMMYFUNCTION("IMPORTRANGE(""https://docs.google.com/spreadsheets/d/1MeEWN-I1oV_STSDYn1IFDPWt_1FKiwhDph83XaGc0o0/edit?usp=sharing"",""งบพรบ!BA15"")"),0)</f>
        <v>0</v>
      </c>
      <c r="M124" s="93">
        <f ca="1">IFERROR(__xludf.DUMMYFUNCTION("IMPORTRANGE(""https://docs.google.com/spreadsheets/d/1MeEWN-I1oV_STSDYn1IFDPWt_1FKiwhDph83XaGc0o0/edit?usp=sharing"",""งบพรบ!BF15"")"),0)</f>
        <v>0</v>
      </c>
      <c r="N124" s="93">
        <f ca="1">IFERROR(__xludf.DUMMYFUNCTION("IMPORTRANGE(""https://docs.google.com/spreadsheets/d/1MeEWN-I1oV_STSDYn1IFDPWt_1FKiwhDph83XaGc0o0/edit?usp=sharing"",""งบพรบ!BH15"")"),0)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1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65">
        <f t="shared" ref="L125:N125" ca="1" si="65">L126+L127</f>
        <v>0</v>
      </c>
      <c r="M125" s="465">
        <f t="shared" ca="1" si="65"/>
        <v>0</v>
      </c>
      <c r="N125" s="465">
        <f t="shared" ca="1" si="65"/>
        <v>0</v>
      </c>
      <c r="O125" s="465">
        <f t="shared" ca="1" si="61"/>
        <v>0</v>
      </c>
      <c r="P125" s="465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2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2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IFERROR(__xludf.DUMMYFUNCTION("IMPORTRANGE(""https://docs.google.com/spreadsheets/d/1MeEWN-I1oV_STSDYn1IFDPWt_1FKiwhDph83XaGc0o0/edit?usp=sharing"",""งบพรบ!BD15"")"),0)</f>
        <v>0</v>
      </c>
      <c r="M127" s="93">
        <f ca="1">IFERROR(__xludf.DUMMYFUNCTION("IMPORTRANGE(""https://docs.google.com/spreadsheets/d/1MeEWN-I1oV_STSDYn1IFDPWt_1FKiwhDph83XaGc0o0/edit?usp=sharing"",""งบพรบ!BG15"")"),0)</f>
        <v>0</v>
      </c>
      <c r="N127" s="93">
        <f ca="1">IFERROR(__xludf.DUMMYFUNCTION("IMPORTRANGE(""https://docs.google.com/spreadsheets/d/1MeEWN-I1oV_STSDYn1IFDPWt_1FKiwhDph83XaGc0o0/edit?usp=sharing"",""งบพรบ!BI15"")"),0)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>
      <c r="A128" s="131" t="s">
        <v>66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>
      <c r="A129" s="138"/>
      <c r="B129" s="208" t="s">
        <v>67</v>
      </c>
      <c r="C129" s="204"/>
      <c r="D129" s="141"/>
      <c r="E129" s="140"/>
      <c r="F129" s="140"/>
      <c r="G129" s="140"/>
      <c r="H129" s="207"/>
      <c r="I129" s="205"/>
      <c r="J129" s="205"/>
      <c r="K129" s="146"/>
      <c r="L129" s="146"/>
      <c r="M129" s="146"/>
      <c r="N129" s="146"/>
      <c r="O129" s="146"/>
      <c r="P129" s="146"/>
    </row>
    <row r="130" spans="1:26" ht="19.5">
      <c r="A130" s="138"/>
      <c r="B130" s="208"/>
      <c r="C130" s="209" t="s">
        <v>68</v>
      </c>
      <c r="D130" s="141"/>
      <c r="E130" s="140"/>
      <c r="F130" s="140"/>
      <c r="G130" s="142"/>
      <c r="H130" s="143" t="s">
        <v>69</v>
      </c>
      <c r="I130" s="144">
        <f t="shared" ref="I130:J130" ca="1" si="66">I146</f>
        <v>3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>
      <c r="A131" s="138"/>
      <c r="B131" s="208"/>
      <c r="C131" s="209" t="s">
        <v>70</v>
      </c>
      <c r="D131" s="141"/>
      <c r="E131" s="140"/>
      <c r="F131" s="140"/>
      <c r="G131" s="142"/>
      <c r="H131" s="143" t="s">
        <v>35</v>
      </c>
      <c r="I131" s="144">
        <f t="shared" ref="I131:J131" ca="1" si="68">I143</f>
        <v>30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>
      <c r="A132" s="147"/>
      <c r="B132" s="148"/>
      <c r="C132" s="149" t="s">
        <v>16</v>
      </c>
      <c r="D132" s="817" t="s">
        <v>17</v>
      </c>
      <c r="E132" s="148"/>
      <c r="F132" s="148"/>
      <c r="G132" s="151"/>
      <c r="H132" s="152" t="s">
        <v>12</v>
      </c>
      <c r="I132" s="388"/>
      <c r="J132" s="388"/>
      <c r="K132" s="154"/>
      <c r="L132" s="155">
        <f t="shared" ref="L132:N132" ca="1" si="69">L133+L134</f>
        <v>454965</v>
      </c>
      <c r="M132" s="155">
        <f t="shared" ca="1" si="69"/>
        <v>400800</v>
      </c>
      <c r="N132" s="155">
        <f t="shared" ca="1" si="69"/>
        <v>309120</v>
      </c>
      <c r="O132" s="155">
        <f t="shared" ref="O132:O140" ca="1" si="70">IF(L132&gt;0,N132*100/L132,0)</f>
        <v>67.943687975998159</v>
      </c>
      <c r="P132" s="155">
        <f t="shared" ref="P132:P140" ca="1" si="71">IF(M132&gt;0,N132*100/M132,0)</f>
        <v>77.125748502994014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2" t="s">
        <v>18</v>
      </c>
      <c r="F133" s="40"/>
      <c r="G133" s="157"/>
      <c r="H133" s="158" t="s">
        <v>12</v>
      </c>
      <c r="I133" s="583"/>
      <c r="J133" s="583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2" t="s">
        <v>19</v>
      </c>
      <c r="F134" s="40"/>
      <c r="G134" s="157"/>
      <c r="H134" s="158" t="s">
        <v>12</v>
      </c>
      <c r="I134" s="583"/>
      <c r="J134" s="583"/>
      <c r="K134" s="93"/>
      <c r="L134" s="93">
        <f t="shared" ca="1" si="72"/>
        <v>454965</v>
      </c>
      <c r="M134" s="93">
        <f t="shared" ca="1" si="72"/>
        <v>400800</v>
      </c>
      <c r="N134" s="93">
        <f t="shared" ca="1" si="72"/>
        <v>309120</v>
      </c>
      <c r="O134" s="93">
        <f t="shared" ca="1" si="70"/>
        <v>67.943687975998159</v>
      </c>
      <c r="P134" s="93">
        <f t="shared" ca="1" si="71"/>
        <v>77.125748502994014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>
      <c r="A135" s="159"/>
      <c r="B135" s="33"/>
      <c r="C135" s="281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65">
        <f t="shared" ref="L135:N135" ca="1" si="73">L136+L137</f>
        <v>145965</v>
      </c>
      <c r="M135" s="465">
        <f t="shared" ca="1" si="73"/>
        <v>91800</v>
      </c>
      <c r="N135" s="465">
        <f t="shared" ca="1" si="73"/>
        <v>120</v>
      </c>
      <c r="O135" s="465">
        <f t="shared" ca="1" si="70"/>
        <v>8.2211489055595513E-2</v>
      </c>
      <c r="P135" s="465">
        <f t="shared" ca="1" si="71"/>
        <v>0.13071895424836602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2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2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IFERROR(__xludf.DUMMYFUNCTION("IMPORTRANGE(""https://docs.google.com/spreadsheets/d/1MeEWN-I1oV_STSDYn1IFDPWt_1FKiwhDph83XaGc0o0/edit?usp=sharing"",""งบพรบ!BK15"")"),145965)</f>
        <v>145965</v>
      </c>
      <c r="M137" s="93">
        <f ca="1">IFERROR(__xludf.DUMMYFUNCTION("IMPORTRANGE(""https://docs.google.com/spreadsheets/d/1MeEWN-I1oV_STSDYn1IFDPWt_1FKiwhDph83XaGc0o0/edit?usp=sharing"",""งบพรบ!BP15"")"),91800)</f>
        <v>91800</v>
      </c>
      <c r="N137" s="93">
        <f ca="1">IFERROR(__xludf.DUMMYFUNCTION("IMPORTRANGE(""https://docs.google.com/spreadsheets/d/1MeEWN-I1oV_STSDYn1IFDPWt_1FKiwhDph83XaGc0o0/edit?usp=sharing"",""งบพรบ!BR15"")"),120)</f>
        <v>120</v>
      </c>
      <c r="O137" s="93">
        <f t="shared" ca="1" si="70"/>
        <v>8.2211489055595513E-2</v>
      </c>
      <c r="P137" s="93">
        <f t="shared" ca="1" si="71"/>
        <v>0.13071895424836602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>
      <c r="A138" s="159"/>
      <c r="B138" s="33"/>
      <c r="C138" s="281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65">
        <f t="shared" ref="L138:N138" ca="1" si="74">L139+L140</f>
        <v>309000</v>
      </c>
      <c r="M138" s="465">
        <f t="shared" ca="1" si="74"/>
        <v>309000</v>
      </c>
      <c r="N138" s="465">
        <f t="shared" ca="1" si="74"/>
        <v>309000</v>
      </c>
      <c r="O138" s="465">
        <f t="shared" ca="1" si="70"/>
        <v>100</v>
      </c>
      <c r="P138" s="465">
        <f t="shared" ca="1" si="71"/>
        <v>100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2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2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IFERROR(__xludf.DUMMYFUNCTION("IMPORTRANGE(""https://docs.google.com/spreadsheets/d/1MeEWN-I1oV_STSDYn1IFDPWt_1FKiwhDph83XaGc0o0/edit?usp=sharing"",""งบพรบ!BN15"")"),309000)</f>
        <v>309000</v>
      </c>
      <c r="M140" s="93">
        <f ca="1">IFERROR(__xludf.DUMMYFUNCTION("IMPORTRANGE(""https://docs.google.com/spreadsheets/d/1MeEWN-I1oV_STSDYn1IFDPWt_1FKiwhDph83XaGc0o0/edit?usp=sharing"",""งบพรบ!BQ15"")"),309000)</f>
        <v>309000</v>
      </c>
      <c r="N140" s="93">
        <f ca="1">IFERROR(__xludf.DUMMYFUNCTION("IMPORTRANGE(""https://docs.google.com/spreadsheets/d/1MeEWN-I1oV_STSDYn1IFDPWt_1FKiwhDph83XaGc0o0/edit?usp=sharing"",""งบพรบ!BS15"")"),309000)</f>
        <v>309000</v>
      </c>
      <c r="O140" s="93">
        <f t="shared" ca="1" si="70"/>
        <v>100</v>
      </c>
      <c r="P140" s="93">
        <f t="shared" ca="1" si="71"/>
        <v>100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>
      <c r="A141" s="170"/>
      <c r="B141" s="171"/>
      <c r="C141" s="149" t="s">
        <v>16</v>
      </c>
      <c r="D141" s="818" t="s">
        <v>38</v>
      </c>
      <c r="E141" s="173"/>
      <c r="F141" s="173"/>
      <c r="G141" s="174"/>
      <c r="H141" s="168"/>
      <c r="I141" s="269"/>
      <c r="J141" s="269"/>
      <c r="K141" s="465"/>
      <c r="L141" s="465"/>
      <c r="M141" s="465"/>
      <c r="N141" s="465"/>
      <c r="O141" s="465"/>
      <c r="P141" s="465"/>
    </row>
    <row r="142" spans="1:26" ht="19.5">
      <c r="A142" s="159"/>
      <c r="B142" s="33"/>
      <c r="C142" s="210"/>
      <c r="D142" s="281" t="s">
        <v>71</v>
      </c>
      <c r="E142" s="34"/>
      <c r="F142" s="33"/>
      <c r="G142" s="213"/>
      <c r="H142" s="168"/>
      <c r="I142" s="269"/>
      <c r="J142" s="214">
        <v>0</v>
      </c>
      <c r="K142" s="465"/>
      <c r="L142" s="465"/>
      <c r="M142" s="465"/>
      <c r="N142" s="465"/>
      <c r="O142" s="465"/>
      <c r="P142" s="465"/>
    </row>
    <row r="143" spans="1:26" ht="19.5">
      <c r="A143" s="159"/>
      <c r="B143" s="33"/>
      <c r="C143" s="210"/>
      <c r="D143" s="281" t="s">
        <v>72</v>
      </c>
      <c r="E143" s="34"/>
      <c r="F143" s="33"/>
      <c r="G143" s="213"/>
      <c r="H143" s="168" t="s">
        <v>35</v>
      </c>
      <c r="I143" s="269">
        <f ca="1">I145</f>
        <v>30</v>
      </c>
      <c r="J143" s="269">
        <f ca="1">IF(AND(J144&gt;=I144,J145&gt;=I145),J145,0)</f>
        <v>0</v>
      </c>
      <c r="K143" s="465">
        <f t="shared" ref="K143:K146" ca="1" si="75">IF(I143&gt;0,J143*100/I143,0)</f>
        <v>0</v>
      </c>
      <c r="L143" s="465"/>
      <c r="M143" s="465"/>
      <c r="N143" s="465"/>
      <c r="O143" s="465"/>
      <c r="P143" s="465"/>
    </row>
    <row r="144" spans="1:26" ht="19.5">
      <c r="A144" s="159"/>
      <c r="B144" s="33"/>
      <c r="C144" s="210"/>
      <c r="D144" s="342"/>
      <c r="E144" s="281" t="s">
        <v>73</v>
      </c>
      <c r="F144" s="33"/>
      <c r="G144" s="213"/>
      <c r="H144" s="168" t="s">
        <v>35</v>
      </c>
      <c r="I144" s="269">
        <f ca="1">IFERROR(__xludf.DUMMYFUNCTION("IMPORTRANGE(""https://docs.google.com/spreadsheets/d/1QqKyyYR6Q21VydFLVH3TRQUabQu_ym0Zz7PgGX0-kHA/edit?usp=sharing"",""แผน!U15"")"),15)</f>
        <v>15</v>
      </c>
      <c r="J144" s="214">
        <v>0</v>
      </c>
      <c r="K144" s="465">
        <f t="shared" ca="1" si="75"/>
        <v>0</v>
      </c>
      <c r="L144" s="465"/>
      <c r="M144" s="465"/>
      <c r="N144" s="465"/>
      <c r="O144" s="465"/>
      <c r="P144" s="465"/>
    </row>
    <row r="145" spans="1:26" ht="19.5">
      <c r="A145" s="159"/>
      <c r="B145" s="33"/>
      <c r="C145" s="210"/>
      <c r="D145" s="342"/>
      <c r="E145" s="281" t="s">
        <v>74</v>
      </c>
      <c r="F145" s="33"/>
      <c r="G145" s="213"/>
      <c r="H145" s="168" t="s">
        <v>35</v>
      </c>
      <c r="I145" s="269">
        <f ca="1">IFERROR(__xludf.DUMMYFUNCTION("IMPORTRANGE(""https://docs.google.com/spreadsheets/d/1QqKyyYR6Q21VydFLVH3TRQUabQu_ym0Zz7PgGX0-kHA/edit?usp=sharing"",""แผน!V15"")"),30)</f>
        <v>30</v>
      </c>
      <c r="J145" s="214">
        <v>0</v>
      </c>
      <c r="K145" s="465">
        <f t="shared" ca="1" si="75"/>
        <v>0</v>
      </c>
      <c r="L145" s="465"/>
      <c r="M145" s="465"/>
      <c r="N145" s="465"/>
      <c r="O145" s="465"/>
      <c r="P145" s="465"/>
    </row>
    <row r="146" spans="1:26" ht="19.5">
      <c r="A146" s="159"/>
      <c r="B146" s="33"/>
      <c r="C146" s="210"/>
      <c r="D146" s="281" t="s">
        <v>75</v>
      </c>
      <c r="E146" s="34"/>
      <c r="F146" s="33"/>
      <c r="G146" s="213"/>
      <c r="H146" s="168" t="s">
        <v>69</v>
      </c>
      <c r="I146" s="269">
        <f ca="1">IFERROR(__xludf.DUMMYFUNCTION("IMPORTRANGE(""https://docs.google.com/spreadsheets/d/1QqKyyYR6Q21VydFLVH3TRQUabQu_ym0Zz7PgGX0-kHA/edit?usp=sharing"",""แผน!W15"")"),3)</f>
        <v>3</v>
      </c>
      <c r="J146" s="214">
        <v>0</v>
      </c>
      <c r="K146" s="465">
        <f t="shared" ca="1" si="75"/>
        <v>0</v>
      </c>
      <c r="L146" s="465"/>
      <c r="M146" s="465"/>
      <c r="N146" s="465"/>
      <c r="O146" s="465"/>
      <c r="P146" s="465"/>
    </row>
    <row r="147" spans="1:26" ht="19.5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>
      <c r="A148" s="216"/>
      <c r="B148" s="208" t="s">
        <v>77</v>
      </c>
      <c r="C148" s="208"/>
      <c r="D148" s="208"/>
      <c r="E148" s="819"/>
      <c r="F148" s="218"/>
      <c r="G148" s="219"/>
      <c r="H148" s="220" t="s">
        <v>35</v>
      </c>
      <c r="I148" s="144">
        <f t="shared" ref="I148:J148" ca="1" si="76">I159</f>
        <v>20</v>
      </c>
      <c r="J148" s="144">
        <f t="shared" si="76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1"/>
      <c r="R148" s="221"/>
      <c r="S148" s="221"/>
      <c r="T148" s="221"/>
      <c r="U148" s="221"/>
      <c r="V148" s="221"/>
      <c r="W148" s="221"/>
      <c r="X148" s="221"/>
      <c r="Y148" s="221"/>
      <c r="Z148" s="221"/>
    </row>
    <row r="149" spans="1:26" ht="19.5">
      <c r="A149" s="147"/>
      <c r="B149" s="148"/>
      <c r="C149" s="149" t="s">
        <v>16</v>
      </c>
      <c r="D149" s="817" t="s">
        <v>17</v>
      </c>
      <c r="E149" s="148"/>
      <c r="F149" s="148"/>
      <c r="G149" s="151"/>
      <c r="H149" s="152" t="s">
        <v>12</v>
      </c>
      <c r="I149" s="388"/>
      <c r="J149" s="388"/>
      <c r="K149" s="154"/>
      <c r="L149" s="155">
        <f t="shared" ref="L149:N149" ca="1" si="77">L150+L151</f>
        <v>10000</v>
      </c>
      <c r="M149" s="155">
        <f t="shared" ca="1" si="77"/>
        <v>10000</v>
      </c>
      <c r="N149" s="155">
        <f t="shared" ca="1" si="77"/>
        <v>0</v>
      </c>
      <c r="O149" s="155">
        <f t="shared" ref="O149:O157" ca="1" si="78">IF(L149&gt;0,N149*100/L149,0)</f>
        <v>0</v>
      </c>
      <c r="P149" s="155">
        <f t="shared" ref="P149:P157" ca="1" si="79">IF(M149&gt;0,N149*100/M149,0)</f>
        <v>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2" t="s">
        <v>18</v>
      </c>
      <c r="F150" s="40"/>
      <c r="G150" s="157"/>
      <c r="H150" s="158" t="s">
        <v>12</v>
      </c>
      <c r="I150" s="583"/>
      <c r="J150" s="583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2" t="s">
        <v>19</v>
      </c>
      <c r="F151" s="40"/>
      <c r="G151" s="157"/>
      <c r="H151" s="158" t="s">
        <v>12</v>
      </c>
      <c r="I151" s="583"/>
      <c r="J151" s="583"/>
      <c r="K151" s="93"/>
      <c r="L151" s="93">
        <f t="shared" ca="1" si="80"/>
        <v>10000</v>
      </c>
      <c r="M151" s="93">
        <f t="shared" ca="1" si="80"/>
        <v>10000</v>
      </c>
      <c r="N151" s="93">
        <f t="shared" ca="1" si="80"/>
        <v>0</v>
      </c>
      <c r="O151" s="93">
        <f t="shared" ca="1" si="78"/>
        <v>0</v>
      </c>
      <c r="P151" s="93">
        <f t="shared" ca="1" si="79"/>
        <v>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>
      <c r="A152" s="159"/>
      <c r="B152" s="33"/>
      <c r="C152" s="281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65">
        <f t="shared" ref="L152:N152" ca="1" si="81">L153+L154</f>
        <v>10000</v>
      </c>
      <c r="M152" s="465">
        <f t="shared" ca="1" si="81"/>
        <v>10000</v>
      </c>
      <c r="N152" s="465">
        <f t="shared" ca="1" si="81"/>
        <v>0</v>
      </c>
      <c r="O152" s="465">
        <f t="shared" ca="1" si="78"/>
        <v>0</v>
      </c>
      <c r="P152" s="465">
        <f t="shared" ca="1" si="79"/>
        <v>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2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2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IFERROR(__xludf.DUMMYFUNCTION("IMPORTRANGE(""https://docs.google.com/spreadsheets/d/1MeEWN-I1oV_STSDYn1IFDPWt_1FKiwhDph83XaGc0o0/edit?usp=sharing"",""งบพรบ!BU15"")"),10000)</f>
        <v>10000</v>
      </c>
      <c r="M154" s="93">
        <f ca="1">IFERROR(__xludf.DUMMYFUNCTION("IMPORTRANGE(""https://docs.google.com/spreadsheets/d/1MeEWN-I1oV_STSDYn1IFDPWt_1FKiwhDph83XaGc0o0/edit?usp=sharing"",""งบพรบ!BZ15"")"),10000)</f>
        <v>10000</v>
      </c>
      <c r="N154" s="93">
        <f ca="1">IFERROR(__xludf.DUMMYFUNCTION("IMPORTRANGE(""https://docs.google.com/spreadsheets/d/1MeEWN-I1oV_STSDYn1IFDPWt_1FKiwhDph83XaGc0o0/edit?usp=sharing"",""งบพรบ!CB15"")"),0)</f>
        <v>0</v>
      </c>
      <c r="O154" s="93">
        <f t="shared" ca="1" si="78"/>
        <v>0</v>
      </c>
      <c r="P154" s="93">
        <f t="shared" ca="1" si="79"/>
        <v>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>
      <c r="A155" s="159"/>
      <c r="B155" s="33"/>
      <c r="C155" s="281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65">
        <f t="shared" ref="L155:N155" ca="1" si="82">L156+L157</f>
        <v>0</v>
      </c>
      <c r="M155" s="465">
        <f t="shared" ca="1" si="82"/>
        <v>0</v>
      </c>
      <c r="N155" s="465">
        <f t="shared" ca="1" si="82"/>
        <v>0</v>
      </c>
      <c r="O155" s="465">
        <f t="shared" ca="1" si="78"/>
        <v>0</v>
      </c>
      <c r="P155" s="465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2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2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IFERROR(__xludf.DUMMYFUNCTION("IMPORTRANGE(""https://docs.google.com/spreadsheets/d/1MeEWN-I1oV_STSDYn1IFDPWt_1FKiwhDph83XaGc0o0/edit?usp=sharing"",""งบพรบ!BX15"")"),0)</f>
        <v>0</v>
      </c>
      <c r="M157" s="93">
        <f ca="1">IFERROR(__xludf.DUMMYFUNCTION("IMPORTRANGE(""https://docs.google.com/spreadsheets/d/1MeEWN-I1oV_STSDYn1IFDPWt_1FKiwhDph83XaGc0o0/edit?usp=sharing"",""งบพรบ!CA15"")"),0)</f>
        <v>0</v>
      </c>
      <c r="N157" s="93">
        <f ca="1">IFERROR(__xludf.DUMMYFUNCTION("IMPORTRANGE(""https://docs.google.com/spreadsheets/d/1MeEWN-I1oV_STSDYn1IFDPWt_1FKiwhDph83XaGc0o0/edit?usp=sharing"",""งบพรบ!CC15"")"),0)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>
      <c r="A158" s="170"/>
      <c r="B158" s="171"/>
      <c r="C158" s="164" t="s">
        <v>16</v>
      </c>
      <c r="D158" s="818" t="s">
        <v>38</v>
      </c>
      <c r="E158" s="173"/>
      <c r="F158" s="173"/>
      <c r="G158" s="174"/>
      <c r="H158" s="168"/>
      <c r="I158" s="269"/>
      <c r="J158" s="269"/>
      <c r="K158" s="465"/>
      <c r="L158" s="465"/>
      <c r="M158" s="465"/>
      <c r="N158" s="465"/>
      <c r="O158" s="465"/>
      <c r="P158" s="465"/>
    </row>
    <row r="159" spans="1:26" ht="19.5">
      <c r="A159" s="159"/>
      <c r="B159" s="33"/>
      <c r="C159" s="210"/>
      <c r="D159" s="281" t="s">
        <v>78</v>
      </c>
      <c r="E159" s="34"/>
      <c r="F159" s="33"/>
      <c r="G159" s="213"/>
      <c r="H159" s="168" t="s">
        <v>35</v>
      </c>
      <c r="I159" s="269">
        <f ca="1">IFERROR(__xludf.DUMMYFUNCTION("IMPORTRANGE(""https://docs.google.com/spreadsheets/d/1QqKyyYR6Q21VydFLVH3TRQUabQu_ym0Zz7PgGX0-kHA/edit?usp=sharing"",""แผน!X15"")"),20)</f>
        <v>20</v>
      </c>
      <c r="J159" s="214">
        <v>0</v>
      </c>
      <c r="K159" s="465">
        <f ca="1">IF(I159&gt;0,J159*100/I159,0)</f>
        <v>0</v>
      </c>
      <c r="L159" s="465"/>
      <c r="M159" s="465"/>
      <c r="N159" s="465"/>
      <c r="O159" s="465"/>
      <c r="P159" s="465"/>
    </row>
    <row r="160" spans="1:26" ht="19.5" hidden="1">
      <c r="A160" s="156"/>
      <c r="B160" s="40"/>
      <c r="C160" s="164"/>
      <c r="D160" s="222" t="s">
        <v>79</v>
      </c>
      <c r="E160" s="223"/>
      <c r="F160" s="40"/>
      <c r="G160" s="157"/>
      <c r="H160" s="169" t="s">
        <v>35</v>
      </c>
      <c r="I160" s="583"/>
      <c r="J160" s="583"/>
      <c r="K160" s="93"/>
      <c r="L160" s="93"/>
      <c r="M160" s="93"/>
      <c r="N160" s="93"/>
      <c r="O160" s="93"/>
      <c r="P160" s="93"/>
      <c r="Q160" s="224"/>
      <c r="R160" s="224"/>
      <c r="S160" s="224"/>
      <c r="T160" s="224"/>
      <c r="U160" s="224"/>
      <c r="V160" s="224"/>
      <c r="W160" s="224"/>
      <c r="X160" s="224"/>
      <c r="Y160" s="224"/>
      <c r="Z160" s="224"/>
    </row>
    <row r="161" spans="1:26" ht="19.5" hidden="1">
      <c r="A161" s="225"/>
      <c r="B161" s="226"/>
      <c r="C161" s="227"/>
      <c r="D161" s="228" t="s">
        <v>80</v>
      </c>
      <c r="E161" s="820"/>
      <c r="F161" s="226"/>
      <c r="G161" s="230"/>
      <c r="H161" s="231" t="s">
        <v>35</v>
      </c>
      <c r="I161" s="232"/>
      <c r="J161" s="232"/>
      <c r="K161" s="233"/>
      <c r="L161" s="233"/>
      <c r="M161" s="233"/>
      <c r="N161" s="233"/>
      <c r="O161" s="233"/>
      <c r="P161" s="233"/>
      <c r="Q161" s="224"/>
      <c r="R161" s="224"/>
      <c r="S161" s="224"/>
      <c r="T161" s="224"/>
      <c r="U161" s="224"/>
      <c r="V161" s="224"/>
      <c r="W161" s="224"/>
      <c r="X161" s="224"/>
      <c r="Y161" s="224"/>
      <c r="Z161" s="224"/>
    </row>
    <row r="162" spans="1:26" ht="19.5">
      <c r="A162" s="234" t="s">
        <v>81</v>
      </c>
      <c r="B162" s="235"/>
      <c r="C162" s="235"/>
      <c r="D162" s="235"/>
      <c r="E162" s="236"/>
      <c r="F162" s="236"/>
      <c r="G162" s="237"/>
      <c r="H162" s="238"/>
      <c r="I162" s="239"/>
      <c r="J162" s="239"/>
      <c r="K162" s="240"/>
      <c r="L162" s="240"/>
      <c r="M162" s="240"/>
      <c r="N162" s="240"/>
      <c r="O162" s="240"/>
      <c r="P162" s="240"/>
    </row>
    <row r="163" spans="1:26" ht="19.5">
      <c r="A163" s="241" t="s">
        <v>82</v>
      </c>
      <c r="B163" s="242"/>
      <c r="C163" s="242"/>
      <c r="D163" s="243"/>
      <c r="E163" s="243"/>
      <c r="F163" s="243"/>
      <c r="G163" s="244"/>
      <c r="H163" s="245"/>
      <c r="I163" s="246"/>
      <c r="J163" s="246"/>
      <c r="K163" s="247"/>
      <c r="L163" s="247"/>
      <c r="M163" s="247"/>
      <c r="N163" s="247"/>
      <c r="O163" s="247"/>
      <c r="P163" s="247"/>
    </row>
    <row r="164" spans="1:26" ht="19.5">
      <c r="A164" s="248"/>
      <c r="B164" s="249" t="s">
        <v>83</v>
      </c>
      <c r="C164" s="250"/>
      <c r="D164" s="173"/>
      <c r="E164" s="173"/>
      <c r="F164" s="173"/>
      <c r="G164" s="174"/>
      <c r="H164" s="251" t="s">
        <v>35</v>
      </c>
      <c r="I164" s="252">
        <f t="shared" ref="I164:J164" ca="1" si="83">I174+I177</f>
        <v>10</v>
      </c>
      <c r="J164" s="252">
        <f t="shared" si="83"/>
        <v>0</v>
      </c>
      <c r="K164" s="253">
        <f ca="1">IF(I164&gt;0,J164*100/I164,0)</f>
        <v>0</v>
      </c>
      <c r="L164" s="254"/>
      <c r="M164" s="254"/>
      <c r="N164" s="254"/>
      <c r="O164" s="254"/>
      <c r="P164" s="254"/>
    </row>
    <row r="165" spans="1:26" ht="19.5">
      <c r="A165" s="147"/>
      <c r="B165" s="148"/>
      <c r="C165" s="149" t="s">
        <v>16</v>
      </c>
      <c r="D165" s="817" t="s">
        <v>17</v>
      </c>
      <c r="E165" s="148"/>
      <c r="F165" s="148"/>
      <c r="G165" s="151"/>
      <c r="H165" s="152" t="s">
        <v>12</v>
      </c>
      <c r="I165" s="388"/>
      <c r="J165" s="388"/>
      <c r="K165" s="154"/>
      <c r="L165" s="155">
        <f t="shared" ref="L165:N165" ca="1" si="84">L166+L167</f>
        <v>21050</v>
      </c>
      <c r="M165" s="155">
        <f t="shared" ca="1" si="84"/>
        <v>21050</v>
      </c>
      <c r="N165" s="155">
        <f t="shared" ca="1" si="84"/>
        <v>20200</v>
      </c>
      <c r="O165" s="155">
        <f t="shared" ref="O165:O173" ca="1" si="85">IF(L165&gt;0,N165*100/L165,0)</f>
        <v>95.961995249406172</v>
      </c>
      <c r="P165" s="155">
        <f t="shared" ref="P165:P173" ca="1" si="86">IF(M165&gt;0,N165*100/M165,0)</f>
        <v>95.961995249406172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2" t="s">
        <v>18</v>
      </c>
      <c r="F166" s="40"/>
      <c r="G166" s="157"/>
      <c r="H166" s="158" t="s">
        <v>12</v>
      </c>
      <c r="I166" s="583"/>
      <c r="J166" s="583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2" t="s">
        <v>19</v>
      </c>
      <c r="F167" s="40"/>
      <c r="G167" s="157"/>
      <c r="H167" s="158" t="s">
        <v>12</v>
      </c>
      <c r="I167" s="583"/>
      <c r="J167" s="583"/>
      <c r="K167" s="93"/>
      <c r="L167" s="93">
        <f t="shared" ca="1" si="87"/>
        <v>21050</v>
      </c>
      <c r="M167" s="93">
        <f t="shared" ca="1" si="87"/>
        <v>21050</v>
      </c>
      <c r="N167" s="93">
        <f t="shared" ca="1" si="87"/>
        <v>20200</v>
      </c>
      <c r="O167" s="93">
        <f t="shared" ca="1" si="85"/>
        <v>95.961995249406172</v>
      </c>
      <c r="P167" s="93">
        <f t="shared" ca="1" si="86"/>
        <v>95.961995249406172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1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65">
        <f t="shared" ref="L168:N168" ca="1" si="88">L169+L170</f>
        <v>21050</v>
      </c>
      <c r="M168" s="465">
        <f t="shared" ca="1" si="88"/>
        <v>21050</v>
      </c>
      <c r="N168" s="465">
        <f t="shared" ca="1" si="88"/>
        <v>20200</v>
      </c>
      <c r="O168" s="465">
        <f t="shared" ca="1" si="85"/>
        <v>95.961995249406172</v>
      </c>
      <c r="P168" s="465">
        <f t="shared" ca="1" si="86"/>
        <v>95.961995249406172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2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2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IFERROR(__xludf.DUMMYFUNCTION("IMPORTRANGE(""https://docs.google.com/spreadsheets/d/1MeEWN-I1oV_STSDYn1IFDPWt_1FKiwhDph83XaGc0o0/edit?usp=sharing"",""งบพรบ!CE15"")"),21050)</f>
        <v>21050</v>
      </c>
      <c r="M170" s="93">
        <f ca="1">IFERROR(__xludf.DUMMYFUNCTION("IMPORTRANGE(""https://docs.google.com/spreadsheets/d/1MeEWN-I1oV_STSDYn1IFDPWt_1FKiwhDph83XaGc0o0/edit?usp=sharing"",""งบพรบ!CJ15"")"),21050)</f>
        <v>21050</v>
      </c>
      <c r="N170" s="93">
        <f ca="1">IFERROR(__xludf.DUMMYFUNCTION("IMPORTRANGE(""https://docs.google.com/spreadsheets/d/1MeEWN-I1oV_STSDYn1IFDPWt_1FKiwhDph83XaGc0o0/edit?usp=sharing"",""งบพรบ!CL15"")"),20200)</f>
        <v>20200</v>
      </c>
      <c r="O170" s="93">
        <f t="shared" ca="1" si="85"/>
        <v>95.961995249406172</v>
      </c>
      <c r="P170" s="93">
        <f t="shared" ca="1" si="86"/>
        <v>95.961995249406172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1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65">
        <f t="shared" ref="L171:N171" ca="1" si="89">L172+L173</f>
        <v>0</v>
      </c>
      <c r="M171" s="465">
        <f t="shared" ca="1" si="89"/>
        <v>0</v>
      </c>
      <c r="N171" s="465">
        <f t="shared" ca="1" si="89"/>
        <v>0</v>
      </c>
      <c r="O171" s="465">
        <f t="shared" ca="1" si="85"/>
        <v>0</v>
      </c>
      <c r="P171" s="465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2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2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IFERROR(__xludf.DUMMYFUNCTION("IMPORTRANGE(""https://docs.google.com/spreadsheets/d/1MeEWN-I1oV_STSDYn1IFDPWt_1FKiwhDph83XaGc0o0/edit?usp=sharing"",""งบพรบ!CH15"")"),0)</f>
        <v>0</v>
      </c>
      <c r="M173" s="93">
        <f ca="1">IFERROR(__xludf.DUMMYFUNCTION("IMPORTRANGE(""https://docs.google.com/spreadsheets/d/1MeEWN-I1oV_STSDYn1IFDPWt_1FKiwhDph83XaGc0o0/edit?usp=sharing"",""งบพรบ!CK15"")"),0)</f>
        <v>0</v>
      </c>
      <c r="N173" s="93">
        <f ca="1">IFERROR(__xludf.DUMMYFUNCTION("IMPORTRANGE(""https://docs.google.com/spreadsheets/d/1MeEWN-I1oV_STSDYn1IFDPWt_1FKiwhDph83XaGc0o0/edit?usp=sharing"",""งบพรบ!CM15"")"),0)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5"/>
      <c r="B174" s="256"/>
      <c r="C174" s="257" t="s">
        <v>84</v>
      </c>
      <c r="D174" s="256"/>
      <c r="E174" s="256"/>
      <c r="F174" s="256"/>
      <c r="G174" s="258"/>
      <c r="H174" s="259" t="s">
        <v>35</v>
      </c>
      <c r="I174" s="260">
        <f t="shared" ref="I174:J174" ca="1" si="90">I176</f>
        <v>10</v>
      </c>
      <c r="J174" s="260">
        <f t="shared" si="90"/>
        <v>0</v>
      </c>
      <c r="K174" s="261">
        <f ca="1">IF(I174&gt;0,J174*100/I174,0)</f>
        <v>0</v>
      </c>
      <c r="L174" s="261"/>
      <c r="M174" s="261"/>
      <c r="N174" s="261"/>
      <c r="O174" s="261"/>
      <c r="P174" s="261"/>
    </row>
    <row r="175" spans="1:26" ht="19.5">
      <c r="A175" s="170"/>
      <c r="B175" s="171"/>
      <c r="C175" s="164" t="s">
        <v>16</v>
      </c>
      <c r="D175" s="818" t="s">
        <v>38</v>
      </c>
      <c r="E175" s="173"/>
      <c r="F175" s="173"/>
      <c r="G175" s="174"/>
      <c r="H175" s="726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10" t="s">
        <v>85</v>
      </c>
      <c r="E176" s="342"/>
      <c r="F176" s="342"/>
      <c r="G176" s="179"/>
      <c r="H176" s="589" t="s">
        <v>35</v>
      </c>
      <c r="I176" s="269">
        <f ca="1">IFERROR(__xludf.DUMMYFUNCTION("IMPORTRANGE(""https://docs.google.com/spreadsheets/d/1QqKyyYR6Q21VydFLVH3TRQUabQu_ym0Zz7PgGX0-kHA/edit?usp=sharing"",""แผน!Y15"")"),10)</f>
        <v>10</v>
      </c>
      <c r="J176" s="214">
        <v>0</v>
      </c>
      <c r="K176" s="163">
        <f ca="1">IF(I176&gt;0,J176*100/I176,0)</f>
        <v>0</v>
      </c>
      <c r="L176" s="163"/>
      <c r="M176" s="163"/>
      <c r="N176" s="163"/>
      <c r="O176" s="163"/>
      <c r="P176" s="163"/>
    </row>
    <row r="177" spans="1:26" ht="19.5" hidden="1">
      <c r="A177" s="255"/>
      <c r="B177" s="263"/>
      <c r="C177" s="264" t="s">
        <v>86</v>
      </c>
      <c r="D177" s="263"/>
      <c r="E177" s="256"/>
      <c r="F177" s="256"/>
      <c r="G177" s="258"/>
      <c r="H177" s="265" t="s">
        <v>35</v>
      </c>
      <c r="I177" s="260"/>
      <c r="J177" s="260">
        <f>J179</f>
        <v>0</v>
      </c>
      <c r="K177" s="261"/>
      <c r="L177" s="261"/>
      <c r="M177" s="261"/>
      <c r="N177" s="261"/>
      <c r="O177" s="261"/>
      <c r="P177" s="261"/>
    </row>
    <row r="178" spans="1:26" ht="19.5" hidden="1">
      <c r="A178" s="170"/>
      <c r="B178" s="171"/>
      <c r="C178" s="164" t="s">
        <v>16</v>
      </c>
      <c r="D178" s="266" t="s">
        <v>38</v>
      </c>
      <c r="E178" s="173"/>
      <c r="F178" s="173"/>
      <c r="G178" s="174"/>
      <c r="H178" s="726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267" t="s">
        <v>87</v>
      </c>
      <c r="E179" s="342"/>
      <c r="F179" s="268"/>
      <c r="G179" s="179"/>
      <c r="H179" s="43" t="s">
        <v>35</v>
      </c>
      <c r="I179" s="269"/>
      <c r="J179" s="269"/>
      <c r="K179" s="163"/>
      <c r="L179" s="163"/>
      <c r="M179" s="163"/>
      <c r="N179" s="163"/>
      <c r="O179" s="163"/>
      <c r="P179" s="163"/>
    </row>
    <row r="180" spans="1:26" ht="19.5">
      <c r="A180" s="248"/>
      <c r="B180" s="249" t="s">
        <v>88</v>
      </c>
      <c r="C180" s="250"/>
      <c r="D180" s="173"/>
      <c r="E180" s="173"/>
      <c r="F180" s="173"/>
      <c r="G180" s="174"/>
      <c r="H180" s="251" t="s">
        <v>35</v>
      </c>
      <c r="I180" s="252"/>
      <c r="J180" s="252">
        <f>J225+J226</f>
        <v>0</v>
      </c>
      <c r="K180" s="253">
        <f>IF(I180&gt;0,J180*100/I180,0)</f>
        <v>0</v>
      </c>
      <c r="L180" s="254"/>
      <c r="M180" s="254"/>
      <c r="N180" s="254"/>
      <c r="O180" s="254"/>
      <c r="P180" s="254"/>
    </row>
    <row r="181" spans="1:26" ht="19.5">
      <c r="A181" s="147"/>
      <c r="B181" s="148"/>
      <c r="C181" s="149" t="s">
        <v>16</v>
      </c>
      <c r="D181" s="817" t="s">
        <v>17</v>
      </c>
      <c r="E181" s="148"/>
      <c r="F181" s="148"/>
      <c r="G181" s="151"/>
      <c r="H181" s="152" t="s">
        <v>12</v>
      </c>
      <c r="I181" s="388"/>
      <c r="J181" s="388"/>
      <c r="K181" s="154"/>
      <c r="L181" s="155">
        <f t="shared" ref="L181:N181" ca="1" si="91">L182+L183</f>
        <v>612200</v>
      </c>
      <c r="M181" s="155">
        <f t="shared" ca="1" si="91"/>
        <v>314350</v>
      </c>
      <c r="N181" s="155">
        <f t="shared" ca="1" si="91"/>
        <v>131441.60000000001</v>
      </c>
      <c r="O181" s="155">
        <f t="shared" ref="O181:O189" ca="1" si="92">IF(L181&gt;0,N181*100/L181,0)</f>
        <v>21.470369160405095</v>
      </c>
      <c r="P181" s="155">
        <f t="shared" ref="P181:P189" ca="1" si="93">IF(M181&gt;0,N181*100/M181,0)</f>
        <v>41.813774455225065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2" t="s">
        <v>18</v>
      </c>
      <c r="F182" s="40"/>
      <c r="G182" s="157"/>
      <c r="H182" s="158" t="s">
        <v>12</v>
      </c>
      <c r="I182" s="583"/>
      <c r="J182" s="583"/>
      <c r="K182" s="93"/>
      <c r="L182" s="93">
        <f t="shared" ref="L182:N183" si="94">L185+L188</f>
        <v>0</v>
      </c>
      <c r="M182" s="93">
        <f t="shared" si="94"/>
        <v>0</v>
      </c>
      <c r="N182" s="93">
        <f t="shared" si="94"/>
        <v>0</v>
      </c>
      <c r="O182" s="93">
        <f t="shared" si="92"/>
        <v>0</v>
      </c>
      <c r="P182" s="93">
        <f t="shared" si="93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2" t="s">
        <v>19</v>
      </c>
      <c r="F183" s="40"/>
      <c r="G183" s="157"/>
      <c r="H183" s="158" t="s">
        <v>12</v>
      </c>
      <c r="I183" s="583"/>
      <c r="J183" s="583"/>
      <c r="K183" s="93"/>
      <c r="L183" s="93">
        <f t="shared" ca="1" si="94"/>
        <v>612200</v>
      </c>
      <c r="M183" s="93">
        <f t="shared" ca="1" si="94"/>
        <v>314350</v>
      </c>
      <c r="N183" s="93">
        <f t="shared" ca="1" si="94"/>
        <v>131441.60000000001</v>
      </c>
      <c r="O183" s="93">
        <f t="shared" ca="1" si="92"/>
        <v>21.470369160405095</v>
      </c>
      <c r="P183" s="93">
        <f t="shared" ca="1" si="93"/>
        <v>41.813774455225065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1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65">
        <f t="shared" ref="L184:N184" ca="1" si="95">L185+L186</f>
        <v>612200</v>
      </c>
      <c r="M184" s="465">
        <f t="shared" ca="1" si="95"/>
        <v>314350</v>
      </c>
      <c r="N184" s="465">
        <f t="shared" ca="1" si="95"/>
        <v>131441.60000000001</v>
      </c>
      <c r="O184" s="465">
        <f t="shared" ca="1" si="92"/>
        <v>21.470369160405095</v>
      </c>
      <c r="P184" s="465">
        <f t="shared" ca="1" si="93"/>
        <v>41.813774455225065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2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2"/>
        <v>0</v>
      </c>
      <c r="P185" s="93">
        <f t="shared" si="93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2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IFERROR(__xludf.DUMMYFUNCTION("IMPORTRANGE(""https://docs.google.com/spreadsheets/d/1MeEWN-I1oV_STSDYn1IFDPWt_1FKiwhDph83XaGc0o0/edit?usp=sharing"",""งบพรบ!CO15"")"),612200)</f>
        <v>612200</v>
      </c>
      <c r="M186" s="93">
        <f ca="1">IFERROR(__xludf.DUMMYFUNCTION("IMPORTRANGE(""https://docs.google.com/spreadsheets/d/1MeEWN-I1oV_STSDYn1IFDPWt_1FKiwhDph83XaGc0o0/edit?usp=sharing"",""งบพรบ!CT15"")"),314350)</f>
        <v>314350</v>
      </c>
      <c r="N186" s="93">
        <f ca="1">IFERROR(__xludf.DUMMYFUNCTION("IMPORTRANGE(""https://docs.google.com/spreadsheets/d/1MeEWN-I1oV_STSDYn1IFDPWt_1FKiwhDph83XaGc0o0/edit?usp=sharing"",""งบพรบ!CV15"")"),131441.6)</f>
        <v>131441.60000000001</v>
      </c>
      <c r="O186" s="93">
        <f t="shared" ca="1" si="92"/>
        <v>21.470369160405095</v>
      </c>
      <c r="P186" s="93">
        <f t="shared" ca="1" si="93"/>
        <v>41.813774455225065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1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65">
        <f t="shared" ref="L187:N187" ca="1" si="96">L188+L189</f>
        <v>0</v>
      </c>
      <c r="M187" s="465">
        <f t="shared" ca="1" si="96"/>
        <v>0</v>
      </c>
      <c r="N187" s="465">
        <f t="shared" ca="1" si="96"/>
        <v>0</v>
      </c>
      <c r="O187" s="465">
        <f t="shared" ca="1" si="92"/>
        <v>0</v>
      </c>
      <c r="P187" s="465">
        <f t="shared" ca="1" si="93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2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2"/>
        <v>0</v>
      </c>
      <c r="P188" s="93">
        <f t="shared" si="93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2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IFERROR(__xludf.DUMMYFUNCTION("IMPORTRANGE(""https://docs.google.com/spreadsheets/d/1MeEWN-I1oV_STSDYn1IFDPWt_1FKiwhDph83XaGc0o0/edit?usp=sharing"",""งบพรบ!CR15"")"),0)</f>
        <v>0</v>
      </c>
      <c r="M189" s="93">
        <f ca="1">IFERROR(__xludf.DUMMYFUNCTION("IMPORTRANGE(""https://docs.google.com/spreadsheets/d/1MeEWN-I1oV_STSDYn1IFDPWt_1FKiwhDph83XaGc0o0/edit?usp=sharing"",""งบพรบ!CU15"")"),0)</f>
        <v>0</v>
      </c>
      <c r="N189" s="93">
        <f ca="1">IFERROR(__xludf.DUMMYFUNCTION("IMPORTRANGE(""https://docs.google.com/spreadsheets/d/1MeEWN-I1oV_STSDYn1IFDPWt_1FKiwhDph83XaGc0o0/edit?usp=sharing"",""งบพรบ!CW15"")"),0)</f>
        <v>0</v>
      </c>
      <c r="O189" s="93">
        <f t="shared" ca="1" si="92"/>
        <v>0</v>
      </c>
      <c r="P189" s="93">
        <f t="shared" ca="1" si="93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5"/>
      <c r="B190" s="263"/>
      <c r="C190" s="339" t="s">
        <v>89</v>
      </c>
      <c r="D190" s="256"/>
      <c r="E190" s="256"/>
      <c r="F190" s="256"/>
      <c r="G190" s="258"/>
      <c r="H190" s="259" t="s">
        <v>90</v>
      </c>
      <c r="I190" s="271">
        <f t="shared" ref="I190:J190" ca="1" si="97">I193</f>
        <v>4</v>
      </c>
      <c r="J190" s="271">
        <f t="shared" si="97"/>
        <v>0</v>
      </c>
      <c r="K190" s="272">
        <f ca="1">IF(I190&gt;0,J190*100/I190,0)</f>
        <v>0</v>
      </c>
      <c r="L190" s="261"/>
      <c r="M190" s="261"/>
      <c r="N190" s="261"/>
      <c r="O190" s="261"/>
      <c r="P190" s="261"/>
    </row>
    <row r="191" spans="1:26" ht="19.5">
      <c r="A191" s="147"/>
      <c r="B191" s="148"/>
      <c r="C191" s="149" t="s">
        <v>16</v>
      </c>
      <c r="D191" s="822" t="s">
        <v>17</v>
      </c>
      <c r="E191" s="148"/>
      <c r="F191" s="148"/>
      <c r="G191" s="151"/>
      <c r="H191" s="274" t="s">
        <v>12</v>
      </c>
      <c r="I191" s="388"/>
      <c r="J191" s="388"/>
      <c r="K191" s="154"/>
      <c r="L191" s="155">
        <f ca="1">IFERROR(__xludf.DUMMYFUNCTION("IMPORTRANGE(""https://docs.google.com/spreadsheets/d/1QqKyyYR6Q21VydFLVH3TRQUabQu_ym0Zz7PgGX0-kHA/edit?usp=sharing"",""แผน!Z15"")"),6000)</f>
        <v>6000</v>
      </c>
      <c r="M191" s="155"/>
      <c r="N191" s="275">
        <v>0</v>
      </c>
      <c r="O191" s="155">
        <f ca="1">IF(L191&gt;0,N191*100/L191,0)</f>
        <v>0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0" t="s">
        <v>16</v>
      </c>
      <c r="D192" s="818" t="s">
        <v>38</v>
      </c>
      <c r="E192" s="173"/>
      <c r="F192" s="173"/>
      <c r="G192" s="174"/>
      <c r="H192" s="726"/>
      <c r="I192" s="269"/>
      <c r="J192" s="269"/>
      <c r="K192" s="465"/>
      <c r="L192" s="465"/>
      <c r="M192" s="465"/>
      <c r="N192" s="465"/>
      <c r="O192" s="465"/>
      <c r="P192" s="465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15" t="s">
        <v>91</v>
      </c>
      <c r="E193" s="342"/>
      <c r="F193" s="342"/>
      <c r="G193" s="179"/>
      <c r="H193" s="728" t="s">
        <v>90</v>
      </c>
      <c r="I193" s="269">
        <f ca="1">IFERROR(__xludf.DUMMYFUNCTION("IMPORTRANGE(""https://docs.google.com/spreadsheets/d/1QqKyyYR6Q21VydFLVH3TRQUabQu_ym0Zz7PgGX0-kHA/edit?usp=sharing"",""แผน!AC15"")"),4)</f>
        <v>4</v>
      </c>
      <c r="J193" s="214">
        <v>0</v>
      </c>
      <c r="K193" s="465">
        <f ca="1">IF(I193&gt;0,J193*100/I193,0)</f>
        <v>0</v>
      </c>
      <c r="L193" s="465"/>
      <c r="M193" s="465"/>
      <c r="N193" s="465"/>
      <c r="O193" s="465"/>
      <c r="P193" s="465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15" t="s">
        <v>92</v>
      </c>
      <c r="E194" s="342"/>
      <c r="F194" s="342"/>
      <c r="G194" s="179"/>
      <c r="H194" s="276" t="s">
        <v>35</v>
      </c>
      <c r="I194" s="269"/>
      <c r="J194" s="269">
        <f>J195+J196</f>
        <v>0</v>
      </c>
      <c r="K194" s="465"/>
      <c r="L194" s="465"/>
      <c r="M194" s="465"/>
      <c r="N194" s="465"/>
      <c r="O194" s="465"/>
      <c r="P194" s="465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15" t="s">
        <v>93</v>
      </c>
      <c r="F195" s="342"/>
      <c r="G195" s="179"/>
      <c r="H195" s="276" t="s">
        <v>35</v>
      </c>
      <c r="I195" s="269"/>
      <c r="J195" s="214">
        <v>0</v>
      </c>
      <c r="K195" s="465"/>
      <c r="L195" s="465"/>
      <c r="M195" s="465"/>
      <c r="N195" s="465"/>
      <c r="O195" s="465"/>
      <c r="P195" s="465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15" t="s">
        <v>94</v>
      </c>
      <c r="F196" s="342"/>
      <c r="G196" s="179"/>
      <c r="H196" s="276" t="s">
        <v>35</v>
      </c>
      <c r="I196" s="269"/>
      <c r="J196" s="214">
        <v>0</v>
      </c>
      <c r="K196" s="465"/>
      <c r="L196" s="465"/>
      <c r="M196" s="465"/>
      <c r="N196" s="465"/>
      <c r="O196" s="465"/>
      <c r="P196" s="465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5"/>
      <c r="B197" s="263"/>
      <c r="C197" s="339" t="s">
        <v>95</v>
      </c>
      <c r="D197" s="256"/>
      <c r="E197" s="256"/>
      <c r="F197" s="256"/>
      <c r="G197" s="258"/>
      <c r="H197" s="277" t="s">
        <v>96</v>
      </c>
      <c r="I197" s="271">
        <f t="shared" ref="I197:J197" ca="1" si="98">I204</f>
        <v>5</v>
      </c>
      <c r="J197" s="271">
        <f t="shared" si="98"/>
        <v>0</v>
      </c>
      <c r="K197" s="272">
        <f ca="1">IF(I197&gt;0,J197*100/I197,0)</f>
        <v>0</v>
      </c>
      <c r="L197" s="261"/>
      <c r="M197" s="261"/>
      <c r="N197" s="261"/>
      <c r="O197" s="261"/>
      <c r="P197" s="261"/>
    </row>
    <row r="198" spans="1:26" ht="19.5">
      <c r="A198" s="147"/>
      <c r="B198" s="148"/>
      <c r="C198" s="149" t="s">
        <v>16</v>
      </c>
      <c r="D198" s="822" t="s">
        <v>17</v>
      </c>
      <c r="E198" s="148"/>
      <c r="F198" s="148"/>
      <c r="G198" s="151"/>
      <c r="H198" s="274" t="s">
        <v>12</v>
      </c>
      <c r="I198" s="387"/>
      <c r="J198" s="387"/>
      <c r="K198" s="279"/>
      <c r="L198" s="155">
        <f ca="1">L199+L200+L201+L202</f>
        <v>65000</v>
      </c>
      <c r="M198" s="155"/>
      <c r="N198" s="155">
        <f>N199+N200+N201+N202</f>
        <v>0</v>
      </c>
      <c r="O198" s="155">
        <f ca="1">IF(L198&gt;0,N198*100/L198,0)</f>
        <v>0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0"/>
      <c r="C199" s="33"/>
      <c r="D199" s="281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65">
        <f ca="1">IFERROR(__xludf.DUMMYFUNCTION("IMPORTRANGE(""https://docs.google.com/spreadsheets/d/1QqKyyYR6Q21VydFLVH3TRQUabQu_ym0Zz7PgGX0-kHA/edit?usp=sharing"",""แผน!AE15"")"),5000)</f>
        <v>5000</v>
      </c>
      <c r="M199" s="465"/>
      <c r="N199" s="789">
        <v>0</v>
      </c>
      <c r="O199" s="465"/>
      <c r="P199" s="465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3"/>
      <c r="B200" s="280"/>
      <c r="C200" s="210"/>
      <c r="D200" s="281" t="s">
        <v>98</v>
      </c>
      <c r="E200" s="33"/>
      <c r="F200" s="33"/>
      <c r="G200" s="35"/>
      <c r="H200" s="589" t="s">
        <v>12</v>
      </c>
      <c r="I200" s="269"/>
      <c r="J200" s="269"/>
      <c r="K200" s="465"/>
      <c r="L200" s="465">
        <f ca="1">IFERROR(__xludf.DUMMYFUNCTION("IMPORTRANGE(""https://docs.google.com/spreadsheets/d/1QqKyyYR6Q21VydFLVH3TRQUabQu_ym0Zz7PgGX0-kHA/edit?usp=sharing"",""แผน!AF15"")"),40000)</f>
        <v>40000</v>
      </c>
      <c r="M200" s="465"/>
      <c r="N200" s="789">
        <v>0</v>
      </c>
      <c r="O200" s="465"/>
      <c r="P200" s="465"/>
      <c r="Q200" s="285"/>
      <c r="R200" s="285"/>
      <c r="S200" s="285"/>
      <c r="T200" s="285"/>
      <c r="U200" s="285"/>
      <c r="V200" s="285"/>
      <c r="W200" s="285"/>
      <c r="X200" s="285"/>
      <c r="Y200" s="285"/>
      <c r="Z200" s="285"/>
    </row>
    <row r="201" spans="1:26" ht="19.5">
      <c r="A201" s="283"/>
      <c r="B201" s="280"/>
      <c r="C201" s="210"/>
      <c r="D201" s="281" t="s">
        <v>99</v>
      </c>
      <c r="E201" s="33"/>
      <c r="F201" s="33"/>
      <c r="G201" s="35"/>
      <c r="H201" s="589" t="s">
        <v>12</v>
      </c>
      <c r="I201" s="269"/>
      <c r="J201" s="269"/>
      <c r="K201" s="465"/>
      <c r="L201" s="465">
        <f ca="1">IFERROR(__xludf.DUMMYFUNCTION("IMPORTRANGE(""https://docs.google.com/spreadsheets/d/1QqKyyYR6Q21VydFLVH3TRQUabQu_ym0Zz7PgGX0-kHA/edit?usp=sharing"",""แผน!AG15"")"),20000)</f>
        <v>20000</v>
      </c>
      <c r="M201" s="465"/>
      <c r="N201" s="789">
        <v>0</v>
      </c>
      <c r="O201" s="465"/>
      <c r="P201" s="465"/>
      <c r="Q201" s="285"/>
      <c r="R201" s="285"/>
      <c r="S201" s="285"/>
      <c r="T201" s="285"/>
      <c r="U201" s="285"/>
      <c r="V201" s="285"/>
      <c r="W201" s="285"/>
      <c r="X201" s="285"/>
      <c r="Y201" s="285"/>
      <c r="Z201" s="285"/>
    </row>
    <row r="202" spans="1:26" ht="19.5">
      <c r="A202" s="283"/>
      <c r="B202" s="280"/>
      <c r="C202" s="210"/>
      <c r="D202" s="281" t="s">
        <v>100</v>
      </c>
      <c r="E202" s="33"/>
      <c r="F202" s="33"/>
      <c r="G202" s="35"/>
      <c r="H202" s="589" t="s">
        <v>12</v>
      </c>
      <c r="I202" s="269"/>
      <c r="J202" s="269"/>
      <c r="K202" s="465"/>
      <c r="L202" s="465">
        <f ca="1">IFERROR(__xludf.DUMMYFUNCTION("IMPORTRANGE(""https://docs.google.com/spreadsheets/d/1QqKyyYR6Q21VydFLVH3TRQUabQu_ym0Zz7PgGX0-kHA/edit?usp=sharing"",""แผน!AH15"")"),0)</f>
        <v>0</v>
      </c>
      <c r="M202" s="465"/>
      <c r="N202" s="789">
        <v>0</v>
      </c>
      <c r="O202" s="465"/>
      <c r="P202" s="465"/>
      <c r="Q202" s="285"/>
      <c r="R202" s="285"/>
      <c r="S202" s="285"/>
      <c r="T202" s="285"/>
      <c r="U202" s="285"/>
      <c r="V202" s="285"/>
      <c r="W202" s="285"/>
      <c r="X202" s="285"/>
      <c r="Y202" s="285"/>
      <c r="Z202" s="285"/>
    </row>
    <row r="203" spans="1:26" ht="19.5">
      <c r="A203" s="170"/>
      <c r="B203" s="171"/>
      <c r="C203" s="210" t="s">
        <v>16</v>
      </c>
      <c r="D203" s="818" t="s">
        <v>38</v>
      </c>
      <c r="E203" s="173"/>
      <c r="F203" s="173"/>
      <c r="G203" s="174"/>
      <c r="H203" s="726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343" t="s">
        <v>101</v>
      </c>
      <c r="E204" s="342"/>
      <c r="F204" s="342"/>
      <c r="G204" s="179"/>
      <c r="H204" s="726" t="s">
        <v>96</v>
      </c>
      <c r="I204" s="269">
        <f ca="1">IFERROR(__xludf.DUMMYFUNCTION("IMPORTRANGE(""https://docs.google.com/spreadsheets/d/1QqKyyYR6Q21VydFLVH3TRQUabQu_ym0Zz7PgGX0-kHA/edit?usp=sharing"",""แผน!AI15"")"),5)</f>
        <v>5</v>
      </c>
      <c r="J204" s="214">
        <v>0</v>
      </c>
      <c r="K204" s="163">
        <f ca="1">IF(I204&gt;0,J204*100/I204,0)</f>
        <v>0</v>
      </c>
      <c r="L204" s="465"/>
      <c r="M204" s="465"/>
      <c r="N204" s="465"/>
      <c r="O204" s="465"/>
      <c r="P204" s="465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15" t="s">
        <v>59</v>
      </c>
      <c r="E205" s="342"/>
      <c r="F205" s="342"/>
      <c r="G205" s="179"/>
      <c r="H205" s="726"/>
      <c r="I205" s="269"/>
      <c r="J205" s="269"/>
      <c r="K205" s="163"/>
      <c r="L205" s="465"/>
      <c r="M205" s="465"/>
      <c r="N205" s="465"/>
      <c r="O205" s="465"/>
      <c r="P205" s="465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342"/>
      <c r="E206" s="494" t="s">
        <v>102</v>
      </c>
      <c r="F206" s="286"/>
      <c r="G206" s="287"/>
      <c r="H206" s="288" t="s">
        <v>96</v>
      </c>
      <c r="I206" s="269">
        <v>5</v>
      </c>
      <c r="J206" s="214">
        <v>0</v>
      </c>
      <c r="K206" s="163">
        <f t="shared" ref="K206:K208" si="99">IF(I206&gt;0,J206*100/I206,0)</f>
        <v>0</v>
      </c>
      <c r="L206" s="465"/>
      <c r="M206" s="465"/>
      <c r="N206" s="465"/>
      <c r="O206" s="465"/>
      <c r="P206" s="465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15"/>
      <c r="E207" s="415" t="s">
        <v>103</v>
      </c>
      <c r="F207" s="342"/>
      <c r="G207" s="342"/>
      <c r="H207" s="289" t="s">
        <v>104</v>
      </c>
      <c r="I207" s="269">
        <v>0</v>
      </c>
      <c r="J207" s="214">
        <v>0</v>
      </c>
      <c r="K207" s="163">
        <f t="shared" si="99"/>
        <v>0</v>
      </c>
      <c r="L207" s="465"/>
      <c r="M207" s="465"/>
      <c r="N207" s="465"/>
      <c r="O207" s="465"/>
      <c r="P207" s="465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 hidden="1">
      <c r="A208" s="255"/>
      <c r="B208" s="263"/>
      <c r="C208" s="339" t="s">
        <v>105</v>
      </c>
      <c r="D208" s="256"/>
      <c r="E208" s="256"/>
      <c r="F208" s="290"/>
      <c r="G208" s="258"/>
      <c r="H208" s="277" t="s">
        <v>96</v>
      </c>
      <c r="I208" s="271">
        <f t="shared" ref="I208:J208" ca="1" si="100">I215</f>
        <v>0</v>
      </c>
      <c r="J208" s="271">
        <f t="shared" si="100"/>
        <v>0</v>
      </c>
      <c r="K208" s="272">
        <f t="shared" ca="1" si="99"/>
        <v>0</v>
      </c>
      <c r="L208" s="261"/>
      <c r="M208" s="261"/>
      <c r="N208" s="261"/>
      <c r="O208" s="261"/>
      <c r="P208" s="261"/>
    </row>
    <row r="209" spans="1:26" ht="19.5" hidden="1">
      <c r="A209" s="147"/>
      <c r="B209" s="148"/>
      <c r="C209" s="149" t="s">
        <v>16</v>
      </c>
      <c r="D209" s="822" t="s">
        <v>17</v>
      </c>
      <c r="E209" s="148"/>
      <c r="F209" s="148"/>
      <c r="G209" s="151"/>
      <c r="H209" s="274" t="s">
        <v>12</v>
      </c>
      <c r="I209" s="387"/>
      <c r="J209" s="387"/>
      <c r="K209" s="279"/>
      <c r="L209" s="155">
        <f ca="1">L210+L211+L212</f>
        <v>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 hidden="1">
      <c r="A210" s="159"/>
      <c r="B210" s="280"/>
      <c r="C210" s="33"/>
      <c r="D210" s="281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65">
        <f ca="1">IFERROR(__xludf.DUMMYFUNCTION("IMPORTRANGE(""https://docs.google.com/spreadsheets/d/1QqKyyYR6Q21VydFLVH3TRQUabQu_ym0Zz7PgGX0-kHA/edit?usp=sharing"",""แผน!AK15"")"),0)</f>
        <v>0</v>
      </c>
      <c r="M210" s="465"/>
      <c r="N210" s="789">
        <v>0</v>
      </c>
      <c r="O210" s="465"/>
      <c r="P210" s="465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 hidden="1">
      <c r="A211" s="283"/>
      <c r="B211" s="280"/>
      <c r="C211" s="291"/>
      <c r="D211" s="281" t="s">
        <v>99</v>
      </c>
      <c r="E211" s="33"/>
      <c r="F211" s="33"/>
      <c r="G211" s="35"/>
      <c r="H211" s="161" t="s">
        <v>12</v>
      </c>
      <c r="I211" s="269"/>
      <c r="J211" s="269"/>
      <c r="K211" s="465"/>
      <c r="L211" s="465">
        <f ca="1">IFERROR(__xludf.DUMMYFUNCTION("IMPORTRANGE(""https://docs.google.com/spreadsheets/d/1QqKyyYR6Q21VydFLVH3TRQUabQu_ym0Zz7PgGX0-kHA/edit?usp=sharing"",""แผน!AL15"")"),0)</f>
        <v>0</v>
      </c>
      <c r="M211" s="465"/>
      <c r="N211" s="789">
        <v>0</v>
      </c>
      <c r="O211" s="465"/>
      <c r="P211" s="465"/>
      <c r="Q211" s="285"/>
      <c r="R211" s="285"/>
      <c r="S211" s="285"/>
      <c r="T211" s="285"/>
      <c r="U211" s="285"/>
      <c r="V211" s="285"/>
      <c r="W211" s="285"/>
      <c r="X211" s="285"/>
      <c r="Y211" s="285"/>
      <c r="Z211" s="285"/>
    </row>
    <row r="212" spans="1:26" ht="19.5" hidden="1">
      <c r="A212" s="283"/>
      <c r="B212" s="280"/>
      <c r="C212" s="291"/>
      <c r="D212" s="281" t="s">
        <v>98</v>
      </c>
      <c r="E212" s="33"/>
      <c r="F212" s="33"/>
      <c r="G212" s="35"/>
      <c r="H212" s="161" t="s">
        <v>12</v>
      </c>
      <c r="I212" s="269"/>
      <c r="J212" s="269"/>
      <c r="K212" s="465"/>
      <c r="L212" s="465">
        <f ca="1">IFERROR(__xludf.DUMMYFUNCTION("IMPORTRANGE(""https://docs.google.com/spreadsheets/d/1QqKyyYR6Q21VydFLVH3TRQUabQu_ym0Zz7PgGX0-kHA/edit?usp=sharing"",""แผน!AM15"")"),0)</f>
        <v>0</v>
      </c>
      <c r="M212" s="465"/>
      <c r="N212" s="789">
        <v>0</v>
      </c>
      <c r="O212" s="465"/>
      <c r="P212" s="465"/>
      <c r="Q212" s="285"/>
      <c r="R212" s="285"/>
      <c r="S212" s="285"/>
      <c r="T212" s="285"/>
      <c r="U212" s="285"/>
      <c r="V212" s="285"/>
      <c r="W212" s="285"/>
      <c r="X212" s="285"/>
      <c r="Y212" s="285"/>
      <c r="Z212" s="285"/>
    </row>
    <row r="213" spans="1:26" ht="19.5" hidden="1">
      <c r="A213" s="170"/>
      <c r="B213" s="171"/>
      <c r="C213" s="291" t="s">
        <v>16</v>
      </c>
      <c r="D213" s="818" t="s">
        <v>38</v>
      </c>
      <c r="E213" s="173"/>
      <c r="F213" s="173"/>
      <c r="G213" s="174"/>
      <c r="H213" s="726"/>
      <c r="I213" s="184"/>
      <c r="J213" s="269"/>
      <c r="K213" s="465"/>
      <c r="L213" s="465"/>
      <c r="M213" s="465"/>
      <c r="N213" s="465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 hidden="1">
      <c r="A214" s="170"/>
      <c r="B214" s="171"/>
      <c r="C214" s="171"/>
      <c r="D214" s="343" t="s">
        <v>106</v>
      </c>
      <c r="E214" s="342"/>
      <c r="F214" s="342"/>
      <c r="G214" s="179"/>
      <c r="H214" s="726" t="s">
        <v>96</v>
      </c>
      <c r="I214" s="269">
        <f ca="1">IFERROR(__xludf.DUMMYFUNCTION("IMPORTRANGE(""https://docs.google.com/spreadsheets/d/1QqKyyYR6Q21VydFLVH3TRQUabQu_ym0Zz7PgGX0-kHA/edit?usp=sharing"",""แผน!AN15"")"),0)</f>
        <v>0</v>
      </c>
      <c r="J214" s="214">
        <v>0</v>
      </c>
      <c r="K214" s="465">
        <f t="shared" ref="K214:K216" ca="1" si="101">IF(I214&gt;0,J214*100/I214,0)</f>
        <v>0</v>
      </c>
      <c r="L214" s="465"/>
      <c r="M214" s="465"/>
      <c r="N214" s="465"/>
      <c r="O214" s="465"/>
      <c r="P214" s="465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 hidden="1">
      <c r="A215" s="170"/>
      <c r="B215" s="171"/>
      <c r="C215" s="171"/>
      <c r="D215" s="343" t="s">
        <v>107</v>
      </c>
      <c r="E215" s="342"/>
      <c r="F215" s="342"/>
      <c r="G215" s="179"/>
      <c r="H215" s="726" t="s">
        <v>96</v>
      </c>
      <c r="I215" s="269">
        <f ca="1">IFERROR(__xludf.DUMMYFUNCTION("IMPORTRANGE(""https://docs.google.com/spreadsheets/d/1QqKyyYR6Q21VydFLVH3TRQUabQu_ym0Zz7PgGX0-kHA/edit?usp=sharing"",""แผน!AN15"")"),0)</f>
        <v>0</v>
      </c>
      <c r="J215" s="214">
        <v>0</v>
      </c>
      <c r="K215" s="465">
        <f t="shared" ca="1" si="101"/>
        <v>0</v>
      </c>
      <c r="L215" s="465"/>
      <c r="M215" s="465"/>
      <c r="N215" s="465"/>
      <c r="O215" s="465"/>
      <c r="P215" s="465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5"/>
      <c r="B216" s="263"/>
      <c r="C216" s="339" t="s">
        <v>108</v>
      </c>
      <c r="D216" s="256"/>
      <c r="E216" s="256"/>
      <c r="F216" s="290"/>
      <c r="G216" s="258"/>
      <c r="H216" s="259" t="s">
        <v>109</v>
      </c>
      <c r="I216" s="271">
        <f t="shared" ref="I216:J216" ca="1" si="102">I224</f>
        <v>50000</v>
      </c>
      <c r="J216" s="271">
        <f t="shared" si="102"/>
        <v>0</v>
      </c>
      <c r="K216" s="272">
        <f t="shared" ca="1" si="101"/>
        <v>0</v>
      </c>
      <c r="L216" s="261"/>
      <c r="M216" s="261"/>
      <c r="N216" s="261"/>
      <c r="O216" s="261"/>
      <c r="P216" s="261"/>
    </row>
    <row r="217" spans="1:26" ht="19.5">
      <c r="A217" s="147"/>
      <c r="B217" s="148"/>
      <c r="C217" s="149" t="s">
        <v>16</v>
      </c>
      <c r="D217" s="822" t="s">
        <v>17</v>
      </c>
      <c r="E217" s="148"/>
      <c r="F217" s="148"/>
      <c r="G217" s="151"/>
      <c r="H217" s="274" t="s">
        <v>12</v>
      </c>
      <c r="I217" s="387"/>
      <c r="J217" s="387"/>
      <c r="K217" s="279"/>
      <c r="L217" s="155">
        <f ca="1">L218+L219+L220</f>
        <v>28500</v>
      </c>
      <c r="M217" s="155"/>
      <c r="N217" s="155">
        <f>N218+N219+N220</f>
        <v>0</v>
      </c>
      <c r="O217" s="155">
        <f ca="1">IF(L217&gt;0,N217*100/L217,0)</f>
        <v>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0"/>
      <c r="C218" s="33"/>
      <c r="D218" s="281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65">
        <f ca="1">IFERROR(__xludf.DUMMYFUNCTION("IMPORTRANGE(""https://docs.google.com/spreadsheets/d/1QqKyyYR6Q21VydFLVH3TRQUabQu_ym0Zz7PgGX0-kHA/edit?usp=sharing"",""แผน!AP15"")"),5000)</f>
        <v>5000</v>
      </c>
      <c r="M218" s="465"/>
      <c r="N218" s="789">
        <v>0</v>
      </c>
      <c r="O218" s="465"/>
      <c r="P218" s="465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3"/>
      <c r="B219" s="280"/>
      <c r="C219" s="291"/>
      <c r="D219" s="281" t="s">
        <v>110</v>
      </c>
      <c r="E219" s="33"/>
      <c r="F219" s="33"/>
      <c r="G219" s="35"/>
      <c r="H219" s="161" t="s">
        <v>12</v>
      </c>
      <c r="I219" s="269"/>
      <c r="J219" s="269"/>
      <c r="K219" s="465"/>
      <c r="L219" s="465">
        <f ca="1">IFERROR(__xludf.DUMMYFUNCTION("IMPORTRANGE(""https://docs.google.com/spreadsheets/d/1QqKyyYR6Q21VydFLVH3TRQUabQu_ym0Zz7PgGX0-kHA/edit?usp=sharing"",""แผน!AQ15"")"),13500)</f>
        <v>13500</v>
      </c>
      <c r="M219" s="465"/>
      <c r="N219" s="789">
        <v>0</v>
      </c>
      <c r="O219" s="465"/>
      <c r="P219" s="465"/>
      <c r="Q219" s="285"/>
      <c r="R219" s="285"/>
      <c r="S219" s="285"/>
      <c r="T219" s="285"/>
      <c r="U219" s="285"/>
      <c r="V219" s="285"/>
      <c r="W219" s="285"/>
      <c r="X219" s="285"/>
      <c r="Y219" s="285"/>
      <c r="Z219" s="285"/>
    </row>
    <row r="220" spans="1:26" ht="19.5">
      <c r="A220" s="283"/>
      <c r="B220" s="280"/>
      <c r="C220" s="291"/>
      <c r="D220" s="281" t="s">
        <v>98</v>
      </c>
      <c r="E220" s="33"/>
      <c r="F220" s="33"/>
      <c r="G220" s="35"/>
      <c r="H220" s="161" t="s">
        <v>12</v>
      </c>
      <c r="I220" s="269"/>
      <c r="J220" s="269"/>
      <c r="K220" s="465"/>
      <c r="L220" s="465">
        <f ca="1">IFERROR(__xludf.DUMMYFUNCTION("IMPORTRANGE(""https://docs.google.com/spreadsheets/d/1QqKyyYR6Q21VydFLVH3TRQUabQu_ym0Zz7PgGX0-kHA/edit?usp=sharing"",""แผน!AR15"")"),10000)</f>
        <v>10000</v>
      </c>
      <c r="M220" s="465"/>
      <c r="N220" s="789">
        <v>0</v>
      </c>
      <c r="O220" s="465"/>
      <c r="P220" s="465"/>
      <c r="Q220" s="285"/>
      <c r="R220" s="285"/>
      <c r="S220" s="285"/>
      <c r="T220" s="285"/>
      <c r="U220" s="285"/>
      <c r="V220" s="285"/>
      <c r="W220" s="285"/>
      <c r="X220" s="285"/>
      <c r="Y220" s="285"/>
      <c r="Z220" s="285"/>
    </row>
    <row r="221" spans="1:26" ht="19.5">
      <c r="A221" s="170"/>
      <c r="B221" s="171"/>
      <c r="C221" s="291" t="s">
        <v>16</v>
      </c>
      <c r="D221" s="818" t="s">
        <v>38</v>
      </c>
      <c r="E221" s="173"/>
      <c r="F221" s="173"/>
      <c r="G221" s="174"/>
      <c r="H221" s="726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1" t="s">
        <v>111</v>
      </c>
      <c r="E222" s="342"/>
      <c r="F222" s="342"/>
      <c r="G222" s="179"/>
      <c r="H222" s="726"/>
      <c r="I222" s="269"/>
      <c r="J222" s="269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343" t="s">
        <v>112</v>
      </c>
      <c r="F223" s="342"/>
      <c r="G223" s="179"/>
      <c r="H223" s="728" t="s">
        <v>109</v>
      </c>
      <c r="I223" s="269">
        <f ca="1">IFERROR(__xludf.DUMMYFUNCTION("IMPORTRANGE(""https://docs.google.com/spreadsheets/d/1QqKyyYR6Q21VydFLVH3TRQUabQu_ym0Zz7PgGX0-kHA/edit?usp=sharing"",""แผน!AT15"")"),50000)</f>
        <v>50000</v>
      </c>
      <c r="J223" s="214">
        <v>0</v>
      </c>
      <c r="K223" s="163">
        <f t="shared" ref="K223:K226" ca="1" si="103">IF(I223&gt;0,J223*100/I223,0)</f>
        <v>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343" t="s">
        <v>113</v>
      </c>
      <c r="F224" s="342"/>
      <c r="G224" s="179"/>
      <c r="H224" s="728" t="s">
        <v>109</v>
      </c>
      <c r="I224" s="269">
        <f ca="1">IFERROR(__xludf.DUMMYFUNCTION("IMPORTRANGE(""https://docs.google.com/spreadsheets/d/1QqKyyYR6Q21VydFLVH3TRQUabQu_ym0Zz7PgGX0-kHA/edit?usp=sharing"",""แผน!AT15"")"),50000)</f>
        <v>50000</v>
      </c>
      <c r="J224" s="214">
        <v>0</v>
      </c>
      <c r="K224" s="163">
        <f t="shared" ca="1" si="103"/>
        <v>0</v>
      </c>
      <c r="L224" s="465"/>
      <c r="M224" s="465"/>
      <c r="N224" s="465"/>
      <c r="O224" s="465"/>
      <c r="P224" s="465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1" t="s">
        <v>114</v>
      </c>
      <c r="E225" s="342"/>
      <c r="F225" s="342"/>
      <c r="G225" s="179"/>
      <c r="H225" s="728" t="s">
        <v>35</v>
      </c>
      <c r="I225" s="269">
        <f ca="1">IFERROR(__xludf.DUMMYFUNCTION("IMPORTRANGE(""https://docs.google.com/spreadsheets/d/1QqKyyYR6Q21VydFLVH3TRQUabQu_ym0Zz7PgGX0-kHA/edit?usp=sharing"",""แผน!AS15"")"),10)</f>
        <v>10</v>
      </c>
      <c r="J225" s="214">
        <v>0</v>
      </c>
      <c r="K225" s="163">
        <f t="shared" ca="1" si="103"/>
        <v>0</v>
      </c>
      <c r="L225" s="465"/>
      <c r="M225" s="465"/>
      <c r="N225" s="465"/>
      <c r="O225" s="465"/>
      <c r="P225" s="465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5"/>
      <c r="B226" s="263"/>
      <c r="C226" s="823" t="s">
        <v>115</v>
      </c>
      <c r="D226" s="256"/>
      <c r="E226" s="256"/>
      <c r="F226" s="256"/>
      <c r="G226" s="258"/>
      <c r="H226" s="265" t="s">
        <v>35</v>
      </c>
      <c r="I226" s="824">
        <f t="shared" ref="I226:J226" ca="1" si="104">I237+I248</f>
        <v>0</v>
      </c>
      <c r="J226" s="824">
        <f t="shared" si="104"/>
        <v>0</v>
      </c>
      <c r="K226" s="825">
        <f t="shared" ca="1" si="103"/>
        <v>0</v>
      </c>
      <c r="L226" s="261"/>
      <c r="M226" s="261"/>
      <c r="N226" s="261"/>
      <c r="O226" s="261"/>
      <c r="P226" s="261"/>
    </row>
    <row r="227" spans="1:26" ht="19.5" hidden="1">
      <c r="A227" s="826"/>
      <c r="B227" s="827"/>
      <c r="C227" s="828" t="s">
        <v>16</v>
      </c>
      <c r="D227" s="829" t="s">
        <v>17</v>
      </c>
      <c r="E227" s="827"/>
      <c r="F227" s="827"/>
      <c r="G227" s="830"/>
      <c r="H227" s="831" t="s">
        <v>12</v>
      </c>
      <c r="I227" s="832"/>
      <c r="J227" s="832"/>
      <c r="K227" s="833"/>
      <c r="L227" s="834">
        <f t="shared" ref="L227:L231" ca="1" si="105">L238+L249</f>
        <v>0</v>
      </c>
      <c r="M227" s="834"/>
      <c r="N227" s="834">
        <f t="shared" ref="N227:N231" si="106">N238+N249</f>
        <v>0</v>
      </c>
      <c r="O227" s="835"/>
      <c r="P227" s="835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542"/>
      <c r="C228" s="40"/>
      <c r="D228" s="222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5"/>
        <v>0</v>
      </c>
      <c r="M228" s="93"/>
      <c r="N228" s="93">
        <f t="shared" si="106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836"/>
      <c r="B229" s="542"/>
      <c r="C229" s="837"/>
      <c r="D229" s="222" t="s">
        <v>98</v>
      </c>
      <c r="E229" s="40"/>
      <c r="F229" s="40"/>
      <c r="G229" s="42"/>
      <c r="H229" s="165" t="s">
        <v>12</v>
      </c>
      <c r="I229" s="583"/>
      <c r="J229" s="583"/>
      <c r="K229" s="93"/>
      <c r="L229" s="93">
        <f t="shared" ca="1" si="105"/>
        <v>0</v>
      </c>
      <c r="M229" s="93"/>
      <c r="N229" s="93">
        <f t="shared" si="106"/>
        <v>0</v>
      </c>
      <c r="O229" s="93"/>
      <c r="P229" s="93"/>
      <c r="Q229" s="838"/>
      <c r="R229" s="838"/>
      <c r="S229" s="838"/>
      <c r="T229" s="838"/>
      <c r="U229" s="838"/>
      <c r="V229" s="838"/>
      <c r="W229" s="838"/>
      <c r="X229" s="838"/>
      <c r="Y229" s="838"/>
      <c r="Z229" s="838"/>
    </row>
    <row r="230" spans="1:26" ht="19.5" hidden="1">
      <c r="A230" s="836"/>
      <c r="B230" s="542"/>
      <c r="C230" s="837"/>
      <c r="D230" s="222" t="s">
        <v>116</v>
      </c>
      <c r="E230" s="40"/>
      <c r="F230" s="40"/>
      <c r="G230" s="42"/>
      <c r="H230" s="165" t="s">
        <v>12</v>
      </c>
      <c r="I230" s="583"/>
      <c r="J230" s="583"/>
      <c r="K230" s="93"/>
      <c r="L230" s="93">
        <f t="shared" ca="1" si="105"/>
        <v>0</v>
      </c>
      <c r="M230" s="93"/>
      <c r="N230" s="93">
        <f t="shared" si="106"/>
        <v>0</v>
      </c>
      <c r="O230" s="93"/>
      <c r="P230" s="93"/>
      <c r="Q230" s="838"/>
      <c r="R230" s="838"/>
      <c r="S230" s="838"/>
      <c r="T230" s="838"/>
      <c r="U230" s="838"/>
      <c r="V230" s="838"/>
      <c r="W230" s="838"/>
      <c r="X230" s="838"/>
      <c r="Y230" s="838"/>
      <c r="Z230" s="838"/>
    </row>
    <row r="231" spans="1:26" ht="19.5" hidden="1">
      <c r="A231" s="836"/>
      <c r="B231" s="542"/>
      <c r="C231" s="837"/>
      <c r="D231" s="222" t="s">
        <v>100</v>
      </c>
      <c r="E231" s="40"/>
      <c r="F231" s="40"/>
      <c r="G231" s="42"/>
      <c r="H231" s="165" t="s">
        <v>12</v>
      </c>
      <c r="I231" s="583"/>
      <c r="J231" s="583"/>
      <c r="K231" s="93"/>
      <c r="L231" s="93">
        <f t="shared" ca="1" si="105"/>
        <v>0</v>
      </c>
      <c r="M231" s="93"/>
      <c r="N231" s="93">
        <f t="shared" si="106"/>
        <v>0</v>
      </c>
      <c r="O231" s="93"/>
      <c r="P231" s="93"/>
      <c r="Q231" s="838"/>
      <c r="R231" s="838"/>
      <c r="S231" s="838"/>
      <c r="T231" s="838"/>
      <c r="U231" s="838"/>
      <c r="V231" s="838"/>
      <c r="W231" s="838"/>
      <c r="X231" s="838"/>
      <c r="Y231" s="838"/>
      <c r="Z231" s="838"/>
    </row>
    <row r="232" spans="1:26" ht="19.5" hidden="1">
      <c r="A232" s="839"/>
      <c r="B232" s="840"/>
      <c r="C232" s="837" t="s">
        <v>16</v>
      </c>
      <c r="D232" s="266" t="s">
        <v>38</v>
      </c>
      <c r="E232" s="841"/>
      <c r="F232" s="841"/>
      <c r="G232" s="842"/>
      <c r="H232" s="581"/>
      <c r="I232" s="166"/>
      <c r="J232" s="583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839"/>
      <c r="B233" s="840"/>
      <c r="C233" s="840"/>
      <c r="D233" s="268" t="s">
        <v>117</v>
      </c>
      <c r="E233" s="536"/>
      <c r="F233" s="536"/>
      <c r="G233" s="843"/>
      <c r="H233" s="582" t="s">
        <v>35</v>
      </c>
      <c r="I233" s="583">
        <f t="shared" ref="I233:J233" ca="1" si="107">I244+I255</f>
        <v>0</v>
      </c>
      <c r="J233" s="583">
        <f t="shared" si="107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839"/>
      <c r="B234" s="840"/>
      <c r="C234" s="840"/>
      <c r="D234" s="844" t="s">
        <v>43</v>
      </c>
      <c r="E234" s="536"/>
      <c r="F234" s="536"/>
      <c r="G234" s="843"/>
      <c r="H234" s="582"/>
      <c r="I234" s="583"/>
      <c r="J234" s="583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839"/>
      <c r="B235" s="840"/>
      <c r="C235" s="840"/>
      <c r="D235" s="840"/>
      <c r="E235" s="267" t="s">
        <v>118</v>
      </c>
      <c r="F235" s="536"/>
      <c r="G235" s="843"/>
      <c r="H235" s="582" t="s">
        <v>35</v>
      </c>
      <c r="I235" s="583">
        <f t="shared" ref="I235:J236" si="108">I246+I257</f>
        <v>0</v>
      </c>
      <c r="J235" s="583">
        <f t="shared" si="108"/>
        <v>0</v>
      </c>
      <c r="K235" s="93">
        <f t="shared" ref="K235:K237" si="109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839"/>
      <c r="B236" s="840"/>
      <c r="C236" s="840"/>
      <c r="D236" s="840"/>
      <c r="E236" s="267" t="s">
        <v>119</v>
      </c>
      <c r="F236" s="536"/>
      <c r="G236" s="843"/>
      <c r="H236" s="582" t="s">
        <v>69</v>
      </c>
      <c r="I236" s="583">
        <f t="shared" si="108"/>
        <v>0</v>
      </c>
      <c r="J236" s="583">
        <f t="shared" si="108"/>
        <v>0</v>
      </c>
      <c r="K236" s="93">
        <f t="shared" si="109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5"/>
      <c r="B237" s="263"/>
      <c r="C237" s="339" t="s">
        <v>330</v>
      </c>
      <c r="D237" s="256"/>
      <c r="E237" s="256"/>
      <c r="F237" s="256"/>
      <c r="G237" s="258"/>
      <c r="H237" s="259" t="s">
        <v>35</v>
      </c>
      <c r="I237" s="271">
        <f t="shared" ref="I237:J237" ca="1" si="110">I244</f>
        <v>0</v>
      </c>
      <c r="J237" s="271">
        <f t="shared" si="110"/>
        <v>0</v>
      </c>
      <c r="K237" s="272">
        <f t="shared" ca="1" si="109"/>
        <v>0</v>
      </c>
      <c r="L237" s="261"/>
      <c r="M237" s="261"/>
      <c r="N237" s="261"/>
      <c r="O237" s="261"/>
      <c r="P237" s="261"/>
    </row>
    <row r="238" spans="1:26" ht="19.5" hidden="1">
      <c r="A238" s="147"/>
      <c r="B238" s="148"/>
      <c r="C238" s="149" t="s">
        <v>16</v>
      </c>
      <c r="D238" s="817" t="s">
        <v>17</v>
      </c>
      <c r="E238" s="148"/>
      <c r="F238" s="148"/>
      <c r="G238" s="151"/>
      <c r="H238" s="274" t="s">
        <v>12</v>
      </c>
      <c r="I238" s="387"/>
      <c r="J238" s="387"/>
      <c r="K238" s="279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3"/>
      <c r="B239" s="314"/>
      <c r="C239" s="315"/>
      <c r="D239" s="324" t="s">
        <v>97</v>
      </c>
      <c r="E239" s="315"/>
      <c r="F239" s="315"/>
      <c r="G239" s="317"/>
      <c r="H239" s="318" t="s">
        <v>12</v>
      </c>
      <c r="I239" s="319"/>
      <c r="J239" s="319"/>
      <c r="K239" s="320"/>
      <c r="L239" s="321">
        <f ca="1">IFERROR(__xludf.DUMMYFUNCTION("IMPORTRANGE(""https://docs.google.com/spreadsheets/d/1QqKyyYR6Q21VydFLVH3TRQUabQu_ym0Zz7PgGX0-kHA/edit?usp=sharing"",""แผน!AV15"")"),0)</f>
        <v>0</v>
      </c>
      <c r="M239" s="321"/>
      <c r="N239" s="340">
        <v>0</v>
      </c>
      <c r="O239" s="321"/>
      <c r="P239" s="321"/>
      <c r="Q239" s="312"/>
      <c r="R239" s="312"/>
      <c r="S239" s="312"/>
      <c r="T239" s="312"/>
      <c r="U239" s="312"/>
      <c r="V239" s="312"/>
      <c r="W239" s="312"/>
      <c r="X239" s="312"/>
      <c r="Y239" s="312"/>
      <c r="Z239" s="312"/>
    </row>
    <row r="240" spans="1:26" ht="19.5" hidden="1">
      <c r="A240" s="322"/>
      <c r="B240" s="314"/>
      <c r="C240" s="323"/>
      <c r="D240" s="324" t="s">
        <v>98</v>
      </c>
      <c r="E240" s="315"/>
      <c r="F240" s="315"/>
      <c r="G240" s="317"/>
      <c r="H240" s="318" t="s">
        <v>12</v>
      </c>
      <c r="I240" s="325"/>
      <c r="J240" s="325"/>
      <c r="K240" s="321"/>
      <c r="L240" s="321">
        <f ca="1">IFERROR(__xludf.DUMMYFUNCTION("IMPORTRANGE(""https://docs.google.com/spreadsheets/d/1QqKyyYR6Q21VydFLVH3TRQUabQu_ym0Zz7PgGX0-kHA/edit?usp=sharing"",""แผน!AW15"")"),0)</f>
        <v>0</v>
      </c>
      <c r="M240" s="321"/>
      <c r="N240" s="340">
        <v>0</v>
      </c>
      <c r="O240" s="321"/>
      <c r="P240" s="321"/>
      <c r="Q240" s="326"/>
      <c r="R240" s="326"/>
      <c r="S240" s="326"/>
      <c r="T240" s="326"/>
      <c r="U240" s="326"/>
      <c r="V240" s="326"/>
      <c r="W240" s="326"/>
      <c r="X240" s="326"/>
      <c r="Y240" s="326"/>
      <c r="Z240" s="326"/>
    </row>
    <row r="241" spans="1:26" ht="19.5" hidden="1">
      <c r="A241" s="322"/>
      <c r="B241" s="314"/>
      <c r="C241" s="323"/>
      <c r="D241" s="324" t="s">
        <v>116</v>
      </c>
      <c r="E241" s="315"/>
      <c r="F241" s="315"/>
      <c r="G241" s="317"/>
      <c r="H241" s="318" t="s">
        <v>12</v>
      </c>
      <c r="I241" s="325"/>
      <c r="J241" s="325"/>
      <c r="K241" s="321"/>
      <c r="L241" s="321">
        <f ca="1">IFERROR(__xludf.DUMMYFUNCTION("IMPORTRANGE(""https://docs.google.com/spreadsheets/d/1QqKyyYR6Q21VydFLVH3TRQUabQu_ym0Zz7PgGX0-kHA/edit?usp=sharing"",""แผน!AX15"")"),0)</f>
        <v>0</v>
      </c>
      <c r="M241" s="321"/>
      <c r="N241" s="340">
        <v>0</v>
      </c>
      <c r="O241" s="321"/>
      <c r="P241" s="321"/>
      <c r="Q241" s="326"/>
      <c r="R241" s="326"/>
      <c r="S241" s="326"/>
      <c r="T241" s="326"/>
      <c r="U241" s="326"/>
      <c r="V241" s="326"/>
      <c r="W241" s="326"/>
      <c r="X241" s="326"/>
      <c r="Y241" s="326"/>
      <c r="Z241" s="326"/>
    </row>
    <row r="242" spans="1:26" ht="19.5" hidden="1">
      <c r="A242" s="322"/>
      <c r="B242" s="314"/>
      <c r="C242" s="323"/>
      <c r="D242" s="324" t="s">
        <v>100</v>
      </c>
      <c r="E242" s="315"/>
      <c r="F242" s="315"/>
      <c r="G242" s="317"/>
      <c r="H242" s="318" t="s">
        <v>12</v>
      </c>
      <c r="I242" s="325"/>
      <c r="J242" s="325"/>
      <c r="K242" s="321"/>
      <c r="L242" s="321">
        <f ca="1">IFERROR(__xludf.DUMMYFUNCTION("IMPORTRANGE(""https://docs.google.com/spreadsheets/d/1QqKyyYR6Q21VydFLVH3TRQUabQu_ym0Zz7PgGX0-kHA/edit?usp=sharing"",""แผน!AY15"")"),0)</f>
        <v>0</v>
      </c>
      <c r="M242" s="321"/>
      <c r="N242" s="340">
        <v>0</v>
      </c>
      <c r="O242" s="321"/>
      <c r="P242" s="321"/>
      <c r="Q242" s="326"/>
      <c r="R242" s="326"/>
      <c r="S242" s="326"/>
      <c r="T242" s="326"/>
      <c r="U242" s="326"/>
      <c r="V242" s="326"/>
      <c r="W242" s="326"/>
      <c r="X242" s="326"/>
      <c r="Y242" s="326"/>
      <c r="Z242" s="326"/>
    </row>
    <row r="243" spans="1:26" ht="19.5" hidden="1">
      <c r="A243" s="170"/>
      <c r="B243" s="171"/>
      <c r="C243" s="291" t="s">
        <v>16</v>
      </c>
      <c r="D243" s="818" t="s">
        <v>38</v>
      </c>
      <c r="E243" s="173"/>
      <c r="F243" s="173"/>
      <c r="G243" s="174"/>
      <c r="H243" s="726"/>
      <c r="I243" s="184"/>
      <c r="J243" s="269"/>
      <c r="K243" s="465"/>
      <c r="L243" s="465"/>
      <c r="M243" s="465"/>
      <c r="N243" s="465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15" t="s">
        <v>117</v>
      </c>
      <c r="E244" s="342"/>
      <c r="F244" s="342"/>
      <c r="G244" s="179"/>
      <c r="H244" s="728" t="s">
        <v>35</v>
      </c>
      <c r="I244" s="269">
        <f ca="1">IFERROR(__xludf.DUMMYFUNCTION("IMPORTRANGE(""https://docs.google.com/spreadsheets/d/1QqKyyYR6Q21VydFLVH3TRQUabQu_ym0Zz7PgGX0-kHA/edit?usp=sharing"",""แผน!BE15"")"),0)</f>
        <v>0</v>
      </c>
      <c r="J244" s="214">
        <v>0</v>
      </c>
      <c r="K244" s="465">
        <f ca="1">IF(I244&gt;0,J244*100/I244,0)</f>
        <v>0</v>
      </c>
      <c r="L244" s="465"/>
      <c r="M244" s="465"/>
      <c r="N244" s="465"/>
      <c r="O244" s="465"/>
      <c r="P244" s="465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341" t="s">
        <v>43</v>
      </c>
      <c r="E245" s="342"/>
      <c r="F245" s="342"/>
      <c r="G245" s="179"/>
      <c r="H245" s="728"/>
      <c r="I245" s="269"/>
      <c r="J245" s="269"/>
      <c r="K245" s="465"/>
      <c r="L245" s="465"/>
      <c r="M245" s="465"/>
      <c r="N245" s="465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343" t="s">
        <v>118</v>
      </c>
      <c r="F246" s="342"/>
      <c r="G246" s="179"/>
      <c r="H246" s="728" t="s">
        <v>35</v>
      </c>
      <c r="I246" s="269"/>
      <c r="J246" s="214">
        <v>0</v>
      </c>
      <c r="K246" s="465">
        <f t="shared" ref="K246:K248" si="111">IF(I246&gt;0,J246*100/I246,0)</f>
        <v>0</v>
      </c>
      <c r="L246" s="465"/>
      <c r="M246" s="465"/>
      <c r="N246" s="465"/>
      <c r="O246" s="465"/>
      <c r="P246" s="465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343" t="s">
        <v>119</v>
      </c>
      <c r="F247" s="342"/>
      <c r="G247" s="179"/>
      <c r="H247" s="728" t="s">
        <v>69</v>
      </c>
      <c r="I247" s="269"/>
      <c r="J247" s="214">
        <v>0</v>
      </c>
      <c r="K247" s="465">
        <f t="shared" si="111"/>
        <v>0</v>
      </c>
      <c r="L247" s="465"/>
      <c r="M247" s="465"/>
      <c r="N247" s="465"/>
      <c r="O247" s="465"/>
      <c r="P247" s="465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5"/>
      <c r="B248" s="263"/>
      <c r="C248" s="339" t="s">
        <v>331</v>
      </c>
      <c r="D248" s="256"/>
      <c r="E248" s="256"/>
      <c r="F248" s="256"/>
      <c r="G248" s="258"/>
      <c r="H248" s="259" t="s">
        <v>35</v>
      </c>
      <c r="I248" s="271">
        <f t="shared" ref="I248:J248" ca="1" si="112">I255</f>
        <v>0</v>
      </c>
      <c r="J248" s="271">
        <f t="shared" si="112"/>
        <v>0</v>
      </c>
      <c r="K248" s="272">
        <f t="shared" ca="1" si="111"/>
        <v>0</v>
      </c>
      <c r="L248" s="261"/>
      <c r="M248" s="261"/>
      <c r="N248" s="261"/>
      <c r="O248" s="261"/>
      <c r="P248" s="261"/>
    </row>
    <row r="249" spans="1:26" ht="19.5" hidden="1">
      <c r="A249" s="147"/>
      <c r="B249" s="148"/>
      <c r="C249" s="149" t="s">
        <v>16</v>
      </c>
      <c r="D249" s="822" t="s">
        <v>17</v>
      </c>
      <c r="E249" s="148"/>
      <c r="F249" s="148"/>
      <c r="G249" s="151"/>
      <c r="H249" s="274" t="s">
        <v>12</v>
      </c>
      <c r="I249" s="387"/>
      <c r="J249" s="387"/>
      <c r="K249" s="279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3"/>
      <c r="B250" s="314"/>
      <c r="C250" s="315"/>
      <c r="D250" s="324" t="s">
        <v>97</v>
      </c>
      <c r="E250" s="315"/>
      <c r="F250" s="315"/>
      <c r="G250" s="317"/>
      <c r="H250" s="318" t="s">
        <v>12</v>
      </c>
      <c r="I250" s="319"/>
      <c r="J250" s="319"/>
      <c r="K250" s="320"/>
      <c r="L250" s="321">
        <f ca="1">IFERROR(__xludf.DUMMYFUNCTION("IMPORTRANGE(""https://docs.google.com/spreadsheets/d/1QqKyyYR6Q21VydFLVH3TRQUabQu_ym0Zz7PgGX0-kHA/edit?usp=sharing"",""แผน!AZ15"")"),0)</f>
        <v>0</v>
      </c>
      <c r="M250" s="321"/>
      <c r="N250" s="340">
        <v>0</v>
      </c>
      <c r="O250" s="321"/>
      <c r="P250" s="321"/>
      <c r="Q250" s="312"/>
      <c r="R250" s="312"/>
      <c r="S250" s="312"/>
      <c r="T250" s="312"/>
      <c r="U250" s="312"/>
      <c r="V250" s="312"/>
      <c r="W250" s="312"/>
      <c r="X250" s="312"/>
      <c r="Y250" s="312"/>
      <c r="Z250" s="312"/>
    </row>
    <row r="251" spans="1:26" ht="19.5" hidden="1">
      <c r="A251" s="322"/>
      <c r="B251" s="314"/>
      <c r="C251" s="323"/>
      <c r="D251" s="324" t="s">
        <v>98</v>
      </c>
      <c r="E251" s="315"/>
      <c r="F251" s="315"/>
      <c r="G251" s="317"/>
      <c r="H251" s="318" t="s">
        <v>12</v>
      </c>
      <c r="I251" s="325"/>
      <c r="J251" s="325"/>
      <c r="K251" s="321"/>
      <c r="L251" s="321">
        <f ca="1">IFERROR(__xludf.DUMMYFUNCTION("IMPORTRANGE(""https://docs.google.com/spreadsheets/d/1QqKyyYR6Q21VydFLVH3TRQUabQu_ym0Zz7PgGX0-kHA/edit?usp=sharing"",""แผน!BA15"")"),0)</f>
        <v>0</v>
      </c>
      <c r="M251" s="321"/>
      <c r="N251" s="340">
        <v>0</v>
      </c>
      <c r="O251" s="321"/>
      <c r="P251" s="321"/>
      <c r="Q251" s="326"/>
      <c r="R251" s="326"/>
      <c r="S251" s="326"/>
      <c r="T251" s="326"/>
      <c r="U251" s="326"/>
      <c r="V251" s="326"/>
      <c r="W251" s="326"/>
      <c r="X251" s="326"/>
      <c r="Y251" s="326"/>
      <c r="Z251" s="326"/>
    </row>
    <row r="252" spans="1:26" ht="19.5" hidden="1">
      <c r="A252" s="322"/>
      <c r="B252" s="314"/>
      <c r="C252" s="323"/>
      <c r="D252" s="324" t="s">
        <v>116</v>
      </c>
      <c r="E252" s="315"/>
      <c r="F252" s="315"/>
      <c r="G252" s="317"/>
      <c r="H252" s="318" t="s">
        <v>12</v>
      </c>
      <c r="I252" s="325"/>
      <c r="J252" s="325"/>
      <c r="K252" s="321"/>
      <c r="L252" s="321">
        <f ca="1">IFERROR(__xludf.DUMMYFUNCTION("IMPORTRANGE(""https://docs.google.com/spreadsheets/d/1QqKyyYR6Q21VydFLVH3TRQUabQu_ym0Zz7PgGX0-kHA/edit?usp=sharing"",""แผน!BB15"")"),0)</f>
        <v>0</v>
      </c>
      <c r="M252" s="321"/>
      <c r="N252" s="340">
        <v>0</v>
      </c>
      <c r="O252" s="321"/>
      <c r="P252" s="321"/>
      <c r="Q252" s="326"/>
      <c r="R252" s="326"/>
      <c r="S252" s="326"/>
      <c r="T252" s="326"/>
      <c r="U252" s="326"/>
      <c r="V252" s="326"/>
      <c r="W252" s="326"/>
      <c r="X252" s="326"/>
      <c r="Y252" s="326"/>
      <c r="Z252" s="326"/>
    </row>
    <row r="253" spans="1:26" ht="19.5" hidden="1">
      <c r="A253" s="322"/>
      <c r="B253" s="314"/>
      <c r="C253" s="323"/>
      <c r="D253" s="324" t="s">
        <v>100</v>
      </c>
      <c r="E253" s="315"/>
      <c r="F253" s="315"/>
      <c r="G253" s="317"/>
      <c r="H253" s="318" t="s">
        <v>12</v>
      </c>
      <c r="I253" s="325"/>
      <c r="J253" s="325"/>
      <c r="K253" s="321"/>
      <c r="L253" s="321">
        <f ca="1">IFERROR(__xludf.DUMMYFUNCTION("IMPORTRANGE(""https://docs.google.com/spreadsheets/d/1QqKyyYR6Q21VydFLVH3TRQUabQu_ym0Zz7PgGX0-kHA/edit?usp=sharing"",""แผน!BC15"")"),0)</f>
        <v>0</v>
      </c>
      <c r="M253" s="321"/>
      <c r="N253" s="340">
        <v>0</v>
      </c>
      <c r="O253" s="321"/>
      <c r="P253" s="321"/>
      <c r="Q253" s="326"/>
      <c r="R253" s="326"/>
      <c r="S253" s="326"/>
      <c r="T253" s="326"/>
      <c r="U253" s="326"/>
      <c r="V253" s="326"/>
      <c r="W253" s="326"/>
      <c r="X253" s="326"/>
      <c r="Y253" s="326"/>
      <c r="Z253" s="326"/>
    </row>
    <row r="254" spans="1:26" ht="19.5" hidden="1">
      <c r="A254" s="170"/>
      <c r="B254" s="171"/>
      <c r="C254" s="291" t="s">
        <v>16</v>
      </c>
      <c r="D254" s="818" t="s">
        <v>38</v>
      </c>
      <c r="E254" s="173"/>
      <c r="F254" s="173"/>
      <c r="G254" s="174"/>
      <c r="H254" s="726"/>
      <c r="I254" s="184"/>
      <c r="J254" s="269"/>
      <c r="K254" s="465"/>
      <c r="L254" s="465"/>
      <c r="M254" s="465"/>
      <c r="N254" s="465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15" t="s">
        <v>117</v>
      </c>
      <c r="E255" s="342"/>
      <c r="F255" s="342"/>
      <c r="G255" s="179"/>
      <c r="H255" s="728" t="s">
        <v>35</v>
      </c>
      <c r="I255" s="269">
        <f ca="1">IFERROR(__xludf.DUMMYFUNCTION("IMPORTRANGE(""https://docs.google.com/spreadsheets/d/1QqKyyYR6Q21VydFLVH3TRQUabQu_ym0Zz7PgGX0-kHA/edit?usp=sharing"",""แผน!BF15"")"),0)</f>
        <v>0</v>
      </c>
      <c r="J255" s="214">
        <v>0</v>
      </c>
      <c r="K255" s="465">
        <f ca="1">IF(I255&gt;0,J255*100/I255,0)</f>
        <v>0</v>
      </c>
      <c r="L255" s="465"/>
      <c r="M255" s="465"/>
      <c r="N255" s="465"/>
      <c r="O255" s="465"/>
      <c r="P255" s="465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341" t="s">
        <v>43</v>
      </c>
      <c r="E256" s="342"/>
      <c r="F256" s="342"/>
      <c r="G256" s="179"/>
      <c r="H256" s="728"/>
      <c r="I256" s="269"/>
      <c r="J256" s="269"/>
      <c r="K256" s="465"/>
      <c r="L256" s="465"/>
      <c r="M256" s="465"/>
      <c r="N256" s="465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343" t="s">
        <v>118</v>
      </c>
      <c r="F257" s="342"/>
      <c r="G257" s="179"/>
      <c r="H257" s="728" t="s">
        <v>35</v>
      </c>
      <c r="I257" s="269"/>
      <c r="J257" s="214">
        <v>0</v>
      </c>
      <c r="K257" s="465">
        <f t="shared" ref="K257:K258" si="113">IF(I257&gt;0,J257*100/I257,0)</f>
        <v>0</v>
      </c>
      <c r="L257" s="465"/>
      <c r="M257" s="465"/>
      <c r="N257" s="465"/>
      <c r="O257" s="465"/>
      <c r="P257" s="465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343" t="s">
        <v>119</v>
      </c>
      <c r="F258" s="342"/>
      <c r="G258" s="179"/>
      <c r="H258" s="728" t="s">
        <v>69</v>
      </c>
      <c r="I258" s="269"/>
      <c r="J258" s="214">
        <v>0</v>
      </c>
      <c r="K258" s="465">
        <f t="shared" si="113"/>
        <v>0</v>
      </c>
      <c r="L258" s="465"/>
      <c r="M258" s="465"/>
      <c r="N258" s="465"/>
      <c r="O258" s="465"/>
      <c r="P258" s="465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1" t="s">
        <v>122</v>
      </c>
      <c r="B259" s="242"/>
      <c r="C259" s="242"/>
      <c r="D259" s="243"/>
      <c r="E259" s="243"/>
      <c r="F259" s="243"/>
      <c r="G259" s="244"/>
      <c r="H259" s="245"/>
      <c r="I259" s="246"/>
      <c r="J259" s="246"/>
      <c r="K259" s="247"/>
      <c r="L259" s="247"/>
      <c r="M259" s="247"/>
      <c r="N259" s="247"/>
      <c r="O259" s="247"/>
      <c r="P259" s="247"/>
    </row>
    <row r="260" spans="1:26" ht="19.5">
      <c r="A260" s="248"/>
      <c r="B260" s="249" t="s">
        <v>123</v>
      </c>
      <c r="C260" s="250"/>
      <c r="D260" s="173"/>
      <c r="E260" s="173"/>
      <c r="F260" s="173"/>
      <c r="G260" s="174"/>
      <c r="H260" s="251" t="s">
        <v>35</v>
      </c>
      <c r="I260" s="252">
        <f t="shared" ref="I260:J260" ca="1" si="114">I271</f>
        <v>26</v>
      </c>
      <c r="J260" s="252">
        <f t="shared" si="114"/>
        <v>0</v>
      </c>
      <c r="K260" s="253">
        <f ca="1">IF(I260&gt;0,J260*100/I260,0)</f>
        <v>0</v>
      </c>
      <c r="L260" s="254"/>
      <c r="M260" s="254"/>
      <c r="N260" s="254"/>
      <c r="O260" s="254"/>
      <c r="P260" s="254"/>
    </row>
    <row r="261" spans="1:26" ht="19.5">
      <c r="A261" s="147"/>
      <c r="B261" s="148"/>
      <c r="C261" s="149" t="s">
        <v>16</v>
      </c>
      <c r="D261" s="817" t="s">
        <v>17</v>
      </c>
      <c r="E261" s="148"/>
      <c r="F261" s="148"/>
      <c r="G261" s="151"/>
      <c r="H261" s="152" t="s">
        <v>12</v>
      </c>
      <c r="I261" s="388"/>
      <c r="J261" s="388"/>
      <c r="K261" s="154"/>
      <c r="L261" s="155">
        <f t="shared" ref="L261:N261" ca="1" si="115">L262+L263</f>
        <v>30700</v>
      </c>
      <c r="M261" s="155">
        <f t="shared" ca="1" si="115"/>
        <v>27700</v>
      </c>
      <c r="N261" s="155">
        <f t="shared" ca="1" si="115"/>
        <v>480</v>
      </c>
      <c r="O261" s="155">
        <f t="shared" ref="O261:O269" ca="1" si="116">IF(L261&gt;0,N261*100/L261,0)</f>
        <v>1.5635179153094463</v>
      </c>
      <c r="P261" s="155">
        <f t="shared" ref="P261:P269" ca="1" si="117">IF(M261&gt;0,N261*100/M261,0)</f>
        <v>1.7328519855595668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2" t="s">
        <v>18</v>
      </c>
      <c r="F262" s="40"/>
      <c r="G262" s="157"/>
      <c r="H262" s="158" t="s">
        <v>12</v>
      </c>
      <c r="I262" s="583"/>
      <c r="J262" s="583"/>
      <c r="K262" s="93"/>
      <c r="L262" s="93">
        <f t="shared" ref="L262:N263" si="118">L265+L268</f>
        <v>0</v>
      </c>
      <c r="M262" s="93">
        <f t="shared" si="118"/>
        <v>0</v>
      </c>
      <c r="N262" s="93">
        <f t="shared" si="118"/>
        <v>0</v>
      </c>
      <c r="O262" s="93">
        <f t="shared" si="116"/>
        <v>0</v>
      </c>
      <c r="P262" s="93">
        <f t="shared" si="117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2" t="s">
        <v>19</v>
      </c>
      <c r="F263" s="40"/>
      <c r="G263" s="157"/>
      <c r="H263" s="158" t="s">
        <v>12</v>
      </c>
      <c r="I263" s="583"/>
      <c r="J263" s="583"/>
      <c r="K263" s="93"/>
      <c r="L263" s="93">
        <f t="shared" ca="1" si="118"/>
        <v>30700</v>
      </c>
      <c r="M263" s="93">
        <f t="shared" ca="1" si="118"/>
        <v>27700</v>
      </c>
      <c r="N263" s="93">
        <f t="shared" ca="1" si="118"/>
        <v>480</v>
      </c>
      <c r="O263" s="93">
        <f t="shared" ca="1" si="116"/>
        <v>1.5635179153094463</v>
      </c>
      <c r="P263" s="93">
        <f t="shared" ca="1" si="117"/>
        <v>1.7328519855595668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1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65">
        <f t="shared" ref="L264:N264" ca="1" si="119">L265+L266</f>
        <v>30700</v>
      </c>
      <c r="M264" s="465">
        <f t="shared" ca="1" si="119"/>
        <v>27700</v>
      </c>
      <c r="N264" s="465">
        <f t="shared" ca="1" si="119"/>
        <v>480</v>
      </c>
      <c r="O264" s="465">
        <f t="shared" ca="1" si="116"/>
        <v>1.5635179153094463</v>
      </c>
      <c r="P264" s="465">
        <f t="shared" ca="1" si="117"/>
        <v>1.7328519855595668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2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6"/>
        <v>0</v>
      </c>
      <c r="P265" s="93">
        <f t="shared" si="117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2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IFERROR(__xludf.DUMMYFUNCTION("IMPORTRANGE(""https://docs.google.com/spreadsheets/d/1MeEWN-I1oV_STSDYn1IFDPWt_1FKiwhDph83XaGc0o0/edit?usp=sharing"",""งบพรบ!CY15"")"),30700)</f>
        <v>30700</v>
      </c>
      <c r="M266" s="93">
        <f ca="1">IFERROR(__xludf.DUMMYFUNCTION("IMPORTRANGE(""https://docs.google.com/spreadsheets/d/1MeEWN-I1oV_STSDYn1IFDPWt_1FKiwhDph83XaGc0o0/edit?usp=sharing"",""งบพรบ!DD15"")"),27700)</f>
        <v>27700</v>
      </c>
      <c r="N266" s="93">
        <f ca="1">IFERROR(__xludf.DUMMYFUNCTION("IMPORTRANGE(""https://docs.google.com/spreadsheets/d/1MeEWN-I1oV_STSDYn1IFDPWt_1FKiwhDph83XaGc0o0/edit?usp=sharing"",""งบพรบ!DF15"")"),480)</f>
        <v>480</v>
      </c>
      <c r="O266" s="93">
        <f t="shared" ca="1" si="116"/>
        <v>1.5635179153094463</v>
      </c>
      <c r="P266" s="93">
        <f t="shared" ca="1" si="117"/>
        <v>1.7328519855595668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1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65">
        <f t="shared" ref="L267:N267" ca="1" si="120">L268+L269</f>
        <v>0</v>
      </c>
      <c r="M267" s="465">
        <f t="shared" ca="1" si="120"/>
        <v>0</v>
      </c>
      <c r="N267" s="465">
        <f t="shared" ca="1" si="120"/>
        <v>0</v>
      </c>
      <c r="O267" s="465">
        <f t="shared" ca="1" si="116"/>
        <v>0</v>
      </c>
      <c r="P267" s="465">
        <f t="shared" ca="1" si="117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2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6"/>
        <v>0</v>
      </c>
      <c r="P268" s="93">
        <f t="shared" si="117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2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IFERROR(__xludf.DUMMYFUNCTION("IMPORTRANGE(""https://docs.google.com/spreadsheets/d/1MeEWN-I1oV_STSDYn1IFDPWt_1FKiwhDph83XaGc0o0/edit?usp=sharing"",""งบพรบ!DB15"")"),0)</f>
        <v>0</v>
      </c>
      <c r="M269" s="93">
        <f ca="1">IFERROR(__xludf.DUMMYFUNCTION("IMPORTRANGE(""https://docs.google.com/spreadsheets/d/1MeEWN-I1oV_STSDYn1IFDPWt_1FKiwhDph83XaGc0o0/edit?usp=sharing"",""งบพรบ!DE15"")"),0)</f>
        <v>0</v>
      </c>
      <c r="N269" s="93">
        <f ca="1">IFERROR(__xludf.DUMMYFUNCTION("IMPORTRANGE(""https://docs.google.com/spreadsheets/d/1MeEWN-I1oV_STSDYn1IFDPWt_1FKiwhDph83XaGc0o0/edit?usp=sharing"",""งบพรบ!DG15"")"),0)</f>
        <v>0</v>
      </c>
      <c r="O269" s="93">
        <f t="shared" ca="1" si="116"/>
        <v>0</v>
      </c>
      <c r="P269" s="93">
        <f t="shared" ca="1" si="117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1" t="s">
        <v>16</v>
      </c>
      <c r="D270" s="818" t="s">
        <v>38</v>
      </c>
      <c r="E270" s="173"/>
      <c r="F270" s="173"/>
      <c r="G270" s="174"/>
      <c r="H270" s="726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44" t="s">
        <v>124</v>
      </c>
      <c r="E271" s="342"/>
      <c r="F271" s="268"/>
      <c r="G271" s="179"/>
      <c r="H271" s="345" t="s">
        <v>35</v>
      </c>
      <c r="I271" s="269">
        <f ca="1">IFERROR(__xludf.DUMMYFUNCTION("IMPORTRANGE(""https://docs.google.com/spreadsheets/d/1QqKyyYR6Q21VydFLVH3TRQUabQu_ym0Zz7PgGX0-kHA/edit?usp=sharing"",""แผน!EA15"")"),26)</f>
        <v>26</v>
      </c>
      <c r="J271" s="214">
        <v>0</v>
      </c>
      <c r="K271" s="163">
        <f ca="1">IF(I271&gt;0,J271*100/I271,0)</f>
        <v>0</v>
      </c>
      <c r="L271" s="163"/>
      <c r="M271" s="163"/>
      <c r="N271" s="163"/>
      <c r="O271" s="163"/>
      <c r="P271" s="163"/>
    </row>
    <row r="272" spans="1:26" ht="18.75" hidden="1">
      <c r="A272" s="346"/>
      <c r="B272" s="347"/>
      <c r="C272" s="347"/>
      <c r="D272" s="348" t="s">
        <v>125</v>
      </c>
      <c r="E272" s="349"/>
      <c r="F272" s="349"/>
      <c r="G272" s="350"/>
      <c r="H272" s="50" t="s">
        <v>35</v>
      </c>
      <c r="I272" s="468">
        <v>0</v>
      </c>
      <c r="J272" s="468">
        <v>0</v>
      </c>
      <c r="K272" s="353">
        <v>0</v>
      </c>
      <c r="L272" s="353"/>
      <c r="M272" s="353"/>
      <c r="N272" s="353"/>
      <c r="O272" s="353"/>
      <c r="P272" s="353"/>
    </row>
    <row r="273" spans="1:26" ht="19.5">
      <c r="A273" s="354" t="s">
        <v>126</v>
      </c>
      <c r="B273" s="355"/>
      <c r="C273" s="355"/>
      <c r="D273" s="355"/>
      <c r="E273" s="356"/>
      <c r="F273" s="356"/>
      <c r="G273" s="357"/>
      <c r="H273" s="358"/>
      <c r="I273" s="359"/>
      <c r="J273" s="359"/>
      <c r="K273" s="360"/>
      <c r="L273" s="360"/>
      <c r="M273" s="360"/>
      <c r="N273" s="360"/>
      <c r="O273" s="360"/>
      <c r="P273" s="360"/>
    </row>
    <row r="274" spans="1:26" ht="19.5">
      <c r="A274" s="361" t="s">
        <v>127</v>
      </c>
      <c r="B274" s="362"/>
      <c r="C274" s="363"/>
      <c r="D274" s="362"/>
      <c r="E274" s="362"/>
      <c r="F274" s="362"/>
      <c r="G274" s="362"/>
      <c r="H274" s="364"/>
      <c r="I274" s="365"/>
      <c r="J274" s="366"/>
      <c r="K274" s="367"/>
      <c r="L274" s="367"/>
      <c r="M274" s="367"/>
      <c r="N274" s="367"/>
      <c r="O274" s="367"/>
      <c r="P274" s="367"/>
    </row>
    <row r="275" spans="1:26" ht="19.5">
      <c r="A275" s="368"/>
      <c r="B275" s="377" t="s">
        <v>128</v>
      </c>
      <c r="C275" s="370"/>
      <c r="D275" s="371"/>
      <c r="E275" s="370"/>
      <c r="F275" s="370"/>
      <c r="G275" s="372"/>
      <c r="H275" s="373" t="s">
        <v>35</v>
      </c>
      <c r="I275" s="374">
        <f t="shared" ref="I275:J275" ca="1" si="121">I288</f>
        <v>20</v>
      </c>
      <c r="J275" s="374">
        <f t="shared" ca="1" si="121"/>
        <v>0</v>
      </c>
      <c r="K275" s="375">
        <f t="shared" ref="K275:K276" ca="1" si="122">IF(I275&gt;0,J275*100/I275,0)</f>
        <v>0</v>
      </c>
      <c r="L275" s="376"/>
      <c r="M275" s="376"/>
      <c r="N275" s="376"/>
      <c r="O275" s="376"/>
      <c r="P275" s="376"/>
    </row>
    <row r="276" spans="1:26" ht="19.5">
      <c r="A276" s="368"/>
      <c r="B276" s="377"/>
      <c r="C276" s="370"/>
      <c r="D276" s="371"/>
      <c r="E276" s="370"/>
      <c r="F276" s="370"/>
      <c r="G276" s="372"/>
      <c r="H276" s="373" t="s">
        <v>46</v>
      </c>
      <c r="I276" s="859">
        <f t="shared" ref="I276:J276" ca="1" si="123">I287</f>
        <v>200</v>
      </c>
      <c r="J276" s="859">
        <f t="shared" si="123"/>
        <v>0</v>
      </c>
      <c r="K276" s="376">
        <f t="shared" ca="1" si="122"/>
        <v>0</v>
      </c>
      <c r="L276" s="376"/>
      <c r="M276" s="376"/>
      <c r="N276" s="376"/>
      <c r="O276" s="376"/>
      <c r="P276" s="376"/>
    </row>
    <row r="277" spans="1:26" ht="19.5">
      <c r="A277" s="147"/>
      <c r="B277" s="148"/>
      <c r="C277" s="149" t="s">
        <v>16</v>
      </c>
      <c r="D277" s="817" t="s">
        <v>17</v>
      </c>
      <c r="E277" s="148"/>
      <c r="F277" s="148"/>
      <c r="G277" s="151"/>
      <c r="H277" s="152" t="s">
        <v>12</v>
      </c>
      <c r="I277" s="388"/>
      <c r="J277" s="388"/>
      <c r="K277" s="154"/>
      <c r="L277" s="155">
        <f t="shared" ref="L277:N277" ca="1" si="124">L278+L279</f>
        <v>75640</v>
      </c>
      <c r="M277" s="155">
        <f t="shared" ca="1" si="124"/>
        <v>31640</v>
      </c>
      <c r="N277" s="155">
        <f t="shared" ca="1" si="124"/>
        <v>4970</v>
      </c>
      <c r="O277" s="155">
        <f t="shared" ref="O277:O285" ca="1" si="125">IF(L277&gt;0,N277*100/L277,0)</f>
        <v>6.5705975674246426</v>
      </c>
      <c r="P277" s="155">
        <f t="shared" ref="P277:P285" ca="1" si="126">IF(M277&gt;0,N277*100/M277,0)</f>
        <v>15.707964601769911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2" t="s">
        <v>18</v>
      </c>
      <c r="F278" s="40"/>
      <c r="G278" s="157"/>
      <c r="H278" s="158" t="s">
        <v>12</v>
      </c>
      <c r="I278" s="583"/>
      <c r="J278" s="583"/>
      <c r="K278" s="93"/>
      <c r="L278" s="93">
        <f t="shared" ref="L278:N279" si="127">L281+L284</f>
        <v>0</v>
      </c>
      <c r="M278" s="93">
        <f t="shared" si="127"/>
        <v>0</v>
      </c>
      <c r="N278" s="93">
        <f t="shared" si="127"/>
        <v>0</v>
      </c>
      <c r="O278" s="93">
        <f t="shared" si="125"/>
        <v>0</v>
      </c>
      <c r="P278" s="93">
        <f t="shared" si="126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2" t="s">
        <v>19</v>
      </c>
      <c r="F279" s="40"/>
      <c r="G279" s="157"/>
      <c r="H279" s="158" t="s">
        <v>12</v>
      </c>
      <c r="I279" s="583"/>
      <c r="J279" s="583"/>
      <c r="K279" s="93"/>
      <c r="L279" s="93">
        <f t="shared" ca="1" si="127"/>
        <v>75640</v>
      </c>
      <c r="M279" s="93">
        <f t="shared" ca="1" si="127"/>
        <v>31640</v>
      </c>
      <c r="N279" s="93">
        <f t="shared" ca="1" si="127"/>
        <v>4970</v>
      </c>
      <c r="O279" s="93">
        <f t="shared" ca="1" si="125"/>
        <v>6.5705975674246426</v>
      </c>
      <c r="P279" s="93">
        <f t="shared" ca="1" si="126"/>
        <v>15.707964601769911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>
      <c r="A280" s="159"/>
      <c r="B280" s="33"/>
      <c r="C280" s="281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65">
        <f t="shared" ref="L280:N280" ca="1" si="128">L281+L282</f>
        <v>75640</v>
      </c>
      <c r="M280" s="465">
        <f t="shared" ca="1" si="128"/>
        <v>31640</v>
      </c>
      <c r="N280" s="465">
        <f t="shared" ca="1" si="128"/>
        <v>4970</v>
      </c>
      <c r="O280" s="465">
        <f t="shared" ca="1" si="125"/>
        <v>6.5705975674246426</v>
      </c>
      <c r="P280" s="465">
        <f t="shared" ca="1" si="126"/>
        <v>15.707964601769911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2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5"/>
        <v>0</v>
      </c>
      <c r="P281" s="93">
        <f t="shared" si="126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2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IFERROR(__xludf.DUMMYFUNCTION("IMPORTRANGE(""https://docs.google.com/spreadsheets/d/1MeEWN-I1oV_STSDYn1IFDPWt_1FKiwhDph83XaGc0o0/edit?usp=sharing"",""งบพรบ!DI15"")"),75640)</f>
        <v>75640</v>
      </c>
      <c r="M282" s="93">
        <f ca="1">IFERROR(__xludf.DUMMYFUNCTION("IMPORTRANGE(""https://docs.google.com/spreadsheets/d/1MeEWN-I1oV_STSDYn1IFDPWt_1FKiwhDph83XaGc0o0/edit?usp=sharing"",""งบพรบ!DN15"")"),31640)</f>
        <v>31640</v>
      </c>
      <c r="N282" s="93">
        <f ca="1">IFERROR(__xludf.DUMMYFUNCTION("IMPORTRANGE(""https://docs.google.com/spreadsheets/d/1MeEWN-I1oV_STSDYn1IFDPWt_1FKiwhDph83XaGc0o0/edit?usp=sharing"",""งบพรบ!DP15"")"),4970)</f>
        <v>4970</v>
      </c>
      <c r="O282" s="93">
        <f t="shared" ca="1" si="125"/>
        <v>6.5705975674246426</v>
      </c>
      <c r="P282" s="93">
        <f t="shared" ca="1" si="126"/>
        <v>15.707964601769911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>
      <c r="A283" s="159"/>
      <c r="B283" s="33"/>
      <c r="C283" s="281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65">
        <f t="shared" ref="L283:N283" ca="1" si="129">L284+L285</f>
        <v>0</v>
      </c>
      <c r="M283" s="465">
        <f t="shared" ca="1" si="129"/>
        <v>0</v>
      </c>
      <c r="N283" s="465">
        <f t="shared" ca="1" si="129"/>
        <v>0</v>
      </c>
      <c r="O283" s="465">
        <f t="shared" ca="1" si="125"/>
        <v>0</v>
      </c>
      <c r="P283" s="465">
        <f t="shared" ca="1" si="126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2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5"/>
        <v>0</v>
      </c>
      <c r="P284" s="93">
        <f t="shared" si="126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2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IFERROR(__xludf.DUMMYFUNCTION("IMPORTRANGE(""https://docs.google.com/spreadsheets/d/1MeEWN-I1oV_STSDYn1IFDPWt_1FKiwhDph83XaGc0o0/edit?usp=sharing"",""งบพรบ!DL15"")"),0)</f>
        <v>0</v>
      </c>
      <c r="M285" s="93">
        <f ca="1">IFERROR(__xludf.DUMMYFUNCTION("IMPORTRANGE(""https://docs.google.com/spreadsheets/d/1MeEWN-I1oV_STSDYn1IFDPWt_1FKiwhDph83XaGc0o0/edit?usp=sharing"",""งบพรบ!DO15"")"),0)</f>
        <v>0</v>
      </c>
      <c r="N285" s="93">
        <f ca="1">IFERROR(__xludf.DUMMYFUNCTION("IMPORTRANGE(""https://docs.google.com/spreadsheets/d/1MeEWN-I1oV_STSDYn1IFDPWt_1FKiwhDph83XaGc0o0/edit?usp=sharing"",""งบพรบ!DQ15"")"),0)</f>
        <v>0</v>
      </c>
      <c r="O285" s="93">
        <f t="shared" ca="1" si="125"/>
        <v>0</v>
      </c>
      <c r="P285" s="93">
        <f t="shared" ca="1" si="126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>
      <c r="A286" s="170"/>
      <c r="B286" s="171"/>
      <c r="C286" s="164" t="s">
        <v>16</v>
      </c>
      <c r="D286" s="818" t="s">
        <v>38</v>
      </c>
      <c r="E286" s="173"/>
      <c r="F286" s="173"/>
      <c r="G286" s="174"/>
      <c r="H286" s="726"/>
      <c r="I286" s="184"/>
      <c r="J286" s="184"/>
      <c r="K286" s="163"/>
      <c r="L286" s="163"/>
      <c r="M286" s="163"/>
      <c r="N286" s="163"/>
      <c r="O286" s="163"/>
      <c r="P286" s="163"/>
    </row>
    <row r="287" spans="1:26" ht="18.75">
      <c r="A287" s="170"/>
      <c r="B287" s="171"/>
      <c r="C287" s="171"/>
      <c r="D287" s="592" t="s">
        <v>129</v>
      </c>
      <c r="E287" s="171"/>
      <c r="F287" s="342"/>
      <c r="G287" s="179"/>
      <c r="H287" s="185" t="s">
        <v>46</v>
      </c>
      <c r="I287" s="269">
        <f ca="1">IFERROR(__xludf.DUMMYFUNCTION("IMPORTRANGE(""https://docs.google.com/spreadsheets/d/1QqKyyYR6Q21VydFLVH3TRQUabQu_ym0Zz7PgGX0-kHA/edit?usp=sharing"",""แผน!EC15"")"),200)</f>
        <v>200</v>
      </c>
      <c r="J287" s="214">
        <v>0</v>
      </c>
      <c r="K287" s="163">
        <f t="shared" ref="K287:K288" ca="1" si="130">IF(I287&gt;0,J287*100/I287,0)</f>
        <v>0</v>
      </c>
      <c r="L287" s="163"/>
      <c r="M287" s="163"/>
      <c r="N287" s="163"/>
      <c r="O287" s="163"/>
      <c r="P287" s="163"/>
    </row>
    <row r="288" spans="1:26" ht="19.5">
      <c r="A288" s="170"/>
      <c r="B288" s="171"/>
      <c r="C288" s="171"/>
      <c r="D288" s="592" t="s">
        <v>130</v>
      </c>
      <c r="E288" s="171"/>
      <c r="F288" s="342"/>
      <c r="G288" s="179"/>
      <c r="H288" s="180" t="s">
        <v>35</v>
      </c>
      <c r="I288" s="647">
        <f ca="1">IFERROR(__xludf.DUMMYFUNCTION("IMPORTRANGE(""https://docs.google.com/spreadsheets/d/1QqKyyYR6Q21VydFLVH3TRQUabQu_ym0Zz7PgGX0-kHA/edit?usp=sharing"",""แผน!EB15"")"),20)</f>
        <v>20</v>
      </c>
      <c r="J288" s="647">
        <f ca="1">IF(AND(J291&gt;=I288,J294&gt;=I288),J294,0)</f>
        <v>0</v>
      </c>
      <c r="K288" s="379">
        <f t="shared" ca="1" si="130"/>
        <v>0</v>
      </c>
      <c r="L288" s="163"/>
      <c r="M288" s="163"/>
      <c r="N288" s="163"/>
      <c r="O288" s="163"/>
      <c r="P288" s="163"/>
    </row>
    <row r="289" spans="1:26" ht="19.5">
      <c r="A289" s="170"/>
      <c r="B289" s="171"/>
      <c r="C289" s="171"/>
      <c r="D289" s="380"/>
      <c r="E289" s="381" t="s">
        <v>131</v>
      </c>
      <c r="F289" s="342"/>
      <c r="G289" s="179"/>
      <c r="H289" s="728"/>
      <c r="I289" s="184"/>
      <c r="J289" s="269"/>
      <c r="K289" s="163"/>
      <c r="L289" s="163"/>
      <c r="M289" s="163"/>
      <c r="N289" s="163"/>
      <c r="O289" s="163"/>
      <c r="P289" s="163"/>
    </row>
    <row r="290" spans="1:26" ht="19.5">
      <c r="A290" s="170"/>
      <c r="B290" s="171"/>
      <c r="C290" s="171"/>
      <c r="D290" s="380"/>
      <c r="E290" s="592" t="s">
        <v>132</v>
      </c>
      <c r="F290" s="342"/>
      <c r="G290" s="179"/>
      <c r="H290" s="728" t="s">
        <v>35</v>
      </c>
      <c r="I290" s="184">
        <f ca="1">IFERROR(__xludf.DUMMYFUNCTION("IMPORTRANGE(""https://docs.google.com/spreadsheets/d/1QqKyyYR6Q21VydFLVH3TRQUabQu_ym0Zz7PgGX0-kHA/edit?usp=sharing"",""แผน!EB15"")"),20)</f>
        <v>20</v>
      </c>
      <c r="J290" s="214">
        <v>0</v>
      </c>
      <c r="K290" s="163">
        <f t="shared" ref="K290:K291" ca="1" si="131">IF(I290&gt;0,J290*100/I290,0)</f>
        <v>0</v>
      </c>
      <c r="L290" s="163"/>
      <c r="M290" s="163"/>
      <c r="N290" s="163"/>
      <c r="O290" s="163"/>
      <c r="P290" s="163"/>
    </row>
    <row r="291" spans="1:26" ht="19.5">
      <c r="A291" s="170"/>
      <c r="B291" s="171"/>
      <c r="C291" s="171"/>
      <c r="D291" s="342"/>
      <c r="E291" s="592" t="s">
        <v>133</v>
      </c>
      <c r="F291" s="342"/>
      <c r="G291" s="179"/>
      <c r="H291" s="728" t="s">
        <v>35</v>
      </c>
      <c r="I291" s="184">
        <f ca="1">IFERROR(__xludf.DUMMYFUNCTION("IMPORTRANGE(""https://docs.google.com/spreadsheets/d/1QqKyyYR6Q21VydFLVH3TRQUabQu_ym0Zz7PgGX0-kHA/edit?usp=sharing"",""แผน!EB15"")"),20)</f>
        <v>20</v>
      </c>
      <c r="J291" s="214">
        <v>0</v>
      </c>
      <c r="K291" s="163">
        <f t="shared" ca="1" si="131"/>
        <v>0</v>
      </c>
      <c r="L291" s="163"/>
      <c r="M291" s="163"/>
      <c r="N291" s="163"/>
      <c r="O291" s="163"/>
      <c r="P291" s="163"/>
    </row>
    <row r="292" spans="1:26" ht="19.5">
      <c r="A292" s="382"/>
      <c r="B292" s="383"/>
      <c r="C292" s="383"/>
      <c r="D292" s="384"/>
      <c r="E292" s="385" t="s">
        <v>134</v>
      </c>
      <c r="F292" s="286"/>
      <c r="G292" s="287"/>
      <c r="H292" s="386"/>
      <c r="I292" s="387"/>
      <c r="J292" s="388"/>
      <c r="K292" s="279"/>
      <c r="L292" s="279"/>
      <c r="M292" s="279"/>
      <c r="N292" s="279"/>
      <c r="O292" s="279"/>
      <c r="P292" s="279"/>
    </row>
    <row r="293" spans="1:26" ht="19.5">
      <c r="A293" s="170"/>
      <c r="B293" s="171"/>
      <c r="C293" s="171"/>
      <c r="D293" s="380"/>
      <c r="E293" s="592" t="s">
        <v>132</v>
      </c>
      <c r="F293" s="342"/>
      <c r="G293" s="179"/>
      <c r="H293" s="728" t="s">
        <v>35</v>
      </c>
      <c r="I293" s="184">
        <f ca="1">IFERROR(__xludf.DUMMYFUNCTION("IMPORTRANGE(""https://docs.google.com/spreadsheets/d/1QqKyyYR6Q21VydFLVH3TRQUabQu_ym0Zz7PgGX0-kHA/edit?usp=sharing"",""แผน!EB15"")"),20)</f>
        <v>20</v>
      </c>
      <c r="J293" s="214">
        <v>0</v>
      </c>
      <c r="K293" s="163">
        <f t="shared" ref="K293:K294" ca="1" si="132">IF(I293&gt;0,J293*100/I293,0)</f>
        <v>0</v>
      </c>
      <c r="L293" s="163"/>
      <c r="M293" s="163"/>
      <c r="N293" s="163"/>
      <c r="O293" s="163"/>
      <c r="P293" s="163"/>
    </row>
    <row r="294" spans="1:26" ht="19.5">
      <c r="A294" s="346"/>
      <c r="B294" s="347"/>
      <c r="C294" s="347"/>
      <c r="D294" s="349"/>
      <c r="E294" s="698" t="s">
        <v>136</v>
      </c>
      <c r="F294" s="349"/>
      <c r="G294" s="350"/>
      <c r="H294" s="390" t="s">
        <v>35</v>
      </c>
      <c r="I294" s="391">
        <f ca="1">IFERROR(__xludf.DUMMYFUNCTION("IMPORTRANGE(""https://docs.google.com/spreadsheets/d/1QqKyyYR6Q21VydFLVH3TRQUabQu_ym0Zz7PgGX0-kHA/edit?usp=sharing"",""แผน!EB15"")"),20)</f>
        <v>20</v>
      </c>
      <c r="J294" s="392">
        <v>0</v>
      </c>
      <c r="K294" s="353">
        <f t="shared" ca="1" si="132"/>
        <v>0</v>
      </c>
      <c r="L294" s="353"/>
      <c r="M294" s="353"/>
      <c r="N294" s="353"/>
      <c r="O294" s="353"/>
      <c r="P294" s="353"/>
    </row>
    <row r="295" spans="1:26" ht="19.5">
      <c r="A295" s="393" t="s">
        <v>137</v>
      </c>
      <c r="B295" s="394"/>
      <c r="C295" s="394"/>
      <c r="D295" s="394"/>
      <c r="E295" s="395"/>
      <c r="F295" s="395"/>
      <c r="G295" s="396"/>
      <c r="H295" s="397"/>
      <c r="I295" s="398"/>
      <c r="J295" s="398"/>
      <c r="K295" s="399"/>
      <c r="L295" s="399"/>
      <c r="M295" s="399"/>
      <c r="N295" s="399"/>
      <c r="O295" s="399"/>
      <c r="P295" s="399"/>
    </row>
    <row r="296" spans="1:26" ht="19.5">
      <c r="A296" s="400" t="s">
        <v>138</v>
      </c>
      <c r="B296" s="401"/>
      <c r="C296" s="401"/>
      <c r="D296" s="402"/>
      <c r="E296" s="402"/>
      <c r="F296" s="402"/>
      <c r="G296" s="403"/>
      <c r="H296" s="404"/>
      <c r="I296" s="405"/>
      <c r="J296" s="405"/>
      <c r="K296" s="406"/>
      <c r="L296" s="406"/>
      <c r="M296" s="406"/>
      <c r="N296" s="406"/>
      <c r="O296" s="406"/>
      <c r="P296" s="406"/>
    </row>
    <row r="297" spans="1:26" ht="19.5">
      <c r="A297" s="407"/>
      <c r="B297" s="408" t="s">
        <v>139</v>
      </c>
      <c r="C297" s="409"/>
      <c r="D297" s="409"/>
      <c r="E297" s="409"/>
      <c r="F297" s="409"/>
      <c r="G297" s="410"/>
      <c r="H297" s="411" t="s">
        <v>35</v>
      </c>
      <c r="I297" s="412">
        <f t="shared" ref="I297:J297" ca="1" si="133">I309</f>
        <v>20</v>
      </c>
      <c r="J297" s="412">
        <f t="shared" si="133"/>
        <v>0</v>
      </c>
      <c r="K297" s="413">
        <f ca="1">IF(I297&gt;0,J297*100/I297,0)</f>
        <v>0</v>
      </c>
      <c r="L297" s="414"/>
      <c r="M297" s="414"/>
      <c r="N297" s="414"/>
      <c r="O297" s="414"/>
      <c r="P297" s="414"/>
    </row>
    <row r="298" spans="1:26" ht="19.5">
      <c r="A298" s="147"/>
      <c r="B298" s="148"/>
      <c r="C298" s="149" t="s">
        <v>16</v>
      </c>
      <c r="D298" s="817" t="s">
        <v>17</v>
      </c>
      <c r="E298" s="148"/>
      <c r="F298" s="148"/>
      <c r="G298" s="151"/>
      <c r="H298" s="152" t="s">
        <v>12</v>
      </c>
      <c r="I298" s="388"/>
      <c r="J298" s="388"/>
      <c r="K298" s="154"/>
      <c r="L298" s="155">
        <f t="shared" ref="L298:N298" ca="1" si="134">L299+L300</f>
        <v>368400</v>
      </c>
      <c r="M298" s="155">
        <f t="shared" ca="1" si="134"/>
        <v>179120</v>
      </c>
      <c r="N298" s="155">
        <f t="shared" ca="1" si="134"/>
        <v>57950</v>
      </c>
      <c r="O298" s="155">
        <f t="shared" ref="O298:O306" ca="1" si="135">IF(L298&gt;0,N298*100/L298,0)</f>
        <v>15.730184581976113</v>
      </c>
      <c r="P298" s="155">
        <f t="shared" ref="P298:P306" ca="1" si="136">IF(M298&gt;0,N298*100/M298,0)</f>
        <v>32.352612773559628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2" t="s">
        <v>18</v>
      </c>
      <c r="F299" s="40"/>
      <c r="G299" s="157"/>
      <c r="H299" s="158" t="s">
        <v>12</v>
      </c>
      <c r="I299" s="583"/>
      <c r="J299" s="583"/>
      <c r="K299" s="93"/>
      <c r="L299" s="93">
        <f t="shared" ref="L299:N300" si="137">L302+L305</f>
        <v>0</v>
      </c>
      <c r="M299" s="93">
        <f t="shared" si="137"/>
        <v>0</v>
      </c>
      <c r="N299" s="93">
        <f t="shared" si="137"/>
        <v>0</v>
      </c>
      <c r="O299" s="93">
        <f t="shared" si="135"/>
        <v>0</v>
      </c>
      <c r="P299" s="93">
        <f t="shared" si="136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2" t="s">
        <v>19</v>
      </c>
      <c r="F300" s="40"/>
      <c r="G300" s="157"/>
      <c r="H300" s="158" t="s">
        <v>12</v>
      </c>
      <c r="I300" s="583"/>
      <c r="J300" s="583"/>
      <c r="K300" s="93"/>
      <c r="L300" s="93">
        <f t="shared" ca="1" si="137"/>
        <v>368400</v>
      </c>
      <c r="M300" s="93">
        <f t="shared" ca="1" si="137"/>
        <v>179120</v>
      </c>
      <c r="N300" s="93">
        <f t="shared" ca="1" si="137"/>
        <v>57950</v>
      </c>
      <c r="O300" s="93">
        <f t="shared" ca="1" si="135"/>
        <v>15.730184581976113</v>
      </c>
      <c r="P300" s="93">
        <f t="shared" ca="1" si="136"/>
        <v>32.352612773559628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>
      <c r="A301" s="159"/>
      <c r="B301" s="33"/>
      <c r="C301" s="281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65">
        <f t="shared" ref="L301:N301" ca="1" si="138">L302+L303</f>
        <v>368400</v>
      </c>
      <c r="M301" s="465">
        <f t="shared" ca="1" si="138"/>
        <v>179120</v>
      </c>
      <c r="N301" s="465">
        <f t="shared" ca="1" si="138"/>
        <v>57950</v>
      </c>
      <c r="O301" s="465">
        <f t="shared" ca="1" si="135"/>
        <v>15.730184581976113</v>
      </c>
      <c r="P301" s="465">
        <f t="shared" ca="1" si="136"/>
        <v>32.352612773559628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2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5"/>
        <v>0</v>
      </c>
      <c r="P302" s="93">
        <f t="shared" si="136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2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IFERROR(__xludf.DUMMYFUNCTION("IMPORTRANGE(""https://docs.google.com/spreadsheets/d/1MeEWN-I1oV_STSDYn1IFDPWt_1FKiwhDph83XaGc0o0/edit?usp=sharing"",""งบพรบ!DS15"")"),368400)</f>
        <v>368400</v>
      </c>
      <c r="M303" s="93">
        <f ca="1">IFERROR(__xludf.DUMMYFUNCTION("IMPORTRANGE(""https://docs.google.com/spreadsheets/d/1MeEWN-I1oV_STSDYn1IFDPWt_1FKiwhDph83XaGc0o0/edit?usp=sharing"",""งบพรบ!DX15"")"),179120)</f>
        <v>179120</v>
      </c>
      <c r="N303" s="93">
        <f ca="1">IFERROR(__xludf.DUMMYFUNCTION("IMPORTRANGE(""https://docs.google.com/spreadsheets/d/1MeEWN-I1oV_STSDYn1IFDPWt_1FKiwhDph83XaGc0o0/edit?usp=sharing"",""งบพรบ!DZ15"")"),57950)</f>
        <v>57950</v>
      </c>
      <c r="O303" s="93">
        <f t="shared" ca="1" si="135"/>
        <v>15.730184581976113</v>
      </c>
      <c r="P303" s="93">
        <f t="shared" ca="1" si="136"/>
        <v>32.352612773559628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>
      <c r="A304" s="159"/>
      <c r="B304" s="33"/>
      <c r="C304" s="281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65">
        <f t="shared" ref="L304:N304" ca="1" si="139">L305+L306</f>
        <v>0</v>
      </c>
      <c r="M304" s="465">
        <f t="shared" ca="1" si="139"/>
        <v>0</v>
      </c>
      <c r="N304" s="465">
        <f t="shared" ca="1" si="139"/>
        <v>0</v>
      </c>
      <c r="O304" s="465">
        <f t="shared" ca="1" si="135"/>
        <v>0</v>
      </c>
      <c r="P304" s="465">
        <f t="shared" ca="1" si="136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2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5"/>
        <v>0</v>
      </c>
      <c r="P305" s="93">
        <f t="shared" si="136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2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IFERROR(__xludf.DUMMYFUNCTION("IMPORTRANGE(""https://docs.google.com/spreadsheets/d/1MeEWN-I1oV_STSDYn1IFDPWt_1FKiwhDph83XaGc0o0/edit?usp=sharing"",""งบพรบ!DV15"")"),0)</f>
        <v>0</v>
      </c>
      <c r="M306" s="93">
        <f ca="1">IFERROR(__xludf.DUMMYFUNCTION("IMPORTRANGE(""https://docs.google.com/spreadsheets/d/1MeEWN-I1oV_STSDYn1IFDPWt_1FKiwhDph83XaGc0o0/edit?usp=sharing"",""งบพรบ!DY15"")"),0)</f>
        <v>0</v>
      </c>
      <c r="N306" s="93">
        <f ca="1">IFERROR(__xludf.DUMMYFUNCTION("IMPORTRANGE(""https://docs.google.com/spreadsheets/d/1MeEWN-I1oV_STSDYn1IFDPWt_1FKiwhDph83XaGc0o0/edit?usp=sharing"",""งบพรบ!EA15"")"),0)</f>
        <v>0</v>
      </c>
      <c r="O306" s="93">
        <f t="shared" ca="1" si="135"/>
        <v>0</v>
      </c>
      <c r="P306" s="93">
        <f t="shared" ca="1" si="136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>
      <c r="A307" s="170"/>
      <c r="B307" s="171"/>
      <c r="C307" s="164" t="s">
        <v>16</v>
      </c>
      <c r="D307" s="818" t="s">
        <v>38</v>
      </c>
      <c r="E307" s="173"/>
      <c r="F307" s="173"/>
      <c r="G307" s="174"/>
      <c r="H307" s="726"/>
      <c r="I307" s="269"/>
      <c r="J307" s="269"/>
      <c r="K307" s="465"/>
      <c r="L307" s="465"/>
      <c r="M307" s="465"/>
      <c r="N307" s="465"/>
      <c r="O307" s="465"/>
      <c r="P307" s="465"/>
    </row>
    <row r="308" spans="1:26" ht="18.75">
      <c r="A308" s="170"/>
      <c r="B308" s="171"/>
      <c r="C308" s="171"/>
      <c r="D308" s="415" t="s">
        <v>140</v>
      </c>
      <c r="E308" s="415"/>
      <c r="F308" s="415"/>
      <c r="G308" s="179"/>
      <c r="H308" s="728"/>
      <c r="I308" s="269"/>
      <c r="J308" s="214">
        <v>1</v>
      </c>
      <c r="K308" s="465"/>
      <c r="L308" s="465"/>
      <c r="M308" s="465"/>
      <c r="N308" s="465"/>
      <c r="O308" s="465"/>
      <c r="P308" s="465"/>
    </row>
    <row r="309" spans="1:26" ht="18.75">
      <c r="A309" s="170"/>
      <c r="B309" s="171"/>
      <c r="C309" s="171"/>
      <c r="D309" s="415" t="s">
        <v>141</v>
      </c>
      <c r="E309" s="415"/>
      <c r="F309" s="415"/>
      <c r="G309" s="179"/>
      <c r="H309" s="728" t="s">
        <v>35</v>
      </c>
      <c r="I309" s="269">
        <f ca="1">IFERROR(__xludf.DUMMYFUNCTION("IMPORTRANGE(""https://docs.google.com/spreadsheets/d/1QqKyyYR6Q21VydFLVH3TRQUabQu_ym0Zz7PgGX0-kHA/edit?usp=sharing"",""แผน!ED15"")"),20)</f>
        <v>20</v>
      </c>
      <c r="J309" s="214">
        <v>0</v>
      </c>
      <c r="K309" s="465">
        <f t="shared" ref="K309:K312" ca="1" si="140">IF(I309&gt;0,J309*100/I309,0)</f>
        <v>0</v>
      </c>
      <c r="L309" s="465"/>
      <c r="M309" s="465"/>
      <c r="N309" s="465"/>
      <c r="O309" s="465"/>
      <c r="P309" s="465"/>
    </row>
    <row r="310" spans="1:26" ht="18.75">
      <c r="A310" s="170"/>
      <c r="B310" s="171"/>
      <c r="C310" s="171"/>
      <c r="D310" s="415" t="s">
        <v>142</v>
      </c>
      <c r="E310" s="415"/>
      <c r="F310" s="415"/>
      <c r="G310" s="179"/>
      <c r="H310" s="728" t="s">
        <v>35</v>
      </c>
      <c r="I310" s="269">
        <f ca="1">IFERROR(__xludf.DUMMYFUNCTION("IMPORTRANGE(""https://docs.google.com/spreadsheets/d/1QqKyyYR6Q21VydFLVH3TRQUabQu_ym0Zz7PgGX0-kHA/edit?usp=sharing"",""แผน!ED15"")"),20)</f>
        <v>20</v>
      </c>
      <c r="J310" s="214">
        <v>0</v>
      </c>
      <c r="K310" s="465">
        <f t="shared" ca="1" si="140"/>
        <v>0</v>
      </c>
      <c r="L310" s="465"/>
      <c r="M310" s="465"/>
      <c r="N310" s="465"/>
      <c r="O310" s="465"/>
      <c r="P310" s="465"/>
    </row>
    <row r="311" spans="1:26" ht="18.75">
      <c r="A311" s="170"/>
      <c r="B311" s="171"/>
      <c r="C311" s="171"/>
      <c r="D311" s="415" t="s">
        <v>59</v>
      </c>
      <c r="E311" s="415"/>
      <c r="F311" s="415"/>
      <c r="G311" s="179"/>
      <c r="H311" s="728" t="s">
        <v>35</v>
      </c>
      <c r="I311" s="269">
        <f ca="1">IFERROR(__xludf.DUMMYFUNCTION("IMPORTRANGE(""https://docs.google.com/spreadsheets/d/1QqKyyYR6Q21VydFLVH3TRQUabQu_ym0Zz7PgGX0-kHA/edit?usp=sharing"",""แผน!ED15"")"),20)</f>
        <v>20</v>
      </c>
      <c r="J311" s="214">
        <v>0</v>
      </c>
      <c r="K311" s="465">
        <f t="shared" ca="1" si="140"/>
        <v>0</v>
      </c>
      <c r="L311" s="465"/>
      <c r="M311" s="465"/>
      <c r="N311" s="465"/>
      <c r="O311" s="465"/>
      <c r="P311" s="465"/>
    </row>
    <row r="312" spans="1:26" ht="18.75">
      <c r="A312" s="170"/>
      <c r="B312" s="171"/>
      <c r="C312" s="171"/>
      <c r="D312" s="415" t="s">
        <v>143</v>
      </c>
      <c r="E312" s="415"/>
      <c r="F312" s="415"/>
      <c r="G312" s="179"/>
      <c r="H312" s="728" t="s">
        <v>35</v>
      </c>
      <c r="I312" s="269">
        <f ca="1">IFERROR(__xludf.DUMMYFUNCTION("IMPORTRANGE(""https://docs.google.com/spreadsheets/d/1QqKyyYR6Q21VydFLVH3TRQUabQu_ym0Zz7PgGX0-kHA/edit?usp=sharing"",""แผน!EE15"")"),4)</f>
        <v>4</v>
      </c>
      <c r="J312" s="214">
        <v>0</v>
      </c>
      <c r="K312" s="465">
        <f t="shared" ca="1" si="140"/>
        <v>0</v>
      </c>
      <c r="L312" s="465"/>
      <c r="M312" s="465"/>
      <c r="N312" s="465"/>
      <c r="O312" s="465"/>
      <c r="P312" s="465"/>
    </row>
    <row r="313" spans="1:26" ht="19.5" hidden="1">
      <c r="A313" s="400" t="s">
        <v>144</v>
      </c>
      <c r="B313" s="401"/>
      <c r="C313" s="401"/>
      <c r="D313" s="402"/>
      <c r="E313" s="401"/>
      <c r="F313" s="401"/>
      <c r="G313" s="401"/>
      <c r="H313" s="417"/>
      <c r="I313" s="405"/>
      <c r="J313" s="405"/>
      <c r="K313" s="406"/>
      <c r="L313" s="406"/>
      <c r="M313" s="406"/>
      <c r="N313" s="406"/>
      <c r="O313" s="406"/>
      <c r="P313" s="406"/>
    </row>
    <row r="314" spans="1:26" ht="19.5" hidden="1">
      <c r="A314" s="418"/>
      <c r="B314" s="408" t="s">
        <v>145</v>
      </c>
      <c r="C314" s="419"/>
      <c r="D314" s="420"/>
      <c r="E314" s="409"/>
      <c r="F314" s="409"/>
      <c r="G314" s="410"/>
      <c r="H314" s="411" t="s">
        <v>146</v>
      </c>
      <c r="I314" s="412">
        <f t="shared" ref="I314:J314" ca="1" si="141">I325</f>
        <v>0</v>
      </c>
      <c r="J314" s="412">
        <f t="shared" si="141"/>
        <v>0</v>
      </c>
      <c r="K314" s="413">
        <f ca="1">IF(I314&gt;0,J314*100/I314,0)</f>
        <v>0</v>
      </c>
      <c r="L314" s="414"/>
      <c r="M314" s="414"/>
      <c r="N314" s="414"/>
      <c r="O314" s="414"/>
      <c r="P314" s="414"/>
    </row>
    <row r="315" spans="1:26" ht="19.5" hidden="1">
      <c r="A315" s="147"/>
      <c r="B315" s="148"/>
      <c r="C315" s="149" t="s">
        <v>16</v>
      </c>
      <c r="D315" s="817" t="s">
        <v>17</v>
      </c>
      <c r="E315" s="148"/>
      <c r="F315" s="148"/>
      <c r="G315" s="151"/>
      <c r="H315" s="152" t="s">
        <v>12</v>
      </c>
      <c r="I315" s="388"/>
      <c r="J315" s="388"/>
      <c r="K315" s="154"/>
      <c r="L315" s="155">
        <f t="shared" ref="L315:N315" ca="1" si="142">L316+L317</f>
        <v>0</v>
      </c>
      <c r="M315" s="155">
        <f t="shared" ca="1" si="142"/>
        <v>0</v>
      </c>
      <c r="N315" s="155">
        <f t="shared" ca="1" si="142"/>
        <v>0</v>
      </c>
      <c r="O315" s="155">
        <f t="shared" ref="O315:O323" ca="1" si="143">IF(L315&gt;0,N315*100/L315,0)</f>
        <v>0</v>
      </c>
      <c r="P315" s="155">
        <f t="shared" ref="P315:P323" ca="1" si="144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2" t="s">
        <v>18</v>
      </c>
      <c r="F316" s="40"/>
      <c r="G316" s="157"/>
      <c r="H316" s="158" t="s">
        <v>12</v>
      </c>
      <c r="I316" s="583"/>
      <c r="J316" s="583"/>
      <c r="K316" s="93"/>
      <c r="L316" s="93">
        <f t="shared" ref="L316:N317" si="145">L319+L322</f>
        <v>0</v>
      </c>
      <c r="M316" s="93">
        <f t="shared" si="145"/>
        <v>0</v>
      </c>
      <c r="N316" s="93">
        <f t="shared" si="145"/>
        <v>0</v>
      </c>
      <c r="O316" s="93">
        <f t="shared" si="143"/>
        <v>0</v>
      </c>
      <c r="P316" s="93">
        <f t="shared" si="144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2" t="s">
        <v>19</v>
      </c>
      <c r="F317" s="40"/>
      <c r="G317" s="157"/>
      <c r="H317" s="158" t="s">
        <v>12</v>
      </c>
      <c r="I317" s="583"/>
      <c r="J317" s="583"/>
      <c r="K317" s="93"/>
      <c r="L317" s="93">
        <f t="shared" ca="1" si="145"/>
        <v>0</v>
      </c>
      <c r="M317" s="93">
        <f t="shared" ca="1" si="145"/>
        <v>0</v>
      </c>
      <c r="N317" s="93">
        <f t="shared" ca="1" si="145"/>
        <v>0</v>
      </c>
      <c r="O317" s="93">
        <f t="shared" ca="1" si="143"/>
        <v>0</v>
      </c>
      <c r="P317" s="93">
        <f t="shared" ca="1" si="144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1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65">
        <f t="shared" ref="L318:N318" ca="1" si="146">L319+L320</f>
        <v>0</v>
      </c>
      <c r="M318" s="465">
        <f t="shared" ca="1" si="146"/>
        <v>0</v>
      </c>
      <c r="N318" s="465">
        <f t="shared" ca="1" si="146"/>
        <v>0</v>
      </c>
      <c r="O318" s="465">
        <f t="shared" ca="1" si="143"/>
        <v>0</v>
      </c>
      <c r="P318" s="465">
        <f t="shared" ca="1" si="144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2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3"/>
        <v>0</v>
      </c>
      <c r="P319" s="93">
        <f t="shared" si="144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2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IFERROR(__xludf.DUMMYFUNCTION("IMPORTRANGE(""https://docs.google.com/spreadsheets/d/1MeEWN-I1oV_STSDYn1IFDPWt_1FKiwhDph83XaGc0o0/edit?usp=sharing"",""งบพรบ!EC15"")"),0)</f>
        <v>0</v>
      </c>
      <c r="M320" s="93">
        <f ca="1">IFERROR(__xludf.DUMMYFUNCTION("IMPORTRANGE(""https://docs.google.com/spreadsheets/d/1MeEWN-I1oV_STSDYn1IFDPWt_1FKiwhDph83XaGc0o0/edit?usp=sharing"",""งบพรบ!EH15"")"),0)</f>
        <v>0</v>
      </c>
      <c r="N320" s="93">
        <f ca="1">IFERROR(__xludf.DUMMYFUNCTION("IMPORTRANGE(""https://docs.google.com/spreadsheets/d/1MeEWN-I1oV_STSDYn1IFDPWt_1FKiwhDph83XaGc0o0/edit?usp=sharing"",""งบพรบ!EJ15"")"),0)</f>
        <v>0</v>
      </c>
      <c r="O320" s="93">
        <f t="shared" ca="1" si="143"/>
        <v>0</v>
      </c>
      <c r="P320" s="93">
        <f t="shared" ca="1" si="144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1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65">
        <f t="shared" ref="L321:N321" ca="1" si="147">L322+L323</f>
        <v>0</v>
      </c>
      <c r="M321" s="465">
        <f t="shared" ca="1" si="147"/>
        <v>0</v>
      </c>
      <c r="N321" s="465">
        <f t="shared" ca="1" si="147"/>
        <v>0</v>
      </c>
      <c r="O321" s="465">
        <f t="shared" ca="1" si="143"/>
        <v>0</v>
      </c>
      <c r="P321" s="465">
        <f t="shared" ca="1" si="144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2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3"/>
        <v>0</v>
      </c>
      <c r="P322" s="93">
        <f t="shared" si="144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2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IFERROR(__xludf.DUMMYFUNCTION("IMPORTRANGE(""https://docs.google.com/spreadsheets/d/1MeEWN-I1oV_STSDYn1IFDPWt_1FKiwhDph83XaGc0o0/edit?usp=sharing"",""งบพรบ!EF15"")"),0)</f>
        <v>0</v>
      </c>
      <c r="M323" s="93">
        <f ca="1">IFERROR(__xludf.DUMMYFUNCTION("IMPORTRANGE(""https://docs.google.com/spreadsheets/d/1MeEWN-I1oV_STSDYn1IFDPWt_1FKiwhDph83XaGc0o0/edit?usp=sharing"",""งบพรบ!EI15"")"),0)</f>
        <v>0</v>
      </c>
      <c r="N323" s="93">
        <f ca="1">IFERROR(__xludf.DUMMYFUNCTION("IMPORTRANGE(""https://docs.google.com/spreadsheets/d/1MeEWN-I1oV_STSDYn1IFDPWt_1FKiwhDph83XaGc0o0/edit?usp=sharing"",""งบพรบ!EK15"")"),0)</f>
        <v>0</v>
      </c>
      <c r="O323" s="93">
        <f t="shared" ca="1" si="143"/>
        <v>0</v>
      </c>
      <c r="P323" s="93">
        <f t="shared" ca="1" si="144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18" t="s">
        <v>38</v>
      </c>
      <c r="E324" s="173"/>
      <c r="F324" s="173"/>
      <c r="G324" s="174"/>
      <c r="H324" s="726"/>
      <c r="I324" s="184"/>
      <c r="J324" s="269"/>
      <c r="K324" s="465"/>
      <c r="L324" s="465"/>
      <c r="M324" s="465"/>
      <c r="N324" s="465"/>
      <c r="O324" s="163"/>
      <c r="P324" s="163"/>
    </row>
    <row r="325" spans="1:26" ht="18.75" hidden="1">
      <c r="A325" s="170"/>
      <c r="B325" s="171"/>
      <c r="C325" s="171"/>
      <c r="D325" s="343" t="s">
        <v>147</v>
      </c>
      <c r="E325" s="342"/>
      <c r="F325" s="415"/>
      <c r="G325" s="179"/>
      <c r="H325" s="589" t="s">
        <v>146</v>
      </c>
      <c r="I325" s="269">
        <f ca="1">IFERROR(__xludf.DUMMYFUNCTION("IMPORTRANGE(""https://docs.google.com/spreadsheets/d/1QqKyyYR6Q21VydFLVH3TRQUabQu_ym0Zz7PgGX0-kHA/edit?usp=sharing"",""แผน!EF15"")"),0)</f>
        <v>0</v>
      </c>
      <c r="J325" s="214">
        <v>0</v>
      </c>
      <c r="K325" s="465">
        <f ca="1">IF(I325&gt;0,J325*100/I325,0)</f>
        <v>0</v>
      </c>
      <c r="L325" s="465"/>
      <c r="M325" s="465"/>
      <c r="N325" s="465"/>
      <c r="O325" s="163"/>
      <c r="P325" s="163"/>
    </row>
    <row r="326" spans="1:26" ht="19.5">
      <c r="A326" s="400" t="s">
        <v>148</v>
      </c>
      <c r="B326" s="401"/>
      <c r="C326" s="401"/>
      <c r="D326" s="402"/>
      <c r="E326" s="401"/>
      <c r="F326" s="401"/>
      <c r="G326" s="401"/>
      <c r="H326" s="417"/>
      <c r="I326" s="405"/>
      <c r="J326" s="405"/>
      <c r="K326" s="406"/>
      <c r="L326" s="406"/>
      <c r="M326" s="406"/>
      <c r="N326" s="406"/>
      <c r="O326" s="406"/>
      <c r="P326" s="406"/>
    </row>
    <row r="327" spans="1:26" ht="19.5">
      <c r="A327" s="407"/>
      <c r="B327" s="408" t="s">
        <v>149</v>
      </c>
      <c r="C327" s="420"/>
      <c r="D327" s="409"/>
      <c r="E327" s="409"/>
      <c r="F327" s="409"/>
      <c r="G327" s="410"/>
      <c r="H327" s="411" t="s">
        <v>35</v>
      </c>
      <c r="I327" s="412">
        <f ca="1">IFERROR(__xludf.DUMMYFUNCTION("IMPORTRANGE(""https://docs.google.com/spreadsheets/d/1QqKyyYR6Q21VydFLVH3TRQUabQu_ym0Zz7PgGX0-kHA/edit?usp=sharing"",""แผน!EG15"")"),6000)</f>
        <v>6000</v>
      </c>
      <c r="J327" s="412">
        <f ca="1">J338+J341+J342+J343</f>
        <v>1566</v>
      </c>
      <c r="K327" s="413">
        <f ca="1">IF(I327&gt;0,J327*100/I327,0)</f>
        <v>26.1</v>
      </c>
      <c r="L327" s="414"/>
      <c r="M327" s="414"/>
      <c r="N327" s="414"/>
      <c r="O327" s="414"/>
      <c r="P327" s="414"/>
    </row>
    <row r="328" spans="1:26" ht="19.5">
      <c r="A328" s="147"/>
      <c r="B328" s="148"/>
      <c r="C328" s="149" t="s">
        <v>16</v>
      </c>
      <c r="D328" s="817" t="s">
        <v>17</v>
      </c>
      <c r="E328" s="148"/>
      <c r="F328" s="148"/>
      <c r="G328" s="151"/>
      <c r="H328" s="152" t="s">
        <v>12</v>
      </c>
      <c r="I328" s="388"/>
      <c r="J328" s="388"/>
      <c r="K328" s="154"/>
      <c r="L328" s="155">
        <f t="shared" ref="L328:N328" ca="1" si="148">L329+L330</f>
        <v>446800</v>
      </c>
      <c r="M328" s="155">
        <f t="shared" ca="1" si="148"/>
        <v>223400</v>
      </c>
      <c r="N328" s="155">
        <f t="shared" ca="1" si="148"/>
        <v>12490</v>
      </c>
      <c r="O328" s="155">
        <f t="shared" ref="O328:O336" ca="1" si="149">IF(L328&gt;0,N328*100/L328,0)</f>
        <v>2.7954341987466429</v>
      </c>
      <c r="P328" s="155">
        <f t="shared" ref="P328:P336" ca="1" si="150">IF(M328&gt;0,N328*100/M328,0)</f>
        <v>5.5908683974932858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2" t="s">
        <v>18</v>
      </c>
      <c r="F329" s="40"/>
      <c r="G329" s="157"/>
      <c r="H329" s="158" t="s">
        <v>12</v>
      </c>
      <c r="I329" s="583"/>
      <c r="J329" s="583"/>
      <c r="K329" s="93"/>
      <c r="L329" s="93">
        <f t="shared" ref="L329:N330" si="151">L332+L335</f>
        <v>0</v>
      </c>
      <c r="M329" s="93">
        <f t="shared" si="151"/>
        <v>0</v>
      </c>
      <c r="N329" s="93">
        <f t="shared" si="151"/>
        <v>0</v>
      </c>
      <c r="O329" s="93">
        <f t="shared" si="149"/>
        <v>0</v>
      </c>
      <c r="P329" s="93">
        <f t="shared" si="150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2" t="s">
        <v>19</v>
      </c>
      <c r="F330" s="40"/>
      <c r="G330" s="157"/>
      <c r="H330" s="158" t="s">
        <v>12</v>
      </c>
      <c r="I330" s="583"/>
      <c r="J330" s="583"/>
      <c r="K330" s="93"/>
      <c r="L330" s="93">
        <f t="shared" ca="1" si="151"/>
        <v>446800</v>
      </c>
      <c r="M330" s="93">
        <f t="shared" ca="1" si="151"/>
        <v>223400</v>
      </c>
      <c r="N330" s="93">
        <f t="shared" ca="1" si="151"/>
        <v>12490</v>
      </c>
      <c r="O330" s="93">
        <f t="shared" ca="1" si="149"/>
        <v>2.7954341987466429</v>
      </c>
      <c r="P330" s="93">
        <f t="shared" ca="1" si="150"/>
        <v>5.5908683974932858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1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65">
        <f t="shared" ref="L331:N331" ca="1" si="152">L332+L333</f>
        <v>446800</v>
      </c>
      <c r="M331" s="465">
        <f t="shared" ca="1" si="152"/>
        <v>223400</v>
      </c>
      <c r="N331" s="465">
        <f t="shared" ca="1" si="152"/>
        <v>12490</v>
      </c>
      <c r="O331" s="465">
        <f t="shared" ca="1" si="149"/>
        <v>2.7954341987466429</v>
      </c>
      <c r="P331" s="465">
        <f t="shared" ca="1" si="150"/>
        <v>5.5908683974932858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2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49"/>
        <v>0</v>
      </c>
      <c r="P332" s="93">
        <f t="shared" si="150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2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IFERROR(__xludf.DUMMYFUNCTION("IMPORTRANGE(""https://docs.google.com/spreadsheets/d/1MeEWN-I1oV_STSDYn1IFDPWt_1FKiwhDph83XaGc0o0/edit?usp=sharing"",""งบพรบ!EM15"")"),446800)</f>
        <v>446800</v>
      </c>
      <c r="M333" s="93">
        <f ca="1">IFERROR(__xludf.DUMMYFUNCTION("IMPORTRANGE(""https://docs.google.com/spreadsheets/d/1MeEWN-I1oV_STSDYn1IFDPWt_1FKiwhDph83XaGc0o0/edit?usp=sharing"",""งบพรบ!ER15"")"),223400)</f>
        <v>223400</v>
      </c>
      <c r="N333" s="93">
        <f ca="1">IFERROR(__xludf.DUMMYFUNCTION("IMPORTRANGE(""https://docs.google.com/spreadsheets/d/1MeEWN-I1oV_STSDYn1IFDPWt_1FKiwhDph83XaGc0o0/edit?usp=sharing"",""งบพรบ!ET15"")"),12490)</f>
        <v>12490</v>
      </c>
      <c r="O333" s="93">
        <f t="shared" ca="1" si="149"/>
        <v>2.7954341987466429</v>
      </c>
      <c r="P333" s="93">
        <f t="shared" ca="1" si="150"/>
        <v>5.5908683974932858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1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65">
        <f t="shared" ref="L334:N334" ca="1" si="153">L335+L336</f>
        <v>0</v>
      </c>
      <c r="M334" s="465">
        <f t="shared" ca="1" si="153"/>
        <v>0</v>
      </c>
      <c r="N334" s="465">
        <f t="shared" ca="1" si="153"/>
        <v>0</v>
      </c>
      <c r="O334" s="465">
        <f t="shared" ca="1" si="149"/>
        <v>0</v>
      </c>
      <c r="P334" s="465">
        <f t="shared" ca="1" si="150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2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49"/>
        <v>0</v>
      </c>
      <c r="P335" s="93">
        <f t="shared" si="150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2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IFERROR(__xludf.DUMMYFUNCTION("IMPORTRANGE(""https://docs.google.com/spreadsheets/d/1MeEWN-I1oV_STSDYn1IFDPWt_1FKiwhDph83XaGc0o0/edit?usp=sharing"",""งบพรบ!EP15"")"),0)</f>
        <v>0</v>
      </c>
      <c r="M336" s="93">
        <f ca="1">IFERROR(__xludf.DUMMYFUNCTION("IMPORTRANGE(""https://docs.google.com/spreadsheets/d/1MeEWN-I1oV_STSDYn1IFDPWt_1FKiwhDph83XaGc0o0/edit?usp=sharing"",""งบพรบ!ES15"")"),0)</f>
        <v>0</v>
      </c>
      <c r="N336" s="93">
        <f ca="1">IFERROR(__xludf.DUMMYFUNCTION("IMPORTRANGE(""https://docs.google.com/spreadsheets/d/1MeEWN-I1oV_STSDYn1IFDPWt_1FKiwhDph83XaGc0o0/edit?usp=sharing"",""งบพรบ!EU15"")"),0)</f>
        <v>0</v>
      </c>
      <c r="O336" s="93">
        <f t="shared" ca="1" si="149"/>
        <v>0</v>
      </c>
      <c r="P336" s="93">
        <f t="shared" ca="1" si="150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18" t="s">
        <v>38</v>
      </c>
      <c r="E337" s="173"/>
      <c r="F337" s="173"/>
      <c r="G337" s="174"/>
      <c r="H337" s="726"/>
      <c r="I337" s="184"/>
      <c r="J337" s="269"/>
      <c r="K337" s="465"/>
      <c r="L337" s="465"/>
      <c r="M337" s="465"/>
      <c r="N337" s="465"/>
      <c r="O337" s="163"/>
      <c r="P337" s="163"/>
    </row>
    <row r="338" spans="1:26" ht="18.75">
      <c r="A338" s="283"/>
      <c r="B338" s="33"/>
      <c r="C338" s="280"/>
      <c r="D338" s="415" t="s">
        <v>150</v>
      </c>
      <c r="E338" s="171"/>
      <c r="F338" s="33"/>
      <c r="G338" s="35"/>
      <c r="H338" s="276" t="s">
        <v>35</v>
      </c>
      <c r="I338" s="269">
        <f ca="1">IFERROR(__xludf.DUMMYFUNCTION("IMPORTRANGE(""https://docs.google.com/spreadsheets/d/1QqKyyYR6Q21VydFLVH3TRQUabQu_ym0Zz7PgGX0-kHA/edit?usp=sharing"",""แผน!EG15"")"),6000)</f>
        <v>6000</v>
      </c>
      <c r="J338" s="269">
        <f ca="1">IFERROR(__xludf.DUMMYFUNCTION("IMPORTRANGE(""https://docs.google.com/spreadsheets/d/1kVcqe37tkHyjCSG3S0O1AXqVkqjo8mSIZil3BcpIysc/edit?usp=sharing"",""ศูนย์!D15"")"),1528)</f>
        <v>1528</v>
      </c>
      <c r="K338" s="465">
        <f ca="1">IF(I338&gt;0,J338*100/I338,0)</f>
        <v>25.466666666666665</v>
      </c>
      <c r="L338" s="465"/>
      <c r="M338" s="465"/>
      <c r="N338" s="465"/>
      <c r="O338" s="465"/>
      <c r="P338" s="465"/>
    </row>
    <row r="339" spans="1:26" ht="18.75">
      <c r="A339" s="283"/>
      <c r="B339" s="33"/>
      <c r="C339" s="280"/>
      <c r="D339" s="415" t="s">
        <v>151</v>
      </c>
      <c r="E339" s="171"/>
      <c r="F339" s="33"/>
      <c r="G339" s="35"/>
      <c r="H339" s="276"/>
      <c r="I339" s="269"/>
      <c r="J339" s="269"/>
      <c r="K339" s="465"/>
      <c r="L339" s="465"/>
      <c r="M339" s="465"/>
      <c r="N339" s="465"/>
      <c r="O339" s="465"/>
      <c r="P339" s="465"/>
    </row>
    <row r="340" spans="1:26" ht="18.75">
      <c r="A340" s="283"/>
      <c r="B340" s="33"/>
      <c r="C340" s="280"/>
      <c r="D340" s="342"/>
      <c r="E340" s="415" t="s">
        <v>152</v>
      </c>
      <c r="F340" s="33"/>
      <c r="G340" s="35"/>
      <c r="H340" s="276" t="s">
        <v>153</v>
      </c>
      <c r="I340" s="269">
        <f ca="1">IFERROR(__xludf.DUMMYFUNCTION("IMPORTRANGE(""https://docs.google.com/spreadsheets/d/1QqKyyYR6Q21VydFLVH3TRQUabQu_ym0Zz7PgGX0-kHA/edit?usp=sharing"",""แผน!EH15"")"),8)</f>
        <v>8</v>
      </c>
      <c r="J340" s="269">
        <f ca="1">IFERROR(__xludf.DUMMYFUNCTION("IMPORTRANGE(""https://docs.google.com/spreadsheets/d/1kVcqe37tkHyjCSG3S0O1AXqVkqjo8mSIZil3BcpIysc/edit?usp=sharing"",""ศูนย์!E15"")"),1)</f>
        <v>1</v>
      </c>
      <c r="K340" s="465">
        <f ca="1">IF(I340&gt;0,J340*100/I340,0)</f>
        <v>12.5</v>
      </c>
      <c r="L340" s="465"/>
      <c r="M340" s="465"/>
      <c r="N340" s="465"/>
      <c r="O340" s="465"/>
      <c r="P340" s="465"/>
    </row>
    <row r="341" spans="1:26" ht="18.75">
      <c r="A341" s="283"/>
      <c r="B341" s="33"/>
      <c r="C341" s="280"/>
      <c r="D341" s="342"/>
      <c r="E341" s="415" t="s">
        <v>154</v>
      </c>
      <c r="F341" s="33"/>
      <c r="G341" s="35"/>
      <c r="H341" s="276" t="s">
        <v>35</v>
      </c>
      <c r="I341" s="269"/>
      <c r="J341" s="269">
        <f ca="1">IFERROR(__xludf.DUMMYFUNCTION("IMPORTRANGE(""https://docs.google.com/spreadsheets/d/1kVcqe37tkHyjCSG3S0O1AXqVkqjo8mSIZil3BcpIysc/edit?usp=sharing"",""ศูนย์!F15"")"),32)</f>
        <v>32</v>
      </c>
      <c r="K341" s="465"/>
      <c r="L341" s="465"/>
      <c r="M341" s="465"/>
      <c r="N341" s="465"/>
      <c r="O341" s="465"/>
      <c r="P341" s="465"/>
    </row>
    <row r="342" spans="1:26" ht="18.75">
      <c r="A342" s="283"/>
      <c r="B342" s="33"/>
      <c r="C342" s="280"/>
      <c r="D342" s="415" t="s">
        <v>155</v>
      </c>
      <c r="E342" s="342"/>
      <c r="F342" s="342"/>
      <c r="G342" s="35"/>
      <c r="H342" s="276" t="s">
        <v>35</v>
      </c>
      <c r="I342" s="269"/>
      <c r="J342" s="269">
        <f ca="1">IFERROR(__xludf.DUMMYFUNCTION("IMPORTRANGE(""https://docs.google.com/spreadsheets/d/1kVcqe37tkHyjCSG3S0O1AXqVkqjo8mSIZil3BcpIysc/edit?usp=sharing"",""ศูนย์!G15"")"),0)</f>
        <v>0</v>
      </c>
      <c r="K342" s="465"/>
      <c r="L342" s="465"/>
      <c r="M342" s="465"/>
      <c r="N342" s="465"/>
      <c r="O342" s="465"/>
      <c r="P342" s="465"/>
    </row>
    <row r="343" spans="1:26" ht="18.75">
      <c r="A343" s="283"/>
      <c r="B343" s="33"/>
      <c r="C343" s="280"/>
      <c r="D343" s="415" t="s">
        <v>156</v>
      </c>
      <c r="E343" s="342"/>
      <c r="F343" s="342"/>
      <c r="G343" s="35"/>
      <c r="H343" s="276" t="s">
        <v>35</v>
      </c>
      <c r="I343" s="269"/>
      <c r="J343" s="269">
        <f ca="1">IFERROR(__xludf.DUMMYFUNCTION("IMPORTRANGE(""https://docs.google.com/spreadsheets/d/1kVcqe37tkHyjCSG3S0O1AXqVkqjo8mSIZil3BcpIysc/edit?usp=sharing"",""ศูนย์!H15"")"),6)</f>
        <v>6</v>
      </c>
      <c r="K343" s="465"/>
      <c r="L343" s="465"/>
      <c r="M343" s="465"/>
      <c r="N343" s="465"/>
      <c r="O343" s="465"/>
      <c r="P343" s="465"/>
    </row>
    <row r="344" spans="1:26" ht="19.5">
      <c r="A344" s="407"/>
      <c r="B344" s="408" t="s">
        <v>157</v>
      </c>
      <c r="C344" s="420"/>
      <c r="D344" s="409"/>
      <c r="E344" s="409"/>
      <c r="F344" s="409"/>
      <c r="G344" s="410"/>
      <c r="H344" s="411"/>
      <c r="I344" s="421"/>
      <c r="J344" s="421"/>
      <c r="K344" s="414"/>
      <c r="L344" s="414"/>
      <c r="M344" s="414"/>
      <c r="N344" s="414"/>
      <c r="O344" s="414"/>
      <c r="P344" s="414"/>
    </row>
    <row r="345" spans="1:26" ht="19.5">
      <c r="A345" s="147"/>
      <c r="B345" s="148"/>
      <c r="C345" s="149" t="s">
        <v>16</v>
      </c>
      <c r="D345" s="817" t="s">
        <v>17</v>
      </c>
      <c r="E345" s="148"/>
      <c r="F345" s="148"/>
      <c r="G345" s="151"/>
      <c r="H345" s="152" t="s">
        <v>12</v>
      </c>
      <c r="I345" s="388"/>
      <c r="J345" s="388"/>
      <c r="K345" s="154"/>
      <c r="L345" s="155">
        <f t="shared" ref="L345:N345" ca="1" si="154">L346+L347</f>
        <v>1250420</v>
      </c>
      <c r="M345" s="155">
        <f t="shared" ca="1" si="154"/>
        <v>669510</v>
      </c>
      <c r="N345" s="155">
        <f t="shared" ca="1" si="154"/>
        <v>336916.61</v>
      </c>
      <c r="O345" s="155">
        <f t="shared" ref="O345:O353" ca="1" si="155">IF(L345&gt;0,N345*100/L345,0)</f>
        <v>26.944275523424128</v>
      </c>
      <c r="P345" s="155">
        <f t="shared" ref="P345:P353" ca="1" si="156">IF(M345&gt;0,N345*100/M345,0)</f>
        <v>50.322864482980087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2" t="s">
        <v>18</v>
      </c>
      <c r="F346" s="40"/>
      <c r="G346" s="157"/>
      <c r="H346" s="158" t="s">
        <v>12</v>
      </c>
      <c r="I346" s="583"/>
      <c r="J346" s="583"/>
      <c r="K346" s="93"/>
      <c r="L346" s="93">
        <f t="shared" ref="L346:N347" si="157">L349+L352</f>
        <v>0</v>
      </c>
      <c r="M346" s="93">
        <f t="shared" si="157"/>
        <v>0</v>
      </c>
      <c r="N346" s="93">
        <f t="shared" si="157"/>
        <v>0</v>
      </c>
      <c r="O346" s="93">
        <f t="shared" si="155"/>
        <v>0</v>
      </c>
      <c r="P346" s="93">
        <f t="shared" si="156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2" t="s">
        <v>19</v>
      </c>
      <c r="F347" s="40"/>
      <c r="G347" s="157"/>
      <c r="H347" s="158" t="s">
        <v>12</v>
      </c>
      <c r="I347" s="583"/>
      <c r="J347" s="583"/>
      <c r="K347" s="93"/>
      <c r="L347" s="93">
        <f t="shared" ca="1" si="157"/>
        <v>1250420</v>
      </c>
      <c r="M347" s="93">
        <f t="shared" ca="1" si="157"/>
        <v>669510</v>
      </c>
      <c r="N347" s="93">
        <f t="shared" ca="1" si="157"/>
        <v>336916.61</v>
      </c>
      <c r="O347" s="93">
        <f t="shared" ca="1" si="155"/>
        <v>26.944275523424128</v>
      </c>
      <c r="P347" s="93">
        <f t="shared" ca="1" si="156"/>
        <v>50.322864482980087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1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65">
        <f t="shared" ref="L348:N348" ca="1" si="158">L349+L350</f>
        <v>1161820</v>
      </c>
      <c r="M348" s="465">
        <f t="shared" ca="1" si="158"/>
        <v>580910</v>
      </c>
      <c r="N348" s="465">
        <f t="shared" ca="1" si="158"/>
        <v>248316.61</v>
      </c>
      <c r="O348" s="465">
        <f t="shared" ca="1" si="155"/>
        <v>21.373070699419877</v>
      </c>
      <c r="P348" s="465">
        <f t="shared" ca="1" si="156"/>
        <v>42.746141398839754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2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5"/>
        <v>0</v>
      </c>
      <c r="P349" s="93">
        <f t="shared" si="156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2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IFERROR(__xludf.DUMMYFUNCTION("IMPORTRANGE(""https://docs.google.com/spreadsheets/d/1MeEWN-I1oV_STSDYn1IFDPWt_1FKiwhDph83XaGc0o0/edit?usp=sharing"",""งบพรบ!EW15"")"),1161820)</f>
        <v>1161820</v>
      </c>
      <c r="M350" s="93">
        <f ca="1">IFERROR(__xludf.DUMMYFUNCTION("IMPORTRANGE(""https://docs.google.com/spreadsheets/d/1MeEWN-I1oV_STSDYn1IFDPWt_1FKiwhDph83XaGc0o0/edit?usp=sharing"",""งบพรบ!FB15"")"),580910)</f>
        <v>580910</v>
      </c>
      <c r="N350" s="93">
        <f ca="1">IFERROR(__xludf.DUMMYFUNCTION("IMPORTRANGE(""https://docs.google.com/spreadsheets/d/1MeEWN-I1oV_STSDYn1IFDPWt_1FKiwhDph83XaGc0o0/edit?usp=sharing"",""งบพรบ!FD15"")"),248316.61)</f>
        <v>248316.61</v>
      </c>
      <c r="O350" s="93">
        <f t="shared" ca="1" si="155"/>
        <v>21.373070699419877</v>
      </c>
      <c r="P350" s="93">
        <f t="shared" ca="1" si="156"/>
        <v>42.746141398839754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1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65">
        <f t="shared" ref="L351:N351" ca="1" si="159">L352+L353</f>
        <v>88600</v>
      </c>
      <c r="M351" s="465">
        <f t="shared" ca="1" si="159"/>
        <v>88600</v>
      </c>
      <c r="N351" s="465">
        <f t="shared" ca="1" si="159"/>
        <v>88600</v>
      </c>
      <c r="O351" s="465">
        <f t="shared" ca="1" si="155"/>
        <v>100</v>
      </c>
      <c r="P351" s="465">
        <f t="shared" ca="1" si="156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2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5"/>
        <v>0</v>
      </c>
      <c r="P352" s="93">
        <f t="shared" si="156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2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IFERROR(__xludf.DUMMYFUNCTION("IMPORTRANGE(""https://docs.google.com/spreadsheets/d/1MeEWN-I1oV_STSDYn1IFDPWt_1FKiwhDph83XaGc0o0/edit?usp=sharing"",""งบพรบ!EZ15"")"),88600)</f>
        <v>88600</v>
      </c>
      <c r="M353" s="93">
        <f ca="1">IFERROR(__xludf.DUMMYFUNCTION("IMPORTRANGE(""https://docs.google.com/spreadsheets/d/1MeEWN-I1oV_STSDYn1IFDPWt_1FKiwhDph83XaGc0o0/edit?usp=sharing"",""งบพรบ!FC15"")"),88600)</f>
        <v>88600</v>
      </c>
      <c r="N353" s="93">
        <f ca="1">IFERROR(__xludf.DUMMYFUNCTION("IMPORTRANGE(""https://docs.google.com/spreadsheets/d/1MeEWN-I1oV_STSDYn1IFDPWt_1FKiwhDph83XaGc0o0/edit?usp=sharing"",""งบพรบ!FE15"")"),88600)</f>
        <v>88600</v>
      </c>
      <c r="O353" s="93">
        <f t="shared" ca="1" si="155"/>
        <v>100</v>
      </c>
      <c r="P353" s="93">
        <f t="shared" ca="1" si="156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5"/>
      <c r="B354" s="263"/>
      <c r="C354" s="256"/>
      <c r="D354" s="845" t="s">
        <v>158</v>
      </c>
      <c r="E354" s="256"/>
      <c r="F354" s="256"/>
      <c r="G354" s="258"/>
      <c r="H354" s="423"/>
      <c r="I354" s="260"/>
      <c r="J354" s="260"/>
      <c r="K354" s="261"/>
      <c r="L354" s="261"/>
      <c r="M354" s="261"/>
      <c r="N354" s="261"/>
      <c r="O354" s="261"/>
      <c r="P354" s="261"/>
    </row>
    <row r="355" spans="1:26" ht="19.5">
      <c r="A355" s="424"/>
      <c r="B355" s="425"/>
      <c r="C355" s="426"/>
      <c r="D355" s="846" t="s">
        <v>159</v>
      </c>
      <c r="E355" s="428"/>
      <c r="F355" s="428"/>
      <c r="G355" s="429"/>
      <c r="H355" s="430" t="s">
        <v>35</v>
      </c>
      <c r="I355" s="432">
        <f ca="1">IFERROR(__xludf.DUMMYFUNCTION("IMPORTRANGE(""https://docs.google.com/spreadsheets/d/1QqKyyYR6Q21VydFLVH3TRQUabQu_ym0Zz7PgGX0-kHA/edit?usp=sharing"",""แผน!EP15"")"),460)</f>
        <v>460</v>
      </c>
      <c r="J355" s="432">
        <f ca="1">J362</f>
        <v>6</v>
      </c>
      <c r="K355" s="433">
        <f ca="1">IF(I355&gt;0,J355*100/I355,0)</f>
        <v>1.3043478260869565</v>
      </c>
      <c r="L355" s="434"/>
      <c r="M355" s="434"/>
      <c r="N355" s="434"/>
      <c r="O355" s="434"/>
      <c r="P355" s="434"/>
    </row>
    <row r="356" spans="1:26" ht="19.5">
      <c r="A356" s="424"/>
      <c r="B356" s="425"/>
      <c r="C356" s="426"/>
      <c r="D356" s="435" t="s">
        <v>160</v>
      </c>
      <c r="E356" s="428"/>
      <c r="F356" s="428"/>
      <c r="G356" s="429"/>
      <c r="H356" s="436"/>
      <c r="I356" s="437"/>
      <c r="J356" s="437"/>
      <c r="K356" s="434"/>
      <c r="L356" s="434"/>
      <c r="M356" s="434"/>
      <c r="N356" s="434"/>
      <c r="O356" s="434"/>
      <c r="P356" s="434"/>
    </row>
    <row r="357" spans="1:26" ht="19.5">
      <c r="A357" s="170"/>
      <c r="B357" s="171"/>
      <c r="C357" s="164" t="s">
        <v>16</v>
      </c>
      <c r="D357" s="818" t="s">
        <v>38</v>
      </c>
      <c r="E357" s="173"/>
      <c r="F357" s="173"/>
      <c r="G357" s="174"/>
      <c r="H357" s="726"/>
      <c r="I357" s="269"/>
      <c r="J357" s="269"/>
      <c r="K357" s="465"/>
      <c r="L357" s="163"/>
      <c r="M357" s="163"/>
      <c r="N357" s="163"/>
      <c r="O357" s="163"/>
      <c r="P357" s="163"/>
    </row>
    <row r="358" spans="1:26" ht="18.75">
      <c r="A358" s="170"/>
      <c r="B358" s="342"/>
      <c r="C358" s="171"/>
      <c r="D358" s="342"/>
      <c r="E358" s="343" t="s">
        <v>161</v>
      </c>
      <c r="F358" s="342"/>
      <c r="G358" s="179"/>
      <c r="H358" s="185" t="s">
        <v>35</v>
      </c>
      <c r="I358" s="269">
        <v>0</v>
      </c>
      <c r="J358" s="269">
        <f ca="1">IFERROR(__xludf.DUMMYFUNCTION("IMPORTRANGE(""https://docs.google.com/spreadsheets/d/1XWAQStnk-4SwqDmLtmXYiTMKHgktTP8We1SCoS47DrQ/edit?usp=sharing"",""จัดที่ดิน!W15"")"),1)</f>
        <v>1</v>
      </c>
      <c r="K358" s="465">
        <f t="shared" ref="K358:K365" si="160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342"/>
      <c r="C359" s="171"/>
      <c r="D359" s="342"/>
      <c r="E359" s="342"/>
      <c r="F359" s="342"/>
      <c r="G359" s="179"/>
      <c r="H359" s="185" t="s">
        <v>46</v>
      </c>
      <c r="I359" s="269">
        <f ca="1">IFERROR(__xludf.DUMMYFUNCTION("IMPORTRANGE(""https://docs.google.com/spreadsheets/d/1QqKyyYR6Q21VydFLVH3TRQUabQu_ym0Zz7PgGX0-kHA/edit?usp=sharing"",""แผน!EO15"")"),3600)</f>
        <v>3600</v>
      </c>
      <c r="J359" s="269">
        <f ca="1">IFERROR(__xludf.DUMMYFUNCTION("IMPORTRANGE(""https://docs.google.com/spreadsheets/d/1XWAQStnk-4SwqDmLtmXYiTMKHgktTP8We1SCoS47DrQ/edit?usp=sharing"",""จัดที่ดิน!X15"")"),3.81)</f>
        <v>3.81</v>
      </c>
      <c r="K359" s="465">
        <f t="shared" ca="1" si="160"/>
        <v>0.10583333333333333</v>
      </c>
      <c r="L359" s="163"/>
      <c r="M359" s="163"/>
      <c r="N359" s="163"/>
      <c r="O359" s="163"/>
      <c r="P359" s="163"/>
    </row>
    <row r="360" spans="1:26" ht="18.75">
      <c r="A360" s="170"/>
      <c r="B360" s="342"/>
      <c r="C360" s="171"/>
      <c r="D360" s="342"/>
      <c r="E360" s="343" t="s">
        <v>162</v>
      </c>
      <c r="F360" s="342"/>
      <c r="G360" s="179"/>
      <c r="H360" s="728" t="s">
        <v>35</v>
      </c>
      <c r="I360" s="269">
        <f ca="1">IFERROR(__xludf.DUMMYFUNCTION("IMPORTRANGE(""https://docs.google.com/spreadsheets/d/1QqKyyYR6Q21VydFLVH3TRQUabQu_ym0Zz7PgGX0-kHA/edit?usp=sharing"",""แผน!EP15"")"),460)</f>
        <v>460</v>
      </c>
      <c r="J360" s="269">
        <f ca="1">IFERROR(__xludf.DUMMYFUNCTION("IMPORTRANGE(""https://docs.google.com/spreadsheets/d/1XWAQStnk-4SwqDmLtmXYiTMKHgktTP8We1SCoS47DrQ/edit?usp=sharing"",""จัดที่ดิน!Y15"")"),5)</f>
        <v>5</v>
      </c>
      <c r="K360" s="465">
        <f t="shared" ca="1" si="160"/>
        <v>1.0869565217391304</v>
      </c>
      <c r="L360" s="163"/>
      <c r="M360" s="163"/>
      <c r="N360" s="163"/>
      <c r="O360" s="163"/>
      <c r="P360" s="163"/>
    </row>
    <row r="361" spans="1:26" ht="18.75">
      <c r="A361" s="170"/>
      <c r="B361" s="342"/>
      <c r="C361" s="171"/>
      <c r="D361" s="342"/>
      <c r="E361" s="342"/>
      <c r="F361" s="342"/>
      <c r="G361" s="179"/>
      <c r="H361" s="728" t="s">
        <v>46</v>
      </c>
      <c r="I361" s="269">
        <v>0</v>
      </c>
      <c r="J361" s="269">
        <f ca="1">IFERROR(__xludf.DUMMYFUNCTION("IMPORTRANGE(""https://docs.google.com/spreadsheets/d/1XWAQStnk-4SwqDmLtmXYiTMKHgktTP8We1SCoS47DrQ/edit?usp=sharing"",""จัดที่ดิน!Z15"")"),17.69)</f>
        <v>17.690000000000001</v>
      </c>
      <c r="K361" s="465">
        <f t="shared" si="160"/>
        <v>0</v>
      </c>
      <c r="L361" s="163"/>
      <c r="M361" s="163"/>
      <c r="N361" s="163"/>
      <c r="O361" s="163"/>
      <c r="P361" s="163"/>
    </row>
    <row r="362" spans="1:26" ht="18.75">
      <c r="A362" s="170"/>
      <c r="B362" s="342"/>
      <c r="C362" s="171"/>
      <c r="D362" s="342"/>
      <c r="E362" s="343" t="s">
        <v>163</v>
      </c>
      <c r="F362" s="342"/>
      <c r="G362" s="179"/>
      <c r="H362" s="728" t="s">
        <v>35</v>
      </c>
      <c r="I362" s="269">
        <f ca="1">IFERROR(__xludf.DUMMYFUNCTION("IMPORTRANGE(""https://docs.google.com/spreadsheets/d/1QqKyyYR6Q21VydFLVH3TRQUabQu_ym0Zz7PgGX0-kHA/edit?usp=sharing"",""แผน!EP15"")"),460)</f>
        <v>460</v>
      </c>
      <c r="J362" s="269">
        <f ca="1">IFERROR(__xludf.DUMMYFUNCTION("IMPORTRANGE(""https://docs.google.com/spreadsheets/d/1XWAQStnk-4SwqDmLtmXYiTMKHgktTP8We1SCoS47DrQ/edit?usp=sharing"",""จัดที่ดิน!AA15"")"),6)</f>
        <v>6</v>
      </c>
      <c r="K362" s="465">
        <f t="shared" ca="1" si="160"/>
        <v>1.3043478260869565</v>
      </c>
      <c r="L362" s="163"/>
      <c r="M362" s="163"/>
      <c r="N362" s="163"/>
      <c r="O362" s="163"/>
      <c r="P362" s="163"/>
    </row>
    <row r="363" spans="1:26" ht="18.75">
      <c r="A363" s="438" t="s">
        <v>164</v>
      </c>
      <c r="B363" s="342"/>
      <c r="C363" s="171"/>
      <c r="D363" s="342"/>
      <c r="E363" s="415"/>
      <c r="F363" s="342"/>
      <c r="G363" s="179"/>
      <c r="H363" s="728" t="s">
        <v>46</v>
      </c>
      <c r="I363" s="269">
        <v>0</v>
      </c>
      <c r="J363" s="269">
        <f ca="1">IFERROR(__xludf.DUMMYFUNCTION("IMPORTRANGE(""https://docs.google.com/spreadsheets/d/1XWAQStnk-4SwqDmLtmXYiTMKHgktTP8We1SCoS47DrQ/edit?usp=sharing"",""จัดที่ดิน!AB15"")"),65.72)</f>
        <v>65.72</v>
      </c>
      <c r="K363" s="465">
        <f t="shared" si="160"/>
        <v>0</v>
      </c>
      <c r="L363" s="163"/>
      <c r="M363" s="163"/>
      <c r="N363" s="163"/>
      <c r="O363" s="163"/>
      <c r="P363" s="163"/>
    </row>
    <row r="364" spans="1:26" ht="19.5">
      <c r="A364" s="439"/>
      <c r="B364" s="440"/>
      <c r="C364" s="441"/>
      <c r="D364" s="442" t="s">
        <v>165</v>
      </c>
      <c r="E364" s="443"/>
      <c r="F364" s="443"/>
      <c r="G364" s="444"/>
      <c r="H364" s="445" t="s">
        <v>35</v>
      </c>
      <c r="I364" s="446">
        <f t="shared" ref="I364:J364" ca="1" si="161">I365+I374</f>
        <v>1360</v>
      </c>
      <c r="J364" s="446">
        <f t="shared" ca="1" si="161"/>
        <v>85</v>
      </c>
      <c r="K364" s="447">
        <f t="shared" ca="1" si="160"/>
        <v>6.25</v>
      </c>
      <c r="L364" s="448"/>
      <c r="M364" s="448"/>
      <c r="N364" s="448"/>
      <c r="O364" s="448"/>
      <c r="P364" s="448"/>
      <c r="Q364" s="449"/>
      <c r="R364" s="449"/>
      <c r="S364" s="449"/>
      <c r="T364" s="449"/>
      <c r="U364" s="449"/>
      <c r="V364" s="449"/>
      <c r="W364" s="449"/>
      <c r="X364" s="449"/>
      <c r="Y364" s="449"/>
      <c r="Z364" s="449"/>
    </row>
    <row r="365" spans="1:26" ht="19.5">
      <c r="A365" s="450"/>
      <c r="B365" s="451"/>
      <c r="C365" s="453"/>
      <c r="D365" s="453" t="s">
        <v>166</v>
      </c>
      <c r="E365" s="454"/>
      <c r="F365" s="454"/>
      <c r="G365" s="455"/>
      <c r="H365" s="456" t="s">
        <v>35</v>
      </c>
      <c r="I365" s="458">
        <f ca="1">IFERROR(__xludf.DUMMYFUNCTION("IMPORTRANGE(""https://docs.google.com/spreadsheets/d/1QqKyyYR6Q21VydFLVH3TRQUabQu_ym0Zz7PgGX0-kHA/edit?usp=sharing"",""แผน!EJ15"")"),110)</f>
        <v>110</v>
      </c>
      <c r="J365" s="458">
        <f ca="1">J372</f>
        <v>6</v>
      </c>
      <c r="K365" s="459">
        <f t="shared" ca="1" si="160"/>
        <v>5.4545454545454541</v>
      </c>
      <c r="L365" s="460"/>
      <c r="M365" s="460"/>
      <c r="N365" s="460"/>
      <c r="O365" s="460"/>
      <c r="P365" s="460"/>
      <c r="Q365" s="449"/>
      <c r="R365" s="449"/>
      <c r="S365" s="449"/>
      <c r="T365" s="449"/>
      <c r="U365" s="449"/>
      <c r="V365" s="449"/>
      <c r="W365" s="449"/>
      <c r="X365" s="449"/>
      <c r="Y365" s="449"/>
      <c r="Z365" s="449"/>
    </row>
    <row r="366" spans="1:26" ht="19.5">
      <c r="A366" s="450"/>
      <c r="B366" s="451"/>
      <c r="C366" s="453"/>
      <c r="D366" s="461" t="s">
        <v>167</v>
      </c>
      <c r="E366" s="454"/>
      <c r="F366" s="454"/>
      <c r="G366" s="455"/>
      <c r="H366" s="462"/>
      <c r="I366" s="463"/>
      <c r="J366" s="463"/>
      <c r="K366" s="460"/>
      <c r="L366" s="460"/>
      <c r="M366" s="460"/>
      <c r="N366" s="460"/>
      <c r="O366" s="460"/>
      <c r="P366" s="460"/>
      <c r="Q366" s="449"/>
      <c r="R366" s="449"/>
      <c r="S366" s="449"/>
      <c r="T366" s="449"/>
      <c r="U366" s="449"/>
      <c r="V366" s="449"/>
      <c r="W366" s="449"/>
      <c r="X366" s="449"/>
      <c r="Y366" s="449"/>
      <c r="Z366" s="449"/>
    </row>
    <row r="367" spans="1:26" ht="19.5">
      <c r="A367" s="170"/>
      <c r="B367" s="171"/>
      <c r="C367" s="164" t="s">
        <v>16</v>
      </c>
      <c r="D367" s="818" t="s">
        <v>38</v>
      </c>
      <c r="E367" s="173"/>
      <c r="F367" s="173"/>
      <c r="G367" s="174"/>
      <c r="H367" s="726"/>
      <c r="I367" s="269"/>
      <c r="J367" s="269"/>
      <c r="K367" s="465"/>
      <c r="L367" s="163"/>
      <c r="M367" s="163"/>
      <c r="N367" s="163"/>
      <c r="O367" s="163"/>
      <c r="P367" s="163"/>
    </row>
    <row r="368" spans="1:26" ht="18.75">
      <c r="A368" s="170"/>
      <c r="B368" s="342"/>
      <c r="C368" s="171"/>
      <c r="D368" s="342"/>
      <c r="E368" s="343" t="s">
        <v>161</v>
      </c>
      <c r="F368" s="342"/>
      <c r="G368" s="179"/>
      <c r="H368" s="185" t="s">
        <v>35</v>
      </c>
      <c r="I368" s="269">
        <v>0</v>
      </c>
      <c r="J368" s="269">
        <f ca="1">IFERROR(__xludf.DUMMYFUNCTION("IMPORTRANGE(""https://docs.google.com/spreadsheets/d/1XWAQStnk-4SwqDmLtmXYiTMKHgktTP8We1SCoS47DrQ/edit?usp=sharing"",""จัดที่ดิน!E15"")"),1)</f>
        <v>1</v>
      </c>
      <c r="K368" s="465">
        <f t="shared" ref="K368:K374" si="162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342"/>
      <c r="C369" s="171"/>
      <c r="D369" s="342"/>
      <c r="E369" s="342"/>
      <c r="F369" s="342"/>
      <c r="G369" s="179"/>
      <c r="H369" s="185" t="s">
        <v>46</v>
      </c>
      <c r="I369" s="269">
        <f ca="1">IFERROR(__xludf.DUMMYFUNCTION("IMPORTRANGE(""https://docs.google.com/spreadsheets/d/1QqKyyYR6Q21VydFLVH3TRQUabQu_ym0Zz7PgGX0-kHA/edit?usp=sharing"",""แผน!EI15"")"),1100)</f>
        <v>1100</v>
      </c>
      <c r="J369" s="269">
        <f ca="1">IFERROR(__xludf.DUMMYFUNCTION("IMPORTRANGE(""https://docs.google.com/spreadsheets/d/1XWAQStnk-4SwqDmLtmXYiTMKHgktTP8We1SCoS47DrQ/edit?usp=sharing"",""จัดที่ดิน!F15"")"),3.81)</f>
        <v>3.81</v>
      </c>
      <c r="K369" s="465">
        <f t="shared" ca="1" si="162"/>
        <v>0.34636363636363637</v>
      </c>
      <c r="L369" s="163"/>
      <c r="M369" s="163"/>
      <c r="N369" s="163"/>
      <c r="O369" s="163"/>
      <c r="P369" s="163"/>
    </row>
    <row r="370" spans="1:26" ht="18.75">
      <c r="A370" s="170"/>
      <c r="B370" s="342"/>
      <c r="C370" s="171"/>
      <c r="D370" s="342"/>
      <c r="E370" s="343" t="s">
        <v>162</v>
      </c>
      <c r="F370" s="342"/>
      <c r="G370" s="179"/>
      <c r="H370" s="728" t="s">
        <v>35</v>
      </c>
      <c r="I370" s="269">
        <f ca="1">IFERROR(__xludf.DUMMYFUNCTION("IMPORTRANGE(""https://docs.google.com/spreadsheets/d/1QqKyyYR6Q21VydFLVH3TRQUabQu_ym0Zz7PgGX0-kHA/edit?usp=sharing"",""แผน!EJ15"")"),110)</f>
        <v>110</v>
      </c>
      <c r="J370" s="269">
        <f ca="1">IFERROR(__xludf.DUMMYFUNCTION("IMPORTRANGE(""https://docs.google.com/spreadsheets/d/1XWAQStnk-4SwqDmLtmXYiTMKHgktTP8We1SCoS47DrQ/edit?usp=sharing"",""จัดที่ดิน!G15"")"),5)</f>
        <v>5</v>
      </c>
      <c r="K370" s="465">
        <f t="shared" ca="1" si="162"/>
        <v>4.5454545454545459</v>
      </c>
      <c r="L370" s="163"/>
      <c r="M370" s="163"/>
      <c r="N370" s="163"/>
      <c r="O370" s="163"/>
      <c r="P370" s="163"/>
    </row>
    <row r="371" spans="1:26" ht="18.75">
      <c r="A371" s="170"/>
      <c r="B371" s="342"/>
      <c r="C371" s="171"/>
      <c r="D371" s="342"/>
      <c r="E371" s="342"/>
      <c r="F371" s="342"/>
      <c r="G371" s="179"/>
      <c r="H371" s="728" t="s">
        <v>46</v>
      </c>
      <c r="I371" s="269">
        <v>0</v>
      </c>
      <c r="J371" s="269">
        <f ca="1">IFERROR(__xludf.DUMMYFUNCTION("IMPORTRANGE(""https://docs.google.com/spreadsheets/d/1XWAQStnk-4SwqDmLtmXYiTMKHgktTP8We1SCoS47DrQ/edit?usp=sharing"",""จัดที่ดิน!H15"")"),17.69)</f>
        <v>17.690000000000001</v>
      </c>
      <c r="K371" s="465">
        <f t="shared" si="162"/>
        <v>0</v>
      </c>
      <c r="L371" s="163"/>
      <c r="M371" s="163"/>
      <c r="N371" s="163"/>
      <c r="O371" s="163"/>
      <c r="P371" s="163"/>
    </row>
    <row r="372" spans="1:26" ht="18.75">
      <c r="A372" s="170"/>
      <c r="B372" s="342"/>
      <c r="C372" s="171"/>
      <c r="D372" s="342"/>
      <c r="E372" s="343" t="s">
        <v>163</v>
      </c>
      <c r="F372" s="342"/>
      <c r="G372" s="179"/>
      <c r="H372" s="728" t="s">
        <v>35</v>
      </c>
      <c r="I372" s="269">
        <f ca="1">IFERROR(__xludf.DUMMYFUNCTION("IMPORTRANGE(""https://docs.google.com/spreadsheets/d/1QqKyyYR6Q21VydFLVH3TRQUabQu_ym0Zz7PgGX0-kHA/edit?usp=sharing"",""แผน!EJ15"")"),110)</f>
        <v>110</v>
      </c>
      <c r="J372" s="269">
        <f ca="1">IFERROR(__xludf.DUMMYFUNCTION("IMPORTRANGE(""https://docs.google.com/spreadsheets/d/1XWAQStnk-4SwqDmLtmXYiTMKHgktTP8We1SCoS47DrQ/edit?usp=sharing"",""จัดที่ดิน!I15"")"),6)</f>
        <v>6</v>
      </c>
      <c r="K372" s="465">
        <f t="shared" ca="1" si="162"/>
        <v>5.4545454545454541</v>
      </c>
      <c r="L372" s="163"/>
      <c r="M372" s="163"/>
      <c r="N372" s="163"/>
      <c r="O372" s="163"/>
      <c r="P372" s="163"/>
    </row>
    <row r="373" spans="1:26" ht="18.75">
      <c r="A373" s="438" t="s">
        <v>164</v>
      </c>
      <c r="B373" s="342"/>
      <c r="C373" s="171"/>
      <c r="D373" s="342"/>
      <c r="E373" s="415"/>
      <c r="F373" s="342"/>
      <c r="G373" s="179"/>
      <c r="H373" s="728" t="s">
        <v>46</v>
      </c>
      <c r="I373" s="269">
        <v>0</v>
      </c>
      <c r="J373" s="269">
        <f ca="1">IFERROR(__xludf.DUMMYFUNCTION("IMPORTRANGE(""https://docs.google.com/spreadsheets/d/1XWAQStnk-4SwqDmLtmXYiTMKHgktTP8We1SCoS47DrQ/edit?usp=sharing"",""จัดที่ดิน!J15"")"),65.72)</f>
        <v>65.72</v>
      </c>
      <c r="K373" s="465">
        <f t="shared" si="162"/>
        <v>0</v>
      </c>
      <c r="L373" s="163"/>
      <c r="M373" s="163"/>
      <c r="N373" s="163"/>
      <c r="O373" s="163"/>
      <c r="P373" s="163"/>
    </row>
    <row r="374" spans="1:26" ht="19.5">
      <c r="A374" s="450"/>
      <c r="B374" s="451"/>
      <c r="C374" s="453"/>
      <c r="D374" s="453" t="s">
        <v>168</v>
      </c>
      <c r="E374" s="454"/>
      <c r="F374" s="454"/>
      <c r="G374" s="455"/>
      <c r="H374" s="456" t="s">
        <v>35</v>
      </c>
      <c r="I374" s="464">
        <f ca="1">IFERROR(__xludf.DUMMYFUNCTION("IMPORTRANGE(""https://docs.google.com/spreadsheets/d/1QqKyyYR6Q21VydFLVH3TRQUabQu_ym0Zz7PgGX0-kHA/edit?usp=sharing"",""แผน!EU15"")"),1250)</f>
        <v>1250</v>
      </c>
      <c r="J374" s="458">
        <f ca="1">J381</f>
        <v>79</v>
      </c>
      <c r="K374" s="459">
        <f t="shared" ca="1" si="162"/>
        <v>6.32</v>
      </c>
      <c r="L374" s="460"/>
      <c r="M374" s="460"/>
      <c r="N374" s="460"/>
      <c r="O374" s="460"/>
      <c r="P374" s="460"/>
      <c r="Q374" s="449"/>
      <c r="R374" s="449"/>
      <c r="S374" s="449"/>
      <c r="T374" s="449"/>
      <c r="U374" s="449"/>
      <c r="V374" s="449"/>
      <c r="W374" s="449"/>
      <c r="X374" s="449"/>
      <c r="Y374" s="449"/>
      <c r="Z374" s="449"/>
    </row>
    <row r="375" spans="1:26" ht="19.5">
      <c r="A375" s="450"/>
      <c r="B375" s="451"/>
      <c r="C375" s="453"/>
      <c r="D375" s="461" t="s">
        <v>169</v>
      </c>
      <c r="E375" s="454"/>
      <c r="F375" s="454"/>
      <c r="G375" s="455"/>
      <c r="H375" s="462"/>
      <c r="I375" s="463"/>
      <c r="J375" s="463"/>
      <c r="K375" s="460"/>
      <c r="L375" s="460"/>
      <c r="M375" s="460"/>
      <c r="N375" s="460"/>
      <c r="O375" s="460"/>
      <c r="P375" s="460"/>
      <c r="Q375" s="449"/>
      <c r="R375" s="449"/>
      <c r="S375" s="449"/>
      <c r="T375" s="449"/>
      <c r="U375" s="449"/>
      <c r="V375" s="449"/>
      <c r="W375" s="449"/>
      <c r="X375" s="449"/>
      <c r="Y375" s="449"/>
      <c r="Z375" s="449"/>
    </row>
    <row r="376" spans="1:26" ht="19.5">
      <c r="A376" s="170"/>
      <c r="B376" s="171"/>
      <c r="C376" s="164" t="s">
        <v>16</v>
      </c>
      <c r="D376" s="818" t="s">
        <v>38</v>
      </c>
      <c r="E376" s="173"/>
      <c r="F376" s="173"/>
      <c r="G376" s="174"/>
      <c r="H376" s="726"/>
      <c r="I376" s="269"/>
      <c r="J376" s="269"/>
      <c r="K376" s="465"/>
      <c r="L376" s="163"/>
      <c r="M376" s="163"/>
      <c r="N376" s="163"/>
      <c r="O376" s="163"/>
      <c r="P376" s="163"/>
    </row>
    <row r="377" spans="1:26" ht="18.75">
      <c r="A377" s="170"/>
      <c r="B377" s="342"/>
      <c r="C377" s="171"/>
      <c r="D377" s="342"/>
      <c r="E377" s="343" t="s">
        <v>161</v>
      </c>
      <c r="F377" s="342"/>
      <c r="G377" s="179"/>
      <c r="H377" s="185" t="s">
        <v>35</v>
      </c>
      <c r="I377" s="269">
        <v>0</v>
      </c>
      <c r="J377" s="269">
        <f ca="1">IFERROR(__xludf.DUMMYFUNCTION("IMPORTRANGE(""https://docs.google.com/spreadsheets/d/1XWAQStnk-4SwqDmLtmXYiTMKHgktTP8We1SCoS47DrQ/edit?usp=sharing"",""จัดที่ดิน!AH15"")"),0)</f>
        <v>0</v>
      </c>
      <c r="K377" s="465">
        <f t="shared" ref="K377:K382" si="163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342"/>
      <c r="C378" s="171"/>
      <c r="D378" s="342"/>
      <c r="E378" s="342"/>
      <c r="F378" s="342"/>
      <c r="G378" s="179"/>
      <c r="H378" s="185" t="s">
        <v>46</v>
      </c>
      <c r="I378" s="269">
        <f ca="1">IFERROR(__xludf.DUMMYFUNCTION("IMPORTRANGE(""https://docs.google.com/spreadsheets/d/1QqKyyYR6Q21VydFLVH3TRQUabQu_ym0Zz7PgGX0-kHA/edit?usp=sharing"",""แผน!ET15"")"),2500)</f>
        <v>2500</v>
      </c>
      <c r="J378" s="269">
        <f ca="1">IFERROR(__xludf.DUMMYFUNCTION("IMPORTRANGE(""https://docs.google.com/spreadsheets/d/1XWAQStnk-4SwqDmLtmXYiTMKHgktTP8We1SCoS47DrQ/edit?usp=sharing"",""จัดที่ดิน!AI15"")"),0)</f>
        <v>0</v>
      </c>
      <c r="K378" s="465">
        <f t="shared" ca="1" si="163"/>
        <v>0</v>
      </c>
      <c r="L378" s="163"/>
      <c r="M378" s="163"/>
      <c r="N378" s="163"/>
      <c r="O378" s="163"/>
      <c r="P378" s="163"/>
    </row>
    <row r="379" spans="1:26" ht="18.75">
      <c r="A379" s="170"/>
      <c r="B379" s="342"/>
      <c r="C379" s="171"/>
      <c r="D379" s="342"/>
      <c r="E379" s="343" t="s">
        <v>162</v>
      </c>
      <c r="F379" s="342"/>
      <c r="G379" s="179"/>
      <c r="H379" s="728" t="s">
        <v>35</v>
      </c>
      <c r="I379" s="269">
        <f ca="1">IFERROR(__xludf.DUMMYFUNCTION("IMPORTRANGE(""https://docs.google.com/spreadsheets/d/1QqKyyYR6Q21VydFLVH3TRQUabQu_ym0Zz7PgGX0-kHA/edit?usp=sharing"",""แผน!EU15"")"),1250)</f>
        <v>1250</v>
      </c>
      <c r="J379" s="269">
        <f ca="1">IFERROR(__xludf.DUMMYFUNCTION("IMPORTRANGE(""https://docs.google.com/spreadsheets/d/1XWAQStnk-4SwqDmLtmXYiTMKHgktTP8We1SCoS47DrQ/edit?usp=sharing"",""จัดที่ดิน!AJ15"")"),81)</f>
        <v>81</v>
      </c>
      <c r="K379" s="465">
        <f t="shared" ca="1" si="163"/>
        <v>6.48</v>
      </c>
      <c r="L379" s="163"/>
      <c r="M379" s="163"/>
      <c r="N379" s="163"/>
      <c r="O379" s="163"/>
      <c r="P379" s="163"/>
    </row>
    <row r="380" spans="1:26" ht="18.75">
      <c r="A380" s="170"/>
      <c r="B380" s="342"/>
      <c r="C380" s="171"/>
      <c r="D380" s="342"/>
      <c r="E380" s="342"/>
      <c r="F380" s="342"/>
      <c r="G380" s="179"/>
      <c r="H380" s="728" t="s">
        <v>46</v>
      </c>
      <c r="I380" s="269">
        <v>0</v>
      </c>
      <c r="J380" s="269">
        <f ca="1">IFERROR(__xludf.DUMMYFUNCTION("IMPORTRANGE(""https://docs.google.com/spreadsheets/d/1XWAQStnk-4SwqDmLtmXYiTMKHgktTP8We1SCoS47DrQ/edit?usp=sharing"",""จัดที่ดิน!AK15"")"),615.74)</f>
        <v>615.74</v>
      </c>
      <c r="K380" s="465">
        <f t="shared" si="163"/>
        <v>0</v>
      </c>
      <c r="L380" s="163"/>
      <c r="M380" s="163"/>
      <c r="N380" s="163"/>
      <c r="O380" s="163"/>
      <c r="P380" s="163"/>
    </row>
    <row r="381" spans="1:26" ht="18.75">
      <c r="A381" s="170"/>
      <c r="B381" s="342"/>
      <c r="C381" s="171"/>
      <c r="D381" s="342"/>
      <c r="E381" s="343" t="s">
        <v>163</v>
      </c>
      <c r="F381" s="342"/>
      <c r="G381" s="179"/>
      <c r="H381" s="728" t="s">
        <v>35</v>
      </c>
      <c r="I381" s="269">
        <f ca="1">IFERROR(__xludf.DUMMYFUNCTION("IMPORTRANGE(""https://docs.google.com/spreadsheets/d/1QqKyyYR6Q21VydFLVH3TRQUabQu_ym0Zz7PgGX0-kHA/edit?usp=sharing"",""แผน!EU15"")"),1250)</f>
        <v>1250</v>
      </c>
      <c r="J381" s="269">
        <f ca="1">IFERROR(__xludf.DUMMYFUNCTION("IMPORTRANGE(""https://docs.google.com/spreadsheets/d/1XWAQStnk-4SwqDmLtmXYiTMKHgktTP8We1SCoS47DrQ/edit?usp=sharing"",""จัดที่ดิน!AL15"")"),79)</f>
        <v>79</v>
      </c>
      <c r="K381" s="465">
        <f t="shared" ca="1" si="163"/>
        <v>6.32</v>
      </c>
      <c r="L381" s="163"/>
      <c r="M381" s="163"/>
      <c r="N381" s="163"/>
      <c r="O381" s="163"/>
      <c r="P381" s="163"/>
    </row>
    <row r="382" spans="1:26" ht="18.75">
      <c r="A382" s="438" t="s">
        <v>164</v>
      </c>
      <c r="B382" s="342"/>
      <c r="C382" s="171"/>
      <c r="D382" s="342"/>
      <c r="E382" s="415"/>
      <c r="F382" s="342"/>
      <c r="G382" s="179"/>
      <c r="H382" s="728" t="s">
        <v>46</v>
      </c>
      <c r="I382" s="269">
        <v>0</v>
      </c>
      <c r="J382" s="269">
        <f ca="1">IFERROR(__xludf.DUMMYFUNCTION("IMPORTRANGE(""https://docs.google.com/spreadsheets/d/1XWAQStnk-4SwqDmLtmXYiTMKHgktTP8We1SCoS47DrQ/edit?usp=sharing"",""จัดที่ดิน!AM15"")"),619.49)</f>
        <v>619.49</v>
      </c>
      <c r="K382" s="465">
        <f t="shared" si="163"/>
        <v>0</v>
      </c>
      <c r="L382" s="163"/>
      <c r="M382" s="163"/>
      <c r="N382" s="163"/>
      <c r="O382" s="163"/>
      <c r="P382" s="163"/>
    </row>
    <row r="383" spans="1:26" ht="19.5">
      <c r="A383" s="255"/>
      <c r="B383" s="263"/>
      <c r="C383" s="256"/>
      <c r="D383" s="845" t="s">
        <v>170</v>
      </c>
      <c r="E383" s="256"/>
      <c r="F383" s="256"/>
      <c r="G383" s="258"/>
      <c r="H383" s="423"/>
      <c r="I383" s="260"/>
      <c r="J383" s="260"/>
      <c r="K383" s="261"/>
      <c r="L383" s="261"/>
      <c r="M383" s="261"/>
      <c r="N383" s="261"/>
      <c r="O383" s="261"/>
      <c r="P383" s="261"/>
    </row>
    <row r="384" spans="1:26" ht="19.5">
      <c r="A384" s="170"/>
      <c r="B384" s="171"/>
      <c r="C384" s="33" t="s">
        <v>16</v>
      </c>
      <c r="D384" s="818" t="s">
        <v>38</v>
      </c>
      <c r="E384" s="173"/>
      <c r="F384" s="173"/>
      <c r="G384" s="174"/>
      <c r="H384" s="726"/>
      <c r="I384" s="269"/>
      <c r="J384" s="269"/>
      <c r="K384" s="465"/>
      <c r="L384" s="163"/>
      <c r="M384" s="163"/>
      <c r="N384" s="163"/>
      <c r="O384" s="163"/>
      <c r="P384" s="163"/>
    </row>
    <row r="385" spans="1:26" ht="18.75">
      <c r="A385" s="346"/>
      <c r="B385" s="349"/>
      <c r="C385" s="347"/>
      <c r="D385" s="349"/>
      <c r="E385" s="466" t="s">
        <v>163</v>
      </c>
      <c r="F385" s="349"/>
      <c r="G385" s="350"/>
      <c r="H385" s="467" t="s">
        <v>35</v>
      </c>
      <c r="I385" s="468">
        <f ca="1">IFERROR(__xludf.DUMMYFUNCTION("IMPORTRANGE(""https://docs.google.com/spreadsheets/d/1QqKyyYR6Q21VydFLVH3TRQUabQu_ym0Zz7PgGX0-kHA/edit?usp=sharing"",""แผน!EW15"")"),150)</f>
        <v>150</v>
      </c>
      <c r="J385" s="468">
        <f ca="1">IFERROR(__xludf.DUMMYFUNCTION("IMPORTRANGE(""https://docs.google.com/spreadsheets/d/1XWAQStnk-4SwqDmLtmXYiTMKHgktTP8We1SCoS47DrQ/edit?usp=sharing"",""จัดที่ดิน!AP15"")"),0)</f>
        <v>0</v>
      </c>
      <c r="K385" s="469">
        <f ca="1">IF(I385&gt;0,J385*100/I385,0)</f>
        <v>0</v>
      </c>
      <c r="L385" s="353"/>
      <c r="M385" s="353"/>
      <c r="N385" s="353"/>
      <c r="O385" s="353"/>
      <c r="P385" s="353"/>
    </row>
    <row r="386" spans="1:26" ht="19.5" hidden="1">
      <c r="A386" s="470" t="s">
        <v>171</v>
      </c>
      <c r="B386" s="471"/>
      <c r="C386" s="471"/>
      <c r="D386" s="471"/>
      <c r="E386" s="472"/>
      <c r="F386" s="472"/>
      <c r="G386" s="473"/>
      <c r="H386" s="474"/>
      <c r="I386" s="475"/>
      <c r="J386" s="475"/>
      <c r="K386" s="476"/>
      <c r="L386" s="476"/>
      <c r="M386" s="476"/>
      <c r="N386" s="476"/>
      <c r="O386" s="476"/>
      <c r="P386" s="476"/>
    </row>
    <row r="387" spans="1:26" ht="19.5" hidden="1">
      <c r="A387" s="477" t="s">
        <v>172</v>
      </c>
      <c r="B387" s="478"/>
      <c r="C387" s="478"/>
      <c r="D387" s="479"/>
      <c r="E387" s="478"/>
      <c r="F387" s="478"/>
      <c r="G387" s="478"/>
      <c r="H387" s="480"/>
      <c r="I387" s="481"/>
      <c r="J387" s="481"/>
      <c r="K387" s="482"/>
      <c r="L387" s="482"/>
      <c r="M387" s="482"/>
      <c r="N387" s="482"/>
      <c r="O387" s="482"/>
      <c r="P387" s="482"/>
    </row>
    <row r="388" spans="1:26" ht="19.5" hidden="1">
      <c r="A388" s="483"/>
      <c r="B388" s="484" t="s">
        <v>173</v>
      </c>
      <c r="C388" s="485"/>
      <c r="D388" s="486"/>
      <c r="E388" s="486"/>
      <c r="F388" s="486"/>
      <c r="G388" s="487"/>
      <c r="H388" s="488" t="s">
        <v>69</v>
      </c>
      <c r="I388" s="489">
        <f t="shared" ref="I388:J388" si="164">I400</f>
        <v>0</v>
      </c>
      <c r="J388" s="489">
        <f t="shared" si="164"/>
        <v>0</v>
      </c>
      <c r="K388" s="490">
        <f>IF(I388&gt;0,J388*100/I388,0)</f>
        <v>0</v>
      </c>
      <c r="L388" s="491"/>
      <c r="M388" s="491"/>
      <c r="N388" s="491"/>
      <c r="O388" s="491"/>
      <c r="P388" s="491"/>
    </row>
    <row r="389" spans="1:26" ht="19.5" hidden="1">
      <c r="A389" s="147"/>
      <c r="B389" s="148"/>
      <c r="C389" s="149" t="s">
        <v>16</v>
      </c>
      <c r="D389" s="817" t="s">
        <v>17</v>
      </c>
      <c r="E389" s="148"/>
      <c r="F389" s="148"/>
      <c r="G389" s="151"/>
      <c r="H389" s="152" t="s">
        <v>12</v>
      </c>
      <c r="I389" s="388"/>
      <c r="J389" s="388"/>
      <c r="K389" s="154"/>
      <c r="L389" s="155">
        <f t="shared" ref="L389:N389" ca="1" si="165">L390+L391</f>
        <v>0</v>
      </c>
      <c r="M389" s="155">
        <f t="shared" ca="1" si="165"/>
        <v>0</v>
      </c>
      <c r="N389" s="155">
        <f t="shared" ca="1" si="165"/>
        <v>0</v>
      </c>
      <c r="O389" s="155">
        <f t="shared" ref="O389:O397" ca="1" si="166">IF(L389&gt;0,N389*100/L389,0)</f>
        <v>0</v>
      </c>
      <c r="P389" s="155">
        <f t="shared" ref="P389:P397" ca="1" si="167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2" t="s">
        <v>18</v>
      </c>
      <c r="F390" s="40"/>
      <c r="G390" s="157"/>
      <c r="H390" s="158" t="s">
        <v>12</v>
      </c>
      <c r="I390" s="583"/>
      <c r="J390" s="583"/>
      <c r="K390" s="93"/>
      <c r="L390" s="93">
        <f t="shared" ref="L390:N391" si="168">L393+L396</f>
        <v>0</v>
      </c>
      <c r="M390" s="93">
        <f t="shared" si="168"/>
        <v>0</v>
      </c>
      <c r="N390" s="93">
        <f t="shared" si="168"/>
        <v>0</v>
      </c>
      <c r="O390" s="93">
        <f t="shared" si="166"/>
        <v>0</v>
      </c>
      <c r="P390" s="93">
        <f t="shared" si="167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2" t="s">
        <v>19</v>
      </c>
      <c r="F391" s="40"/>
      <c r="G391" s="157"/>
      <c r="H391" s="158" t="s">
        <v>12</v>
      </c>
      <c r="I391" s="583"/>
      <c r="J391" s="583"/>
      <c r="K391" s="93"/>
      <c r="L391" s="93">
        <f t="shared" ca="1" si="168"/>
        <v>0</v>
      </c>
      <c r="M391" s="93">
        <f t="shared" ca="1" si="168"/>
        <v>0</v>
      </c>
      <c r="N391" s="93">
        <f t="shared" ca="1" si="168"/>
        <v>0</v>
      </c>
      <c r="O391" s="93">
        <f t="shared" ca="1" si="166"/>
        <v>0</v>
      </c>
      <c r="P391" s="93">
        <f t="shared" ca="1" si="167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1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65">
        <f t="shared" ref="L392:N392" ca="1" si="169">L393+L394</f>
        <v>0</v>
      </c>
      <c r="M392" s="465">
        <f t="shared" ca="1" si="169"/>
        <v>0</v>
      </c>
      <c r="N392" s="465">
        <f t="shared" ca="1" si="169"/>
        <v>0</v>
      </c>
      <c r="O392" s="465">
        <f t="shared" ca="1" si="166"/>
        <v>0</v>
      </c>
      <c r="P392" s="465">
        <f t="shared" ca="1" si="167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2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6"/>
        <v>0</v>
      </c>
      <c r="P393" s="93">
        <f t="shared" si="167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2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IFERROR(__xludf.DUMMYFUNCTION("IMPORTRANGE(""https://docs.google.com/spreadsheets/d/1MeEWN-I1oV_STSDYn1IFDPWt_1FKiwhDph83XaGc0o0/edit?usp=sharing"",""งบพรบ!FG15"")"),0)</f>
        <v>0</v>
      </c>
      <c r="M394" s="93">
        <f ca="1">IFERROR(__xludf.DUMMYFUNCTION("IMPORTRANGE(""https://docs.google.com/spreadsheets/d/1MeEWN-I1oV_STSDYn1IFDPWt_1FKiwhDph83XaGc0o0/edit?usp=sharing"",""งบพรบ!FL15"")"),0)</f>
        <v>0</v>
      </c>
      <c r="N394" s="93">
        <f ca="1">IFERROR(__xludf.DUMMYFUNCTION("IMPORTRANGE(""https://docs.google.com/spreadsheets/d/1MeEWN-I1oV_STSDYn1IFDPWt_1FKiwhDph83XaGc0o0/edit?usp=sharing"",""งบพรบ!FN15"")"),0)</f>
        <v>0</v>
      </c>
      <c r="O394" s="93">
        <f t="shared" ca="1" si="166"/>
        <v>0</v>
      </c>
      <c r="P394" s="93">
        <f t="shared" ca="1" si="167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1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65">
        <f t="shared" ref="L395:N395" ca="1" si="170">L396+L397</f>
        <v>0</v>
      </c>
      <c r="M395" s="465">
        <f t="shared" ca="1" si="170"/>
        <v>0</v>
      </c>
      <c r="N395" s="465">
        <f t="shared" ca="1" si="170"/>
        <v>0</v>
      </c>
      <c r="O395" s="465">
        <f t="shared" ca="1" si="166"/>
        <v>0</v>
      </c>
      <c r="P395" s="465">
        <f t="shared" ca="1" si="167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2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6"/>
        <v>0</v>
      </c>
      <c r="P396" s="93">
        <f t="shared" si="167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2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IFERROR(__xludf.DUMMYFUNCTION("IMPORTRANGE(""https://docs.google.com/spreadsheets/d/1MeEWN-I1oV_STSDYn1IFDPWt_1FKiwhDph83XaGc0o0/edit?usp=sharing"",""งบพรบ!FJ15"")"),0)</f>
        <v>0</v>
      </c>
      <c r="M397" s="93">
        <f ca="1">IFERROR(__xludf.DUMMYFUNCTION("IMPORTRANGE(""https://docs.google.com/spreadsheets/d/1MeEWN-I1oV_STSDYn1IFDPWt_1FKiwhDph83XaGc0o0/edit?usp=sharing"",""งบพรบ!FM15"")"),0)</f>
        <v>0</v>
      </c>
      <c r="N397" s="93">
        <f ca="1">IFERROR(__xludf.DUMMYFUNCTION("IMPORTRANGE(""https://docs.google.com/spreadsheets/d/1MeEWN-I1oV_STSDYn1IFDPWt_1FKiwhDph83XaGc0o0/edit?usp=sharing"",""งบพรบ!FO15"")"),0)</f>
        <v>0</v>
      </c>
      <c r="O397" s="93">
        <f t="shared" ca="1" si="166"/>
        <v>0</v>
      </c>
      <c r="P397" s="93">
        <f t="shared" ca="1" si="167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18" t="s">
        <v>38</v>
      </c>
      <c r="E398" s="173"/>
      <c r="F398" s="173"/>
      <c r="G398" s="174"/>
      <c r="H398" s="726"/>
      <c r="I398" s="184"/>
      <c r="J398" s="269"/>
      <c r="K398" s="465"/>
      <c r="L398" s="465"/>
      <c r="M398" s="465"/>
      <c r="N398" s="465"/>
      <c r="O398" s="163"/>
      <c r="P398" s="163"/>
    </row>
    <row r="399" spans="1:26" ht="18.75" hidden="1">
      <c r="A399" s="492"/>
      <c r="B399" s="148"/>
      <c r="C399" s="493"/>
      <c r="D399" s="494" t="s">
        <v>174</v>
      </c>
      <c r="E399" s="383"/>
      <c r="F399" s="148"/>
      <c r="G399" s="151"/>
      <c r="H399" s="495" t="s">
        <v>9</v>
      </c>
      <c r="I399" s="269">
        <v>0</v>
      </c>
      <c r="J399" s="214">
        <v>0</v>
      </c>
      <c r="K399" s="465">
        <f t="shared" ref="K399:K401" si="171">IF(I399&gt;0,J399*100/I399,0)</f>
        <v>0</v>
      </c>
      <c r="L399" s="496"/>
      <c r="M399" s="496"/>
      <c r="N399" s="496"/>
      <c r="O399" s="496"/>
      <c r="P399" s="496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3"/>
      <c r="B400" s="33"/>
      <c r="C400" s="280"/>
      <c r="D400" s="415" t="s">
        <v>175</v>
      </c>
      <c r="E400" s="171"/>
      <c r="F400" s="33"/>
      <c r="G400" s="35"/>
      <c r="H400" s="276" t="s">
        <v>69</v>
      </c>
      <c r="I400" s="269">
        <v>0</v>
      </c>
      <c r="J400" s="214">
        <v>0</v>
      </c>
      <c r="K400" s="465">
        <f t="shared" si="171"/>
        <v>0</v>
      </c>
      <c r="L400" s="465"/>
      <c r="M400" s="465"/>
      <c r="N400" s="465"/>
      <c r="O400" s="465"/>
      <c r="P400" s="465"/>
    </row>
    <row r="401" spans="1:26" ht="19.5" hidden="1">
      <c r="A401" s="483"/>
      <c r="B401" s="484" t="s">
        <v>176</v>
      </c>
      <c r="C401" s="485"/>
      <c r="D401" s="486"/>
      <c r="E401" s="486"/>
      <c r="F401" s="486"/>
      <c r="G401" s="487"/>
      <c r="H401" s="488" t="s">
        <v>69</v>
      </c>
      <c r="I401" s="489">
        <f t="shared" ref="I401:J401" si="172">I412</f>
        <v>0</v>
      </c>
      <c r="J401" s="489">
        <f t="shared" si="172"/>
        <v>0</v>
      </c>
      <c r="K401" s="490">
        <f t="shared" si="171"/>
        <v>0</v>
      </c>
      <c r="L401" s="491"/>
      <c r="M401" s="491"/>
      <c r="N401" s="491"/>
      <c r="O401" s="491"/>
      <c r="P401" s="491"/>
    </row>
    <row r="402" spans="1:26" ht="19.5" hidden="1">
      <c r="A402" s="147"/>
      <c r="B402" s="148"/>
      <c r="C402" s="149" t="s">
        <v>16</v>
      </c>
      <c r="D402" s="817" t="s">
        <v>17</v>
      </c>
      <c r="E402" s="148"/>
      <c r="F402" s="148"/>
      <c r="G402" s="151"/>
      <c r="H402" s="152" t="s">
        <v>12</v>
      </c>
      <c r="I402" s="388"/>
      <c r="J402" s="388"/>
      <c r="K402" s="154"/>
      <c r="L402" s="155">
        <f t="shared" ref="L402:N402" ca="1" si="173">L403+L404</f>
        <v>0</v>
      </c>
      <c r="M402" s="155">
        <f t="shared" ca="1" si="173"/>
        <v>0</v>
      </c>
      <c r="N402" s="155">
        <f t="shared" ca="1" si="173"/>
        <v>0</v>
      </c>
      <c r="O402" s="155">
        <f t="shared" ref="O402:O410" ca="1" si="174">IF(L402&gt;0,N402*100/L402,0)</f>
        <v>0</v>
      </c>
      <c r="P402" s="155">
        <f t="shared" ref="P402:P410" ca="1" si="175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2" t="s">
        <v>18</v>
      </c>
      <c r="F403" s="40"/>
      <c r="G403" s="157"/>
      <c r="H403" s="158" t="s">
        <v>12</v>
      </c>
      <c r="I403" s="583"/>
      <c r="J403" s="583"/>
      <c r="K403" s="93"/>
      <c r="L403" s="93">
        <f t="shared" ref="L403:N404" si="176">L406+L409</f>
        <v>0</v>
      </c>
      <c r="M403" s="93">
        <f t="shared" si="176"/>
        <v>0</v>
      </c>
      <c r="N403" s="93">
        <f t="shared" si="176"/>
        <v>0</v>
      </c>
      <c r="O403" s="93">
        <f t="shared" si="174"/>
        <v>0</v>
      </c>
      <c r="P403" s="93">
        <f t="shared" si="175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2" t="s">
        <v>19</v>
      </c>
      <c r="F404" s="40"/>
      <c r="G404" s="157"/>
      <c r="H404" s="158" t="s">
        <v>12</v>
      </c>
      <c r="I404" s="583"/>
      <c r="J404" s="583"/>
      <c r="K404" s="93"/>
      <c r="L404" s="93">
        <f t="shared" ca="1" si="176"/>
        <v>0</v>
      </c>
      <c r="M404" s="93">
        <f t="shared" ca="1" si="176"/>
        <v>0</v>
      </c>
      <c r="N404" s="93">
        <f t="shared" ca="1" si="176"/>
        <v>0</v>
      </c>
      <c r="O404" s="93">
        <f t="shared" ca="1" si="174"/>
        <v>0</v>
      </c>
      <c r="P404" s="93">
        <f t="shared" ca="1" si="175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1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65">
        <f t="shared" ref="L405:N405" ca="1" si="177">L406+L407</f>
        <v>0</v>
      </c>
      <c r="M405" s="465">
        <f t="shared" ca="1" si="177"/>
        <v>0</v>
      </c>
      <c r="N405" s="465">
        <f t="shared" ca="1" si="177"/>
        <v>0</v>
      </c>
      <c r="O405" s="465">
        <f t="shared" ca="1" si="174"/>
        <v>0</v>
      </c>
      <c r="P405" s="465">
        <f t="shared" ca="1" si="175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2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4"/>
        <v>0</v>
      </c>
      <c r="P406" s="93">
        <f t="shared" si="175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2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IFERROR(__xludf.DUMMYFUNCTION("IMPORTRANGE(""https://docs.google.com/spreadsheets/d/1MeEWN-I1oV_STSDYn1IFDPWt_1FKiwhDph83XaGc0o0/edit?usp=sharing"",""งบพรบ!FQ15"")"),0)</f>
        <v>0</v>
      </c>
      <c r="M407" s="93">
        <f ca="1">IFERROR(__xludf.DUMMYFUNCTION("IMPORTRANGE(""https://docs.google.com/spreadsheets/d/1MeEWN-I1oV_STSDYn1IFDPWt_1FKiwhDph83XaGc0o0/edit?usp=sharing"",""งบพรบ!FV15"")"),0)</f>
        <v>0</v>
      </c>
      <c r="N407" s="93">
        <f ca="1">IFERROR(__xludf.DUMMYFUNCTION("IMPORTRANGE(""https://docs.google.com/spreadsheets/d/1MeEWN-I1oV_STSDYn1IFDPWt_1FKiwhDph83XaGc0o0/edit?usp=sharing"",""งบพรบ!FX15"")"),0)</f>
        <v>0</v>
      </c>
      <c r="O407" s="93">
        <f t="shared" ca="1" si="174"/>
        <v>0</v>
      </c>
      <c r="P407" s="93">
        <f t="shared" ca="1" si="175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1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65">
        <f t="shared" ref="L408:N408" ca="1" si="178">L409+L410</f>
        <v>0</v>
      </c>
      <c r="M408" s="465">
        <f t="shared" ca="1" si="178"/>
        <v>0</v>
      </c>
      <c r="N408" s="465">
        <f t="shared" ca="1" si="178"/>
        <v>0</v>
      </c>
      <c r="O408" s="465">
        <f t="shared" ca="1" si="174"/>
        <v>0</v>
      </c>
      <c r="P408" s="465">
        <f t="shared" ca="1" si="175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2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4"/>
        <v>0</v>
      </c>
      <c r="P409" s="93">
        <f t="shared" si="175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2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IFERROR(__xludf.DUMMYFUNCTION("IMPORTRANGE(""https://docs.google.com/spreadsheets/d/1MeEWN-I1oV_STSDYn1IFDPWt_1FKiwhDph83XaGc0o0/edit?usp=sharing"",""งบพรบ!FT15"")"),0)</f>
        <v>0</v>
      </c>
      <c r="M410" s="93">
        <f ca="1">IFERROR(__xludf.DUMMYFUNCTION("IMPORTRANGE(""https://docs.google.com/spreadsheets/d/1MeEWN-I1oV_STSDYn1IFDPWt_1FKiwhDph83XaGc0o0/edit?usp=sharing"",""งบพรบ!FW15"")"),0)</f>
        <v>0</v>
      </c>
      <c r="N410" s="93">
        <f ca="1">IFERROR(__xludf.DUMMYFUNCTION("IMPORTRANGE(""https://docs.google.com/spreadsheets/d/1MeEWN-I1oV_STSDYn1IFDPWt_1FKiwhDph83XaGc0o0/edit?usp=sharing"",""งบพรบ!FY15"")"),0)</f>
        <v>0</v>
      </c>
      <c r="O410" s="93">
        <f t="shared" ca="1" si="174"/>
        <v>0</v>
      </c>
      <c r="P410" s="93">
        <f t="shared" ca="1" si="175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47" t="s">
        <v>38</v>
      </c>
      <c r="E411" s="498"/>
      <c r="F411" s="498"/>
      <c r="G411" s="499"/>
      <c r="H411" s="726"/>
      <c r="I411" s="269"/>
      <c r="J411" s="269"/>
      <c r="K411" s="465"/>
      <c r="L411" s="163"/>
      <c r="M411" s="163"/>
      <c r="N411" s="163"/>
      <c r="O411" s="163"/>
      <c r="P411" s="163"/>
    </row>
    <row r="412" spans="1:26" ht="18.75" hidden="1">
      <c r="A412" s="170"/>
      <c r="B412" s="342"/>
      <c r="C412" s="342"/>
      <c r="D412" s="415" t="s">
        <v>177</v>
      </c>
      <c r="E412" s="342"/>
      <c r="F412" s="342"/>
      <c r="G412" s="179"/>
      <c r="H412" s="500" t="s">
        <v>69</v>
      </c>
      <c r="I412" s="269">
        <v>0</v>
      </c>
      <c r="J412" s="214">
        <v>0</v>
      </c>
      <c r="K412" s="465">
        <f t="shared" ref="K412:K413" si="179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01"/>
      <c r="B413" s="502"/>
      <c r="C413" s="502"/>
      <c r="D413" s="503" t="s">
        <v>178</v>
      </c>
      <c r="E413" s="502"/>
      <c r="F413" s="502"/>
      <c r="G413" s="504"/>
      <c r="H413" s="505" t="s">
        <v>179</v>
      </c>
      <c r="I413" s="506">
        <v>0</v>
      </c>
      <c r="J413" s="507">
        <v>0</v>
      </c>
      <c r="K413" s="508">
        <f t="shared" si="179"/>
        <v>0</v>
      </c>
      <c r="L413" s="509"/>
      <c r="M413" s="509"/>
      <c r="N413" s="509"/>
      <c r="O413" s="509"/>
      <c r="P413" s="509"/>
    </row>
    <row r="414" spans="1:26" ht="19.5">
      <c r="A414" s="510" t="s">
        <v>180</v>
      </c>
      <c r="B414" s="511"/>
      <c r="C414" s="511"/>
      <c r="D414" s="511"/>
      <c r="E414" s="511"/>
      <c r="F414" s="511"/>
      <c r="G414" s="512"/>
      <c r="H414" s="513"/>
      <c r="I414" s="514"/>
      <c r="J414" s="514"/>
      <c r="K414" s="515"/>
      <c r="L414" s="516">
        <f t="shared" ref="L414:N414" ca="1" si="180">L419+L444+L467+L502+L523+L544+L629+L655+L685+L737+L754+L770+L786+L805</f>
        <v>2225105</v>
      </c>
      <c r="M414" s="516">
        <f t="shared" si="180"/>
        <v>0</v>
      </c>
      <c r="N414" s="516">
        <f t="shared" si="180"/>
        <v>0</v>
      </c>
      <c r="O414" s="516">
        <f ca="1">IF(L414&gt;0,N414*100/L414,0)</f>
        <v>0</v>
      </c>
      <c r="P414" s="516">
        <f>IF(M414&gt;0,N414*100/M414,0)</f>
        <v>0</v>
      </c>
    </row>
    <row r="415" spans="1:26" ht="19.5">
      <c r="A415" s="517" t="s">
        <v>181</v>
      </c>
      <c r="B415" s="518"/>
      <c r="C415" s="518"/>
      <c r="D415" s="518"/>
      <c r="E415" s="518"/>
      <c r="F415" s="518"/>
      <c r="G415" s="518"/>
      <c r="H415" s="519"/>
      <c r="I415" s="520"/>
      <c r="J415" s="520"/>
      <c r="K415" s="521"/>
      <c r="L415" s="522"/>
      <c r="M415" s="522"/>
      <c r="N415" s="522"/>
      <c r="O415" s="522"/>
      <c r="P415" s="522"/>
    </row>
    <row r="416" spans="1:26" ht="19.5">
      <c r="A416" s="517" t="s">
        <v>182</v>
      </c>
      <c r="B416" s="518"/>
      <c r="C416" s="518"/>
      <c r="D416" s="518"/>
      <c r="E416" s="518"/>
      <c r="F416" s="518"/>
      <c r="G416" s="523"/>
      <c r="H416" s="524"/>
      <c r="I416" s="525"/>
      <c r="J416" s="525"/>
      <c r="K416" s="522"/>
      <c r="L416" s="522"/>
      <c r="M416" s="522"/>
      <c r="N416" s="522"/>
      <c r="O416" s="522"/>
      <c r="P416" s="522"/>
    </row>
    <row r="417" spans="1:26" ht="39">
      <c r="A417" s="526">
        <v>1</v>
      </c>
      <c r="B417" s="528" t="s">
        <v>183</v>
      </c>
      <c r="C417" s="528"/>
      <c r="D417" s="529"/>
      <c r="E417" s="529"/>
      <c r="F417" s="529"/>
      <c r="G417" s="530"/>
      <c r="H417" s="531" t="s">
        <v>35</v>
      </c>
      <c r="I417" s="532">
        <f t="shared" ref="I417:J418" ca="1" si="181">I433</f>
        <v>60</v>
      </c>
      <c r="J417" s="532">
        <f t="shared" ca="1" si="181"/>
        <v>0</v>
      </c>
      <c r="K417" s="533">
        <f t="shared" ref="K417:K418" ca="1" si="182">IF(I417&gt;0,J417*100/I417,0)</f>
        <v>0</v>
      </c>
      <c r="L417" s="534"/>
      <c r="M417" s="534"/>
      <c r="N417" s="534"/>
      <c r="O417" s="534"/>
      <c r="P417" s="534"/>
    </row>
    <row r="418" spans="1:26" ht="19.5">
      <c r="A418" s="535"/>
      <c r="B418" s="526"/>
      <c r="C418" s="528"/>
      <c r="D418" s="529"/>
      <c r="E418" s="529"/>
      <c r="F418" s="529"/>
      <c r="G418" s="530"/>
      <c r="H418" s="531" t="s">
        <v>49</v>
      </c>
      <c r="I418" s="532">
        <f t="shared" ca="1" si="181"/>
        <v>2</v>
      </c>
      <c r="J418" s="532">
        <f t="shared" si="181"/>
        <v>0</v>
      </c>
      <c r="K418" s="533">
        <f t="shared" ca="1" si="182"/>
        <v>0</v>
      </c>
      <c r="L418" s="534"/>
      <c r="M418" s="534"/>
      <c r="N418" s="534"/>
      <c r="O418" s="534"/>
      <c r="P418" s="534"/>
    </row>
    <row r="419" spans="1:26" ht="19.5">
      <c r="A419" s="147"/>
      <c r="B419" s="148"/>
      <c r="C419" s="148" t="s">
        <v>16</v>
      </c>
      <c r="D419" s="848" t="s">
        <v>17</v>
      </c>
      <c r="E419" s="810"/>
      <c r="F419" s="810"/>
      <c r="G419" s="151"/>
      <c r="H419" s="274" t="s">
        <v>12</v>
      </c>
      <c r="I419" s="388"/>
      <c r="J419" s="388"/>
      <c r="K419" s="154"/>
      <c r="L419" s="155">
        <f t="shared" ref="L419:N419" ca="1" si="183">L420+L421</f>
        <v>188600</v>
      </c>
      <c r="M419" s="155">
        <f t="shared" si="183"/>
        <v>0</v>
      </c>
      <c r="N419" s="155">
        <f t="shared" si="183"/>
        <v>0</v>
      </c>
      <c r="O419" s="155">
        <f t="shared" ref="O419:O424" ca="1" si="184">IF(L419&gt;0,N419*100/L419,0)</f>
        <v>0</v>
      </c>
      <c r="P419" s="155">
        <f t="shared" ref="P419:P424" si="185">IF(M419&gt;0,N419*100/M419,0)</f>
        <v>0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536"/>
      <c r="E420" s="222" t="s">
        <v>184</v>
      </c>
      <c r="F420" s="40"/>
      <c r="G420" s="157"/>
      <c r="H420" s="165" t="s">
        <v>12</v>
      </c>
      <c r="I420" s="583"/>
      <c r="J420" s="583"/>
      <c r="K420" s="93"/>
      <c r="L420" s="93">
        <f t="shared" ref="L420:N421" si="186">L423+L430</f>
        <v>0</v>
      </c>
      <c r="M420" s="93">
        <f t="shared" si="186"/>
        <v>0</v>
      </c>
      <c r="N420" s="93">
        <f t="shared" si="186"/>
        <v>0</v>
      </c>
      <c r="O420" s="93">
        <f t="shared" si="184"/>
        <v>0</v>
      </c>
      <c r="P420" s="93">
        <f t="shared" si="185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536"/>
      <c r="E421" s="222" t="s">
        <v>185</v>
      </c>
      <c r="F421" s="40"/>
      <c r="G421" s="157"/>
      <c r="H421" s="165" t="s">
        <v>12</v>
      </c>
      <c r="I421" s="583"/>
      <c r="J421" s="583"/>
      <c r="K421" s="93"/>
      <c r="L421" s="93">
        <f t="shared" ca="1" si="186"/>
        <v>188600</v>
      </c>
      <c r="M421" s="93">
        <f t="shared" si="186"/>
        <v>0</v>
      </c>
      <c r="N421" s="93">
        <f t="shared" si="186"/>
        <v>0</v>
      </c>
      <c r="O421" s="93">
        <f t="shared" ca="1" si="184"/>
        <v>0</v>
      </c>
      <c r="P421" s="93">
        <f t="shared" si="185"/>
        <v>0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0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65">
        <f t="shared" ref="L422:N422" ca="1" si="187">L423+L424</f>
        <v>188600</v>
      </c>
      <c r="M422" s="465">
        <f t="shared" si="187"/>
        <v>0</v>
      </c>
      <c r="N422" s="465">
        <f t="shared" si="187"/>
        <v>0</v>
      </c>
      <c r="O422" s="465">
        <f t="shared" ca="1" si="184"/>
        <v>0</v>
      </c>
      <c r="P422" s="465">
        <f t="shared" si="185"/>
        <v>0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536"/>
      <c r="E423" s="222" t="s">
        <v>184</v>
      </c>
      <c r="F423" s="40"/>
      <c r="G423" s="157"/>
      <c r="H423" s="165" t="s">
        <v>12</v>
      </c>
      <c r="I423" s="583"/>
      <c r="J423" s="583"/>
      <c r="K423" s="93"/>
      <c r="L423" s="93">
        <v>0</v>
      </c>
      <c r="M423" s="93">
        <v>0</v>
      </c>
      <c r="N423" s="93">
        <v>0</v>
      </c>
      <c r="O423" s="93">
        <f t="shared" si="184"/>
        <v>0</v>
      </c>
      <c r="P423" s="93">
        <f t="shared" si="185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536"/>
      <c r="E424" s="222" t="s">
        <v>185</v>
      </c>
      <c r="F424" s="40"/>
      <c r="G424" s="157"/>
      <c r="H424" s="165" t="s">
        <v>12</v>
      </c>
      <c r="I424" s="583"/>
      <c r="J424" s="583"/>
      <c r="K424" s="93"/>
      <c r="L424" s="93">
        <f ca="1">IFERROR(__xludf.DUMMYFUNCTION("IMPORTRANGE(""https://docs.google.com/spreadsheets/d/1QqKyyYR6Q21VydFLVH3TRQUabQu_ym0Zz7PgGX0-kHA/edit?usp=sharing"",""แผน!EY15"")"),188600)</f>
        <v>188600</v>
      </c>
      <c r="M424" s="93">
        <v>0</v>
      </c>
      <c r="N424" s="93">
        <f>N425+N426+N427+N428</f>
        <v>0</v>
      </c>
      <c r="O424" s="93">
        <f t="shared" ca="1" si="184"/>
        <v>0</v>
      </c>
      <c r="P424" s="93">
        <f t="shared" si="185"/>
        <v>0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37"/>
      <c r="B425" s="538"/>
      <c r="C425" s="727"/>
      <c r="D425" s="727"/>
      <c r="E425" s="727"/>
      <c r="F425" s="727" t="s">
        <v>186</v>
      </c>
      <c r="G425" s="189"/>
      <c r="H425" s="161" t="s">
        <v>12</v>
      </c>
      <c r="I425" s="269"/>
      <c r="J425" s="269"/>
      <c r="K425" s="465"/>
      <c r="L425" s="465"/>
      <c r="M425" s="465"/>
      <c r="N425" s="789">
        <v>0</v>
      </c>
      <c r="O425" s="465"/>
      <c r="P425" s="465"/>
      <c r="Q425" s="541"/>
      <c r="R425" s="541"/>
      <c r="S425" s="541"/>
      <c r="T425" s="541"/>
      <c r="U425" s="541"/>
      <c r="V425" s="541"/>
      <c r="W425" s="541"/>
      <c r="X425" s="541"/>
      <c r="Y425" s="541"/>
      <c r="Z425" s="541"/>
    </row>
    <row r="426" spans="1:26" ht="18.75">
      <c r="A426" s="537"/>
      <c r="B426" s="538"/>
      <c r="C426" s="727"/>
      <c r="D426" s="727"/>
      <c r="E426" s="727"/>
      <c r="F426" s="727" t="s">
        <v>187</v>
      </c>
      <c r="G426" s="189"/>
      <c r="H426" s="161" t="s">
        <v>12</v>
      </c>
      <c r="I426" s="269"/>
      <c r="J426" s="269"/>
      <c r="K426" s="465"/>
      <c r="L426" s="465"/>
      <c r="M426" s="465"/>
      <c r="N426" s="789">
        <v>0</v>
      </c>
      <c r="O426" s="465"/>
      <c r="P426" s="465"/>
      <c r="Q426" s="541"/>
      <c r="R426" s="541"/>
      <c r="S426" s="541"/>
      <c r="T426" s="541"/>
      <c r="U426" s="541"/>
      <c r="V426" s="541"/>
      <c r="W426" s="541"/>
      <c r="X426" s="541"/>
      <c r="Y426" s="541"/>
      <c r="Z426" s="541"/>
    </row>
    <row r="427" spans="1:26" ht="18.75">
      <c r="A427" s="537"/>
      <c r="B427" s="538"/>
      <c r="C427" s="727"/>
      <c r="D427" s="727"/>
      <c r="E427" s="727"/>
      <c r="F427" s="727" t="s">
        <v>188</v>
      </c>
      <c r="G427" s="189"/>
      <c r="H427" s="161" t="s">
        <v>12</v>
      </c>
      <c r="I427" s="269"/>
      <c r="J427" s="269"/>
      <c r="K427" s="465"/>
      <c r="L427" s="465"/>
      <c r="M427" s="465"/>
      <c r="N427" s="789">
        <v>0</v>
      </c>
      <c r="O427" s="465"/>
      <c r="P427" s="465"/>
      <c r="Q427" s="541"/>
      <c r="R427" s="541"/>
      <c r="S427" s="541"/>
      <c r="T427" s="541"/>
      <c r="U427" s="541"/>
      <c r="V427" s="541"/>
      <c r="W427" s="541"/>
      <c r="X427" s="541"/>
      <c r="Y427" s="541"/>
      <c r="Z427" s="541"/>
    </row>
    <row r="428" spans="1:26" ht="18.75">
      <c r="A428" s="283"/>
      <c r="B428" s="280"/>
      <c r="C428" s="33"/>
      <c r="D428" s="33"/>
      <c r="E428" s="33"/>
      <c r="F428" s="281" t="s">
        <v>189</v>
      </c>
      <c r="G428" s="213"/>
      <c r="H428" s="161" t="s">
        <v>12</v>
      </c>
      <c r="I428" s="269"/>
      <c r="J428" s="269"/>
      <c r="K428" s="465"/>
      <c r="L428" s="465"/>
      <c r="M428" s="465"/>
      <c r="N428" s="789">
        <v>0</v>
      </c>
      <c r="O428" s="465"/>
      <c r="P428" s="465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0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65">
        <f t="shared" ref="L429:N429" ca="1" si="188">L430+L431</f>
        <v>0</v>
      </c>
      <c r="M429" s="465">
        <f t="shared" si="188"/>
        <v>0</v>
      </c>
      <c r="N429" s="465">
        <f t="shared" si="188"/>
        <v>0</v>
      </c>
      <c r="O429" s="465">
        <f t="shared" ref="O429:O431" ca="1" si="189">IF(L429&gt;0,N429*100/L429,0)</f>
        <v>0</v>
      </c>
      <c r="P429" s="465">
        <f t="shared" ref="P429:P431" si="190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542"/>
      <c r="C430" s="40"/>
      <c r="D430" s="40"/>
      <c r="E430" s="222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89"/>
        <v>0</v>
      </c>
      <c r="P430" s="93">
        <f t="shared" si="190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542"/>
      <c r="C431" s="40"/>
      <c r="D431" s="40"/>
      <c r="E431" s="222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IFERROR(__xludf.DUMMYFUNCTION("IMPORTRANGE(""https://docs.google.com/spreadsheets/d/1QqKyyYR6Q21VydFLVH3TRQUabQu_ym0Zz7PgGX0-kHA/edit?usp=sharing"",""แผน!FB15"")"),0)</f>
        <v>0</v>
      </c>
      <c r="M431" s="93">
        <v>0</v>
      </c>
      <c r="N431" s="93">
        <v>0</v>
      </c>
      <c r="O431" s="93">
        <f t="shared" ca="1" si="189"/>
        <v>0</v>
      </c>
      <c r="P431" s="93">
        <f t="shared" si="190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382"/>
      <c r="B432" s="383"/>
      <c r="C432" s="148" t="s">
        <v>16</v>
      </c>
      <c r="D432" s="849" t="s">
        <v>38</v>
      </c>
      <c r="E432" s="544"/>
      <c r="F432" s="544"/>
      <c r="G432" s="545"/>
      <c r="H432" s="546"/>
      <c r="I432" s="388"/>
      <c r="J432" s="388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190</v>
      </c>
      <c r="E433" s="342"/>
      <c r="F433" s="342"/>
      <c r="G433" s="179"/>
      <c r="H433" s="196" t="s">
        <v>35</v>
      </c>
      <c r="I433" s="647">
        <f ca="1">I435</f>
        <v>60</v>
      </c>
      <c r="J433" s="647">
        <f ca="1">IF(AND(J435=I435,J437=I437,J439=I439),I437+I439,IF(AND(J435=I437,J437=I437),I437,IF(AND(J435=I439,J439=I439),I439,0)))</f>
        <v>0</v>
      </c>
      <c r="K433" s="195">
        <f t="shared" ref="K433:K435" ca="1" si="191">IF(I433&gt;0,J433*100/I433,0)</f>
        <v>0</v>
      </c>
      <c r="L433" s="465"/>
      <c r="M433" s="465"/>
      <c r="N433" s="465"/>
      <c r="O433" s="465"/>
      <c r="P433" s="465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191</v>
      </c>
      <c r="E434" s="342"/>
      <c r="F434" s="342"/>
      <c r="G434" s="179"/>
      <c r="H434" s="196" t="s">
        <v>49</v>
      </c>
      <c r="I434" s="647">
        <f t="shared" ref="I434:J434" ca="1" si="192">I438+I440</f>
        <v>2</v>
      </c>
      <c r="J434" s="647">
        <f t="shared" si="192"/>
        <v>0</v>
      </c>
      <c r="K434" s="195">
        <f t="shared" ca="1" si="191"/>
        <v>0</v>
      </c>
      <c r="L434" s="465"/>
      <c r="M434" s="465"/>
      <c r="N434" s="465"/>
      <c r="O434" s="465"/>
      <c r="P434" s="465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15" t="s">
        <v>192</v>
      </c>
      <c r="E435" s="342"/>
      <c r="F435" s="342"/>
      <c r="G435" s="179"/>
      <c r="H435" s="589" t="s">
        <v>35</v>
      </c>
      <c r="I435" s="547">
        <f ca="1">IFERROR(__xludf.DUMMYFUNCTION("IMPORTRANGE(""https://docs.google.com/spreadsheets/d/1QqKyyYR6Q21VydFLVH3TRQUabQu_ym0Zz7PgGX0-kHA/edit?usp=sharing"",""แผน!FC15"")"),60)</f>
        <v>60</v>
      </c>
      <c r="J435" s="548">
        <v>0</v>
      </c>
      <c r="K435" s="465">
        <f t="shared" ca="1" si="191"/>
        <v>0</v>
      </c>
      <c r="L435" s="465"/>
      <c r="M435" s="465"/>
      <c r="N435" s="465"/>
      <c r="O435" s="465"/>
      <c r="P435" s="465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15" t="s">
        <v>193</v>
      </c>
      <c r="E436" s="342"/>
      <c r="F436" s="342"/>
      <c r="G436" s="179"/>
      <c r="H436" s="589"/>
      <c r="I436" s="269"/>
      <c r="J436" s="269"/>
      <c r="K436" s="465"/>
      <c r="L436" s="465"/>
      <c r="M436" s="465"/>
      <c r="N436" s="465"/>
      <c r="O436" s="465"/>
      <c r="P436" s="465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15" t="s">
        <v>194</v>
      </c>
      <c r="E437" s="342"/>
      <c r="F437" s="342"/>
      <c r="G437" s="179"/>
      <c r="H437" s="589" t="s">
        <v>35</v>
      </c>
      <c r="I437" s="547">
        <f ca="1">IFERROR(__xludf.DUMMYFUNCTION("IMPORTRANGE(""https://docs.google.com/spreadsheets/d/1QqKyyYR6Q21VydFLVH3TRQUabQu_ym0Zz7PgGX0-kHA/edit?usp=sharing"",""แผน!FD15"")"),40)</f>
        <v>40</v>
      </c>
      <c r="J437" s="548">
        <v>0</v>
      </c>
      <c r="K437" s="465">
        <f t="shared" ref="K437:K443" ca="1" si="193">IF(I437&gt;0,J437*100/I437,0)</f>
        <v>0</v>
      </c>
      <c r="L437" s="465"/>
      <c r="M437" s="465"/>
      <c r="N437" s="465"/>
      <c r="O437" s="465"/>
      <c r="P437" s="465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15" t="s">
        <v>195</v>
      </c>
      <c r="E438" s="342"/>
      <c r="F438" s="342"/>
      <c r="G438" s="179"/>
      <c r="H438" s="589" t="s">
        <v>49</v>
      </c>
      <c r="I438" s="269">
        <f ca="1">IFERROR(__xludf.DUMMYFUNCTION("IMPORTRANGE(""https://docs.google.com/spreadsheets/d/1QqKyyYR6Q21VydFLVH3TRQUabQu_ym0Zz7PgGX0-kHA/edit?usp=sharing"",""แผน!FE15"")"),1)</f>
        <v>1</v>
      </c>
      <c r="J438" s="214">
        <v>0</v>
      </c>
      <c r="K438" s="465">
        <f t="shared" ca="1" si="193"/>
        <v>0</v>
      </c>
      <c r="L438" s="465"/>
      <c r="M438" s="465"/>
      <c r="N438" s="465"/>
      <c r="O438" s="465"/>
      <c r="P438" s="465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15" t="s">
        <v>196</v>
      </c>
      <c r="E439" s="342"/>
      <c r="F439" s="342"/>
      <c r="G439" s="179"/>
      <c r="H439" s="589" t="s">
        <v>35</v>
      </c>
      <c r="I439" s="547">
        <f ca="1">IFERROR(__xludf.DUMMYFUNCTION("IMPORTRANGE(""https://docs.google.com/spreadsheets/d/1QqKyyYR6Q21VydFLVH3TRQUabQu_ym0Zz7PgGX0-kHA/edit?usp=sharing"",""แผน!FF15"")"),20)</f>
        <v>20</v>
      </c>
      <c r="J439" s="548">
        <v>0</v>
      </c>
      <c r="K439" s="465">
        <f t="shared" ca="1" si="193"/>
        <v>0</v>
      </c>
      <c r="L439" s="465"/>
      <c r="M439" s="465"/>
      <c r="N439" s="465"/>
      <c r="O439" s="465"/>
      <c r="P439" s="465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15" t="s">
        <v>197</v>
      </c>
      <c r="E440" s="342"/>
      <c r="F440" s="342"/>
      <c r="G440" s="179"/>
      <c r="H440" s="589" t="s">
        <v>49</v>
      </c>
      <c r="I440" s="269">
        <f ca="1">IFERROR(__xludf.DUMMYFUNCTION("IMPORTRANGE(""https://docs.google.com/spreadsheets/d/1QqKyyYR6Q21VydFLVH3TRQUabQu_ym0Zz7PgGX0-kHA/edit?usp=sharing"",""แผน!FG15"")"),1)</f>
        <v>1</v>
      </c>
      <c r="J440" s="214">
        <v>0</v>
      </c>
      <c r="K440" s="465">
        <f t="shared" ca="1" si="193"/>
        <v>0</v>
      </c>
      <c r="L440" s="465"/>
      <c r="M440" s="465"/>
      <c r="N440" s="465"/>
      <c r="O440" s="465"/>
      <c r="P440" s="465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 hidden="1">
      <c r="A441" s="170"/>
      <c r="B441" s="171"/>
      <c r="C441" s="171"/>
      <c r="D441" s="415" t="s">
        <v>198</v>
      </c>
      <c r="E441" s="342"/>
      <c r="F441" s="342"/>
      <c r="G441" s="179"/>
      <c r="H441" s="589" t="s">
        <v>35</v>
      </c>
      <c r="I441" s="269">
        <f ca="1">IFERROR(__xludf.DUMMYFUNCTION("IMPORTRANGE(""https://docs.google.com/spreadsheets/d/1QqKyyYR6Q21VydFLVH3TRQUabQu_ym0Zz7PgGX0-kHA/edit?usp=sharing"",""แผน!FH15"")"),0)</f>
        <v>0</v>
      </c>
      <c r="J441" s="269">
        <v>0</v>
      </c>
      <c r="K441" s="465">
        <f t="shared" ca="1" si="193"/>
        <v>0</v>
      </c>
      <c r="L441" s="465"/>
      <c r="M441" s="465"/>
      <c r="N441" s="465"/>
      <c r="O441" s="465"/>
      <c r="P441" s="465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49">
        <v>2</v>
      </c>
      <c r="B442" s="550" t="s">
        <v>199</v>
      </c>
      <c r="C442" s="551"/>
      <c r="D442" s="551"/>
      <c r="E442" s="551"/>
      <c r="F442" s="551"/>
      <c r="G442" s="552"/>
      <c r="H442" s="553" t="s">
        <v>35</v>
      </c>
      <c r="I442" s="554">
        <f t="shared" ref="I442:J442" ca="1" si="194">I460</f>
        <v>150</v>
      </c>
      <c r="J442" s="554">
        <f t="shared" si="194"/>
        <v>0</v>
      </c>
      <c r="K442" s="555">
        <f t="shared" ca="1" si="193"/>
        <v>0</v>
      </c>
      <c r="L442" s="556"/>
      <c r="M442" s="556"/>
      <c r="N442" s="556"/>
      <c r="O442" s="556"/>
      <c r="P442" s="556"/>
      <c r="Q442" s="541"/>
      <c r="R442" s="541"/>
      <c r="S442" s="541"/>
      <c r="T442" s="541"/>
      <c r="U442" s="541"/>
      <c r="V442" s="541"/>
      <c r="W442" s="541"/>
      <c r="X442" s="541"/>
      <c r="Y442" s="541"/>
      <c r="Z442" s="541"/>
    </row>
    <row r="443" spans="1:26" ht="19.5">
      <c r="A443" s="557"/>
      <c r="B443" s="558"/>
      <c r="C443" s="559"/>
      <c r="D443" s="559"/>
      <c r="E443" s="559"/>
      <c r="F443" s="559"/>
      <c r="G443" s="560"/>
      <c r="H443" s="531" t="s">
        <v>46</v>
      </c>
      <c r="I443" s="532">
        <f t="shared" ref="I443:J443" ca="1" si="195">I462</f>
        <v>300</v>
      </c>
      <c r="J443" s="532">
        <f t="shared" si="195"/>
        <v>0</v>
      </c>
      <c r="K443" s="533">
        <f t="shared" ca="1" si="193"/>
        <v>0</v>
      </c>
      <c r="L443" s="534"/>
      <c r="M443" s="534"/>
      <c r="N443" s="534"/>
      <c r="O443" s="534"/>
      <c r="P443" s="534"/>
      <c r="Q443" s="541"/>
      <c r="R443" s="541"/>
      <c r="S443" s="541"/>
      <c r="T443" s="541"/>
      <c r="U443" s="541"/>
      <c r="V443" s="541"/>
      <c r="W443" s="541"/>
      <c r="X443" s="541"/>
      <c r="Y443" s="541"/>
      <c r="Z443" s="541"/>
    </row>
    <row r="444" spans="1:26" ht="19.5">
      <c r="A444" s="561"/>
      <c r="B444" s="727"/>
      <c r="C444" s="727" t="s">
        <v>16</v>
      </c>
      <c r="D444" s="811" t="s">
        <v>17</v>
      </c>
      <c r="E444" s="805"/>
      <c r="F444" s="805"/>
      <c r="G444" s="189"/>
      <c r="H444" s="562" t="s">
        <v>12</v>
      </c>
      <c r="I444" s="269"/>
      <c r="J444" s="269"/>
      <c r="K444" s="465"/>
      <c r="L444" s="195">
        <f t="shared" ref="L444:N444" ca="1" si="196">L445+L446</f>
        <v>714280</v>
      </c>
      <c r="M444" s="195">
        <f t="shared" si="196"/>
        <v>0</v>
      </c>
      <c r="N444" s="195">
        <f t="shared" si="196"/>
        <v>0</v>
      </c>
      <c r="O444" s="195">
        <f t="shared" ref="O444:O449" ca="1" si="197">IF(L444&gt;0,N444*100/L444,0)</f>
        <v>0</v>
      </c>
      <c r="P444" s="195">
        <f t="shared" ref="P444:P449" si="198">IF(M444&gt;0,N444*100/M444,0)</f>
        <v>0</v>
      </c>
      <c r="Q444" s="541"/>
      <c r="R444" s="541"/>
      <c r="S444" s="541"/>
      <c r="T444" s="541"/>
      <c r="U444" s="541"/>
      <c r="V444" s="541"/>
      <c r="W444" s="541"/>
      <c r="X444" s="541"/>
      <c r="Y444" s="541"/>
      <c r="Z444" s="541"/>
    </row>
    <row r="445" spans="1:26" ht="18.75" hidden="1">
      <c r="A445" s="563"/>
      <c r="B445" s="723"/>
      <c r="C445" s="723"/>
      <c r="D445" s="684"/>
      <c r="E445" s="723" t="s">
        <v>184</v>
      </c>
      <c r="F445" s="723"/>
      <c r="G445" s="567"/>
      <c r="H445" s="165" t="s">
        <v>12</v>
      </c>
      <c r="I445" s="583"/>
      <c r="J445" s="583"/>
      <c r="K445" s="93"/>
      <c r="L445" s="93">
        <f t="shared" ref="L445:N446" si="199">L448+L455</f>
        <v>0</v>
      </c>
      <c r="M445" s="93">
        <f t="shared" si="199"/>
        <v>0</v>
      </c>
      <c r="N445" s="93">
        <f t="shared" si="199"/>
        <v>0</v>
      </c>
      <c r="O445" s="93">
        <f t="shared" si="197"/>
        <v>0</v>
      </c>
      <c r="P445" s="93">
        <f t="shared" si="198"/>
        <v>0</v>
      </c>
      <c r="Q445" s="568"/>
      <c r="R445" s="568"/>
      <c r="S445" s="568"/>
      <c r="T445" s="568"/>
      <c r="U445" s="568"/>
      <c r="V445" s="568"/>
      <c r="W445" s="568"/>
      <c r="X445" s="568"/>
      <c r="Y445" s="568"/>
      <c r="Z445" s="568"/>
    </row>
    <row r="446" spans="1:26" ht="18.75" hidden="1">
      <c r="A446" s="563"/>
      <c r="B446" s="571"/>
      <c r="C446" s="723"/>
      <c r="D446" s="684"/>
      <c r="E446" s="723" t="s">
        <v>185</v>
      </c>
      <c r="F446" s="723"/>
      <c r="G446" s="567"/>
      <c r="H446" s="165" t="s">
        <v>12</v>
      </c>
      <c r="I446" s="583"/>
      <c r="J446" s="583"/>
      <c r="K446" s="93"/>
      <c r="L446" s="93">
        <f t="shared" ca="1" si="199"/>
        <v>714280</v>
      </c>
      <c r="M446" s="93">
        <f t="shared" si="199"/>
        <v>0</v>
      </c>
      <c r="N446" s="93">
        <f t="shared" si="199"/>
        <v>0</v>
      </c>
      <c r="O446" s="93">
        <f t="shared" ca="1" si="197"/>
        <v>0</v>
      </c>
      <c r="P446" s="93">
        <f t="shared" si="198"/>
        <v>0</v>
      </c>
      <c r="Q446" s="568"/>
      <c r="R446" s="568"/>
      <c r="S446" s="568"/>
      <c r="T446" s="568"/>
      <c r="U446" s="568"/>
      <c r="V446" s="568"/>
      <c r="W446" s="568"/>
      <c r="X446" s="568"/>
      <c r="Y446" s="568"/>
      <c r="Z446" s="568"/>
    </row>
    <row r="447" spans="1:26" ht="18.75">
      <c r="A447" s="561"/>
      <c r="B447" s="538"/>
      <c r="C447" s="727"/>
      <c r="D447" s="570" t="s">
        <v>20</v>
      </c>
      <c r="E447" s="727"/>
      <c r="F447" s="727"/>
      <c r="G447" s="189"/>
      <c r="H447" s="161" t="s">
        <v>12</v>
      </c>
      <c r="I447" s="184"/>
      <c r="J447" s="184"/>
      <c r="K447" s="163"/>
      <c r="L447" s="465">
        <f t="shared" ref="L447:N447" ca="1" si="200">L448+L449</f>
        <v>714280</v>
      </c>
      <c r="M447" s="465">
        <f t="shared" si="200"/>
        <v>0</v>
      </c>
      <c r="N447" s="465">
        <f t="shared" si="200"/>
        <v>0</v>
      </c>
      <c r="O447" s="465">
        <f t="shared" ca="1" si="197"/>
        <v>0</v>
      </c>
      <c r="P447" s="465">
        <f t="shared" si="198"/>
        <v>0</v>
      </c>
      <c r="Q447" s="541"/>
      <c r="R447" s="541"/>
      <c r="S447" s="541"/>
      <c r="T447" s="541"/>
      <c r="U447" s="541"/>
      <c r="V447" s="541"/>
      <c r="W447" s="541"/>
      <c r="X447" s="541"/>
      <c r="Y447" s="541"/>
      <c r="Z447" s="541"/>
    </row>
    <row r="448" spans="1:26" ht="18.75" hidden="1">
      <c r="A448" s="563"/>
      <c r="B448" s="571"/>
      <c r="C448" s="723"/>
      <c r="D448" s="684"/>
      <c r="E448" s="723" t="s">
        <v>184</v>
      </c>
      <c r="F448" s="723"/>
      <c r="G448" s="567"/>
      <c r="H448" s="165" t="s">
        <v>12</v>
      </c>
      <c r="I448" s="583"/>
      <c r="J448" s="583"/>
      <c r="K448" s="93"/>
      <c r="L448" s="93">
        <v>0</v>
      </c>
      <c r="M448" s="93">
        <v>0</v>
      </c>
      <c r="N448" s="93">
        <v>0</v>
      </c>
      <c r="O448" s="93">
        <f t="shared" si="197"/>
        <v>0</v>
      </c>
      <c r="P448" s="93">
        <f t="shared" si="198"/>
        <v>0</v>
      </c>
      <c r="Q448" s="568"/>
      <c r="R448" s="568"/>
      <c r="S448" s="568"/>
      <c r="T448" s="568"/>
      <c r="U448" s="568"/>
      <c r="V448" s="568"/>
      <c r="W448" s="568"/>
      <c r="X448" s="568"/>
      <c r="Y448" s="568"/>
      <c r="Z448" s="568"/>
    </row>
    <row r="449" spans="1:26" ht="18.75" hidden="1">
      <c r="A449" s="563"/>
      <c r="B449" s="571"/>
      <c r="C449" s="723"/>
      <c r="D449" s="684"/>
      <c r="E449" s="723" t="s">
        <v>185</v>
      </c>
      <c r="F449" s="723"/>
      <c r="G449" s="567"/>
      <c r="H449" s="165" t="s">
        <v>12</v>
      </c>
      <c r="I449" s="583"/>
      <c r="J449" s="583"/>
      <c r="K449" s="93"/>
      <c r="L449" s="93">
        <f ca="1">IFERROR(__xludf.DUMMYFUNCTION("IMPORTRANGE(""https://docs.google.com/spreadsheets/d/1QqKyyYR6Q21VydFLVH3TRQUabQu_ym0Zz7PgGX0-kHA/edit?usp=sharing"",""แผน!FJ15"")"),714280)</f>
        <v>714280</v>
      </c>
      <c r="M449" s="93">
        <v>0</v>
      </c>
      <c r="N449" s="93">
        <f>N450+N451+N452+N453</f>
        <v>0</v>
      </c>
      <c r="O449" s="93">
        <f t="shared" ca="1" si="197"/>
        <v>0</v>
      </c>
      <c r="P449" s="93">
        <f t="shared" si="198"/>
        <v>0</v>
      </c>
      <c r="Q449" s="568"/>
      <c r="R449" s="568"/>
      <c r="S449" s="568"/>
      <c r="T449" s="568"/>
      <c r="U449" s="568"/>
      <c r="V449" s="568"/>
      <c r="W449" s="568"/>
      <c r="X449" s="568"/>
      <c r="Y449" s="568"/>
      <c r="Z449" s="568"/>
    </row>
    <row r="450" spans="1:26" ht="18.75">
      <c r="A450" s="537"/>
      <c r="B450" s="538"/>
      <c r="C450" s="727"/>
      <c r="D450" s="727"/>
      <c r="E450" s="727"/>
      <c r="F450" s="727" t="s">
        <v>186</v>
      </c>
      <c r="G450" s="189"/>
      <c r="H450" s="161" t="s">
        <v>12</v>
      </c>
      <c r="I450" s="269"/>
      <c r="J450" s="269"/>
      <c r="K450" s="465"/>
      <c r="L450" s="465"/>
      <c r="M450" s="465"/>
      <c r="N450" s="789">
        <v>0</v>
      </c>
      <c r="O450" s="465"/>
      <c r="P450" s="465"/>
      <c r="Q450" s="541"/>
      <c r="R450" s="541"/>
      <c r="S450" s="541"/>
      <c r="T450" s="541"/>
      <c r="U450" s="541"/>
      <c r="V450" s="541"/>
      <c r="W450" s="541"/>
      <c r="X450" s="541"/>
      <c r="Y450" s="541"/>
      <c r="Z450" s="541"/>
    </row>
    <row r="451" spans="1:26" ht="18.75">
      <c r="A451" s="537"/>
      <c r="B451" s="538"/>
      <c r="C451" s="727"/>
      <c r="D451" s="727"/>
      <c r="E451" s="727"/>
      <c r="F451" s="727" t="s">
        <v>187</v>
      </c>
      <c r="G451" s="189"/>
      <c r="H451" s="161" t="s">
        <v>12</v>
      </c>
      <c r="I451" s="269"/>
      <c r="J451" s="269"/>
      <c r="K451" s="465"/>
      <c r="L451" s="465"/>
      <c r="M451" s="465"/>
      <c r="N451" s="789">
        <v>0</v>
      </c>
      <c r="O451" s="465"/>
      <c r="P451" s="465"/>
      <c r="Q451" s="541"/>
      <c r="R451" s="541"/>
      <c r="S451" s="541"/>
      <c r="T451" s="541"/>
      <c r="U451" s="541"/>
      <c r="V451" s="541"/>
      <c r="W451" s="541"/>
      <c r="X451" s="541"/>
      <c r="Y451" s="541"/>
      <c r="Z451" s="541"/>
    </row>
    <row r="452" spans="1:26" ht="18.75">
      <c r="A452" s="537"/>
      <c r="B452" s="538"/>
      <c r="C452" s="538"/>
      <c r="D452" s="538"/>
      <c r="E452" s="538"/>
      <c r="F452" s="727" t="s">
        <v>188</v>
      </c>
      <c r="G452" s="189"/>
      <c r="H452" s="161" t="s">
        <v>12</v>
      </c>
      <c r="I452" s="269"/>
      <c r="J452" s="269"/>
      <c r="K452" s="465"/>
      <c r="L452" s="465"/>
      <c r="M452" s="465"/>
      <c r="N452" s="789">
        <v>0</v>
      </c>
      <c r="O452" s="465"/>
      <c r="P452" s="465"/>
      <c r="Q452" s="541"/>
      <c r="R452" s="541"/>
      <c r="S452" s="541"/>
      <c r="T452" s="541"/>
      <c r="U452" s="541"/>
      <c r="V452" s="541"/>
      <c r="W452" s="541"/>
      <c r="X452" s="541"/>
      <c r="Y452" s="541"/>
      <c r="Z452" s="541"/>
    </row>
    <row r="453" spans="1:26" ht="18.75">
      <c r="A453" s="537"/>
      <c r="B453" s="538"/>
      <c r="C453" s="538"/>
      <c r="D453" s="538"/>
      <c r="E453" s="538"/>
      <c r="F453" s="727" t="s">
        <v>189</v>
      </c>
      <c r="G453" s="189"/>
      <c r="H453" s="161" t="s">
        <v>12</v>
      </c>
      <c r="I453" s="269"/>
      <c r="J453" s="269"/>
      <c r="K453" s="465"/>
      <c r="L453" s="465"/>
      <c r="M453" s="465"/>
      <c r="N453" s="789">
        <v>0</v>
      </c>
      <c r="O453" s="465"/>
      <c r="P453" s="465"/>
      <c r="Q453" s="541"/>
      <c r="R453" s="541"/>
      <c r="S453" s="541"/>
      <c r="T453" s="541"/>
      <c r="U453" s="541"/>
      <c r="V453" s="541"/>
      <c r="W453" s="541"/>
      <c r="X453" s="541"/>
      <c r="Y453" s="541"/>
      <c r="Z453" s="541"/>
    </row>
    <row r="454" spans="1:26" ht="18.75">
      <c r="A454" s="561"/>
      <c r="B454" s="538"/>
      <c r="C454" s="538"/>
      <c r="D454" s="570" t="s">
        <v>21</v>
      </c>
      <c r="E454" s="538"/>
      <c r="F454" s="727"/>
      <c r="G454" s="189"/>
      <c r="H454" s="168" t="s">
        <v>12</v>
      </c>
      <c r="I454" s="184"/>
      <c r="J454" s="184"/>
      <c r="K454" s="163"/>
      <c r="L454" s="465">
        <f t="shared" ref="L454:N454" ca="1" si="201">L455+L456</f>
        <v>0</v>
      </c>
      <c r="M454" s="465">
        <f t="shared" si="201"/>
        <v>0</v>
      </c>
      <c r="N454" s="465">
        <f t="shared" si="201"/>
        <v>0</v>
      </c>
      <c r="O454" s="465">
        <f t="shared" ref="O454:O456" ca="1" si="202">IF(L454&gt;0,N454*100/L454,0)</f>
        <v>0</v>
      </c>
      <c r="P454" s="465">
        <f t="shared" ref="P454:P456" si="203">IF(M454&gt;0,N454*100/M454,0)</f>
        <v>0</v>
      </c>
      <c r="Q454" s="541"/>
      <c r="R454" s="541"/>
      <c r="S454" s="541"/>
      <c r="T454" s="541"/>
      <c r="U454" s="541"/>
      <c r="V454" s="541"/>
      <c r="W454" s="541"/>
      <c r="X454" s="541"/>
      <c r="Y454" s="541"/>
      <c r="Z454" s="541"/>
    </row>
    <row r="455" spans="1:26" ht="18.75" hidden="1">
      <c r="A455" s="563"/>
      <c r="B455" s="571"/>
      <c r="C455" s="571"/>
      <c r="D455" s="571"/>
      <c r="E455" s="571" t="s">
        <v>18</v>
      </c>
      <c r="F455" s="723"/>
      <c r="G455" s="567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2"/>
        <v>0</v>
      </c>
      <c r="P455" s="93">
        <f t="shared" si="203"/>
        <v>0</v>
      </c>
      <c r="Q455" s="568"/>
      <c r="R455" s="568"/>
      <c r="S455" s="568"/>
      <c r="T455" s="568"/>
      <c r="U455" s="568"/>
      <c r="V455" s="568"/>
      <c r="W455" s="568"/>
      <c r="X455" s="568"/>
      <c r="Y455" s="568"/>
      <c r="Z455" s="568"/>
    </row>
    <row r="456" spans="1:26" ht="18.75" hidden="1">
      <c r="A456" s="563"/>
      <c r="B456" s="571"/>
      <c r="C456" s="571"/>
      <c r="D456" s="571"/>
      <c r="E456" s="571" t="s">
        <v>19</v>
      </c>
      <c r="F456" s="723"/>
      <c r="G456" s="567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IFERROR(__xludf.DUMMYFUNCTION("IMPORTRANGE(""https://docs.google.com/spreadsheets/d/1QqKyyYR6Q21VydFLVH3TRQUabQu_ym0Zz7PgGX0-kHA/edit?usp=sharing"",""แผน!FM15"")"),0)</f>
        <v>0</v>
      </c>
      <c r="M456" s="93">
        <v>0</v>
      </c>
      <c r="N456" s="93">
        <v>0</v>
      </c>
      <c r="O456" s="93">
        <f t="shared" ca="1" si="202"/>
        <v>0</v>
      </c>
      <c r="P456" s="93">
        <f t="shared" si="203"/>
        <v>0</v>
      </c>
      <c r="Q456" s="568"/>
      <c r="R456" s="568"/>
      <c r="S456" s="568"/>
      <c r="T456" s="568"/>
      <c r="U456" s="568"/>
      <c r="V456" s="568"/>
      <c r="W456" s="568"/>
      <c r="X456" s="568"/>
      <c r="Y456" s="568"/>
      <c r="Z456" s="568"/>
    </row>
    <row r="457" spans="1:26" ht="19.5">
      <c r="A457" s="572"/>
      <c r="B457" s="584"/>
      <c r="C457" s="538" t="s">
        <v>16</v>
      </c>
      <c r="D457" s="850" t="s">
        <v>38</v>
      </c>
      <c r="E457" s="575"/>
      <c r="F457" s="725"/>
      <c r="G457" s="577"/>
      <c r="H457" s="726"/>
      <c r="I457" s="269"/>
      <c r="J457" s="269"/>
      <c r="K457" s="465"/>
      <c r="L457" s="465"/>
      <c r="M457" s="465"/>
      <c r="N457" s="465"/>
      <c r="O457" s="465"/>
      <c r="P457" s="465"/>
      <c r="Q457" s="541"/>
      <c r="R457" s="541"/>
      <c r="S457" s="541"/>
      <c r="T457" s="541"/>
      <c r="U457" s="541"/>
      <c r="V457" s="541"/>
      <c r="W457" s="541"/>
      <c r="X457" s="541"/>
      <c r="Y457" s="541"/>
      <c r="Z457" s="541"/>
    </row>
    <row r="458" spans="1:26" ht="18.75" hidden="1">
      <c r="A458" s="578"/>
      <c r="B458" s="580"/>
      <c r="C458" s="580"/>
      <c r="D458" s="580" t="s">
        <v>200</v>
      </c>
      <c r="E458" s="580"/>
      <c r="F458" s="684"/>
      <c r="G458" s="581"/>
      <c r="H458" s="582" t="s">
        <v>35</v>
      </c>
      <c r="I458" s="583">
        <v>0</v>
      </c>
      <c r="J458" s="583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568"/>
      <c r="R458" s="568"/>
      <c r="S458" s="568"/>
      <c r="T458" s="568"/>
      <c r="U458" s="568"/>
      <c r="V458" s="568"/>
      <c r="W458" s="568"/>
      <c r="X458" s="568"/>
      <c r="Y458" s="568"/>
      <c r="Z458" s="568"/>
    </row>
    <row r="459" spans="1:26" ht="18.75" hidden="1">
      <c r="A459" s="578"/>
      <c r="B459" s="580"/>
      <c r="C459" s="580"/>
      <c r="D459" s="580" t="s">
        <v>201</v>
      </c>
      <c r="E459" s="580"/>
      <c r="F459" s="684"/>
      <c r="G459" s="581"/>
      <c r="H459" s="582"/>
      <c r="I459" s="583"/>
      <c r="J459" s="583"/>
      <c r="K459" s="93"/>
      <c r="L459" s="93"/>
      <c r="M459" s="93"/>
      <c r="N459" s="93"/>
      <c r="O459" s="93"/>
      <c r="P459" s="93"/>
      <c r="Q459" s="568"/>
      <c r="R459" s="568"/>
      <c r="S459" s="568"/>
      <c r="T459" s="568"/>
      <c r="U459" s="568"/>
      <c r="V459" s="568"/>
      <c r="W459" s="568"/>
      <c r="X459" s="568"/>
      <c r="Y459" s="568"/>
      <c r="Z459" s="568"/>
    </row>
    <row r="460" spans="1:26" ht="18.75">
      <c r="A460" s="572"/>
      <c r="B460" s="584"/>
      <c r="C460" s="584"/>
      <c r="D460" s="584" t="s">
        <v>202</v>
      </c>
      <c r="E460" s="584"/>
      <c r="F460" s="592"/>
      <c r="G460" s="726"/>
      <c r="H460" s="728" t="s">
        <v>35</v>
      </c>
      <c r="I460" s="269">
        <f ca="1">IFERROR(__xludf.DUMMYFUNCTION("IMPORTRANGE(""https://docs.google.com/spreadsheets/d/1QqKyyYR6Q21VydFLVH3TRQUabQu_ym0Zz7PgGX0-kHA/edit?usp=sharing"",""แผน!FN15"")"),150)</f>
        <v>150</v>
      </c>
      <c r="J460" s="214">
        <v>0</v>
      </c>
      <c r="K460" s="465">
        <f ca="1">IF(I460&gt;0,J460*100/I460,0)</f>
        <v>0</v>
      </c>
      <c r="L460" s="465"/>
      <c r="M460" s="465"/>
      <c r="N460" s="465"/>
      <c r="O460" s="465"/>
      <c r="P460" s="465"/>
      <c r="Q460" s="541"/>
      <c r="R460" s="541"/>
      <c r="S460" s="541"/>
      <c r="T460" s="541"/>
      <c r="U460" s="541"/>
      <c r="V460" s="541"/>
      <c r="W460" s="541"/>
      <c r="X460" s="541"/>
      <c r="Y460" s="541"/>
      <c r="Z460" s="541"/>
    </row>
    <row r="461" spans="1:26" ht="18.75">
      <c r="A461" s="572"/>
      <c r="B461" s="584"/>
      <c r="C461" s="584"/>
      <c r="D461" s="584" t="s">
        <v>203</v>
      </c>
      <c r="E461" s="592"/>
      <c r="F461" s="592"/>
      <c r="G461" s="726"/>
      <c r="H461" s="728"/>
      <c r="I461" s="269"/>
      <c r="J461" s="269"/>
      <c r="K461" s="465"/>
      <c r="L461" s="465"/>
      <c r="M461" s="465"/>
      <c r="N461" s="465"/>
      <c r="O461" s="465"/>
      <c r="P461" s="465"/>
      <c r="Q461" s="541"/>
      <c r="R461" s="541"/>
      <c r="S461" s="541"/>
      <c r="T461" s="541"/>
      <c r="U461" s="541"/>
      <c r="V461" s="541"/>
      <c r="W461" s="541"/>
      <c r="X461" s="541"/>
      <c r="Y461" s="541"/>
      <c r="Z461" s="541"/>
    </row>
    <row r="462" spans="1:26" ht="18.75">
      <c r="A462" s="572"/>
      <c r="B462" s="584"/>
      <c r="C462" s="584"/>
      <c r="D462" s="584" t="s">
        <v>204</v>
      </c>
      <c r="E462" s="592"/>
      <c r="F462" s="592"/>
      <c r="G462" s="726"/>
      <c r="H462" s="728" t="s">
        <v>46</v>
      </c>
      <c r="I462" s="269">
        <f ca="1">IFERROR(__xludf.DUMMYFUNCTION("IMPORTRANGE(""https://docs.google.com/spreadsheets/d/1QqKyyYR6Q21VydFLVH3TRQUabQu_ym0Zz7PgGX0-kHA/edit?usp=sharing"",""แผน!FO15"")"),300)</f>
        <v>300</v>
      </c>
      <c r="J462" s="214">
        <v>0</v>
      </c>
      <c r="K462" s="465">
        <f ca="1">IF(I462&gt;0,J462*100/I462,0)</f>
        <v>0</v>
      </c>
      <c r="L462" s="465"/>
      <c r="M462" s="465"/>
      <c r="N462" s="465"/>
      <c r="O462" s="465"/>
      <c r="P462" s="465"/>
      <c r="Q462" s="541"/>
      <c r="R462" s="541"/>
      <c r="S462" s="541"/>
      <c r="T462" s="541"/>
      <c r="U462" s="541"/>
      <c r="V462" s="541"/>
      <c r="W462" s="541"/>
      <c r="X462" s="541"/>
      <c r="Y462" s="541"/>
      <c r="Z462" s="541"/>
    </row>
    <row r="463" spans="1:26" ht="18.75">
      <c r="A463" s="572"/>
      <c r="B463" s="584"/>
      <c r="C463" s="584"/>
      <c r="D463" s="584" t="s">
        <v>59</v>
      </c>
      <c r="E463" s="592"/>
      <c r="F463" s="727"/>
      <c r="G463" s="189"/>
      <c r="H463" s="728" t="s">
        <v>46</v>
      </c>
      <c r="I463" s="269">
        <f ca="1">IFERROR(__xludf.DUMMYFUNCTION("IMPORTRANGE(""https://docs.google.com/spreadsheets/d/1QqKyyYR6Q21VydFLVH3TRQUabQu_ym0Zz7PgGX0-kHA/edit?usp=sharing"",""แผน!FO15"")"),300)</f>
        <v>300</v>
      </c>
      <c r="J463" s="214">
        <v>0</v>
      </c>
      <c r="K463" s="465"/>
      <c r="L463" s="465"/>
      <c r="M463" s="465"/>
      <c r="N463" s="465"/>
      <c r="O463" s="465"/>
      <c r="P463" s="465"/>
      <c r="Q463" s="541"/>
      <c r="R463" s="541"/>
      <c r="S463" s="541"/>
      <c r="T463" s="541"/>
      <c r="U463" s="541"/>
      <c r="V463" s="541"/>
      <c r="W463" s="541"/>
      <c r="X463" s="541"/>
      <c r="Y463" s="541"/>
      <c r="Z463" s="541"/>
    </row>
    <row r="464" spans="1:26" ht="19.5">
      <c r="A464" s="572"/>
      <c r="B464" s="584"/>
      <c r="C464" s="584"/>
      <c r="D464" s="584"/>
      <c r="E464" s="592"/>
      <c r="F464" s="592"/>
      <c r="G464" s="586"/>
      <c r="H464" s="728" t="s">
        <v>35</v>
      </c>
      <c r="I464" s="269">
        <f ca="1">IFERROR(__xludf.DUMMYFUNCTION("IMPORTRANGE(""https://docs.google.com/spreadsheets/d/1QqKyyYR6Q21VydFLVH3TRQUabQu_ym0Zz7PgGX0-kHA/edit?usp=sharing"",""แผน!FN15"")"),150)</f>
        <v>150</v>
      </c>
      <c r="J464" s="214">
        <v>0</v>
      </c>
      <c r="K464" s="465"/>
      <c r="L464" s="465"/>
      <c r="M464" s="465"/>
      <c r="N464" s="465"/>
      <c r="O464" s="465"/>
      <c r="P464" s="465"/>
      <c r="Q464" s="541"/>
      <c r="R464" s="541"/>
      <c r="S464" s="541"/>
      <c r="T464" s="541"/>
      <c r="U464" s="541"/>
      <c r="V464" s="541"/>
      <c r="W464" s="541"/>
      <c r="X464" s="541"/>
      <c r="Y464" s="541"/>
      <c r="Z464" s="541"/>
    </row>
    <row r="465" spans="1:26" ht="19.5">
      <c r="A465" s="549">
        <v>3</v>
      </c>
      <c r="B465" s="550" t="s">
        <v>205</v>
      </c>
      <c r="C465" s="551"/>
      <c r="D465" s="551"/>
      <c r="E465" s="551"/>
      <c r="F465" s="551"/>
      <c r="G465" s="552"/>
      <c r="H465" s="553" t="s">
        <v>35</v>
      </c>
      <c r="I465" s="554">
        <f ca="1">IFERROR(__xludf.DUMMYFUNCTION("IMPORTRANGE(""https://docs.google.com/spreadsheets/d/1QqKyyYR6Q21VydFLVH3TRQUabQu_ym0Zz7PgGX0-kHA/edit?usp=sharing"",""แผน!FX15"")"),51)</f>
        <v>51</v>
      </c>
      <c r="J465" s="554">
        <f>J485+J489+J492</f>
        <v>0</v>
      </c>
      <c r="K465" s="555">
        <f t="shared" ref="K465:K466" ca="1" si="204">IF(I465&gt;0,J465*100/I465,0)</f>
        <v>0</v>
      </c>
      <c r="L465" s="556"/>
      <c r="M465" s="556"/>
      <c r="N465" s="556"/>
      <c r="O465" s="556"/>
      <c r="P465" s="556"/>
      <c r="Q465" s="541"/>
      <c r="R465" s="541"/>
      <c r="S465" s="541"/>
      <c r="T465" s="541"/>
      <c r="U465" s="541"/>
      <c r="V465" s="541"/>
      <c r="W465" s="541"/>
      <c r="X465" s="541"/>
      <c r="Y465" s="541"/>
      <c r="Z465" s="541"/>
    </row>
    <row r="466" spans="1:26" ht="19.5">
      <c r="A466" s="557"/>
      <c r="B466" s="558"/>
      <c r="C466" s="559"/>
      <c r="D466" s="559"/>
      <c r="E466" s="559"/>
      <c r="F466" s="559"/>
      <c r="G466" s="560"/>
      <c r="H466" s="531" t="s">
        <v>46</v>
      </c>
      <c r="I466" s="532">
        <f ca="1">IFERROR(__xludf.DUMMYFUNCTION("IMPORTRANGE(""https://docs.google.com/spreadsheets/d/1QqKyyYR6Q21VydFLVH3TRQUabQu_ym0Zz7PgGX0-kHA/edit?usp=sharing"",""แผน!FW15"")"),500)</f>
        <v>500</v>
      </c>
      <c r="J466" s="532">
        <f>J483+J487</f>
        <v>0</v>
      </c>
      <c r="K466" s="533">
        <f t="shared" ca="1" si="204"/>
        <v>0</v>
      </c>
      <c r="L466" s="534"/>
      <c r="M466" s="534"/>
      <c r="N466" s="534"/>
      <c r="O466" s="534"/>
      <c r="P466" s="534"/>
      <c r="Q466" s="541"/>
      <c r="R466" s="541"/>
      <c r="S466" s="541"/>
      <c r="T466" s="541"/>
      <c r="U466" s="541"/>
      <c r="V466" s="541"/>
      <c r="W466" s="541"/>
      <c r="X466" s="541"/>
      <c r="Y466" s="541"/>
      <c r="Z466" s="541"/>
    </row>
    <row r="467" spans="1:26" ht="19.5">
      <c r="A467" s="561"/>
      <c r="B467" s="727"/>
      <c r="C467" s="727" t="s">
        <v>16</v>
      </c>
      <c r="D467" s="811" t="s">
        <v>17</v>
      </c>
      <c r="E467" s="805"/>
      <c r="F467" s="805"/>
      <c r="G467" s="189"/>
      <c r="H467" s="562" t="s">
        <v>12</v>
      </c>
      <c r="I467" s="269"/>
      <c r="J467" s="269"/>
      <c r="K467" s="465"/>
      <c r="L467" s="195">
        <f t="shared" ref="L467:N467" ca="1" si="205">L468+L469</f>
        <v>403983</v>
      </c>
      <c r="M467" s="195">
        <f t="shared" si="205"/>
        <v>0</v>
      </c>
      <c r="N467" s="195">
        <f t="shared" si="205"/>
        <v>0</v>
      </c>
      <c r="O467" s="195">
        <f t="shared" ref="O467:O472" ca="1" si="206">IF(L467&gt;0,N467*100/L467,0)</f>
        <v>0</v>
      </c>
      <c r="P467" s="195">
        <f t="shared" ref="P467:P472" si="207">IF(M467&gt;0,N467*100/M467,0)</f>
        <v>0</v>
      </c>
      <c r="Q467" s="541"/>
      <c r="R467" s="541"/>
      <c r="S467" s="541"/>
      <c r="T467" s="541"/>
      <c r="U467" s="541"/>
      <c r="V467" s="541"/>
      <c r="W467" s="541"/>
      <c r="X467" s="541"/>
      <c r="Y467" s="541"/>
      <c r="Z467" s="541"/>
    </row>
    <row r="468" spans="1:26" ht="18.75" hidden="1">
      <c r="A468" s="563"/>
      <c r="B468" s="723"/>
      <c r="C468" s="723"/>
      <c r="D468" s="684"/>
      <c r="E468" s="723" t="s">
        <v>184</v>
      </c>
      <c r="F468" s="723"/>
      <c r="G468" s="567"/>
      <c r="H468" s="165" t="s">
        <v>12</v>
      </c>
      <c r="I468" s="583"/>
      <c r="J468" s="583"/>
      <c r="K468" s="93"/>
      <c r="L468" s="93">
        <f t="shared" ref="L468:N469" si="208">L471+L478</f>
        <v>0</v>
      </c>
      <c r="M468" s="93">
        <f t="shared" si="208"/>
        <v>0</v>
      </c>
      <c r="N468" s="93">
        <f t="shared" si="208"/>
        <v>0</v>
      </c>
      <c r="O468" s="93">
        <f t="shared" si="206"/>
        <v>0</v>
      </c>
      <c r="P468" s="93">
        <f t="shared" si="207"/>
        <v>0</v>
      </c>
      <c r="Q468" s="568"/>
      <c r="R468" s="568"/>
      <c r="S468" s="568"/>
      <c r="T468" s="568"/>
      <c r="U468" s="568"/>
      <c r="V468" s="568"/>
      <c r="W468" s="568"/>
      <c r="X468" s="568"/>
      <c r="Y468" s="568"/>
      <c r="Z468" s="568"/>
    </row>
    <row r="469" spans="1:26" ht="18.75" hidden="1">
      <c r="A469" s="563"/>
      <c r="B469" s="571"/>
      <c r="C469" s="723"/>
      <c r="D469" s="684"/>
      <c r="E469" s="723" t="s">
        <v>185</v>
      </c>
      <c r="F469" s="723"/>
      <c r="G469" s="567"/>
      <c r="H469" s="165" t="s">
        <v>12</v>
      </c>
      <c r="I469" s="583"/>
      <c r="J469" s="583"/>
      <c r="K469" s="93"/>
      <c r="L469" s="93">
        <f t="shared" ca="1" si="208"/>
        <v>403983</v>
      </c>
      <c r="M469" s="93">
        <f t="shared" si="208"/>
        <v>0</v>
      </c>
      <c r="N469" s="93">
        <f t="shared" si="208"/>
        <v>0</v>
      </c>
      <c r="O469" s="93">
        <f t="shared" ca="1" si="206"/>
        <v>0</v>
      </c>
      <c r="P469" s="93">
        <f t="shared" si="207"/>
        <v>0</v>
      </c>
      <c r="Q469" s="568"/>
      <c r="R469" s="568"/>
      <c r="S469" s="568"/>
      <c r="T469" s="568"/>
      <c r="U469" s="568"/>
      <c r="V469" s="568"/>
      <c r="W469" s="568"/>
      <c r="X469" s="568"/>
      <c r="Y469" s="568"/>
      <c r="Z469" s="568"/>
    </row>
    <row r="470" spans="1:26" ht="18.75">
      <c r="A470" s="561"/>
      <c r="B470" s="538"/>
      <c r="C470" s="727"/>
      <c r="D470" s="570" t="s">
        <v>20</v>
      </c>
      <c r="E470" s="727"/>
      <c r="F470" s="727"/>
      <c r="G470" s="189"/>
      <c r="H470" s="161" t="s">
        <v>12</v>
      </c>
      <c r="I470" s="184"/>
      <c r="J470" s="184"/>
      <c r="K470" s="163"/>
      <c r="L470" s="465">
        <f t="shared" ref="L470:N470" ca="1" si="209">L471+L472</f>
        <v>403983</v>
      </c>
      <c r="M470" s="465">
        <f t="shared" si="209"/>
        <v>0</v>
      </c>
      <c r="N470" s="465">
        <f t="shared" si="209"/>
        <v>0</v>
      </c>
      <c r="O470" s="465">
        <f t="shared" ca="1" si="206"/>
        <v>0</v>
      </c>
      <c r="P470" s="465">
        <f t="shared" si="207"/>
        <v>0</v>
      </c>
      <c r="Q470" s="541"/>
      <c r="R470" s="541"/>
      <c r="S470" s="541"/>
      <c r="T470" s="541"/>
      <c r="U470" s="541"/>
      <c r="V470" s="541"/>
      <c r="W470" s="541"/>
      <c r="X470" s="541"/>
      <c r="Y470" s="541"/>
      <c r="Z470" s="541"/>
    </row>
    <row r="471" spans="1:26" ht="18.75" hidden="1">
      <c r="A471" s="563"/>
      <c r="B471" s="571"/>
      <c r="C471" s="723"/>
      <c r="D471" s="684"/>
      <c r="E471" s="723" t="s">
        <v>184</v>
      </c>
      <c r="F471" s="723"/>
      <c r="G471" s="567"/>
      <c r="H471" s="165" t="s">
        <v>12</v>
      </c>
      <c r="I471" s="583"/>
      <c r="J471" s="583"/>
      <c r="K471" s="93"/>
      <c r="L471" s="93">
        <v>0</v>
      </c>
      <c r="M471" s="93">
        <v>0</v>
      </c>
      <c r="N471" s="93">
        <v>0</v>
      </c>
      <c r="O471" s="93">
        <f t="shared" si="206"/>
        <v>0</v>
      </c>
      <c r="P471" s="93">
        <f t="shared" si="207"/>
        <v>0</v>
      </c>
      <c r="Q471" s="568"/>
      <c r="R471" s="568"/>
      <c r="S471" s="568"/>
      <c r="T471" s="568"/>
      <c r="U471" s="568"/>
      <c r="V471" s="568"/>
      <c r="W471" s="568"/>
      <c r="X471" s="568"/>
      <c r="Y471" s="568"/>
      <c r="Z471" s="568"/>
    </row>
    <row r="472" spans="1:26" ht="18.75" hidden="1">
      <c r="A472" s="563"/>
      <c r="B472" s="571"/>
      <c r="C472" s="723"/>
      <c r="D472" s="684"/>
      <c r="E472" s="723" t="s">
        <v>185</v>
      </c>
      <c r="F472" s="723"/>
      <c r="G472" s="567"/>
      <c r="H472" s="165" t="s">
        <v>12</v>
      </c>
      <c r="I472" s="583"/>
      <c r="J472" s="583"/>
      <c r="K472" s="93"/>
      <c r="L472" s="93">
        <f ca="1">IFERROR(__xludf.DUMMYFUNCTION("IMPORTRANGE(""https://docs.google.com/spreadsheets/d/1QqKyyYR6Q21VydFLVH3TRQUabQu_ym0Zz7PgGX0-kHA/edit?usp=sharing"",""แผน!FS15"")"),403983)</f>
        <v>403983</v>
      </c>
      <c r="M472" s="93">
        <v>0</v>
      </c>
      <c r="N472" s="93">
        <f>N473+N474+N475+N476</f>
        <v>0</v>
      </c>
      <c r="O472" s="93">
        <f t="shared" ca="1" si="206"/>
        <v>0</v>
      </c>
      <c r="P472" s="93">
        <f t="shared" si="207"/>
        <v>0</v>
      </c>
      <c r="Q472" s="568"/>
      <c r="R472" s="568"/>
      <c r="S472" s="568"/>
      <c r="T472" s="568"/>
      <c r="U472" s="568"/>
      <c r="V472" s="568"/>
      <c r="W472" s="568"/>
      <c r="X472" s="568"/>
      <c r="Y472" s="568"/>
      <c r="Z472" s="568"/>
    </row>
    <row r="473" spans="1:26" ht="18.75">
      <c r="A473" s="537"/>
      <c r="B473" s="538"/>
      <c r="C473" s="727"/>
      <c r="D473" s="727"/>
      <c r="E473" s="727"/>
      <c r="F473" s="727" t="s">
        <v>186</v>
      </c>
      <c r="G473" s="189"/>
      <c r="H473" s="161" t="s">
        <v>12</v>
      </c>
      <c r="I473" s="269"/>
      <c r="J473" s="269"/>
      <c r="K473" s="465"/>
      <c r="L473" s="465"/>
      <c r="M473" s="465"/>
      <c r="N473" s="789">
        <v>0</v>
      </c>
      <c r="O473" s="465"/>
      <c r="P473" s="465"/>
      <c r="Q473" s="541"/>
      <c r="R473" s="541"/>
      <c r="S473" s="541"/>
      <c r="T473" s="541"/>
      <c r="U473" s="541"/>
      <c r="V473" s="541"/>
      <c r="W473" s="541"/>
      <c r="X473" s="541"/>
      <c r="Y473" s="541"/>
      <c r="Z473" s="541"/>
    </row>
    <row r="474" spans="1:26" ht="18.75">
      <c r="A474" s="537"/>
      <c r="B474" s="538"/>
      <c r="C474" s="727"/>
      <c r="D474" s="727"/>
      <c r="E474" s="727"/>
      <c r="F474" s="727" t="s">
        <v>187</v>
      </c>
      <c r="G474" s="189"/>
      <c r="H474" s="161" t="s">
        <v>12</v>
      </c>
      <c r="I474" s="269"/>
      <c r="J474" s="269"/>
      <c r="K474" s="465"/>
      <c r="L474" s="465"/>
      <c r="M474" s="465"/>
      <c r="N474" s="789">
        <v>0</v>
      </c>
      <c r="O474" s="465"/>
      <c r="P474" s="465"/>
      <c r="Q474" s="541"/>
      <c r="R474" s="541"/>
      <c r="S474" s="541"/>
      <c r="T474" s="541"/>
      <c r="U474" s="541"/>
      <c r="V474" s="541"/>
      <c r="W474" s="541"/>
      <c r="X474" s="541"/>
      <c r="Y474" s="541"/>
      <c r="Z474" s="541"/>
    </row>
    <row r="475" spans="1:26" ht="18.75">
      <c r="A475" s="537"/>
      <c r="B475" s="538"/>
      <c r="C475" s="538"/>
      <c r="D475" s="538"/>
      <c r="E475" s="538"/>
      <c r="F475" s="727" t="s">
        <v>188</v>
      </c>
      <c r="G475" s="189"/>
      <c r="H475" s="161" t="s">
        <v>12</v>
      </c>
      <c r="I475" s="269"/>
      <c r="J475" s="269"/>
      <c r="K475" s="465"/>
      <c r="L475" s="465"/>
      <c r="M475" s="465"/>
      <c r="N475" s="789">
        <v>0</v>
      </c>
      <c r="O475" s="465"/>
      <c r="P475" s="465"/>
      <c r="Q475" s="541"/>
      <c r="R475" s="541"/>
      <c r="S475" s="541"/>
      <c r="T475" s="541"/>
      <c r="U475" s="541"/>
      <c r="V475" s="541"/>
      <c r="W475" s="541"/>
      <c r="X475" s="541"/>
      <c r="Y475" s="541"/>
      <c r="Z475" s="541"/>
    </row>
    <row r="476" spans="1:26" ht="18.75">
      <c r="A476" s="537"/>
      <c r="B476" s="538"/>
      <c r="C476" s="538"/>
      <c r="D476" s="538"/>
      <c r="E476" s="538"/>
      <c r="F476" s="727" t="s">
        <v>189</v>
      </c>
      <c r="G476" s="189"/>
      <c r="H476" s="161" t="s">
        <v>12</v>
      </c>
      <c r="I476" s="269"/>
      <c r="J476" s="269"/>
      <c r="K476" s="465"/>
      <c r="L476" s="465"/>
      <c r="M476" s="465"/>
      <c r="N476" s="789">
        <v>0</v>
      </c>
      <c r="O476" s="465"/>
      <c r="P476" s="465"/>
      <c r="Q476" s="541"/>
      <c r="R476" s="541"/>
      <c r="S476" s="541"/>
      <c r="T476" s="541"/>
      <c r="U476" s="541"/>
      <c r="V476" s="541"/>
      <c r="W476" s="541"/>
      <c r="X476" s="541"/>
      <c r="Y476" s="541"/>
      <c r="Z476" s="541"/>
    </row>
    <row r="477" spans="1:26" ht="18.75">
      <c r="A477" s="561"/>
      <c r="B477" s="538"/>
      <c r="C477" s="538"/>
      <c r="D477" s="570" t="s">
        <v>21</v>
      </c>
      <c r="E477" s="538"/>
      <c r="F477" s="538"/>
      <c r="G477" s="189"/>
      <c r="H477" s="168" t="s">
        <v>12</v>
      </c>
      <c r="I477" s="184"/>
      <c r="J477" s="184"/>
      <c r="K477" s="163"/>
      <c r="L477" s="465">
        <f t="shared" ref="L477:N477" ca="1" si="210">L478+L479</f>
        <v>0</v>
      </c>
      <c r="M477" s="465">
        <f t="shared" si="210"/>
        <v>0</v>
      </c>
      <c r="N477" s="465">
        <f t="shared" si="210"/>
        <v>0</v>
      </c>
      <c r="O477" s="465">
        <f t="shared" ref="O477:O479" ca="1" si="211">IF(L477&gt;0,N477*100/L477,0)</f>
        <v>0</v>
      </c>
      <c r="P477" s="465">
        <f t="shared" ref="P477:P479" si="212">IF(M477&gt;0,N477*100/M477,0)</f>
        <v>0</v>
      </c>
      <c r="Q477" s="541"/>
      <c r="R477" s="541"/>
      <c r="S477" s="541"/>
      <c r="T477" s="541"/>
      <c r="U477" s="541"/>
      <c r="V477" s="541"/>
      <c r="W477" s="541"/>
      <c r="X477" s="541"/>
      <c r="Y477" s="541"/>
      <c r="Z477" s="541"/>
    </row>
    <row r="478" spans="1:26" ht="18.75" hidden="1">
      <c r="A478" s="563"/>
      <c r="B478" s="571"/>
      <c r="C478" s="571"/>
      <c r="D478" s="571"/>
      <c r="E478" s="571" t="s">
        <v>18</v>
      </c>
      <c r="F478" s="571"/>
      <c r="G478" s="567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1"/>
        <v>0</v>
      </c>
      <c r="P478" s="93">
        <f t="shared" si="212"/>
        <v>0</v>
      </c>
      <c r="Q478" s="568"/>
      <c r="R478" s="568"/>
      <c r="S478" s="568"/>
      <c r="T478" s="568"/>
      <c r="U478" s="568"/>
      <c r="V478" s="568"/>
      <c r="W478" s="568"/>
      <c r="X478" s="568"/>
      <c r="Y478" s="568"/>
      <c r="Z478" s="568"/>
    </row>
    <row r="479" spans="1:26" ht="18.75" hidden="1">
      <c r="A479" s="563"/>
      <c r="B479" s="571"/>
      <c r="C479" s="571"/>
      <c r="D479" s="571"/>
      <c r="E479" s="571" t="s">
        <v>19</v>
      </c>
      <c r="F479" s="571"/>
      <c r="G479" s="567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IFERROR(__xludf.DUMMYFUNCTION("IMPORTRANGE(""https://docs.google.com/spreadsheets/d/1QqKyyYR6Q21VydFLVH3TRQUabQu_ym0Zz7PgGX0-kHA/edit?usp=sharing"",""แผน!FV15"")"),0)</f>
        <v>0</v>
      </c>
      <c r="M479" s="93">
        <v>0</v>
      </c>
      <c r="N479" s="93">
        <v>0</v>
      </c>
      <c r="O479" s="93">
        <f t="shared" ca="1" si="211"/>
        <v>0</v>
      </c>
      <c r="P479" s="93">
        <f t="shared" si="212"/>
        <v>0</v>
      </c>
      <c r="Q479" s="568"/>
      <c r="R479" s="568"/>
      <c r="S479" s="568"/>
      <c r="T479" s="568"/>
      <c r="U479" s="568"/>
      <c r="V479" s="568"/>
      <c r="W479" s="568"/>
      <c r="X479" s="568"/>
      <c r="Y479" s="568"/>
      <c r="Z479" s="568"/>
    </row>
    <row r="480" spans="1:26" ht="19.5">
      <c r="A480" s="572"/>
      <c r="B480" s="584"/>
      <c r="C480" s="538" t="s">
        <v>16</v>
      </c>
      <c r="D480" s="851" t="s">
        <v>38</v>
      </c>
      <c r="E480" s="575"/>
      <c r="F480" s="725"/>
      <c r="G480" s="577"/>
      <c r="H480" s="726"/>
      <c r="I480" s="269"/>
      <c r="J480" s="269"/>
      <c r="K480" s="465"/>
      <c r="L480" s="465"/>
      <c r="M480" s="465"/>
      <c r="N480" s="465"/>
      <c r="O480" s="465"/>
      <c r="P480" s="465"/>
      <c r="Q480" s="541"/>
      <c r="R480" s="541"/>
      <c r="S480" s="541"/>
      <c r="T480" s="541"/>
      <c r="U480" s="541"/>
      <c r="V480" s="541"/>
      <c r="W480" s="541"/>
      <c r="X480" s="541"/>
      <c r="Y480" s="541"/>
      <c r="Z480" s="541"/>
    </row>
    <row r="481" spans="1:26" ht="19.5">
      <c r="A481" s="572"/>
      <c r="B481" s="584"/>
      <c r="C481" s="584"/>
      <c r="D481" s="591" t="s">
        <v>206</v>
      </c>
      <c r="E481" s="584"/>
      <c r="F481" s="584"/>
      <c r="G481" s="726"/>
      <c r="H481" s="189"/>
      <c r="I481" s="269"/>
      <c r="J481" s="269"/>
      <c r="K481" s="465"/>
      <c r="L481" s="465"/>
      <c r="M481" s="465"/>
      <c r="N481" s="465"/>
      <c r="O481" s="465"/>
      <c r="P481" s="465"/>
      <c r="Q481" s="541"/>
      <c r="R481" s="541"/>
      <c r="S481" s="541"/>
      <c r="T481" s="541"/>
      <c r="U481" s="541"/>
      <c r="V481" s="541"/>
      <c r="W481" s="541"/>
      <c r="X481" s="541"/>
      <c r="Y481" s="541"/>
      <c r="Z481" s="541"/>
    </row>
    <row r="482" spans="1:26" ht="18.75">
      <c r="A482" s="572"/>
      <c r="B482" s="584"/>
      <c r="C482" s="584"/>
      <c r="D482" s="584"/>
      <c r="E482" s="584" t="s">
        <v>207</v>
      </c>
      <c r="F482" s="584"/>
      <c r="G482" s="726"/>
      <c r="H482" s="189"/>
      <c r="I482" s="269"/>
      <c r="J482" s="269"/>
      <c r="K482" s="465"/>
      <c r="L482" s="465"/>
      <c r="M482" s="465"/>
      <c r="N482" s="465"/>
      <c r="O482" s="465"/>
      <c r="P482" s="465"/>
      <c r="Q482" s="541"/>
      <c r="R482" s="541"/>
      <c r="S482" s="541"/>
      <c r="T482" s="541"/>
      <c r="U482" s="541"/>
      <c r="V482" s="541"/>
      <c r="W482" s="541"/>
      <c r="X482" s="541"/>
      <c r="Y482" s="541"/>
      <c r="Z482" s="541"/>
    </row>
    <row r="483" spans="1:26" ht="18.75">
      <c r="A483" s="572"/>
      <c r="B483" s="584"/>
      <c r="C483" s="584"/>
      <c r="D483" s="584"/>
      <c r="E483" s="584"/>
      <c r="F483" s="584" t="s">
        <v>208</v>
      </c>
      <c r="G483" s="726"/>
      <c r="H483" s="589" t="s">
        <v>46</v>
      </c>
      <c r="I483" s="269">
        <f ca="1">IFERROR(__xludf.DUMMYFUNCTION("IMPORTRANGE(""https://docs.google.com/spreadsheets/d/1QqKyyYR6Q21VydFLVH3TRQUabQu_ym0Zz7PgGX0-kHA/edit?usp=sharing"",""แผน!FY15"")"),450)</f>
        <v>450</v>
      </c>
      <c r="J483" s="214">
        <v>0</v>
      </c>
      <c r="K483" s="465">
        <f ca="1">IF(I483&gt;0,J483*100/I483,0)</f>
        <v>0</v>
      </c>
      <c r="L483" s="465"/>
      <c r="M483" s="465"/>
      <c r="N483" s="465"/>
      <c r="O483" s="465"/>
      <c r="P483" s="465"/>
      <c r="Q483" s="541"/>
      <c r="R483" s="541"/>
      <c r="S483" s="541"/>
      <c r="T483" s="541"/>
      <c r="U483" s="541"/>
      <c r="V483" s="541"/>
      <c r="W483" s="541"/>
      <c r="X483" s="541"/>
      <c r="Y483" s="541"/>
      <c r="Z483" s="541"/>
    </row>
    <row r="484" spans="1:26" ht="18.75">
      <c r="A484" s="572"/>
      <c r="B484" s="584"/>
      <c r="C484" s="584"/>
      <c r="D484" s="584"/>
      <c r="E484" s="584"/>
      <c r="F484" s="584" t="s">
        <v>209</v>
      </c>
      <c r="G484" s="726"/>
      <c r="H484" s="589" t="s">
        <v>35</v>
      </c>
      <c r="I484" s="269"/>
      <c r="J484" s="214">
        <v>0</v>
      </c>
      <c r="K484" s="465"/>
      <c r="L484" s="465"/>
      <c r="M484" s="465"/>
      <c r="N484" s="465"/>
      <c r="O484" s="465"/>
      <c r="P484" s="465"/>
      <c r="Q484" s="541"/>
      <c r="R484" s="541"/>
      <c r="S484" s="541"/>
      <c r="T484" s="541"/>
      <c r="U484" s="541"/>
      <c r="V484" s="541"/>
      <c r="W484" s="541"/>
      <c r="X484" s="541"/>
      <c r="Y484" s="541"/>
      <c r="Z484" s="541"/>
    </row>
    <row r="485" spans="1:26" ht="18.75">
      <c r="A485" s="572"/>
      <c r="B485" s="584"/>
      <c r="C485" s="584"/>
      <c r="D485" s="584"/>
      <c r="E485" s="584"/>
      <c r="F485" s="584" t="s">
        <v>210</v>
      </c>
      <c r="G485" s="726"/>
      <c r="H485" s="589" t="s">
        <v>35</v>
      </c>
      <c r="I485" s="269">
        <f ca="1">IFERROR(__xludf.DUMMYFUNCTION("IMPORTRANGE(""https://docs.google.com/spreadsheets/d/1QqKyyYR6Q21VydFLVH3TRQUabQu_ym0Zz7PgGX0-kHA/edit?usp=sharing"",""แผน!FZ15"")"),45)</f>
        <v>45</v>
      </c>
      <c r="J485" s="214">
        <v>0</v>
      </c>
      <c r="K485" s="465">
        <f ca="1">IF(I485&gt;0,J485*100/I485,0)</f>
        <v>0</v>
      </c>
      <c r="L485" s="465"/>
      <c r="M485" s="465"/>
      <c r="N485" s="465"/>
      <c r="O485" s="465"/>
      <c r="P485" s="465"/>
      <c r="Q485" s="541"/>
      <c r="R485" s="541"/>
      <c r="S485" s="541"/>
      <c r="T485" s="541"/>
      <c r="U485" s="541"/>
      <c r="V485" s="541"/>
      <c r="W485" s="541"/>
      <c r="X485" s="541"/>
      <c r="Y485" s="541"/>
      <c r="Z485" s="541"/>
    </row>
    <row r="486" spans="1:26" ht="18.75">
      <c r="A486" s="572"/>
      <c r="B486" s="584"/>
      <c r="C486" s="584"/>
      <c r="D486" s="584"/>
      <c r="E486" s="584" t="s">
        <v>62</v>
      </c>
      <c r="F486" s="584"/>
      <c r="G486" s="726"/>
      <c r="H486" s="589"/>
      <c r="I486" s="269"/>
      <c r="J486" s="269"/>
      <c r="K486" s="465"/>
      <c r="L486" s="465"/>
      <c r="M486" s="465"/>
      <c r="N486" s="465"/>
      <c r="O486" s="465"/>
      <c r="P486" s="465"/>
      <c r="Q486" s="541"/>
      <c r="R486" s="541"/>
      <c r="S486" s="541"/>
      <c r="T486" s="541"/>
      <c r="U486" s="541"/>
      <c r="V486" s="541"/>
      <c r="W486" s="541"/>
      <c r="X486" s="541"/>
      <c r="Y486" s="541"/>
      <c r="Z486" s="541"/>
    </row>
    <row r="487" spans="1:26" ht="18.75">
      <c r="A487" s="572"/>
      <c r="B487" s="584"/>
      <c r="C487" s="584"/>
      <c r="D487" s="584"/>
      <c r="E487" s="584"/>
      <c r="F487" s="584" t="s">
        <v>208</v>
      </c>
      <c r="G487" s="726"/>
      <c r="H487" s="589" t="s">
        <v>46</v>
      </c>
      <c r="I487" s="269">
        <f ca="1">IFERROR(__xludf.DUMMYFUNCTION("IMPORTRANGE(""https://docs.google.com/spreadsheets/d/1QqKyyYR6Q21VydFLVH3TRQUabQu_ym0Zz7PgGX0-kHA/edit?usp=sharing"",""แผน!GA15"")"),50)</f>
        <v>50</v>
      </c>
      <c r="J487" s="214">
        <v>0</v>
      </c>
      <c r="K487" s="465">
        <f ca="1">IF(I487&gt;0,J487*100/I487,0)</f>
        <v>0</v>
      </c>
      <c r="L487" s="465"/>
      <c r="M487" s="465"/>
      <c r="N487" s="465"/>
      <c r="O487" s="465"/>
      <c r="P487" s="465"/>
      <c r="Q487" s="541"/>
      <c r="R487" s="541"/>
      <c r="S487" s="541"/>
      <c r="T487" s="541"/>
      <c r="U487" s="541"/>
      <c r="V487" s="541"/>
      <c r="W487" s="541"/>
      <c r="X487" s="541"/>
      <c r="Y487" s="541"/>
      <c r="Z487" s="541"/>
    </row>
    <row r="488" spans="1:26" ht="18.75">
      <c r="A488" s="572"/>
      <c r="B488" s="584"/>
      <c r="C488" s="584"/>
      <c r="D488" s="584"/>
      <c r="E488" s="584"/>
      <c r="F488" s="584" t="s">
        <v>211</v>
      </c>
      <c r="G488" s="726"/>
      <c r="H488" s="589" t="s">
        <v>35</v>
      </c>
      <c r="I488" s="269"/>
      <c r="J488" s="214">
        <v>0</v>
      </c>
      <c r="K488" s="465"/>
      <c r="L488" s="465"/>
      <c r="M488" s="465"/>
      <c r="N488" s="465"/>
      <c r="O488" s="465"/>
      <c r="P488" s="465"/>
      <c r="Q488" s="541"/>
      <c r="R488" s="541"/>
      <c r="S488" s="541"/>
      <c r="T488" s="541"/>
      <c r="U488" s="541"/>
      <c r="V488" s="541"/>
      <c r="W488" s="541"/>
      <c r="X488" s="541"/>
      <c r="Y488" s="541"/>
      <c r="Z488" s="541"/>
    </row>
    <row r="489" spans="1:26" ht="18.75">
      <c r="A489" s="572"/>
      <c r="B489" s="584"/>
      <c r="C489" s="584"/>
      <c r="D489" s="584"/>
      <c r="E489" s="584"/>
      <c r="F489" s="584" t="s">
        <v>212</v>
      </c>
      <c r="G489" s="726"/>
      <c r="H489" s="589" t="s">
        <v>35</v>
      </c>
      <c r="I489" s="269">
        <f ca="1">IFERROR(__xludf.DUMMYFUNCTION("IMPORTRANGE(""https://docs.google.com/spreadsheets/d/1QqKyyYR6Q21VydFLVH3TRQUabQu_ym0Zz7PgGX0-kHA/edit?usp=sharing"",""แผน!GB15"")"),5)</f>
        <v>5</v>
      </c>
      <c r="J489" s="214">
        <v>0</v>
      </c>
      <c r="K489" s="465">
        <f ca="1">IF(I489&gt;0,J489*100/I489,0)</f>
        <v>0</v>
      </c>
      <c r="L489" s="465"/>
      <c r="M489" s="465"/>
      <c r="N489" s="465"/>
      <c r="O489" s="465"/>
      <c r="P489" s="465"/>
      <c r="Q489" s="541"/>
      <c r="R489" s="541"/>
      <c r="S489" s="541"/>
      <c r="T489" s="541"/>
      <c r="U489" s="541"/>
      <c r="V489" s="541"/>
      <c r="W489" s="541"/>
      <c r="X489" s="541"/>
      <c r="Y489" s="541"/>
      <c r="Z489" s="541"/>
    </row>
    <row r="490" spans="1:26" ht="18.75">
      <c r="A490" s="572"/>
      <c r="B490" s="584"/>
      <c r="C490" s="584"/>
      <c r="D490" s="584"/>
      <c r="E490" s="584" t="s">
        <v>63</v>
      </c>
      <c r="F490" s="592"/>
      <c r="G490" s="726"/>
      <c r="H490" s="589"/>
      <c r="I490" s="269"/>
      <c r="J490" s="269"/>
      <c r="K490" s="465"/>
      <c r="L490" s="465"/>
      <c r="M490" s="465"/>
      <c r="N490" s="465"/>
      <c r="O490" s="465"/>
      <c r="P490" s="465"/>
      <c r="Q490" s="541"/>
      <c r="R490" s="541"/>
      <c r="S490" s="541"/>
      <c r="T490" s="541"/>
      <c r="U490" s="541"/>
      <c r="V490" s="541"/>
      <c r="W490" s="541"/>
      <c r="X490" s="541"/>
      <c r="Y490" s="541"/>
      <c r="Z490" s="541"/>
    </row>
    <row r="491" spans="1:26" ht="18.75">
      <c r="A491" s="572"/>
      <c r="B491" s="584"/>
      <c r="C491" s="584"/>
      <c r="D491" s="584"/>
      <c r="E491" s="584"/>
      <c r="F491" s="584" t="s">
        <v>213</v>
      </c>
      <c r="G491" s="726"/>
      <c r="H491" s="589" t="s">
        <v>35</v>
      </c>
      <c r="I491" s="269"/>
      <c r="J491" s="214">
        <v>0</v>
      </c>
      <c r="K491" s="465"/>
      <c r="L491" s="465"/>
      <c r="M491" s="465"/>
      <c r="N491" s="465"/>
      <c r="O491" s="465"/>
      <c r="P491" s="465"/>
      <c r="Q491" s="541"/>
      <c r="R491" s="541"/>
      <c r="S491" s="541"/>
      <c r="T491" s="541"/>
      <c r="U491" s="541"/>
      <c r="V491" s="541"/>
      <c r="W491" s="541"/>
      <c r="X491" s="541"/>
      <c r="Y491" s="541"/>
      <c r="Z491" s="541"/>
    </row>
    <row r="492" spans="1:26" ht="18.75">
      <c r="A492" s="572"/>
      <c r="B492" s="584"/>
      <c r="C492" s="584"/>
      <c r="D492" s="584"/>
      <c r="E492" s="584"/>
      <c r="F492" s="584" t="s">
        <v>214</v>
      </c>
      <c r="G492" s="726"/>
      <c r="H492" s="589" t="s">
        <v>35</v>
      </c>
      <c r="I492" s="269">
        <f ca="1">IFERROR(__xludf.DUMMYFUNCTION("IMPORTRANGE(""https://docs.google.com/spreadsheets/d/1QqKyyYR6Q21VydFLVH3TRQUabQu_ym0Zz7PgGX0-kHA/edit?usp=sharing"",""แผน!GC15"")"),1)</f>
        <v>1</v>
      </c>
      <c r="J492" s="214">
        <v>0</v>
      </c>
      <c r="K492" s="465">
        <f ca="1">IF(I492&gt;0,J492*100/I492,0)</f>
        <v>0</v>
      </c>
      <c r="L492" s="465"/>
      <c r="M492" s="465"/>
      <c r="N492" s="465"/>
      <c r="O492" s="465"/>
      <c r="P492" s="465"/>
      <c r="Q492" s="541"/>
      <c r="R492" s="541"/>
      <c r="S492" s="541"/>
      <c r="T492" s="541"/>
      <c r="U492" s="541"/>
      <c r="V492" s="541"/>
      <c r="W492" s="541"/>
      <c r="X492" s="541"/>
      <c r="Y492" s="541"/>
      <c r="Z492" s="541"/>
    </row>
    <row r="493" spans="1:26" ht="19.5">
      <c r="A493" s="572"/>
      <c r="B493" s="584"/>
      <c r="C493" s="584"/>
      <c r="D493" s="591" t="s">
        <v>59</v>
      </c>
      <c r="E493" s="584"/>
      <c r="F493" s="592"/>
      <c r="G493" s="726"/>
      <c r="H493" s="189"/>
      <c r="I493" s="269"/>
      <c r="J493" s="269"/>
      <c r="K493" s="465"/>
      <c r="L493" s="465"/>
      <c r="M493" s="465"/>
      <c r="N493" s="465"/>
      <c r="O493" s="465"/>
      <c r="P493" s="465"/>
      <c r="Q493" s="541"/>
      <c r="R493" s="541"/>
      <c r="S493" s="541"/>
      <c r="T493" s="541"/>
      <c r="U493" s="541"/>
      <c r="V493" s="541"/>
      <c r="W493" s="541"/>
      <c r="X493" s="541"/>
      <c r="Y493" s="541"/>
      <c r="Z493" s="541"/>
    </row>
    <row r="494" spans="1:26" ht="18.75">
      <c r="A494" s="572"/>
      <c r="B494" s="584"/>
      <c r="C494" s="584"/>
      <c r="D494" s="584"/>
      <c r="E494" s="584" t="s">
        <v>207</v>
      </c>
      <c r="F494" s="592"/>
      <c r="G494" s="726"/>
      <c r="H494" s="189"/>
      <c r="I494" s="269"/>
      <c r="J494" s="269"/>
      <c r="K494" s="465"/>
      <c r="L494" s="465"/>
      <c r="M494" s="465"/>
      <c r="N494" s="465"/>
      <c r="O494" s="465"/>
      <c r="P494" s="465"/>
      <c r="Q494" s="541"/>
      <c r="R494" s="541"/>
      <c r="S494" s="541"/>
      <c r="T494" s="541"/>
      <c r="U494" s="541"/>
      <c r="V494" s="541"/>
      <c r="W494" s="541"/>
      <c r="X494" s="541"/>
      <c r="Y494" s="541"/>
      <c r="Z494" s="541"/>
    </row>
    <row r="495" spans="1:26" ht="18.75">
      <c r="A495" s="572"/>
      <c r="B495" s="584"/>
      <c r="C495" s="584"/>
      <c r="D495" s="584"/>
      <c r="E495" s="584"/>
      <c r="F495" s="592" t="s">
        <v>215</v>
      </c>
      <c r="G495" s="726"/>
      <c r="H495" s="589" t="s">
        <v>46</v>
      </c>
      <c r="I495" s="269">
        <f ca="1">IFERROR(__xludf.DUMMYFUNCTION("IMPORTRANGE(""https://docs.google.com/spreadsheets/d/1QqKyyYR6Q21VydFLVH3TRQUabQu_ym0Zz7PgGX0-kHA/edit?usp=sharing"",""แผน!FY15"")"),450)</f>
        <v>450</v>
      </c>
      <c r="J495" s="214">
        <v>0</v>
      </c>
      <c r="K495" s="465">
        <f ca="1">IF(I495&gt;0,J495*100/I495,0)</f>
        <v>0</v>
      </c>
      <c r="L495" s="465"/>
      <c r="M495" s="465"/>
      <c r="N495" s="465"/>
      <c r="O495" s="465"/>
      <c r="P495" s="465"/>
      <c r="Q495" s="541"/>
      <c r="R495" s="541"/>
      <c r="S495" s="541"/>
      <c r="T495" s="541"/>
      <c r="U495" s="541"/>
      <c r="V495" s="541"/>
      <c r="W495" s="541"/>
      <c r="X495" s="541"/>
      <c r="Y495" s="541"/>
      <c r="Z495" s="541"/>
    </row>
    <row r="496" spans="1:26" ht="18.75">
      <c r="A496" s="572"/>
      <c r="B496" s="584"/>
      <c r="C496" s="584"/>
      <c r="D496" s="584"/>
      <c r="E496" s="584"/>
      <c r="F496" s="592" t="s">
        <v>216</v>
      </c>
      <c r="G496" s="726"/>
      <c r="H496" s="589" t="s">
        <v>46</v>
      </c>
      <c r="I496" s="269"/>
      <c r="J496" s="214">
        <v>0</v>
      </c>
      <c r="K496" s="465"/>
      <c r="L496" s="465"/>
      <c r="M496" s="465"/>
      <c r="N496" s="465"/>
      <c r="O496" s="465"/>
      <c r="P496" s="465"/>
      <c r="Q496" s="541"/>
      <c r="R496" s="541"/>
      <c r="S496" s="541"/>
      <c r="T496" s="541"/>
      <c r="U496" s="541"/>
      <c r="V496" s="541"/>
      <c r="W496" s="541"/>
      <c r="X496" s="541"/>
      <c r="Y496" s="541"/>
      <c r="Z496" s="541"/>
    </row>
    <row r="497" spans="1:26" ht="18.75">
      <c r="A497" s="572"/>
      <c r="B497" s="584"/>
      <c r="C497" s="584"/>
      <c r="D497" s="584"/>
      <c r="E497" s="584" t="s">
        <v>62</v>
      </c>
      <c r="F497" s="592"/>
      <c r="G497" s="726"/>
      <c r="H497" s="189"/>
      <c r="I497" s="269"/>
      <c r="J497" s="269"/>
      <c r="K497" s="465"/>
      <c r="L497" s="465"/>
      <c r="M497" s="465"/>
      <c r="N497" s="465"/>
      <c r="O497" s="465"/>
      <c r="P497" s="465"/>
      <c r="Q497" s="541"/>
      <c r="R497" s="541"/>
      <c r="S497" s="541"/>
      <c r="T497" s="541"/>
      <c r="U497" s="541"/>
      <c r="V497" s="541"/>
      <c r="W497" s="541"/>
      <c r="X497" s="541"/>
      <c r="Y497" s="541"/>
      <c r="Z497" s="541"/>
    </row>
    <row r="498" spans="1:26" ht="18.75">
      <c r="A498" s="572"/>
      <c r="B498" s="584"/>
      <c r="C498" s="584"/>
      <c r="D498" s="584"/>
      <c r="E498" s="592"/>
      <c r="F498" s="592" t="s">
        <v>217</v>
      </c>
      <c r="G498" s="726"/>
      <c r="H498" s="589" t="s">
        <v>46</v>
      </c>
      <c r="I498" s="269">
        <f ca="1">IFERROR(__xludf.DUMMYFUNCTION("IMPORTRANGE(""https://docs.google.com/spreadsheets/d/1QqKyyYR6Q21VydFLVH3TRQUabQu_ym0Zz7PgGX0-kHA/edit?usp=sharing"",""แผน!GA15"")"),50)</f>
        <v>50</v>
      </c>
      <c r="J498" s="214">
        <v>0</v>
      </c>
      <c r="K498" s="465">
        <f ca="1">IF(I498&gt;0,J498*100/I498,0)</f>
        <v>0</v>
      </c>
      <c r="L498" s="465"/>
      <c r="M498" s="465"/>
      <c r="N498" s="465"/>
      <c r="O498" s="465"/>
      <c r="P498" s="465"/>
      <c r="Q498" s="541"/>
      <c r="R498" s="541"/>
      <c r="S498" s="541"/>
      <c r="T498" s="541"/>
      <c r="U498" s="541"/>
      <c r="V498" s="541"/>
      <c r="W498" s="541"/>
      <c r="X498" s="541"/>
      <c r="Y498" s="541"/>
      <c r="Z498" s="541"/>
    </row>
    <row r="499" spans="1:26" ht="18.75">
      <c r="A499" s="572"/>
      <c r="B499" s="584"/>
      <c r="C499" s="584"/>
      <c r="D499" s="584"/>
      <c r="E499" s="592"/>
      <c r="F499" s="592" t="s">
        <v>218</v>
      </c>
      <c r="G499" s="726"/>
      <c r="H499" s="589" t="s">
        <v>46</v>
      </c>
      <c r="I499" s="269"/>
      <c r="J499" s="214">
        <v>0</v>
      </c>
      <c r="K499" s="465"/>
      <c r="L499" s="465"/>
      <c r="M499" s="465"/>
      <c r="N499" s="465"/>
      <c r="O499" s="465"/>
      <c r="P499" s="465"/>
      <c r="Q499" s="541"/>
      <c r="R499" s="541"/>
      <c r="S499" s="541"/>
      <c r="T499" s="541"/>
      <c r="U499" s="541"/>
      <c r="V499" s="541"/>
      <c r="W499" s="541"/>
      <c r="X499" s="541"/>
      <c r="Y499" s="541"/>
      <c r="Z499" s="541"/>
    </row>
    <row r="500" spans="1:26" ht="19.5" hidden="1">
      <c r="A500" s="593">
        <v>4</v>
      </c>
      <c r="B500" s="594" t="s">
        <v>219</v>
      </c>
      <c r="C500" s="595"/>
      <c r="D500" s="596"/>
      <c r="E500" s="596"/>
      <c r="F500" s="596"/>
      <c r="G500" s="597"/>
      <c r="H500" s="598" t="s">
        <v>109</v>
      </c>
      <c r="I500" s="599"/>
      <c r="J500" s="599">
        <f t="shared" ref="J500:J501" si="213">J516</f>
        <v>0</v>
      </c>
      <c r="K500" s="600">
        <f t="shared" ref="K500:K501" si="214">IF(I500&gt;0,J500*100/I500,0)</f>
        <v>0</v>
      </c>
      <c r="L500" s="601"/>
      <c r="M500" s="601"/>
      <c r="N500" s="601"/>
      <c r="O500" s="601"/>
      <c r="P500" s="601"/>
      <c r="Q500" s="568"/>
      <c r="R500" s="568"/>
      <c r="S500" s="568"/>
      <c r="T500" s="568"/>
      <c r="U500" s="568"/>
      <c r="V500" s="568"/>
      <c r="W500" s="568"/>
      <c r="X500" s="568"/>
      <c r="Y500" s="568"/>
      <c r="Z500" s="568"/>
    </row>
    <row r="501" spans="1:26" ht="19.5" hidden="1">
      <c r="A501" s="602"/>
      <c r="B501" s="604" t="s">
        <v>220</v>
      </c>
      <c r="C501" s="604"/>
      <c r="D501" s="605"/>
      <c r="E501" s="605"/>
      <c r="F501" s="605"/>
      <c r="G501" s="606"/>
      <c r="H501" s="607" t="s">
        <v>35</v>
      </c>
      <c r="I501" s="608"/>
      <c r="J501" s="608">
        <f t="shared" si="213"/>
        <v>0</v>
      </c>
      <c r="K501" s="609">
        <f t="shared" si="214"/>
        <v>0</v>
      </c>
      <c r="L501" s="610"/>
      <c r="M501" s="610"/>
      <c r="N501" s="610"/>
      <c r="O501" s="610"/>
      <c r="P501" s="610"/>
      <c r="Q501" s="568"/>
      <c r="R501" s="568"/>
      <c r="S501" s="568"/>
      <c r="T501" s="568"/>
      <c r="U501" s="568"/>
      <c r="V501" s="568"/>
      <c r="W501" s="568"/>
      <c r="X501" s="568"/>
      <c r="Y501" s="568"/>
      <c r="Z501" s="568"/>
    </row>
    <row r="502" spans="1:26" ht="19.5" hidden="1">
      <c r="A502" s="563"/>
      <c r="B502" s="723"/>
      <c r="C502" s="723" t="s">
        <v>16</v>
      </c>
      <c r="D502" s="812" t="s">
        <v>17</v>
      </c>
      <c r="E502" s="805"/>
      <c r="F502" s="805"/>
      <c r="G502" s="567"/>
      <c r="H502" s="612" t="s">
        <v>12</v>
      </c>
      <c r="I502" s="583"/>
      <c r="J502" s="583"/>
      <c r="K502" s="93"/>
      <c r="L502" s="613">
        <f t="shared" ref="L502:N502" si="215">L503+L504</f>
        <v>0</v>
      </c>
      <c r="M502" s="613">
        <f t="shared" si="215"/>
        <v>0</v>
      </c>
      <c r="N502" s="613">
        <f t="shared" si="215"/>
        <v>0</v>
      </c>
      <c r="O502" s="613">
        <f t="shared" ref="O502:O507" si="216">IF(L502&gt;0,N502*100/L502,0)</f>
        <v>0</v>
      </c>
      <c r="P502" s="613">
        <f t="shared" ref="P502:P507" si="217">IF(M502&gt;0,N502*100/M502,0)</f>
        <v>0</v>
      </c>
      <c r="Q502" s="568"/>
      <c r="R502" s="568"/>
      <c r="S502" s="568"/>
      <c r="T502" s="568"/>
      <c r="U502" s="568"/>
      <c r="V502" s="568"/>
      <c r="W502" s="568"/>
      <c r="X502" s="568"/>
      <c r="Y502" s="568"/>
      <c r="Z502" s="568"/>
    </row>
    <row r="503" spans="1:26" ht="18.75" hidden="1">
      <c r="A503" s="563"/>
      <c r="B503" s="723"/>
      <c r="C503" s="723"/>
      <c r="D503" s="684"/>
      <c r="E503" s="723" t="s">
        <v>184</v>
      </c>
      <c r="F503" s="723"/>
      <c r="G503" s="567"/>
      <c r="H503" s="165" t="s">
        <v>12</v>
      </c>
      <c r="I503" s="583"/>
      <c r="J503" s="583"/>
      <c r="K503" s="93"/>
      <c r="L503" s="93">
        <f t="shared" ref="L503:N504" si="218">L506+L513</f>
        <v>0</v>
      </c>
      <c r="M503" s="93">
        <f t="shared" si="218"/>
        <v>0</v>
      </c>
      <c r="N503" s="93">
        <f t="shared" si="218"/>
        <v>0</v>
      </c>
      <c r="O503" s="93">
        <f t="shared" si="216"/>
        <v>0</v>
      </c>
      <c r="P503" s="93">
        <f t="shared" si="217"/>
        <v>0</v>
      </c>
      <c r="Q503" s="568"/>
      <c r="R503" s="568"/>
      <c r="S503" s="568"/>
      <c r="T503" s="568"/>
      <c r="U503" s="568"/>
      <c r="V503" s="568"/>
      <c r="W503" s="568"/>
      <c r="X503" s="568"/>
      <c r="Y503" s="568"/>
      <c r="Z503" s="568"/>
    </row>
    <row r="504" spans="1:26" ht="18.75" hidden="1">
      <c r="A504" s="563"/>
      <c r="B504" s="571"/>
      <c r="C504" s="723"/>
      <c r="D504" s="684"/>
      <c r="E504" s="723" t="s">
        <v>185</v>
      </c>
      <c r="F504" s="723"/>
      <c r="G504" s="567"/>
      <c r="H504" s="165" t="s">
        <v>12</v>
      </c>
      <c r="I504" s="583"/>
      <c r="J504" s="583"/>
      <c r="K504" s="93"/>
      <c r="L504" s="93">
        <f t="shared" si="218"/>
        <v>0</v>
      </c>
      <c r="M504" s="93">
        <f t="shared" si="218"/>
        <v>0</v>
      </c>
      <c r="N504" s="93">
        <f t="shared" si="218"/>
        <v>0</v>
      </c>
      <c r="O504" s="93">
        <f t="shared" si="216"/>
        <v>0</v>
      </c>
      <c r="P504" s="93">
        <f t="shared" si="217"/>
        <v>0</v>
      </c>
      <c r="Q504" s="568"/>
      <c r="R504" s="568"/>
      <c r="S504" s="568"/>
      <c r="T504" s="568"/>
      <c r="U504" s="568"/>
      <c r="V504" s="568"/>
      <c r="W504" s="568"/>
      <c r="X504" s="568"/>
      <c r="Y504" s="568"/>
      <c r="Z504" s="568"/>
    </row>
    <row r="505" spans="1:26" ht="18.75" hidden="1">
      <c r="A505" s="563"/>
      <c r="B505" s="571"/>
      <c r="C505" s="723"/>
      <c r="D505" s="614" t="s">
        <v>20</v>
      </c>
      <c r="E505" s="723"/>
      <c r="F505" s="723"/>
      <c r="G505" s="567"/>
      <c r="H505" s="165" t="s">
        <v>12</v>
      </c>
      <c r="I505" s="166"/>
      <c r="J505" s="166"/>
      <c r="K505" s="167"/>
      <c r="L505" s="93">
        <f t="shared" ref="L505:N505" si="219">L506+L507</f>
        <v>0</v>
      </c>
      <c r="M505" s="93">
        <f t="shared" si="219"/>
        <v>0</v>
      </c>
      <c r="N505" s="93">
        <f t="shared" si="219"/>
        <v>0</v>
      </c>
      <c r="O505" s="93">
        <f t="shared" si="216"/>
        <v>0</v>
      </c>
      <c r="P505" s="93">
        <f t="shared" si="217"/>
        <v>0</v>
      </c>
      <c r="Q505" s="568"/>
      <c r="R505" s="568"/>
      <c r="S505" s="568"/>
      <c r="T505" s="568"/>
      <c r="U505" s="568"/>
      <c r="V505" s="568"/>
      <c r="W505" s="568"/>
      <c r="X505" s="568"/>
      <c r="Y505" s="568"/>
      <c r="Z505" s="568"/>
    </row>
    <row r="506" spans="1:26" ht="18.75" hidden="1">
      <c r="A506" s="563"/>
      <c r="B506" s="571"/>
      <c r="C506" s="723"/>
      <c r="D506" s="684"/>
      <c r="E506" s="723" t="s">
        <v>184</v>
      </c>
      <c r="F506" s="723"/>
      <c r="G506" s="567"/>
      <c r="H506" s="165" t="s">
        <v>12</v>
      </c>
      <c r="I506" s="583"/>
      <c r="J506" s="583"/>
      <c r="K506" s="93"/>
      <c r="L506" s="93">
        <v>0</v>
      </c>
      <c r="M506" s="93">
        <v>0</v>
      </c>
      <c r="N506" s="93">
        <v>0</v>
      </c>
      <c r="O506" s="93">
        <f t="shared" si="216"/>
        <v>0</v>
      </c>
      <c r="P506" s="93">
        <f t="shared" si="217"/>
        <v>0</v>
      </c>
      <c r="Q506" s="568"/>
      <c r="R506" s="568"/>
      <c r="S506" s="568"/>
      <c r="T506" s="568"/>
      <c r="U506" s="568"/>
      <c r="V506" s="568"/>
      <c r="W506" s="568"/>
      <c r="X506" s="568"/>
      <c r="Y506" s="568"/>
      <c r="Z506" s="568"/>
    </row>
    <row r="507" spans="1:26" ht="18.75" hidden="1">
      <c r="A507" s="563"/>
      <c r="B507" s="571"/>
      <c r="C507" s="723"/>
      <c r="D507" s="684"/>
      <c r="E507" s="723" t="s">
        <v>185</v>
      </c>
      <c r="F507" s="723"/>
      <c r="G507" s="567"/>
      <c r="H507" s="165" t="s">
        <v>12</v>
      </c>
      <c r="I507" s="583"/>
      <c r="J507" s="583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6"/>
        <v>0</v>
      </c>
      <c r="P507" s="93">
        <f t="shared" si="217"/>
        <v>0</v>
      </c>
      <c r="Q507" s="568"/>
      <c r="R507" s="568"/>
      <c r="S507" s="568"/>
      <c r="T507" s="568"/>
      <c r="U507" s="568"/>
      <c r="V507" s="568"/>
      <c r="W507" s="568"/>
      <c r="X507" s="568"/>
      <c r="Y507" s="568"/>
      <c r="Z507" s="568"/>
    </row>
    <row r="508" spans="1:26" ht="18.75" hidden="1">
      <c r="A508" s="615"/>
      <c r="B508" s="571"/>
      <c r="C508" s="723"/>
      <c r="D508" s="723"/>
      <c r="E508" s="723"/>
      <c r="F508" s="723" t="s">
        <v>186</v>
      </c>
      <c r="G508" s="567"/>
      <c r="H508" s="165" t="s">
        <v>12</v>
      </c>
      <c r="I508" s="583"/>
      <c r="J508" s="583"/>
      <c r="K508" s="93"/>
      <c r="L508" s="93"/>
      <c r="M508" s="93"/>
      <c r="N508" s="93">
        <v>0</v>
      </c>
      <c r="O508" s="93"/>
      <c r="P508" s="93"/>
      <c r="Q508" s="568"/>
      <c r="R508" s="568"/>
      <c r="S508" s="568"/>
      <c r="T508" s="568"/>
      <c r="U508" s="568"/>
      <c r="V508" s="568"/>
      <c r="W508" s="568"/>
      <c r="X508" s="568"/>
      <c r="Y508" s="568"/>
      <c r="Z508" s="568"/>
    </row>
    <row r="509" spans="1:26" ht="18.75" hidden="1">
      <c r="A509" s="615"/>
      <c r="B509" s="571"/>
      <c r="C509" s="723"/>
      <c r="D509" s="723"/>
      <c r="E509" s="723"/>
      <c r="F509" s="723" t="s">
        <v>187</v>
      </c>
      <c r="G509" s="567"/>
      <c r="H509" s="165" t="s">
        <v>12</v>
      </c>
      <c r="I509" s="583"/>
      <c r="J509" s="583"/>
      <c r="K509" s="93"/>
      <c r="L509" s="93"/>
      <c r="M509" s="93"/>
      <c r="N509" s="93">
        <v>0</v>
      </c>
      <c r="O509" s="93"/>
      <c r="P509" s="93"/>
      <c r="Q509" s="568"/>
      <c r="R509" s="568"/>
      <c r="S509" s="568"/>
      <c r="T509" s="568"/>
      <c r="U509" s="568"/>
      <c r="V509" s="568"/>
      <c r="W509" s="568"/>
      <c r="X509" s="568"/>
      <c r="Y509" s="568"/>
      <c r="Z509" s="568"/>
    </row>
    <row r="510" spans="1:26" ht="18.75" hidden="1">
      <c r="A510" s="615"/>
      <c r="B510" s="571"/>
      <c r="C510" s="571"/>
      <c r="D510" s="571"/>
      <c r="E510" s="723"/>
      <c r="F510" s="723" t="s">
        <v>188</v>
      </c>
      <c r="G510" s="567"/>
      <c r="H510" s="165" t="s">
        <v>12</v>
      </c>
      <c r="I510" s="583"/>
      <c r="J510" s="583"/>
      <c r="K510" s="93"/>
      <c r="L510" s="93"/>
      <c r="M510" s="93"/>
      <c r="N510" s="93">
        <v>0</v>
      </c>
      <c r="O510" s="93"/>
      <c r="P510" s="93"/>
      <c r="Q510" s="568"/>
      <c r="R510" s="568"/>
      <c r="S510" s="568"/>
      <c r="T510" s="568"/>
      <c r="U510" s="568"/>
      <c r="V510" s="568"/>
      <c r="W510" s="568"/>
      <c r="X510" s="568"/>
      <c r="Y510" s="568"/>
      <c r="Z510" s="568"/>
    </row>
    <row r="511" spans="1:26" ht="18.75" hidden="1">
      <c r="A511" s="615"/>
      <c r="B511" s="571"/>
      <c r="C511" s="571"/>
      <c r="D511" s="571"/>
      <c r="E511" s="723"/>
      <c r="F511" s="723" t="s">
        <v>189</v>
      </c>
      <c r="G511" s="567"/>
      <c r="H511" s="165" t="s">
        <v>12</v>
      </c>
      <c r="I511" s="583"/>
      <c r="J511" s="583"/>
      <c r="K511" s="93"/>
      <c r="L511" s="93"/>
      <c r="M511" s="93"/>
      <c r="N511" s="93">
        <v>0</v>
      </c>
      <c r="O511" s="93"/>
      <c r="P511" s="93"/>
      <c r="Q511" s="568"/>
      <c r="R511" s="568"/>
      <c r="S511" s="568"/>
      <c r="T511" s="568"/>
      <c r="U511" s="568"/>
      <c r="V511" s="568"/>
      <c r="W511" s="568"/>
      <c r="X511" s="568"/>
      <c r="Y511" s="568"/>
      <c r="Z511" s="568"/>
    </row>
    <row r="512" spans="1:26" ht="18.75" hidden="1">
      <c r="A512" s="563"/>
      <c r="B512" s="571"/>
      <c r="C512" s="571"/>
      <c r="D512" s="614" t="s">
        <v>21</v>
      </c>
      <c r="E512" s="571"/>
      <c r="F512" s="723"/>
      <c r="G512" s="567"/>
      <c r="H512" s="169" t="s">
        <v>12</v>
      </c>
      <c r="I512" s="166"/>
      <c r="J512" s="166"/>
      <c r="K512" s="167"/>
      <c r="L512" s="93">
        <f t="shared" ref="L512:N512" si="220">L513+L514</f>
        <v>0</v>
      </c>
      <c r="M512" s="93">
        <f t="shared" si="220"/>
        <v>0</v>
      </c>
      <c r="N512" s="93">
        <f t="shared" si="220"/>
        <v>0</v>
      </c>
      <c r="O512" s="93">
        <f t="shared" ref="O512:O514" si="221">IF(L512&gt;0,N512*100/L512,0)</f>
        <v>0</v>
      </c>
      <c r="P512" s="93">
        <f t="shared" ref="P512:P514" si="222">IF(M512&gt;0,N512*100/M512,0)</f>
        <v>0</v>
      </c>
      <c r="Q512" s="568"/>
      <c r="R512" s="568"/>
      <c r="S512" s="568"/>
      <c r="T512" s="568"/>
      <c r="U512" s="568"/>
      <c r="V512" s="568"/>
      <c r="W512" s="568"/>
      <c r="X512" s="568"/>
      <c r="Y512" s="568"/>
      <c r="Z512" s="568"/>
    </row>
    <row r="513" spans="1:26" ht="18.75" hidden="1">
      <c r="A513" s="563"/>
      <c r="B513" s="571"/>
      <c r="C513" s="571"/>
      <c r="D513" s="571"/>
      <c r="E513" s="571" t="s">
        <v>18</v>
      </c>
      <c r="F513" s="723"/>
      <c r="G513" s="567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1"/>
        <v>0</v>
      </c>
      <c r="P513" s="93">
        <f t="shared" si="222"/>
        <v>0</v>
      </c>
      <c r="Q513" s="568"/>
      <c r="R513" s="568"/>
      <c r="S513" s="568"/>
      <c r="T513" s="568"/>
      <c r="U513" s="568"/>
      <c r="V513" s="568"/>
      <c r="W513" s="568"/>
      <c r="X513" s="568"/>
      <c r="Y513" s="568"/>
      <c r="Z513" s="568"/>
    </row>
    <row r="514" spans="1:26" ht="18.75" hidden="1">
      <c r="A514" s="563"/>
      <c r="B514" s="571"/>
      <c r="C514" s="571"/>
      <c r="D514" s="723"/>
      <c r="E514" s="571" t="s">
        <v>19</v>
      </c>
      <c r="F514" s="723"/>
      <c r="G514" s="567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1"/>
        <v>0</v>
      </c>
      <c r="P514" s="93">
        <f t="shared" si="222"/>
        <v>0</v>
      </c>
      <c r="Q514" s="568"/>
      <c r="R514" s="568"/>
      <c r="S514" s="568"/>
      <c r="T514" s="568"/>
      <c r="U514" s="568"/>
      <c r="V514" s="568"/>
      <c r="W514" s="568"/>
      <c r="X514" s="568"/>
      <c r="Y514" s="568"/>
      <c r="Z514" s="568"/>
    </row>
    <row r="515" spans="1:26" ht="19.5" hidden="1">
      <c r="A515" s="578"/>
      <c r="B515" s="580"/>
      <c r="C515" s="571" t="s">
        <v>16</v>
      </c>
      <c r="D515" s="852" t="s">
        <v>38</v>
      </c>
      <c r="E515" s="617"/>
      <c r="F515" s="617"/>
      <c r="G515" s="618"/>
      <c r="H515" s="581"/>
      <c r="I515" s="166"/>
      <c r="J515" s="166"/>
      <c r="K515" s="167"/>
      <c r="L515" s="167"/>
      <c r="M515" s="167"/>
      <c r="N515" s="167"/>
      <c r="O515" s="167"/>
      <c r="P515" s="167"/>
      <c r="Q515" s="568"/>
      <c r="R515" s="568"/>
      <c r="S515" s="568"/>
      <c r="T515" s="568"/>
      <c r="U515" s="568"/>
      <c r="V515" s="568"/>
      <c r="W515" s="568"/>
      <c r="X515" s="568"/>
      <c r="Y515" s="568"/>
      <c r="Z515" s="568"/>
    </row>
    <row r="516" spans="1:26" ht="18.75" hidden="1">
      <c r="A516" s="578"/>
      <c r="B516" s="580"/>
      <c r="C516" s="580"/>
      <c r="D516" s="580" t="s">
        <v>221</v>
      </c>
      <c r="E516" s="684"/>
      <c r="F516" s="684"/>
      <c r="G516" s="581"/>
      <c r="H516" s="619" t="s">
        <v>109</v>
      </c>
      <c r="I516" s="583"/>
      <c r="J516" s="583">
        <v>0</v>
      </c>
      <c r="K516" s="167">
        <f t="shared" ref="K516:K517" si="223">IF(I516&gt;0,J516*100/I516,0)</f>
        <v>0</v>
      </c>
      <c r="L516" s="167"/>
      <c r="M516" s="167"/>
      <c r="N516" s="167"/>
      <c r="O516" s="167"/>
      <c r="P516" s="167"/>
      <c r="Q516" s="568"/>
      <c r="R516" s="568"/>
      <c r="S516" s="568"/>
      <c r="T516" s="568"/>
      <c r="U516" s="568"/>
      <c r="V516" s="568"/>
      <c r="W516" s="568"/>
      <c r="X516" s="568"/>
      <c r="Y516" s="568"/>
      <c r="Z516" s="568"/>
    </row>
    <row r="517" spans="1:26" ht="19.5" hidden="1">
      <c r="A517" s="578"/>
      <c r="B517" s="580"/>
      <c r="C517" s="580"/>
      <c r="D517" s="580" t="s">
        <v>222</v>
      </c>
      <c r="E517" s="684"/>
      <c r="F517" s="684"/>
      <c r="G517" s="581"/>
      <c r="H517" s="620" t="s">
        <v>35</v>
      </c>
      <c r="I517" s="621"/>
      <c r="J517" s="621">
        <f>J518+J519</f>
        <v>0</v>
      </c>
      <c r="K517" s="622">
        <f t="shared" si="223"/>
        <v>0</v>
      </c>
      <c r="L517" s="167"/>
      <c r="M517" s="167"/>
      <c r="N517" s="167"/>
      <c r="O517" s="167"/>
      <c r="P517" s="167"/>
      <c r="Q517" s="568"/>
      <c r="R517" s="568"/>
      <c r="S517" s="568"/>
      <c r="T517" s="568"/>
      <c r="U517" s="568"/>
      <c r="V517" s="568"/>
      <c r="W517" s="568"/>
      <c r="X517" s="568"/>
      <c r="Y517" s="568"/>
      <c r="Z517" s="568"/>
    </row>
    <row r="518" spans="1:26" ht="18.75" hidden="1">
      <c r="A518" s="578"/>
      <c r="B518" s="580"/>
      <c r="C518" s="580"/>
      <c r="D518" s="580"/>
      <c r="E518" s="580" t="s">
        <v>223</v>
      </c>
      <c r="F518" s="684"/>
      <c r="G518" s="581"/>
      <c r="H518" s="582" t="s">
        <v>35</v>
      </c>
      <c r="I518" s="583"/>
      <c r="J518" s="583"/>
      <c r="K518" s="167"/>
      <c r="L518" s="167"/>
      <c r="M518" s="167"/>
      <c r="N518" s="167"/>
      <c r="O518" s="167"/>
      <c r="P518" s="167"/>
      <c r="Q518" s="568"/>
      <c r="R518" s="568"/>
      <c r="S518" s="568"/>
      <c r="T518" s="568"/>
      <c r="U518" s="568"/>
      <c r="V518" s="568"/>
      <c r="W518" s="568"/>
      <c r="X518" s="568"/>
      <c r="Y518" s="568"/>
      <c r="Z518" s="568"/>
    </row>
    <row r="519" spans="1:26" ht="18.75" hidden="1">
      <c r="A519" s="578"/>
      <c r="B519" s="580"/>
      <c r="C519" s="580"/>
      <c r="D519" s="580"/>
      <c r="E519" s="580" t="s">
        <v>224</v>
      </c>
      <c r="F519" s="684"/>
      <c r="G519" s="581"/>
      <c r="H519" s="619" t="s">
        <v>35</v>
      </c>
      <c r="I519" s="583"/>
      <c r="J519" s="583"/>
      <c r="K519" s="167"/>
      <c r="L519" s="167"/>
      <c r="M519" s="167"/>
      <c r="N519" s="167"/>
      <c r="O519" s="167"/>
      <c r="P519" s="167"/>
      <c r="Q519" s="568"/>
      <c r="R519" s="568"/>
      <c r="S519" s="568"/>
      <c r="T519" s="568"/>
      <c r="U519" s="568"/>
      <c r="V519" s="568"/>
      <c r="W519" s="568"/>
      <c r="X519" s="568"/>
      <c r="Y519" s="568"/>
      <c r="Z519" s="568"/>
    </row>
    <row r="520" spans="1:26" ht="19.5">
      <c r="A520" s="623" t="s">
        <v>137</v>
      </c>
      <c r="B520" s="624"/>
      <c r="C520" s="624"/>
      <c r="D520" s="625"/>
      <c r="E520" s="625"/>
      <c r="F520" s="625"/>
      <c r="G520" s="626"/>
      <c r="H520" s="627"/>
      <c r="I520" s="628"/>
      <c r="J520" s="628"/>
      <c r="K520" s="629"/>
      <c r="L520" s="629"/>
      <c r="M520" s="629"/>
      <c r="N520" s="629"/>
      <c r="O520" s="629"/>
      <c r="P520" s="629"/>
    </row>
    <row r="521" spans="1:26" ht="19.5" hidden="1">
      <c r="A521" s="630">
        <v>5</v>
      </c>
      <c r="B521" s="631" t="s">
        <v>225</v>
      </c>
      <c r="C521" s="632"/>
      <c r="D521" s="633"/>
      <c r="E521" s="633"/>
      <c r="F521" s="633"/>
      <c r="G521" s="633"/>
      <c r="H521" s="634"/>
      <c r="I521" s="635"/>
      <c r="J521" s="635"/>
      <c r="K521" s="636"/>
      <c r="L521" s="636"/>
      <c r="M521" s="636"/>
      <c r="N521" s="636"/>
      <c r="O521" s="636"/>
      <c r="P521" s="636"/>
      <c r="Q521" s="541"/>
      <c r="R521" s="541"/>
      <c r="S521" s="541"/>
      <c r="T521" s="541"/>
      <c r="U521" s="541"/>
      <c r="V521" s="541"/>
      <c r="W521" s="541"/>
      <c r="X521" s="541"/>
      <c r="Y521" s="541"/>
      <c r="Z521" s="541"/>
    </row>
    <row r="522" spans="1:26" ht="19.5" hidden="1">
      <c r="A522" s="637"/>
      <c r="B522" s="638" t="s">
        <v>226</v>
      </c>
      <c r="C522" s="639"/>
      <c r="D522" s="639"/>
      <c r="E522" s="639"/>
      <c r="F522" s="639"/>
      <c r="G522" s="640"/>
      <c r="H522" s="641" t="s">
        <v>35</v>
      </c>
      <c r="I522" s="672">
        <f t="shared" ref="I522:J522" ca="1" si="224">I537</f>
        <v>0</v>
      </c>
      <c r="J522" s="672">
        <f t="shared" ca="1" si="224"/>
        <v>0</v>
      </c>
      <c r="K522" s="643">
        <f ca="1">IF(I522&gt;0,J522*100/I522,0)</f>
        <v>0</v>
      </c>
      <c r="L522" s="644"/>
      <c r="M522" s="644"/>
      <c r="N522" s="644"/>
      <c r="O522" s="644"/>
      <c r="P522" s="644"/>
      <c r="Q522" s="541"/>
      <c r="R522" s="541"/>
      <c r="S522" s="541"/>
      <c r="T522" s="541"/>
      <c r="U522" s="541"/>
      <c r="V522" s="541"/>
      <c r="W522" s="541"/>
      <c r="X522" s="541"/>
      <c r="Y522" s="541"/>
      <c r="Z522" s="541"/>
    </row>
    <row r="523" spans="1:26" ht="19.5" hidden="1">
      <c r="A523" s="561"/>
      <c r="B523" s="727"/>
      <c r="C523" s="727" t="s">
        <v>16</v>
      </c>
      <c r="D523" s="811" t="s">
        <v>17</v>
      </c>
      <c r="E523" s="805"/>
      <c r="F523" s="805"/>
      <c r="G523" s="189"/>
      <c r="H523" s="562" t="s">
        <v>12</v>
      </c>
      <c r="I523" s="269"/>
      <c r="J523" s="269"/>
      <c r="K523" s="465"/>
      <c r="L523" s="195">
        <f t="shared" ref="L523:N523" ca="1" si="225">L524+L525</f>
        <v>0</v>
      </c>
      <c r="M523" s="195">
        <f t="shared" si="225"/>
        <v>0</v>
      </c>
      <c r="N523" s="195">
        <f t="shared" si="225"/>
        <v>0</v>
      </c>
      <c r="O523" s="195">
        <f t="shared" ref="O523:O528" ca="1" si="226">IF(L523&gt;0,N523*100/L523,0)</f>
        <v>0</v>
      </c>
      <c r="P523" s="195">
        <f t="shared" ref="P523:P528" si="227">IF(M523&gt;0,N523*100/M523,0)</f>
        <v>0</v>
      </c>
      <c r="Q523" s="541"/>
      <c r="R523" s="541"/>
      <c r="S523" s="541"/>
      <c r="T523" s="541"/>
      <c r="U523" s="541"/>
      <c r="V523" s="541"/>
      <c r="W523" s="541"/>
      <c r="X523" s="541"/>
      <c r="Y523" s="541"/>
      <c r="Z523" s="541"/>
    </row>
    <row r="524" spans="1:26" ht="18.75" hidden="1">
      <c r="A524" s="563"/>
      <c r="B524" s="723"/>
      <c r="C524" s="723"/>
      <c r="D524" s="684"/>
      <c r="E524" s="723" t="s">
        <v>184</v>
      </c>
      <c r="F524" s="723"/>
      <c r="G524" s="567"/>
      <c r="H524" s="165" t="s">
        <v>12</v>
      </c>
      <c r="I524" s="583"/>
      <c r="J524" s="583"/>
      <c r="K524" s="93"/>
      <c r="L524" s="93">
        <f t="shared" ref="L524:N525" si="228">L527+L534</f>
        <v>0</v>
      </c>
      <c r="M524" s="93">
        <f t="shared" si="228"/>
        <v>0</v>
      </c>
      <c r="N524" s="93">
        <f t="shared" si="228"/>
        <v>0</v>
      </c>
      <c r="O524" s="93">
        <f t="shared" si="226"/>
        <v>0</v>
      </c>
      <c r="P524" s="93">
        <f t="shared" si="227"/>
        <v>0</v>
      </c>
      <c r="Q524" s="568"/>
      <c r="R524" s="568"/>
      <c r="S524" s="568"/>
      <c r="T524" s="568"/>
      <c r="U524" s="568"/>
      <c r="V524" s="568"/>
      <c r="W524" s="568"/>
      <c r="X524" s="568"/>
      <c r="Y524" s="568"/>
      <c r="Z524" s="568"/>
    </row>
    <row r="525" spans="1:26" ht="18.75" hidden="1">
      <c r="A525" s="563"/>
      <c r="B525" s="571"/>
      <c r="C525" s="723"/>
      <c r="D525" s="684"/>
      <c r="E525" s="723" t="s">
        <v>185</v>
      </c>
      <c r="F525" s="723"/>
      <c r="G525" s="567"/>
      <c r="H525" s="165" t="s">
        <v>12</v>
      </c>
      <c r="I525" s="583"/>
      <c r="J525" s="583"/>
      <c r="K525" s="93"/>
      <c r="L525" s="93">
        <f t="shared" ca="1" si="228"/>
        <v>0</v>
      </c>
      <c r="M525" s="93">
        <f t="shared" si="228"/>
        <v>0</v>
      </c>
      <c r="N525" s="93">
        <f t="shared" si="228"/>
        <v>0</v>
      </c>
      <c r="O525" s="93">
        <f t="shared" ca="1" si="226"/>
        <v>0</v>
      </c>
      <c r="P525" s="93">
        <f t="shared" si="227"/>
        <v>0</v>
      </c>
      <c r="Q525" s="568"/>
      <c r="R525" s="568"/>
      <c r="S525" s="568"/>
      <c r="T525" s="568"/>
      <c r="U525" s="568"/>
      <c r="V525" s="568"/>
      <c r="W525" s="568"/>
      <c r="X525" s="568"/>
      <c r="Y525" s="568"/>
      <c r="Z525" s="568"/>
    </row>
    <row r="526" spans="1:26" ht="18.75" hidden="1">
      <c r="A526" s="561"/>
      <c r="B526" s="538"/>
      <c r="C526" s="727"/>
      <c r="D526" s="570" t="s">
        <v>20</v>
      </c>
      <c r="E526" s="727"/>
      <c r="F526" s="727"/>
      <c r="G526" s="189"/>
      <c r="H526" s="161" t="s">
        <v>12</v>
      </c>
      <c r="I526" s="184"/>
      <c r="J526" s="184"/>
      <c r="K526" s="163"/>
      <c r="L526" s="465">
        <f t="shared" ref="L526:N526" ca="1" si="229">L527+L528</f>
        <v>0</v>
      </c>
      <c r="M526" s="465">
        <f t="shared" si="229"/>
        <v>0</v>
      </c>
      <c r="N526" s="465">
        <f t="shared" si="229"/>
        <v>0</v>
      </c>
      <c r="O526" s="465">
        <f t="shared" ca="1" si="226"/>
        <v>0</v>
      </c>
      <c r="P526" s="465">
        <f t="shared" si="227"/>
        <v>0</v>
      </c>
      <c r="Q526" s="541"/>
      <c r="R526" s="541"/>
      <c r="S526" s="541"/>
      <c r="T526" s="541"/>
      <c r="U526" s="541"/>
      <c r="V526" s="541"/>
      <c r="W526" s="541"/>
      <c r="X526" s="541"/>
      <c r="Y526" s="541"/>
      <c r="Z526" s="541"/>
    </row>
    <row r="527" spans="1:26" ht="18.75" hidden="1">
      <c r="A527" s="563"/>
      <c r="B527" s="571"/>
      <c r="C527" s="723"/>
      <c r="D527" s="684"/>
      <c r="E527" s="723" t="s">
        <v>184</v>
      </c>
      <c r="F527" s="723"/>
      <c r="G527" s="567"/>
      <c r="H527" s="165" t="s">
        <v>12</v>
      </c>
      <c r="I527" s="583"/>
      <c r="J527" s="583"/>
      <c r="K527" s="93"/>
      <c r="L527" s="93">
        <v>0</v>
      </c>
      <c r="M527" s="93">
        <v>0</v>
      </c>
      <c r="N527" s="93">
        <v>0</v>
      </c>
      <c r="O527" s="93">
        <f t="shared" si="226"/>
        <v>0</v>
      </c>
      <c r="P527" s="93">
        <f t="shared" si="227"/>
        <v>0</v>
      </c>
      <c r="Q527" s="568"/>
      <c r="R527" s="568"/>
      <c r="S527" s="568"/>
      <c r="T527" s="568"/>
      <c r="U527" s="568"/>
      <c r="V527" s="568"/>
      <c r="W527" s="568"/>
      <c r="X527" s="568"/>
      <c r="Y527" s="568"/>
      <c r="Z527" s="568"/>
    </row>
    <row r="528" spans="1:26" ht="18.75" hidden="1">
      <c r="A528" s="563"/>
      <c r="B528" s="571"/>
      <c r="C528" s="723"/>
      <c r="D528" s="684"/>
      <c r="E528" s="723" t="s">
        <v>185</v>
      </c>
      <c r="F528" s="723"/>
      <c r="G528" s="567"/>
      <c r="H528" s="165" t="s">
        <v>12</v>
      </c>
      <c r="I528" s="583"/>
      <c r="J528" s="583"/>
      <c r="K528" s="93"/>
      <c r="L528" s="93">
        <f ca="1">IFERROR(__xludf.DUMMYFUNCTION("IMPORTRANGE(""https://docs.google.com/spreadsheets/d/1QqKyyYR6Q21VydFLVH3TRQUabQu_ym0Zz7PgGX0-kHA/edit?usp=sharing"",""แผน!GQ15"")"),0)</f>
        <v>0</v>
      </c>
      <c r="M528" s="93">
        <v>0</v>
      </c>
      <c r="N528" s="93">
        <f>N529+N530+N531+N532</f>
        <v>0</v>
      </c>
      <c r="O528" s="93">
        <f t="shared" ca="1" si="226"/>
        <v>0</v>
      </c>
      <c r="P528" s="93">
        <f t="shared" si="227"/>
        <v>0</v>
      </c>
      <c r="Q528" s="568"/>
      <c r="R528" s="568"/>
      <c r="S528" s="568"/>
      <c r="T528" s="568"/>
      <c r="U528" s="568"/>
      <c r="V528" s="568"/>
      <c r="W528" s="568"/>
      <c r="X528" s="568"/>
      <c r="Y528" s="568"/>
      <c r="Z528" s="568"/>
    </row>
    <row r="529" spans="1:26" ht="18.75" hidden="1">
      <c r="A529" s="537"/>
      <c r="B529" s="538"/>
      <c r="C529" s="727"/>
      <c r="D529" s="727"/>
      <c r="E529" s="727"/>
      <c r="F529" s="727" t="s">
        <v>186</v>
      </c>
      <c r="G529" s="189"/>
      <c r="H529" s="161" t="s">
        <v>12</v>
      </c>
      <c r="I529" s="269"/>
      <c r="J529" s="269"/>
      <c r="K529" s="465"/>
      <c r="L529" s="465"/>
      <c r="M529" s="465"/>
      <c r="N529" s="789">
        <v>0</v>
      </c>
      <c r="O529" s="465"/>
      <c r="P529" s="465"/>
      <c r="Q529" s="541"/>
      <c r="R529" s="541"/>
      <c r="S529" s="541"/>
      <c r="T529" s="541"/>
      <c r="U529" s="541"/>
      <c r="V529" s="541"/>
      <c r="W529" s="541"/>
      <c r="X529" s="541"/>
      <c r="Y529" s="541"/>
      <c r="Z529" s="541"/>
    </row>
    <row r="530" spans="1:26" ht="18.75" hidden="1">
      <c r="A530" s="537"/>
      <c r="B530" s="538"/>
      <c r="C530" s="727"/>
      <c r="D530" s="727"/>
      <c r="E530" s="727"/>
      <c r="F530" s="727" t="s">
        <v>187</v>
      </c>
      <c r="G530" s="189"/>
      <c r="H530" s="161" t="s">
        <v>12</v>
      </c>
      <c r="I530" s="269"/>
      <c r="J530" s="269"/>
      <c r="K530" s="465"/>
      <c r="L530" s="465"/>
      <c r="M530" s="465"/>
      <c r="N530" s="789">
        <v>0</v>
      </c>
      <c r="O530" s="465"/>
      <c r="P530" s="465"/>
      <c r="Q530" s="541"/>
      <c r="R530" s="541"/>
      <c r="S530" s="541"/>
      <c r="T530" s="541"/>
      <c r="U530" s="541"/>
      <c r="V530" s="541"/>
      <c r="W530" s="541"/>
      <c r="X530" s="541"/>
      <c r="Y530" s="541"/>
      <c r="Z530" s="541"/>
    </row>
    <row r="531" spans="1:26" ht="18.75" hidden="1">
      <c r="A531" s="537"/>
      <c r="B531" s="538"/>
      <c r="C531" s="727"/>
      <c r="D531" s="727"/>
      <c r="E531" s="727"/>
      <c r="F531" s="727" t="s">
        <v>188</v>
      </c>
      <c r="G531" s="189"/>
      <c r="H531" s="161" t="s">
        <v>12</v>
      </c>
      <c r="I531" s="269"/>
      <c r="J531" s="269"/>
      <c r="K531" s="465"/>
      <c r="L531" s="465"/>
      <c r="M531" s="465"/>
      <c r="N531" s="789">
        <v>0</v>
      </c>
      <c r="O531" s="465"/>
      <c r="P531" s="465"/>
      <c r="Q531" s="541"/>
      <c r="R531" s="541"/>
      <c r="S531" s="541"/>
      <c r="T531" s="541"/>
      <c r="U531" s="541"/>
      <c r="V531" s="541"/>
      <c r="W531" s="541"/>
      <c r="X531" s="541"/>
      <c r="Y531" s="541"/>
      <c r="Z531" s="541"/>
    </row>
    <row r="532" spans="1:26" ht="18.75" hidden="1">
      <c r="A532" s="537"/>
      <c r="B532" s="538"/>
      <c r="C532" s="727"/>
      <c r="D532" s="727"/>
      <c r="E532" s="727"/>
      <c r="F532" s="727" t="s">
        <v>189</v>
      </c>
      <c r="G532" s="189"/>
      <c r="H532" s="161" t="s">
        <v>12</v>
      </c>
      <c r="I532" s="269"/>
      <c r="J532" s="269"/>
      <c r="K532" s="465"/>
      <c r="L532" s="465"/>
      <c r="M532" s="465"/>
      <c r="N532" s="789">
        <v>0</v>
      </c>
      <c r="O532" s="465"/>
      <c r="P532" s="465"/>
      <c r="Q532" s="541"/>
      <c r="R532" s="541"/>
      <c r="S532" s="541"/>
      <c r="T532" s="541"/>
      <c r="U532" s="541"/>
      <c r="V532" s="541"/>
      <c r="W532" s="541"/>
      <c r="X532" s="541"/>
      <c r="Y532" s="541"/>
      <c r="Z532" s="541"/>
    </row>
    <row r="533" spans="1:26" ht="18.75" hidden="1">
      <c r="A533" s="561"/>
      <c r="B533" s="538"/>
      <c r="C533" s="727"/>
      <c r="D533" s="570" t="s">
        <v>21</v>
      </c>
      <c r="E533" s="727"/>
      <c r="F533" s="727"/>
      <c r="G533" s="189"/>
      <c r="H533" s="168" t="s">
        <v>12</v>
      </c>
      <c r="I533" s="184"/>
      <c r="J533" s="184"/>
      <c r="K533" s="163"/>
      <c r="L533" s="465">
        <f t="shared" ref="L533:N533" ca="1" si="230">L534+L535</f>
        <v>0</v>
      </c>
      <c r="M533" s="465">
        <f t="shared" si="230"/>
        <v>0</v>
      </c>
      <c r="N533" s="465">
        <f t="shared" si="230"/>
        <v>0</v>
      </c>
      <c r="O533" s="465">
        <f t="shared" ref="O533:O535" ca="1" si="231">IF(L533&gt;0,N533*100/L533,0)</f>
        <v>0</v>
      </c>
      <c r="P533" s="465">
        <f t="shared" ref="P533:P535" si="232">IF(M533&gt;0,N533*100/M533,0)</f>
        <v>0</v>
      </c>
      <c r="Q533" s="541"/>
      <c r="R533" s="541"/>
      <c r="S533" s="541"/>
      <c r="T533" s="541"/>
      <c r="U533" s="541"/>
      <c r="V533" s="541"/>
      <c r="W533" s="541"/>
      <c r="X533" s="541"/>
      <c r="Y533" s="541"/>
      <c r="Z533" s="541"/>
    </row>
    <row r="534" spans="1:26" ht="18.75" hidden="1">
      <c r="A534" s="563"/>
      <c r="B534" s="571"/>
      <c r="C534" s="723"/>
      <c r="D534" s="723"/>
      <c r="E534" s="723" t="s">
        <v>18</v>
      </c>
      <c r="F534" s="723"/>
      <c r="G534" s="567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1"/>
        <v>0</v>
      </c>
      <c r="P534" s="93">
        <f t="shared" si="232"/>
        <v>0</v>
      </c>
      <c r="Q534" s="568"/>
      <c r="R534" s="568"/>
      <c r="S534" s="568"/>
      <c r="T534" s="568"/>
      <c r="U534" s="568"/>
      <c r="V534" s="568"/>
      <c r="W534" s="568"/>
      <c r="X534" s="568"/>
      <c r="Y534" s="568"/>
      <c r="Z534" s="568"/>
    </row>
    <row r="535" spans="1:26" ht="18.75" hidden="1">
      <c r="A535" s="563"/>
      <c r="B535" s="571"/>
      <c r="C535" s="723"/>
      <c r="D535" s="723"/>
      <c r="E535" s="723" t="s">
        <v>19</v>
      </c>
      <c r="F535" s="723"/>
      <c r="G535" s="567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IFERROR(__xludf.DUMMYFUNCTION("IMPORTRANGE(""https://docs.google.com/spreadsheets/d/1QqKyyYR6Q21VydFLVH3TRQUabQu_ym0Zz7PgGX0-kHA/edit?usp=sharing"",""แผน!GT15"")"),0)</f>
        <v>0</v>
      </c>
      <c r="M535" s="93">
        <v>0</v>
      </c>
      <c r="N535" s="93">
        <v>0</v>
      </c>
      <c r="O535" s="93">
        <f t="shared" ca="1" si="231"/>
        <v>0</v>
      </c>
      <c r="P535" s="93">
        <f t="shared" si="232"/>
        <v>0</v>
      </c>
      <c r="Q535" s="568"/>
      <c r="R535" s="568"/>
      <c r="S535" s="568"/>
      <c r="T535" s="568"/>
      <c r="U535" s="568"/>
      <c r="V535" s="568"/>
      <c r="W535" s="568"/>
      <c r="X535" s="568"/>
      <c r="Y535" s="568"/>
      <c r="Z535" s="568"/>
    </row>
    <row r="536" spans="1:26" ht="19.5" hidden="1">
      <c r="A536" s="572"/>
      <c r="B536" s="584"/>
      <c r="C536" s="727" t="s">
        <v>16</v>
      </c>
      <c r="D536" s="853" t="s">
        <v>38</v>
      </c>
      <c r="E536" s="725"/>
      <c r="F536" s="725"/>
      <c r="G536" s="577"/>
      <c r="H536" s="726"/>
      <c r="I536" s="184"/>
      <c r="J536" s="184"/>
      <c r="K536" s="163"/>
      <c r="L536" s="163"/>
      <c r="M536" s="163"/>
      <c r="N536" s="163"/>
      <c r="O536" s="163"/>
      <c r="P536" s="163"/>
      <c r="Q536" s="541"/>
      <c r="R536" s="541"/>
      <c r="S536" s="541"/>
      <c r="T536" s="541"/>
      <c r="U536" s="541"/>
      <c r="V536" s="541"/>
      <c r="W536" s="541"/>
      <c r="X536" s="541"/>
      <c r="Y536" s="541"/>
      <c r="Z536" s="541"/>
    </row>
    <row r="537" spans="1:26" ht="19.5" hidden="1">
      <c r="A537" s="537"/>
      <c r="B537" s="538"/>
      <c r="C537" s="727"/>
      <c r="D537" s="727" t="s">
        <v>227</v>
      </c>
      <c r="E537" s="727"/>
      <c r="F537" s="727"/>
      <c r="G537" s="189"/>
      <c r="H537" s="589" t="s">
        <v>35</v>
      </c>
      <c r="I537" s="647">
        <f ca="1">IFERROR(__xludf.DUMMYFUNCTION("IMPORTRANGE(""https://docs.google.com/spreadsheets/d/1QqKyyYR6Q21VydFLVH3TRQUabQu_ym0Zz7PgGX0-kHA/edit?usp=sharing"",""แผน!GU15"")"),0)</f>
        <v>0</v>
      </c>
      <c r="J537" s="647">
        <f ca="1">IF(AND(J538=I538,J539=I539,J540=I540,J541=I541),I537,0)</f>
        <v>0</v>
      </c>
      <c r="K537" s="465">
        <f t="shared" ref="K537:K543" ca="1" si="233">IF(I537&gt;0,J537*100/I537,0)</f>
        <v>0</v>
      </c>
      <c r="L537" s="465"/>
      <c r="M537" s="465"/>
      <c r="N537" s="465"/>
      <c r="O537" s="465"/>
      <c r="P537" s="465"/>
      <c r="Q537" s="648"/>
      <c r="R537" s="648"/>
      <c r="S537" s="648"/>
      <c r="T537" s="648"/>
      <c r="U537" s="648"/>
      <c r="V537" s="648"/>
      <c r="W537" s="648"/>
      <c r="X537" s="648"/>
      <c r="Y537" s="648"/>
      <c r="Z537" s="648"/>
    </row>
    <row r="538" spans="1:26" ht="18.75" hidden="1">
      <c r="A538" s="537"/>
      <c r="B538" s="538"/>
      <c r="C538" s="727"/>
      <c r="D538" s="727"/>
      <c r="E538" s="727" t="s">
        <v>228</v>
      </c>
      <c r="F538" s="727"/>
      <c r="G538" s="189"/>
      <c r="H538" s="589" t="s">
        <v>35</v>
      </c>
      <c r="I538" s="269">
        <f ca="1">IFERROR(__xludf.DUMMYFUNCTION("IMPORTRANGE(""https://docs.google.com/spreadsheets/d/1QqKyyYR6Q21VydFLVH3TRQUabQu_ym0Zz7PgGX0-kHA/edit?usp=sharing"",""แผน!GV15"")"),0)</f>
        <v>0</v>
      </c>
      <c r="J538" s="214">
        <v>0</v>
      </c>
      <c r="K538" s="465">
        <f t="shared" ca="1" si="233"/>
        <v>0</v>
      </c>
      <c r="L538" s="465"/>
      <c r="M538" s="465"/>
      <c r="N538" s="465"/>
      <c r="O538" s="465"/>
      <c r="P538" s="465"/>
      <c r="Q538" s="648"/>
      <c r="R538" s="648"/>
      <c r="S538" s="648"/>
      <c r="T538" s="648"/>
      <c r="U538" s="648"/>
      <c r="V538" s="648"/>
      <c r="W538" s="648"/>
      <c r="X538" s="648"/>
      <c r="Y538" s="648"/>
      <c r="Z538" s="648"/>
    </row>
    <row r="539" spans="1:26" ht="18.75" hidden="1">
      <c r="A539" s="537"/>
      <c r="B539" s="538"/>
      <c r="C539" s="727"/>
      <c r="D539" s="727"/>
      <c r="E539" s="727" t="s">
        <v>229</v>
      </c>
      <c r="F539" s="727"/>
      <c r="G539" s="189"/>
      <c r="H539" s="589" t="s">
        <v>35</v>
      </c>
      <c r="I539" s="269">
        <f ca="1">IFERROR(__xludf.DUMMYFUNCTION("IMPORTRANGE(""https://docs.google.com/spreadsheets/d/1QqKyyYR6Q21VydFLVH3TRQUabQu_ym0Zz7PgGX0-kHA/edit?usp=sharing"",""แผน!GW15"")"),0)</f>
        <v>0</v>
      </c>
      <c r="J539" s="214">
        <v>0</v>
      </c>
      <c r="K539" s="465">
        <f t="shared" ca="1" si="233"/>
        <v>0</v>
      </c>
      <c r="L539" s="465"/>
      <c r="M539" s="465"/>
      <c r="N539" s="465"/>
      <c r="O539" s="465"/>
      <c r="P539" s="465"/>
      <c r="Q539" s="648"/>
      <c r="R539" s="648"/>
      <c r="S539" s="648"/>
      <c r="T539" s="648"/>
      <c r="U539" s="648"/>
      <c r="V539" s="648"/>
      <c r="W539" s="648"/>
      <c r="X539" s="648"/>
      <c r="Y539" s="648"/>
      <c r="Z539" s="648"/>
    </row>
    <row r="540" spans="1:26" ht="18.75" hidden="1">
      <c r="A540" s="537"/>
      <c r="B540" s="538"/>
      <c r="C540" s="727"/>
      <c r="D540" s="727"/>
      <c r="E540" s="727" t="s">
        <v>230</v>
      </c>
      <c r="F540" s="727"/>
      <c r="G540" s="189"/>
      <c r="H540" s="589" t="s">
        <v>35</v>
      </c>
      <c r="I540" s="269">
        <f ca="1">IFERROR(__xludf.DUMMYFUNCTION("IMPORTRANGE(""https://docs.google.com/spreadsheets/d/1QqKyyYR6Q21VydFLVH3TRQUabQu_ym0Zz7PgGX0-kHA/edit?usp=sharing"",""แผน!GX15"")"),0)</f>
        <v>0</v>
      </c>
      <c r="J540" s="214">
        <v>0</v>
      </c>
      <c r="K540" s="465">
        <f t="shared" ca="1" si="233"/>
        <v>0</v>
      </c>
      <c r="L540" s="465"/>
      <c r="M540" s="465"/>
      <c r="N540" s="465"/>
      <c r="O540" s="465"/>
      <c r="P540" s="465"/>
      <c r="Q540" s="648"/>
      <c r="R540" s="648"/>
      <c r="S540" s="648"/>
      <c r="T540" s="648"/>
      <c r="U540" s="648"/>
      <c r="V540" s="648"/>
      <c r="W540" s="648"/>
      <c r="X540" s="648"/>
      <c r="Y540" s="648"/>
      <c r="Z540" s="648"/>
    </row>
    <row r="541" spans="1:26" ht="18.75" hidden="1">
      <c r="A541" s="537"/>
      <c r="B541" s="538"/>
      <c r="C541" s="727"/>
      <c r="D541" s="727"/>
      <c r="E541" s="733" t="s">
        <v>231</v>
      </c>
      <c r="F541" s="727"/>
      <c r="G541" s="189"/>
      <c r="H541" s="589" t="s">
        <v>35</v>
      </c>
      <c r="I541" s="269">
        <f ca="1">IFERROR(__xludf.DUMMYFUNCTION("IMPORTRANGE(""https://docs.google.com/spreadsheets/d/1QqKyyYR6Q21VydFLVH3TRQUabQu_ym0Zz7PgGX0-kHA/edit?usp=sharing"",""แผน!GY15"")"),0)</f>
        <v>0</v>
      </c>
      <c r="J541" s="214">
        <v>0</v>
      </c>
      <c r="K541" s="465">
        <f t="shared" ca="1" si="233"/>
        <v>0</v>
      </c>
      <c r="L541" s="465"/>
      <c r="M541" s="465"/>
      <c r="N541" s="465"/>
      <c r="O541" s="465"/>
      <c r="P541" s="465"/>
      <c r="Q541" s="648"/>
      <c r="R541" s="648"/>
      <c r="S541" s="648"/>
      <c r="T541" s="648"/>
      <c r="U541" s="648"/>
      <c r="V541" s="648"/>
      <c r="W541" s="648"/>
      <c r="X541" s="648"/>
      <c r="Y541" s="648"/>
      <c r="Z541" s="648"/>
    </row>
    <row r="542" spans="1:26" ht="18.75" hidden="1">
      <c r="A542" s="537"/>
      <c r="B542" s="538"/>
      <c r="C542" s="727"/>
      <c r="D542" s="727" t="s">
        <v>59</v>
      </c>
      <c r="E542" s="727"/>
      <c r="F542" s="727"/>
      <c r="G542" s="189"/>
      <c r="H542" s="589" t="s">
        <v>35</v>
      </c>
      <c r="I542" s="269">
        <f ca="1">IFERROR(__xludf.DUMMYFUNCTION("IMPORTRANGE(""https://docs.google.com/spreadsheets/d/1QqKyyYR6Q21VydFLVH3TRQUabQu_ym0Zz7PgGX0-kHA/edit?usp=sharing"",""แผน!GZ15"")"),0)</f>
        <v>0</v>
      </c>
      <c r="J542" s="214">
        <v>0</v>
      </c>
      <c r="K542" s="465">
        <f t="shared" ca="1" si="233"/>
        <v>0</v>
      </c>
      <c r="L542" s="465"/>
      <c r="M542" s="465"/>
      <c r="N542" s="465"/>
      <c r="O542" s="465"/>
      <c r="P542" s="465"/>
      <c r="Q542" s="648"/>
      <c r="R542" s="648"/>
      <c r="S542" s="648"/>
      <c r="T542" s="648"/>
      <c r="U542" s="648"/>
      <c r="V542" s="648"/>
      <c r="W542" s="648"/>
      <c r="X542" s="648"/>
      <c r="Y542" s="648"/>
      <c r="Z542" s="648"/>
    </row>
    <row r="543" spans="1:26" ht="19.5">
      <c r="A543" s="630">
        <v>6</v>
      </c>
      <c r="B543" s="651" t="s">
        <v>232</v>
      </c>
      <c r="C543" s="633"/>
      <c r="D543" s="633"/>
      <c r="E543" s="633"/>
      <c r="F543" s="633"/>
      <c r="G543" s="634"/>
      <c r="H543" s="652" t="s">
        <v>46</v>
      </c>
      <c r="I543" s="653">
        <f t="shared" ref="I543:J543" ca="1" si="234">I559</f>
        <v>28996</v>
      </c>
      <c r="J543" s="653">
        <f t="shared" si="234"/>
        <v>0</v>
      </c>
      <c r="K543" s="654">
        <f t="shared" ca="1" si="233"/>
        <v>0</v>
      </c>
      <c r="L543" s="636"/>
      <c r="M543" s="636"/>
      <c r="N543" s="636"/>
      <c r="O543" s="636"/>
      <c r="P543" s="636"/>
      <c r="Q543" s="541"/>
      <c r="R543" s="541"/>
      <c r="S543" s="541"/>
      <c r="T543" s="541"/>
      <c r="U543" s="541"/>
      <c r="V543" s="541"/>
      <c r="W543" s="541"/>
      <c r="X543" s="541"/>
      <c r="Y543" s="541"/>
      <c r="Z543" s="541"/>
    </row>
    <row r="544" spans="1:26" ht="19.5">
      <c r="A544" s="655"/>
      <c r="B544" s="656"/>
      <c r="C544" s="656" t="s">
        <v>16</v>
      </c>
      <c r="D544" s="854" t="s">
        <v>17</v>
      </c>
      <c r="E544" s="810"/>
      <c r="F544" s="810"/>
      <c r="G544" s="657"/>
      <c r="H544" s="274" t="s">
        <v>12</v>
      </c>
      <c r="I544" s="388"/>
      <c r="J544" s="388"/>
      <c r="K544" s="154"/>
      <c r="L544" s="155">
        <f t="shared" ref="L544:N544" ca="1" si="235">L545+L546</f>
        <v>490412</v>
      </c>
      <c r="M544" s="155">
        <f t="shared" si="235"/>
        <v>0</v>
      </c>
      <c r="N544" s="155">
        <f t="shared" si="235"/>
        <v>0</v>
      </c>
      <c r="O544" s="155">
        <f t="shared" ref="O544:O549" ca="1" si="236">IF(L544&gt;0,N544*100/L544,0)</f>
        <v>0</v>
      </c>
      <c r="P544" s="155">
        <f t="shared" ref="P544:P549" si="237">IF(M544&gt;0,N544*100/M544,0)</f>
        <v>0</v>
      </c>
      <c r="Q544" s="541"/>
      <c r="R544" s="541"/>
      <c r="S544" s="541"/>
      <c r="T544" s="541"/>
      <c r="U544" s="541"/>
      <c r="V544" s="541"/>
      <c r="W544" s="541"/>
      <c r="X544" s="541"/>
      <c r="Y544" s="541"/>
      <c r="Z544" s="541"/>
    </row>
    <row r="545" spans="1:26" ht="18.75" hidden="1">
      <c r="A545" s="563"/>
      <c r="B545" s="723"/>
      <c r="C545" s="723"/>
      <c r="D545" s="723"/>
      <c r="E545" s="723" t="s">
        <v>184</v>
      </c>
      <c r="F545" s="723"/>
      <c r="G545" s="567"/>
      <c r="H545" s="165" t="s">
        <v>12</v>
      </c>
      <c r="I545" s="583"/>
      <c r="J545" s="583"/>
      <c r="K545" s="93"/>
      <c r="L545" s="93">
        <f t="shared" ref="L545:L546" si="238">L548+L556</f>
        <v>0</v>
      </c>
      <c r="M545" s="93">
        <f t="shared" ref="M545:N546" si="239">M548+M555</f>
        <v>0</v>
      </c>
      <c r="N545" s="93">
        <f t="shared" si="239"/>
        <v>0</v>
      </c>
      <c r="O545" s="93">
        <f t="shared" si="236"/>
        <v>0</v>
      </c>
      <c r="P545" s="93">
        <f t="shared" si="237"/>
        <v>0</v>
      </c>
      <c r="Q545" s="568"/>
      <c r="R545" s="568"/>
      <c r="S545" s="568"/>
      <c r="T545" s="568"/>
      <c r="U545" s="568"/>
      <c r="V545" s="568"/>
      <c r="W545" s="568"/>
      <c r="X545" s="568"/>
      <c r="Y545" s="568"/>
      <c r="Z545" s="568"/>
    </row>
    <row r="546" spans="1:26" ht="18.75" hidden="1">
      <c r="A546" s="563"/>
      <c r="B546" s="571"/>
      <c r="C546" s="723"/>
      <c r="D546" s="723"/>
      <c r="E546" s="723" t="s">
        <v>185</v>
      </c>
      <c r="F546" s="723"/>
      <c r="G546" s="567"/>
      <c r="H546" s="165" t="s">
        <v>12</v>
      </c>
      <c r="I546" s="583"/>
      <c r="J546" s="583"/>
      <c r="K546" s="93"/>
      <c r="L546" s="93">
        <f t="shared" ca="1" si="238"/>
        <v>490412</v>
      </c>
      <c r="M546" s="93">
        <f t="shared" si="239"/>
        <v>0</v>
      </c>
      <c r="N546" s="93">
        <f t="shared" si="239"/>
        <v>0</v>
      </c>
      <c r="O546" s="93">
        <f t="shared" ca="1" si="236"/>
        <v>0</v>
      </c>
      <c r="P546" s="93">
        <f t="shared" si="237"/>
        <v>0</v>
      </c>
      <c r="Q546" s="568"/>
      <c r="R546" s="568"/>
      <c r="S546" s="568"/>
      <c r="T546" s="568"/>
      <c r="U546" s="568"/>
      <c r="V546" s="568"/>
      <c r="W546" s="568"/>
      <c r="X546" s="568"/>
      <c r="Y546" s="568"/>
      <c r="Z546" s="568"/>
    </row>
    <row r="547" spans="1:26" ht="18.75">
      <c r="A547" s="561"/>
      <c r="B547" s="538"/>
      <c r="C547" s="727"/>
      <c r="D547" s="570" t="s">
        <v>20</v>
      </c>
      <c r="E547" s="727"/>
      <c r="F547" s="727"/>
      <c r="G547" s="189"/>
      <c r="H547" s="161" t="s">
        <v>12</v>
      </c>
      <c r="I547" s="184"/>
      <c r="J547" s="184"/>
      <c r="K547" s="163"/>
      <c r="L547" s="465">
        <f t="shared" ref="L547:N547" ca="1" si="240">L548+L549</f>
        <v>490412</v>
      </c>
      <c r="M547" s="465">
        <f t="shared" si="240"/>
        <v>0</v>
      </c>
      <c r="N547" s="465">
        <f t="shared" si="240"/>
        <v>0</v>
      </c>
      <c r="O547" s="465">
        <f t="shared" ca="1" si="236"/>
        <v>0</v>
      </c>
      <c r="P547" s="465">
        <f t="shared" si="237"/>
        <v>0</v>
      </c>
      <c r="Q547" s="541"/>
      <c r="R547" s="541"/>
      <c r="S547" s="541"/>
      <c r="T547" s="541"/>
      <c r="U547" s="541"/>
      <c r="V547" s="541"/>
      <c r="W547" s="541"/>
      <c r="X547" s="541"/>
      <c r="Y547" s="541"/>
      <c r="Z547" s="541"/>
    </row>
    <row r="548" spans="1:26" ht="18.75" hidden="1">
      <c r="A548" s="563"/>
      <c r="B548" s="571"/>
      <c r="C548" s="723"/>
      <c r="D548" s="684"/>
      <c r="E548" s="723" t="s">
        <v>184</v>
      </c>
      <c r="F548" s="723"/>
      <c r="G548" s="567"/>
      <c r="H548" s="165" t="s">
        <v>12</v>
      </c>
      <c r="I548" s="583"/>
      <c r="J548" s="583"/>
      <c r="K548" s="93"/>
      <c r="L548" s="93">
        <v>0</v>
      </c>
      <c r="M548" s="93">
        <v>0</v>
      </c>
      <c r="N548" s="93">
        <v>0</v>
      </c>
      <c r="O548" s="93">
        <f t="shared" si="236"/>
        <v>0</v>
      </c>
      <c r="P548" s="93">
        <f t="shared" si="237"/>
        <v>0</v>
      </c>
      <c r="Q548" s="568"/>
      <c r="R548" s="568"/>
      <c r="S548" s="568"/>
      <c r="T548" s="568"/>
      <c r="U548" s="568"/>
      <c r="V548" s="568"/>
      <c r="W548" s="568"/>
      <c r="X548" s="568"/>
      <c r="Y548" s="568"/>
      <c r="Z548" s="568"/>
    </row>
    <row r="549" spans="1:26" ht="18.75" hidden="1">
      <c r="A549" s="563"/>
      <c r="B549" s="571"/>
      <c r="C549" s="723"/>
      <c r="D549" s="684"/>
      <c r="E549" s="723" t="s">
        <v>185</v>
      </c>
      <c r="F549" s="723"/>
      <c r="G549" s="567"/>
      <c r="H549" s="165" t="s">
        <v>12</v>
      </c>
      <c r="I549" s="583"/>
      <c r="J549" s="583"/>
      <c r="K549" s="93"/>
      <c r="L549" s="93">
        <f ca="1">IFERROR(__xludf.DUMMYFUNCTION("IMPORTRANGE(""https://docs.google.com/spreadsheets/d/1QqKyyYR6Q21VydFLVH3TRQUabQu_ym0Zz7PgGX0-kHA/edit?usp=sharing"",""แผน!HB15"")"),490412)</f>
        <v>490412</v>
      </c>
      <c r="M549" s="93">
        <v>0</v>
      </c>
      <c r="N549" s="93">
        <f>N550+N551+N552+N553+N554</f>
        <v>0</v>
      </c>
      <c r="O549" s="93">
        <f t="shared" ca="1" si="236"/>
        <v>0</v>
      </c>
      <c r="P549" s="93">
        <f t="shared" si="237"/>
        <v>0</v>
      </c>
      <c r="Q549" s="568"/>
      <c r="R549" s="568"/>
      <c r="S549" s="568"/>
      <c r="T549" s="568"/>
      <c r="U549" s="568"/>
      <c r="V549" s="568"/>
      <c r="W549" s="568"/>
      <c r="X549" s="568"/>
      <c r="Y549" s="568"/>
      <c r="Z549" s="568"/>
    </row>
    <row r="550" spans="1:26" ht="18.75">
      <c r="A550" s="537"/>
      <c r="B550" s="538"/>
      <c r="C550" s="727"/>
      <c r="D550" s="727"/>
      <c r="E550" s="727"/>
      <c r="F550" s="727" t="s">
        <v>186</v>
      </c>
      <c r="G550" s="189"/>
      <c r="H550" s="161" t="s">
        <v>12</v>
      </c>
      <c r="I550" s="269"/>
      <c r="J550" s="269"/>
      <c r="K550" s="465"/>
      <c r="L550" s="465"/>
      <c r="M550" s="465"/>
      <c r="N550" s="789">
        <v>0</v>
      </c>
      <c r="O550" s="465"/>
      <c r="P550" s="465"/>
      <c r="Q550" s="541"/>
      <c r="R550" s="541"/>
      <c r="S550" s="541"/>
      <c r="T550" s="541"/>
      <c r="U550" s="541"/>
      <c r="V550" s="541"/>
      <c r="W550" s="541"/>
      <c r="X550" s="541"/>
      <c r="Y550" s="541"/>
      <c r="Z550" s="541"/>
    </row>
    <row r="551" spans="1:26" ht="18.75">
      <c r="A551" s="537"/>
      <c r="B551" s="538"/>
      <c r="C551" s="538"/>
      <c r="D551" s="538"/>
      <c r="E551" s="727"/>
      <c r="F551" s="727" t="s">
        <v>187</v>
      </c>
      <c r="G551" s="189"/>
      <c r="H551" s="161" t="s">
        <v>12</v>
      </c>
      <c r="I551" s="269"/>
      <c r="J551" s="269"/>
      <c r="K551" s="465"/>
      <c r="L551" s="465"/>
      <c r="M551" s="465"/>
      <c r="N551" s="789">
        <v>0</v>
      </c>
      <c r="O551" s="465"/>
      <c r="P551" s="465"/>
      <c r="Q551" s="541"/>
      <c r="R551" s="541"/>
      <c r="S551" s="541"/>
      <c r="T551" s="541"/>
      <c r="U551" s="541"/>
      <c r="V551" s="541"/>
      <c r="W551" s="541"/>
      <c r="X551" s="541"/>
      <c r="Y551" s="541"/>
      <c r="Z551" s="541"/>
    </row>
    <row r="552" spans="1:26" ht="18.75">
      <c r="A552" s="537"/>
      <c r="B552" s="538"/>
      <c r="C552" s="727"/>
      <c r="D552" s="727"/>
      <c r="E552" s="727"/>
      <c r="F552" s="727" t="s">
        <v>188</v>
      </c>
      <c r="G552" s="189"/>
      <c r="H552" s="161" t="s">
        <v>12</v>
      </c>
      <c r="I552" s="269"/>
      <c r="J552" s="269"/>
      <c r="K552" s="465"/>
      <c r="L552" s="465"/>
      <c r="M552" s="465"/>
      <c r="N552" s="789">
        <v>0</v>
      </c>
      <c r="O552" s="465"/>
      <c r="P552" s="465"/>
      <c r="Q552" s="541"/>
      <c r="R552" s="541"/>
      <c r="S552" s="541"/>
      <c r="T552" s="541"/>
      <c r="U552" s="541"/>
      <c r="V552" s="541"/>
      <c r="W552" s="541"/>
      <c r="X552" s="541"/>
      <c r="Y552" s="541"/>
      <c r="Z552" s="541"/>
    </row>
    <row r="553" spans="1:26" ht="18.75">
      <c r="A553" s="537"/>
      <c r="B553" s="538"/>
      <c r="C553" s="538"/>
      <c r="D553" s="538"/>
      <c r="E553" s="727"/>
      <c r="F553" s="727" t="s">
        <v>189</v>
      </c>
      <c r="G553" s="189"/>
      <c r="H553" s="161" t="s">
        <v>12</v>
      </c>
      <c r="I553" s="269"/>
      <c r="J553" s="269"/>
      <c r="K553" s="465"/>
      <c r="L553" s="465"/>
      <c r="M553" s="465"/>
      <c r="N553" s="789">
        <v>0</v>
      </c>
      <c r="O553" s="465"/>
      <c r="P553" s="465"/>
      <c r="Q553" s="541"/>
      <c r="R553" s="541"/>
      <c r="S553" s="541"/>
      <c r="T553" s="541"/>
      <c r="U553" s="541"/>
      <c r="V553" s="541"/>
      <c r="W553" s="541"/>
      <c r="X553" s="541"/>
      <c r="Y553" s="541"/>
      <c r="Z553" s="541"/>
    </row>
    <row r="554" spans="1:26" ht="18.75">
      <c r="A554" s="537"/>
      <c r="B554" s="538"/>
      <c r="C554" s="538"/>
      <c r="D554" s="538"/>
      <c r="E554" s="727"/>
      <c r="F554" s="727" t="s">
        <v>233</v>
      </c>
      <c r="G554" s="189"/>
      <c r="H554" s="161" t="s">
        <v>12</v>
      </c>
      <c r="I554" s="269"/>
      <c r="J554" s="269"/>
      <c r="K554" s="465"/>
      <c r="L554" s="465"/>
      <c r="M554" s="465"/>
      <c r="N554" s="789">
        <v>0</v>
      </c>
      <c r="O554" s="465"/>
      <c r="P554" s="465"/>
      <c r="Q554" s="541"/>
      <c r="R554" s="541"/>
      <c r="S554" s="541"/>
      <c r="T554" s="541"/>
      <c r="U554" s="541"/>
      <c r="V554" s="541"/>
      <c r="W554" s="541"/>
      <c r="X554" s="541"/>
      <c r="Y554" s="541"/>
      <c r="Z554" s="541"/>
    </row>
    <row r="555" spans="1:26" ht="18.75">
      <c r="A555" s="561"/>
      <c r="B555" s="538"/>
      <c r="C555" s="538"/>
      <c r="D555" s="570" t="s">
        <v>21</v>
      </c>
      <c r="E555" s="727"/>
      <c r="F555" s="727"/>
      <c r="G555" s="189"/>
      <c r="H555" s="168" t="s">
        <v>12</v>
      </c>
      <c r="I555" s="184"/>
      <c r="J555" s="184"/>
      <c r="K555" s="163"/>
      <c r="L555" s="465">
        <f t="shared" ref="L555:N555" ca="1" si="241">L556+L557</f>
        <v>0</v>
      </c>
      <c r="M555" s="465">
        <f t="shared" si="241"/>
        <v>0</v>
      </c>
      <c r="N555" s="465">
        <f t="shared" si="241"/>
        <v>0</v>
      </c>
      <c r="O555" s="465">
        <f t="shared" ref="O555:O557" ca="1" si="242">IF(L555&gt;0,N555*100/L555,0)</f>
        <v>0</v>
      </c>
      <c r="P555" s="465">
        <f t="shared" ref="P555:P557" si="243">IF(M555&gt;0,N555*100/M555,0)</f>
        <v>0</v>
      </c>
      <c r="Q555" s="541"/>
      <c r="R555" s="541"/>
      <c r="S555" s="541"/>
      <c r="T555" s="541"/>
      <c r="U555" s="541"/>
      <c r="V555" s="541"/>
      <c r="W555" s="541"/>
      <c r="X555" s="541"/>
      <c r="Y555" s="541"/>
      <c r="Z555" s="541"/>
    </row>
    <row r="556" spans="1:26" ht="18.75" hidden="1">
      <c r="A556" s="563"/>
      <c r="B556" s="571"/>
      <c r="C556" s="571"/>
      <c r="D556" s="723"/>
      <c r="E556" s="723" t="s">
        <v>18</v>
      </c>
      <c r="F556" s="723"/>
      <c r="G556" s="567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2"/>
        <v>0</v>
      </c>
      <c r="P556" s="93">
        <f t="shared" si="243"/>
        <v>0</v>
      </c>
      <c r="Q556" s="568"/>
      <c r="R556" s="568"/>
      <c r="S556" s="568"/>
      <c r="T556" s="568"/>
      <c r="U556" s="568"/>
      <c r="V556" s="568"/>
      <c r="W556" s="568"/>
      <c r="X556" s="568"/>
      <c r="Y556" s="568"/>
      <c r="Z556" s="568"/>
    </row>
    <row r="557" spans="1:26" ht="18.75" hidden="1">
      <c r="A557" s="563"/>
      <c r="B557" s="571"/>
      <c r="C557" s="571"/>
      <c r="D557" s="723"/>
      <c r="E557" s="723" t="s">
        <v>19</v>
      </c>
      <c r="F557" s="723"/>
      <c r="G557" s="567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IFERROR(__xludf.DUMMYFUNCTION("IMPORTRANGE(""https://docs.google.com/spreadsheets/d/1QqKyyYR6Q21VydFLVH3TRQUabQu_ym0Zz7PgGX0-kHA/edit?usp=sharing"",""แผน!HF15"")"),0)</f>
        <v>0</v>
      </c>
      <c r="M557" s="93">
        <v>0</v>
      </c>
      <c r="N557" s="93">
        <v>0</v>
      </c>
      <c r="O557" s="93">
        <f t="shared" ca="1" si="242"/>
        <v>0</v>
      </c>
      <c r="P557" s="93">
        <f t="shared" si="243"/>
        <v>0</v>
      </c>
      <c r="Q557" s="568"/>
      <c r="R557" s="568"/>
      <c r="S557" s="568"/>
      <c r="T557" s="568"/>
      <c r="U557" s="568"/>
      <c r="V557" s="568"/>
      <c r="W557" s="568"/>
      <c r="X557" s="568"/>
      <c r="Y557" s="568"/>
      <c r="Z557" s="568"/>
    </row>
    <row r="558" spans="1:26" ht="19.5">
      <c r="A558" s="572"/>
      <c r="B558" s="584"/>
      <c r="C558" s="538" t="s">
        <v>16</v>
      </c>
      <c r="D558" s="853" t="s">
        <v>38</v>
      </c>
      <c r="E558" s="725"/>
      <c r="F558" s="725"/>
      <c r="G558" s="577"/>
      <c r="H558" s="726"/>
      <c r="I558" s="184"/>
      <c r="J558" s="184"/>
      <c r="K558" s="163"/>
      <c r="L558" s="163"/>
      <c r="M558" s="163"/>
      <c r="N558" s="163"/>
      <c r="O558" s="163"/>
      <c r="P558" s="163"/>
      <c r="Q558" s="541"/>
      <c r="R558" s="541"/>
      <c r="S558" s="541"/>
      <c r="T558" s="541"/>
      <c r="U558" s="541"/>
      <c r="V558" s="541"/>
      <c r="W558" s="541"/>
      <c r="X558" s="541"/>
      <c r="Y558" s="541"/>
      <c r="Z558" s="541"/>
    </row>
    <row r="559" spans="1:26" ht="19.5">
      <c r="A559" s="658"/>
      <c r="B559" s="659" t="s">
        <v>234</v>
      </c>
      <c r="C559" s="660"/>
      <c r="D559" s="660"/>
      <c r="E559" s="639"/>
      <c r="F559" s="639"/>
      <c r="G559" s="640"/>
      <c r="H559" s="661" t="s">
        <v>46</v>
      </c>
      <c r="I559" s="672">
        <f t="shared" ref="I559:J559" ca="1" si="244">I576</f>
        <v>28996</v>
      </c>
      <c r="J559" s="672">
        <f t="shared" si="244"/>
        <v>0</v>
      </c>
      <c r="K559" s="643">
        <f t="shared" ref="K559:K561" ca="1" si="245">IF(I559&gt;0,J559*100/I559,0)</f>
        <v>0</v>
      </c>
      <c r="L559" s="644"/>
      <c r="M559" s="644"/>
      <c r="N559" s="644"/>
      <c r="O559" s="644"/>
      <c r="P559" s="644"/>
      <c r="Q559" s="541"/>
      <c r="R559" s="541"/>
      <c r="S559" s="541"/>
      <c r="T559" s="541"/>
      <c r="U559" s="541"/>
      <c r="V559" s="541"/>
      <c r="W559" s="541"/>
      <c r="X559" s="541"/>
      <c r="Y559" s="541"/>
      <c r="Z559" s="541"/>
    </row>
    <row r="560" spans="1:26" ht="19.5">
      <c r="A560" s="572"/>
      <c r="B560" s="584"/>
      <c r="C560" s="591" t="s">
        <v>235</v>
      </c>
      <c r="D560" s="584"/>
      <c r="E560" s="592"/>
      <c r="F560" s="592"/>
      <c r="G560" s="726"/>
      <c r="H560" s="731" t="s">
        <v>46</v>
      </c>
      <c r="I560" s="193">
        <f ca="1">IFERROR(__xludf.DUMMYFUNCTION("IMPORTRANGE(""https://docs.google.com/spreadsheets/d/1QqKyyYR6Q21VydFLVH3TRQUabQu_ym0Zz7PgGX0-kHA/edit?usp=sharing"",""แผน!HH15"")"),28996)</f>
        <v>28996</v>
      </c>
      <c r="J560" s="193">
        <f t="shared" ref="J560:J561" si="246">J562+J564+J566</f>
        <v>0</v>
      </c>
      <c r="K560" s="379">
        <f t="shared" ca="1" si="245"/>
        <v>0</v>
      </c>
      <c r="L560" s="163"/>
      <c r="M560" s="163"/>
      <c r="N560" s="163"/>
      <c r="O560" s="163"/>
      <c r="P560" s="163"/>
      <c r="Q560" s="541"/>
      <c r="R560" s="541"/>
      <c r="S560" s="541"/>
      <c r="T560" s="541"/>
      <c r="U560" s="541"/>
      <c r="V560" s="541"/>
      <c r="W560" s="541"/>
      <c r="X560" s="541"/>
      <c r="Y560" s="541"/>
      <c r="Z560" s="541"/>
    </row>
    <row r="561" spans="1:26" ht="19.5">
      <c r="A561" s="572"/>
      <c r="B561" s="584"/>
      <c r="C561" s="584"/>
      <c r="D561" s="592"/>
      <c r="E561" s="592"/>
      <c r="F561" s="592"/>
      <c r="G561" s="726"/>
      <c r="H561" s="731" t="s">
        <v>34</v>
      </c>
      <c r="I561" s="193">
        <f ca="1">IFERROR(__xludf.DUMMYFUNCTION("IMPORTRANGE(""https://docs.google.com/spreadsheets/d/1QqKyyYR6Q21VydFLVH3TRQUabQu_ym0Zz7PgGX0-kHA/edit?usp=sharing"",""แผน!HG15"")"),6226)</f>
        <v>6226</v>
      </c>
      <c r="J561" s="193">
        <f t="shared" si="246"/>
        <v>0</v>
      </c>
      <c r="K561" s="379">
        <f t="shared" ca="1" si="245"/>
        <v>0</v>
      </c>
      <c r="L561" s="163"/>
      <c r="M561" s="163"/>
      <c r="N561" s="163"/>
      <c r="O561" s="163"/>
      <c r="P561" s="163"/>
      <c r="Q561" s="541"/>
      <c r="R561" s="541"/>
      <c r="S561" s="541"/>
      <c r="T561" s="541"/>
      <c r="U561" s="541"/>
      <c r="V561" s="541"/>
      <c r="W561" s="541"/>
      <c r="X561" s="541"/>
      <c r="Y561" s="541"/>
      <c r="Z561" s="541"/>
    </row>
    <row r="562" spans="1:26" ht="18.75">
      <c r="A562" s="572"/>
      <c r="B562" s="584"/>
      <c r="C562" s="584"/>
      <c r="D562" s="592" t="s">
        <v>236</v>
      </c>
      <c r="E562" s="592"/>
      <c r="F562" s="592"/>
      <c r="G562" s="726"/>
      <c r="H562" s="728" t="s">
        <v>46</v>
      </c>
      <c r="I562" s="184"/>
      <c r="J562" s="214">
        <v>0</v>
      </c>
      <c r="K562" s="163"/>
      <c r="L562" s="163"/>
      <c r="M562" s="163"/>
      <c r="N562" s="163"/>
      <c r="O562" s="163"/>
      <c r="P562" s="163"/>
      <c r="Q562" s="541"/>
      <c r="R562" s="541"/>
      <c r="S562" s="541"/>
      <c r="T562" s="541"/>
      <c r="U562" s="541"/>
      <c r="V562" s="541"/>
      <c r="W562" s="541"/>
      <c r="X562" s="541"/>
      <c r="Y562" s="541"/>
      <c r="Z562" s="541"/>
    </row>
    <row r="563" spans="1:26" ht="18.75">
      <c r="A563" s="572"/>
      <c r="B563" s="584"/>
      <c r="C563" s="584"/>
      <c r="D563" s="584"/>
      <c r="E563" s="592"/>
      <c r="F563" s="592"/>
      <c r="G563" s="726"/>
      <c r="H563" s="728" t="s">
        <v>34</v>
      </c>
      <c r="I563" s="184"/>
      <c r="J563" s="214">
        <v>0</v>
      </c>
      <c r="K563" s="163"/>
      <c r="L563" s="163"/>
      <c r="M563" s="163"/>
      <c r="N563" s="163"/>
      <c r="O563" s="163"/>
      <c r="P563" s="163"/>
      <c r="Q563" s="541"/>
      <c r="R563" s="541"/>
      <c r="S563" s="541"/>
      <c r="T563" s="541"/>
      <c r="U563" s="541"/>
      <c r="V563" s="541"/>
      <c r="W563" s="541"/>
      <c r="X563" s="541"/>
      <c r="Y563" s="541"/>
      <c r="Z563" s="541"/>
    </row>
    <row r="564" spans="1:26" ht="18.75">
      <c r="A564" s="572"/>
      <c r="B564" s="584"/>
      <c r="C564" s="584"/>
      <c r="D564" s="592" t="s">
        <v>237</v>
      </c>
      <c r="E564" s="592"/>
      <c r="F564" s="592"/>
      <c r="G564" s="726"/>
      <c r="H564" s="728" t="s">
        <v>46</v>
      </c>
      <c r="I564" s="184"/>
      <c r="J564" s="214">
        <v>0</v>
      </c>
      <c r="K564" s="163"/>
      <c r="L564" s="163"/>
      <c r="M564" s="163"/>
      <c r="N564" s="163"/>
      <c r="O564" s="163"/>
      <c r="P564" s="163"/>
      <c r="Q564" s="541"/>
      <c r="R564" s="541"/>
      <c r="S564" s="541"/>
      <c r="T564" s="541"/>
      <c r="U564" s="541"/>
      <c r="V564" s="541"/>
      <c r="W564" s="541"/>
      <c r="X564" s="541"/>
      <c r="Y564" s="541"/>
      <c r="Z564" s="541"/>
    </row>
    <row r="565" spans="1:26" ht="18.75">
      <c r="A565" s="572"/>
      <c r="B565" s="584"/>
      <c r="C565" s="584"/>
      <c r="D565" s="592"/>
      <c r="E565" s="592"/>
      <c r="F565" s="592"/>
      <c r="G565" s="726"/>
      <c r="H565" s="728" t="s">
        <v>34</v>
      </c>
      <c r="I565" s="184"/>
      <c r="J565" s="214">
        <v>0</v>
      </c>
      <c r="K565" s="163"/>
      <c r="L565" s="163"/>
      <c r="M565" s="163"/>
      <c r="N565" s="163"/>
      <c r="O565" s="163"/>
      <c r="P565" s="163"/>
      <c r="Q565" s="541"/>
      <c r="R565" s="541"/>
      <c r="S565" s="541"/>
      <c r="T565" s="541"/>
      <c r="U565" s="541"/>
      <c r="V565" s="541"/>
      <c r="W565" s="541"/>
      <c r="X565" s="541"/>
      <c r="Y565" s="541"/>
      <c r="Z565" s="541"/>
    </row>
    <row r="566" spans="1:26" ht="18.75">
      <c r="A566" s="572"/>
      <c r="B566" s="584"/>
      <c r="C566" s="584"/>
      <c r="D566" s="592" t="s">
        <v>238</v>
      </c>
      <c r="E566" s="592"/>
      <c r="F566" s="592"/>
      <c r="G566" s="726"/>
      <c r="H566" s="728" t="s">
        <v>46</v>
      </c>
      <c r="I566" s="184"/>
      <c r="J566" s="214">
        <v>0</v>
      </c>
      <c r="K566" s="163"/>
      <c r="L566" s="163"/>
      <c r="M566" s="163"/>
      <c r="N566" s="163"/>
      <c r="O566" s="163"/>
      <c r="P566" s="163"/>
      <c r="Q566" s="541"/>
      <c r="R566" s="541"/>
      <c r="S566" s="541"/>
      <c r="T566" s="541"/>
      <c r="U566" s="541"/>
      <c r="V566" s="541"/>
      <c r="W566" s="541"/>
      <c r="X566" s="541"/>
      <c r="Y566" s="541"/>
      <c r="Z566" s="541"/>
    </row>
    <row r="567" spans="1:26" ht="18.75">
      <c r="A567" s="572"/>
      <c r="B567" s="584"/>
      <c r="C567" s="584"/>
      <c r="D567" s="592"/>
      <c r="E567" s="592"/>
      <c r="F567" s="592"/>
      <c r="G567" s="726"/>
      <c r="H567" s="728" t="s">
        <v>34</v>
      </c>
      <c r="I567" s="184"/>
      <c r="J567" s="214">
        <v>0</v>
      </c>
      <c r="K567" s="163"/>
      <c r="L567" s="163"/>
      <c r="M567" s="163"/>
      <c r="N567" s="163"/>
      <c r="O567" s="163"/>
      <c r="P567" s="163"/>
      <c r="Q567" s="541"/>
      <c r="R567" s="541"/>
      <c r="S567" s="541"/>
      <c r="T567" s="541"/>
      <c r="U567" s="541"/>
      <c r="V567" s="541"/>
      <c r="W567" s="541"/>
      <c r="X567" s="541"/>
      <c r="Y567" s="541"/>
      <c r="Z567" s="541"/>
    </row>
    <row r="568" spans="1:26" ht="19.5">
      <c r="A568" s="572"/>
      <c r="B568" s="584"/>
      <c r="C568" s="591" t="s">
        <v>239</v>
      </c>
      <c r="D568" s="592"/>
      <c r="E568" s="592"/>
      <c r="F568" s="592"/>
      <c r="G568" s="726"/>
      <c r="H568" s="731" t="s">
        <v>46</v>
      </c>
      <c r="I568" s="193">
        <f ca="1">IFERROR(__xludf.DUMMYFUNCTION("IMPORTRANGE(""https://docs.google.com/spreadsheets/d/1QqKyyYR6Q21VydFLVH3TRQUabQu_ym0Zz7PgGX0-kHA/edit?usp=sharing"",""แผน!HH15"")"),28996)</f>
        <v>28996</v>
      </c>
      <c r="J568" s="647">
        <f t="shared" ref="J568:J569" si="247">J570+J572+J574</f>
        <v>0</v>
      </c>
      <c r="K568" s="379">
        <f t="shared" ref="K568:K569" ca="1" si="248">IF(I568&gt;0,J568*100/I568,0)</f>
        <v>0</v>
      </c>
      <c r="L568" s="163"/>
      <c r="M568" s="163"/>
      <c r="N568" s="163"/>
      <c r="O568" s="163"/>
      <c r="P568" s="163"/>
      <c r="Q568" s="541"/>
      <c r="R568" s="541"/>
      <c r="S568" s="541"/>
      <c r="T568" s="541"/>
      <c r="U568" s="541"/>
      <c r="V568" s="541"/>
      <c r="W568" s="541"/>
      <c r="X568" s="541"/>
      <c r="Y568" s="541"/>
      <c r="Z568" s="541"/>
    </row>
    <row r="569" spans="1:26" ht="19.5">
      <c r="A569" s="572"/>
      <c r="B569" s="584"/>
      <c r="C569" s="584"/>
      <c r="D569" s="584"/>
      <c r="E569" s="592"/>
      <c r="F569" s="592"/>
      <c r="G569" s="726"/>
      <c r="H569" s="731" t="s">
        <v>34</v>
      </c>
      <c r="I569" s="193">
        <f ca="1">IFERROR(__xludf.DUMMYFUNCTION("IMPORTRANGE(""https://docs.google.com/spreadsheets/d/1QqKyyYR6Q21VydFLVH3TRQUabQu_ym0Zz7PgGX0-kHA/edit?usp=sharing"",""แผน!HG15"")"),6226)</f>
        <v>6226</v>
      </c>
      <c r="J569" s="647">
        <f t="shared" si="247"/>
        <v>0</v>
      </c>
      <c r="K569" s="379">
        <f t="shared" ca="1" si="248"/>
        <v>0</v>
      </c>
      <c r="L569" s="163"/>
      <c r="M569" s="163"/>
      <c r="N569" s="163"/>
      <c r="O569" s="163"/>
      <c r="P569" s="163"/>
      <c r="Q569" s="541"/>
      <c r="R569" s="541"/>
      <c r="S569" s="541"/>
      <c r="T569" s="541"/>
      <c r="U569" s="541"/>
      <c r="V569" s="541"/>
      <c r="W569" s="541"/>
      <c r="X569" s="541"/>
      <c r="Y569" s="541"/>
      <c r="Z569" s="541"/>
    </row>
    <row r="570" spans="1:26" ht="18.75">
      <c r="A570" s="572"/>
      <c r="B570" s="584"/>
      <c r="C570" s="584"/>
      <c r="D570" s="592" t="s">
        <v>240</v>
      </c>
      <c r="E570" s="584"/>
      <c r="F570" s="592"/>
      <c r="G570" s="726"/>
      <c r="H570" s="728" t="s">
        <v>46</v>
      </c>
      <c r="I570" s="184"/>
      <c r="J570" s="214">
        <v>0</v>
      </c>
      <c r="K570" s="163"/>
      <c r="L570" s="163"/>
      <c r="M570" s="163"/>
      <c r="N570" s="163"/>
      <c r="O570" s="163"/>
      <c r="P570" s="163"/>
      <c r="Q570" s="541"/>
      <c r="R570" s="541"/>
      <c r="S570" s="541"/>
      <c r="T570" s="541"/>
      <c r="U570" s="541"/>
      <c r="V570" s="541"/>
      <c r="W570" s="541"/>
      <c r="X570" s="541"/>
      <c r="Y570" s="541"/>
      <c r="Z570" s="541"/>
    </row>
    <row r="571" spans="1:26" ht="18.75">
      <c r="A571" s="572"/>
      <c r="B571" s="584"/>
      <c r="C571" s="584"/>
      <c r="D571" s="584"/>
      <c r="E571" s="592"/>
      <c r="F571" s="592"/>
      <c r="G571" s="726"/>
      <c r="H571" s="728" t="s">
        <v>34</v>
      </c>
      <c r="I571" s="184"/>
      <c r="J571" s="214">
        <v>0</v>
      </c>
      <c r="K571" s="163"/>
      <c r="L571" s="163"/>
      <c r="M571" s="163"/>
      <c r="N571" s="163"/>
      <c r="O571" s="163"/>
      <c r="P571" s="163"/>
      <c r="Q571" s="541"/>
      <c r="R571" s="541"/>
      <c r="S571" s="541"/>
      <c r="T571" s="541"/>
      <c r="U571" s="541"/>
      <c r="V571" s="541"/>
      <c r="W571" s="541"/>
      <c r="X571" s="541"/>
      <c r="Y571" s="541"/>
      <c r="Z571" s="541"/>
    </row>
    <row r="572" spans="1:26" ht="18.75">
      <c r="A572" s="572"/>
      <c r="B572" s="584"/>
      <c r="C572" s="584"/>
      <c r="D572" s="592" t="s">
        <v>241</v>
      </c>
      <c r="E572" s="592"/>
      <c r="F572" s="592"/>
      <c r="G572" s="726"/>
      <c r="H572" s="728" t="s">
        <v>46</v>
      </c>
      <c r="I572" s="184"/>
      <c r="J572" s="214">
        <v>0</v>
      </c>
      <c r="K572" s="163"/>
      <c r="L572" s="163"/>
      <c r="M572" s="163"/>
      <c r="N572" s="163"/>
      <c r="O572" s="163"/>
      <c r="P572" s="163"/>
      <c r="Q572" s="541"/>
      <c r="R572" s="541"/>
      <c r="S572" s="541"/>
      <c r="T572" s="541"/>
      <c r="U572" s="541"/>
      <c r="V572" s="541"/>
      <c r="W572" s="541"/>
      <c r="X572" s="541"/>
      <c r="Y572" s="541"/>
      <c r="Z572" s="541"/>
    </row>
    <row r="573" spans="1:26" ht="18.75">
      <c r="A573" s="572"/>
      <c r="B573" s="584"/>
      <c r="C573" s="584"/>
      <c r="D573" s="592"/>
      <c r="E573" s="592"/>
      <c r="F573" s="592"/>
      <c r="G573" s="726"/>
      <c r="H573" s="728" t="s">
        <v>34</v>
      </c>
      <c r="I573" s="184"/>
      <c r="J573" s="214">
        <v>0</v>
      </c>
      <c r="K573" s="163"/>
      <c r="L573" s="163"/>
      <c r="M573" s="163"/>
      <c r="N573" s="163"/>
      <c r="O573" s="163"/>
      <c r="P573" s="163"/>
      <c r="Q573" s="541"/>
      <c r="R573" s="541"/>
      <c r="S573" s="541"/>
      <c r="T573" s="541"/>
      <c r="U573" s="541"/>
      <c r="V573" s="541"/>
      <c r="W573" s="541"/>
      <c r="X573" s="541"/>
      <c r="Y573" s="541"/>
      <c r="Z573" s="541"/>
    </row>
    <row r="574" spans="1:26" ht="18.75">
      <c r="A574" s="572"/>
      <c r="B574" s="584"/>
      <c r="C574" s="584"/>
      <c r="D574" s="592" t="s">
        <v>242</v>
      </c>
      <c r="E574" s="592"/>
      <c r="F574" s="592"/>
      <c r="G574" s="726"/>
      <c r="H574" s="728" t="s">
        <v>46</v>
      </c>
      <c r="I574" s="184"/>
      <c r="J574" s="214">
        <v>0</v>
      </c>
      <c r="K574" s="163"/>
      <c r="L574" s="163"/>
      <c r="M574" s="163"/>
      <c r="N574" s="163"/>
      <c r="O574" s="163"/>
      <c r="P574" s="163"/>
      <c r="Q574" s="541"/>
      <c r="R574" s="541"/>
      <c r="S574" s="541"/>
      <c r="T574" s="541"/>
      <c r="U574" s="541"/>
      <c r="V574" s="541"/>
      <c r="W574" s="541"/>
      <c r="X574" s="541"/>
      <c r="Y574" s="541"/>
      <c r="Z574" s="541"/>
    </row>
    <row r="575" spans="1:26" ht="18.75">
      <c r="A575" s="572"/>
      <c r="B575" s="584"/>
      <c r="C575" s="584"/>
      <c r="D575" s="584"/>
      <c r="E575" s="592"/>
      <c r="F575" s="592"/>
      <c r="G575" s="726"/>
      <c r="H575" s="728" t="s">
        <v>34</v>
      </c>
      <c r="I575" s="184"/>
      <c r="J575" s="214">
        <v>0</v>
      </c>
      <c r="K575" s="163"/>
      <c r="L575" s="163"/>
      <c r="M575" s="163"/>
      <c r="N575" s="163"/>
      <c r="O575" s="163"/>
      <c r="P575" s="163"/>
      <c r="Q575" s="541"/>
      <c r="R575" s="541"/>
      <c r="S575" s="541"/>
      <c r="T575" s="541"/>
      <c r="U575" s="541"/>
      <c r="V575" s="541"/>
      <c r="W575" s="541"/>
      <c r="X575" s="541"/>
      <c r="Y575" s="541"/>
      <c r="Z575" s="541"/>
    </row>
    <row r="576" spans="1:26" ht="19.5">
      <c r="A576" s="572"/>
      <c r="B576" s="584"/>
      <c r="C576" s="591" t="s">
        <v>243</v>
      </c>
      <c r="D576" s="584"/>
      <c r="E576" s="584"/>
      <c r="F576" s="592"/>
      <c r="G576" s="726"/>
      <c r="H576" s="731" t="s">
        <v>46</v>
      </c>
      <c r="I576" s="193">
        <f ca="1">IFERROR(__xludf.DUMMYFUNCTION("IMPORTRANGE(""https://docs.google.com/spreadsheets/d/1QqKyyYR6Q21VydFLVH3TRQUabQu_ym0Zz7PgGX0-kHA/edit?usp=sharing"",""แผน!HH15"")"),28996)</f>
        <v>28996</v>
      </c>
      <c r="J576" s="647">
        <f t="shared" ref="J576:J577" si="249">J578+J580+J582+J588+J590</f>
        <v>0</v>
      </c>
      <c r="K576" s="379">
        <f t="shared" ref="K576:K577" ca="1" si="250">IF(I576&gt;0,J576*100/I576,0)</f>
        <v>0</v>
      </c>
      <c r="L576" s="163"/>
      <c r="M576" s="163"/>
      <c r="N576" s="163"/>
      <c r="O576" s="163"/>
      <c r="P576" s="163"/>
      <c r="Q576" s="541"/>
      <c r="R576" s="541"/>
      <c r="S576" s="541"/>
      <c r="T576" s="541"/>
      <c r="U576" s="541"/>
      <c r="V576" s="541"/>
      <c r="W576" s="541"/>
      <c r="X576" s="541"/>
      <c r="Y576" s="541"/>
      <c r="Z576" s="541"/>
    </row>
    <row r="577" spans="1:26" ht="19.5">
      <c r="A577" s="572"/>
      <c r="B577" s="584"/>
      <c r="C577" s="584"/>
      <c r="D577" s="584"/>
      <c r="E577" s="592"/>
      <c r="F577" s="592"/>
      <c r="G577" s="726"/>
      <c r="H577" s="731" t="s">
        <v>34</v>
      </c>
      <c r="I577" s="193">
        <f ca="1">IFERROR(__xludf.DUMMYFUNCTION("IMPORTRANGE(""https://docs.google.com/spreadsheets/d/1QqKyyYR6Q21VydFLVH3TRQUabQu_ym0Zz7PgGX0-kHA/edit?usp=sharing"",""แผน!HG15"")"),6226)</f>
        <v>6226</v>
      </c>
      <c r="J577" s="647">
        <f t="shared" si="249"/>
        <v>0</v>
      </c>
      <c r="K577" s="379">
        <f t="shared" ca="1" si="250"/>
        <v>0</v>
      </c>
      <c r="L577" s="163"/>
      <c r="M577" s="163"/>
      <c r="N577" s="163"/>
      <c r="O577" s="163"/>
      <c r="P577" s="163"/>
      <c r="Q577" s="541"/>
      <c r="R577" s="541"/>
      <c r="S577" s="541"/>
      <c r="T577" s="541"/>
      <c r="U577" s="541"/>
      <c r="V577" s="541"/>
      <c r="W577" s="541"/>
      <c r="X577" s="541"/>
      <c r="Y577" s="541"/>
      <c r="Z577" s="541"/>
    </row>
    <row r="578" spans="1:26" ht="18.75">
      <c r="A578" s="572"/>
      <c r="B578" s="584"/>
      <c r="C578" s="584"/>
      <c r="D578" s="592" t="s">
        <v>244</v>
      </c>
      <c r="E578" s="592"/>
      <c r="F578" s="592"/>
      <c r="G578" s="726"/>
      <c r="H578" s="728" t="s">
        <v>46</v>
      </c>
      <c r="I578" s="184"/>
      <c r="J578" s="214">
        <v>0</v>
      </c>
      <c r="K578" s="163"/>
      <c r="L578" s="163"/>
      <c r="M578" s="163"/>
      <c r="N578" s="163"/>
      <c r="O578" s="163"/>
      <c r="P578" s="163"/>
      <c r="Q578" s="541"/>
      <c r="R578" s="541"/>
      <c r="S578" s="541"/>
      <c r="T578" s="541"/>
      <c r="U578" s="541"/>
      <c r="V578" s="541"/>
      <c r="W578" s="541"/>
      <c r="X578" s="541"/>
      <c r="Y578" s="541"/>
      <c r="Z578" s="541"/>
    </row>
    <row r="579" spans="1:26" ht="18.75">
      <c r="A579" s="572"/>
      <c r="B579" s="584"/>
      <c r="C579" s="584"/>
      <c r="D579" s="584"/>
      <c r="E579" s="592"/>
      <c r="F579" s="592"/>
      <c r="G579" s="726"/>
      <c r="H579" s="728" t="s">
        <v>34</v>
      </c>
      <c r="I579" s="184"/>
      <c r="J579" s="214">
        <v>0</v>
      </c>
      <c r="K579" s="163"/>
      <c r="L579" s="163"/>
      <c r="M579" s="163"/>
      <c r="N579" s="163"/>
      <c r="O579" s="163"/>
      <c r="P579" s="163"/>
      <c r="Q579" s="541"/>
      <c r="R579" s="541"/>
      <c r="S579" s="541"/>
      <c r="T579" s="541"/>
      <c r="U579" s="541"/>
      <c r="V579" s="541"/>
      <c r="W579" s="541"/>
      <c r="X579" s="541"/>
      <c r="Y579" s="541"/>
      <c r="Z579" s="541"/>
    </row>
    <row r="580" spans="1:26" ht="18.75">
      <c r="A580" s="572"/>
      <c r="B580" s="584"/>
      <c r="C580" s="584"/>
      <c r="D580" s="592" t="s">
        <v>245</v>
      </c>
      <c r="E580" s="592"/>
      <c r="F580" s="592"/>
      <c r="G580" s="726"/>
      <c r="H580" s="728" t="s">
        <v>46</v>
      </c>
      <c r="I580" s="184"/>
      <c r="J580" s="214">
        <v>0</v>
      </c>
      <c r="K580" s="163"/>
      <c r="L580" s="163"/>
      <c r="M580" s="163"/>
      <c r="N580" s="163"/>
      <c r="O580" s="163"/>
      <c r="P580" s="163"/>
      <c r="Q580" s="541"/>
      <c r="R580" s="541"/>
      <c r="S580" s="541"/>
      <c r="T580" s="541"/>
      <c r="U580" s="541"/>
      <c r="V580" s="541"/>
      <c r="W580" s="541"/>
      <c r="X580" s="541"/>
      <c r="Y580" s="541"/>
      <c r="Z580" s="541"/>
    </row>
    <row r="581" spans="1:26" ht="18.75">
      <c r="A581" s="572"/>
      <c r="B581" s="584"/>
      <c r="C581" s="584"/>
      <c r="D581" s="584"/>
      <c r="E581" s="592"/>
      <c r="F581" s="592"/>
      <c r="G581" s="726"/>
      <c r="H581" s="728" t="s">
        <v>34</v>
      </c>
      <c r="I581" s="184"/>
      <c r="J581" s="214">
        <v>0</v>
      </c>
      <c r="K581" s="163"/>
      <c r="L581" s="163"/>
      <c r="M581" s="163"/>
      <c r="N581" s="163"/>
      <c r="O581" s="163"/>
      <c r="P581" s="163"/>
      <c r="Q581" s="541"/>
      <c r="R581" s="541"/>
      <c r="S581" s="541"/>
      <c r="T581" s="541"/>
      <c r="U581" s="541"/>
      <c r="V581" s="541"/>
      <c r="W581" s="541"/>
      <c r="X581" s="541"/>
      <c r="Y581" s="541"/>
      <c r="Z581" s="541"/>
    </row>
    <row r="582" spans="1:26" ht="19.5">
      <c r="A582" s="572"/>
      <c r="B582" s="584"/>
      <c r="C582" s="584"/>
      <c r="D582" s="592" t="s">
        <v>246</v>
      </c>
      <c r="E582" s="592"/>
      <c r="F582" s="592"/>
      <c r="G582" s="726"/>
      <c r="H582" s="728" t="s">
        <v>46</v>
      </c>
      <c r="I582" s="184"/>
      <c r="J582" s="647">
        <f t="shared" ref="J582:J583" si="251">J584+J586</f>
        <v>0</v>
      </c>
      <c r="K582" s="379"/>
      <c r="L582" s="163"/>
      <c r="M582" s="163"/>
      <c r="N582" s="163"/>
      <c r="O582" s="163"/>
      <c r="P582" s="163"/>
      <c r="Q582" s="541"/>
      <c r="R582" s="541"/>
      <c r="S582" s="541"/>
      <c r="T582" s="541"/>
      <c r="U582" s="541"/>
      <c r="V582" s="541"/>
      <c r="W582" s="541"/>
      <c r="X582" s="541"/>
      <c r="Y582" s="541"/>
      <c r="Z582" s="541"/>
    </row>
    <row r="583" spans="1:26" ht="19.5">
      <c r="A583" s="572"/>
      <c r="B583" s="584"/>
      <c r="C583" s="584"/>
      <c r="D583" s="584"/>
      <c r="E583" s="592"/>
      <c r="F583" s="592"/>
      <c r="G583" s="726"/>
      <c r="H583" s="728" t="s">
        <v>34</v>
      </c>
      <c r="I583" s="184"/>
      <c r="J583" s="647">
        <f t="shared" si="251"/>
        <v>0</v>
      </c>
      <c r="K583" s="379"/>
      <c r="L583" s="163"/>
      <c r="M583" s="163"/>
      <c r="N583" s="163"/>
      <c r="O583" s="163"/>
      <c r="P583" s="163"/>
      <c r="Q583" s="541"/>
      <c r="R583" s="541"/>
      <c r="S583" s="541"/>
      <c r="T583" s="541"/>
      <c r="U583" s="541"/>
      <c r="V583" s="541"/>
      <c r="W583" s="541"/>
      <c r="X583" s="541"/>
      <c r="Y583" s="541"/>
      <c r="Z583" s="541"/>
    </row>
    <row r="584" spans="1:26" ht="18.75">
      <c r="A584" s="572"/>
      <c r="B584" s="584"/>
      <c r="C584" s="584"/>
      <c r="D584" s="584"/>
      <c r="E584" s="592" t="s">
        <v>247</v>
      </c>
      <c r="F584" s="592"/>
      <c r="G584" s="726"/>
      <c r="H584" s="728" t="s">
        <v>46</v>
      </c>
      <c r="I584" s="184"/>
      <c r="J584" s="214">
        <v>0</v>
      </c>
      <c r="K584" s="163"/>
      <c r="L584" s="163"/>
      <c r="M584" s="163"/>
      <c r="N584" s="163"/>
      <c r="O584" s="163"/>
      <c r="P584" s="163"/>
      <c r="Q584" s="541"/>
      <c r="R584" s="541"/>
      <c r="S584" s="541"/>
      <c r="T584" s="541"/>
      <c r="U584" s="541"/>
      <c r="V584" s="541"/>
      <c r="W584" s="541"/>
      <c r="X584" s="541"/>
      <c r="Y584" s="541"/>
      <c r="Z584" s="541"/>
    </row>
    <row r="585" spans="1:26" ht="18.75">
      <c r="A585" s="572"/>
      <c r="B585" s="584"/>
      <c r="C585" s="584"/>
      <c r="D585" s="584"/>
      <c r="E585" s="592"/>
      <c r="F585" s="592"/>
      <c r="G585" s="726"/>
      <c r="H585" s="728" t="s">
        <v>34</v>
      </c>
      <c r="I585" s="184"/>
      <c r="J585" s="214">
        <v>0</v>
      </c>
      <c r="K585" s="163"/>
      <c r="L585" s="163"/>
      <c r="M585" s="163"/>
      <c r="N585" s="163"/>
      <c r="O585" s="163"/>
      <c r="P585" s="163"/>
      <c r="Q585" s="541"/>
      <c r="R585" s="541"/>
      <c r="S585" s="541"/>
      <c r="T585" s="541"/>
      <c r="U585" s="541"/>
      <c r="V585" s="541"/>
      <c r="W585" s="541"/>
      <c r="X585" s="541"/>
      <c r="Y585" s="541"/>
      <c r="Z585" s="541"/>
    </row>
    <row r="586" spans="1:26" ht="18.75">
      <c r="A586" s="572"/>
      <c r="B586" s="584"/>
      <c r="C586" s="584"/>
      <c r="D586" s="584"/>
      <c r="E586" s="592" t="s">
        <v>248</v>
      </c>
      <c r="F586" s="592"/>
      <c r="G586" s="726"/>
      <c r="H586" s="728" t="s">
        <v>46</v>
      </c>
      <c r="I586" s="184"/>
      <c r="J586" s="214">
        <v>0</v>
      </c>
      <c r="K586" s="163"/>
      <c r="L586" s="163"/>
      <c r="M586" s="163"/>
      <c r="N586" s="163"/>
      <c r="O586" s="163"/>
      <c r="P586" s="163"/>
      <c r="Q586" s="541"/>
      <c r="R586" s="541"/>
      <c r="S586" s="541"/>
      <c r="T586" s="541"/>
      <c r="U586" s="541"/>
      <c r="V586" s="541"/>
      <c r="W586" s="541"/>
      <c r="X586" s="541"/>
      <c r="Y586" s="541"/>
      <c r="Z586" s="541"/>
    </row>
    <row r="587" spans="1:26" ht="18.75">
      <c r="A587" s="572"/>
      <c r="B587" s="584"/>
      <c r="C587" s="584"/>
      <c r="D587" s="584"/>
      <c r="E587" s="584"/>
      <c r="F587" s="592"/>
      <c r="G587" s="726"/>
      <c r="H587" s="728" t="s">
        <v>34</v>
      </c>
      <c r="I587" s="184"/>
      <c r="J587" s="214">
        <v>0</v>
      </c>
      <c r="K587" s="163"/>
      <c r="L587" s="163"/>
      <c r="M587" s="163"/>
      <c r="N587" s="163"/>
      <c r="O587" s="163"/>
      <c r="P587" s="163"/>
      <c r="Q587" s="541"/>
      <c r="R587" s="541"/>
      <c r="S587" s="541"/>
      <c r="T587" s="541"/>
      <c r="U587" s="541"/>
      <c r="V587" s="541"/>
      <c r="W587" s="541"/>
      <c r="X587" s="541"/>
      <c r="Y587" s="541"/>
      <c r="Z587" s="541"/>
    </row>
    <row r="588" spans="1:26" ht="18.75">
      <c r="A588" s="572"/>
      <c r="B588" s="584"/>
      <c r="C588" s="584"/>
      <c r="D588" s="592" t="s">
        <v>249</v>
      </c>
      <c r="E588" s="592"/>
      <c r="F588" s="592"/>
      <c r="G588" s="726"/>
      <c r="H588" s="728" t="s">
        <v>46</v>
      </c>
      <c r="I588" s="184"/>
      <c r="J588" s="214">
        <v>0</v>
      </c>
      <c r="K588" s="163"/>
      <c r="L588" s="163"/>
      <c r="M588" s="163"/>
      <c r="N588" s="163"/>
      <c r="O588" s="163"/>
      <c r="P588" s="163"/>
      <c r="Q588" s="541"/>
      <c r="R588" s="541"/>
      <c r="S588" s="541"/>
      <c r="T588" s="541"/>
      <c r="U588" s="541"/>
      <c r="V588" s="541"/>
      <c r="W588" s="541"/>
      <c r="X588" s="541"/>
      <c r="Y588" s="541"/>
      <c r="Z588" s="541"/>
    </row>
    <row r="589" spans="1:26" ht="18.75">
      <c r="A589" s="572"/>
      <c r="B589" s="584"/>
      <c r="C589" s="584"/>
      <c r="D589" s="584"/>
      <c r="E589" s="584"/>
      <c r="F589" s="592"/>
      <c r="G589" s="726"/>
      <c r="H589" s="728" t="s">
        <v>34</v>
      </c>
      <c r="I589" s="184"/>
      <c r="J589" s="214">
        <v>0</v>
      </c>
      <c r="K589" s="163"/>
      <c r="L589" s="163"/>
      <c r="M589" s="163"/>
      <c r="N589" s="163"/>
      <c r="O589" s="163"/>
      <c r="P589" s="163"/>
      <c r="Q589" s="541"/>
      <c r="R589" s="541"/>
      <c r="S589" s="541"/>
      <c r="T589" s="541"/>
      <c r="U589" s="541"/>
      <c r="V589" s="541"/>
      <c r="W589" s="541"/>
      <c r="X589" s="541"/>
      <c r="Y589" s="541"/>
      <c r="Z589" s="541"/>
    </row>
    <row r="590" spans="1:26" ht="18.75">
      <c r="A590" s="572"/>
      <c r="B590" s="584"/>
      <c r="C590" s="584"/>
      <c r="D590" s="592" t="s">
        <v>250</v>
      </c>
      <c r="E590" s="592"/>
      <c r="F590" s="592"/>
      <c r="G590" s="726"/>
      <c r="H590" s="728" t="s">
        <v>46</v>
      </c>
      <c r="I590" s="184"/>
      <c r="J590" s="214">
        <v>0</v>
      </c>
      <c r="K590" s="163"/>
      <c r="L590" s="163"/>
      <c r="M590" s="163"/>
      <c r="N590" s="163"/>
      <c r="O590" s="163"/>
      <c r="P590" s="163"/>
      <c r="Q590" s="541"/>
      <c r="R590" s="541"/>
      <c r="S590" s="541"/>
      <c r="T590" s="541"/>
      <c r="U590" s="541"/>
      <c r="V590" s="541"/>
      <c r="W590" s="541"/>
      <c r="X590" s="541"/>
      <c r="Y590" s="541"/>
      <c r="Z590" s="541"/>
    </row>
    <row r="591" spans="1:26" ht="18.75">
      <c r="A591" s="662"/>
      <c r="B591" s="663"/>
      <c r="C591" s="663"/>
      <c r="D591" s="663"/>
      <c r="E591" s="541"/>
      <c r="F591" s="541"/>
      <c r="G591" s="664"/>
      <c r="H591" s="665" t="s">
        <v>34</v>
      </c>
      <c r="I591" s="666"/>
      <c r="J591" s="667">
        <v>0</v>
      </c>
      <c r="K591" s="668"/>
      <c r="L591" s="668"/>
      <c r="M591" s="668"/>
      <c r="N591" s="668"/>
      <c r="O591" s="668"/>
      <c r="P591" s="668"/>
      <c r="Q591" s="541"/>
      <c r="R591" s="541"/>
      <c r="S591" s="541"/>
      <c r="T591" s="541"/>
      <c r="U591" s="541"/>
      <c r="V591" s="541"/>
      <c r="W591" s="541"/>
      <c r="X591" s="541"/>
      <c r="Y591" s="541"/>
      <c r="Z591" s="541"/>
    </row>
    <row r="592" spans="1:26" ht="19.5">
      <c r="A592" s="658"/>
      <c r="B592" s="659" t="s">
        <v>251</v>
      </c>
      <c r="C592" s="660"/>
      <c r="D592" s="660"/>
      <c r="E592" s="639"/>
      <c r="F592" s="639"/>
      <c r="G592" s="640"/>
      <c r="H592" s="661" t="s">
        <v>46</v>
      </c>
      <c r="I592" s="672">
        <f t="shared" ref="I592:J592" ca="1" si="252">I593</f>
        <v>2500</v>
      </c>
      <c r="J592" s="672">
        <f t="shared" si="252"/>
        <v>0</v>
      </c>
      <c r="K592" s="643">
        <f t="shared" ref="K592:K594" ca="1" si="253">IF(I592&gt;0,J592*100/I592,0)</f>
        <v>0</v>
      </c>
      <c r="L592" s="644"/>
      <c r="M592" s="644"/>
      <c r="N592" s="644"/>
      <c r="O592" s="644"/>
      <c r="P592" s="644"/>
      <c r="Q592" s="541"/>
      <c r="R592" s="541"/>
      <c r="S592" s="541"/>
      <c r="T592" s="541"/>
      <c r="U592" s="541"/>
      <c r="V592" s="541"/>
      <c r="W592" s="541"/>
      <c r="X592" s="541"/>
      <c r="Y592" s="541"/>
      <c r="Z592" s="541"/>
    </row>
    <row r="593" spans="1:26" ht="19.5">
      <c r="A593" s="572"/>
      <c r="B593" s="584"/>
      <c r="C593" s="591" t="s">
        <v>252</v>
      </c>
      <c r="D593" s="584"/>
      <c r="E593" s="584"/>
      <c r="F593" s="592"/>
      <c r="G593" s="726"/>
      <c r="H593" s="731" t="s">
        <v>46</v>
      </c>
      <c r="I593" s="193">
        <f ca="1">IFERROR(__xludf.DUMMYFUNCTION("IMPORTRANGE(""https://docs.google.com/spreadsheets/d/1QqKyyYR6Q21VydFLVH3TRQUabQu_ym0Zz7PgGX0-kHA/edit?usp=sharing"",""แผน!HJ15"")"),2500)</f>
        <v>2500</v>
      </c>
      <c r="J593" s="193">
        <f t="shared" ref="J593:J594" si="254">J595+J603+J609</f>
        <v>0</v>
      </c>
      <c r="K593" s="379">
        <f t="shared" ca="1" si="253"/>
        <v>0</v>
      </c>
      <c r="L593" s="163"/>
      <c r="M593" s="163"/>
      <c r="N593" s="163"/>
      <c r="O593" s="163"/>
      <c r="P593" s="163"/>
      <c r="Q593" s="541"/>
      <c r="R593" s="541"/>
      <c r="S593" s="541"/>
      <c r="T593" s="541"/>
      <c r="U593" s="541"/>
      <c r="V593" s="541"/>
      <c r="W593" s="541"/>
      <c r="X593" s="541"/>
      <c r="Y593" s="541"/>
      <c r="Z593" s="541"/>
    </row>
    <row r="594" spans="1:26" ht="19.5">
      <c r="A594" s="572"/>
      <c r="B594" s="584"/>
      <c r="C594" s="584"/>
      <c r="D594" s="584"/>
      <c r="E594" s="592"/>
      <c r="F594" s="592"/>
      <c r="G594" s="726"/>
      <c r="H594" s="731" t="s">
        <v>34</v>
      </c>
      <c r="I594" s="193">
        <f ca="1">IFERROR(__xludf.DUMMYFUNCTION("IMPORTRANGE(""https://docs.google.com/spreadsheets/d/1QqKyyYR6Q21VydFLVH3TRQUabQu_ym0Zz7PgGX0-kHA/edit?usp=sharing"",""แผน!HI15"")"),500)</f>
        <v>500</v>
      </c>
      <c r="J594" s="193">
        <f t="shared" si="254"/>
        <v>0</v>
      </c>
      <c r="K594" s="379">
        <f t="shared" ca="1" si="253"/>
        <v>0</v>
      </c>
      <c r="L594" s="163"/>
      <c r="M594" s="163"/>
      <c r="N594" s="163"/>
      <c r="O594" s="163"/>
      <c r="P594" s="163"/>
      <c r="Q594" s="541"/>
      <c r="R594" s="541"/>
      <c r="S594" s="541"/>
      <c r="T594" s="541"/>
      <c r="U594" s="541"/>
      <c r="V594" s="541"/>
      <c r="W594" s="541"/>
      <c r="X594" s="541"/>
      <c r="Y594" s="541"/>
      <c r="Z594" s="541"/>
    </row>
    <row r="595" spans="1:26" ht="18.75">
      <c r="A595" s="572"/>
      <c r="B595" s="584"/>
      <c r="C595" s="584" t="s">
        <v>253</v>
      </c>
      <c r="D595" s="584"/>
      <c r="E595" s="584"/>
      <c r="F595" s="592"/>
      <c r="G595" s="726"/>
      <c r="H595" s="728" t="s">
        <v>46</v>
      </c>
      <c r="I595" s="184"/>
      <c r="J595" s="184">
        <f t="shared" ref="J595:J596" si="255">J597+J599</f>
        <v>0</v>
      </c>
      <c r="K595" s="163"/>
      <c r="L595" s="163"/>
      <c r="M595" s="163"/>
      <c r="N595" s="163"/>
      <c r="O595" s="163"/>
      <c r="P595" s="163"/>
      <c r="Q595" s="541"/>
      <c r="R595" s="541"/>
      <c r="S595" s="541"/>
      <c r="T595" s="541"/>
      <c r="U595" s="541"/>
      <c r="V595" s="541"/>
      <c r="W595" s="541"/>
      <c r="X595" s="541"/>
      <c r="Y595" s="541"/>
      <c r="Z595" s="541"/>
    </row>
    <row r="596" spans="1:26" ht="18.75">
      <c r="A596" s="572"/>
      <c r="B596" s="584"/>
      <c r="C596" s="584"/>
      <c r="D596" s="584"/>
      <c r="E596" s="592"/>
      <c r="F596" s="592"/>
      <c r="G596" s="726"/>
      <c r="H596" s="728" t="s">
        <v>34</v>
      </c>
      <c r="I596" s="184"/>
      <c r="J596" s="184">
        <f t="shared" si="255"/>
        <v>0</v>
      </c>
      <c r="K596" s="163"/>
      <c r="L596" s="163"/>
      <c r="M596" s="163"/>
      <c r="N596" s="163"/>
      <c r="O596" s="163"/>
      <c r="P596" s="163"/>
      <c r="Q596" s="541"/>
      <c r="R596" s="541"/>
      <c r="S596" s="541"/>
      <c r="T596" s="541"/>
      <c r="U596" s="541"/>
      <c r="V596" s="541"/>
      <c r="W596" s="541"/>
      <c r="X596" s="541"/>
      <c r="Y596" s="541"/>
      <c r="Z596" s="541"/>
    </row>
    <row r="597" spans="1:26" ht="18.75">
      <c r="A597" s="572"/>
      <c r="B597" s="584"/>
      <c r="C597" s="584"/>
      <c r="D597" s="710" t="s">
        <v>254</v>
      </c>
      <c r="E597" s="592"/>
      <c r="F597" s="592"/>
      <c r="G597" s="726"/>
      <c r="H597" s="728" t="s">
        <v>46</v>
      </c>
      <c r="I597" s="184"/>
      <c r="J597" s="214">
        <v>0</v>
      </c>
      <c r="K597" s="163"/>
      <c r="L597" s="163"/>
      <c r="M597" s="163"/>
      <c r="N597" s="163"/>
      <c r="O597" s="163"/>
      <c r="P597" s="163"/>
      <c r="Q597" s="541"/>
      <c r="R597" s="541"/>
      <c r="S597" s="541"/>
      <c r="T597" s="541"/>
      <c r="U597" s="541"/>
      <c r="V597" s="541"/>
      <c r="W597" s="541"/>
      <c r="X597" s="541"/>
      <c r="Y597" s="541"/>
      <c r="Z597" s="541"/>
    </row>
    <row r="598" spans="1:26" ht="18.75">
      <c r="A598" s="572"/>
      <c r="B598" s="584"/>
      <c r="C598" s="584"/>
      <c r="D598" s="584"/>
      <c r="E598" s="592"/>
      <c r="F598" s="592"/>
      <c r="G598" s="726"/>
      <c r="H598" s="728" t="s">
        <v>34</v>
      </c>
      <c r="I598" s="269"/>
      <c r="J598" s="214">
        <v>0</v>
      </c>
      <c r="K598" s="163"/>
      <c r="L598" s="163"/>
      <c r="M598" s="163"/>
      <c r="N598" s="163"/>
      <c r="O598" s="163"/>
      <c r="P598" s="163"/>
      <c r="Q598" s="541"/>
      <c r="R598" s="541"/>
      <c r="S598" s="541"/>
      <c r="T598" s="541"/>
      <c r="U598" s="541"/>
      <c r="V598" s="541"/>
      <c r="W598" s="541"/>
      <c r="X598" s="541"/>
      <c r="Y598" s="541"/>
      <c r="Z598" s="541"/>
    </row>
    <row r="599" spans="1:26" ht="18.75">
      <c r="A599" s="572"/>
      <c r="B599" s="584"/>
      <c r="C599" s="584"/>
      <c r="D599" s="710" t="s">
        <v>255</v>
      </c>
      <c r="E599" s="592"/>
      <c r="F599" s="592"/>
      <c r="G599" s="726"/>
      <c r="H599" s="728" t="s">
        <v>46</v>
      </c>
      <c r="I599" s="269"/>
      <c r="J599" s="214">
        <v>0</v>
      </c>
      <c r="K599" s="163"/>
      <c r="L599" s="163"/>
      <c r="M599" s="163"/>
      <c r="N599" s="163"/>
      <c r="O599" s="163"/>
      <c r="P599" s="163"/>
      <c r="Q599" s="541"/>
      <c r="R599" s="541"/>
      <c r="S599" s="541"/>
      <c r="T599" s="541"/>
      <c r="U599" s="541"/>
      <c r="V599" s="541"/>
      <c r="W599" s="541"/>
      <c r="X599" s="541"/>
      <c r="Y599" s="541"/>
      <c r="Z599" s="541"/>
    </row>
    <row r="600" spans="1:26" ht="18.75">
      <c r="A600" s="572"/>
      <c r="B600" s="584"/>
      <c r="C600" s="584"/>
      <c r="D600" s="584"/>
      <c r="E600" s="592"/>
      <c r="F600" s="592"/>
      <c r="G600" s="726"/>
      <c r="H600" s="728" t="s">
        <v>34</v>
      </c>
      <c r="I600" s="269"/>
      <c r="J600" s="214">
        <v>0</v>
      </c>
      <c r="K600" s="163"/>
      <c r="L600" s="163"/>
      <c r="M600" s="163"/>
      <c r="N600" s="163"/>
      <c r="O600" s="163"/>
      <c r="P600" s="163"/>
      <c r="Q600" s="541"/>
      <c r="R600" s="541"/>
      <c r="S600" s="541"/>
      <c r="T600" s="541"/>
      <c r="U600" s="541"/>
      <c r="V600" s="541"/>
      <c r="W600" s="541"/>
      <c r="X600" s="541"/>
      <c r="Y600" s="541"/>
      <c r="Z600" s="541"/>
    </row>
    <row r="601" spans="1:26" ht="18.75">
      <c r="A601" s="572"/>
      <c r="B601" s="584"/>
      <c r="C601" s="584"/>
      <c r="D601" s="710" t="s">
        <v>256</v>
      </c>
      <c r="E601" s="592"/>
      <c r="F601" s="592"/>
      <c r="G601" s="726"/>
      <c r="H601" s="728" t="s">
        <v>46</v>
      </c>
      <c r="I601" s="269"/>
      <c r="J601" s="214">
        <v>0</v>
      </c>
      <c r="K601" s="163"/>
      <c r="L601" s="163"/>
      <c r="M601" s="163"/>
      <c r="N601" s="163"/>
      <c r="O601" s="163"/>
      <c r="P601" s="163"/>
      <c r="Q601" s="541"/>
      <c r="R601" s="541"/>
      <c r="S601" s="541"/>
      <c r="T601" s="541"/>
      <c r="U601" s="541"/>
      <c r="V601" s="541"/>
      <c r="W601" s="541"/>
      <c r="X601" s="541"/>
      <c r="Y601" s="541"/>
      <c r="Z601" s="541"/>
    </row>
    <row r="602" spans="1:26" ht="18.75">
      <c r="A602" s="572"/>
      <c r="B602" s="584"/>
      <c r="C602" s="584"/>
      <c r="D602" s="584"/>
      <c r="E602" s="592"/>
      <c r="F602" s="592"/>
      <c r="G602" s="726"/>
      <c r="H602" s="728" t="s">
        <v>34</v>
      </c>
      <c r="I602" s="269"/>
      <c r="J602" s="214">
        <v>0</v>
      </c>
      <c r="K602" s="163"/>
      <c r="L602" s="163"/>
      <c r="M602" s="163"/>
      <c r="N602" s="163"/>
      <c r="O602" s="163"/>
      <c r="P602" s="163"/>
      <c r="Q602" s="541"/>
      <c r="R602" s="541"/>
      <c r="S602" s="541"/>
      <c r="T602" s="541"/>
      <c r="U602" s="541"/>
      <c r="V602" s="541"/>
      <c r="W602" s="541"/>
      <c r="X602" s="541"/>
      <c r="Y602" s="541"/>
      <c r="Z602" s="541"/>
    </row>
    <row r="603" spans="1:26" ht="18.75">
      <c r="A603" s="572"/>
      <c r="B603" s="584"/>
      <c r="C603" s="669" t="s">
        <v>257</v>
      </c>
      <c r="D603" s="584"/>
      <c r="E603" s="584"/>
      <c r="F603" s="592"/>
      <c r="G603" s="726"/>
      <c r="H603" s="728" t="s">
        <v>46</v>
      </c>
      <c r="I603" s="269"/>
      <c r="J603" s="269">
        <f t="shared" ref="J603:J604" si="256">J605+J607</f>
        <v>0</v>
      </c>
      <c r="K603" s="163"/>
      <c r="L603" s="163"/>
      <c r="M603" s="163"/>
      <c r="N603" s="163"/>
      <c r="O603" s="163"/>
      <c r="P603" s="163"/>
      <c r="Q603" s="541"/>
      <c r="R603" s="541"/>
      <c r="S603" s="541"/>
      <c r="T603" s="541"/>
      <c r="U603" s="541"/>
      <c r="V603" s="541"/>
      <c r="W603" s="541"/>
      <c r="X603" s="541"/>
      <c r="Y603" s="541"/>
      <c r="Z603" s="541"/>
    </row>
    <row r="604" spans="1:26" ht="18.75">
      <c r="A604" s="572"/>
      <c r="B604" s="584"/>
      <c r="C604" s="584"/>
      <c r="D604" s="584"/>
      <c r="E604" s="592"/>
      <c r="F604" s="592"/>
      <c r="G604" s="726"/>
      <c r="H604" s="728" t="s">
        <v>34</v>
      </c>
      <c r="I604" s="269"/>
      <c r="J604" s="269">
        <f t="shared" si="256"/>
        <v>0</v>
      </c>
      <c r="K604" s="163"/>
      <c r="L604" s="163"/>
      <c r="M604" s="163"/>
      <c r="N604" s="163"/>
      <c r="O604" s="163"/>
      <c r="P604" s="163"/>
      <c r="Q604" s="541"/>
      <c r="R604" s="541"/>
      <c r="S604" s="541"/>
      <c r="T604" s="541"/>
      <c r="U604" s="541"/>
      <c r="V604" s="541"/>
      <c r="W604" s="541"/>
      <c r="X604" s="541"/>
      <c r="Y604" s="541"/>
      <c r="Z604" s="541"/>
    </row>
    <row r="605" spans="1:26" ht="18.75">
      <c r="A605" s="572"/>
      <c r="B605" s="584"/>
      <c r="C605" s="584"/>
      <c r="D605" s="669" t="s">
        <v>258</v>
      </c>
      <c r="E605" s="592"/>
      <c r="F605" s="592"/>
      <c r="G605" s="726"/>
      <c r="H605" s="728" t="s">
        <v>46</v>
      </c>
      <c r="I605" s="269"/>
      <c r="J605" s="214">
        <v>0</v>
      </c>
      <c r="K605" s="163"/>
      <c r="L605" s="163"/>
      <c r="M605" s="163"/>
      <c r="N605" s="163"/>
      <c r="O605" s="163"/>
      <c r="P605" s="163"/>
      <c r="Q605" s="541"/>
      <c r="R605" s="541"/>
      <c r="S605" s="541"/>
      <c r="T605" s="541"/>
      <c r="U605" s="541"/>
      <c r="V605" s="541"/>
      <c r="W605" s="541"/>
      <c r="X605" s="541"/>
      <c r="Y605" s="541"/>
      <c r="Z605" s="541"/>
    </row>
    <row r="606" spans="1:26" ht="18.75">
      <c r="A606" s="572"/>
      <c r="B606" s="584"/>
      <c r="C606" s="584"/>
      <c r="D606" s="584"/>
      <c r="E606" s="584"/>
      <c r="F606" s="592"/>
      <c r="G606" s="726"/>
      <c r="H606" s="728" t="s">
        <v>34</v>
      </c>
      <c r="I606" s="269"/>
      <c r="J606" s="214">
        <v>0</v>
      </c>
      <c r="K606" s="163"/>
      <c r="L606" s="163"/>
      <c r="M606" s="163"/>
      <c r="N606" s="163"/>
      <c r="O606" s="163"/>
      <c r="P606" s="163"/>
      <c r="Q606" s="541"/>
      <c r="R606" s="541"/>
      <c r="S606" s="541"/>
      <c r="T606" s="541"/>
      <c r="U606" s="541"/>
      <c r="V606" s="541"/>
      <c r="W606" s="541"/>
      <c r="X606" s="541"/>
      <c r="Y606" s="541"/>
      <c r="Z606" s="541"/>
    </row>
    <row r="607" spans="1:26" ht="18.75">
      <c r="A607" s="572"/>
      <c r="B607" s="584"/>
      <c r="C607" s="584"/>
      <c r="D607" s="669" t="s">
        <v>259</v>
      </c>
      <c r="E607" s="584"/>
      <c r="F607" s="592"/>
      <c r="G607" s="726"/>
      <c r="H607" s="728" t="s">
        <v>46</v>
      </c>
      <c r="I607" s="269"/>
      <c r="J607" s="214">
        <v>0</v>
      </c>
      <c r="K607" s="163"/>
      <c r="L607" s="163"/>
      <c r="M607" s="163"/>
      <c r="N607" s="163"/>
      <c r="O607" s="163"/>
      <c r="P607" s="163"/>
      <c r="Q607" s="541"/>
      <c r="R607" s="541"/>
      <c r="S607" s="541"/>
      <c r="T607" s="541"/>
      <c r="U607" s="541"/>
      <c r="V607" s="541"/>
      <c r="W607" s="541"/>
      <c r="X607" s="541"/>
      <c r="Y607" s="541"/>
      <c r="Z607" s="541"/>
    </row>
    <row r="608" spans="1:26" ht="18.75">
      <c r="A608" s="572"/>
      <c r="B608" s="584"/>
      <c r="C608" s="584"/>
      <c r="D608" s="584"/>
      <c r="E608" s="592"/>
      <c r="F608" s="592"/>
      <c r="G608" s="726"/>
      <c r="H608" s="728" t="s">
        <v>34</v>
      </c>
      <c r="I608" s="269"/>
      <c r="J608" s="214">
        <v>0</v>
      </c>
      <c r="K608" s="163"/>
      <c r="L608" s="163"/>
      <c r="M608" s="163"/>
      <c r="N608" s="163"/>
      <c r="O608" s="163"/>
      <c r="P608" s="163"/>
      <c r="Q608" s="541"/>
      <c r="R608" s="541"/>
      <c r="S608" s="541"/>
      <c r="T608" s="541"/>
      <c r="U608" s="541"/>
      <c r="V608" s="541"/>
      <c r="W608" s="541"/>
      <c r="X608" s="541"/>
      <c r="Y608" s="541"/>
      <c r="Z608" s="541"/>
    </row>
    <row r="609" spans="1:26" ht="18.75">
      <c r="A609" s="572"/>
      <c r="B609" s="584"/>
      <c r="C609" s="584" t="s">
        <v>260</v>
      </c>
      <c r="D609" s="584"/>
      <c r="E609" s="584"/>
      <c r="F609" s="592"/>
      <c r="G609" s="726"/>
      <c r="H609" s="728" t="s">
        <v>46</v>
      </c>
      <c r="I609" s="269"/>
      <c r="J609" s="214">
        <v>0</v>
      </c>
      <c r="K609" s="163"/>
      <c r="L609" s="163"/>
      <c r="M609" s="163"/>
      <c r="N609" s="163"/>
      <c r="O609" s="163"/>
      <c r="P609" s="163"/>
      <c r="Q609" s="541"/>
      <c r="R609" s="541"/>
      <c r="S609" s="541"/>
      <c r="T609" s="541"/>
      <c r="U609" s="541"/>
      <c r="V609" s="541"/>
      <c r="W609" s="541"/>
      <c r="X609" s="541"/>
      <c r="Y609" s="541"/>
      <c r="Z609" s="541"/>
    </row>
    <row r="610" spans="1:26" ht="18.75">
      <c r="A610" s="572"/>
      <c r="B610" s="584"/>
      <c r="C610" s="584"/>
      <c r="D610" s="584"/>
      <c r="E610" s="592"/>
      <c r="F610" s="592"/>
      <c r="G610" s="726"/>
      <c r="H610" s="728" t="s">
        <v>34</v>
      </c>
      <c r="I610" s="269"/>
      <c r="J610" s="214">
        <v>0</v>
      </c>
      <c r="K610" s="163"/>
      <c r="L610" s="163"/>
      <c r="M610" s="163"/>
      <c r="N610" s="163"/>
      <c r="O610" s="163"/>
      <c r="P610" s="163"/>
      <c r="Q610" s="541"/>
      <c r="R610" s="541"/>
      <c r="S610" s="541"/>
      <c r="T610" s="541"/>
      <c r="U610" s="541"/>
      <c r="V610" s="541"/>
      <c r="W610" s="541"/>
      <c r="X610" s="541"/>
      <c r="Y610" s="541"/>
      <c r="Z610" s="541"/>
    </row>
    <row r="611" spans="1:26" ht="19.5">
      <c r="A611" s="658"/>
      <c r="B611" s="670" t="s">
        <v>261</v>
      </c>
      <c r="C611" s="660"/>
      <c r="D611" s="660"/>
      <c r="E611" s="639"/>
      <c r="F611" s="639"/>
      <c r="G611" s="640"/>
      <c r="H611" s="671" t="s">
        <v>46</v>
      </c>
      <c r="I611" s="672">
        <v>0</v>
      </c>
      <c r="J611" s="672">
        <f>J614+J616</f>
        <v>0</v>
      </c>
      <c r="K611" s="643">
        <f t="shared" ref="K611:K613" si="257">IF(I611&gt;0,J611*100/I611,0)</f>
        <v>0</v>
      </c>
      <c r="L611" s="644"/>
      <c r="M611" s="644"/>
      <c r="N611" s="644"/>
      <c r="O611" s="644"/>
      <c r="P611" s="644"/>
      <c r="Q611" s="541"/>
      <c r="R611" s="541"/>
      <c r="S611" s="541"/>
      <c r="T611" s="541"/>
      <c r="U611" s="541"/>
      <c r="V611" s="541"/>
      <c r="W611" s="541"/>
      <c r="X611" s="541"/>
      <c r="Y611" s="541"/>
      <c r="Z611" s="541"/>
    </row>
    <row r="612" spans="1:26" ht="19.5" hidden="1">
      <c r="A612" s="673"/>
      <c r="B612" s="683"/>
      <c r="C612" s="675" t="s">
        <v>262</v>
      </c>
      <c r="D612" s="683"/>
      <c r="E612" s="683"/>
      <c r="F612" s="676"/>
      <c r="G612" s="677"/>
      <c r="H612" s="678" t="s">
        <v>46</v>
      </c>
      <c r="I612" s="680">
        <v>0</v>
      </c>
      <c r="J612" s="680">
        <f t="shared" ref="J612:J613" si="258">J614+J616</f>
        <v>0</v>
      </c>
      <c r="K612" s="681">
        <f t="shared" si="257"/>
        <v>0</v>
      </c>
      <c r="L612" s="682"/>
      <c r="M612" s="682"/>
      <c r="N612" s="682"/>
      <c r="O612" s="682"/>
      <c r="P612" s="682"/>
      <c r="Q612" s="568"/>
      <c r="R612" s="568"/>
      <c r="S612" s="568"/>
      <c r="T612" s="568"/>
      <c r="U612" s="568"/>
      <c r="V612" s="568"/>
      <c r="W612" s="568"/>
      <c r="X612" s="568"/>
      <c r="Y612" s="568"/>
      <c r="Z612" s="568"/>
    </row>
    <row r="613" spans="1:26" ht="19.5" hidden="1">
      <c r="A613" s="673"/>
      <c r="B613" s="683"/>
      <c r="C613" s="683" t="s">
        <v>263</v>
      </c>
      <c r="D613" s="683"/>
      <c r="E613" s="683"/>
      <c r="F613" s="676"/>
      <c r="G613" s="677"/>
      <c r="H613" s="678" t="s">
        <v>34</v>
      </c>
      <c r="I613" s="680">
        <v>0</v>
      </c>
      <c r="J613" s="680">
        <f t="shared" si="258"/>
        <v>0</v>
      </c>
      <c r="K613" s="681">
        <f t="shared" si="257"/>
        <v>0</v>
      </c>
      <c r="L613" s="682"/>
      <c r="M613" s="682"/>
      <c r="N613" s="682"/>
      <c r="O613" s="682"/>
      <c r="P613" s="682"/>
      <c r="Q613" s="568"/>
      <c r="R613" s="568"/>
      <c r="S613" s="568"/>
      <c r="T613" s="568"/>
      <c r="U613" s="568"/>
      <c r="V613" s="568"/>
      <c r="W613" s="568"/>
      <c r="X613" s="568"/>
      <c r="Y613" s="568"/>
      <c r="Z613" s="568"/>
    </row>
    <row r="614" spans="1:26" ht="18.75" hidden="1">
      <c r="A614" s="578"/>
      <c r="B614" s="580"/>
      <c r="C614" s="580"/>
      <c r="D614" s="684" t="s">
        <v>264</v>
      </c>
      <c r="E614" s="580"/>
      <c r="F614" s="684"/>
      <c r="G614" s="581"/>
      <c r="H614" s="582" t="s">
        <v>46</v>
      </c>
      <c r="I614" s="583"/>
      <c r="J614" s="583">
        <v>0</v>
      </c>
      <c r="K614" s="167"/>
      <c r="L614" s="167"/>
      <c r="M614" s="167"/>
      <c r="N614" s="167"/>
      <c r="O614" s="167"/>
      <c r="P614" s="167"/>
      <c r="Q614" s="568"/>
      <c r="R614" s="568"/>
      <c r="S614" s="568"/>
      <c r="T614" s="568"/>
      <c r="U614" s="568"/>
      <c r="V614" s="568"/>
      <c r="W614" s="568"/>
      <c r="X614" s="568"/>
      <c r="Y614" s="568"/>
      <c r="Z614" s="568"/>
    </row>
    <row r="615" spans="1:26" ht="18.75" hidden="1">
      <c r="A615" s="578"/>
      <c r="B615" s="580"/>
      <c r="C615" s="580"/>
      <c r="D615" s="580"/>
      <c r="E615" s="580"/>
      <c r="F615" s="684"/>
      <c r="G615" s="581"/>
      <c r="H615" s="582" t="s">
        <v>34</v>
      </c>
      <c r="I615" s="583"/>
      <c r="J615" s="583">
        <v>0</v>
      </c>
      <c r="K615" s="167"/>
      <c r="L615" s="167"/>
      <c r="M615" s="167"/>
      <c r="N615" s="167"/>
      <c r="O615" s="167"/>
      <c r="P615" s="167"/>
      <c r="Q615" s="568"/>
      <c r="R615" s="568"/>
      <c r="S615" s="568"/>
      <c r="T615" s="568"/>
      <c r="U615" s="568"/>
      <c r="V615" s="568"/>
      <c r="W615" s="568"/>
      <c r="X615" s="568"/>
      <c r="Y615" s="568"/>
      <c r="Z615" s="568"/>
    </row>
    <row r="616" spans="1:26" ht="18.75" hidden="1">
      <c r="A616" s="578"/>
      <c r="B616" s="580"/>
      <c r="C616" s="580"/>
      <c r="D616" s="685" t="s">
        <v>264</v>
      </c>
      <c r="E616" s="684"/>
      <c r="F616" s="684"/>
      <c r="G616" s="581"/>
      <c r="H616" s="582" t="s">
        <v>46</v>
      </c>
      <c r="I616" s="583"/>
      <c r="J616" s="583">
        <v>0</v>
      </c>
      <c r="K616" s="167"/>
      <c r="L616" s="167"/>
      <c r="M616" s="167"/>
      <c r="N616" s="167"/>
      <c r="O616" s="167"/>
      <c r="P616" s="167"/>
      <c r="Q616" s="568"/>
      <c r="R616" s="568"/>
      <c r="S616" s="568"/>
      <c r="T616" s="568"/>
      <c r="U616" s="568"/>
      <c r="V616" s="568"/>
      <c r="W616" s="568"/>
      <c r="X616" s="568"/>
      <c r="Y616" s="568"/>
      <c r="Z616" s="568"/>
    </row>
    <row r="617" spans="1:26" ht="18.75" hidden="1">
      <c r="A617" s="578"/>
      <c r="B617" s="580"/>
      <c r="C617" s="580"/>
      <c r="D617" s="580"/>
      <c r="E617" s="684"/>
      <c r="F617" s="684"/>
      <c r="G617" s="581"/>
      <c r="H617" s="582" t="s">
        <v>34</v>
      </c>
      <c r="I617" s="583"/>
      <c r="J617" s="583">
        <v>0</v>
      </c>
      <c r="K617" s="167"/>
      <c r="L617" s="167"/>
      <c r="M617" s="167"/>
      <c r="N617" s="167"/>
      <c r="O617" s="167"/>
      <c r="P617" s="167"/>
      <c r="Q617" s="568"/>
      <c r="R617" s="568"/>
      <c r="S617" s="568"/>
      <c r="T617" s="568"/>
      <c r="U617" s="568"/>
      <c r="V617" s="568"/>
      <c r="W617" s="568"/>
      <c r="X617" s="568"/>
      <c r="Y617" s="568"/>
      <c r="Z617" s="568"/>
    </row>
    <row r="618" spans="1:26" ht="18.75" hidden="1">
      <c r="A618" s="578"/>
      <c r="B618" s="580"/>
      <c r="C618" s="580"/>
      <c r="D618" s="685" t="s">
        <v>265</v>
      </c>
      <c r="E618" s="684"/>
      <c r="F618" s="684"/>
      <c r="G618" s="581"/>
      <c r="H618" s="582" t="s">
        <v>46</v>
      </c>
      <c r="I618" s="583"/>
      <c r="J618" s="583">
        <v>0</v>
      </c>
      <c r="K618" s="167"/>
      <c r="L618" s="167"/>
      <c r="M618" s="167"/>
      <c r="N618" s="167"/>
      <c r="O618" s="167"/>
      <c r="P618" s="167"/>
      <c r="Q618" s="568"/>
      <c r="R618" s="568"/>
      <c r="S618" s="568"/>
      <c r="T618" s="568"/>
      <c r="U618" s="568"/>
      <c r="V618" s="568"/>
      <c r="W618" s="568"/>
      <c r="X618" s="568"/>
      <c r="Y618" s="568"/>
      <c r="Z618" s="568"/>
    </row>
    <row r="619" spans="1:26" ht="18.75" hidden="1">
      <c r="A619" s="578"/>
      <c r="B619" s="580"/>
      <c r="C619" s="580"/>
      <c r="D619" s="580"/>
      <c r="E619" s="684"/>
      <c r="F619" s="684"/>
      <c r="G619" s="581"/>
      <c r="H619" s="582" t="s">
        <v>34</v>
      </c>
      <c r="I619" s="583"/>
      <c r="J619" s="583">
        <v>0</v>
      </c>
      <c r="K619" s="167"/>
      <c r="L619" s="167"/>
      <c r="M619" s="167"/>
      <c r="N619" s="167"/>
      <c r="O619" s="167"/>
      <c r="P619" s="167"/>
      <c r="Q619" s="568"/>
      <c r="R619" s="568"/>
      <c r="S619" s="568"/>
      <c r="T619" s="568"/>
      <c r="U619" s="568"/>
      <c r="V619" s="568"/>
      <c r="W619" s="568"/>
      <c r="X619" s="568"/>
      <c r="Y619" s="568"/>
      <c r="Z619" s="568"/>
    </row>
    <row r="620" spans="1:26" ht="19.5">
      <c r="A620" s="686"/>
      <c r="B620" s="695"/>
      <c r="C620" s="688" t="s">
        <v>266</v>
      </c>
      <c r="D620" s="695"/>
      <c r="E620" s="695"/>
      <c r="F620" s="689"/>
      <c r="G620" s="690"/>
      <c r="H620" s="691" t="s">
        <v>46</v>
      </c>
      <c r="I620" s="692">
        <f ca="1">IFERROR(__xludf.DUMMYFUNCTION("IMPORTRANGE(""https://docs.google.com/spreadsheets/d/1QqKyyYR6Q21VydFLVH3TRQUabQu_ym0Zz7PgGX0-kHA/edit?usp=sharing"",""แผน!HL15"")"),0)</f>
        <v>0</v>
      </c>
      <c r="J620" s="692">
        <f t="shared" ref="J620:J621" si="259">J622+J624+J626</f>
        <v>0</v>
      </c>
      <c r="K620" s="693">
        <f t="shared" ref="K620:K621" ca="1" si="260">IF(I620&gt;0,J620*100/I620,0)</f>
        <v>0</v>
      </c>
      <c r="L620" s="694"/>
      <c r="M620" s="694"/>
      <c r="N620" s="694"/>
      <c r="O620" s="694"/>
      <c r="P620" s="694"/>
      <c r="Q620" s="541"/>
      <c r="R620" s="541"/>
      <c r="S620" s="541"/>
      <c r="T620" s="541"/>
      <c r="U620" s="541"/>
      <c r="V620" s="541"/>
      <c r="W620" s="541"/>
      <c r="X620" s="541"/>
      <c r="Y620" s="541"/>
      <c r="Z620" s="541"/>
    </row>
    <row r="621" spans="1:26" ht="19.5">
      <c r="A621" s="686"/>
      <c r="B621" s="695"/>
      <c r="C621" s="695" t="s">
        <v>267</v>
      </c>
      <c r="D621" s="695"/>
      <c r="E621" s="695"/>
      <c r="F621" s="689"/>
      <c r="G621" s="690"/>
      <c r="H621" s="691" t="s">
        <v>34</v>
      </c>
      <c r="I621" s="692">
        <f ca="1">IFERROR(__xludf.DUMMYFUNCTION("IMPORTRANGE(""https://docs.google.com/spreadsheets/d/1QqKyyYR6Q21VydFLVH3TRQUabQu_ym0Zz7PgGX0-kHA/edit?usp=sharing"",""แผน!HK15"")"),0)</f>
        <v>0</v>
      </c>
      <c r="J621" s="692">
        <f t="shared" si="259"/>
        <v>0</v>
      </c>
      <c r="K621" s="693">
        <f t="shared" ca="1" si="260"/>
        <v>0</v>
      </c>
      <c r="L621" s="694"/>
      <c r="M621" s="694"/>
      <c r="N621" s="694"/>
      <c r="O621" s="694"/>
      <c r="P621" s="694"/>
      <c r="Q621" s="541"/>
      <c r="R621" s="541"/>
      <c r="S621" s="541"/>
      <c r="T621" s="541"/>
      <c r="U621" s="541"/>
      <c r="V621" s="541"/>
      <c r="W621" s="541"/>
      <c r="X621" s="541"/>
      <c r="Y621" s="541"/>
      <c r="Z621" s="541"/>
    </row>
    <row r="622" spans="1:26" ht="18.75">
      <c r="A622" s="572"/>
      <c r="B622" s="584"/>
      <c r="C622" s="584"/>
      <c r="D622" s="710" t="s">
        <v>268</v>
      </c>
      <c r="E622" s="592"/>
      <c r="F622" s="592"/>
      <c r="G622" s="726"/>
      <c r="H622" s="728" t="s">
        <v>46</v>
      </c>
      <c r="I622" s="269"/>
      <c r="J622" s="214">
        <v>0</v>
      </c>
      <c r="K622" s="163"/>
      <c r="L622" s="163"/>
      <c r="M622" s="163"/>
      <c r="N622" s="163"/>
      <c r="O622" s="163"/>
      <c r="P622" s="163"/>
      <c r="Q622" s="541"/>
      <c r="R622" s="541"/>
      <c r="S622" s="541"/>
      <c r="T622" s="541"/>
      <c r="U622" s="541"/>
      <c r="V622" s="541"/>
      <c r="W622" s="541"/>
      <c r="X622" s="541"/>
      <c r="Y622" s="541"/>
      <c r="Z622" s="541"/>
    </row>
    <row r="623" spans="1:26" ht="18.75">
      <c r="A623" s="572"/>
      <c r="B623" s="584"/>
      <c r="C623" s="584"/>
      <c r="D623" s="584"/>
      <c r="E623" s="592"/>
      <c r="F623" s="592"/>
      <c r="G623" s="726"/>
      <c r="H623" s="728" t="s">
        <v>34</v>
      </c>
      <c r="I623" s="269"/>
      <c r="J623" s="214">
        <v>0</v>
      </c>
      <c r="K623" s="163"/>
      <c r="L623" s="163"/>
      <c r="M623" s="163"/>
      <c r="N623" s="163"/>
      <c r="O623" s="163"/>
      <c r="P623" s="163"/>
      <c r="Q623" s="541"/>
      <c r="R623" s="541"/>
      <c r="S623" s="541"/>
      <c r="T623" s="541"/>
      <c r="U623" s="541"/>
      <c r="V623" s="541"/>
      <c r="W623" s="541"/>
      <c r="X623" s="541"/>
      <c r="Y623" s="541"/>
      <c r="Z623" s="541"/>
    </row>
    <row r="624" spans="1:26" ht="18.75">
      <c r="A624" s="572"/>
      <c r="B624" s="584"/>
      <c r="C624" s="584"/>
      <c r="D624" s="710" t="s">
        <v>264</v>
      </c>
      <c r="E624" s="592"/>
      <c r="F624" s="592"/>
      <c r="G624" s="726"/>
      <c r="H624" s="728" t="s">
        <v>46</v>
      </c>
      <c r="I624" s="269"/>
      <c r="J624" s="214">
        <v>0</v>
      </c>
      <c r="K624" s="163"/>
      <c r="L624" s="163"/>
      <c r="M624" s="163"/>
      <c r="N624" s="163"/>
      <c r="O624" s="163"/>
      <c r="P624" s="163"/>
      <c r="Q624" s="541"/>
      <c r="R624" s="541"/>
      <c r="S624" s="541"/>
      <c r="T624" s="541"/>
      <c r="U624" s="541"/>
      <c r="V624" s="541"/>
      <c r="W624" s="541"/>
      <c r="X624" s="541"/>
      <c r="Y624" s="541"/>
      <c r="Z624" s="541"/>
    </row>
    <row r="625" spans="1:26" ht="18.75">
      <c r="A625" s="572"/>
      <c r="B625" s="584"/>
      <c r="C625" s="584"/>
      <c r="D625" s="584"/>
      <c r="E625" s="592"/>
      <c r="F625" s="592"/>
      <c r="G625" s="726"/>
      <c r="H625" s="728" t="s">
        <v>34</v>
      </c>
      <c r="I625" s="269"/>
      <c r="J625" s="214">
        <v>0</v>
      </c>
      <c r="K625" s="163"/>
      <c r="L625" s="163"/>
      <c r="M625" s="163"/>
      <c r="N625" s="163"/>
      <c r="O625" s="163"/>
      <c r="P625" s="163"/>
      <c r="Q625" s="541"/>
      <c r="R625" s="541"/>
      <c r="S625" s="541"/>
      <c r="T625" s="541"/>
      <c r="U625" s="541"/>
      <c r="V625" s="541"/>
      <c r="W625" s="541"/>
      <c r="X625" s="541"/>
      <c r="Y625" s="541"/>
      <c r="Z625" s="541"/>
    </row>
    <row r="626" spans="1:26" ht="18.75">
      <c r="A626" s="572"/>
      <c r="B626" s="584"/>
      <c r="C626" s="584"/>
      <c r="D626" s="710" t="s">
        <v>269</v>
      </c>
      <c r="E626" s="592"/>
      <c r="F626" s="592"/>
      <c r="G626" s="726"/>
      <c r="H626" s="728" t="s">
        <v>46</v>
      </c>
      <c r="I626" s="269"/>
      <c r="J626" s="214">
        <v>0</v>
      </c>
      <c r="K626" s="163"/>
      <c r="L626" s="163"/>
      <c r="M626" s="163"/>
      <c r="N626" s="163"/>
      <c r="O626" s="163"/>
      <c r="P626" s="163"/>
      <c r="Q626" s="541"/>
      <c r="R626" s="541"/>
      <c r="S626" s="541"/>
      <c r="T626" s="541"/>
      <c r="U626" s="541"/>
      <c r="V626" s="541"/>
      <c r="W626" s="541"/>
      <c r="X626" s="541"/>
      <c r="Y626" s="541"/>
      <c r="Z626" s="541"/>
    </row>
    <row r="627" spans="1:26" ht="18.75">
      <c r="A627" s="696"/>
      <c r="B627" s="697"/>
      <c r="C627" s="697"/>
      <c r="D627" s="697"/>
      <c r="E627" s="698"/>
      <c r="F627" s="698"/>
      <c r="G627" s="699"/>
      <c r="H627" s="390" t="s">
        <v>34</v>
      </c>
      <c r="I627" s="468"/>
      <c r="J627" s="392">
        <v>0</v>
      </c>
      <c r="K627" s="353"/>
      <c r="L627" s="353"/>
      <c r="M627" s="353"/>
      <c r="N627" s="353"/>
      <c r="O627" s="353"/>
      <c r="P627" s="353"/>
      <c r="Q627" s="541"/>
      <c r="R627" s="541"/>
      <c r="S627" s="541"/>
      <c r="T627" s="541"/>
      <c r="U627" s="541"/>
      <c r="V627" s="541"/>
      <c r="W627" s="541"/>
      <c r="X627" s="541"/>
      <c r="Y627" s="541"/>
      <c r="Z627" s="541"/>
    </row>
    <row r="628" spans="1:26" ht="19.5">
      <c r="A628" s="700">
        <v>7</v>
      </c>
      <c r="B628" s="701" t="s">
        <v>270</v>
      </c>
      <c r="C628" s="702"/>
      <c r="D628" s="702"/>
      <c r="E628" s="702"/>
      <c r="F628" s="702"/>
      <c r="G628" s="703"/>
      <c r="H628" s="704" t="s">
        <v>35</v>
      </c>
      <c r="I628" s="705">
        <f t="shared" ref="I628:J628" ca="1" si="261">I651</f>
        <v>140</v>
      </c>
      <c r="J628" s="705">
        <f t="shared" ca="1" si="261"/>
        <v>0</v>
      </c>
      <c r="K628" s="706">
        <f ca="1">IF(I628&gt;0,J628*100/I628,0)</f>
        <v>0</v>
      </c>
      <c r="L628" s="707"/>
      <c r="M628" s="707"/>
      <c r="N628" s="707"/>
      <c r="O628" s="707"/>
      <c r="P628" s="707"/>
      <c r="Q628" s="541"/>
      <c r="R628" s="541"/>
      <c r="S628" s="541"/>
      <c r="T628" s="541"/>
      <c r="U628" s="541"/>
      <c r="V628" s="541"/>
      <c r="W628" s="541"/>
      <c r="X628" s="541"/>
      <c r="Y628" s="541"/>
      <c r="Z628" s="541"/>
    </row>
    <row r="629" spans="1:26" ht="19.5">
      <c r="A629" s="561"/>
      <c r="B629" s="727"/>
      <c r="C629" s="727" t="s">
        <v>16</v>
      </c>
      <c r="D629" s="811" t="s">
        <v>17</v>
      </c>
      <c r="E629" s="805"/>
      <c r="F629" s="805"/>
      <c r="G629" s="189"/>
      <c r="H629" s="562" t="s">
        <v>12</v>
      </c>
      <c r="I629" s="269"/>
      <c r="J629" s="269"/>
      <c r="K629" s="465"/>
      <c r="L629" s="195">
        <f t="shared" ref="L629:N629" ca="1" si="262">L630+L631</f>
        <v>400230</v>
      </c>
      <c r="M629" s="195">
        <f t="shared" si="262"/>
        <v>0</v>
      </c>
      <c r="N629" s="195">
        <f t="shared" si="262"/>
        <v>0</v>
      </c>
      <c r="O629" s="195">
        <f t="shared" ref="O629:O634" ca="1" si="263">IF(L629&gt;0,N629*100/L629,0)</f>
        <v>0</v>
      </c>
      <c r="P629" s="195">
        <f t="shared" ref="P629:P634" si="264">IF(M629&gt;0,N629*100/M629,0)</f>
        <v>0</v>
      </c>
      <c r="Q629" s="541"/>
      <c r="R629" s="541"/>
      <c r="S629" s="541"/>
      <c r="T629" s="541"/>
      <c r="U629" s="541"/>
      <c r="V629" s="541"/>
      <c r="W629" s="541"/>
      <c r="X629" s="541"/>
      <c r="Y629" s="541"/>
      <c r="Z629" s="541"/>
    </row>
    <row r="630" spans="1:26" ht="18.75" hidden="1">
      <c r="A630" s="563"/>
      <c r="B630" s="723"/>
      <c r="C630" s="723"/>
      <c r="D630" s="684"/>
      <c r="E630" s="723" t="s">
        <v>184</v>
      </c>
      <c r="F630" s="723"/>
      <c r="G630" s="567"/>
      <c r="H630" s="165" t="s">
        <v>12</v>
      </c>
      <c r="I630" s="583"/>
      <c r="J630" s="583"/>
      <c r="K630" s="93"/>
      <c r="L630" s="93">
        <f t="shared" ref="L630:N631" si="265">L633+L640</f>
        <v>0</v>
      </c>
      <c r="M630" s="93">
        <f t="shared" si="265"/>
        <v>0</v>
      </c>
      <c r="N630" s="93">
        <f t="shared" si="265"/>
        <v>0</v>
      </c>
      <c r="O630" s="93">
        <f t="shared" si="263"/>
        <v>0</v>
      </c>
      <c r="P630" s="93">
        <f t="shared" si="264"/>
        <v>0</v>
      </c>
      <c r="Q630" s="568"/>
      <c r="R630" s="568"/>
      <c r="S630" s="568"/>
      <c r="T630" s="568"/>
      <c r="U630" s="568"/>
      <c r="V630" s="568"/>
      <c r="W630" s="568"/>
      <c r="X630" s="568"/>
      <c r="Y630" s="568"/>
      <c r="Z630" s="568"/>
    </row>
    <row r="631" spans="1:26" ht="18.75" hidden="1">
      <c r="A631" s="563"/>
      <c r="B631" s="571"/>
      <c r="C631" s="723"/>
      <c r="D631" s="684"/>
      <c r="E631" s="723" t="s">
        <v>185</v>
      </c>
      <c r="F631" s="723"/>
      <c r="G631" s="567"/>
      <c r="H631" s="165" t="s">
        <v>12</v>
      </c>
      <c r="I631" s="583"/>
      <c r="J631" s="583"/>
      <c r="K631" s="93"/>
      <c r="L631" s="93">
        <f t="shared" ca="1" si="265"/>
        <v>400230</v>
      </c>
      <c r="M631" s="93">
        <f t="shared" si="265"/>
        <v>0</v>
      </c>
      <c r="N631" s="93">
        <f t="shared" si="265"/>
        <v>0</v>
      </c>
      <c r="O631" s="93">
        <f t="shared" ca="1" si="263"/>
        <v>0</v>
      </c>
      <c r="P631" s="93">
        <f t="shared" si="264"/>
        <v>0</v>
      </c>
      <c r="Q631" s="568"/>
      <c r="R631" s="568"/>
      <c r="S631" s="568"/>
      <c r="T631" s="568"/>
      <c r="U631" s="568"/>
      <c r="V631" s="568"/>
      <c r="W631" s="568"/>
      <c r="X631" s="568"/>
      <c r="Y631" s="568"/>
      <c r="Z631" s="568"/>
    </row>
    <row r="632" spans="1:26" ht="18.75">
      <c r="A632" s="561"/>
      <c r="B632" s="538"/>
      <c r="C632" s="727"/>
      <c r="D632" s="570" t="s">
        <v>20</v>
      </c>
      <c r="E632" s="727"/>
      <c r="F632" s="727"/>
      <c r="G632" s="189"/>
      <c r="H632" s="161" t="s">
        <v>12</v>
      </c>
      <c r="I632" s="184"/>
      <c r="J632" s="184"/>
      <c r="K632" s="163"/>
      <c r="L632" s="465">
        <f t="shared" ref="L632:N632" ca="1" si="266">L633+L634</f>
        <v>400230</v>
      </c>
      <c r="M632" s="465">
        <f t="shared" si="266"/>
        <v>0</v>
      </c>
      <c r="N632" s="465">
        <f t="shared" si="266"/>
        <v>0</v>
      </c>
      <c r="O632" s="465">
        <f t="shared" ca="1" si="263"/>
        <v>0</v>
      </c>
      <c r="P632" s="465">
        <f t="shared" si="264"/>
        <v>0</v>
      </c>
      <c r="Q632" s="541"/>
      <c r="R632" s="541"/>
      <c r="S632" s="541"/>
      <c r="T632" s="541"/>
      <c r="U632" s="541"/>
      <c r="V632" s="541"/>
      <c r="W632" s="541"/>
      <c r="X632" s="541"/>
      <c r="Y632" s="541"/>
      <c r="Z632" s="541"/>
    </row>
    <row r="633" spans="1:26" ht="18.75" hidden="1">
      <c r="A633" s="563"/>
      <c r="B633" s="571"/>
      <c r="C633" s="723"/>
      <c r="D633" s="684"/>
      <c r="E633" s="723" t="s">
        <v>184</v>
      </c>
      <c r="F633" s="723"/>
      <c r="G633" s="567"/>
      <c r="H633" s="165" t="s">
        <v>12</v>
      </c>
      <c r="I633" s="583"/>
      <c r="J633" s="583"/>
      <c r="K633" s="93"/>
      <c r="L633" s="93">
        <v>0</v>
      </c>
      <c r="M633" s="93">
        <v>0</v>
      </c>
      <c r="N633" s="93">
        <v>0</v>
      </c>
      <c r="O633" s="93">
        <f t="shared" si="263"/>
        <v>0</v>
      </c>
      <c r="P633" s="93">
        <f t="shared" si="264"/>
        <v>0</v>
      </c>
      <c r="Q633" s="568"/>
      <c r="R633" s="568"/>
      <c r="S633" s="568"/>
      <c r="T633" s="568"/>
      <c r="U633" s="568"/>
      <c r="V633" s="568"/>
      <c r="W633" s="568"/>
      <c r="X633" s="568"/>
      <c r="Y633" s="568"/>
      <c r="Z633" s="568"/>
    </row>
    <row r="634" spans="1:26" ht="18.75" hidden="1">
      <c r="A634" s="563"/>
      <c r="B634" s="571"/>
      <c r="C634" s="723"/>
      <c r="D634" s="684"/>
      <c r="E634" s="723" t="s">
        <v>185</v>
      </c>
      <c r="F634" s="723"/>
      <c r="G634" s="567"/>
      <c r="H634" s="165" t="s">
        <v>12</v>
      </c>
      <c r="I634" s="583"/>
      <c r="J634" s="583"/>
      <c r="K634" s="93"/>
      <c r="L634" s="93">
        <f ca="1">IFERROR(__xludf.DUMMYFUNCTION("IMPORTRANGE(""https://docs.google.com/spreadsheets/d/1QqKyyYR6Q21VydFLVH3TRQUabQu_ym0Zz7PgGX0-kHA/edit?usp=sharing"",""แผน!HN15"")"),400230)</f>
        <v>400230</v>
      </c>
      <c r="M634" s="93">
        <v>0</v>
      </c>
      <c r="N634" s="93">
        <f>N635+N636+N637+N638</f>
        <v>0</v>
      </c>
      <c r="O634" s="93">
        <f t="shared" ca="1" si="263"/>
        <v>0</v>
      </c>
      <c r="P634" s="93">
        <f t="shared" si="264"/>
        <v>0</v>
      </c>
      <c r="Q634" s="568"/>
      <c r="R634" s="568"/>
      <c r="S634" s="568"/>
      <c r="T634" s="568"/>
      <c r="U634" s="568"/>
      <c r="V634" s="568"/>
      <c r="W634" s="568"/>
      <c r="X634" s="568"/>
      <c r="Y634" s="568"/>
      <c r="Z634" s="568"/>
    </row>
    <row r="635" spans="1:26" ht="18.75">
      <c r="A635" s="537"/>
      <c r="B635" s="538"/>
      <c r="C635" s="727"/>
      <c r="D635" s="727"/>
      <c r="E635" s="727"/>
      <c r="F635" s="727" t="s">
        <v>186</v>
      </c>
      <c r="G635" s="189"/>
      <c r="H635" s="161" t="s">
        <v>12</v>
      </c>
      <c r="I635" s="269"/>
      <c r="J635" s="269"/>
      <c r="K635" s="465"/>
      <c r="L635" s="465"/>
      <c r="M635" s="465"/>
      <c r="N635" s="789">
        <v>0</v>
      </c>
      <c r="O635" s="465"/>
      <c r="P635" s="465"/>
      <c r="Q635" s="541"/>
      <c r="R635" s="541"/>
      <c r="S635" s="541"/>
      <c r="T635" s="541"/>
      <c r="U635" s="541"/>
      <c r="V635" s="541"/>
      <c r="W635" s="541"/>
      <c r="X635" s="541"/>
      <c r="Y635" s="541"/>
      <c r="Z635" s="541"/>
    </row>
    <row r="636" spans="1:26" ht="18.75">
      <c r="A636" s="537"/>
      <c r="B636" s="538"/>
      <c r="C636" s="727"/>
      <c r="D636" s="727"/>
      <c r="E636" s="727"/>
      <c r="F636" s="727" t="s">
        <v>187</v>
      </c>
      <c r="G636" s="189"/>
      <c r="H636" s="161" t="s">
        <v>12</v>
      </c>
      <c r="I636" s="269"/>
      <c r="J636" s="269"/>
      <c r="K636" s="465"/>
      <c r="L636" s="465"/>
      <c r="M636" s="465"/>
      <c r="N636" s="789">
        <v>0</v>
      </c>
      <c r="O636" s="465"/>
      <c r="P636" s="465"/>
      <c r="Q636" s="541"/>
      <c r="R636" s="541"/>
      <c r="S636" s="541"/>
      <c r="T636" s="541"/>
      <c r="U636" s="541"/>
      <c r="V636" s="541"/>
      <c r="W636" s="541"/>
      <c r="X636" s="541"/>
      <c r="Y636" s="541"/>
      <c r="Z636" s="541"/>
    </row>
    <row r="637" spans="1:26" ht="18.75">
      <c r="A637" s="537"/>
      <c r="B637" s="538"/>
      <c r="C637" s="727"/>
      <c r="D637" s="727"/>
      <c r="E637" s="727"/>
      <c r="F637" s="727" t="s">
        <v>188</v>
      </c>
      <c r="G637" s="189"/>
      <c r="H637" s="161" t="s">
        <v>12</v>
      </c>
      <c r="I637" s="269"/>
      <c r="J637" s="269"/>
      <c r="K637" s="465"/>
      <c r="L637" s="465"/>
      <c r="M637" s="465"/>
      <c r="N637" s="789">
        <v>0</v>
      </c>
      <c r="O637" s="465"/>
      <c r="P637" s="465"/>
      <c r="Q637" s="541"/>
      <c r="R637" s="541"/>
      <c r="S637" s="541"/>
      <c r="T637" s="541"/>
      <c r="U637" s="541"/>
      <c r="V637" s="541"/>
      <c r="W637" s="541"/>
      <c r="X637" s="541"/>
      <c r="Y637" s="541"/>
      <c r="Z637" s="541"/>
    </row>
    <row r="638" spans="1:26" ht="18.75">
      <c r="A638" s="537"/>
      <c r="B638" s="538"/>
      <c r="C638" s="727"/>
      <c r="D638" s="727"/>
      <c r="E638" s="727"/>
      <c r="F638" s="727" t="s">
        <v>189</v>
      </c>
      <c r="G638" s="189"/>
      <c r="H638" s="161" t="s">
        <v>12</v>
      </c>
      <c r="I638" s="269"/>
      <c r="J638" s="269"/>
      <c r="K638" s="465"/>
      <c r="L638" s="465"/>
      <c r="M638" s="465"/>
      <c r="N638" s="789">
        <v>0</v>
      </c>
      <c r="O638" s="465"/>
      <c r="P638" s="465"/>
      <c r="Q638" s="541"/>
      <c r="R638" s="541"/>
      <c r="S638" s="541"/>
      <c r="T638" s="541"/>
      <c r="U638" s="541"/>
      <c r="V638" s="541"/>
      <c r="W638" s="541"/>
      <c r="X638" s="541"/>
      <c r="Y638" s="541"/>
      <c r="Z638" s="541"/>
    </row>
    <row r="639" spans="1:26" ht="18.75">
      <c r="A639" s="561"/>
      <c r="B639" s="538"/>
      <c r="C639" s="727"/>
      <c r="D639" s="570" t="s">
        <v>21</v>
      </c>
      <c r="E639" s="727"/>
      <c r="F639" s="727"/>
      <c r="G639" s="189"/>
      <c r="H639" s="168" t="s">
        <v>12</v>
      </c>
      <c r="I639" s="184"/>
      <c r="J639" s="184"/>
      <c r="K639" s="163"/>
      <c r="L639" s="465">
        <f t="shared" ref="L639:N639" ca="1" si="267">L640+L641</f>
        <v>0</v>
      </c>
      <c r="M639" s="465">
        <f t="shared" si="267"/>
        <v>0</v>
      </c>
      <c r="N639" s="465">
        <f t="shared" si="267"/>
        <v>0</v>
      </c>
      <c r="O639" s="465">
        <f t="shared" ref="O639:O641" ca="1" si="268">IF(L639&gt;0,N639*100/L639,0)</f>
        <v>0</v>
      </c>
      <c r="P639" s="465">
        <f t="shared" ref="P639:P641" si="269">IF(M639&gt;0,N639*100/M639,0)</f>
        <v>0</v>
      </c>
      <c r="Q639" s="541"/>
      <c r="R639" s="541"/>
      <c r="S639" s="541"/>
      <c r="T639" s="541"/>
      <c r="U639" s="541"/>
      <c r="V639" s="541"/>
      <c r="W639" s="541"/>
      <c r="X639" s="541"/>
      <c r="Y639" s="541"/>
      <c r="Z639" s="541"/>
    </row>
    <row r="640" spans="1:26" ht="18.75" hidden="1">
      <c r="A640" s="563"/>
      <c r="B640" s="571"/>
      <c r="C640" s="723"/>
      <c r="D640" s="723"/>
      <c r="E640" s="723" t="s">
        <v>18</v>
      </c>
      <c r="F640" s="723"/>
      <c r="G640" s="567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8"/>
        <v>0</v>
      </c>
      <c r="P640" s="93">
        <f t="shared" si="269"/>
        <v>0</v>
      </c>
      <c r="Q640" s="568"/>
      <c r="R640" s="568"/>
      <c r="S640" s="568"/>
      <c r="T640" s="568"/>
      <c r="U640" s="568"/>
      <c r="V640" s="568"/>
      <c r="W640" s="568"/>
      <c r="X640" s="568"/>
      <c r="Y640" s="568"/>
      <c r="Z640" s="568"/>
    </row>
    <row r="641" spans="1:26" ht="18.75" hidden="1">
      <c r="A641" s="563"/>
      <c r="B641" s="571"/>
      <c r="C641" s="723"/>
      <c r="D641" s="723"/>
      <c r="E641" s="723" t="s">
        <v>19</v>
      </c>
      <c r="F641" s="723"/>
      <c r="G641" s="567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IFERROR(__xludf.DUMMYFUNCTION("IMPORTRANGE(""https://docs.google.com/spreadsheets/d/1QqKyyYR6Q21VydFLVH3TRQUabQu_ym0Zz7PgGX0-kHA/edit?usp=sharing"",""แผน!HQ15"")"),0)</f>
        <v>0</v>
      </c>
      <c r="M641" s="93">
        <v>0</v>
      </c>
      <c r="N641" s="93">
        <v>0</v>
      </c>
      <c r="O641" s="93">
        <f t="shared" ca="1" si="268"/>
        <v>0</v>
      </c>
      <c r="P641" s="93">
        <f t="shared" si="269"/>
        <v>0</v>
      </c>
      <c r="Q641" s="568"/>
      <c r="R641" s="568"/>
      <c r="S641" s="568"/>
      <c r="T641" s="568"/>
      <c r="U641" s="568"/>
      <c r="V641" s="568"/>
      <c r="W641" s="568"/>
      <c r="X641" s="568"/>
      <c r="Y641" s="568"/>
      <c r="Z641" s="568"/>
    </row>
    <row r="642" spans="1:26" ht="19.5">
      <c r="A642" s="572"/>
      <c r="B642" s="584"/>
      <c r="C642" s="727" t="s">
        <v>16</v>
      </c>
      <c r="D642" s="853" t="s">
        <v>38</v>
      </c>
      <c r="E642" s="725"/>
      <c r="F642" s="725"/>
      <c r="G642" s="577"/>
      <c r="H642" s="726"/>
      <c r="I642" s="184"/>
      <c r="J642" s="184"/>
      <c r="K642" s="163"/>
      <c r="L642" s="163"/>
      <c r="M642" s="163"/>
      <c r="N642" s="163"/>
      <c r="O642" s="163"/>
      <c r="P642" s="163"/>
      <c r="Q642" s="541"/>
      <c r="R642" s="541"/>
      <c r="S642" s="541"/>
      <c r="T642" s="541"/>
      <c r="U642" s="541"/>
      <c r="V642" s="541"/>
      <c r="W642" s="541"/>
      <c r="X642" s="541"/>
      <c r="Y642" s="541"/>
      <c r="Z642" s="541"/>
    </row>
    <row r="643" spans="1:26" ht="18.75">
      <c r="A643" s="708"/>
      <c r="B643" s="538"/>
      <c r="C643" s="727"/>
      <c r="D643" s="592"/>
      <c r="E643" s="710" t="s">
        <v>271</v>
      </c>
      <c r="F643" s="592"/>
      <c r="G643" s="726"/>
      <c r="H643" s="728" t="s">
        <v>272</v>
      </c>
      <c r="I643" s="269">
        <f ca="1">IFERROR(__xludf.DUMMYFUNCTION("IMPORTRANGE(""https://docs.google.com/spreadsheets/d/1QqKyyYR6Q21VydFLVH3TRQUabQu_ym0Zz7PgGX0-kHA/edit?usp=sharing"",""แผน!HR15"")"),0)</f>
        <v>0</v>
      </c>
      <c r="J643" s="214">
        <v>0</v>
      </c>
      <c r="K643" s="163">
        <f t="shared" ref="K643:K652" ca="1" si="270">IF(I643&gt;0,J643*100/I643,0)</f>
        <v>0</v>
      </c>
      <c r="L643" s="163"/>
      <c r="M643" s="163"/>
      <c r="N643" s="465"/>
      <c r="O643" s="163"/>
      <c r="P643" s="163"/>
      <c r="Q643" s="541"/>
      <c r="R643" s="541"/>
      <c r="S643" s="541"/>
      <c r="T643" s="541"/>
      <c r="U643" s="541"/>
      <c r="V643" s="541"/>
      <c r="W643" s="541"/>
      <c r="X643" s="541"/>
      <c r="Y643" s="541"/>
      <c r="Z643" s="541"/>
    </row>
    <row r="644" spans="1:26" ht="18.75">
      <c r="A644" s="708"/>
      <c r="B644" s="538"/>
      <c r="C644" s="727"/>
      <c r="D644" s="592"/>
      <c r="E644" s="710" t="s">
        <v>273</v>
      </c>
      <c r="F644" s="592"/>
      <c r="G644" s="726"/>
      <c r="H644" s="728" t="s">
        <v>274</v>
      </c>
      <c r="I644" s="269">
        <f ca="1">IFERROR(__xludf.DUMMYFUNCTION("IMPORTRANGE(""https://docs.google.com/spreadsheets/d/1QqKyyYR6Q21VydFLVH3TRQUabQu_ym0Zz7PgGX0-kHA/edit?usp=sharing"",""แผน!HR15"")"),0)</f>
        <v>0</v>
      </c>
      <c r="J644" s="214">
        <v>0</v>
      </c>
      <c r="K644" s="163">
        <f t="shared" ca="1" si="270"/>
        <v>0</v>
      </c>
      <c r="L644" s="163"/>
      <c r="M644" s="163"/>
      <c r="N644" s="465"/>
      <c r="O644" s="163"/>
      <c r="P644" s="163"/>
      <c r="Q644" s="541"/>
      <c r="R644" s="541"/>
      <c r="S644" s="541"/>
      <c r="T644" s="541"/>
      <c r="U644" s="541"/>
      <c r="V644" s="541"/>
      <c r="W644" s="541"/>
      <c r="X644" s="541"/>
      <c r="Y644" s="541"/>
      <c r="Z644" s="541"/>
    </row>
    <row r="645" spans="1:26" ht="18.75">
      <c r="A645" s="708"/>
      <c r="B645" s="538"/>
      <c r="C645" s="727"/>
      <c r="D645" s="592"/>
      <c r="E645" s="710" t="s">
        <v>275</v>
      </c>
      <c r="F645" s="592"/>
      <c r="G645" s="726"/>
      <c r="H645" s="728" t="s">
        <v>34</v>
      </c>
      <c r="I645" s="269">
        <v>0</v>
      </c>
      <c r="J645" s="269">
        <f ca="1">IFERROR(__xludf.DUMMYFUNCTION("IMPORTRANGE(""https://docs.google.com/spreadsheets/d/1XWAQStnk-4SwqDmLtmXYiTMKHgktTP8We1SCoS47DrQ/edit?usp=sharing"",""จัดที่ดิน!AS15"")"),0)</f>
        <v>0</v>
      </c>
      <c r="K645" s="163">
        <f t="shared" si="270"/>
        <v>0</v>
      </c>
      <c r="L645" s="163"/>
      <c r="M645" s="163"/>
      <c r="N645" s="465"/>
      <c r="O645" s="163"/>
      <c r="P645" s="163"/>
      <c r="Q645" s="541"/>
      <c r="R645" s="541"/>
      <c r="S645" s="541"/>
      <c r="T645" s="541"/>
      <c r="U645" s="541"/>
      <c r="V645" s="541"/>
      <c r="W645" s="541"/>
      <c r="X645" s="541"/>
      <c r="Y645" s="541"/>
      <c r="Z645" s="541"/>
    </row>
    <row r="646" spans="1:26" ht="18.75">
      <c r="A646" s="708"/>
      <c r="B646" s="538"/>
      <c r="C646" s="727"/>
      <c r="D646" s="592"/>
      <c r="E646" s="592"/>
      <c r="F646" s="592"/>
      <c r="G646" s="726"/>
      <c r="H646" s="728" t="s">
        <v>46</v>
      </c>
      <c r="I646" s="269">
        <v>0</v>
      </c>
      <c r="J646" s="269">
        <f ca="1">IFERROR(__xludf.DUMMYFUNCTION("IMPORTRANGE(""https://docs.google.com/spreadsheets/d/1XWAQStnk-4SwqDmLtmXYiTMKHgktTP8We1SCoS47DrQ/edit?usp=sharing"",""จัดที่ดิน!AT15"")"),0)</f>
        <v>0</v>
      </c>
      <c r="K646" s="465">
        <f t="shared" si="270"/>
        <v>0</v>
      </c>
      <c r="L646" s="163"/>
      <c r="M646" s="163"/>
      <c r="N646" s="465"/>
      <c r="O646" s="163"/>
      <c r="P646" s="163"/>
      <c r="Q646" s="541"/>
      <c r="R646" s="541"/>
      <c r="S646" s="541"/>
      <c r="T646" s="541"/>
      <c r="U646" s="541"/>
      <c r="V646" s="541"/>
      <c r="W646" s="541"/>
      <c r="X646" s="541"/>
      <c r="Y646" s="541"/>
      <c r="Z646" s="541"/>
    </row>
    <row r="647" spans="1:26" ht="18.75">
      <c r="A647" s="708"/>
      <c r="B647" s="538"/>
      <c r="C647" s="727"/>
      <c r="D647" s="592"/>
      <c r="E647" s="710" t="s">
        <v>162</v>
      </c>
      <c r="F647" s="592"/>
      <c r="G647" s="726"/>
      <c r="H647" s="728" t="s">
        <v>35</v>
      </c>
      <c r="I647" s="269">
        <f ca="1">IFERROR(__xludf.DUMMYFUNCTION("IMPORTRANGE(""https://docs.google.com/spreadsheets/d/1QqKyyYR6Q21VydFLVH3TRQUabQu_ym0Zz7PgGX0-kHA/edit?usp=sharing"",""แผน!HS15"")"),140)</f>
        <v>140</v>
      </c>
      <c r="J647" s="269">
        <f ca="1">IFERROR(__xludf.DUMMYFUNCTION("IMPORTRANGE(""https://docs.google.com/spreadsheets/d/1XWAQStnk-4SwqDmLtmXYiTMKHgktTP8We1SCoS47DrQ/edit?usp=sharing"",""จัดที่ดิน!AU15"")"),0)</f>
        <v>0</v>
      </c>
      <c r="K647" s="163">
        <f t="shared" ca="1" si="270"/>
        <v>0</v>
      </c>
      <c r="L647" s="163"/>
      <c r="M647" s="163"/>
      <c r="N647" s="163"/>
      <c r="O647" s="163"/>
      <c r="P647" s="163"/>
      <c r="Q647" s="541"/>
      <c r="R647" s="541"/>
      <c r="S647" s="541"/>
      <c r="T647" s="541"/>
      <c r="U647" s="541"/>
      <c r="V647" s="541"/>
      <c r="W647" s="541"/>
      <c r="X647" s="541"/>
      <c r="Y647" s="541"/>
      <c r="Z647" s="541"/>
    </row>
    <row r="648" spans="1:26" ht="18.75">
      <c r="A648" s="708"/>
      <c r="B648" s="538"/>
      <c r="C648" s="727"/>
      <c r="D648" s="592"/>
      <c r="E648" s="592"/>
      <c r="F648" s="592"/>
      <c r="G648" s="726"/>
      <c r="H648" s="728" t="s">
        <v>46</v>
      </c>
      <c r="I648" s="269">
        <v>0</v>
      </c>
      <c r="J648" s="269">
        <f ca="1">IFERROR(__xludf.DUMMYFUNCTION("IMPORTRANGE(""https://docs.google.com/spreadsheets/d/1XWAQStnk-4SwqDmLtmXYiTMKHgktTP8We1SCoS47DrQ/edit?usp=sharing"",""จัดที่ดิน!AV15"")"),0)</f>
        <v>0</v>
      </c>
      <c r="K648" s="465">
        <f t="shared" si="270"/>
        <v>0</v>
      </c>
      <c r="L648" s="163"/>
      <c r="M648" s="163"/>
      <c r="N648" s="163"/>
      <c r="O648" s="163"/>
      <c r="P648" s="163"/>
      <c r="Q648" s="541"/>
      <c r="R648" s="541"/>
      <c r="S648" s="541"/>
      <c r="T648" s="541"/>
      <c r="U648" s="541"/>
      <c r="V648" s="541"/>
      <c r="W648" s="541"/>
      <c r="X648" s="541"/>
      <c r="Y648" s="541"/>
      <c r="Z648" s="541"/>
    </row>
    <row r="649" spans="1:26" ht="18.75">
      <c r="A649" s="708"/>
      <c r="B649" s="538"/>
      <c r="C649" s="727"/>
      <c r="D649" s="592"/>
      <c r="E649" s="710" t="s">
        <v>276</v>
      </c>
      <c r="F649" s="592"/>
      <c r="G649" s="726"/>
      <c r="H649" s="728" t="s">
        <v>35</v>
      </c>
      <c r="I649" s="269">
        <f ca="1">IFERROR(__xludf.DUMMYFUNCTION("IMPORTRANGE(""https://docs.google.com/spreadsheets/d/1QqKyyYR6Q21VydFLVH3TRQUabQu_ym0Zz7PgGX0-kHA/edit?usp=sharing"",""แผน!HS15"")"),140)</f>
        <v>140</v>
      </c>
      <c r="J649" s="269">
        <f ca="1">IFERROR(__xludf.DUMMYFUNCTION("IMPORTRANGE(""https://docs.google.com/spreadsheets/d/1XWAQStnk-4SwqDmLtmXYiTMKHgktTP8We1SCoS47DrQ/edit?usp=sharing"",""จัดที่ดิน!AW15"")"),0)</f>
        <v>0</v>
      </c>
      <c r="K649" s="163">
        <f t="shared" ca="1" si="270"/>
        <v>0</v>
      </c>
      <c r="L649" s="163"/>
      <c r="M649" s="163"/>
      <c r="N649" s="163"/>
      <c r="O649" s="163"/>
      <c r="P649" s="163"/>
      <c r="Q649" s="541"/>
      <c r="R649" s="541"/>
      <c r="S649" s="541"/>
      <c r="T649" s="541"/>
      <c r="U649" s="541"/>
      <c r="V649" s="541"/>
      <c r="W649" s="541"/>
      <c r="X649" s="541"/>
      <c r="Y649" s="541"/>
      <c r="Z649" s="541"/>
    </row>
    <row r="650" spans="1:26" ht="18.75">
      <c r="A650" s="708"/>
      <c r="B650" s="538"/>
      <c r="C650" s="727"/>
      <c r="D650" s="592"/>
      <c r="E650" s="592"/>
      <c r="F650" s="592"/>
      <c r="G650" s="726"/>
      <c r="H650" s="728" t="s">
        <v>46</v>
      </c>
      <c r="I650" s="269">
        <v>0</v>
      </c>
      <c r="J650" s="269">
        <f ca="1">IFERROR(__xludf.DUMMYFUNCTION("IMPORTRANGE(""https://docs.google.com/spreadsheets/d/1XWAQStnk-4SwqDmLtmXYiTMKHgktTP8We1SCoS47DrQ/edit?usp=sharing"",""จัดที่ดิน!AX15"")"),0)</f>
        <v>0</v>
      </c>
      <c r="K650" s="465">
        <f t="shared" si="270"/>
        <v>0</v>
      </c>
      <c r="L650" s="163"/>
      <c r="M650" s="163"/>
      <c r="N650" s="163"/>
      <c r="O650" s="163"/>
      <c r="P650" s="163"/>
      <c r="Q650" s="541"/>
      <c r="R650" s="541"/>
      <c r="S650" s="541"/>
      <c r="T650" s="541"/>
      <c r="U650" s="541"/>
      <c r="V650" s="541"/>
      <c r="W650" s="541"/>
      <c r="X650" s="541"/>
      <c r="Y650" s="541"/>
      <c r="Z650" s="541"/>
    </row>
    <row r="651" spans="1:26" ht="18.75">
      <c r="A651" s="708"/>
      <c r="B651" s="538"/>
      <c r="C651" s="727"/>
      <c r="D651" s="592"/>
      <c r="E651" s="710" t="s">
        <v>277</v>
      </c>
      <c r="F651" s="592"/>
      <c r="G651" s="726"/>
      <c r="H651" s="728" t="s">
        <v>35</v>
      </c>
      <c r="I651" s="269">
        <f ca="1">IFERROR(__xludf.DUMMYFUNCTION("IMPORTRANGE(""https://docs.google.com/spreadsheets/d/1QqKyyYR6Q21VydFLVH3TRQUabQu_ym0Zz7PgGX0-kHA/edit?usp=sharing"",""แผน!HS15"")"),140)</f>
        <v>140</v>
      </c>
      <c r="J651" s="269">
        <f ca="1">IFERROR(__xludf.DUMMYFUNCTION("IMPORTRANGE(""https://docs.google.com/spreadsheets/d/1XWAQStnk-4SwqDmLtmXYiTMKHgktTP8We1SCoS47DrQ/edit?usp=sharing"",""จัดที่ดิน!AY15"")"),0)</f>
        <v>0</v>
      </c>
      <c r="K651" s="163">
        <f t="shared" ca="1" si="270"/>
        <v>0</v>
      </c>
      <c r="L651" s="163"/>
      <c r="M651" s="163"/>
      <c r="N651" s="163"/>
      <c r="O651" s="163"/>
      <c r="P651" s="163"/>
      <c r="Q651" s="541"/>
      <c r="R651" s="541"/>
      <c r="S651" s="541"/>
      <c r="T651" s="541"/>
      <c r="U651" s="541"/>
      <c r="V651" s="541"/>
      <c r="W651" s="541"/>
      <c r="X651" s="541"/>
      <c r="Y651" s="541"/>
      <c r="Z651" s="541"/>
    </row>
    <row r="652" spans="1:26" ht="18.75">
      <c r="A652" s="711"/>
      <c r="B652" s="712"/>
      <c r="C652" s="713"/>
      <c r="D652" s="698"/>
      <c r="E652" s="698"/>
      <c r="F652" s="698"/>
      <c r="G652" s="699"/>
      <c r="H652" s="467" t="s">
        <v>46</v>
      </c>
      <c r="I652" s="468">
        <v>0</v>
      </c>
      <c r="J652" s="468">
        <f ca="1">IFERROR(__xludf.DUMMYFUNCTION("IMPORTRANGE(""https://docs.google.com/spreadsheets/d/1XWAQStnk-4SwqDmLtmXYiTMKHgktTP8We1SCoS47DrQ/edit?usp=sharing"",""จัดที่ดิน!AZ15"")"),0)</f>
        <v>0</v>
      </c>
      <c r="K652" s="469">
        <f t="shared" si="270"/>
        <v>0</v>
      </c>
      <c r="L652" s="353"/>
      <c r="M652" s="353"/>
      <c r="N652" s="353"/>
      <c r="O652" s="353"/>
      <c r="P652" s="353"/>
      <c r="Q652" s="541"/>
      <c r="R652" s="541"/>
      <c r="S652" s="541"/>
      <c r="T652" s="541"/>
      <c r="U652" s="541"/>
      <c r="V652" s="541"/>
      <c r="W652" s="541"/>
      <c r="X652" s="541"/>
      <c r="Y652" s="541"/>
      <c r="Z652" s="541"/>
    </row>
    <row r="653" spans="1:26" ht="19.5">
      <c r="A653" s="714">
        <v>8</v>
      </c>
      <c r="B653" s="701" t="s">
        <v>278</v>
      </c>
      <c r="C653" s="702"/>
      <c r="D653" s="702"/>
      <c r="E653" s="702"/>
      <c r="F653" s="702"/>
      <c r="G653" s="703"/>
      <c r="H653" s="703"/>
      <c r="I653" s="715"/>
      <c r="J653" s="715"/>
      <c r="K653" s="707"/>
      <c r="L653" s="707"/>
      <c r="M653" s="707"/>
      <c r="N653" s="707"/>
      <c r="O653" s="707"/>
      <c r="P653" s="707"/>
      <c r="Q653" s="541"/>
      <c r="R653" s="541"/>
      <c r="S653" s="541"/>
      <c r="T653" s="541"/>
      <c r="U653" s="541"/>
      <c r="V653" s="541"/>
      <c r="W653" s="541"/>
      <c r="X653" s="541"/>
      <c r="Y653" s="541"/>
      <c r="Z653" s="541"/>
    </row>
    <row r="654" spans="1:26" ht="19.5">
      <c r="A654" s="639"/>
      <c r="B654" s="638" t="s">
        <v>279</v>
      </c>
      <c r="C654" s="639"/>
      <c r="D654" s="639"/>
      <c r="E654" s="639"/>
      <c r="F654" s="639"/>
      <c r="G654" s="640"/>
      <c r="H654" s="671" t="s">
        <v>46</v>
      </c>
      <c r="I654" s="672">
        <f t="shared" ref="I654:J654" ca="1" si="271">I669</f>
        <v>300</v>
      </c>
      <c r="J654" s="672">
        <f t="shared" si="271"/>
        <v>0</v>
      </c>
      <c r="K654" s="643">
        <f ca="1">IF(I654&gt;0,J654*100/I654,0)</f>
        <v>0</v>
      </c>
      <c r="L654" s="644"/>
      <c r="M654" s="644"/>
      <c r="N654" s="644"/>
      <c r="O654" s="644"/>
      <c r="P654" s="644"/>
      <c r="Q654" s="541"/>
      <c r="R654" s="541"/>
      <c r="S654" s="541"/>
      <c r="T654" s="541"/>
      <c r="U654" s="541"/>
      <c r="V654" s="541"/>
      <c r="W654" s="541"/>
      <c r="X654" s="541"/>
      <c r="Y654" s="541"/>
      <c r="Z654" s="541"/>
    </row>
    <row r="655" spans="1:26" ht="19.5">
      <c r="A655" s="561"/>
      <c r="B655" s="727"/>
      <c r="C655" s="727" t="s">
        <v>16</v>
      </c>
      <c r="D655" s="811" t="s">
        <v>17</v>
      </c>
      <c r="E655" s="805"/>
      <c r="F655" s="805"/>
      <c r="G655" s="189"/>
      <c r="H655" s="562" t="s">
        <v>12</v>
      </c>
      <c r="I655" s="269"/>
      <c r="J655" s="269"/>
      <c r="K655" s="465"/>
      <c r="L655" s="195">
        <f t="shared" ref="L655:N655" ca="1" si="272">L656+L657</f>
        <v>27600</v>
      </c>
      <c r="M655" s="195">
        <f t="shared" si="272"/>
        <v>0</v>
      </c>
      <c r="N655" s="195">
        <f t="shared" si="272"/>
        <v>0</v>
      </c>
      <c r="O655" s="195">
        <f t="shared" ref="O655:O660" ca="1" si="273">IF(L655&gt;0,N655*100/L655,0)</f>
        <v>0</v>
      </c>
      <c r="P655" s="195">
        <f t="shared" ref="P655:P660" si="274">IF(M655&gt;0,N655*100/M655,0)</f>
        <v>0</v>
      </c>
      <c r="Q655" s="541"/>
      <c r="R655" s="541"/>
      <c r="S655" s="541"/>
      <c r="T655" s="541"/>
      <c r="U655" s="541"/>
      <c r="V655" s="541"/>
      <c r="W655" s="541"/>
      <c r="X655" s="541"/>
      <c r="Y655" s="541"/>
      <c r="Z655" s="541"/>
    </row>
    <row r="656" spans="1:26" ht="18.75" hidden="1">
      <c r="A656" s="563"/>
      <c r="B656" s="723"/>
      <c r="C656" s="723"/>
      <c r="D656" s="684"/>
      <c r="E656" s="723" t="s">
        <v>184</v>
      </c>
      <c r="F656" s="723"/>
      <c r="G656" s="567"/>
      <c r="H656" s="165" t="s">
        <v>12</v>
      </c>
      <c r="I656" s="583"/>
      <c r="J656" s="583"/>
      <c r="K656" s="93"/>
      <c r="L656" s="93">
        <f t="shared" ref="L656:N657" si="275">L659+L666</f>
        <v>0</v>
      </c>
      <c r="M656" s="93">
        <f t="shared" si="275"/>
        <v>0</v>
      </c>
      <c r="N656" s="93">
        <f t="shared" si="275"/>
        <v>0</v>
      </c>
      <c r="O656" s="93">
        <f t="shared" si="273"/>
        <v>0</v>
      </c>
      <c r="P656" s="93">
        <f t="shared" si="274"/>
        <v>0</v>
      </c>
      <c r="Q656" s="568"/>
      <c r="R656" s="568"/>
      <c r="S656" s="568"/>
      <c r="T656" s="568"/>
      <c r="U656" s="568"/>
      <c r="V656" s="568"/>
      <c r="W656" s="568"/>
      <c r="X656" s="568"/>
      <c r="Y656" s="568"/>
      <c r="Z656" s="568"/>
    </row>
    <row r="657" spans="1:26" ht="18.75" hidden="1">
      <c r="A657" s="563"/>
      <c r="B657" s="571"/>
      <c r="C657" s="723"/>
      <c r="D657" s="684"/>
      <c r="E657" s="723" t="s">
        <v>185</v>
      </c>
      <c r="F657" s="723"/>
      <c r="G657" s="567"/>
      <c r="H657" s="165" t="s">
        <v>12</v>
      </c>
      <c r="I657" s="583"/>
      <c r="J657" s="583"/>
      <c r="K657" s="93"/>
      <c r="L657" s="93">
        <f t="shared" ca="1" si="275"/>
        <v>27600</v>
      </c>
      <c r="M657" s="93">
        <f t="shared" si="275"/>
        <v>0</v>
      </c>
      <c r="N657" s="93">
        <f t="shared" si="275"/>
        <v>0</v>
      </c>
      <c r="O657" s="93">
        <f t="shared" ca="1" si="273"/>
        <v>0</v>
      </c>
      <c r="P657" s="93">
        <f t="shared" si="274"/>
        <v>0</v>
      </c>
      <c r="Q657" s="568"/>
      <c r="R657" s="568"/>
      <c r="S657" s="568"/>
      <c r="T657" s="568"/>
      <c r="U657" s="568"/>
      <c r="V657" s="568"/>
      <c r="W657" s="568"/>
      <c r="X657" s="568"/>
      <c r="Y657" s="568"/>
      <c r="Z657" s="568"/>
    </row>
    <row r="658" spans="1:26" ht="18.75">
      <c r="A658" s="561"/>
      <c r="B658" s="538"/>
      <c r="C658" s="727"/>
      <c r="D658" s="570" t="s">
        <v>20</v>
      </c>
      <c r="E658" s="727"/>
      <c r="F658" s="727"/>
      <c r="G658" s="189"/>
      <c r="H658" s="161" t="s">
        <v>12</v>
      </c>
      <c r="I658" s="184"/>
      <c r="J658" s="184"/>
      <c r="K658" s="163"/>
      <c r="L658" s="465">
        <f t="shared" ref="L658:N658" ca="1" si="276">L659+L660</f>
        <v>27600</v>
      </c>
      <c r="M658" s="465">
        <f t="shared" si="276"/>
        <v>0</v>
      </c>
      <c r="N658" s="465">
        <f t="shared" si="276"/>
        <v>0</v>
      </c>
      <c r="O658" s="465">
        <f t="shared" ca="1" si="273"/>
        <v>0</v>
      </c>
      <c r="P658" s="465">
        <f t="shared" si="274"/>
        <v>0</v>
      </c>
      <c r="Q658" s="541"/>
      <c r="R658" s="541"/>
      <c r="S658" s="541"/>
      <c r="T658" s="541"/>
      <c r="U658" s="541"/>
      <c r="V658" s="541"/>
      <c r="W658" s="541"/>
      <c r="X658" s="541"/>
      <c r="Y658" s="541"/>
      <c r="Z658" s="541"/>
    </row>
    <row r="659" spans="1:26" ht="18.75" hidden="1">
      <c r="A659" s="563"/>
      <c r="B659" s="571"/>
      <c r="C659" s="723"/>
      <c r="D659" s="684"/>
      <c r="E659" s="723" t="s">
        <v>184</v>
      </c>
      <c r="F659" s="723"/>
      <c r="G659" s="567"/>
      <c r="H659" s="165" t="s">
        <v>12</v>
      </c>
      <c r="I659" s="583"/>
      <c r="J659" s="583"/>
      <c r="K659" s="93"/>
      <c r="L659" s="93">
        <v>0</v>
      </c>
      <c r="M659" s="93">
        <v>0</v>
      </c>
      <c r="N659" s="93">
        <v>0</v>
      </c>
      <c r="O659" s="93">
        <f t="shared" si="273"/>
        <v>0</v>
      </c>
      <c r="P659" s="93">
        <f t="shared" si="274"/>
        <v>0</v>
      </c>
      <c r="Q659" s="568"/>
      <c r="R659" s="568"/>
      <c r="S659" s="568"/>
      <c r="T659" s="568"/>
      <c r="U659" s="568"/>
      <c r="V659" s="568"/>
      <c r="W659" s="568"/>
      <c r="X659" s="568"/>
      <c r="Y659" s="568"/>
      <c r="Z659" s="568"/>
    </row>
    <row r="660" spans="1:26" ht="18.75" hidden="1">
      <c r="A660" s="563"/>
      <c r="B660" s="571"/>
      <c r="C660" s="723"/>
      <c r="D660" s="684"/>
      <c r="E660" s="723" t="s">
        <v>185</v>
      </c>
      <c r="F660" s="723"/>
      <c r="G660" s="567"/>
      <c r="H660" s="165" t="s">
        <v>12</v>
      </c>
      <c r="I660" s="583"/>
      <c r="J660" s="583"/>
      <c r="K660" s="93"/>
      <c r="L660" s="93">
        <f ca="1">IFERROR(__xludf.DUMMYFUNCTION("IMPORTRANGE(""https://docs.google.com/spreadsheets/d/1QqKyyYR6Q21VydFLVH3TRQUabQu_ym0Zz7PgGX0-kHA/edit?usp=sharing"",""แผน!HV15"")"),27600)</f>
        <v>27600</v>
      </c>
      <c r="M660" s="93">
        <v>0</v>
      </c>
      <c r="N660" s="93">
        <f>N661+N662+N663+N664</f>
        <v>0</v>
      </c>
      <c r="O660" s="93">
        <f t="shared" ca="1" si="273"/>
        <v>0</v>
      </c>
      <c r="P660" s="93">
        <f t="shared" si="274"/>
        <v>0</v>
      </c>
      <c r="Q660" s="568"/>
      <c r="R660" s="568"/>
      <c r="S660" s="568"/>
      <c r="T660" s="568"/>
      <c r="U660" s="568"/>
      <c r="V660" s="568"/>
      <c r="W660" s="568"/>
      <c r="X660" s="568"/>
      <c r="Y660" s="568"/>
      <c r="Z660" s="568"/>
    </row>
    <row r="661" spans="1:26" ht="18.75">
      <c r="A661" s="537"/>
      <c r="B661" s="538"/>
      <c r="C661" s="727"/>
      <c r="D661" s="727"/>
      <c r="E661" s="727"/>
      <c r="F661" s="727" t="s">
        <v>186</v>
      </c>
      <c r="G661" s="189"/>
      <c r="H661" s="161" t="s">
        <v>12</v>
      </c>
      <c r="I661" s="269"/>
      <c r="J661" s="269"/>
      <c r="K661" s="465"/>
      <c r="L661" s="465"/>
      <c r="M661" s="465"/>
      <c r="N661" s="789">
        <v>0</v>
      </c>
      <c r="O661" s="465"/>
      <c r="P661" s="465"/>
      <c r="Q661" s="541"/>
      <c r="R661" s="541"/>
      <c r="S661" s="541"/>
      <c r="T661" s="541"/>
      <c r="U661" s="541"/>
      <c r="V661" s="541"/>
      <c r="W661" s="541"/>
      <c r="X661" s="541"/>
      <c r="Y661" s="541"/>
      <c r="Z661" s="541"/>
    </row>
    <row r="662" spans="1:26" ht="18.75">
      <c r="A662" s="537"/>
      <c r="B662" s="538"/>
      <c r="C662" s="727"/>
      <c r="D662" s="727"/>
      <c r="E662" s="727"/>
      <c r="F662" s="727" t="s">
        <v>187</v>
      </c>
      <c r="G662" s="189"/>
      <c r="H662" s="161" t="s">
        <v>12</v>
      </c>
      <c r="I662" s="269"/>
      <c r="J662" s="269"/>
      <c r="K662" s="465"/>
      <c r="L662" s="465"/>
      <c r="M662" s="465"/>
      <c r="N662" s="789">
        <v>0</v>
      </c>
      <c r="O662" s="465"/>
      <c r="P662" s="465"/>
      <c r="Q662" s="541"/>
      <c r="R662" s="541"/>
      <c r="S662" s="541"/>
      <c r="T662" s="541"/>
      <c r="U662" s="541"/>
      <c r="V662" s="541"/>
      <c r="W662" s="541"/>
      <c r="X662" s="541"/>
      <c r="Y662" s="541"/>
      <c r="Z662" s="541"/>
    </row>
    <row r="663" spans="1:26" ht="18.75">
      <c r="A663" s="537"/>
      <c r="B663" s="538"/>
      <c r="C663" s="538"/>
      <c r="D663" s="727"/>
      <c r="E663" s="727"/>
      <c r="F663" s="727" t="s">
        <v>188</v>
      </c>
      <c r="G663" s="189"/>
      <c r="H663" s="161" t="s">
        <v>12</v>
      </c>
      <c r="I663" s="269"/>
      <c r="J663" s="269"/>
      <c r="K663" s="465"/>
      <c r="L663" s="465"/>
      <c r="M663" s="465"/>
      <c r="N663" s="789">
        <v>0</v>
      </c>
      <c r="O663" s="465"/>
      <c r="P663" s="465"/>
      <c r="Q663" s="541"/>
      <c r="R663" s="541"/>
      <c r="S663" s="541"/>
      <c r="T663" s="541"/>
      <c r="U663" s="541"/>
      <c r="V663" s="541"/>
      <c r="W663" s="541"/>
      <c r="X663" s="541"/>
      <c r="Y663" s="541"/>
      <c r="Z663" s="541"/>
    </row>
    <row r="664" spans="1:26" ht="18.75">
      <c r="A664" s="537"/>
      <c r="B664" s="538"/>
      <c r="C664" s="538"/>
      <c r="D664" s="538"/>
      <c r="E664" s="727"/>
      <c r="F664" s="727" t="s">
        <v>189</v>
      </c>
      <c r="G664" s="189"/>
      <c r="H664" s="161" t="s">
        <v>12</v>
      </c>
      <c r="I664" s="269"/>
      <c r="J664" s="269"/>
      <c r="K664" s="465"/>
      <c r="L664" s="465"/>
      <c r="M664" s="465"/>
      <c r="N664" s="789">
        <v>0</v>
      </c>
      <c r="O664" s="465"/>
      <c r="P664" s="465"/>
      <c r="Q664" s="541"/>
      <c r="R664" s="541"/>
      <c r="S664" s="541"/>
      <c r="T664" s="541"/>
      <c r="U664" s="541"/>
      <c r="V664" s="541"/>
      <c r="W664" s="541"/>
      <c r="X664" s="541"/>
      <c r="Y664" s="541"/>
      <c r="Z664" s="541"/>
    </row>
    <row r="665" spans="1:26" ht="18.75">
      <c r="A665" s="561"/>
      <c r="B665" s="538"/>
      <c r="C665" s="538"/>
      <c r="D665" s="570" t="s">
        <v>21</v>
      </c>
      <c r="E665" s="727"/>
      <c r="F665" s="727"/>
      <c r="G665" s="189"/>
      <c r="H665" s="168" t="s">
        <v>12</v>
      </c>
      <c r="I665" s="184"/>
      <c r="J665" s="184"/>
      <c r="K665" s="163"/>
      <c r="L665" s="465">
        <f t="shared" ref="L665:N665" si="277">L666+L667</f>
        <v>0</v>
      </c>
      <c r="M665" s="465">
        <f t="shared" si="277"/>
        <v>0</v>
      </c>
      <c r="N665" s="465">
        <f t="shared" si="277"/>
        <v>0</v>
      </c>
      <c r="O665" s="465">
        <f t="shared" ref="O665:O667" si="278">IF(L665&gt;0,N665*100/L665,0)</f>
        <v>0</v>
      </c>
      <c r="P665" s="465">
        <f t="shared" ref="P665:P667" si="279">IF(M665&gt;0,N665*100/M665,0)</f>
        <v>0</v>
      </c>
      <c r="Q665" s="541"/>
      <c r="R665" s="541"/>
      <c r="S665" s="541"/>
      <c r="T665" s="541"/>
      <c r="U665" s="541"/>
      <c r="V665" s="541"/>
      <c r="W665" s="541"/>
      <c r="X665" s="541"/>
      <c r="Y665" s="541"/>
      <c r="Z665" s="541"/>
    </row>
    <row r="666" spans="1:26" ht="18.75" hidden="1">
      <c r="A666" s="563"/>
      <c r="B666" s="571"/>
      <c r="C666" s="571"/>
      <c r="D666" s="571"/>
      <c r="E666" s="723" t="s">
        <v>18</v>
      </c>
      <c r="F666" s="723"/>
      <c r="G666" s="567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8"/>
        <v>0</v>
      </c>
      <c r="P666" s="93">
        <f t="shared" si="279"/>
        <v>0</v>
      </c>
      <c r="Q666" s="568"/>
      <c r="R666" s="568"/>
      <c r="S666" s="568"/>
      <c r="T666" s="568"/>
      <c r="U666" s="568"/>
      <c r="V666" s="568"/>
      <c r="W666" s="568"/>
      <c r="X666" s="568"/>
      <c r="Y666" s="568"/>
      <c r="Z666" s="568"/>
    </row>
    <row r="667" spans="1:26" ht="18.75" hidden="1">
      <c r="A667" s="563"/>
      <c r="B667" s="571"/>
      <c r="C667" s="571"/>
      <c r="D667" s="571"/>
      <c r="E667" s="723" t="s">
        <v>19</v>
      </c>
      <c r="F667" s="723"/>
      <c r="G667" s="567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8"/>
        <v>0</v>
      </c>
      <c r="P667" s="93">
        <f t="shared" si="279"/>
        <v>0</v>
      </c>
      <c r="Q667" s="568"/>
      <c r="R667" s="568"/>
      <c r="S667" s="568"/>
      <c r="T667" s="568"/>
      <c r="U667" s="568"/>
      <c r="V667" s="568"/>
      <c r="W667" s="568"/>
      <c r="X667" s="568"/>
      <c r="Y667" s="568"/>
      <c r="Z667" s="568"/>
    </row>
    <row r="668" spans="1:26" ht="19.5">
      <c r="A668" s="572"/>
      <c r="B668" s="584"/>
      <c r="C668" s="538" t="s">
        <v>16</v>
      </c>
      <c r="D668" s="850" t="s">
        <v>38</v>
      </c>
      <c r="E668" s="725"/>
      <c r="F668" s="725"/>
      <c r="G668" s="577"/>
      <c r="H668" s="726"/>
      <c r="I668" s="184"/>
      <c r="J668" s="184"/>
      <c r="K668" s="163"/>
      <c r="L668" s="163"/>
      <c r="M668" s="163"/>
      <c r="N668" s="163"/>
      <c r="O668" s="163"/>
      <c r="P668" s="163"/>
      <c r="Q668" s="541"/>
      <c r="R668" s="541"/>
      <c r="S668" s="541"/>
      <c r="T668" s="541"/>
      <c r="U668" s="541"/>
      <c r="V668" s="541"/>
      <c r="W668" s="541"/>
      <c r="X668" s="541"/>
      <c r="Y668" s="541"/>
      <c r="Z668" s="541"/>
    </row>
    <row r="669" spans="1:26" ht="19.5">
      <c r="A669" s="572"/>
      <c r="B669" s="584"/>
      <c r="C669" s="584"/>
      <c r="D669" s="584" t="s">
        <v>280</v>
      </c>
      <c r="E669" s="592"/>
      <c r="F669" s="592"/>
      <c r="G669" s="726"/>
      <c r="H669" s="731" t="s">
        <v>46</v>
      </c>
      <c r="I669" s="647">
        <f ca="1">IFERROR(__xludf.DUMMYFUNCTION("IMPORTRANGE(""https://docs.google.com/spreadsheets/d/1QqKyyYR6Q21VydFLVH3TRQUabQu_ym0Zz7PgGX0-kHA/edit?usp=sharing"",""แผน!IA15"")"),300)</f>
        <v>300</v>
      </c>
      <c r="J669" s="647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41"/>
      <c r="R669" s="541"/>
      <c r="S669" s="541"/>
      <c r="T669" s="541"/>
      <c r="U669" s="541"/>
      <c r="V669" s="541"/>
      <c r="W669" s="541"/>
      <c r="X669" s="541"/>
      <c r="Y669" s="541"/>
      <c r="Z669" s="541"/>
    </row>
    <row r="670" spans="1:26" ht="18.75">
      <c r="A670" s="572"/>
      <c r="B670" s="584"/>
      <c r="C670" s="584"/>
      <c r="D670" s="584"/>
      <c r="E670" s="592" t="s">
        <v>281</v>
      </c>
      <c r="F670" s="592"/>
      <c r="G670" s="726"/>
      <c r="H670" s="728" t="s">
        <v>69</v>
      </c>
      <c r="I670" s="269">
        <f ca="1">IFERROR(__xludf.DUMMYFUNCTION("IMPORTRANGE(""https://docs.google.com/spreadsheets/d/1QqKyyYR6Q21VydFLVH3TRQUabQu_ym0Zz7PgGX0-kHA/edit?usp=sharing"",""แผน!HZ15"")"),6)</f>
        <v>6</v>
      </c>
      <c r="J670" s="214">
        <v>0</v>
      </c>
      <c r="K670" s="465">
        <f ca="1">IF(I670&gt;0,(J670*100)/I670,0)</f>
        <v>0</v>
      </c>
      <c r="L670" s="163"/>
      <c r="M670" s="163"/>
      <c r="N670" s="163"/>
      <c r="O670" s="163"/>
      <c r="P670" s="163"/>
      <c r="Q670" s="541"/>
      <c r="R670" s="541"/>
      <c r="S670" s="541"/>
      <c r="T670" s="541"/>
      <c r="U670" s="541"/>
      <c r="V670" s="541"/>
      <c r="W670" s="541"/>
      <c r="X670" s="541"/>
      <c r="Y670" s="541"/>
      <c r="Z670" s="541"/>
    </row>
    <row r="671" spans="1:26" ht="18.75">
      <c r="A671" s="572"/>
      <c r="B671" s="584"/>
      <c r="C671" s="584"/>
      <c r="D671" s="584"/>
      <c r="E671" s="592" t="s">
        <v>282</v>
      </c>
      <c r="F671" s="592"/>
      <c r="G671" s="726"/>
      <c r="H671" s="728" t="s">
        <v>69</v>
      </c>
      <c r="I671" s="269">
        <f ca="1">IFERROR(__xludf.DUMMYFUNCTION("IMPORTRANGE(""https://docs.google.com/spreadsheets/d/1QqKyyYR6Q21VydFLVH3TRQUabQu_ym0Zz7PgGX0-kHA/edit?usp=sharing"",""แผน!HZ15"")"),6)</f>
        <v>6</v>
      </c>
      <c r="J671" s="214">
        <v>0</v>
      </c>
      <c r="K671" s="465">
        <f ca="1">IF(I$671&gt;0,J671*100/I$671,0)</f>
        <v>0</v>
      </c>
      <c r="L671" s="163"/>
      <c r="M671" s="163"/>
      <c r="N671" s="163"/>
      <c r="O671" s="163"/>
      <c r="P671" s="163"/>
      <c r="Q671" s="541"/>
      <c r="R671" s="541"/>
      <c r="S671" s="541"/>
      <c r="T671" s="541"/>
      <c r="U671" s="541"/>
      <c r="V671" s="541"/>
      <c r="W671" s="541"/>
      <c r="X671" s="541"/>
      <c r="Y671" s="541"/>
      <c r="Z671" s="541"/>
    </row>
    <row r="672" spans="1:26" ht="18.75">
      <c r="A672" s="572"/>
      <c r="B672" s="584"/>
      <c r="C672" s="584"/>
      <c r="D672" s="584"/>
      <c r="E672" s="592" t="s">
        <v>283</v>
      </c>
      <c r="F672" s="592"/>
      <c r="G672" s="726"/>
      <c r="H672" s="728" t="s">
        <v>46</v>
      </c>
      <c r="I672" s="269"/>
      <c r="J672" s="214">
        <v>0</v>
      </c>
      <c r="K672" s="465">
        <f t="shared" ref="K672:K675" ca="1" si="280">IF(I$669&gt;0,J672*100/I$669,0)</f>
        <v>0</v>
      </c>
      <c r="L672" s="163"/>
      <c r="M672" s="163"/>
      <c r="N672" s="163"/>
      <c r="O672" s="163"/>
      <c r="P672" s="163"/>
      <c r="Q672" s="541"/>
      <c r="R672" s="541"/>
      <c r="S672" s="541"/>
      <c r="T672" s="541"/>
      <c r="U672" s="541"/>
      <c r="V672" s="541"/>
      <c r="W672" s="541"/>
      <c r="X672" s="541"/>
      <c r="Y672" s="541"/>
      <c r="Z672" s="541"/>
    </row>
    <row r="673" spans="1:26" ht="18.75">
      <c r="A673" s="572"/>
      <c r="B673" s="584"/>
      <c r="C673" s="584"/>
      <c r="D673" s="584"/>
      <c r="E673" s="592" t="s">
        <v>284</v>
      </c>
      <c r="F673" s="592"/>
      <c r="G673" s="726"/>
      <c r="H673" s="728" t="s">
        <v>46</v>
      </c>
      <c r="I673" s="269"/>
      <c r="J673" s="214">
        <v>0</v>
      </c>
      <c r="K673" s="465">
        <f t="shared" ca="1" si="280"/>
        <v>0</v>
      </c>
      <c r="L673" s="163"/>
      <c r="M673" s="163"/>
      <c r="N673" s="163"/>
      <c r="O673" s="163"/>
      <c r="P673" s="163"/>
      <c r="Q673" s="541"/>
      <c r="R673" s="541"/>
      <c r="S673" s="541"/>
      <c r="T673" s="541"/>
      <c r="U673" s="541"/>
      <c r="V673" s="541"/>
      <c r="W673" s="541"/>
      <c r="X673" s="541"/>
      <c r="Y673" s="541"/>
      <c r="Z673" s="541"/>
    </row>
    <row r="674" spans="1:26" ht="18.75">
      <c r="A674" s="572"/>
      <c r="B674" s="584"/>
      <c r="C674" s="584"/>
      <c r="D674" s="584"/>
      <c r="E674" s="592" t="s">
        <v>285</v>
      </c>
      <c r="F674" s="592"/>
      <c r="G674" s="726"/>
      <c r="H674" s="728" t="s">
        <v>46</v>
      </c>
      <c r="I674" s="269"/>
      <c r="J674" s="214">
        <v>0</v>
      </c>
      <c r="K674" s="465">
        <f t="shared" ca="1" si="280"/>
        <v>0</v>
      </c>
      <c r="L674" s="163"/>
      <c r="M674" s="163"/>
      <c r="N674" s="163"/>
      <c r="O674" s="163"/>
      <c r="P674" s="163"/>
      <c r="Q674" s="541"/>
      <c r="R674" s="541"/>
      <c r="S674" s="541"/>
      <c r="T674" s="541"/>
      <c r="U674" s="541"/>
      <c r="V674" s="541"/>
      <c r="W674" s="541"/>
      <c r="X674" s="541"/>
      <c r="Y674" s="541"/>
      <c r="Z674" s="541"/>
    </row>
    <row r="675" spans="1:26" ht="19.5">
      <c r="A675" s="572"/>
      <c r="B675" s="584"/>
      <c r="C675" s="584"/>
      <c r="D675" s="584"/>
      <c r="E675" s="592" t="s">
        <v>286</v>
      </c>
      <c r="F675" s="592"/>
      <c r="G675" s="726"/>
      <c r="H675" s="728" t="s">
        <v>46</v>
      </c>
      <c r="I675" s="269"/>
      <c r="J675" s="647">
        <f>J676+J677</f>
        <v>0</v>
      </c>
      <c r="K675" s="195">
        <f t="shared" ca="1" si="280"/>
        <v>0</v>
      </c>
      <c r="L675" s="163"/>
      <c r="M675" s="163"/>
      <c r="N675" s="163"/>
      <c r="O675" s="163"/>
      <c r="P675" s="163"/>
      <c r="Q675" s="541"/>
      <c r="R675" s="541"/>
      <c r="S675" s="541"/>
      <c r="T675" s="541"/>
      <c r="U675" s="541"/>
      <c r="V675" s="541"/>
      <c r="W675" s="541"/>
      <c r="X675" s="541"/>
      <c r="Y675" s="541"/>
      <c r="Z675" s="541"/>
    </row>
    <row r="676" spans="1:26" ht="18.75">
      <c r="A676" s="572"/>
      <c r="B676" s="584"/>
      <c r="C676" s="584"/>
      <c r="D676" s="584"/>
      <c r="E676" s="592"/>
      <c r="F676" s="592" t="s">
        <v>287</v>
      </c>
      <c r="G676" s="726"/>
      <c r="H676" s="728" t="s">
        <v>46</v>
      </c>
      <c r="I676" s="269"/>
      <c r="J676" s="214">
        <v>0</v>
      </c>
      <c r="K676" s="465"/>
      <c r="L676" s="163"/>
      <c r="M676" s="163"/>
      <c r="N676" s="163"/>
      <c r="O676" s="163"/>
      <c r="P676" s="163"/>
      <c r="Q676" s="541"/>
      <c r="R676" s="541"/>
      <c r="S676" s="541"/>
      <c r="T676" s="541"/>
      <c r="U676" s="541"/>
      <c r="V676" s="541"/>
      <c r="W676" s="541"/>
      <c r="X676" s="541"/>
      <c r="Y676" s="541"/>
      <c r="Z676" s="541"/>
    </row>
    <row r="677" spans="1:26" ht="18.75">
      <c r="A677" s="572"/>
      <c r="B677" s="584"/>
      <c r="C677" s="584"/>
      <c r="D677" s="584"/>
      <c r="E677" s="592"/>
      <c r="F677" s="592" t="s">
        <v>288</v>
      </c>
      <c r="G677" s="726"/>
      <c r="H677" s="728" t="s">
        <v>46</v>
      </c>
      <c r="I677" s="269"/>
      <c r="J677" s="214">
        <v>0</v>
      </c>
      <c r="K677" s="465"/>
      <c r="L677" s="163"/>
      <c r="M677" s="163"/>
      <c r="N677" s="163"/>
      <c r="O677" s="163"/>
      <c r="P677" s="163"/>
      <c r="Q677" s="541"/>
      <c r="R677" s="541"/>
      <c r="S677" s="541"/>
      <c r="T677" s="541"/>
      <c r="U677" s="541"/>
      <c r="V677" s="541"/>
      <c r="W677" s="541"/>
      <c r="X677" s="541"/>
      <c r="Y677" s="541"/>
      <c r="Z677" s="541"/>
    </row>
    <row r="678" spans="1:26" ht="19.5">
      <c r="A678" s="572"/>
      <c r="B678" s="584"/>
      <c r="C678" s="584"/>
      <c r="D678" s="584" t="s">
        <v>289</v>
      </c>
      <c r="E678" s="592"/>
      <c r="F678" s="592"/>
      <c r="G678" s="726"/>
      <c r="H678" s="728" t="s">
        <v>46</v>
      </c>
      <c r="I678" s="647">
        <f ca="1">IFERROR(__xludf.DUMMYFUNCTION("IMPORTRANGE(""https://docs.google.com/spreadsheets/d/1QqKyyYR6Q21VydFLVH3TRQUabQu_ym0Zz7PgGX0-kHA/edit?usp=sharing"",""แผน!IB15"")"),0)</f>
        <v>0</v>
      </c>
      <c r="J678" s="647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41"/>
      <c r="R678" s="541"/>
      <c r="S678" s="541"/>
      <c r="T678" s="541"/>
      <c r="U678" s="541"/>
      <c r="V678" s="541"/>
      <c r="W678" s="541"/>
      <c r="X678" s="541"/>
      <c r="Y678" s="541"/>
      <c r="Z678" s="541"/>
    </row>
    <row r="679" spans="1:26" ht="18.75">
      <c r="A679" s="572"/>
      <c r="B679" s="584"/>
      <c r="C679" s="584"/>
      <c r="D679" s="584"/>
      <c r="E679" s="592" t="s">
        <v>290</v>
      </c>
      <c r="F679" s="592"/>
      <c r="G679" s="726"/>
      <c r="H679" s="728" t="s">
        <v>46</v>
      </c>
      <c r="I679" s="269"/>
      <c r="J679" s="269">
        <f>J680+J681</f>
        <v>0</v>
      </c>
      <c r="K679" s="465"/>
      <c r="L679" s="163"/>
      <c r="M679" s="163"/>
      <c r="N679" s="163"/>
      <c r="O679" s="163"/>
      <c r="P679" s="163"/>
      <c r="Q679" s="541"/>
      <c r="R679" s="541"/>
      <c r="S679" s="541"/>
      <c r="T679" s="541"/>
      <c r="U679" s="541"/>
      <c r="V679" s="541"/>
      <c r="W679" s="541"/>
      <c r="X679" s="541"/>
      <c r="Y679" s="541"/>
      <c r="Z679" s="541"/>
    </row>
    <row r="680" spans="1:26" ht="18.75">
      <c r="A680" s="572"/>
      <c r="B680" s="584"/>
      <c r="C680" s="584"/>
      <c r="D680" s="584"/>
      <c r="E680" s="592"/>
      <c r="F680" s="592" t="s">
        <v>287</v>
      </c>
      <c r="G680" s="726"/>
      <c r="H680" s="728" t="s">
        <v>46</v>
      </c>
      <c r="I680" s="269"/>
      <c r="J680" s="214">
        <v>0</v>
      </c>
      <c r="K680" s="465"/>
      <c r="L680" s="163"/>
      <c r="M680" s="163"/>
      <c r="N680" s="163"/>
      <c r="O680" s="163"/>
      <c r="P680" s="163"/>
      <c r="Q680" s="541"/>
      <c r="R680" s="541"/>
      <c r="S680" s="541"/>
      <c r="T680" s="541"/>
      <c r="U680" s="541"/>
      <c r="V680" s="541"/>
      <c r="W680" s="541"/>
      <c r="X680" s="541"/>
      <c r="Y680" s="541"/>
      <c r="Z680" s="541"/>
    </row>
    <row r="681" spans="1:26" ht="18.75">
      <c r="A681" s="572"/>
      <c r="B681" s="584"/>
      <c r="C681" s="584"/>
      <c r="D681" s="584"/>
      <c r="E681" s="592"/>
      <c r="F681" s="592" t="s">
        <v>288</v>
      </c>
      <c r="G681" s="726"/>
      <c r="H681" s="728" t="s">
        <v>46</v>
      </c>
      <c r="I681" s="269"/>
      <c r="J681" s="214">
        <v>0</v>
      </c>
      <c r="K681" s="465"/>
      <c r="L681" s="163"/>
      <c r="M681" s="163"/>
      <c r="N681" s="163"/>
      <c r="O681" s="163"/>
      <c r="P681" s="163"/>
      <c r="Q681" s="541"/>
      <c r="R681" s="541"/>
      <c r="S681" s="541"/>
      <c r="T681" s="541"/>
      <c r="U681" s="541"/>
      <c r="V681" s="541"/>
      <c r="W681" s="541"/>
      <c r="X681" s="541"/>
      <c r="Y681" s="541"/>
      <c r="Z681" s="541"/>
    </row>
    <row r="682" spans="1:26" ht="18.75">
      <c r="A682" s="572"/>
      <c r="B682" s="584"/>
      <c r="C682" s="584"/>
      <c r="D682" s="584"/>
      <c r="E682" s="592" t="s">
        <v>291</v>
      </c>
      <c r="F682" s="592"/>
      <c r="G682" s="726"/>
      <c r="H682" s="728" t="s">
        <v>46</v>
      </c>
      <c r="I682" s="269"/>
      <c r="J682" s="214">
        <v>0</v>
      </c>
      <c r="K682" s="465"/>
      <c r="L682" s="163"/>
      <c r="M682" s="163"/>
      <c r="N682" s="163"/>
      <c r="O682" s="163"/>
      <c r="P682" s="163"/>
      <c r="Q682" s="541"/>
      <c r="R682" s="541"/>
      <c r="S682" s="541"/>
      <c r="T682" s="541"/>
      <c r="U682" s="541"/>
      <c r="V682" s="541"/>
      <c r="W682" s="541"/>
      <c r="X682" s="541"/>
      <c r="Y682" s="541"/>
      <c r="Z682" s="541"/>
    </row>
    <row r="683" spans="1:26" ht="19.5" thickBot="1">
      <c r="A683" s="572"/>
      <c r="B683" s="584"/>
      <c r="C683" s="584"/>
      <c r="D683" s="584"/>
      <c r="E683" s="592"/>
      <c r="F683" s="592" t="s">
        <v>292</v>
      </c>
      <c r="G683" s="726"/>
      <c r="H683" s="728" t="s">
        <v>46</v>
      </c>
      <c r="I683" s="269"/>
      <c r="J683" s="214">
        <v>0</v>
      </c>
      <c r="K683" s="465"/>
      <c r="L683" s="163"/>
      <c r="M683" s="163"/>
      <c r="N683" s="163"/>
      <c r="O683" s="163"/>
      <c r="P683" s="163"/>
      <c r="Q683" s="541"/>
      <c r="R683" s="541"/>
      <c r="S683" s="541"/>
      <c r="T683" s="541"/>
      <c r="U683" s="541"/>
      <c r="V683" s="541"/>
      <c r="W683" s="541"/>
      <c r="X683" s="541"/>
      <c r="Y683" s="541"/>
      <c r="Z683" s="541"/>
    </row>
    <row r="684" spans="1:26" ht="20.25" hidden="1" thickBot="1">
      <c r="A684" s="717"/>
      <c r="B684" s="718" t="s">
        <v>293</v>
      </c>
      <c r="C684" s="717"/>
      <c r="D684" s="717"/>
      <c r="E684" s="717"/>
      <c r="F684" s="717"/>
      <c r="G684" s="719"/>
      <c r="H684" s="719"/>
      <c r="I684" s="720"/>
      <c r="J684" s="720"/>
      <c r="K684" s="721"/>
      <c r="L684" s="721"/>
      <c r="M684" s="721"/>
      <c r="N684" s="721"/>
      <c r="O684" s="721"/>
      <c r="P684" s="721"/>
      <c r="Q684" s="541"/>
      <c r="R684" s="541"/>
      <c r="S684" s="541"/>
      <c r="T684" s="541"/>
      <c r="U684" s="541"/>
      <c r="V684" s="541"/>
      <c r="W684" s="541"/>
      <c r="X684" s="541"/>
      <c r="Y684" s="541"/>
      <c r="Z684" s="541"/>
    </row>
    <row r="685" spans="1:26" ht="20.25" hidden="1" thickBot="1">
      <c r="A685" s="561"/>
      <c r="B685" s="727"/>
      <c r="C685" s="727" t="s">
        <v>16</v>
      </c>
      <c r="D685" s="811" t="s">
        <v>17</v>
      </c>
      <c r="E685" s="805"/>
      <c r="F685" s="805"/>
      <c r="G685" s="189"/>
      <c r="H685" s="562" t="s">
        <v>12</v>
      </c>
      <c r="I685" s="269"/>
      <c r="J685" s="269"/>
      <c r="K685" s="465"/>
      <c r="L685" s="195">
        <f t="shared" ref="L685:N685" ca="1" si="281">L686+L687</f>
        <v>0</v>
      </c>
      <c r="M685" s="195">
        <f t="shared" si="281"/>
        <v>0</v>
      </c>
      <c r="N685" s="195">
        <f t="shared" si="281"/>
        <v>0</v>
      </c>
      <c r="O685" s="195">
        <f t="shared" ref="O685:O688" ca="1" si="282">IF(L685&gt;0,N685*100/L685,0)</f>
        <v>0</v>
      </c>
      <c r="P685" s="195">
        <f t="shared" ref="P685:P688" si="283">IF(M685&gt;0,N685*100/M685,0)</f>
        <v>0</v>
      </c>
      <c r="Q685" s="541"/>
      <c r="R685" s="541"/>
      <c r="S685" s="541"/>
      <c r="T685" s="541"/>
      <c r="U685" s="541"/>
      <c r="V685" s="541"/>
      <c r="W685" s="541"/>
      <c r="X685" s="541"/>
      <c r="Y685" s="541"/>
      <c r="Z685" s="541"/>
    </row>
    <row r="686" spans="1:26" ht="19.5" hidden="1" thickBot="1">
      <c r="A686" s="563"/>
      <c r="B686" s="723"/>
      <c r="C686" s="723"/>
      <c r="D686" s="684"/>
      <c r="E686" s="723" t="s">
        <v>184</v>
      </c>
      <c r="F686" s="723"/>
      <c r="G686" s="567"/>
      <c r="H686" s="165" t="s">
        <v>12</v>
      </c>
      <c r="I686" s="583"/>
      <c r="J686" s="583"/>
      <c r="K686" s="93"/>
      <c r="L686" s="93">
        <f t="shared" ref="L686:N687" si="284">L689+L696</f>
        <v>0</v>
      </c>
      <c r="M686" s="93">
        <f t="shared" si="284"/>
        <v>0</v>
      </c>
      <c r="N686" s="93">
        <f t="shared" si="284"/>
        <v>0</v>
      </c>
      <c r="O686" s="93">
        <f t="shared" si="282"/>
        <v>0</v>
      </c>
      <c r="P686" s="93">
        <f t="shared" si="283"/>
        <v>0</v>
      </c>
      <c r="Q686" s="568"/>
      <c r="R686" s="568"/>
      <c r="S686" s="568"/>
      <c r="T686" s="568"/>
      <c r="U686" s="568"/>
      <c r="V686" s="568"/>
      <c r="W686" s="568"/>
      <c r="X686" s="568"/>
      <c r="Y686" s="568"/>
      <c r="Z686" s="568"/>
    </row>
    <row r="687" spans="1:26" ht="19.5" hidden="1" thickBot="1">
      <c r="A687" s="563"/>
      <c r="B687" s="571"/>
      <c r="C687" s="723"/>
      <c r="D687" s="684"/>
      <c r="E687" s="723" t="s">
        <v>185</v>
      </c>
      <c r="F687" s="723"/>
      <c r="G687" s="567"/>
      <c r="H687" s="165" t="s">
        <v>12</v>
      </c>
      <c r="I687" s="583"/>
      <c r="J687" s="583"/>
      <c r="K687" s="93"/>
      <c r="L687" s="93">
        <f t="shared" ca="1" si="284"/>
        <v>0</v>
      </c>
      <c r="M687" s="93">
        <f t="shared" si="284"/>
        <v>0</v>
      </c>
      <c r="N687" s="93">
        <f t="shared" si="284"/>
        <v>0</v>
      </c>
      <c r="O687" s="93">
        <f t="shared" ca="1" si="282"/>
        <v>0</v>
      </c>
      <c r="P687" s="93">
        <f t="shared" si="283"/>
        <v>0</v>
      </c>
      <c r="Q687" s="568"/>
      <c r="R687" s="568"/>
      <c r="S687" s="568"/>
      <c r="T687" s="568"/>
      <c r="U687" s="568"/>
      <c r="V687" s="568"/>
      <c r="W687" s="568"/>
      <c r="X687" s="568"/>
      <c r="Y687" s="568"/>
      <c r="Z687" s="568"/>
    </row>
    <row r="688" spans="1:26" ht="19.5" hidden="1" thickBot="1">
      <c r="A688" s="561"/>
      <c r="B688" s="538"/>
      <c r="C688" s="727"/>
      <c r="D688" s="570" t="s">
        <v>20</v>
      </c>
      <c r="E688" s="727"/>
      <c r="F688" s="727"/>
      <c r="G688" s="189"/>
      <c r="H688" s="161" t="s">
        <v>12</v>
      </c>
      <c r="I688" s="184"/>
      <c r="J688" s="184"/>
      <c r="K688" s="163"/>
      <c r="L688" s="465">
        <f t="shared" ref="L688:N688" ca="1" si="285">L689+L690</f>
        <v>0</v>
      </c>
      <c r="M688" s="465">
        <f t="shared" si="285"/>
        <v>0</v>
      </c>
      <c r="N688" s="465">
        <f t="shared" si="285"/>
        <v>0</v>
      </c>
      <c r="O688" s="465">
        <f t="shared" ca="1" si="282"/>
        <v>0</v>
      </c>
      <c r="P688" s="465">
        <f t="shared" si="283"/>
        <v>0</v>
      </c>
      <c r="Q688" s="541"/>
      <c r="R688" s="541"/>
      <c r="S688" s="541"/>
      <c r="T688" s="541"/>
      <c r="U688" s="541"/>
      <c r="V688" s="541"/>
      <c r="W688" s="541"/>
      <c r="X688" s="541"/>
      <c r="Y688" s="541"/>
      <c r="Z688" s="541"/>
    </row>
    <row r="689" spans="1:26" ht="19.5" hidden="1" thickBot="1">
      <c r="A689" s="563"/>
      <c r="B689" s="571"/>
      <c r="C689" s="723"/>
      <c r="D689" s="684"/>
      <c r="E689" s="723" t="s">
        <v>184</v>
      </c>
      <c r="F689" s="723"/>
      <c r="G689" s="567"/>
      <c r="H689" s="165" t="s">
        <v>12</v>
      </c>
      <c r="I689" s="583"/>
      <c r="J689" s="583"/>
      <c r="K689" s="93"/>
      <c r="L689" s="93">
        <v>0</v>
      </c>
      <c r="M689" s="93">
        <v>0</v>
      </c>
      <c r="N689" s="93">
        <v>0</v>
      </c>
      <c r="O689" s="93"/>
      <c r="P689" s="93"/>
      <c r="Q689" s="568"/>
      <c r="R689" s="568"/>
      <c r="S689" s="568"/>
      <c r="T689" s="568"/>
      <c r="U689" s="568"/>
      <c r="V689" s="568"/>
      <c r="W689" s="568"/>
      <c r="X689" s="568"/>
      <c r="Y689" s="568"/>
      <c r="Z689" s="568"/>
    </row>
    <row r="690" spans="1:26" ht="19.5" hidden="1" thickBot="1">
      <c r="A690" s="563"/>
      <c r="B690" s="571"/>
      <c r="C690" s="723"/>
      <c r="D690" s="684"/>
      <c r="E690" s="723" t="s">
        <v>185</v>
      </c>
      <c r="F690" s="723"/>
      <c r="G690" s="567"/>
      <c r="H690" s="165" t="s">
        <v>12</v>
      </c>
      <c r="I690" s="583"/>
      <c r="J690" s="583"/>
      <c r="K690" s="93"/>
      <c r="L690" s="93">
        <f ca="1">IFERROR(__xludf.DUMMYFUNCTION("IMPORTRANGE(""https://docs.google.com/spreadsheets/d/1QqKyyYR6Q21VydFLVH3TRQUabQu_ym0Zz7PgGX0-kHA/edit?usp=sharing"",""แผน!HW15"")"),0)</f>
        <v>0</v>
      </c>
      <c r="M690" s="93">
        <v>0</v>
      </c>
      <c r="N690" s="93">
        <f>N691+N692+N693+N694</f>
        <v>0</v>
      </c>
      <c r="O690" s="93">
        <f ca="1">IF(L690&gt;0,N690*100/L690,0)</f>
        <v>0</v>
      </c>
      <c r="P690" s="93">
        <f>IF(M690&gt;0,N690*100/M690,0)</f>
        <v>0</v>
      </c>
      <c r="Q690" s="568"/>
      <c r="R690" s="568"/>
      <c r="S690" s="568"/>
      <c r="T690" s="568"/>
      <c r="U690" s="568"/>
      <c r="V690" s="568"/>
      <c r="W690" s="568"/>
      <c r="X690" s="568"/>
      <c r="Y690" s="568"/>
      <c r="Z690" s="568"/>
    </row>
    <row r="691" spans="1:26" ht="19.5" hidden="1" thickBot="1">
      <c r="A691" s="537"/>
      <c r="B691" s="538"/>
      <c r="C691" s="727"/>
      <c r="D691" s="727"/>
      <c r="E691" s="727"/>
      <c r="F691" s="727" t="s">
        <v>186</v>
      </c>
      <c r="G691" s="189"/>
      <c r="H691" s="161" t="s">
        <v>12</v>
      </c>
      <c r="I691" s="269"/>
      <c r="J691" s="269"/>
      <c r="K691" s="465"/>
      <c r="L691" s="465"/>
      <c r="M691" s="465"/>
      <c r="N691" s="789">
        <v>0</v>
      </c>
      <c r="O691" s="465"/>
      <c r="P691" s="465"/>
      <c r="Q691" s="541"/>
      <c r="R691" s="541"/>
      <c r="S691" s="541"/>
      <c r="T691" s="541"/>
      <c r="U691" s="541"/>
      <c r="V691" s="541"/>
      <c r="W691" s="541"/>
      <c r="X691" s="541"/>
      <c r="Y691" s="541"/>
      <c r="Z691" s="541"/>
    </row>
    <row r="692" spans="1:26" ht="19.5" hidden="1" thickBot="1">
      <c r="A692" s="537"/>
      <c r="B692" s="538"/>
      <c r="C692" s="727"/>
      <c r="D692" s="727"/>
      <c r="E692" s="727"/>
      <c r="F692" s="727" t="s">
        <v>187</v>
      </c>
      <c r="G692" s="189"/>
      <c r="H692" s="161" t="s">
        <v>12</v>
      </c>
      <c r="I692" s="269"/>
      <c r="J692" s="269"/>
      <c r="K692" s="465"/>
      <c r="L692" s="465"/>
      <c r="M692" s="465"/>
      <c r="N692" s="789">
        <v>0</v>
      </c>
      <c r="O692" s="465"/>
      <c r="P692" s="465"/>
      <c r="Q692" s="541"/>
      <c r="R692" s="541"/>
      <c r="S692" s="541"/>
      <c r="T692" s="541"/>
      <c r="U692" s="541"/>
      <c r="V692" s="541"/>
      <c r="W692" s="541"/>
      <c r="X692" s="541"/>
      <c r="Y692" s="541"/>
      <c r="Z692" s="541"/>
    </row>
    <row r="693" spans="1:26" ht="19.5" hidden="1" thickBot="1">
      <c r="A693" s="537"/>
      <c r="B693" s="538"/>
      <c r="C693" s="727"/>
      <c r="D693" s="727"/>
      <c r="E693" s="727"/>
      <c r="F693" s="727" t="s">
        <v>188</v>
      </c>
      <c r="G693" s="189"/>
      <c r="H693" s="161" t="s">
        <v>12</v>
      </c>
      <c r="I693" s="269"/>
      <c r="J693" s="269"/>
      <c r="K693" s="465"/>
      <c r="L693" s="465"/>
      <c r="M693" s="465"/>
      <c r="N693" s="789">
        <v>0</v>
      </c>
      <c r="O693" s="465"/>
      <c r="P693" s="465"/>
      <c r="Q693" s="541"/>
      <c r="R693" s="541"/>
      <c r="S693" s="541"/>
      <c r="T693" s="541"/>
      <c r="U693" s="541"/>
      <c r="V693" s="541"/>
      <c r="W693" s="541"/>
      <c r="X693" s="541"/>
      <c r="Y693" s="541"/>
      <c r="Z693" s="541"/>
    </row>
    <row r="694" spans="1:26" ht="19.5" hidden="1" thickBot="1">
      <c r="A694" s="537"/>
      <c r="B694" s="538"/>
      <c r="C694" s="727"/>
      <c r="D694" s="727"/>
      <c r="E694" s="727"/>
      <c r="F694" s="727" t="s">
        <v>189</v>
      </c>
      <c r="G694" s="189"/>
      <c r="H694" s="161" t="s">
        <v>12</v>
      </c>
      <c r="I694" s="269"/>
      <c r="J694" s="269"/>
      <c r="K694" s="465"/>
      <c r="L694" s="465"/>
      <c r="M694" s="465"/>
      <c r="N694" s="789">
        <v>0</v>
      </c>
      <c r="O694" s="465"/>
      <c r="P694" s="465"/>
      <c r="Q694" s="541"/>
      <c r="R694" s="541"/>
      <c r="S694" s="541"/>
      <c r="T694" s="541"/>
      <c r="U694" s="541"/>
      <c r="V694" s="541"/>
      <c r="W694" s="541"/>
      <c r="X694" s="541"/>
      <c r="Y694" s="541"/>
      <c r="Z694" s="541"/>
    </row>
    <row r="695" spans="1:26" ht="19.5" hidden="1" thickBot="1">
      <c r="A695" s="561"/>
      <c r="B695" s="538"/>
      <c r="C695" s="727"/>
      <c r="D695" s="570" t="s">
        <v>21</v>
      </c>
      <c r="E695" s="727"/>
      <c r="F695" s="727"/>
      <c r="G695" s="189"/>
      <c r="H695" s="168" t="s">
        <v>12</v>
      </c>
      <c r="I695" s="184"/>
      <c r="J695" s="184"/>
      <c r="K695" s="163"/>
      <c r="L695" s="465">
        <f t="shared" ref="L695:N695" si="286">L696+L697</f>
        <v>0</v>
      </c>
      <c r="M695" s="465">
        <f t="shared" si="286"/>
        <v>0</v>
      </c>
      <c r="N695" s="465">
        <f t="shared" si="286"/>
        <v>0</v>
      </c>
      <c r="O695" s="465">
        <f t="shared" ref="O695:O697" si="287">IF(L695&gt;0,N695*100/L695,0)</f>
        <v>0</v>
      </c>
      <c r="P695" s="465">
        <f t="shared" ref="P695:P697" si="288">IF(M695&gt;0,N695*100/M695,0)</f>
        <v>0</v>
      </c>
      <c r="Q695" s="541"/>
      <c r="R695" s="541"/>
      <c r="S695" s="541"/>
      <c r="T695" s="541"/>
      <c r="U695" s="541"/>
      <c r="V695" s="541"/>
      <c r="W695" s="541"/>
      <c r="X695" s="541"/>
      <c r="Y695" s="541"/>
      <c r="Z695" s="541"/>
    </row>
    <row r="696" spans="1:26" ht="19.5" hidden="1" thickBot="1">
      <c r="A696" s="563"/>
      <c r="B696" s="571"/>
      <c r="C696" s="723"/>
      <c r="D696" s="723"/>
      <c r="E696" s="723" t="s">
        <v>18</v>
      </c>
      <c r="F696" s="723"/>
      <c r="G696" s="567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7"/>
        <v>0</v>
      </c>
      <c r="P696" s="93">
        <f t="shared" si="288"/>
        <v>0</v>
      </c>
      <c r="Q696" s="568"/>
      <c r="R696" s="568"/>
      <c r="S696" s="568"/>
      <c r="T696" s="568"/>
      <c r="U696" s="568"/>
      <c r="V696" s="568"/>
      <c r="W696" s="568"/>
      <c r="X696" s="568"/>
      <c r="Y696" s="568"/>
      <c r="Z696" s="568"/>
    </row>
    <row r="697" spans="1:26" ht="19.5" hidden="1" thickBot="1">
      <c r="A697" s="563"/>
      <c r="B697" s="571"/>
      <c r="C697" s="723"/>
      <c r="D697" s="723"/>
      <c r="E697" s="723" t="s">
        <v>19</v>
      </c>
      <c r="F697" s="723"/>
      <c r="G697" s="567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7"/>
        <v>0</v>
      </c>
      <c r="P697" s="93">
        <f t="shared" si="288"/>
        <v>0</v>
      </c>
      <c r="Q697" s="568"/>
      <c r="R697" s="568"/>
      <c r="S697" s="568"/>
      <c r="T697" s="568"/>
      <c r="U697" s="568"/>
      <c r="V697" s="568"/>
      <c r="W697" s="568"/>
      <c r="X697" s="568"/>
      <c r="Y697" s="568"/>
      <c r="Z697" s="568"/>
    </row>
    <row r="698" spans="1:26" ht="20.25" hidden="1" thickBot="1">
      <c r="A698" s="572"/>
      <c r="B698" s="584"/>
      <c r="C698" s="727" t="s">
        <v>16</v>
      </c>
      <c r="D698" s="855" t="s">
        <v>38</v>
      </c>
      <c r="E698" s="725"/>
      <c r="F698" s="725"/>
      <c r="G698" s="577"/>
      <c r="H698" s="726"/>
      <c r="I698" s="184"/>
      <c r="J698" s="184"/>
      <c r="K698" s="163"/>
      <c r="L698" s="163"/>
      <c r="M698" s="163"/>
      <c r="N698" s="163"/>
      <c r="O698" s="163"/>
      <c r="P698" s="163"/>
      <c r="Q698" s="541"/>
      <c r="R698" s="541"/>
      <c r="S698" s="541"/>
      <c r="T698" s="541"/>
      <c r="U698" s="541"/>
      <c r="V698" s="541"/>
      <c r="W698" s="541"/>
      <c r="X698" s="541"/>
      <c r="Y698" s="541"/>
      <c r="Z698" s="541"/>
    </row>
    <row r="699" spans="1:26" ht="19.5" hidden="1" thickBot="1">
      <c r="A699" s="708"/>
      <c r="B699" s="727"/>
      <c r="C699" s="727"/>
      <c r="D699" s="727" t="s">
        <v>294</v>
      </c>
      <c r="E699" s="727"/>
      <c r="F699" s="727"/>
      <c r="G699" s="189"/>
      <c r="H699" s="728" t="s">
        <v>46</v>
      </c>
      <c r="I699" s="729">
        <f ca="1">IFERROR(__xludf.DUMMYFUNCTION("IMPORTRANGE(""https://docs.google.com/spreadsheets/d/1QqKyyYR6Q21VydFLVH3TRQUabQu_ym0Zz7PgGX0-kHA/edit?usp=sharing"",""แผน!IC15"")"),0)</f>
        <v>0</v>
      </c>
      <c r="J699" s="269">
        <f ca="1">IFERROR(__xludf.DUMMYFUNCTION("IMPORTRANGE(""https://docs.google.com/spreadsheets/d/1XWAQStnk-4SwqDmLtmXYiTMKHgktTP8We1SCoS47DrQ/edit?usp=sharing"",""จัดที่ดิน!BB15"")"),0)</f>
        <v>0</v>
      </c>
      <c r="K699" s="465">
        <f t="shared" ref="K699:K701" ca="1" si="289">IF(I699&gt;0,J699*100/I699,0)</f>
        <v>0</v>
      </c>
      <c r="L699" s="465"/>
      <c r="M699" s="189"/>
      <c r="N699" s="730"/>
      <c r="O699" s="465"/>
      <c r="P699" s="465"/>
      <c r="Q699" s="541"/>
      <c r="R699" s="541"/>
      <c r="S699" s="541"/>
      <c r="T699" s="541"/>
      <c r="U699" s="541"/>
      <c r="V699" s="541"/>
      <c r="W699" s="541"/>
      <c r="X699" s="541"/>
      <c r="Y699" s="541"/>
      <c r="Z699" s="541"/>
    </row>
    <row r="700" spans="1:26" ht="19.5" hidden="1" thickBot="1">
      <c r="A700" s="708"/>
      <c r="B700" s="727"/>
      <c r="C700" s="727"/>
      <c r="D700" s="727" t="s">
        <v>295</v>
      </c>
      <c r="E700" s="727"/>
      <c r="F700" s="727"/>
      <c r="G700" s="189"/>
      <c r="H700" s="728" t="s">
        <v>35</v>
      </c>
      <c r="I700" s="729">
        <f ca="1">IFERROR(__xludf.DUMMYFUNCTION("IMPORTRANGE(""https://docs.google.com/spreadsheets/d/1QqKyyYR6Q21VydFLVH3TRQUabQu_ym0Zz7PgGX0-kHA/edit?usp=sharing"",""แผน!ID15"")"),0)</f>
        <v>0</v>
      </c>
      <c r="J700" s="269">
        <f ca="1">IFERROR(__xludf.DUMMYFUNCTION("IMPORTRANGE(""https://docs.google.com/spreadsheets/d/1XWAQStnk-4SwqDmLtmXYiTMKHgktTP8We1SCoS47DrQ/edit?usp=sharing"",""จัดที่ดิน!BD15"")"),0)</f>
        <v>0</v>
      </c>
      <c r="K700" s="465">
        <f t="shared" ca="1" si="289"/>
        <v>0</v>
      </c>
      <c r="L700" s="465"/>
      <c r="M700" s="189"/>
      <c r="N700" s="730"/>
      <c r="O700" s="465"/>
      <c r="P700" s="465"/>
      <c r="Q700" s="541"/>
      <c r="R700" s="541"/>
      <c r="S700" s="541"/>
      <c r="T700" s="541"/>
      <c r="U700" s="541"/>
      <c r="V700" s="541"/>
      <c r="W700" s="541"/>
      <c r="X700" s="541"/>
      <c r="Y700" s="541"/>
      <c r="Z700" s="541"/>
    </row>
    <row r="701" spans="1:26" ht="20.25" hidden="1" thickBot="1">
      <c r="A701" s="708"/>
      <c r="B701" s="727"/>
      <c r="C701" s="727"/>
      <c r="D701" s="727" t="s">
        <v>296</v>
      </c>
      <c r="E701" s="727"/>
      <c r="F701" s="727"/>
      <c r="G701" s="189"/>
      <c r="H701" s="731" t="s">
        <v>46</v>
      </c>
      <c r="I701" s="732">
        <f ca="1">IFERROR(__xludf.DUMMYFUNCTION("IMPORTRANGE(""https://docs.google.com/spreadsheets/d/1QqKyyYR6Q21VydFLVH3TRQUabQu_ym0Zz7PgGX0-kHA/edit?usp=sharing"",""แผน!IE15"")"),0)</f>
        <v>0</v>
      </c>
      <c r="J701" s="647">
        <f>J704+J707</f>
        <v>0</v>
      </c>
      <c r="K701" s="195">
        <f t="shared" ca="1" si="289"/>
        <v>0</v>
      </c>
      <c r="L701" s="465"/>
      <c r="M701" s="189"/>
      <c r="N701" s="730"/>
      <c r="O701" s="465"/>
      <c r="P701" s="465"/>
      <c r="Q701" s="541"/>
      <c r="R701" s="541"/>
      <c r="S701" s="541"/>
      <c r="T701" s="541"/>
      <c r="U701" s="541"/>
      <c r="V701" s="541"/>
      <c r="W701" s="541"/>
      <c r="X701" s="541"/>
      <c r="Y701" s="541"/>
      <c r="Z701" s="541"/>
    </row>
    <row r="702" spans="1:26" ht="19.5" hidden="1" thickBot="1">
      <c r="A702" s="708"/>
      <c r="B702" s="727"/>
      <c r="C702" s="727"/>
      <c r="D702" s="727"/>
      <c r="E702" s="727" t="s">
        <v>297</v>
      </c>
      <c r="F702" s="727"/>
      <c r="G702" s="189"/>
      <c r="H702" s="728" t="s">
        <v>35</v>
      </c>
      <c r="I702" s="729"/>
      <c r="J702" s="214">
        <v>0</v>
      </c>
      <c r="K702" s="465"/>
      <c r="L702" s="465"/>
      <c r="M702" s="189"/>
      <c r="N702" s="730"/>
      <c r="O702" s="465"/>
      <c r="P702" s="465"/>
      <c r="Q702" s="541"/>
      <c r="R702" s="541"/>
      <c r="S702" s="541"/>
      <c r="T702" s="541"/>
      <c r="U702" s="541"/>
      <c r="V702" s="541"/>
      <c r="W702" s="541"/>
      <c r="X702" s="541"/>
      <c r="Y702" s="541"/>
      <c r="Z702" s="541"/>
    </row>
    <row r="703" spans="1:26" ht="19.5" hidden="1" thickBot="1">
      <c r="A703" s="708"/>
      <c r="B703" s="727"/>
      <c r="C703" s="727"/>
      <c r="D703" s="727"/>
      <c r="E703" s="727"/>
      <c r="F703" s="727"/>
      <c r="G703" s="189"/>
      <c r="H703" s="728" t="s">
        <v>34</v>
      </c>
      <c r="I703" s="729"/>
      <c r="J703" s="214">
        <v>0</v>
      </c>
      <c r="K703" s="465"/>
      <c r="L703" s="465"/>
      <c r="M703" s="189"/>
      <c r="N703" s="730"/>
      <c r="O703" s="465"/>
      <c r="P703" s="465"/>
      <c r="Q703" s="541"/>
      <c r="R703" s="541"/>
      <c r="S703" s="541"/>
      <c r="T703" s="541"/>
      <c r="U703" s="541"/>
      <c r="V703" s="541"/>
      <c r="W703" s="541"/>
      <c r="X703" s="541"/>
      <c r="Y703" s="541"/>
      <c r="Z703" s="541"/>
    </row>
    <row r="704" spans="1:26" ht="19.5" hidden="1" thickBot="1">
      <c r="A704" s="708"/>
      <c r="B704" s="727"/>
      <c r="C704" s="727"/>
      <c r="D704" s="727"/>
      <c r="E704" s="727"/>
      <c r="F704" s="727"/>
      <c r="G704" s="189"/>
      <c r="H704" s="728" t="s">
        <v>46</v>
      </c>
      <c r="I704" s="729">
        <f ca="1">IFERROR(__xludf.DUMMYFUNCTION("IMPORTRANGE(""https://docs.google.com/spreadsheets/d/1QqKyyYR6Q21VydFLVH3TRQUabQu_ym0Zz7PgGX0-kHA/edit?usp=sharing"",""แผน!IF15"")"),0)</f>
        <v>0</v>
      </c>
      <c r="J704" s="214">
        <v>0</v>
      </c>
      <c r="K704" s="465"/>
      <c r="L704" s="465"/>
      <c r="M704" s="189"/>
      <c r="N704" s="730"/>
      <c r="O704" s="465"/>
      <c r="P704" s="465"/>
      <c r="Q704" s="541"/>
      <c r="R704" s="541"/>
      <c r="S704" s="541"/>
      <c r="T704" s="541"/>
      <c r="U704" s="541"/>
      <c r="V704" s="541"/>
      <c r="W704" s="541"/>
      <c r="X704" s="541"/>
      <c r="Y704" s="541"/>
      <c r="Z704" s="541"/>
    </row>
    <row r="705" spans="1:26" ht="19.5" hidden="1" thickBot="1">
      <c r="A705" s="708"/>
      <c r="B705" s="727"/>
      <c r="C705" s="727"/>
      <c r="D705" s="727"/>
      <c r="E705" s="727" t="s">
        <v>298</v>
      </c>
      <c r="F705" s="727"/>
      <c r="G705" s="189"/>
      <c r="H705" s="728" t="s">
        <v>35</v>
      </c>
      <c r="I705" s="729"/>
      <c r="J705" s="214">
        <v>0</v>
      </c>
      <c r="K705" s="465"/>
      <c r="L705" s="465"/>
      <c r="M705" s="189"/>
      <c r="N705" s="730"/>
      <c r="O705" s="465"/>
      <c r="P705" s="465"/>
      <c r="Q705" s="541"/>
      <c r="R705" s="541"/>
      <c r="S705" s="541"/>
      <c r="T705" s="541"/>
      <c r="U705" s="541"/>
      <c r="V705" s="541"/>
      <c r="W705" s="541"/>
      <c r="X705" s="541"/>
      <c r="Y705" s="541"/>
      <c r="Z705" s="541"/>
    </row>
    <row r="706" spans="1:26" ht="19.5" hidden="1" thickBot="1">
      <c r="A706" s="708"/>
      <c r="B706" s="727"/>
      <c r="C706" s="727"/>
      <c r="D706" s="727"/>
      <c r="E706" s="727"/>
      <c r="F706" s="727"/>
      <c r="G706" s="189"/>
      <c r="H706" s="728" t="s">
        <v>34</v>
      </c>
      <c r="I706" s="729"/>
      <c r="J706" s="214">
        <v>0</v>
      </c>
      <c r="K706" s="465"/>
      <c r="L706" s="465"/>
      <c r="M706" s="189"/>
      <c r="N706" s="730"/>
      <c r="O706" s="465"/>
      <c r="P706" s="465"/>
      <c r="Q706" s="541"/>
      <c r="R706" s="541"/>
      <c r="S706" s="541"/>
      <c r="T706" s="541"/>
      <c r="U706" s="541"/>
      <c r="V706" s="541"/>
      <c r="W706" s="541"/>
      <c r="X706" s="541"/>
      <c r="Y706" s="541"/>
      <c r="Z706" s="541"/>
    </row>
    <row r="707" spans="1:26" ht="19.5" hidden="1" thickBot="1">
      <c r="A707" s="708"/>
      <c r="B707" s="727"/>
      <c r="C707" s="727"/>
      <c r="D707" s="727"/>
      <c r="E707" s="727"/>
      <c r="F707" s="727"/>
      <c r="G707" s="189"/>
      <c r="H707" s="728" t="s">
        <v>46</v>
      </c>
      <c r="I707" s="729">
        <f ca="1">IFERROR(__xludf.DUMMYFUNCTION("IMPORTRANGE(""https://docs.google.com/spreadsheets/d/1QqKyyYR6Q21VydFLVH3TRQUabQu_ym0Zz7PgGX0-kHA/edit?usp=sharing"",""แผน!IG15"")"),0)</f>
        <v>0</v>
      </c>
      <c r="J707" s="214">
        <v>0</v>
      </c>
      <c r="K707" s="465"/>
      <c r="L707" s="465"/>
      <c r="M707" s="189"/>
      <c r="N707" s="730"/>
      <c r="O707" s="465"/>
      <c r="P707" s="465"/>
      <c r="Q707" s="541"/>
      <c r="R707" s="541"/>
      <c r="S707" s="541"/>
      <c r="T707" s="541"/>
      <c r="U707" s="541"/>
      <c r="V707" s="541"/>
      <c r="W707" s="541"/>
      <c r="X707" s="541"/>
      <c r="Y707" s="541"/>
      <c r="Z707" s="541"/>
    </row>
    <row r="708" spans="1:26" ht="20.25" hidden="1" thickBot="1">
      <c r="A708" s="708"/>
      <c r="B708" s="727"/>
      <c r="C708" s="727"/>
      <c r="D708" s="733" t="s">
        <v>299</v>
      </c>
      <c r="E708" s="727"/>
      <c r="F708" s="727"/>
      <c r="G708" s="189"/>
      <c r="H708" s="731" t="s">
        <v>46</v>
      </c>
      <c r="I708" s="732">
        <f ca="1">IFERROR(__xludf.DUMMYFUNCTION("IMPORTRANGE(""https://docs.google.com/spreadsheets/d/1QqKyyYR6Q21VydFLVH3TRQUabQu_ym0Zz7PgGX0-kHA/edit?usp=sharing"",""แผน!IH15"")"),0)</f>
        <v>0</v>
      </c>
      <c r="J708" s="647">
        <f>J714+J717</f>
        <v>0</v>
      </c>
      <c r="K708" s="195">
        <f ca="1">IF(I708&gt;0,J708*100/I708,0)</f>
        <v>0</v>
      </c>
      <c r="L708" s="465"/>
      <c r="M708" s="189"/>
      <c r="N708" s="730"/>
      <c r="O708" s="465"/>
      <c r="P708" s="465"/>
      <c r="Q708" s="541"/>
      <c r="R708" s="541"/>
      <c r="S708" s="541"/>
      <c r="T708" s="541"/>
      <c r="U708" s="541"/>
      <c r="V708" s="541"/>
      <c r="W708" s="541"/>
      <c r="X708" s="541"/>
      <c r="Y708" s="541"/>
      <c r="Z708" s="541"/>
    </row>
    <row r="709" spans="1:26" ht="19.5" hidden="1" thickBot="1">
      <c r="A709" s="708"/>
      <c r="B709" s="727"/>
      <c r="C709" s="727"/>
      <c r="D709" s="727"/>
      <c r="E709" s="727" t="s">
        <v>300</v>
      </c>
      <c r="F709" s="727"/>
      <c r="G709" s="189"/>
      <c r="H709" s="728" t="s">
        <v>34</v>
      </c>
      <c r="I709" s="729"/>
      <c r="J709" s="214">
        <v>0</v>
      </c>
      <c r="K709" s="465"/>
      <c r="L709" s="730"/>
      <c r="M709" s="189"/>
      <c r="N709" s="730"/>
      <c r="O709" s="465"/>
      <c r="P709" s="465"/>
      <c r="Q709" s="541"/>
      <c r="R709" s="541"/>
      <c r="S709" s="541"/>
      <c r="T709" s="541"/>
      <c r="U709" s="541"/>
      <c r="V709" s="541"/>
      <c r="W709" s="541"/>
      <c r="X709" s="541"/>
      <c r="Y709" s="541"/>
      <c r="Z709" s="541"/>
    </row>
    <row r="710" spans="1:26" ht="19.5" hidden="1" thickBot="1">
      <c r="A710" s="708"/>
      <c r="B710" s="727"/>
      <c r="C710" s="727"/>
      <c r="D710" s="727"/>
      <c r="E710" s="727"/>
      <c r="F710" s="727"/>
      <c r="G710" s="189"/>
      <c r="H710" s="728" t="s">
        <v>46</v>
      </c>
      <c r="I710" s="729"/>
      <c r="J710" s="214">
        <v>0</v>
      </c>
      <c r="K710" s="465"/>
      <c r="L710" s="730"/>
      <c r="M710" s="189"/>
      <c r="N710" s="730"/>
      <c r="O710" s="465"/>
      <c r="P710" s="465"/>
      <c r="Q710" s="541"/>
      <c r="R710" s="541"/>
      <c r="S710" s="541"/>
      <c r="T710" s="541"/>
      <c r="U710" s="541"/>
      <c r="V710" s="541"/>
      <c r="W710" s="541"/>
      <c r="X710" s="541"/>
      <c r="Y710" s="541"/>
      <c r="Z710" s="541"/>
    </row>
    <row r="711" spans="1:26" ht="19.5" hidden="1" thickBot="1">
      <c r="A711" s="708"/>
      <c r="B711" s="727"/>
      <c r="C711" s="727"/>
      <c r="D711" s="727"/>
      <c r="E711" s="727" t="s">
        <v>301</v>
      </c>
      <c r="F711" s="727"/>
      <c r="G711" s="189"/>
      <c r="H711" s="726"/>
      <c r="I711" s="729"/>
      <c r="J711" s="269"/>
      <c r="K711" s="465"/>
      <c r="L711" s="730"/>
      <c r="M711" s="189"/>
      <c r="N711" s="730"/>
      <c r="O711" s="465"/>
      <c r="P711" s="465"/>
      <c r="Q711" s="541"/>
      <c r="R711" s="541"/>
      <c r="S711" s="541"/>
      <c r="T711" s="541"/>
      <c r="U711" s="541"/>
      <c r="V711" s="541"/>
      <c r="W711" s="541"/>
      <c r="X711" s="541"/>
      <c r="Y711" s="541"/>
      <c r="Z711" s="541"/>
    </row>
    <row r="712" spans="1:26" ht="19.5" hidden="1" thickBot="1">
      <c r="A712" s="708"/>
      <c r="B712" s="727"/>
      <c r="C712" s="727"/>
      <c r="D712" s="727"/>
      <c r="E712" s="727"/>
      <c r="F712" s="727" t="s">
        <v>302</v>
      </c>
      <c r="G712" s="189"/>
      <c r="H712" s="728" t="s">
        <v>35</v>
      </c>
      <c r="I712" s="729"/>
      <c r="J712" s="214">
        <v>0</v>
      </c>
      <c r="K712" s="465"/>
      <c r="L712" s="730"/>
      <c r="M712" s="189"/>
      <c r="N712" s="730"/>
      <c r="O712" s="465"/>
      <c r="P712" s="465"/>
      <c r="Q712" s="541"/>
      <c r="R712" s="541"/>
      <c r="S712" s="541"/>
      <c r="T712" s="541"/>
      <c r="U712" s="541"/>
      <c r="V712" s="541"/>
      <c r="W712" s="541"/>
      <c r="X712" s="541"/>
      <c r="Y712" s="541"/>
      <c r="Z712" s="541"/>
    </row>
    <row r="713" spans="1:26" ht="19.5" hidden="1" thickBot="1">
      <c r="A713" s="708"/>
      <c r="B713" s="727"/>
      <c r="C713" s="727"/>
      <c r="D713" s="727"/>
      <c r="E713" s="727"/>
      <c r="F713" s="727"/>
      <c r="G713" s="189"/>
      <c r="H713" s="728" t="s">
        <v>34</v>
      </c>
      <c r="I713" s="729"/>
      <c r="J713" s="214">
        <v>0</v>
      </c>
      <c r="K713" s="465"/>
      <c r="L713" s="730"/>
      <c r="M713" s="189"/>
      <c r="N713" s="730"/>
      <c r="O713" s="465"/>
      <c r="P713" s="465"/>
      <c r="Q713" s="541"/>
      <c r="R713" s="541"/>
      <c r="S713" s="541"/>
      <c r="T713" s="541"/>
      <c r="U713" s="541"/>
      <c r="V713" s="541"/>
      <c r="W713" s="541"/>
      <c r="X713" s="541"/>
      <c r="Y713" s="541"/>
      <c r="Z713" s="541"/>
    </row>
    <row r="714" spans="1:26" ht="19.5" hidden="1" thickBot="1">
      <c r="A714" s="708"/>
      <c r="B714" s="727"/>
      <c r="C714" s="727"/>
      <c r="D714" s="727"/>
      <c r="E714" s="727"/>
      <c r="F714" s="727"/>
      <c r="G714" s="189"/>
      <c r="H714" s="728" t="s">
        <v>46</v>
      </c>
      <c r="I714" s="729"/>
      <c r="J714" s="214">
        <v>0</v>
      </c>
      <c r="K714" s="465"/>
      <c r="L714" s="730"/>
      <c r="M714" s="189"/>
      <c r="N714" s="730"/>
      <c r="O714" s="465"/>
      <c r="P714" s="465"/>
      <c r="Q714" s="541"/>
      <c r="R714" s="541"/>
      <c r="S714" s="541"/>
      <c r="T714" s="541"/>
      <c r="U714" s="541"/>
      <c r="V714" s="541"/>
      <c r="W714" s="541"/>
      <c r="X714" s="541"/>
      <c r="Y714" s="541"/>
      <c r="Z714" s="541"/>
    </row>
    <row r="715" spans="1:26" ht="19.5" hidden="1" thickBot="1">
      <c r="A715" s="708"/>
      <c r="B715" s="727"/>
      <c r="C715" s="727"/>
      <c r="D715" s="727"/>
      <c r="E715" s="727"/>
      <c r="F715" s="727" t="s">
        <v>303</v>
      </c>
      <c r="G715" s="189"/>
      <c r="H715" s="728" t="s">
        <v>35</v>
      </c>
      <c r="I715" s="729"/>
      <c r="J715" s="214">
        <v>0</v>
      </c>
      <c r="K715" s="465"/>
      <c r="L715" s="730"/>
      <c r="M715" s="189"/>
      <c r="N715" s="730"/>
      <c r="O715" s="465"/>
      <c r="P715" s="465"/>
      <c r="Q715" s="541"/>
      <c r="R715" s="541"/>
      <c r="S715" s="541"/>
      <c r="T715" s="541"/>
      <c r="U715" s="541"/>
      <c r="V715" s="541"/>
      <c r="W715" s="541"/>
      <c r="X715" s="541"/>
      <c r="Y715" s="541"/>
      <c r="Z715" s="541"/>
    </row>
    <row r="716" spans="1:26" ht="19.5" hidden="1" thickBot="1">
      <c r="A716" s="708"/>
      <c r="B716" s="727"/>
      <c r="C716" s="727"/>
      <c r="D716" s="727"/>
      <c r="E716" s="727"/>
      <c r="F716" s="727"/>
      <c r="G716" s="189"/>
      <c r="H716" s="728" t="s">
        <v>34</v>
      </c>
      <c r="I716" s="729"/>
      <c r="J716" s="214">
        <v>0</v>
      </c>
      <c r="K716" s="465"/>
      <c r="L716" s="730"/>
      <c r="M716" s="189"/>
      <c r="N716" s="730"/>
      <c r="O716" s="465"/>
      <c r="P716" s="465"/>
      <c r="Q716" s="541"/>
      <c r="R716" s="541"/>
      <c r="S716" s="541"/>
      <c r="T716" s="541"/>
      <c r="U716" s="541"/>
      <c r="V716" s="541"/>
      <c r="W716" s="541"/>
      <c r="X716" s="541"/>
      <c r="Y716" s="541"/>
      <c r="Z716" s="541"/>
    </row>
    <row r="717" spans="1:26" ht="19.5" hidden="1" thickBot="1">
      <c r="A717" s="708"/>
      <c r="B717" s="727"/>
      <c r="C717" s="727"/>
      <c r="D717" s="727"/>
      <c r="E717" s="727"/>
      <c r="F717" s="727"/>
      <c r="G717" s="189"/>
      <c r="H717" s="728" t="s">
        <v>46</v>
      </c>
      <c r="I717" s="729"/>
      <c r="J717" s="214">
        <v>0</v>
      </c>
      <c r="K717" s="465"/>
      <c r="L717" s="730"/>
      <c r="M717" s="189"/>
      <c r="N717" s="730"/>
      <c r="O717" s="465"/>
      <c r="P717" s="465"/>
      <c r="Q717" s="541"/>
      <c r="R717" s="541"/>
      <c r="S717" s="541"/>
      <c r="T717" s="541"/>
      <c r="U717" s="541"/>
      <c r="V717" s="541"/>
      <c r="W717" s="541"/>
      <c r="X717" s="541"/>
      <c r="Y717" s="541"/>
      <c r="Z717" s="541"/>
    </row>
    <row r="718" spans="1:26" ht="19.5" hidden="1" thickBot="1">
      <c r="A718" s="708"/>
      <c r="B718" s="727"/>
      <c r="C718" s="727"/>
      <c r="D718" s="727" t="s">
        <v>304</v>
      </c>
      <c r="E718" s="727"/>
      <c r="F718" s="727"/>
      <c r="G718" s="189"/>
      <c r="H718" s="728" t="s">
        <v>35</v>
      </c>
      <c r="I718" s="729"/>
      <c r="J718" s="269">
        <f ca="1">IFERROR(__xludf.DUMMYFUNCTION("IMPORTRANGE(""https://docs.google.com/spreadsheets/d/1XWAQStnk-4SwqDmLtmXYiTMKHgktTP8We1SCoS47DrQ/edit?usp=sharing"",""จัดที่ดิน!BF15"")"),0)</f>
        <v>0</v>
      </c>
      <c r="K718" s="465"/>
      <c r="L718" s="465"/>
      <c r="M718" s="189"/>
      <c r="N718" s="730"/>
      <c r="O718" s="465"/>
      <c r="P718" s="465"/>
      <c r="Q718" s="541"/>
      <c r="R718" s="541"/>
      <c r="S718" s="541"/>
      <c r="T718" s="541"/>
      <c r="U718" s="541"/>
      <c r="V718" s="541"/>
      <c r="W718" s="541"/>
      <c r="X718" s="541"/>
      <c r="Y718" s="541"/>
      <c r="Z718" s="541"/>
    </row>
    <row r="719" spans="1:26" ht="19.5" hidden="1" thickBot="1">
      <c r="A719" s="708"/>
      <c r="B719" s="727"/>
      <c r="C719" s="727"/>
      <c r="D719" s="727"/>
      <c r="E719" s="727"/>
      <c r="F719" s="727"/>
      <c r="G719" s="189"/>
      <c r="H719" s="728" t="s">
        <v>34</v>
      </c>
      <c r="I719" s="729"/>
      <c r="J719" s="269">
        <f ca="1">IFERROR(__xludf.DUMMYFUNCTION("IMPORTRANGE(""https://docs.google.com/spreadsheets/d/1XWAQStnk-4SwqDmLtmXYiTMKHgktTP8We1SCoS47DrQ/edit?usp=sharing"",""จัดที่ดิน!BG15"")"),0)</f>
        <v>0</v>
      </c>
      <c r="K719" s="465"/>
      <c r="L719" s="730"/>
      <c r="M719" s="189"/>
      <c r="N719" s="730"/>
      <c r="O719" s="465"/>
      <c r="P719" s="465"/>
      <c r="Q719" s="541"/>
      <c r="R719" s="541"/>
      <c r="S719" s="541"/>
      <c r="T719" s="541"/>
      <c r="U719" s="541"/>
      <c r="V719" s="541"/>
      <c r="W719" s="541"/>
      <c r="X719" s="541"/>
      <c r="Y719" s="541"/>
      <c r="Z719" s="541"/>
    </row>
    <row r="720" spans="1:26" ht="19.5" hidden="1" thickBot="1">
      <c r="A720" s="708"/>
      <c r="B720" s="727"/>
      <c r="C720" s="727"/>
      <c r="D720" s="727"/>
      <c r="E720" s="727"/>
      <c r="F720" s="727"/>
      <c r="G720" s="189"/>
      <c r="H720" s="728" t="s">
        <v>46</v>
      </c>
      <c r="I720" s="729">
        <f ca="1">IFERROR(__xludf.DUMMYFUNCTION("IMPORTRANGE(""https://docs.google.com/spreadsheets/d/1QqKyyYR6Q21VydFLVH3TRQUabQu_ym0Zz7PgGX0-kHA/edit?usp=sharing"",""แผน!II15"")"),0)</f>
        <v>0</v>
      </c>
      <c r="J720" s="269">
        <f ca="1">IFERROR(__xludf.DUMMYFUNCTION("IMPORTRANGE(""https://docs.google.com/spreadsheets/d/1XWAQStnk-4SwqDmLtmXYiTMKHgktTP8We1SCoS47DrQ/edit?usp=sharing"",""จัดที่ดิน!BH15"")"),0)</f>
        <v>0</v>
      </c>
      <c r="K720" s="465">
        <f t="shared" ref="K720:K723" ca="1" si="290">IF(I720&gt;0,J720*100/I720,0)</f>
        <v>0</v>
      </c>
      <c r="L720" s="730"/>
      <c r="M720" s="189"/>
      <c r="N720" s="730"/>
      <c r="O720" s="465"/>
      <c r="P720" s="465"/>
      <c r="Q720" s="541"/>
      <c r="R720" s="541"/>
      <c r="S720" s="541"/>
      <c r="T720" s="541"/>
      <c r="U720" s="541"/>
      <c r="V720" s="541"/>
      <c r="W720" s="541"/>
      <c r="X720" s="541"/>
      <c r="Y720" s="541"/>
      <c r="Z720" s="541"/>
    </row>
    <row r="721" spans="1:26" ht="20.25" hidden="1" thickBot="1">
      <c r="A721" s="708"/>
      <c r="B721" s="727"/>
      <c r="C721" s="727"/>
      <c r="D721" s="727" t="s">
        <v>305</v>
      </c>
      <c r="E721" s="727"/>
      <c r="F721" s="727"/>
      <c r="G721" s="189"/>
      <c r="H721" s="731" t="s">
        <v>35</v>
      </c>
      <c r="I721" s="732">
        <f ca="1">IFERROR(__xludf.DUMMYFUNCTION("IMPORTRANGE(""https://docs.google.com/spreadsheets/d/1QqKyyYR6Q21VydFLVH3TRQUabQu_ym0Zz7PgGX0-kHA/edit?usp=sharing"",""แผน!IJ15"")"),0)</f>
        <v>0</v>
      </c>
      <c r="J721" s="647">
        <f ca="1">J723+J726</f>
        <v>0</v>
      </c>
      <c r="K721" s="195">
        <f t="shared" ca="1" si="290"/>
        <v>0</v>
      </c>
      <c r="L721" s="730"/>
      <c r="M721" s="189"/>
      <c r="N721" s="730"/>
      <c r="O721" s="465"/>
      <c r="P721" s="465"/>
      <c r="Q721" s="541"/>
      <c r="R721" s="541"/>
      <c r="S721" s="541"/>
      <c r="T721" s="541"/>
      <c r="U721" s="541"/>
      <c r="V721" s="541"/>
      <c r="W721" s="541"/>
      <c r="X721" s="541"/>
      <c r="Y721" s="541"/>
      <c r="Z721" s="541"/>
    </row>
    <row r="722" spans="1:26" ht="20.25" hidden="1" thickBot="1">
      <c r="A722" s="708"/>
      <c r="B722" s="727"/>
      <c r="C722" s="727"/>
      <c r="D722" s="727"/>
      <c r="E722" s="727"/>
      <c r="F722" s="727"/>
      <c r="G722" s="189"/>
      <c r="H722" s="731" t="s">
        <v>46</v>
      </c>
      <c r="I722" s="732">
        <f ca="1">IFERROR(__xludf.DUMMYFUNCTION("IMPORTRANGE(""https://docs.google.com/spreadsheets/d/1QqKyyYR6Q21VydFLVH3TRQUabQu_ym0Zz7PgGX0-kHA/edit?usp=sharing"",""แผน!IK15"")"),0)</f>
        <v>0</v>
      </c>
      <c r="J722" s="647">
        <f ca="1">J725+J728</f>
        <v>0</v>
      </c>
      <c r="K722" s="195">
        <f t="shared" ca="1" si="290"/>
        <v>0</v>
      </c>
      <c r="L722" s="465"/>
      <c r="M722" s="189"/>
      <c r="N722" s="730"/>
      <c r="O722" s="465"/>
      <c r="P722" s="465"/>
      <c r="Q722" s="541"/>
      <c r="R722" s="541"/>
      <c r="S722" s="541"/>
      <c r="T722" s="541"/>
      <c r="U722" s="541"/>
      <c r="V722" s="541"/>
      <c r="W722" s="541"/>
      <c r="X722" s="541"/>
      <c r="Y722" s="541"/>
      <c r="Z722" s="541"/>
    </row>
    <row r="723" spans="1:26" ht="19.5" hidden="1" thickBot="1">
      <c r="A723" s="708"/>
      <c r="B723" s="727"/>
      <c r="C723" s="727"/>
      <c r="D723" s="727"/>
      <c r="E723" s="727" t="s">
        <v>306</v>
      </c>
      <c r="F723" s="727"/>
      <c r="G723" s="189"/>
      <c r="H723" s="728" t="s">
        <v>35</v>
      </c>
      <c r="I723" s="729">
        <f ca="1">IFERROR(__xludf.DUMMYFUNCTION("IMPORTRANGE(""https://docs.google.com/spreadsheets/d/1QqKyyYR6Q21VydFLVH3TRQUabQu_ym0Zz7PgGX0-kHA/edit?usp=sharing"",""แผน!IL15"")"),0)</f>
        <v>0</v>
      </c>
      <c r="J723" s="269">
        <f ca="1">IFERROR(__xludf.DUMMYFUNCTION("IMPORTRANGE(""https://docs.google.com/spreadsheets/d/1XWAQStnk-4SwqDmLtmXYiTMKHgktTP8We1SCoS47DrQ/edit?usp=sharing"",""จัดที่ดิน!BM15"")"),0)</f>
        <v>0</v>
      </c>
      <c r="K723" s="465">
        <f t="shared" ca="1" si="290"/>
        <v>0</v>
      </c>
      <c r="L723" s="465"/>
      <c r="M723" s="189"/>
      <c r="N723" s="730"/>
      <c r="O723" s="465"/>
      <c r="P723" s="465"/>
      <c r="Q723" s="541"/>
      <c r="R723" s="541"/>
      <c r="S723" s="541"/>
      <c r="T723" s="541"/>
      <c r="U723" s="541"/>
      <c r="V723" s="541"/>
      <c r="W723" s="541"/>
      <c r="X723" s="541"/>
      <c r="Y723" s="541"/>
      <c r="Z723" s="541"/>
    </row>
    <row r="724" spans="1:26" ht="19.5" hidden="1" thickBot="1">
      <c r="A724" s="708"/>
      <c r="B724" s="727"/>
      <c r="C724" s="727"/>
      <c r="D724" s="727"/>
      <c r="E724" s="727"/>
      <c r="F724" s="727"/>
      <c r="G724" s="189"/>
      <c r="H724" s="728" t="s">
        <v>34</v>
      </c>
      <c r="I724" s="729"/>
      <c r="J724" s="269">
        <f ca="1">IFERROR(__xludf.DUMMYFUNCTION("IMPORTRANGE(""https://docs.google.com/spreadsheets/d/1XWAQStnk-4SwqDmLtmXYiTMKHgktTP8We1SCoS47DrQ/edit?usp=sharing"",""จัดที่ดิน!BN15"")"),0)</f>
        <v>0</v>
      </c>
      <c r="K724" s="465"/>
      <c r="L724" s="730"/>
      <c r="M724" s="189"/>
      <c r="N724" s="730"/>
      <c r="O724" s="465"/>
      <c r="P724" s="465"/>
      <c r="Q724" s="541"/>
      <c r="R724" s="541"/>
      <c r="S724" s="541"/>
      <c r="T724" s="541"/>
      <c r="U724" s="541"/>
      <c r="V724" s="541"/>
      <c r="W724" s="541"/>
      <c r="X724" s="541"/>
      <c r="Y724" s="541"/>
      <c r="Z724" s="541"/>
    </row>
    <row r="725" spans="1:26" ht="19.5" hidden="1" thickBot="1">
      <c r="A725" s="708"/>
      <c r="B725" s="727"/>
      <c r="C725" s="727"/>
      <c r="D725" s="727"/>
      <c r="E725" s="727"/>
      <c r="F725" s="727"/>
      <c r="G725" s="189"/>
      <c r="H725" s="728" t="s">
        <v>46</v>
      </c>
      <c r="I725" s="729">
        <f ca="1">IFERROR(__xludf.DUMMYFUNCTION("IMPORTRANGE(""https://docs.google.com/spreadsheets/d/1QqKyyYR6Q21VydFLVH3TRQUabQu_ym0Zz7PgGX0-kHA/edit?usp=sharing"",""แผน!IM15"")"),0)</f>
        <v>0</v>
      </c>
      <c r="J725" s="269">
        <f ca="1">IFERROR(__xludf.DUMMYFUNCTION("IMPORTRANGE(""https://docs.google.com/spreadsheets/d/1XWAQStnk-4SwqDmLtmXYiTMKHgktTP8We1SCoS47DrQ/edit?usp=sharing"",""จัดที่ดิน!BO15"")"),0)</f>
        <v>0</v>
      </c>
      <c r="K725" s="465">
        <f t="shared" ref="K725:K726" ca="1" si="291">IF(I725&gt;0,J725*100/I725,0)</f>
        <v>0</v>
      </c>
      <c r="L725" s="730"/>
      <c r="M725" s="189"/>
      <c r="N725" s="730"/>
      <c r="O725" s="465"/>
      <c r="P725" s="465"/>
      <c r="Q725" s="541"/>
      <c r="R725" s="541"/>
      <c r="S725" s="541"/>
      <c r="T725" s="541"/>
      <c r="U725" s="541"/>
      <c r="V725" s="541"/>
      <c r="W725" s="541"/>
      <c r="X725" s="541"/>
      <c r="Y725" s="541"/>
      <c r="Z725" s="541"/>
    </row>
    <row r="726" spans="1:26" ht="19.5" hidden="1" thickBot="1">
      <c r="A726" s="708"/>
      <c r="B726" s="727"/>
      <c r="C726" s="727"/>
      <c r="D726" s="727"/>
      <c r="E726" s="727" t="s">
        <v>307</v>
      </c>
      <c r="F726" s="727"/>
      <c r="G726" s="189"/>
      <c r="H726" s="728" t="s">
        <v>35</v>
      </c>
      <c r="I726" s="729">
        <f ca="1">IFERROR(__xludf.DUMMYFUNCTION("IMPORTRANGE(""https://docs.google.com/spreadsheets/d/1QqKyyYR6Q21VydFLVH3TRQUabQu_ym0Zz7PgGX0-kHA/edit?usp=sharing"",""แผน!IN15"")"),0)</f>
        <v>0</v>
      </c>
      <c r="J726" s="269">
        <f ca="1">IFERROR(__xludf.DUMMYFUNCTION("IMPORTRANGE(""https://docs.google.com/spreadsheets/d/1XWAQStnk-4SwqDmLtmXYiTMKHgktTP8We1SCoS47DrQ/edit?usp=sharing"",""จัดที่ดิน!BR15"")"),0)</f>
        <v>0</v>
      </c>
      <c r="K726" s="465">
        <f t="shared" ca="1" si="291"/>
        <v>0</v>
      </c>
      <c r="L726" s="465"/>
      <c r="M726" s="189"/>
      <c r="N726" s="730"/>
      <c r="O726" s="465"/>
      <c r="P726" s="465"/>
      <c r="Q726" s="541"/>
      <c r="R726" s="541"/>
      <c r="S726" s="541"/>
      <c r="T726" s="541"/>
      <c r="U726" s="541"/>
      <c r="V726" s="541"/>
      <c r="W726" s="541"/>
      <c r="X726" s="541"/>
      <c r="Y726" s="541"/>
      <c r="Z726" s="541"/>
    </row>
    <row r="727" spans="1:26" ht="19.5" hidden="1" thickBot="1">
      <c r="A727" s="708"/>
      <c r="B727" s="727"/>
      <c r="C727" s="727"/>
      <c r="D727" s="727"/>
      <c r="E727" s="727"/>
      <c r="F727" s="727"/>
      <c r="G727" s="189"/>
      <c r="H727" s="728" t="s">
        <v>34</v>
      </c>
      <c r="I727" s="729"/>
      <c r="J727" s="269">
        <f ca="1">IFERROR(__xludf.DUMMYFUNCTION("IMPORTRANGE(""https://docs.google.com/spreadsheets/d/1XWAQStnk-4SwqDmLtmXYiTMKHgktTP8We1SCoS47DrQ/edit?usp=sharing"",""จัดที่ดิน!BS15"")"),0)</f>
        <v>0</v>
      </c>
      <c r="K727" s="465"/>
      <c r="L727" s="730"/>
      <c r="M727" s="189"/>
      <c r="N727" s="730"/>
      <c r="O727" s="465"/>
      <c r="P727" s="465"/>
      <c r="Q727" s="541"/>
      <c r="R727" s="541"/>
      <c r="S727" s="541"/>
      <c r="T727" s="541"/>
      <c r="U727" s="541"/>
      <c r="V727" s="541"/>
      <c r="W727" s="541"/>
      <c r="X727" s="541"/>
      <c r="Y727" s="541"/>
      <c r="Z727" s="541"/>
    </row>
    <row r="728" spans="1:26" ht="19.5" hidden="1" thickBot="1">
      <c r="A728" s="708"/>
      <c r="B728" s="727"/>
      <c r="C728" s="727"/>
      <c r="D728" s="727"/>
      <c r="E728" s="727"/>
      <c r="F728" s="727"/>
      <c r="G728" s="189"/>
      <c r="H728" s="728" t="s">
        <v>46</v>
      </c>
      <c r="I728" s="729">
        <f ca="1">IFERROR(__xludf.DUMMYFUNCTION("IMPORTRANGE(""https://docs.google.com/spreadsheets/d/1QqKyyYR6Q21VydFLVH3TRQUabQu_ym0Zz7PgGX0-kHA/edit?usp=sharing"",""แผน!IO15"")"),0)</f>
        <v>0</v>
      </c>
      <c r="J728" s="269">
        <f ca="1">IFERROR(__xludf.DUMMYFUNCTION("IMPORTRANGE(""https://docs.google.com/spreadsheets/d/1XWAQStnk-4SwqDmLtmXYiTMKHgktTP8We1SCoS47DrQ/edit?usp=sharing"",""จัดที่ดิน!BT15"")"),0)</f>
        <v>0</v>
      </c>
      <c r="K728" s="465">
        <f t="shared" ref="K728:K729" ca="1" si="292">IF(I728&gt;0,J728*100/I728,0)</f>
        <v>0</v>
      </c>
      <c r="L728" s="730"/>
      <c r="M728" s="189"/>
      <c r="N728" s="730"/>
      <c r="O728" s="465"/>
      <c r="P728" s="465"/>
      <c r="Q728" s="541"/>
      <c r="R728" s="541"/>
      <c r="S728" s="541"/>
      <c r="T728" s="541"/>
      <c r="U728" s="541"/>
      <c r="V728" s="541"/>
      <c r="W728" s="541"/>
      <c r="X728" s="541"/>
      <c r="Y728" s="541"/>
      <c r="Z728" s="541"/>
    </row>
    <row r="729" spans="1:26" ht="20.25" hidden="1" thickBot="1">
      <c r="A729" s="708"/>
      <c r="B729" s="727"/>
      <c r="C729" s="727"/>
      <c r="D729" s="727" t="s">
        <v>308</v>
      </c>
      <c r="E729" s="727"/>
      <c r="F729" s="727"/>
      <c r="G729" s="189"/>
      <c r="H729" s="731" t="s">
        <v>46</v>
      </c>
      <c r="I729" s="732">
        <f ca="1">IFERROR(__xludf.DUMMYFUNCTION("IMPORTRANGE(""https://docs.google.com/spreadsheets/d/1QqKyyYR6Q21VydFLVH3TRQUabQu_ym0Zz7PgGX0-kHA/edit?usp=sharing"",""แผน!IP15"")"),0)</f>
        <v>0</v>
      </c>
      <c r="J729" s="647">
        <f>J732+J735</f>
        <v>0</v>
      </c>
      <c r="K729" s="195">
        <f t="shared" ca="1" si="292"/>
        <v>0</v>
      </c>
      <c r="L729" s="465"/>
      <c r="M729" s="189"/>
      <c r="N729" s="730"/>
      <c r="O729" s="465"/>
      <c r="P729" s="465"/>
      <c r="Q729" s="541"/>
      <c r="R729" s="541"/>
      <c r="S729" s="541"/>
      <c r="T729" s="541"/>
      <c r="U729" s="541"/>
      <c r="V729" s="541"/>
      <c r="W729" s="541"/>
      <c r="X729" s="541"/>
      <c r="Y729" s="541"/>
      <c r="Z729" s="541"/>
    </row>
    <row r="730" spans="1:26" ht="19.5" hidden="1" thickBot="1">
      <c r="A730" s="708"/>
      <c r="B730" s="727"/>
      <c r="C730" s="727"/>
      <c r="D730" s="727"/>
      <c r="E730" s="727" t="s">
        <v>309</v>
      </c>
      <c r="F730" s="727"/>
      <c r="G730" s="189"/>
      <c r="H730" s="728" t="s">
        <v>35</v>
      </c>
      <c r="I730" s="729"/>
      <c r="J730" s="214">
        <v>0</v>
      </c>
      <c r="K730" s="465"/>
      <c r="L730" s="730"/>
      <c r="M730" s="465"/>
      <c r="N730" s="730"/>
      <c r="O730" s="465"/>
      <c r="P730" s="465"/>
      <c r="Q730" s="541"/>
      <c r="R730" s="541"/>
      <c r="S730" s="541"/>
      <c r="T730" s="541"/>
      <c r="U730" s="541"/>
      <c r="V730" s="541"/>
      <c r="W730" s="541"/>
      <c r="X730" s="541"/>
      <c r="Y730" s="541"/>
      <c r="Z730" s="541"/>
    </row>
    <row r="731" spans="1:26" ht="19.5" hidden="1" thickBot="1">
      <c r="A731" s="708"/>
      <c r="B731" s="727"/>
      <c r="C731" s="727"/>
      <c r="D731" s="727"/>
      <c r="E731" s="727"/>
      <c r="F731" s="727"/>
      <c r="G731" s="189"/>
      <c r="H731" s="728" t="s">
        <v>34</v>
      </c>
      <c r="I731" s="729"/>
      <c r="J731" s="214">
        <v>0</v>
      </c>
      <c r="K731" s="465"/>
      <c r="L731" s="730"/>
      <c r="M731" s="465"/>
      <c r="N731" s="730"/>
      <c r="O731" s="465"/>
      <c r="P731" s="465"/>
      <c r="Q731" s="541"/>
      <c r="R731" s="541"/>
      <c r="S731" s="541"/>
      <c r="T731" s="541"/>
      <c r="U731" s="541"/>
      <c r="V731" s="541"/>
      <c r="W731" s="541"/>
      <c r="X731" s="541"/>
      <c r="Y731" s="541"/>
      <c r="Z731" s="541"/>
    </row>
    <row r="732" spans="1:26" ht="19.5" hidden="1" thickBot="1">
      <c r="A732" s="708"/>
      <c r="B732" s="727"/>
      <c r="C732" s="727"/>
      <c r="D732" s="727"/>
      <c r="E732" s="727"/>
      <c r="F732" s="727"/>
      <c r="G732" s="189"/>
      <c r="H732" s="728" t="s">
        <v>46</v>
      </c>
      <c r="I732" s="729"/>
      <c r="J732" s="214">
        <v>0</v>
      </c>
      <c r="K732" s="465"/>
      <c r="L732" s="730"/>
      <c r="M732" s="465"/>
      <c r="N732" s="730"/>
      <c r="O732" s="465"/>
      <c r="P732" s="465"/>
      <c r="Q732" s="541"/>
      <c r="R732" s="541"/>
      <c r="S732" s="541"/>
      <c r="T732" s="541"/>
      <c r="U732" s="541"/>
      <c r="V732" s="541"/>
      <c r="W732" s="541"/>
      <c r="X732" s="541"/>
      <c r="Y732" s="541"/>
      <c r="Z732" s="541"/>
    </row>
    <row r="733" spans="1:26" ht="19.5" hidden="1" thickBot="1">
      <c r="A733" s="708"/>
      <c r="B733" s="727"/>
      <c r="C733" s="727"/>
      <c r="D733" s="727"/>
      <c r="E733" s="727" t="s">
        <v>310</v>
      </c>
      <c r="F733" s="727"/>
      <c r="G733" s="189"/>
      <c r="H733" s="728" t="s">
        <v>35</v>
      </c>
      <c r="I733" s="729"/>
      <c r="J733" s="214">
        <v>0</v>
      </c>
      <c r="K733" s="465"/>
      <c r="L733" s="730"/>
      <c r="M733" s="465"/>
      <c r="N733" s="730"/>
      <c r="O733" s="465"/>
      <c r="P733" s="465"/>
      <c r="Q733" s="541"/>
      <c r="R733" s="541"/>
      <c r="S733" s="541"/>
      <c r="T733" s="541"/>
      <c r="U733" s="541"/>
      <c r="V733" s="541"/>
      <c r="W733" s="541"/>
      <c r="X733" s="541"/>
      <c r="Y733" s="541"/>
      <c r="Z733" s="541"/>
    </row>
    <row r="734" spans="1:26" ht="19.5" hidden="1" thickBot="1">
      <c r="A734" s="708"/>
      <c r="B734" s="727"/>
      <c r="C734" s="727"/>
      <c r="D734" s="727"/>
      <c r="E734" s="727"/>
      <c r="F734" s="727"/>
      <c r="G734" s="189"/>
      <c r="H734" s="728" t="s">
        <v>34</v>
      </c>
      <c r="I734" s="729"/>
      <c r="J734" s="214">
        <v>0</v>
      </c>
      <c r="K734" s="465"/>
      <c r="L734" s="730"/>
      <c r="M734" s="465"/>
      <c r="N734" s="730"/>
      <c r="O734" s="465"/>
      <c r="P734" s="465"/>
      <c r="Q734" s="541"/>
      <c r="R734" s="541"/>
      <c r="S734" s="541"/>
      <c r="T734" s="541"/>
      <c r="U734" s="541"/>
      <c r="V734" s="541"/>
      <c r="W734" s="541"/>
      <c r="X734" s="541"/>
      <c r="Y734" s="541"/>
      <c r="Z734" s="541"/>
    </row>
    <row r="735" spans="1:26" ht="20.25" hidden="1" thickBot="1">
      <c r="A735" s="734"/>
      <c r="B735" s="735" t="s">
        <v>311</v>
      </c>
      <c r="C735" s="698"/>
      <c r="D735" s="698"/>
      <c r="E735" s="698"/>
      <c r="F735" s="698"/>
      <c r="G735" s="699"/>
      <c r="H735" s="390" t="s">
        <v>46</v>
      </c>
      <c r="I735" s="736"/>
      <c r="J735" s="392">
        <v>0</v>
      </c>
      <c r="K735" s="469"/>
      <c r="L735" s="737"/>
      <c r="M735" s="469"/>
      <c r="N735" s="737"/>
      <c r="O735" s="469"/>
      <c r="P735" s="469"/>
      <c r="Q735" s="541"/>
      <c r="R735" s="541"/>
      <c r="S735" s="541"/>
      <c r="T735" s="541"/>
      <c r="U735" s="541"/>
      <c r="V735" s="541"/>
      <c r="W735" s="541"/>
      <c r="X735" s="541"/>
      <c r="Y735" s="541"/>
      <c r="Z735" s="541"/>
    </row>
    <row r="736" spans="1:26" ht="20.25" hidden="1" thickBot="1">
      <c r="A736" s="738">
        <v>9</v>
      </c>
      <c r="B736" s="739" t="s">
        <v>312</v>
      </c>
      <c r="C736" s="740"/>
      <c r="D736" s="740"/>
      <c r="E736" s="740"/>
      <c r="F736" s="740"/>
      <c r="G736" s="741"/>
      <c r="H736" s="742" t="s">
        <v>46</v>
      </c>
      <c r="I736" s="743"/>
      <c r="J736" s="743">
        <f>J751</f>
        <v>0</v>
      </c>
      <c r="K736" s="744">
        <f>IF(I736&gt;0,J736*100/I736,0)</f>
        <v>0</v>
      </c>
      <c r="L736" s="745"/>
      <c r="M736" s="745"/>
      <c r="N736" s="745"/>
      <c r="O736" s="745"/>
      <c r="P736" s="745"/>
      <c r="Q736" s="568"/>
      <c r="R736" s="568"/>
      <c r="S736" s="568"/>
      <c r="T736" s="568"/>
      <c r="U736" s="568"/>
      <c r="V736" s="568"/>
      <c r="W736" s="568"/>
      <c r="X736" s="568"/>
      <c r="Y736" s="568"/>
      <c r="Z736" s="568"/>
    </row>
    <row r="737" spans="1:26" ht="20.25" hidden="1" thickBot="1">
      <c r="A737" s="563"/>
      <c r="B737" s="723"/>
      <c r="C737" s="723" t="s">
        <v>16</v>
      </c>
      <c r="D737" s="812" t="s">
        <v>17</v>
      </c>
      <c r="E737" s="805"/>
      <c r="F737" s="805"/>
      <c r="G737" s="567"/>
      <c r="H737" s="612" t="s">
        <v>12</v>
      </c>
      <c r="I737" s="583"/>
      <c r="J737" s="583"/>
      <c r="K737" s="93"/>
      <c r="L737" s="613">
        <f t="shared" ref="L737:N737" si="293">L738+L739</f>
        <v>0</v>
      </c>
      <c r="M737" s="613">
        <f t="shared" si="293"/>
        <v>0</v>
      </c>
      <c r="N737" s="613">
        <f t="shared" si="293"/>
        <v>0</v>
      </c>
      <c r="O737" s="613">
        <f t="shared" ref="O737:O742" si="294">IF(L737&gt;0,N737*100/L737,0)</f>
        <v>0</v>
      </c>
      <c r="P737" s="613">
        <f t="shared" ref="P737:P742" si="295">IF(M737&gt;0,N737*100/M737,0)</f>
        <v>0</v>
      </c>
      <c r="Q737" s="568"/>
      <c r="R737" s="568"/>
      <c r="S737" s="568"/>
      <c r="T737" s="568"/>
      <c r="U737" s="568"/>
      <c r="V737" s="568"/>
      <c r="W737" s="568"/>
      <c r="X737" s="568"/>
      <c r="Y737" s="568"/>
      <c r="Z737" s="568"/>
    </row>
    <row r="738" spans="1:26" ht="19.5" hidden="1" thickBot="1">
      <c r="A738" s="563"/>
      <c r="B738" s="723"/>
      <c r="C738" s="723"/>
      <c r="D738" s="684"/>
      <c r="E738" s="723" t="s">
        <v>184</v>
      </c>
      <c r="F738" s="723"/>
      <c r="G738" s="567"/>
      <c r="H738" s="165" t="s">
        <v>12</v>
      </c>
      <c r="I738" s="583"/>
      <c r="J738" s="583"/>
      <c r="K738" s="93"/>
      <c r="L738" s="93">
        <f t="shared" ref="L738:N739" si="296">L741+L748</f>
        <v>0</v>
      </c>
      <c r="M738" s="93">
        <f t="shared" si="296"/>
        <v>0</v>
      </c>
      <c r="N738" s="93">
        <f t="shared" si="296"/>
        <v>0</v>
      </c>
      <c r="O738" s="93">
        <f t="shared" si="294"/>
        <v>0</v>
      </c>
      <c r="P738" s="93">
        <f t="shared" si="295"/>
        <v>0</v>
      </c>
      <c r="Q738" s="568"/>
      <c r="R738" s="568"/>
      <c r="S738" s="568"/>
      <c r="T738" s="568"/>
      <c r="U738" s="568"/>
      <c r="V738" s="568"/>
      <c r="W738" s="568"/>
      <c r="X738" s="568"/>
      <c r="Y738" s="568"/>
      <c r="Z738" s="568"/>
    </row>
    <row r="739" spans="1:26" ht="19.5" hidden="1" thickBot="1">
      <c r="A739" s="563"/>
      <c r="B739" s="571"/>
      <c r="C739" s="723"/>
      <c r="D739" s="684"/>
      <c r="E739" s="723" t="s">
        <v>185</v>
      </c>
      <c r="F739" s="723"/>
      <c r="G739" s="567"/>
      <c r="H739" s="165" t="s">
        <v>12</v>
      </c>
      <c r="I739" s="583"/>
      <c r="J739" s="583"/>
      <c r="K739" s="93"/>
      <c r="L739" s="93">
        <f t="shared" si="296"/>
        <v>0</v>
      </c>
      <c r="M739" s="93">
        <f t="shared" si="296"/>
        <v>0</v>
      </c>
      <c r="N739" s="93">
        <f t="shared" si="296"/>
        <v>0</v>
      </c>
      <c r="O739" s="93">
        <f t="shared" si="294"/>
        <v>0</v>
      </c>
      <c r="P739" s="93">
        <f t="shared" si="295"/>
        <v>0</v>
      </c>
      <c r="Q739" s="568"/>
      <c r="R739" s="568"/>
      <c r="S739" s="568"/>
      <c r="T739" s="568"/>
      <c r="U739" s="568"/>
      <c r="V739" s="568"/>
      <c r="W739" s="568"/>
      <c r="X739" s="568"/>
      <c r="Y739" s="568"/>
      <c r="Z739" s="568"/>
    </row>
    <row r="740" spans="1:26" ht="20.25" hidden="1" thickBot="1">
      <c r="A740" s="563"/>
      <c r="B740" s="571"/>
      <c r="C740" s="723"/>
      <c r="D740" s="611" t="s">
        <v>20</v>
      </c>
      <c r="E740" s="723"/>
      <c r="F740" s="723"/>
      <c r="G740" s="567"/>
      <c r="H740" s="612" t="s">
        <v>12</v>
      </c>
      <c r="I740" s="166"/>
      <c r="J740" s="166"/>
      <c r="K740" s="167"/>
      <c r="L740" s="613">
        <f t="shared" ref="L740:N740" si="297">L741+L742</f>
        <v>0</v>
      </c>
      <c r="M740" s="613">
        <f t="shared" si="297"/>
        <v>0</v>
      </c>
      <c r="N740" s="613">
        <f t="shared" si="297"/>
        <v>0</v>
      </c>
      <c r="O740" s="613">
        <f t="shared" si="294"/>
        <v>0</v>
      </c>
      <c r="P740" s="613">
        <f t="shared" si="295"/>
        <v>0</v>
      </c>
      <c r="Q740" s="568"/>
      <c r="R740" s="568"/>
      <c r="S740" s="568"/>
      <c r="T740" s="568"/>
      <c r="U740" s="568"/>
      <c r="V740" s="568"/>
      <c r="W740" s="568"/>
      <c r="X740" s="568"/>
      <c r="Y740" s="568"/>
      <c r="Z740" s="568"/>
    </row>
    <row r="741" spans="1:26" ht="19.5" hidden="1" thickBot="1">
      <c r="A741" s="563"/>
      <c r="B741" s="571"/>
      <c r="C741" s="723"/>
      <c r="D741" s="684"/>
      <c r="E741" s="723" t="s">
        <v>184</v>
      </c>
      <c r="F741" s="723"/>
      <c r="G741" s="567"/>
      <c r="H741" s="165" t="s">
        <v>12</v>
      </c>
      <c r="I741" s="583"/>
      <c r="J741" s="583"/>
      <c r="K741" s="93"/>
      <c r="L741" s="93">
        <v>0</v>
      </c>
      <c r="M741" s="93">
        <v>0</v>
      </c>
      <c r="N741" s="93">
        <v>0</v>
      </c>
      <c r="O741" s="93">
        <f t="shared" si="294"/>
        <v>0</v>
      </c>
      <c r="P741" s="93">
        <f t="shared" si="295"/>
        <v>0</v>
      </c>
      <c r="Q741" s="568"/>
      <c r="R741" s="568"/>
      <c r="S741" s="568"/>
      <c r="T741" s="568"/>
      <c r="U741" s="568"/>
      <c r="V741" s="568"/>
      <c r="W741" s="568"/>
      <c r="X741" s="568"/>
      <c r="Y741" s="568"/>
      <c r="Z741" s="568"/>
    </row>
    <row r="742" spans="1:26" ht="19.5" hidden="1" thickBot="1">
      <c r="A742" s="563"/>
      <c r="B742" s="571"/>
      <c r="C742" s="723"/>
      <c r="D742" s="684"/>
      <c r="E742" s="723" t="s">
        <v>185</v>
      </c>
      <c r="F742" s="723"/>
      <c r="G742" s="567"/>
      <c r="H742" s="165" t="s">
        <v>12</v>
      </c>
      <c r="I742" s="583"/>
      <c r="J742" s="583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4"/>
        <v>0</v>
      </c>
      <c r="P742" s="93">
        <f t="shared" si="295"/>
        <v>0</v>
      </c>
      <c r="Q742" s="568"/>
      <c r="R742" s="568"/>
      <c r="S742" s="568"/>
      <c r="T742" s="568"/>
      <c r="U742" s="568"/>
      <c r="V742" s="568"/>
      <c r="W742" s="568"/>
      <c r="X742" s="568"/>
      <c r="Y742" s="568"/>
      <c r="Z742" s="568"/>
    </row>
    <row r="743" spans="1:26" ht="19.5" hidden="1" thickBot="1">
      <c r="A743" s="615"/>
      <c r="B743" s="571"/>
      <c r="C743" s="723"/>
      <c r="D743" s="723"/>
      <c r="E743" s="723"/>
      <c r="F743" s="723" t="s">
        <v>186</v>
      </c>
      <c r="G743" s="567"/>
      <c r="H743" s="165" t="s">
        <v>12</v>
      </c>
      <c r="I743" s="583"/>
      <c r="J743" s="583"/>
      <c r="K743" s="93"/>
      <c r="L743" s="93"/>
      <c r="M743" s="93"/>
      <c r="N743" s="93"/>
      <c r="O743" s="93"/>
      <c r="P743" s="93"/>
      <c r="Q743" s="568"/>
      <c r="R743" s="568"/>
      <c r="S743" s="568"/>
      <c r="T743" s="568"/>
      <c r="U743" s="568"/>
      <c r="V743" s="568"/>
      <c r="W743" s="568"/>
      <c r="X743" s="568"/>
      <c r="Y743" s="568"/>
      <c r="Z743" s="568"/>
    </row>
    <row r="744" spans="1:26" ht="19.5" hidden="1" thickBot="1">
      <c r="A744" s="615"/>
      <c r="B744" s="571"/>
      <c r="C744" s="723"/>
      <c r="D744" s="723"/>
      <c r="E744" s="723"/>
      <c r="F744" s="723" t="s">
        <v>187</v>
      </c>
      <c r="G744" s="567"/>
      <c r="H744" s="165" t="s">
        <v>12</v>
      </c>
      <c r="I744" s="583"/>
      <c r="J744" s="583"/>
      <c r="K744" s="93"/>
      <c r="L744" s="93"/>
      <c r="M744" s="93"/>
      <c r="N744" s="93"/>
      <c r="O744" s="93"/>
      <c r="P744" s="93"/>
      <c r="Q744" s="568"/>
      <c r="R744" s="568"/>
      <c r="S744" s="568"/>
      <c r="T744" s="568"/>
      <c r="U744" s="568"/>
      <c r="V744" s="568"/>
      <c r="W744" s="568"/>
      <c r="X744" s="568"/>
      <c r="Y744" s="568"/>
      <c r="Z744" s="568"/>
    </row>
    <row r="745" spans="1:26" ht="19.5" hidden="1" thickBot="1">
      <c r="A745" s="615"/>
      <c r="B745" s="571"/>
      <c r="C745" s="723"/>
      <c r="D745" s="723"/>
      <c r="E745" s="723"/>
      <c r="F745" s="723" t="s">
        <v>188</v>
      </c>
      <c r="G745" s="567"/>
      <c r="H745" s="165" t="s">
        <v>12</v>
      </c>
      <c r="I745" s="583"/>
      <c r="J745" s="583"/>
      <c r="K745" s="93"/>
      <c r="L745" s="93"/>
      <c r="M745" s="93"/>
      <c r="N745" s="93"/>
      <c r="O745" s="93"/>
      <c r="P745" s="93"/>
      <c r="Q745" s="568"/>
      <c r="R745" s="568"/>
      <c r="S745" s="568"/>
      <c r="T745" s="568"/>
      <c r="U745" s="568"/>
      <c r="V745" s="568"/>
      <c r="W745" s="568"/>
      <c r="X745" s="568"/>
      <c r="Y745" s="568"/>
      <c r="Z745" s="568"/>
    </row>
    <row r="746" spans="1:26" ht="19.5" hidden="1" thickBot="1">
      <c r="A746" s="615"/>
      <c r="B746" s="571"/>
      <c r="C746" s="723"/>
      <c r="D746" s="723"/>
      <c r="E746" s="723"/>
      <c r="F746" s="723" t="s">
        <v>189</v>
      </c>
      <c r="G746" s="567"/>
      <c r="H746" s="165" t="s">
        <v>12</v>
      </c>
      <c r="I746" s="583"/>
      <c r="J746" s="583"/>
      <c r="K746" s="93"/>
      <c r="L746" s="93"/>
      <c r="M746" s="93"/>
      <c r="N746" s="93"/>
      <c r="O746" s="93"/>
      <c r="P746" s="93"/>
      <c r="Q746" s="568"/>
      <c r="R746" s="568"/>
      <c r="S746" s="568"/>
      <c r="T746" s="568"/>
      <c r="U746" s="568"/>
      <c r="V746" s="568"/>
      <c r="W746" s="568"/>
      <c r="X746" s="568"/>
      <c r="Y746" s="568"/>
      <c r="Z746" s="568"/>
    </row>
    <row r="747" spans="1:26" ht="20.25" hidden="1" thickBot="1">
      <c r="A747" s="563"/>
      <c r="B747" s="571"/>
      <c r="C747" s="723"/>
      <c r="D747" s="611" t="s">
        <v>21</v>
      </c>
      <c r="E747" s="723"/>
      <c r="F747" s="723"/>
      <c r="G747" s="567"/>
      <c r="H747" s="747" t="s">
        <v>12</v>
      </c>
      <c r="I747" s="166"/>
      <c r="J747" s="166"/>
      <c r="K747" s="167"/>
      <c r="L747" s="613">
        <f t="shared" ref="L747:N747" si="298">L748+L749</f>
        <v>0</v>
      </c>
      <c r="M747" s="613">
        <f t="shared" si="298"/>
        <v>0</v>
      </c>
      <c r="N747" s="613">
        <f t="shared" si="298"/>
        <v>0</v>
      </c>
      <c r="O747" s="613">
        <f t="shared" ref="O747:O749" si="299">IF(L747&gt;0,N747*100/L747,0)</f>
        <v>0</v>
      </c>
      <c r="P747" s="613">
        <f t="shared" ref="P747:P749" si="300">IF(M747&gt;0,N747*100/M747,0)</f>
        <v>0</v>
      </c>
      <c r="Q747" s="568"/>
      <c r="R747" s="568"/>
      <c r="S747" s="568"/>
      <c r="T747" s="568"/>
      <c r="U747" s="568"/>
      <c r="V747" s="568"/>
      <c r="W747" s="568"/>
      <c r="X747" s="568"/>
      <c r="Y747" s="568"/>
      <c r="Z747" s="568"/>
    </row>
    <row r="748" spans="1:26" ht="19.5" hidden="1" thickBot="1">
      <c r="A748" s="563"/>
      <c r="B748" s="571"/>
      <c r="C748" s="723"/>
      <c r="D748" s="723"/>
      <c r="E748" s="723" t="s">
        <v>18</v>
      </c>
      <c r="F748" s="723"/>
      <c r="G748" s="567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299"/>
        <v>0</v>
      </c>
      <c r="P748" s="93">
        <f t="shared" si="300"/>
        <v>0</v>
      </c>
      <c r="Q748" s="568"/>
      <c r="R748" s="568"/>
      <c r="S748" s="568"/>
      <c r="T748" s="568"/>
      <c r="U748" s="568"/>
      <c r="V748" s="568"/>
      <c r="W748" s="568"/>
      <c r="X748" s="568"/>
      <c r="Y748" s="568"/>
      <c r="Z748" s="568"/>
    </row>
    <row r="749" spans="1:26" ht="19.5" hidden="1" thickBot="1">
      <c r="A749" s="563"/>
      <c r="B749" s="571"/>
      <c r="C749" s="723"/>
      <c r="D749" s="723"/>
      <c r="E749" s="723" t="s">
        <v>19</v>
      </c>
      <c r="F749" s="723"/>
      <c r="G749" s="567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299"/>
        <v>0</v>
      </c>
      <c r="P749" s="93">
        <f t="shared" si="300"/>
        <v>0</v>
      </c>
      <c r="Q749" s="568"/>
      <c r="R749" s="568"/>
      <c r="S749" s="568"/>
      <c r="T749" s="568"/>
      <c r="U749" s="568"/>
      <c r="V749" s="568"/>
      <c r="W749" s="568"/>
      <c r="X749" s="568"/>
      <c r="Y749" s="568"/>
      <c r="Z749" s="568"/>
    </row>
    <row r="750" spans="1:26" ht="20.25" hidden="1" thickBot="1">
      <c r="A750" s="578"/>
      <c r="B750" s="580"/>
      <c r="C750" s="723" t="s">
        <v>16</v>
      </c>
      <c r="D750" s="856" t="s">
        <v>38</v>
      </c>
      <c r="E750" s="617"/>
      <c r="F750" s="617"/>
      <c r="G750" s="618"/>
      <c r="H750" s="581"/>
      <c r="I750" s="166"/>
      <c r="J750" s="166"/>
      <c r="K750" s="167"/>
      <c r="L750" s="167"/>
      <c r="M750" s="167"/>
      <c r="N750" s="167"/>
      <c r="O750" s="167"/>
      <c r="P750" s="167"/>
      <c r="Q750" s="568"/>
      <c r="R750" s="568"/>
      <c r="S750" s="568"/>
      <c r="T750" s="568"/>
      <c r="U750" s="568"/>
      <c r="V750" s="568"/>
      <c r="W750" s="568"/>
      <c r="X750" s="568"/>
      <c r="Y750" s="568"/>
      <c r="Z750" s="568"/>
    </row>
    <row r="751" spans="1:26" ht="19.5" hidden="1" thickBot="1">
      <c r="A751" s="615"/>
      <c r="B751" s="571"/>
      <c r="C751" s="723"/>
      <c r="D751" s="723"/>
      <c r="E751" s="723" t="s">
        <v>313</v>
      </c>
      <c r="F751" s="723"/>
      <c r="G751" s="567"/>
      <c r="H751" s="165" t="s">
        <v>46</v>
      </c>
      <c r="I751" s="583"/>
      <c r="J751" s="583"/>
      <c r="K751" s="93"/>
      <c r="L751" s="93"/>
      <c r="M751" s="93"/>
      <c r="N751" s="93"/>
      <c r="O751" s="93"/>
      <c r="P751" s="93"/>
      <c r="Q751" s="568"/>
      <c r="R751" s="568"/>
      <c r="S751" s="568"/>
      <c r="T751" s="568"/>
      <c r="U751" s="568"/>
      <c r="V751" s="568"/>
      <c r="W751" s="568"/>
      <c r="X751" s="568"/>
      <c r="Y751" s="568"/>
      <c r="Z751" s="568"/>
    </row>
    <row r="752" spans="1:26" ht="19.5" hidden="1" thickBot="1">
      <c r="A752" s="615"/>
      <c r="B752" s="571"/>
      <c r="C752" s="723"/>
      <c r="D752" s="723"/>
      <c r="E752" s="723"/>
      <c r="F752" s="723"/>
      <c r="G752" s="567"/>
      <c r="H752" s="165" t="s">
        <v>314</v>
      </c>
      <c r="I752" s="583"/>
      <c r="J752" s="583"/>
      <c r="K752" s="93"/>
      <c r="L752" s="93"/>
      <c r="M752" s="93"/>
      <c r="N752" s="93"/>
      <c r="O752" s="93"/>
      <c r="P752" s="93"/>
      <c r="Q752" s="568"/>
      <c r="R752" s="568"/>
      <c r="S752" s="568"/>
      <c r="T752" s="568"/>
      <c r="U752" s="568"/>
      <c r="V752" s="568"/>
      <c r="W752" s="568"/>
      <c r="X752" s="568"/>
      <c r="Y752" s="568"/>
      <c r="Z752" s="568"/>
    </row>
    <row r="753" spans="1:26" ht="20.25" hidden="1" thickBot="1">
      <c r="A753" s="749">
        <v>10</v>
      </c>
      <c r="B753" s="750" t="s">
        <v>315</v>
      </c>
      <c r="C753" s="751"/>
      <c r="D753" s="751"/>
      <c r="E753" s="751"/>
      <c r="F753" s="751"/>
      <c r="G753" s="752"/>
      <c r="H753" s="753" t="s">
        <v>46</v>
      </c>
      <c r="I753" s="754"/>
      <c r="J753" s="754">
        <f>J768</f>
        <v>0</v>
      </c>
      <c r="K753" s="755">
        <f>IF(I753&gt;0,J753*100/I753,0)</f>
        <v>0</v>
      </c>
      <c r="L753" s="756"/>
      <c r="M753" s="756"/>
      <c r="N753" s="756"/>
      <c r="O753" s="756"/>
      <c r="P753" s="756"/>
      <c r="Q753" s="568"/>
      <c r="R753" s="568"/>
      <c r="S753" s="568"/>
      <c r="T753" s="568"/>
      <c r="U753" s="568"/>
      <c r="V753" s="568"/>
      <c r="W753" s="568"/>
      <c r="X753" s="568"/>
      <c r="Y753" s="568"/>
      <c r="Z753" s="568"/>
    </row>
    <row r="754" spans="1:26" ht="20.25" hidden="1" thickBot="1">
      <c r="A754" s="563"/>
      <c r="B754" s="723"/>
      <c r="C754" s="723" t="s">
        <v>16</v>
      </c>
      <c r="D754" s="812" t="s">
        <v>17</v>
      </c>
      <c r="E754" s="805"/>
      <c r="F754" s="805"/>
      <c r="G754" s="567"/>
      <c r="H754" s="612" t="s">
        <v>12</v>
      </c>
      <c r="I754" s="583"/>
      <c r="J754" s="583"/>
      <c r="K754" s="93"/>
      <c r="L754" s="613">
        <f t="shared" ref="L754:N754" si="301">L755+L756</f>
        <v>0</v>
      </c>
      <c r="M754" s="613">
        <f t="shared" si="301"/>
        <v>0</v>
      </c>
      <c r="N754" s="613">
        <f t="shared" si="301"/>
        <v>0</v>
      </c>
      <c r="O754" s="613">
        <f t="shared" ref="O754:O759" si="302">IF(L754&gt;0,N754*100/L754,0)</f>
        <v>0</v>
      </c>
      <c r="P754" s="613">
        <f t="shared" ref="P754:P759" si="303">IF(M754&gt;0,N754*100/M754,0)</f>
        <v>0</v>
      </c>
      <c r="Q754" s="568"/>
      <c r="R754" s="568"/>
      <c r="S754" s="568"/>
      <c r="T754" s="568"/>
      <c r="U754" s="568"/>
      <c r="V754" s="568"/>
      <c r="W754" s="568"/>
      <c r="X754" s="568"/>
      <c r="Y754" s="568"/>
      <c r="Z754" s="568"/>
    </row>
    <row r="755" spans="1:26" ht="19.5" hidden="1" thickBot="1">
      <c r="A755" s="563"/>
      <c r="B755" s="723"/>
      <c r="C755" s="723"/>
      <c r="D755" s="684"/>
      <c r="E755" s="723" t="s">
        <v>184</v>
      </c>
      <c r="F755" s="723"/>
      <c r="G755" s="567"/>
      <c r="H755" s="165" t="s">
        <v>12</v>
      </c>
      <c r="I755" s="583"/>
      <c r="J755" s="583"/>
      <c r="K755" s="93"/>
      <c r="L755" s="93">
        <f t="shared" ref="L755:N756" si="304">L758+L765</f>
        <v>0</v>
      </c>
      <c r="M755" s="93">
        <f t="shared" si="304"/>
        <v>0</v>
      </c>
      <c r="N755" s="93">
        <f t="shared" si="304"/>
        <v>0</v>
      </c>
      <c r="O755" s="93">
        <f t="shared" si="302"/>
        <v>0</v>
      </c>
      <c r="P755" s="93">
        <f t="shared" si="303"/>
        <v>0</v>
      </c>
      <c r="Q755" s="568"/>
      <c r="R755" s="568"/>
      <c r="S755" s="568"/>
      <c r="T755" s="568"/>
      <c r="U755" s="568"/>
      <c r="V755" s="568"/>
      <c r="W755" s="568"/>
      <c r="X755" s="568"/>
      <c r="Y755" s="568"/>
      <c r="Z755" s="568"/>
    </row>
    <row r="756" spans="1:26" ht="19.5" hidden="1" thickBot="1">
      <c r="A756" s="563"/>
      <c r="B756" s="571"/>
      <c r="C756" s="723"/>
      <c r="D756" s="684"/>
      <c r="E756" s="723" t="s">
        <v>185</v>
      </c>
      <c r="F756" s="723"/>
      <c r="G756" s="567"/>
      <c r="H756" s="165" t="s">
        <v>12</v>
      </c>
      <c r="I756" s="583"/>
      <c r="J756" s="583"/>
      <c r="K756" s="93"/>
      <c r="L756" s="93">
        <f t="shared" si="304"/>
        <v>0</v>
      </c>
      <c r="M756" s="93">
        <f t="shared" si="304"/>
        <v>0</v>
      </c>
      <c r="N756" s="93">
        <f t="shared" si="304"/>
        <v>0</v>
      </c>
      <c r="O756" s="93">
        <f t="shared" si="302"/>
        <v>0</v>
      </c>
      <c r="P756" s="93">
        <f t="shared" si="303"/>
        <v>0</v>
      </c>
      <c r="Q756" s="568"/>
      <c r="R756" s="568"/>
      <c r="S756" s="568"/>
      <c r="T756" s="568"/>
      <c r="U756" s="568"/>
      <c r="V756" s="568"/>
      <c r="W756" s="568"/>
      <c r="X756" s="568"/>
      <c r="Y756" s="568"/>
      <c r="Z756" s="568"/>
    </row>
    <row r="757" spans="1:26" ht="20.25" hidden="1" thickBot="1">
      <c r="A757" s="563"/>
      <c r="B757" s="571"/>
      <c r="C757" s="723"/>
      <c r="D757" s="611" t="s">
        <v>20</v>
      </c>
      <c r="E757" s="723"/>
      <c r="F757" s="723"/>
      <c r="G757" s="567"/>
      <c r="H757" s="612" t="s">
        <v>12</v>
      </c>
      <c r="I757" s="166"/>
      <c r="J757" s="166"/>
      <c r="K757" s="167"/>
      <c r="L757" s="613">
        <f t="shared" ref="L757:N757" si="305">L758+L759</f>
        <v>0</v>
      </c>
      <c r="M757" s="613">
        <f t="shared" si="305"/>
        <v>0</v>
      </c>
      <c r="N757" s="613">
        <f t="shared" si="305"/>
        <v>0</v>
      </c>
      <c r="O757" s="613">
        <f t="shared" si="302"/>
        <v>0</v>
      </c>
      <c r="P757" s="613">
        <f t="shared" si="303"/>
        <v>0</v>
      </c>
      <c r="Q757" s="568"/>
      <c r="R757" s="568"/>
      <c r="S757" s="568"/>
      <c r="T757" s="568"/>
      <c r="U757" s="568"/>
      <c r="V757" s="568"/>
      <c r="W757" s="568"/>
      <c r="X757" s="568"/>
      <c r="Y757" s="568"/>
      <c r="Z757" s="568"/>
    </row>
    <row r="758" spans="1:26" ht="19.5" hidden="1" thickBot="1">
      <c r="A758" s="563"/>
      <c r="B758" s="571"/>
      <c r="C758" s="723"/>
      <c r="D758" s="684"/>
      <c r="E758" s="723" t="s">
        <v>184</v>
      </c>
      <c r="F758" s="723"/>
      <c r="G758" s="567"/>
      <c r="H758" s="165" t="s">
        <v>12</v>
      </c>
      <c r="I758" s="583"/>
      <c r="J758" s="583"/>
      <c r="K758" s="93"/>
      <c r="L758" s="93">
        <v>0</v>
      </c>
      <c r="M758" s="93">
        <v>0</v>
      </c>
      <c r="N758" s="93">
        <v>0</v>
      </c>
      <c r="O758" s="93">
        <f t="shared" si="302"/>
        <v>0</v>
      </c>
      <c r="P758" s="93">
        <f t="shared" si="303"/>
        <v>0</v>
      </c>
      <c r="Q758" s="568"/>
      <c r="R758" s="568"/>
      <c r="S758" s="568"/>
      <c r="T758" s="568"/>
      <c r="U758" s="568"/>
      <c r="V758" s="568"/>
      <c r="W758" s="568"/>
      <c r="X758" s="568"/>
      <c r="Y758" s="568"/>
      <c r="Z758" s="568"/>
    </row>
    <row r="759" spans="1:26" ht="19.5" hidden="1" thickBot="1">
      <c r="A759" s="563"/>
      <c r="B759" s="571"/>
      <c r="C759" s="723"/>
      <c r="D759" s="684"/>
      <c r="E759" s="723" t="s">
        <v>185</v>
      </c>
      <c r="F759" s="723"/>
      <c r="G759" s="567"/>
      <c r="H759" s="165" t="s">
        <v>12</v>
      </c>
      <c r="I759" s="583"/>
      <c r="J759" s="583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2"/>
        <v>0</v>
      </c>
      <c r="P759" s="93">
        <f t="shared" si="303"/>
        <v>0</v>
      </c>
      <c r="Q759" s="568"/>
      <c r="R759" s="568"/>
      <c r="S759" s="568"/>
      <c r="T759" s="568"/>
      <c r="U759" s="568"/>
      <c r="V759" s="568"/>
      <c r="W759" s="568"/>
      <c r="X759" s="568"/>
      <c r="Y759" s="568"/>
      <c r="Z759" s="568"/>
    </row>
    <row r="760" spans="1:26" ht="19.5" hidden="1" thickBot="1">
      <c r="A760" s="615"/>
      <c r="B760" s="571"/>
      <c r="C760" s="723"/>
      <c r="D760" s="723"/>
      <c r="E760" s="723"/>
      <c r="F760" s="723" t="s">
        <v>186</v>
      </c>
      <c r="G760" s="567"/>
      <c r="H760" s="165" t="s">
        <v>12</v>
      </c>
      <c r="I760" s="583"/>
      <c r="J760" s="583"/>
      <c r="K760" s="93"/>
      <c r="L760" s="93"/>
      <c r="M760" s="93"/>
      <c r="N760" s="93"/>
      <c r="O760" s="93"/>
      <c r="P760" s="93"/>
      <c r="Q760" s="568"/>
      <c r="R760" s="568"/>
      <c r="S760" s="568"/>
      <c r="T760" s="568"/>
      <c r="U760" s="568"/>
      <c r="V760" s="568"/>
      <c r="W760" s="568"/>
      <c r="X760" s="568"/>
      <c r="Y760" s="568"/>
      <c r="Z760" s="568"/>
    </row>
    <row r="761" spans="1:26" ht="19.5" hidden="1" thickBot="1">
      <c r="A761" s="615"/>
      <c r="B761" s="571"/>
      <c r="C761" s="723"/>
      <c r="D761" s="723"/>
      <c r="E761" s="723"/>
      <c r="F761" s="723" t="s">
        <v>187</v>
      </c>
      <c r="G761" s="567"/>
      <c r="H761" s="165" t="s">
        <v>12</v>
      </c>
      <c r="I761" s="583"/>
      <c r="J761" s="583"/>
      <c r="K761" s="93"/>
      <c r="L761" s="93"/>
      <c r="M761" s="93"/>
      <c r="N761" s="93"/>
      <c r="O761" s="93"/>
      <c r="P761" s="93"/>
      <c r="Q761" s="568"/>
      <c r="R761" s="568"/>
      <c r="S761" s="568"/>
      <c r="T761" s="568"/>
      <c r="U761" s="568"/>
      <c r="V761" s="568"/>
      <c r="W761" s="568"/>
      <c r="X761" s="568"/>
      <c r="Y761" s="568"/>
      <c r="Z761" s="568"/>
    </row>
    <row r="762" spans="1:26" ht="19.5" hidden="1" thickBot="1">
      <c r="A762" s="615"/>
      <c r="B762" s="571"/>
      <c r="C762" s="723"/>
      <c r="D762" s="723"/>
      <c r="E762" s="723"/>
      <c r="F762" s="723" t="s">
        <v>188</v>
      </c>
      <c r="G762" s="567"/>
      <c r="H762" s="165" t="s">
        <v>12</v>
      </c>
      <c r="I762" s="583"/>
      <c r="J762" s="583"/>
      <c r="K762" s="93"/>
      <c r="L762" s="93"/>
      <c r="M762" s="93"/>
      <c r="N762" s="93"/>
      <c r="O762" s="93"/>
      <c r="P762" s="93"/>
      <c r="Q762" s="568"/>
      <c r="R762" s="568"/>
      <c r="S762" s="568"/>
      <c r="T762" s="568"/>
      <c r="U762" s="568"/>
      <c r="V762" s="568"/>
      <c r="W762" s="568"/>
      <c r="X762" s="568"/>
      <c r="Y762" s="568"/>
      <c r="Z762" s="568"/>
    </row>
    <row r="763" spans="1:26" ht="19.5" hidden="1" thickBot="1">
      <c r="A763" s="615"/>
      <c r="B763" s="571"/>
      <c r="C763" s="723"/>
      <c r="D763" s="723"/>
      <c r="E763" s="723"/>
      <c r="F763" s="723" t="s">
        <v>189</v>
      </c>
      <c r="G763" s="567"/>
      <c r="H763" s="165" t="s">
        <v>12</v>
      </c>
      <c r="I763" s="583"/>
      <c r="J763" s="583"/>
      <c r="K763" s="93"/>
      <c r="L763" s="93"/>
      <c r="M763" s="93"/>
      <c r="N763" s="93"/>
      <c r="O763" s="93"/>
      <c r="P763" s="93"/>
      <c r="Q763" s="568"/>
      <c r="R763" s="568"/>
      <c r="S763" s="568"/>
      <c r="T763" s="568"/>
      <c r="U763" s="568"/>
      <c r="V763" s="568"/>
      <c r="W763" s="568"/>
      <c r="X763" s="568"/>
      <c r="Y763" s="568"/>
      <c r="Z763" s="568"/>
    </row>
    <row r="764" spans="1:26" ht="20.25" hidden="1" thickBot="1">
      <c r="A764" s="563"/>
      <c r="B764" s="571"/>
      <c r="C764" s="723"/>
      <c r="D764" s="611" t="s">
        <v>21</v>
      </c>
      <c r="E764" s="723"/>
      <c r="F764" s="723"/>
      <c r="G764" s="567"/>
      <c r="H764" s="747" t="s">
        <v>12</v>
      </c>
      <c r="I764" s="166"/>
      <c r="J764" s="166"/>
      <c r="K764" s="167"/>
      <c r="L764" s="613">
        <f t="shared" ref="L764:N764" si="306">L765+L766</f>
        <v>0</v>
      </c>
      <c r="M764" s="613">
        <f t="shared" si="306"/>
        <v>0</v>
      </c>
      <c r="N764" s="613">
        <f t="shared" si="306"/>
        <v>0</v>
      </c>
      <c r="O764" s="613">
        <f t="shared" ref="O764:O766" si="307">IF(L764&gt;0,N764*100/L764,0)</f>
        <v>0</v>
      </c>
      <c r="P764" s="613">
        <f t="shared" ref="P764:P766" si="308">IF(M764&gt;0,N764*100/M764,0)</f>
        <v>0</v>
      </c>
      <c r="Q764" s="568"/>
      <c r="R764" s="568"/>
      <c r="S764" s="568"/>
      <c r="T764" s="568"/>
      <c r="U764" s="568"/>
      <c r="V764" s="568"/>
      <c r="W764" s="568"/>
      <c r="X764" s="568"/>
      <c r="Y764" s="568"/>
      <c r="Z764" s="568"/>
    </row>
    <row r="765" spans="1:26" ht="19.5" hidden="1" thickBot="1">
      <c r="A765" s="563"/>
      <c r="B765" s="571"/>
      <c r="C765" s="723"/>
      <c r="D765" s="723"/>
      <c r="E765" s="723" t="s">
        <v>18</v>
      </c>
      <c r="F765" s="723"/>
      <c r="G765" s="567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7"/>
        <v>0</v>
      </c>
      <c r="P765" s="93">
        <f t="shared" si="308"/>
        <v>0</v>
      </c>
      <c r="Q765" s="568"/>
      <c r="R765" s="568"/>
      <c r="S765" s="568"/>
      <c r="T765" s="568"/>
      <c r="U765" s="568"/>
      <c r="V765" s="568"/>
      <c r="W765" s="568"/>
      <c r="X765" s="568"/>
      <c r="Y765" s="568"/>
      <c r="Z765" s="568"/>
    </row>
    <row r="766" spans="1:26" ht="19.5" hidden="1" thickBot="1">
      <c r="A766" s="563"/>
      <c r="B766" s="571"/>
      <c r="C766" s="723"/>
      <c r="D766" s="723"/>
      <c r="E766" s="723" t="s">
        <v>19</v>
      </c>
      <c r="F766" s="723"/>
      <c r="G766" s="567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7"/>
        <v>0</v>
      </c>
      <c r="P766" s="93">
        <f t="shared" si="308"/>
        <v>0</v>
      </c>
      <c r="Q766" s="568"/>
      <c r="R766" s="568"/>
      <c r="S766" s="568"/>
      <c r="T766" s="568"/>
      <c r="U766" s="568"/>
      <c r="V766" s="568"/>
      <c r="W766" s="568"/>
      <c r="X766" s="568"/>
      <c r="Y766" s="568"/>
      <c r="Z766" s="568"/>
    </row>
    <row r="767" spans="1:26" ht="20.25" hidden="1" thickBot="1">
      <c r="A767" s="578"/>
      <c r="B767" s="580"/>
      <c r="C767" s="723" t="s">
        <v>16</v>
      </c>
      <c r="D767" s="856" t="s">
        <v>38</v>
      </c>
      <c r="E767" s="617"/>
      <c r="F767" s="617"/>
      <c r="G767" s="618"/>
      <c r="H767" s="581"/>
      <c r="I767" s="166"/>
      <c r="J767" s="166"/>
      <c r="K767" s="167"/>
      <c r="L767" s="167"/>
      <c r="M767" s="167"/>
      <c r="N767" s="167"/>
      <c r="O767" s="167"/>
      <c r="P767" s="167"/>
      <c r="Q767" s="568"/>
      <c r="R767" s="568"/>
      <c r="S767" s="568"/>
      <c r="T767" s="568"/>
      <c r="U767" s="568"/>
      <c r="V767" s="568"/>
      <c r="W767" s="568"/>
      <c r="X767" s="568"/>
      <c r="Y767" s="568"/>
      <c r="Z767" s="568"/>
    </row>
    <row r="768" spans="1:26" ht="19.5" hidden="1" thickBot="1">
      <c r="A768" s="615"/>
      <c r="B768" s="571"/>
      <c r="C768" s="723"/>
      <c r="D768" s="723"/>
      <c r="E768" s="723" t="s">
        <v>316</v>
      </c>
      <c r="F768" s="723"/>
      <c r="G768" s="567"/>
      <c r="H768" s="165" t="s">
        <v>46</v>
      </c>
      <c r="I768" s="583"/>
      <c r="J768" s="583"/>
      <c r="K768" s="93"/>
      <c r="L768" s="93"/>
      <c r="M768" s="93"/>
      <c r="N768" s="93"/>
      <c r="O768" s="93"/>
      <c r="P768" s="93"/>
      <c r="Q768" s="568"/>
      <c r="R768" s="568"/>
      <c r="S768" s="568"/>
      <c r="T768" s="568"/>
      <c r="U768" s="568"/>
      <c r="V768" s="568"/>
      <c r="W768" s="568"/>
      <c r="X768" s="568"/>
      <c r="Y768" s="568"/>
      <c r="Z768" s="568"/>
    </row>
    <row r="769" spans="1:26" ht="20.25" hidden="1" thickBot="1">
      <c r="A769" s="757">
        <v>11</v>
      </c>
      <c r="B769" s="758" t="s">
        <v>317</v>
      </c>
      <c r="C769" s="759"/>
      <c r="D769" s="759"/>
      <c r="E769" s="759"/>
      <c r="F769" s="759"/>
      <c r="G769" s="760"/>
      <c r="H769" s="761" t="s">
        <v>46</v>
      </c>
      <c r="I769" s="762"/>
      <c r="J769" s="762">
        <f>J784</f>
        <v>0</v>
      </c>
      <c r="K769" s="763">
        <f>IF(I769&gt;0,J769*100/I769,0)</f>
        <v>0</v>
      </c>
      <c r="L769" s="764"/>
      <c r="M769" s="764"/>
      <c r="N769" s="764"/>
      <c r="O769" s="764"/>
      <c r="P769" s="764"/>
      <c r="Q769" s="568"/>
      <c r="R769" s="568"/>
      <c r="S769" s="568"/>
      <c r="T769" s="568"/>
      <c r="U769" s="568"/>
      <c r="V769" s="568"/>
      <c r="W769" s="568"/>
      <c r="X769" s="568"/>
      <c r="Y769" s="568"/>
      <c r="Z769" s="568"/>
    </row>
    <row r="770" spans="1:26" ht="20.25" hidden="1" thickBot="1">
      <c r="A770" s="563"/>
      <c r="B770" s="723"/>
      <c r="C770" s="723" t="s">
        <v>16</v>
      </c>
      <c r="D770" s="812" t="s">
        <v>17</v>
      </c>
      <c r="E770" s="805"/>
      <c r="F770" s="805"/>
      <c r="G770" s="567"/>
      <c r="H770" s="612" t="s">
        <v>12</v>
      </c>
      <c r="I770" s="583"/>
      <c r="J770" s="583"/>
      <c r="K770" s="93"/>
      <c r="L770" s="613">
        <f t="shared" ref="L770:N770" si="309">L771+L772</f>
        <v>0</v>
      </c>
      <c r="M770" s="613">
        <f t="shared" si="309"/>
        <v>0</v>
      </c>
      <c r="N770" s="613">
        <f t="shared" si="309"/>
        <v>0</v>
      </c>
      <c r="O770" s="613">
        <f t="shared" ref="O770:O775" si="310">IF(L770&gt;0,N770*100/L770,0)</f>
        <v>0</v>
      </c>
      <c r="P770" s="613">
        <f t="shared" ref="P770:P775" si="311">IF(M770&gt;0,N770*100/M770,0)</f>
        <v>0</v>
      </c>
      <c r="Q770" s="568"/>
      <c r="R770" s="568"/>
      <c r="S770" s="568"/>
      <c r="T770" s="568"/>
      <c r="U770" s="568"/>
      <c r="V770" s="568"/>
      <c r="W770" s="568"/>
      <c r="X770" s="568"/>
      <c r="Y770" s="568"/>
      <c r="Z770" s="568"/>
    </row>
    <row r="771" spans="1:26" ht="19.5" hidden="1" thickBot="1">
      <c r="A771" s="563"/>
      <c r="B771" s="723"/>
      <c r="C771" s="723"/>
      <c r="D771" s="684"/>
      <c r="E771" s="723" t="s">
        <v>184</v>
      </c>
      <c r="F771" s="723"/>
      <c r="G771" s="567"/>
      <c r="H771" s="165" t="s">
        <v>12</v>
      </c>
      <c r="I771" s="583"/>
      <c r="J771" s="583"/>
      <c r="K771" s="93"/>
      <c r="L771" s="93">
        <f t="shared" ref="L771:N772" si="312">L774+L781</f>
        <v>0</v>
      </c>
      <c r="M771" s="93">
        <f t="shared" si="312"/>
        <v>0</v>
      </c>
      <c r="N771" s="93">
        <f t="shared" si="312"/>
        <v>0</v>
      </c>
      <c r="O771" s="93">
        <f t="shared" si="310"/>
        <v>0</v>
      </c>
      <c r="P771" s="93">
        <f t="shared" si="311"/>
        <v>0</v>
      </c>
      <c r="Q771" s="568"/>
      <c r="R771" s="568"/>
      <c r="S771" s="568"/>
      <c r="T771" s="568"/>
      <c r="U771" s="568"/>
      <c r="V771" s="568"/>
      <c r="W771" s="568"/>
      <c r="X771" s="568"/>
      <c r="Y771" s="568"/>
      <c r="Z771" s="568"/>
    </row>
    <row r="772" spans="1:26" ht="19.5" hidden="1" thickBot="1">
      <c r="A772" s="563"/>
      <c r="B772" s="571"/>
      <c r="C772" s="723"/>
      <c r="D772" s="684"/>
      <c r="E772" s="723" t="s">
        <v>185</v>
      </c>
      <c r="F772" s="723"/>
      <c r="G772" s="567"/>
      <c r="H772" s="165" t="s">
        <v>12</v>
      </c>
      <c r="I772" s="583"/>
      <c r="J772" s="583"/>
      <c r="K772" s="93"/>
      <c r="L772" s="93">
        <f t="shared" si="312"/>
        <v>0</v>
      </c>
      <c r="M772" s="93">
        <f t="shared" si="312"/>
        <v>0</v>
      </c>
      <c r="N772" s="93">
        <f t="shared" si="312"/>
        <v>0</v>
      </c>
      <c r="O772" s="93">
        <f t="shared" si="310"/>
        <v>0</v>
      </c>
      <c r="P772" s="93">
        <f t="shared" si="311"/>
        <v>0</v>
      </c>
      <c r="Q772" s="568"/>
      <c r="R772" s="568"/>
      <c r="S772" s="568"/>
      <c r="T772" s="568"/>
      <c r="U772" s="568"/>
      <c r="V772" s="568"/>
      <c r="W772" s="568"/>
      <c r="X772" s="568"/>
      <c r="Y772" s="568"/>
      <c r="Z772" s="568"/>
    </row>
    <row r="773" spans="1:26" ht="20.25" hidden="1" thickBot="1">
      <c r="A773" s="563"/>
      <c r="B773" s="571"/>
      <c r="C773" s="723"/>
      <c r="D773" s="611" t="s">
        <v>20</v>
      </c>
      <c r="E773" s="723"/>
      <c r="F773" s="723"/>
      <c r="G773" s="567"/>
      <c r="H773" s="612" t="s">
        <v>12</v>
      </c>
      <c r="I773" s="166"/>
      <c r="J773" s="166"/>
      <c r="K773" s="167"/>
      <c r="L773" s="613">
        <f t="shared" ref="L773:N773" si="313">L774+L775</f>
        <v>0</v>
      </c>
      <c r="M773" s="613">
        <f t="shared" si="313"/>
        <v>0</v>
      </c>
      <c r="N773" s="613">
        <f t="shared" si="313"/>
        <v>0</v>
      </c>
      <c r="O773" s="613">
        <f t="shared" si="310"/>
        <v>0</v>
      </c>
      <c r="P773" s="613">
        <f t="shared" si="311"/>
        <v>0</v>
      </c>
      <c r="Q773" s="568"/>
      <c r="R773" s="568"/>
      <c r="S773" s="568"/>
      <c r="T773" s="568"/>
      <c r="U773" s="568"/>
      <c r="V773" s="568"/>
      <c r="W773" s="568"/>
      <c r="X773" s="568"/>
      <c r="Y773" s="568"/>
      <c r="Z773" s="568"/>
    </row>
    <row r="774" spans="1:26" ht="19.5" hidden="1" thickBot="1">
      <c r="A774" s="563"/>
      <c r="B774" s="571"/>
      <c r="C774" s="723"/>
      <c r="D774" s="684"/>
      <c r="E774" s="723" t="s">
        <v>184</v>
      </c>
      <c r="F774" s="723"/>
      <c r="G774" s="567"/>
      <c r="H774" s="165" t="s">
        <v>12</v>
      </c>
      <c r="I774" s="583"/>
      <c r="J774" s="583"/>
      <c r="K774" s="93"/>
      <c r="L774" s="93">
        <v>0</v>
      </c>
      <c r="M774" s="93">
        <v>0</v>
      </c>
      <c r="N774" s="93">
        <v>0</v>
      </c>
      <c r="O774" s="93">
        <f t="shared" si="310"/>
        <v>0</v>
      </c>
      <c r="P774" s="93">
        <f t="shared" si="311"/>
        <v>0</v>
      </c>
      <c r="Q774" s="568"/>
      <c r="R774" s="568"/>
      <c r="S774" s="568"/>
      <c r="T774" s="568"/>
      <c r="U774" s="568"/>
      <c r="V774" s="568"/>
      <c r="W774" s="568"/>
      <c r="X774" s="568"/>
      <c r="Y774" s="568"/>
      <c r="Z774" s="568"/>
    </row>
    <row r="775" spans="1:26" ht="19.5" hidden="1" thickBot="1">
      <c r="A775" s="563"/>
      <c r="B775" s="571"/>
      <c r="C775" s="723"/>
      <c r="D775" s="684"/>
      <c r="E775" s="723" t="s">
        <v>185</v>
      </c>
      <c r="F775" s="723"/>
      <c r="G775" s="567"/>
      <c r="H775" s="165" t="s">
        <v>12</v>
      </c>
      <c r="I775" s="583"/>
      <c r="J775" s="583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0"/>
        <v>0</v>
      </c>
      <c r="P775" s="93">
        <f t="shared" si="311"/>
        <v>0</v>
      </c>
      <c r="Q775" s="568"/>
      <c r="R775" s="568"/>
      <c r="S775" s="568"/>
      <c r="T775" s="568"/>
      <c r="U775" s="568"/>
      <c r="V775" s="568"/>
      <c r="W775" s="568"/>
      <c r="X775" s="568"/>
      <c r="Y775" s="568"/>
      <c r="Z775" s="568"/>
    </row>
    <row r="776" spans="1:26" ht="19.5" hidden="1" thickBot="1">
      <c r="A776" s="615"/>
      <c r="B776" s="571"/>
      <c r="C776" s="723"/>
      <c r="D776" s="723"/>
      <c r="E776" s="723"/>
      <c r="F776" s="723" t="s">
        <v>186</v>
      </c>
      <c r="G776" s="567"/>
      <c r="H776" s="165" t="s">
        <v>12</v>
      </c>
      <c r="I776" s="583"/>
      <c r="J776" s="583"/>
      <c r="K776" s="93"/>
      <c r="L776" s="93"/>
      <c r="M776" s="93"/>
      <c r="N776" s="93"/>
      <c r="O776" s="93"/>
      <c r="P776" s="93"/>
      <c r="Q776" s="568"/>
      <c r="R776" s="568"/>
      <c r="S776" s="568"/>
      <c r="T776" s="568"/>
      <c r="U776" s="568"/>
      <c r="V776" s="568"/>
      <c r="W776" s="568"/>
      <c r="X776" s="568"/>
      <c r="Y776" s="568"/>
      <c r="Z776" s="568"/>
    </row>
    <row r="777" spans="1:26" ht="19.5" hidden="1" thickBot="1">
      <c r="A777" s="615"/>
      <c r="B777" s="571"/>
      <c r="C777" s="723"/>
      <c r="D777" s="723"/>
      <c r="E777" s="723"/>
      <c r="F777" s="723" t="s">
        <v>187</v>
      </c>
      <c r="G777" s="567"/>
      <c r="H777" s="165" t="s">
        <v>12</v>
      </c>
      <c r="I777" s="583"/>
      <c r="J777" s="583"/>
      <c r="K777" s="93"/>
      <c r="L777" s="93"/>
      <c r="M777" s="93"/>
      <c r="N777" s="93"/>
      <c r="O777" s="93"/>
      <c r="P777" s="93"/>
      <c r="Q777" s="568"/>
      <c r="R777" s="568"/>
      <c r="S777" s="568"/>
      <c r="T777" s="568"/>
      <c r="U777" s="568"/>
      <c r="V777" s="568"/>
      <c r="W777" s="568"/>
      <c r="X777" s="568"/>
      <c r="Y777" s="568"/>
      <c r="Z777" s="568"/>
    </row>
    <row r="778" spans="1:26" ht="19.5" hidden="1" thickBot="1">
      <c r="A778" s="615"/>
      <c r="B778" s="571"/>
      <c r="C778" s="723"/>
      <c r="D778" s="723"/>
      <c r="E778" s="723"/>
      <c r="F778" s="723" t="s">
        <v>188</v>
      </c>
      <c r="G778" s="567"/>
      <c r="H778" s="165" t="s">
        <v>12</v>
      </c>
      <c r="I778" s="583"/>
      <c r="J778" s="583"/>
      <c r="K778" s="93"/>
      <c r="L778" s="93"/>
      <c r="M778" s="93"/>
      <c r="N778" s="93"/>
      <c r="O778" s="93"/>
      <c r="P778" s="93"/>
      <c r="Q778" s="568"/>
      <c r="R778" s="568"/>
      <c r="S778" s="568"/>
      <c r="T778" s="568"/>
      <c r="U778" s="568"/>
      <c r="V778" s="568"/>
      <c r="W778" s="568"/>
      <c r="X778" s="568"/>
      <c r="Y778" s="568"/>
      <c r="Z778" s="568"/>
    </row>
    <row r="779" spans="1:26" ht="19.5" hidden="1" thickBot="1">
      <c r="A779" s="615"/>
      <c r="B779" s="571"/>
      <c r="C779" s="723"/>
      <c r="D779" s="723"/>
      <c r="E779" s="723"/>
      <c r="F779" s="723" t="s">
        <v>189</v>
      </c>
      <c r="G779" s="567"/>
      <c r="H779" s="165" t="s">
        <v>12</v>
      </c>
      <c r="I779" s="583"/>
      <c r="J779" s="583"/>
      <c r="K779" s="93"/>
      <c r="L779" s="93"/>
      <c r="M779" s="93"/>
      <c r="N779" s="93"/>
      <c r="O779" s="93"/>
      <c r="P779" s="93"/>
      <c r="Q779" s="568"/>
      <c r="R779" s="568"/>
      <c r="S779" s="568"/>
      <c r="T779" s="568"/>
      <c r="U779" s="568"/>
      <c r="V779" s="568"/>
      <c r="W779" s="568"/>
      <c r="X779" s="568"/>
      <c r="Y779" s="568"/>
      <c r="Z779" s="568"/>
    </row>
    <row r="780" spans="1:26" ht="20.25" hidden="1" thickBot="1">
      <c r="A780" s="563"/>
      <c r="B780" s="571"/>
      <c r="C780" s="723"/>
      <c r="D780" s="611" t="s">
        <v>21</v>
      </c>
      <c r="E780" s="723"/>
      <c r="F780" s="723"/>
      <c r="G780" s="567"/>
      <c r="H780" s="747" t="s">
        <v>12</v>
      </c>
      <c r="I780" s="166"/>
      <c r="J780" s="166"/>
      <c r="K780" s="167"/>
      <c r="L780" s="613">
        <f t="shared" ref="L780:N780" si="314">L781+L782</f>
        <v>0</v>
      </c>
      <c r="M780" s="613">
        <f t="shared" si="314"/>
        <v>0</v>
      </c>
      <c r="N780" s="613">
        <f t="shared" si="314"/>
        <v>0</v>
      </c>
      <c r="O780" s="613">
        <f t="shared" ref="O780:O782" si="315">IF(L780&gt;0,N780*100/L780,0)</f>
        <v>0</v>
      </c>
      <c r="P780" s="613">
        <f t="shared" ref="P780:P782" si="316">IF(M780&gt;0,N780*100/M780,0)</f>
        <v>0</v>
      </c>
      <c r="Q780" s="568"/>
      <c r="R780" s="568"/>
      <c r="S780" s="568"/>
      <c r="T780" s="568"/>
      <c r="U780" s="568"/>
      <c r="V780" s="568"/>
      <c r="W780" s="568"/>
      <c r="X780" s="568"/>
      <c r="Y780" s="568"/>
      <c r="Z780" s="568"/>
    </row>
    <row r="781" spans="1:26" ht="19.5" hidden="1" thickBot="1">
      <c r="A781" s="563"/>
      <c r="B781" s="571"/>
      <c r="C781" s="723"/>
      <c r="D781" s="723"/>
      <c r="E781" s="723" t="s">
        <v>18</v>
      </c>
      <c r="F781" s="723"/>
      <c r="G781" s="567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5"/>
        <v>0</v>
      </c>
      <c r="P781" s="93">
        <f t="shared" si="316"/>
        <v>0</v>
      </c>
      <c r="Q781" s="568"/>
      <c r="R781" s="568"/>
      <c r="S781" s="568"/>
      <c r="T781" s="568"/>
      <c r="U781" s="568"/>
      <c r="V781" s="568"/>
      <c r="W781" s="568"/>
      <c r="X781" s="568"/>
      <c r="Y781" s="568"/>
      <c r="Z781" s="568"/>
    </row>
    <row r="782" spans="1:26" ht="19.5" hidden="1" thickBot="1">
      <c r="A782" s="563"/>
      <c r="B782" s="571"/>
      <c r="C782" s="723"/>
      <c r="D782" s="723"/>
      <c r="E782" s="723" t="s">
        <v>19</v>
      </c>
      <c r="F782" s="723"/>
      <c r="G782" s="567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5"/>
        <v>0</v>
      </c>
      <c r="P782" s="93">
        <f t="shared" si="316"/>
        <v>0</v>
      </c>
      <c r="Q782" s="568"/>
      <c r="R782" s="568"/>
      <c r="S782" s="568"/>
      <c r="T782" s="568"/>
      <c r="U782" s="568"/>
      <c r="V782" s="568"/>
      <c r="W782" s="568"/>
      <c r="X782" s="568"/>
      <c r="Y782" s="568"/>
      <c r="Z782" s="568"/>
    </row>
    <row r="783" spans="1:26" ht="20.25" hidden="1" thickBot="1">
      <c r="A783" s="578"/>
      <c r="B783" s="580"/>
      <c r="C783" s="723" t="s">
        <v>16</v>
      </c>
      <c r="D783" s="856" t="s">
        <v>38</v>
      </c>
      <c r="E783" s="617"/>
      <c r="F783" s="617"/>
      <c r="G783" s="618"/>
      <c r="H783" s="765"/>
      <c r="I783" s="166"/>
      <c r="J783" s="166"/>
      <c r="K783" s="167"/>
      <c r="L783" s="167"/>
      <c r="M783" s="167"/>
      <c r="N783" s="167"/>
      <c r="O783" s="167"/>
      <c r="P783" s="167"/>
      <c r="Q783" s="568"/>
      <c r="R783" s="568"/>
      <c r="S783" s="568"/>
      <c r="T783" s="568"/>
      <c r="U783" s="568"/>
      <c r="V783" s="568"/>
      <c r="W783" s="568"/>
      <c r="X783" s="568"/>
      <c r="Y783" s="568"/>
      <c r="Z783" s="568"/>
    </row>
    <row r="784" spans="1:26" ht="19.5" hidden="1" thickBot="1">
      <c r="A784" s="615"/>
      <c r="B784" s="571"/>
      <c r="C784" s="723"/>
      <c r="D784" s="723"/>
      <c r="E784" s="723" t="s">
        <v>318</v>
      </c>
      <c r="F784" s="723"/>
      <c r="G784" s="567"/>
      <c r="H784" s="165" t="s">
        <v>46</v>
      </c>
      <c r="I784" s="583"/>
      <c r="J784" s="583"/>
      <c r="K784" s="93"/>
      <c r="L784" s="93"/>
      <c r="M784" s="93"/>
      <c r="N784" s="93"/>
      <c r="O784" s="93"/>
      <c r="P784" s="93"/>
      <c r="Q784" s="568"/>
      <c r="R784" s="568"/>
      <c r="S784" s="568"/>
      <c r="T784" s="568"/>
      <c r="U784" s="568"/>
      <c r="V784" s="568"/>
      <c r="W784" s="568"/>
      <c r="X784" s="568"/>
      <c r="Y784" s="568"/>
      <c r="Z784" s="568"/>
    </row>
    <row r="785" spans="1:26" ht="20.25" hidden="1" thickBot="1">
      <c r="A785" s="766">
        <v>12</v>
      </c>
      <c r="B785" s="767" t="s">
        <v>319</v>
      </c>
      <c r="C785" s="768"/>
      <c r="D785" s="768"/>
      <c r="E785" s="768"/>
      <c r="F785" s="768"/>
      <c r="G785" s="769"/>
      <c r="H785" s="770" t="s">
        <v>46</v>
      </c>
      <c r="I785" s="860">
        <f t="shared" ref="I785:J785" ca="1" si="317">I800</f>
        <v>0</v>
      </c>
      <c r="J785" s="771">
        <f t="shared" ca="1" si="317"/>
        <v>0</v>
      </c>
      <c r="K785" s="772">
        <f ca="1">IF(I785&gt;0,J785*100/I785,0)</f>
        <v>0</v>
      </c>
      <c r="L785" s="773"/>
      <c r="M785" s="773"/>
      <c r="N785" s="773"/>
      <c r="O785" s="773"/>
      <c r="P785" s="773"/>
      <c r="Q785" s="541"/>
      <c r="R785" s="541"/>
      <c r="S785" s="541"/>
      <c r="T785" s="541"/>
      <c r="U785" s="541"/>
      <c r="V785" s="541"/>
      <c r="W785" s="541"/>
      <c r="X785" s="541"/>
      <c r="Y785" s="541"/>
      <c r="Z785" s="541"/>
    </row>
    <row r="786" spans="1:26" ht="20.25" hidden="1" thickBot="1">
      <c r="A786" s="561"/>
      <c r="B786" s="538"/>
      <c r="C786" s="727" t="s">
        <v>16</v>
      </c>
      <c r="D786" s="811" t="s">
        <v>17</v>
      </c>
      <c r="E786" s="805"/>
      <c r="F786" s="805"/>
      <c r="G786" s="189"/>
      <c r="H786" s="562" t="s">
        <v>12</v>
      </c>
      <c r="I786" s="269"/>
      <c r="J786" s="269"/>
      <c r="K786" s="465"/>
      <c r="L786" s="195">
        <f t="shared" ref="L786:N786" ca="1" si="318">L787+L788</f>
        <v>0</v>
      </c>
      <c r="M786" s="195">
        <f t="shared" si="318"/>
        <v>0</v>
      </c>
      <c r="N786" s="195">
        <f t="shared" si="318"/>
        <v>0</v>
      </c>
      <c r="O786" s="195">
        <f t="shared" ref="O786:O791" ca="1" si="319">IF(L786&gt;0,N786*100/L786,0)</f>
        <v>0</v>
      </c>
      <c r="P786" s="195">
        <f t="shared" ref="P786:P791" si="320">IF(M786&gt;0,N786*100/M786,0)</f>
        <v>0</v>
      </c>
      <c r="Q786" s="541"/>
      <c r="R786" s="541"/>
      <c r="S786" s="541"/>
      <c r="T786" s="541"/>
      <c r="U786" s="541"/>
      <c r="V786" s="541"/>
      <c r="W786" s="541"/>
      <c r="X786" s="541"/>
      <c r="Y786" s="541"/>
      <c r="Z786" s="541"/>
    </row>
    <row r="787" spans="1:26" ht="19.5" hidden="1" thickBot="1">
      <c r="A787" s="563"/>
      <c r="B787" s="571"/>
      <c r="C787" s="723"/>
      <c r="D787" s="684"/>
      <c r="E787" s="723" t="s">
        <v>184</v>
      </c>
      <c r="F787" s="723"/>
      <c r="G787" s="567"/>
      <c r="H787" s="165" t="s">
        <v>12</v>
      </c>
      <c r="I787" s="583"/>
      <c r="J787" s="583"/>
      <c r="K787" s="93"/>
      <c r="L787" s="93">
        <f t="shared" ref="L787:N788" si="321">L790+L797</f>
        <v>0</v>
      </c>
      <c r="M787" s="93">
        <f t="shared" si="321"/>
        <v>0</v>
      </c>
      <c r="N787" s="93">
        <f t="shared" si="321"/>
        <v>0</v>
      </c>
      <c r="O787" s="93">
        <f t="shared" si="319"/>
        <v>0</v>
      </c>
      <c r="P787" s="93">
        <f t="shared" si="320"/>
        <v>0</v>
      </c>
      <c r="Q787" s="568"/>
      <c r="R787" s="568"/>
      <c r="S787" s="568"/>
      <c r="T787" s="568"/>
      <c r="U787" s="568"/>
      <c r="V787" s="568"/>
      <c r="W787" s="568"/>
      <c r="X787" s="568"/>
      <c r="Y787" s="568"/>
      <c r="Z787" s="568"/>
    </row>
    <row r="788" spans="1:26" ht="19.5" hidden="1" thickBot="1">
      <c r="A788" s="563"/>
      <c r="B788" s="571"/>
      <c r="C788" s="571"/>
      <c r="D788" s="580"/>
      <c r="E788" s="723" t="s">
        <v>185</v>
      </c>
      <c r="F788" s="723"/>
      <c r="G788" s="567"/>
      <c r="H788" s="165" t="s">
        <v>12</v>
      </c>
      <c r="I788" s="583"/>
      <c r="J788" s="583"/>
      <c r="K788" s="93"/>
      <c r="L788" s="93">
        <f t="shared" ca="1" si="321"/>
        <v>0</v>
      </c>
      <c r="M788" s="93">
        <f t="shared" si="321"/>
        <v>0</v>
      </c>
      <c r="N788" s="93">
        <f t="shared" si="321"/>
        <v>0</v>
      </c>
      <c r="O788" s="93">
        <f t="shared" ca="1" si="319"/>
        <v>0</v>
      </c>
      <c r="P788" s="93">
        <f t="shared" si="320"/>
        <v>0</v>
      </c>
      <c r="Q788" s="568"/>
      <c r="R788" s="568"/>
      <c r="S788" s="568"/>
      <c r="T788" s="568"/>
      <c r="U788" s="568"/>
      <c r="V788" s="568"/>
      <c r="W788" s="568"/>
      <c r="X788" s="568"/>
      <c r="Y788" s="568"/>
      <c r="Z788" s="568"/>
    </row>
    <row r="789" spans="1:26" ht="19.5" hidden="1" thickBot="1">
      <c r="A789" s="561"/>
      <c r="B789" s="538"/>
      <c r="C789" s="538"/>
      <c r="D789" s="570" t="s">
        <v>20</v>
      </c>
      <c r="E789" s="727"/>
      <c r="F789" s="727"/>
      <c r="G789" s="189"/>
      <c r="H789" s="161" t="s">
        <v>12</v>
      </c>
      <c r="I789" s="184"/>
      <c r="J789" s="184"/>
      <c r="K789" s="163"/>
      <c r="L789" s="465">
        <f t="shared" ref="L789:N789" ca="1" si="322">L790+L791</f>
        <v>0</v>
      </c>
      <c r="M789" s="465">
        <f t="shared" si="322"/>
        <v>0</v>
      </c>
      <c r="N789" s="465">
        <f t="shared" si="322"/>
        <v>0</v>
      </c>
      <c r="O789" s="465">
        <f t="shared" ca="1" si="319"/>
        <v>0</v>
      </c>
      <c r="P789" s="465">
        <f t="shared" si="320"/>
        <v>0</v>
      </c>
      <c r="Q789" s="541"/>
      <c r="R789" s="541"/>
      <c r="S789" s="541"/>
      <c r="T789" s="541"/>
      <c r="U789" s="541"/>
      <c r="V789" s="541"/>
      <c r="W789" s="541"/>
      <c r="X789" s="541"/>
      <c r="Y789" s="541"/>
      <c r="Z789" s="541"/>
    </row>
    <row r="790" spans="1:26" ht="19.5" hidden="1" thickBot="1">
      <c r="A790" s="563"/>
      <c r="B790" s="571"/>
      <c r="C790" s="571"/>
      <c r="D790" s="580"/>
      <c r="E790" s="723" t="s">
        <v>184</v>
      </c>
      <c r="F790" s="723"/>
      <c r="G790" s="567"/>
      <c r="H790" s="165" t="s">
        <v>12</v>
      </c>
      <c r="I790" s="583"/>
      <c r="J790" s="583"/>
      <c r="K790" s="93"/>
      <c r="L790" s="93">
        <v>0</v>
      </c>
      <c r="M790" s="93">
        <v>0</v>
      </c>
      <c r="N790" s="93">
        <v>0</v>
      </c>
      <c r="O790" s="93">
        <f t="shared" si="319"/>
        <v>0</v>
      </c>
      <c r="P790" s="93">
        <f t="shared" si="320"/>
        <v>0</v>
      </c>
      <c r="Q790" s="568"/>
      <c r="R790" s="568"/>
      <c r="S790" s="568"/>
      <c r="T790" s="568"/>
      <c r="U790" s="568"/>
      <c r="V790" s="568"/>
      <c r="W790" s="568"/>
      <c r="X790" s="568"/>
      <c r="Y790" s="568"/>
      <c r="Z790" s="568"/>
    </row>
    <row r="791" spans="1:26" ht="19.5" hidden="1" thickBot="1">
      <c r="A791" s="563"/>
      <c r="B791" s="571"/>
      <c r="C791" s="571"/>
      <c r="D791" s="580"/>
      <c r="E791" s="723" t="s">
        <v>185</v>
      </c>
      <c r="F791" s="723"/>
      <c r="G791" s="567"/>
      <c r="H791" s="165" t="s">
        <v>12</v>
      </c>
      <c r="I791" s="583"/>
      <c r="J791" s="583"/>
      <c r="K791" s="93"/>
      <c r="L791" s="93">
        <f ca="1">IFERROR(__xludf.DUMMYFUNCTION("IMPORTRANGE(""https://docs.google.com/spreadsheets/d/1QqKyyYR6Q21VydFLVH3TRQUabQu_ym0Zz7PgGX0-kHA/edit?usp=sharing"",""แผน!JJ15"")"),0)</f>
        <v>0</v>
      </c>
      <c r="M791" s="93">
        <v>0</v>
      </c>
      <c r="N791" s="93">
        <f>N792+N793+N794+N795</f>
        <v>0</v>
      </c>
      <c r="O791" s="93">
        <f t="shared" ca="1" si="319"/>
        <v>0</v>
      </c>
      <c r="P791" s="93">
        <f t="shared" si="320"/>
        <v>0</v>
      </c>
      <c r="Q791" s="568"/>
      <c r="R791" s="568"/>
      <c r="S791" s="568"/>
      <c r="T791" s="568"/>
      <c r="U791" s="568"/>
      <c r="V791" s="568"/>
      <c r="W791" s="568"/>
      <c r="X791" s="568"/>
      <c r="Y791" s="568"/>
      <c r="Z791" s="568"/>
    </row>
    <row r="792" spans="1:26" ht="19.5" hidden="1" thickBot="1">
      <c r="A792" s="537"/>
      <c r="B792" s="538"/>
      <c r="C792" s="727"/>
      <c r="D792" s="727"/>
      <c r="E792" s="727"/>
      <c r="F792" s="727" t="s">
        <v>186</v>
      </c>
      <c r="G792" s="189"/>
      <c r="H792" s="161" t="s">
        <v>12</v>
      </c>
      <c r="I792" s="269"/>
      <c r="J792" s="269"/>
      <c r="K792" s="465"/>
      <c r="L792" s="465"/>
      <c r="M792" s="465"/>
      <c r="N792" s="789">
        <v>0</v>
      </c>
      <c r="O792" s="465"/>
      <c r="P792" s="465"/>
      <c r="Q792" s="541"/>
      <c r="R792" s="541"/>
      <c r="S792" s="541"/>
      <c r="T792" s="541"/>
      <c r="U792" s="541"/>
      <c r="V792" s="541"/>
      <c r="W792" s="541"/>
      <c r="X792" s="541"/>
      <c r="Y792" s="541"/>
      <c r="Z792" s="541"/>
    </row>
    <row r="793" spans="1:26" ht="19.5" hidden="1" thickBot="1">
      <c r="A793" s="537"/>
      <c r="B793" s="538"/>
      <c r="C793" s="727"/>
      <c r="D793" s="727"/>
      <c r="E793" s="727"/>
      <c r="F793" s="727" t="s">
        <v>187</v>
      </c>
      <c r="G793" s="189"/>
      <c r="H793" s="161" t="s">
        <v>12</v>
      </c>
      <c r="I793" s="269"/>
      <c r="J793" s="269"/>
      <c r="K793" s="465"/>
      <c r="L793" s="465"/>
      <c r="M793" s="465"/>
      <c r="N793" s="789">
        <v>0</v>
      </c>
      <c r="O793" s="465"/>
      <c r="P793" s="465"/>
      <c r="Q793" s="541"/>
      <c r="R793" s="541"/>
      <c r="S793" s="541"/>
      <c r="T793" s="541"/>
      <c r="U793" s="541"/>
      <c r="V793" s="541"/>
      <c r="W793" s="541"/>
      <c r="X793" s="541"/>
      <c r="Y793" s="541"/>
      <c r="Z793" s="541"/>
    </row>
    <row r="794" spans="1:26" ht="19.5" hidden="1" thickBot="1">
      <c r="A794" s="537"/>
      <c r="B794" s="538"/>
      <c r="C794" s="727"/>
      <c r="D794" s="727"/>
      <c r="E794" s="727"/>
      <c r="F794" s="727" t="s">
        <v>188</v>
      </c>
      <c r="G794" s="189"/>
      <c r="H794" s="161" t="s">
        <v>12</v>
      </c>
      <c r="I794" s="269"/>
      <c r="J794" s="269"/>
      <c r="K794" s="465"/>
      <c r="L794" s="465"/>
      <c r="M794" s="465"/>
      <c r="N794" s="789">
        <v>0</v>
      </c>
      <c r="O794" s="465"/>
      <c r="P794" s="465"/>
      <c r="Q794" s="541"/>
      <c r="R794" s="541"/>
      <c r="S794" s="541"/>
      <c r="T794" s="541"/>
      <c r="U794" s="541"/>
      <c r="V794" s="541"/>
      <c r="W794" s="541"/>
      <c r="X794" s="541"/>
      <c r="Y794" s="541"/>
      <c r="Z794" s="541"/>
    </row>
    <row r="795" spans="1:26" ht="19.5" hidden="1" thickBot="1">
      <c r="A795" s="537"/>
      <c r="B795" s="538"/>
      <c r="C795" s="727"/>
      <c r="D795" s="727"/>
      <c r="E795" s="727"/>
      <c r="F795" s="727" t="s">
        <v>189</v>
      </c>
      <c r="G795" s="189"/>
      <c r="H795" s="161" t="s">
        <v>12</v>
      </c>
      <c r="I795" s="269"/>
      <c r="J795" s="269"/>
      <c r="K795" s="465"/>
      <c r="L795" s="465"/>
      <c r="M795" s="465"/>
      <c r="N795" s="789">
        <v>0</v>
      </c>
      <c r="O795" s="465"/>
      <c r="P795" s="465"/>
      <c r="Q795" s="541"/>
      <c r="R795" s="541"/>
      <c r="S795" s="541"/>
      <c r="T795" s="541"/>
      <c r="U795" s="541"/>
      <c r="V795" s="541"/>
      <c r="W795" s="541"/>
      <c r="X795" s="541"/>
      <c r="Y795" s="541"/>
      <c r="Z795" s="541"/>
    </row>
    <row r="796" spans="1:26" ht="19.5" hidden="1" thickBot="1">
      <c r="A796" s="561"/>
      <c r="B796" s="538"/>
      <c r="C796" s="727"/>
      <c r="D796" s="570" t="s">
        <v>21</v>
      </c>
      <c r="E796" s="727"/>
      <c r="F796" s="727"/>
      <c r="G796" s="189"/>
      <c r="H796" s="168" t="s">
        <v>12</v>
      </c>
      <c r="I796" s="184"/>
      <c r="J796" s="184"/>
      <c r="K796" s="163"/>
      <c r="L796" s="465">
        <f t="shared" ref="L796:N796" si="323">L797+L798</f>
        <v>0</v>
      </c>
      <c r="M796" s="465">
        <f t="shared" si="323"/>
        <v>0</v>
      </c>
      <c r="N796" s="465">
        <f t="shared" si="323"/>
        <v>0</v>
      </c>
      <c r="O796" s="465">
        <f t="shared" ref="O796:O798" si="324">IF(L796&gt;0,N796*100/L796,0)</f>
        <v>0</v>
      </c>
      <c r="P796" s="465">
        <f t="shared" ref="P796:P798" si="325">IF(M796&gt;0,N796*100/M796,0)</f>
        <v>0</v>
      </c>
      <c r="Q796" s="541"/>
      <c r="R796" s="541"/>
      <c r="S796" s="541"/>
      <c r="T796" s="541"/>
      <c r="U796" s="541"/>
      <c r="V796" s="541"/>
      <c r="W796" s="541"/>
      <c r="X796" s="541"/>
      <c r="Y796" s="541"/>
      <c r="Z796" s="541"/>
    </row>
    <row r="797" spans="1:26" ht="19.5" hidden="1" thickBot="1">
      <c r="A797" s="563"/>
      <c r="B797" s="571"/>
      <c r="C797" s="723"/>
      <c r="D797" s="723"/>
      <c r="E797" s="723" t="s">
        <v>18</v>
      </c>
      <c r="F797" s="723"/>
      <c r="G797" s="567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4"/>
        <v>0</v>
      </c>
      <c r="P797" s="93">
        <f t="shared" si="325"/>
        <v>0</v>
      </c>
      <c r="Q797" s="568"/>
      <c r="R797" s="568"/>
      <c r="S797" s="568"/>
      <c r="T797" s="568"/>
      <c r="U797" s="568"/>
      <c r="V797" s="568"/>
      <c r="W797" s="568"/>
      <c r="X797" s="568"/>
      <c r="Y797" s="568"/>
      <c r="Z797" s="568"/>
    </row>
    <row r="798" spans="1:26" ht="19.5" hidden="1" thickBot="1">
      <c r="A798" s="563"/>
      <c r="B798" s="571"/>
      <c r="C798" s="723"/>
      <c r="D798" s="723"/>
      <c r="E798" s="723" t="s">
        <v>19</v>
      </c>
      <c r="F798" s="723"/>
      <c r="G798" s="567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4"/>
        <v>0</v>
      </c>
      <c r="P798" s="93">
        <f t="shared" si="325"/>
        <v>0</v>
      </c>
      <c r="Q798" s="568"/>
      <c r="R798" s="568"/>
      <c r="S798" s="568"/>
      <c r="T798" s="568"/>
      <c r="U798" s="568"/>
      <c r="V798" s="568"/>
      <c r="W798" s="568"/>
      <c r="X798" s="568"/>
      <c r="Y798" s="568"/>
      <c r="Z798" s="568"/>
    </row>
    <row r="799" spans="1:26" ht="20.25" hidden="1" thickBot="1">
      <c r="A799" s="572"/>
      <c r="B799" s="584"/>
      <c r="C799" s="727" t="s">
        <v>16</v>
      </c>
      <c r="D799" s="855" t="s">
        <v>38</v>
      </c>
      <c r="E799" s="725"/>
      <c r="F799" s="725"/>
      <c r="G799" s="577"/>
      <c r="H799" s="774"/>
      <c r="I799" s="184"/>
      <c r="J799" s="184"/>
      <c r="K799" s="163"/>
      <c r="L799" s="163"/>
      <c r="M799" s="163"/>
      <c r="N799" s="163"/>
      <c r="O799" s="163"/>
      <c r="P799" s="163"/>
      <c r="Q799" s="541"/>
      <c r="R799" s="541"/>
      <c r="S799" s="541"/>
      <c r="T799" s="541"/>
      <c r="U799" s="541"/>
      <c r="V799" s="541"/>
      <c r="W799" s="541"/>
      <c r="X799" s="541"/>
      <c r="Y799" s="541"/>
      <c r="Z799" s="541"/>
    </row>
    <row r="800" spans="1:26" ht="19.5" hidden="1" thickBot="1">
      <c r="A800" s="572"/>
      <c r="B800" s="584"/>
      <c r="C800" s="584"/>
      <c r="D800" s="584"/>
      <c r="E800" s="592"/>
      <c r="F800" s="592" t="s">
        <v>320</v>
      </c>
      <c r="G800" s="726"/>
      <c r="H800" s="185" t="s">
        <v>46</v>
      </c>
      <c r="I800" s="184">
        <f ca="1">IFERROR(__xludf.DUMMYFUNCTION("IMPORTRANGE(""https://docs.google.com/spreadsheets/d/1QqKyyYR6Q21VydFLVH3TRQUabQu_ym0Zz7PgGX0-kHA/edit?usp=sharing"",""แผน!JN15"")"),0)</f>
        <v>0</v>
      </c>
      <c r="J800" s="184">
        <f ca="1">IFERROR(__xludf.DUMMYFUNCTION("IMPORTRANGE(""https://docs.google.com/spreadsheets/d/1MaWodYyGHDf7siQLGxnXhG4mBNTNIuy296niS2xXulU/edit?usp=sharing"",""RTK!H15"")"),0)</f>
        <v>0</v>
      </c>
      <c r="K800" s="465">
        <f ca="1">IF(I800&gt;0,J800*100/I800,0)</f>
        <v>0</v>
      </c>
      <c r="L800" s="465"/>
      <c r="M800" s="465"/>
      <c r="N800" s="465"/>
      <c r="O800" s="163"/>
      <c r="P800" s="163"/>
      <c r="Q800" s="541"/>
      <c r="R800" s="541"/>
      <c r="S800" s="541"/>
      <c r="T800" s="541"/>
      <c r="U800" s="541"/>
      <c r="V800" s="541"/>
      <c r="W800" s="541"/>
      <c r="X800" s="541"/>
      <c r="Y800" s="541"/>
      <c r="Z800" s="541"/>
    </row>
    <row r="801" spans="1:26" ht="19.5" hidden="1" thickBot="1">
      <c r="A801" s="572"/>
      <c r="B801" s="584"/>
      <c r="C801" s="584"/>
      <c r="D801" s="584"/>
      <c r="E801" s="592"/>
      <c r="F801" s="592"/>
      <c r="G801" s="726"/>
      <c r="H801" s="161" t="s">
        <v>34</v>
      </c>
      <c r="I801" s="184"/>
      <c r="J801" s="269">
        <f ca="1">IFERROR(__xludf.DUMMYFUNCTION("IMPORTRANGE(""https://docs.google.com/spreadsheets/d/1MaWodYyGHDf7siQLGxnXhG4mBNTNIuy296niS2xXulU/edit?usp=sharing"",""RTK!I15"")"),0)</f>
        <v>0</v>
      </c>
      <c r="K801" s="465"/>
      <c r="L801" s="465"/>
      <c r="M801" s="465"/>
      <c r="N801" s="465"/>
      <c r="O801" s="163"/>
      <c r="P801" s="163"/>
      <c r="Q801" s="541"/>
      <c r="R801" s="541"/>
      <c r="S801" s="541"/>
      <c r="T801" s="541"/>
      <c r="U801" s="541"/>
      <c r="V801" s="541"/>
      <c r="W801" s="541"/>
      <c r="X801" s="541"/>
      <c r="Y801" s="541"/>
      <c r="Z801" s="541"/>
    </row>
    <row r="802" spans="1:26" ht="19.5" hidden="1" thickBot="1">
      <c r="A802" s="578"/>
      <c r="B802" s="580"/>
      <c r="C802" s="580"/>
      <c r="D802" s="580"/>
      <c r="E802" s="684"/>
      <c r="F802" s="684" t="s">
        <v>321</v>
      </c>
      <c r="G802" s="581"/>
      <c r="H802" s="619" t="s">
        <v>46</v>
      </c>
      <c r="I802" s="166"/>
      <c r="J802" s="583"/>
      <c r="K802" s="167">
        <f>IF(I802&gt;0,J802*100/I802,0)</f>
        <v>0</v>
      </c>
      <c r="L802" s="167"/>
      <c r="M802" s="167"/>
      <c r="N802" s="167"/>
      <c r="O802" s="167"/>
      <c r="P802" s="167"/>
      <c r="Q802" s="568"/>
      <c r="R802" s="568"/>
      <c r="S802" s="568"/>
      <c r="T802" s="568"/>
      <c r="U802" s="568"/>
      <c r="V802" s="568"/>
      <c r="W802" s="568"/>
      <c r="X802" s="568"/>
      <c r="Y802" s="568"/>
      <c r="Z802" s="568"/>
    </row>
    <row r="803" spans="1:26" ht="19.5" hidden="1" thickBot="1">
      <c r="A803" s="578"/>
      <c r="B803" s="580"/>
      <c r="C803" s="580"/>
      <c r="D803" s="580"/>
      <c r="E803" s="684"/>
      <c r="F803" s="684"/>
      <c r="G803" s="581"/>
      <c r="H803" s="619" t="s">
        <v>34</v>
      </c>
      <c r="I803" s="166"/>
      <c r="J803" s="583"/>
      <c r="K803" s="167"/>
      <c r="L803" s="167"/>
      <c r="M803" s="167"/>
      <c r="N803" s="167"/>
      <c r="O803" s="167"/>
      <c r="P803" s="167"/>
      <c r="Q803" s="568"/>
      <c r="R803" s="568"/>
      <c r="S803" s="568"/>
      <c r="T803" s="568"/>
      <c r="U803" s="568"/>
      <c r="V803" s="568"/>
      <c r="W803" s="568"/>
      <c r="X803" s="568"/>
      <c r="Y803" s="568"/>
      <c r="Z803" s="568"/>
    </row>
    <row r="804" spans="1:26" ht="20.25" hidden="1" thickBot="1">
      <c r="A804" s="757">
        <v>13</v>
      </c>
      <c r="B804" s="758" t="s">
        <v>322</v>
      </c>
      <c r="C804" s="759"/>
      <c r="D804" s="775"/>
      <c r="E804" s="759"/>
      <c r="F804" s="759"/>
      <c r="G804" s="760"/>
      <c r="H804" s="761" t="s">
        <v>46</v>
      </c>
      <c r="I804" s="762"/>
      <c r="J804" s="762">
        <f>J819</f>
        <v>0</v>
      </c>
      <c r="K804" s="763">
        <f>IF(I804&gt;0,J804*100/I804,0)</f>
        <v>0</v>
      </c>
      <c r="L804" s="764"/>
      <c r="M804" s="764"/>
      <c r="N804" s="764"/>
      <c r="O804" s="764"/>
      <c r="P804" s="764"/>
      <c r="Q804" s="568"/>
      <c r="R804" s="568"/>
      <c r="S804" s="568"/>
      <c r="T804" s="568"/>
      <c r="U804" s="568"/>
      <c r="V804" s="568"/>
      <c r="W804" s="568"/>
      <c r="X804" s="568"/>
      <c r="Y804" s="568"/>
      <c r="Z804" s="568"/>
    </row>
    <row r="805" spans="1:26" ht="20.25" hidden="1" thickBot="1">
      <c r="A805" s="563"/>
      <c r="B805" s="723"/>
      <c r="C805" s="723" t="s">
        <v>16</v>
      </c>
      <c r="D805" s="812" t="s">
        <v>17</v>
      </c>
      <c r="E805" s="805"/>
      <c r="F805" s="805"/>
      <c r="G805" s="567"/>
      <c r="H805" s="612" t="s">
        <v>12</v>
      </c>
      <c r="I805" s="583"/>
      <c r="J805" s="583"/>
      <c r="K805" s="93"/>
      <c r="L805" s="613">
        <f t="shared" ref="L805:N805" si="326">L806+L807</f>
        <v>0</v>
      </c>
      <c r="M805" s="613">
        <f t="shared" si="326"/>
        <v>0</v>
      </c>
      <c r="N805" s="613">
        <f t="shared" si="326"/>
        <v>0</v>
      </c>
      <c r="O805" s="613">
        <f t="shared" ref="O805:O810" si="327">IF(L805&gt;0,N805*100/L805,0)</f>
        <v>0</v>
      </c>
      <c r="P805" s="613">
        <f t="shared" ref="P805:P810" si="328">IF(M805&gt;0,N805*100/M805,0)</f>
        <v>0</v>
      </c>
      <c r="Q805" s="568"/>
      <c r="R805" s="568"/>
      <c r="S805" s="568"/>
      <c r="T805" s="568"/>
      <c r="U805" s="568"/>
      <c r="V805" s="568"/>
      <c r="W805" s="568"/>
      <c r="X805" s="568"/>
      <c r="Y805" s="568"/>
      <c r="Z805" s="568"/>
    </row>
    <row r="806" spans="1:26" ht="19.5" hidden="1" thickBot="1">
      <c r="A806" s="563"/>
      <c r="B806" s="723"/>
      <c r="C806" s="723"/>
      <c r="D806" s="580"/>
      <c r="E806" s="723" t="s">
        <v>184</v>
      </c>
      <c r="F806" s="723"/>
      <c r="G806" s="567"/>
      <c r="H806" s="165" t="s">
        <v>12</v>
      </c>
      <c r="I806" s="583"/>
      <c r="J806" s="583"/>
      <c r="K806" s="93"/>
      <c r="L806" s="93">
        <f t="shared" ref="L806:N807" si="329">L809+L816</f>
        <v>0</v>
      </c>
      <c r="M806" s="93">
        <f t="shared" si="329"/>
        <v>0</v>
      </c>
      <c r="N806" s="93">
        <f t="shared" si="329"/>
        <v>0</v>
      </c>
      <c r="O806" s="93">
        <f t="shared" si="327"/>
        <v>0</v>
      </c>
      <c r="P806" s="93">
        <f t="shared" si="328"/>
        <v>0</v>
      </c>
      <c r="Q806" s="568"/>
      <c r="R806" s="568"/>
      <c r="S806" s="568"/>
      <c r="T806" s="568"/>
      <c r="U806" s="568"/>
      <c r="V806" s="568"/>
      <c r="W806" s="568"/>
      <c r="X806" s="568"/>
      <c r="Y806" s="568"/>
      <c r="Z806" s="568"/>
    </row>
    <row r="807" spans="1:26" ht="19.5" hidden="1" thickBot="1">
      <c r="A807" s="563"/>
      <c r="B807" s="723"/>
      <c r="C807" s="723"/>
      <c r="D807" s="580"/>
      <c r="E807" s="723" t="s">
        <v>185</v>
      </c>
      <c r="F807" s="723"/>
      <c r="G807" s="567"/>
      <c r="H807" s="165" t="s">
        <v>12</v>
      </c>
      <c r="I807" s="583"/>
      <c r="J807" s="583"/>
      <c r="K807" s="93"/>
      <c r="L807" s="93">
        <f t="shared" si="329"/>
        <v>0</v>
      </c>
      <c r="M807" s="93">
        <f t="shared" si="329"/>
        <v>0</v>
      </c>
      <c r="N807" s="93">
        <f t="shared" si="329"/>
        <v>0</v>
      </c>
      <c r="O807" s="93">
        <f t="shared" si="327"/>
        <v>0</v>
      </c>
      <c r="P807" s="93">
        <f t="shared" si="328"/>
        <v>0</v>
      </c>
      <c r="Q807" s="568"/>
      <c r="R807" s="568"/>
      <c r="S807" s="568"/>
      <c r="T807" s="568"/>
      <c r="U807" s="568"/>
      <c r="V807" s="568"/>
      <c r="W807" s="568"/>
      <c r="X807" s="568"/>
      <c r="Y807" s="568"/>
      <c r="Z807" s="568"/>
    </row>
    <row r="808" spans="1:26" ht="20.25" hidden="1" thickBot="1">
      <c r="A808" s="563"/>
      <c r="B808" s="571"/>
      <c r="C808" s="723"/>
      <c r="D808" s="857" t="s">
        <v>20</v>
      </c>
      <c r="E808" s="805"/>
      <c r="F808" s="805"/>
      <c r="G808" s="567"/>
      <c r="H808" s="612" t="s">
        <v>12</v>
      </c>
      <c r="I808" s="166"/>
      <c r="J808" s="166"/>
      <c r="K808" s="167"/>
      <c r="L808" s="613">
        <f t="shared" ref="L808:N808" si="330">L809+L810</f>
        <v>0</v>
      </c>
      <c r="M808" s="613">
        <f t="shared" si="330"/>
        <v>0</v>
      </c>
      <c r="N808" s="613">
        <f t="shared" si="330"/>
        <v>0</v>
      </c>
      <c r="O808" s="613">
        <f t="shared" si="327"/>
        <v>0</v>
      </c>
      <c r="P808" s="613">
        <f t="shared" si="328"/>
        <v>0</v>
      </c>
      <c r="Q808" s="568"/>
      <c r="R808" s="568"/>
      <c r="S808" s="568"/>
      <c r="T808" s="568"/>
      <c r="U808" s="568"/>
      <c r="V808" s="568"/>
      <c r="W808" s="568"/>
      <c r="X808" s="568"/>
      <c r="Y808" s="568"/>
      <c r="Z808" s="568"/>
    </row>
    <row r="809" spans="1:26" ht="19.5" hidden="1" thickBot="1">
      <c r="A809" s="563"/>
      <c r="B809" s="723"/>
      <c r="C809" s="723"/>
      <c r="D809" s="580"/>
      <c r="E809" s="723" t="s">
        <v>184</v>
      </c>
      <c r="F809" s="723"/>
      <c r="G809" s="567"/>
      <c r="H809" s="165" t="s">
        <v>12</v>
      </c>
      <c r="I809" s="583"/>
      <c r="J809" s="583"/>
      <c r="K809" s="93"/>
      <c r="L809" s="93">
        <v>0</v>
      </c>
      <c r="M809" s="93">
        <v>0</v>
      </c>
      <c r="N809" s="93">
        <v>0</v>
      </c>
      <c r="O809" s="93">
        <f t="shared" si="327"/>
        <v>0</v>
      </c>
      <c r="P809" s="93">
        <f t="shared" si="328"/>
        <v>0</v>
      </c>
      <c r="Q809" s="568"/>
      <c r="R809" s="568"/>
      <c r="S809" s="568"/>
      <c r="T809" s="568"/>
      <c r="U809" s="568"/>
      <c r="V809" s="568"/>
      <c r="W809" s="568"/>
      <c r="X809" s="568"/>
      <c r="Y809" s="568"/>
      <c r="Z809" s="568"/>
    </row>
    <row r="810" spans="1:26" ht="19.5" hidden="1" thickBot="1">
      <c r="A810" s="563"/>
      <c r="B810" s="723"/>
      <c r="C810" s="723"/>
      <c r="D810" s="580"/>
      <c r="E810" s="723" t="s">
        <v>185</v>
      </c>
      <c r="F810" s="723"/>
      <c r="G810" s="567"/>
      <c r="H810" s="165" t="s">
        <v>12</v>
      </c>
      <c r="I810" s="583"/>
      <c r="J810" s="583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7"/>
        <v>0</v>
      </c>
      <c r="P810" s="93">
        <f t="shared" si="328"/>
        <v>0</v>
      </c>
      <c r="Q810" s="568"/>
      <c r="R810" s="568"/>
      <c r="S810" s="568"/>
      <c r="T810" s="568"/>
      <c r="U810" s="568"/>
      <c r="V810" s="568"/>
      <c r="W810" s="568"/>
      <c r="X810" s="568"/>
      <c r="Y810" s="568"/>
      <c r="Z810" s="568"/>
    </row>
    <row r="811" spans="1:26" ht="19.5" hidden="1" thickBot="1">
      <c r="A811" s="615"/>
      <c r="B811" s="571"/>
      <c r="C811" s="723"/>
      <c r="D811" s="571"/>
      <c r="E811" s="723"/>
      <c r="F811" s="723" t="s">
        <v>186</v>
      </c>
      <c r="G811" s="567"/>
      <c r="H811" s="165" t="s">
        <v>12</v>
      </c>
      <c r="I811" s="583"/>
      <c r="J811" s="583"/>
      <c r="K811" s="93"/>
      <c r="L811" s="93"/>
      <c r="M811" s="93"/>
      <c r="N811" s="93"/>
      <c r="O811" s="93"/>
      <c r="P811" s="93"/>
      <c r="Q811" s="568"/>
      <c r="R811" s="568"/>
      <c r="S811" s="568"/>
      <c r="T811" s="568"/>
      <c r="U811" s="568"/>
      <c r="V811" s="568"/>
      <c r="W811" s="568"/>
      <c r="X811" s="568"/>
      <c r="Y811" s="568"/>
      <c r="Z811" s="568"/>
    </row>
    <row r="812" spans="1:26" ht="19.5" hidden="1" thickBot="1">
      <c r="A812" s="615"/>
      <c r="B812" s="571"/>
      <c r="C812" s="723"/>
      <c r="D812" s="571"/>
      <c r="E812" s="723"/>
      <c r="F812" s="723" t="s">
        <v>187</v>
      </c>
      <c r="G812" s="567"/>
      <c r="H812" s="165" t="s">
        <v>12</v>
      </c>
      <c r="I812" s="583"/>
      <c r="J812" s="583"/>
      <c r="K812" s="93"/>
      <c r="L812" s="93"/>
      <c r="M812" s="93"/>
      <c r="N812" s="93"/>
      <c r="O812" s="93"/>
      <c r="P812" s="93"/>
      <c r="Q812" s="568"/>
      <c r="R812" s="568"/>
      <c r="S812" s="568"/>
      <c r="T812" s="568"/>
      <c r="U812" s="568"/>
      <c r="V812" s="568"/>
      <c r="W812" s="568"/>
      <c r="X812" s="568"/>
      <c r="Y812" s="568"/>
      <c r="Z812" s="568"/>
    </row>
    <row r="813" spans="1:26" ht="19.5" hidden="1" thickBot="1">
      <c r="A813" s="615"/>
      <c r="B813" s="571"/>
      <c r="C813" s="723"/>
      <c r="D813" s="571"/>
      <c r="E813" s="723"/>
      <c r="F813" s="723" t="s">
        <v>188</v>
      </c>
      <c r="G813" s="567"/>
      <c r="H813" s="165" t="s">
        <v>12</v>
      </c>
      <c r="I813" s="583"/>
      <c r="J813" s="583"/>
      <c r="K813" s="93"/>
      <c r="L813" s="93"/>
      <c r="M813" s="93"/>
      <c r="N813" s="93"/>
      <c r="O813" s="93"/>
      <c r="P813" s="93"/>
      <c r="Q813" s="568"/>
      <c r="R813" s="568"/>
      <c r="S813" s="568"/>
      <c r="T813" s="568"/>
      <c r="U813" s="568"/>
      <c r="V813" s="568"/>
      <c r="W813" s="568"/>
      <c r="X813" s="568"/>
      <c r="Y813" s="568"/>
      <c r="Z813" s="568"/>
    </row>
    <row r="814" spans="1:26" ht="19.5" hidden="1" thickBot="1">
      <c r="A814" s="615"/>
      <c r="B814" s="571"/>
      <c r="C814" s="723"/>
      <c r="D814" s="571"/>
      <c r="E814" s="723"/>
      <c r="F814" s="723" t="s">
        <v>189</v>
      </c>
      <c r="G814" s="567"/>
      <c r="H814" s="165" t="s">
        <v>12</v>
      </c>
      <c r="I814" s="583"/>
      <c r="J814" s="583"/>
      <c r="K814" s="93"/>
      <c r="L814" s="93"/>
      <c r="M814" s="93"/>
      <c r="N814" s="93"/>
      <c r="O814" s="93"/>
      <c r="P814" s="93"/>
      <c r="Q814" s="568"/>
      <c r="R814" s="568"/>
      <c r="S814" s="568"/>
      <c r="T814" s="568"/>
      <c r="U814" s="568"/>
      <c r="V814" s="568"/>
      <c r="W814" s="568"/>
      <c r="X814" s="568"/>
      <c r="Y814" s="568"/>
      <c r="Z814" s="568"/>
    </row>
    <row r="815" spans="1:26" ht="20.25" hidden="1" thickBot="1">
      <c r="A815" s="563"/>
      <c r="B815" s="571"/>
      <c r="C815" s="723"/>
      <c r="D815" s="857" t="s">
        <v>21</v>
      </c>
      <c r="E815" s="805"/>
      <c r="F815" s="805"/>
      <c r="G815" s="567"/>
      <c r="H815" s="747" t="s">
        <v>12</v>
      </c>
      <c r="I815" s="166"/>
      <c r="J815" s="166"/>
      <c r="K815" s="167"/>
      <c r="L815" s="613">
        <f t="shared" ref="L815:N815" si="331">L816+L817</f>
        <v>0</v>
      </c>
      <c r="M815" s="613">
        <f t="shared" si="331"/>
        <v>0</v>
      </c>
      <c r="N815" s="613">
        <f t="shared" si="331"/>
        <v>0</v>
      </c>
      <c r="O815" s="613">
        <f t="shared" ref="O815:O817" si="332">IF(L815&gt;0,N815*100/L815,0)</f>
        <v>0</v>
      </c>
      <c r="P815" s="613">
        <f t="shared" ref="P815:P817" si="333">IF(M815&gt;0,N815*100/M815,0)</f>
        <v>0</v>
      </c>
      <c r="Q815" s="568"/>
      <c r="R815" s="568"/>
      <c r="S815" s="568"/>
      <c r="T815" s="568"/>
      <c r="U815" s="568"/>
      <c r="V815" s="568"/>
      <c r="W815" s="568"/>
      <c r="X815" s="568"/>
      <c r="Y815" s="568"/>
      <c r="Z815" s="568"/>
    </row>
    <row r="816" spans="1:26" ht="19.5" hidden="1" thickBot="1">
      <c r="A816" s="563"/>
      <c r="B816" s="571"/>
      <c r="C816" s="723"/>
      <c r="D816" s="571"/>
      <c r="E816" s="723" t="s">
        <v>18</v>
      </c>
      <c r="F816" s="723"/>
      <c r="G816" s="567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2"/>
        <v>0</v>
      </c>
      <c r="P816" s="93">
        <f t="shared" si="333"/>
        <v>0</v>
      </c>
      <c r="Q816" s="568"/>
      <c r="R816" s="568"/>
      <c r="S816" s="568"/>
      <c r="T816" s="568"/>
      <c r="U816" s="568"/>
      <c r="V816" s="568"/>
      <c r="W816" s="568"/>
      <c r="X816" s="568"/>
      <c r="Y816" s="568"/>
      <c r="Z816" s="568"/>
    </row>
    <row r="817" spans="1:26" ht="19.5" hidden="1" thickBot="1">
      <c r="A817" s="563"/>
      <c r="B817" s="571"/>
      <c r="C817" s="723"/>
      <c r="D817" s="571"/>
      <c r="E817" s="723" t="s">
        <v>19</v>
      </c>
      <c r="F817" s="723"/>
      <c r="G817" s="567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2"/>
        <v>0</v>
      </c>
      <c r="P817" s="93">
        <f t="shared" si="333"/>
        <v>0</v>
      </c>
      <c r="Q817" s="568"/>
      <c r="R817" s="568"/>
      <c r="S817" s="568"/>
      <c r="T817" s="568"/>
      <c r="U817" s="568"/>
      <c r="V817" s="568"/>
      <c r="W817" s="568"/>
      <c r="X817" s="568"/>
      <c r="Y817" s="568"/>
      <c r="Z817" s="568"/>
    </row>
    <row r="818" spans="1:26" ht="20.25" hidden="1" thickBot="1">
      <c r="A818" s="578"/>
      <c r="B818" s="580"/>
      <c r="C818" s="723" t="s">
        <v>16</v>
      </c>
      <c r="D818" s="858" t="s">
        <v>38</v>
      </c>
      <c r="E818" s="617"/>
      <c r="F818" s="617"/>
      <c r="G818" s="618"/>
      <c r="H818" s="581"/>
      <c r="I818" s="166"/>
      <c r="J818" s="166"/>
      <c r="K818" s="167"/>
      <c r="L818" s="167"/>
      <c r="M818" s="167"/>
      <c r="N818" s="167"/>
      <c r="O818" s="167"/>
      <c r="P818" s="167"/>
      <c r="Q818" s="568"/>
      <c r="R818" s="568"/>
      <c r="S818" s="568"/>
      <c r="T818" s="568"/>
      <c r="U818" s="568"/>
      <c r="V818" s="568"/>
      <c r="W818" s="568"/>
      <c r="X818" s="568"/>
      <c r="Y818" s="568"/>
      <c r="Z818" s="568"/>
    </row>
    <row r="819" spans="1:26" ht="19.5" hidden="1" thickBot="1">
      <c r="A819" s="777"/>
      <c r="B819" s="778"/>
      <c r="C819" s="780"/>
      <c r="D819" s="778"/>
      <c r="E819" s="780" t="s">
        <v>323</v>
      </c>
      <c r="F819" s="780"/>
      <c r="G819" s="781"/>
      <c r="H819" s="782" t="s">
        <v>46</v>
      </c>
      <c r="I819" s="783"/>
      <c r="J819" s="783"/>
      <c r="K819" s="784"/>
      <c r="L819" s="784"/>
      <c r="M819" s="784"/>
      <c r="N819" s="784"/>
      <c r="O819" s="784"/>
      <c r="P819" s="784"/>
      <c r="Q819" s="568"/>
      <c r="R819" s="568"/>
      <c r="S819" s="568"/>
      <c r="T819" s="568"/>
      <c r="U819" s="568"/>
      <c r="V819" s="568"/>
      <c r="W819" s="568"/>
      <c r="X819" s="568"/>
      <c r="Y819" s="568"/>
      <c r="Z819" s="568"/>
    </row>
    <row r="820" spans="1:26" ht="19.5">
      <c r="A820" s="861" t="s">
        <v>332</v>
      </c>
      <c r="B820" s="862"/>
      <c r="C820" s="862"/>
      <c r="D820" s="863"/>
      <c r="E820" s="862"/>
      <c r="F820" s="862"/>
      <c r="G820" s="864"/>
      <c r="H820" s="864"/>
      <c r="I820" s="865"/>
      <c r="J820" s="865"/>
      <c r="K820" s="866"/>
      <c r="L820" s="866"/>
      <c r="M820" s="866"/>
      <c r="N820" s="866"/>
      <c r="O820" s="866"/>
      <c r="P820" s="866"/>
      <c r="Q820" s="541"/>
      <c r="R820" s="541"/>
      <c r="S820" s="541"/>
      <c r="T820" s="541"/>
      <c r="U820" s="541"/>
      <c r="V820" s="541"/>
      <c r="W820" s="541"/>
      <c r="X820" s="541"/>
      <c r="Y820" s="541"/>
      <c r="Z820" s="541"/>
    </row>
    <row r="821" spans="1:26" ht="18.75">
      <c r="A821" s="708"/>
      <c r="B821" s="727" t="s">
        <v>325</v>
      </c>
      <c r="C821" s="727"/>
      <c r="D821" s="538"/>
      <c r="E821" s="727"/>
      <c r="F821" s="727"/>
      <c r="G821" s="189"/>
      <c r="H821" s="589" t="s">
        <v>12</v>
      </c>
      <c r="I821" s="269">
        <f ca="1">IFERROR(__xludf.DUMMYFUNCTION("IMPORTRANGE(""https://docs.google.com/spreadsheets/d/19vJNZY_5yjcGF2XGBMNZRCAIB0Kwfpjp8YEOfu-bneM/edit?usp=sharing"",""งานกองทุน!D15"")"),5147244.11)</f>
        <v>5147244.1100000003</v>
      </c>
      <c r="J821" s="269">
        <f ca="1">IFERROR(__xludf.DUMMYFUNCTION("IMPORTRANGE(""https://docs.google.com/spreadsheets/d/19vJNZY_5yjcGF2XGBMNZRCAIB0Kwfpjp8YEOfu-bneM/edit?usp=sharing"",""งานกองทุน!F15"")"),0)</f>
        <v>0</v>
      </c>
      <c r="K821" s="465">
        <f t="shared" ref="K821:K828" ca="1" si="334">IF(I821&gt;0,J821*100/I821,0)</f>
        <v>0</v>
      </c>
      <c r="L821" s="465"/>
      <c r="M821" s="465"/>
      <c r="N821" s="465"/>
      <c r="O821" s="465"/>
      <c r="P821" s="465"/>
      <c r="Q821" s="541"/>
      <c r="R821" s="541"/>
      <c r="S821" s="541"/>
      <c r="T821" s="541"/>
      <c r="U821" s="541"/>
      <c r="V821" s="541"/>
      <c r="W821" s="541"/>
      <c r="X821" s="541"/>
      <c r="Y821" s="541"/>
      <c r="Z821" s="541"/>
    </row>
    <row r="822" spans="1:26" ht="18.75">
      <c r="A822" s="708"/>
      <c r="B822" s="727"/>
      <c r="C822" s="727"/>
      <c r="D822" s="538"/>
      <c r="E822" s="727"/>
      <c r="F822" s="727"/>
      <c r="G822" s="189"/>
      <c r="H822" s="589" t="s">
        <v>35</v>
      </c>
      <c r="I822" s="269">
        <f ca="1">IFERROR(__xludf.DUMMYFUNCTION("IMPORTRANGE(""https://docs.google.com/spreadsheets/d/19vJNZY_5yjcGF2XGBMNZRCAIB0Kwfpjp8YEOfu-bneM/edit?usp=sharing"",""งานกองทุน!C15"")"),193)</f>
        <v>193</v>
      </c>
      <c r="J822" s="269">
        <f ca="1">IFERROR(__xludf.DUMMYFUNCTION("IMPORTRANGE(""https://docs.google.com/spreadsheets/d/19vJNZY_5yjcGF2XGBMNZRCAIB0Kwfpjp8YEOfu-bneM/edit?usp=sharing"",""งานกองทุน!E15"")"),0)</f>
        <v>0</v>
      </c>
      <c r="K822" s="465">
        <f t="shared" ca="1" si="334"/>
        <v>0</v>
      </c>
      <c r="L822" s="465"/>
      <c r="M822" s="465"/>
      <c r="N822" s="465"/>
      <c r="O822" s="465"/>
      <c r="P822" s="465"/>
      <c r="Q822" s="541"/>
      <c r="R822" s="541"/>
      <c r="S822" s="541"/>
      <c r="T822" s="541"/>
      <c r="U822" s="541"/>
      <c r="V822" s="541"/>
      <c r="W822" s="541"/>
      <c r="X822" s="541"/>
      <c r="Y822" s="541"/>
      <c r="Z822" s="541"/>
    </row>
    <row r="823" spans="1:26" ht="18.75">
      <c r="A823" s="708"/>
      <c r="B823" s="727" t="s">
        <v>326</v>
      </c>
      <c r="C823" s="727"/>
      <c r="D823" s="538"/>
      <c r="E823" s="727"/>
      <c r="F823" s="727"/>
      <c r="G823" s="189"/>
      <c r="H823" s="589" t="s">
        <v>12</v>
      </c>
      <c r="I823" s="269">
        <f ca="1">IFERROR(__xludf.DUMMYFUNCTION("IMPORTRANGE(""https://docs.google.com/spreadsheets/d/19vJNZY_5yjcGF2XGBMNZRCAIB0Kwfpjp8YEOfu-bneM/edit?usp=sharing"",""งานกองทุน!I15"")"),5956520.01)</f>
        <v>5956520.0099999998</v>
      </c>
      <c r="J823" s="269">
        <f ca="1">IFERROR(__xludf.DUMMYFUNCTION("IMPORTRANGE(""https://docs.google.com/spreadsheets/d/19vJNZY_5yjcGF2XGBMNZRCAIB0Kwfpjp8YEOfu-bneM/edit?usp=sharing"",""งานกองทุน!K15"")"),58860.75)</f>
        <v>58860.75</v>
      </c>
      <c r="K823" s="465">
        <f t="shared" ca="1" si="334"/>
        <v>0.98817346204130363</v>
      </c>
      <c r="L823" s="465"/>
      <c r="M823" s="465"/>
      <c r="N823" s="465"/>
      <c r="O823" s="465"/>
      <c r="P823" s="465"/>
      <c r="Q823" s="541"/>
      <c r="R823" s="541"/>
      <c r="S823" s="541"/>
      <c r="T823" s="541"/>
      <c r="U823" s="541"/>
      <c r="V823" s="541"/>
      <c r="W823" s="541"/>
      <c r="X823" s="541"/>
      <c r="Y823" s="541"/>
      <c r="Z823" s="541"/>
    </row>
    <row r="824" spans="1:26" ht="18.75">
      <c r="A824" s="708"/>
      <c r="B824" s="727"/>
      <c r="C824" s="727"/>
      <c r="D824" s="538"/>
      <c r="E824" s="727"/>
      <c r="F824" s="727"/>
      <c r="G824" s="189"/>
      <c r="H824" s="589" t="s">
        <v>35</v>
      </c>
      <c r="I824" s="269">
        <f ca="1">IFERROR(__xludf.DUMMYFUNCTION("IMPORTRANGE(""https://docs.google.com/spreadsheets/d/19vJNZY_5yjcGF2XGBMNZRCAIB0Kwfpjp8YEOfu-bneM/edit?usp=sharing"",""งานกองทุน!H15"")"),150)</f>
        <v>150</v>
      </c>
      <c r="J824" s="269">
        <f ca="1">IFERROR(__xludf.DUMMYFUNCTION("IMPORTRANGE(""https://docs.google.com/spreadsheets/d/19vJNZY_5yjcGF2XGBMNZRCAIB0Kwfpjp8YEOfu-bneM/edit?usp=sharing"",""งานกองทุน!J15"")"),4)</f>
        <v>4</v>
      </c>
      <c r="K824" s="465">
        <f t="shared" ca="1" si="334"/>
        <v>2.6666666666666665</v>
      </c>
      <c r="L824" s="465"/>
      <c r="M824" s="465"/>
      <c r="N824" s="465"/>
      <c r="O824" s="465"/>
      <c r="P824" s="465"/>
      <c r="Q824" s="541"/>
      <c r="R824" s="541"/>
      <c r="S824" s="541"/>
      <c r="T824" s="541"/>
      <c r="U824" s="541"/>
      <c r="V824" s="541"/>
      <c r="W824" s="541"/>
      <c r="X824" s="541"/>
      <c r="Y824" s="541"/>
      <c r="Z824" s="541"/>
    </row>
    <row r="825" spans="1:26" ht="18.75">
      <c r="A825" s="708"/>
      <c r="B825" s="727" t="s">
        <v>327</v>
      </c>
      <c r="C825" s="727"/>
      <c r="D825" s="538"/>
      <c r="E825" s="727"/>
      <c r="F825" s="727"/>
      <c r="G825" s="189"/>
      <c r="H825" s="589" t="s">
        <v>12</v>
      </c>
      <c r="I825" s="269">
        <f ca="1">IFERROR(__xludf.DUMMYFUNCTION("IMPORTRANGE(""https://docs.google.com/spreadsheets/d/19vJNZY_5yjcGF2XGBMNZRCAIB0Kwfpjp8YEOfu-bneM/edit?usp=sharing"",""งานกองทุน!N15"")"),0)</f>
        <v>0</v>
      </c>
      <c r="J825" s="269">
        <f ca="1">IFERROR(__xludf.DUMMYFUNCTION("IMPORTRANGE(""https://docs.google.com/spreadsheets/d/19vJNZY_5yjcGF2XGBMNZRCAIB0Kwfpjp8YEOfu-bneM/edit?usp=sharing"",""งานกองทุน!P15"")"),0)</f>
        <v>0</v>
      </c>
      <c r="K825" s="465">
        <f t="shared" ca="1" si="334"/>
        <v>0</v>
      </c>
      <c r="L825" s="465"/>
      <c r="M825" s="465"/>
      <c r="N825" s="465"/>
      <c r="O825" s="465"/>
      <c r="P825" s="465"/>
      <c r="Q825" s="541"/>
      <c r="R825" s="541"/>
      <c r="S825" s="541"/>
      <c r="T825" s="541"/>
      <c r="U825" s="541"/>
      <c r="V825" s="541"/>
      <c r="W825" s="541"/>
      <c r="X825" s="541"/>
      <c r="Y825" s="541"/>
      <c r="Z825" s="541"/>
    </row>
    <row r="826" spans="1:26" ht="18.75">
      <c r="A826" s="708"/>
      <c r="B826" s="727"/>
      <c r="C826" s="727"/>
      <c r="D826" s="538"/>
      <c r="E826" s="727"/>
      <c r="F826" s="727"/>
      <c r="G826" s="189"/>
      <c r="H826" s="589" t="s">
        <v>35</v>
      </c>
      <c r="I826" s="269">
        <f ca="1">IFERROR(__xludf.DUMMYFUNCTION("IMPORTRANGE(""https://docs.google.com/spreadsheets/d/19vJNZY_5yjcGF2XGBMNZRCAIB0Kwfpjp8YEOfu-bneM/edit?usp=sharing"",""งานกองทุน!M15"")"),0)</f>
        <v>0</v>
      </c>
      <c r="J826" s="269">
        <f ca="1">IFERROR(__xludf.DUMMYFUNCTION("IMPORTRANGE(""https://docs.google.com/spreadsheets/d/19vJNZY_5yjcGF2XGBMNZRCAIB0Kwfpjp8YEOfu-bneM/edit?usp=sharing"",""งานกองทุน!O15"")"),0)</f>
        <v>0</v>
      </c>
      <c r="K826" s="465">
        <f t="shared" ca="1" si="334"/>
        <v>0</v>
      </c>
      <c r="L826" s="465"/>
      <c r="M826" s="465"/>
      <c r="N826" s="465"/>
      <c r="O826" s="465"/>
      <c r="P826" s="465"/>
      <c r="Q826" s="541"/>
      <c r="R826" s="541"/>
      <c r="S826" s="541"/>
      <c r="T826" s="541"/>
      <c r="U826" s="541"/>
      <c r="V826" s="541"/>
      <c r="W826" s="541"/>
      <c r="X826" s="541"/>
      <c r="Y826" s="541"/>
      <c r="Z826" s="541"/>
    </row>
    <row r="827" spans="1:26" ht="18.75">
      <c r="A827" s="708"/>
      <c r="B827" s="727" t="s">
        <v>328</v>
      </c>
      <c r="C827" s="727"/>
      <c r="D827" s="538"/>
      <c r="E827" s="727"/>
      <c r="F827" s="727"/>
      <c r="G827" s="189"/>
      <c r="H827" s="589" t="s">
        <v>12</v>
      </c>
      <c r="I827" s="269">
        <f ca="1">IFERROR(__xludf.DUMMYFUNCTION("IMPORTRANGE(""https://docs.google.com/spreadsheets/d/19vJNZY_5yjcGF2XGBMNZRCAIB0Kwfpjp8YEOfu-bneM/edit?usp=sharing"",""งานกองทุน!S15"")"),5880000)</f>
        <v>5880000</v>
      </c>
      <c r="J827" s="269">
        <f ca="1">IFERROR(__xludf.DUMMYFUNCTION("IMPORTRANGE(""https://docs.google.com/spreadsheets/d/19vJNZY_5yjcGF2XGBMNZRCAIB0Kwfpjp8YEOfu-bneM/edit?usp=sharing"",""งานกองทุน!U15"")"),0)</f>
        <v>0</v>
      </c>
      <c r="K827" s="465">
        <f t="shared" ca="1" si="334"/>
        <v>0</v>
      </c>
      <c r="L827" s="465"/>
      <c r="M827" s="465"/>
      <c r="N827" s="465"/>
      <c r="O827" s="465"/>
      <c r="P827" s="465"/>
      <c r="Q827" s="541"/>
      <c r="R827" s="541"/>
      <c r="S827" s="541"/>
      <c r="T827" s="541"/>
      <c r="U827" s="541"/>
      <c r="V827" s="541"/>
      <c r="W827" s="541"/>
      <c r="X827" s="541"/>
      <c r="Y827" s="541"/>
      <c r="Z827" s="541"/>
    </row>
    <row r="828" spans="1:26" ht="18.75">
      <c r="A828" s="711"/>
      <c r="B828" s="713"/>
      <c r="C828" s="713"/>
      <c r="D828" s="712"/>
      <c r="E828" s="713"/>
      <c r="F828" s="713"/>
      <c r="G828" s="790"/>
      <c r="H828" s="791" t="s">
        <v>35</v>
      </c>
      <c r="I828" s="468">
        <f ca="1">IFERROR(__xludf.DUMMYFUNCTION("IMPORTRANGE(""https://docs.google.com/spreadsheets/d/19vJNZY_5yjcGF2XGBMNZRCAIB0Kwfpjp8YEOfu-bneM/edit?usp=sharing"",""งานกองทุน!R15"")"),235)</f>
        <v>235</v>
      </c>
      <c r="J828" s="468">
        <f ca="1">IFERROR(__xludf.DUMMYFUNCTION("IMPORTRANGE(""https://docs.google.com/spreadsheets/d/19vJNZY_5yjcGF2XGBMNZRCAIB0Kwfpjp8YEOfu-bneM/edit?usp=sharing"",""งานกองทุน!T15"")"),2)</f>
        <v>2</v>
      </c>
      <c r="K828" s="469">
        <f t="shared" ca="1" si="334"/>
        <v>0.85106382978723405</v>
      </c>
      <c r="L828" s="469"/>
      <c r="M828" s="469"/>
      <c r="N828" s="469"/>
      <c r="O828" s="469"/>
      <c r="P828" s="469"/>
      <c r="Q828" s="541"/>
      <c r="R828" s="541"/>
      <c r="S828" s="541"/>
      <c r="T828" s="541"/>
      <c r="U828" s="541"/>
      <c r="V828" s="541"/>
      <c r="W828" s="541"/>
      <c r="X828" s="541"/>
      <c r="Y828" s="541"/>
      <c r="Z828" s="541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2" fitToHeight="0" pageOrder="overThenDown" orientation="portrait" cellComments="atEnd" r:id="rId1"/>
  <headerFooter>
    <oddFooter>&amp;Cหน้า &amp;P/&amp;N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B6504E-E641-4A0C-857A-EBD0202B57ED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activeCell="S28" sqref="S28"/>
      <selection pane="bottomLeft" sqref="A1:P1"/>
    </sheetView>
  </sheetViews>
  <sheetFormatPr defaultColWidth="12.5703125" defaultRowHeight="15.75" customHeight="1"/>
  <cols>
    <col min="1" max="1" width="4.28515625" customWidth="1"/>
    <col min="2" max="3" width="3.28515625" customWidth="1"/>
    <col min="4" max="6" width="5.85546875" customWidth="1"/>
    <col min="7" max="7" width="56.42578125" customWidth="1"/>
    <col min="8" max="8" width="9.42578125" customWidth="1"/>
    <col min="9" max="9" width="16.85546875" bestFit="1" customWidth="1"/>
    <col min="10" max="10" width="12.5703125" bestFit="1" customWidth="1"/>
    <col min="11" max="11" width="12.5703125" customWidth="1"/>
    <col min="12" max="13" width="21.28515625" bestFit="1" customWidth="1"/>
    <col min="14" max="14" width="18.7109375" bestFit="1" customWidth="1"/>
    <col min="15" max="15" width="20.140625" bestFit="1" customWidth="1"/>
    <col min="16" max="16" width="22" bestFit="1" customWidth="1"/>
  </cols>
  <sheetData>
    <row r="1" spans="1:26" ht="19.5">
      <c r="A1" s="792" t="s">
        <v>0</v>
      </c>
      <c r="B1" s="793"/>
      <c r="C1" s="793"/>
      <c r="D1" s="793"/>
      <c r="E1" s="793"/>
      <c r="F1" s="793"/>
      <c r="G1" s="793"/>
      <c r="H1" s="793"/>
      <c r="I1" s="793"/>
      <c r="J1" s="793"/>
      <c r="K1" s="793"/>
      <c r="L1" s="793"/>
      <c r="M1" s="793"/>
      <c r="N1" s="793"/>
      <c r="O1" s="793"/>
      <c r="P1" s="793"/>
    </row>
    <row r="2" spans="1:26" ht="19.5">
      <c r="A2" s="792" t="s">
        <v>334</v>
      </c>
      <c r="B2" s="793"/>
      <c r="C2" s="793"/>
      <c r="D2" s="793"/>
      <c r="E2" s="793"/>
      <c r="F2" s="793"/>
      <c r="G2" s="793"/>
      <c r="H2" s="793"/>
      <c r="I2" s="793"/>
      <c r="J2" s="793"/>
      <c r="K2" s="793"/>
      <c r="L2" s="793"/>
      <c r="M2" s="793"/>
      <c r="N2" s="793"/>
      <c r="O2" s="793"/>
      <c r="P2" s="793"/>
    </row>
    <row r="3" spans="1:26" ht="19.5">
      <c r="A3" s="792" t="s">
        <v>355</v>
      </c>
      <c r="B3" s="793"/>
      <c r="C3" s="793"/>
      <c r="D3" s="793"/>
      <c r="E3" s="793"/>
      <c r="F3" s="793"/>
      <c r="G3" s="793"/>
      <c r="H3" s="793"/>
      <c r="I3" s="793"/>
      <c r="J3" s="793"/>
      <c r="K3" s="793"/>
      <c r="L3" s="793"/>
      <c r="M3" s="793"/>
      <c r="N3" s="793"/>
      <c r="O3" s="793"/>
      <c r="P3" s="793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00" t="s">
        <v>2</v>
      </c>
      <c r="B5" s="793"/>
      <c r="C5" s="793"/>
      <c r="D5" s="793"/>
      <c r="E5" s="793"/>
      <c r="F5" s="793"/>
      <c r="G5" s="801"/>
      <c r="H5" s="794" t="s">
        <v>3</v>
      </c>
      <c r="I5" s="796" t="s">
        <v>4</v>
      </c>
      <c r="J5" s="797"/>
      <c r="K5" s="795"/>
      <c r="L5" s="798" t="s">
        <v>5</v>
      </c>
      <c r="M5" s="795"/>
      <c r="N5" s="799" t="s">
        <v>6</v>
      </c>
      <c r="O5" s="797"/>
      <c r="P5" s="795"/>
    </row>
    <row r="6" spans="1:26" ht="19.5">
      <c r="A6" s="802"/>
      <c r="B6" s="797"/>
      <c r="C6" s="797"/>
      <c r="D6" s="797"/>
      <c r="E6" s="797"/>
      <c r="F6" s="797"/>
      <c r="G6" s="795"/>
      <c r="H6" s="795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03" t="s">
        <v>15</v>
      </c>
      <c r="B7" s="797"/>
      <c r="C7" s="797"/>
      <c r="D7" s="797"/>
      <c r="E7" s="797"/>
      <c r="F7" s="797"/>
      <c r="G7" s="795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6374035</v>
      </c>
      <c r="M8" s="22">
        <f t="shared" ca="1" si="0"/>
        <v>2169895</v>
      </c>
      <c r="N8" s="22">
        <f t="shared" ca="1" si="0"/>
        <v>933596.65999999992</v>
      </c>
      <c r="O8" s="22">
        <f t="shared" ref="O8:O16" ca="1" si="1">IF(L8&gt;0,N8*100/L8,0)</f>
        <v>14.646870624337643</v>
      </c>
      <c r="P8" s="22">
        <f t="shared" ref="P8:P16" ca="1" si="2">IF(M8&gt;0,N8*100/M8,0)</f>
        <v>43.024969410962278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6374035</v>
      </c>
      <c r="M10" s="30">
        <f t="shared" ca="1" si="3"/>
        <v>2169895</v>
      </c>
      <c r="N10" s="30">
        <f t="shared" ca="1" si="3"/>
        <v>933596.65999999992</v>
      </c>
      <c r="O10" s="30">
        <f t="shared" ca="1" si="1"/>
        <v>14.646870624337643</v>
      </c>
      <c r="P10" s="30">
        <f t="shared" ca="1" si="2"/>
        <v>43.024969410962278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589" t="s">
        <v>12</v>
      </c>
      <c r="I11" s="269"/>
      <c r="J11" s="269"/>
      <c r="K11" s="465"/>
      <c r="L11" s="465">
        <f t="shared" ref="L11:N11" ca="1" si="4">L12+L13</f>
        <v>6098235</v>
      </c>
      <c r="M11" s="465">
        <f t="shared" ca="1" si="4"/>
        <v>1894095</v>
      </c>
      <c r="N11" s="465">
        <f t="shared" ca="1" si="4"/>
        <v>657796.65999999992</v>
      </c>
      <c r="O11" s="465">
        <f t="shared" ca="1" si="1"/>
        <v>10.786672865181481</v>
      </c>
      <c r="P11" s="465">
        <f t="shared" ca="1" si="2"/>
        <v>34.728810328943368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2" t="s">
        <v>18</v>
      </c>
      <c r="F12" s="40"/>
      <c r="G12" s="42"/>
      <c r="H12" s="43" t="s">
        <v>12</v>
      </c>
      <c r="I12" s="583"/>
      <c r="J12" s="583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2" t="s">
        <v>19</v>
      </c>
      <c r="F13" s="40"/>
      <c r="G13" s="42"/>
      <c r="H13" s="43" t="s">
        <v>12</v>
      </c>
      <c r="I13" s="583"/>
      <c r="J13" s="583"/>
      <c r="K13" s="93"/>
      <c r="L13" s="93">
        <f t="shared" ca="1" si="5"/>
        <v>6098235</v>
      </c>
      <c r="M13" s="93">
        <f t="shared" ca="1" si="5"/>
        <v>1894095</v>
      </c>
      <c r="N13" s="93">
        <f t="shared" ca="1" si="5"/>
        <v>657796.65999999992</v>
      </c>
      <c r="O13" s="93">
        <f t="shared" ca="1" si="1"/>
        <v>10.786672865181481</v>
      </c>
      <c r="P13" s="93">
        <f t="shared" ca="1" si="2"/>
        <v>34.728810328943368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589" t="s">
        <v>12</v>
      </c>
      <c r="I14" s="269"/>
      <c r="J14" s="269"/>
      <c r="K14" s="465"/>
      <c r="L14" s="465">
        <f t="shared" ref="L14:N14" ca="1" si="6">L15+L16</f>
        <v>275800</v>
      </c>
      <c r="M14" s="465">
        <f t="shared" ca="1" si="6"/>
        <v>275800</v>
      </c>
      <c r="N14" s="465">
        <f t="shared" ca="1" si="6"/>
        <v>275800</v>
      </c>
      <c r="O14" s="465">
        <f t="shared" ca="1" si="1"/>
        <v>100</v>
      </c>
      <c r="P14" s="465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2" t="s">
        <v>18</v>
      </c>
      <c r="F15" s="40"/>
      <c r="G15" s="42"/>
      <c r="H15" s="43" t="s">
        <v>12</v>
      </c>
      <c r="I15" s="583"/>
      <c r="J15" s="583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275800</v>
      </c>
      <c r="M16" s="52">
        <f t="shared" ca="1" si="7"/>
        <v>275800</v>
      </c>
      <c r="N16" s="52">
        <f t="shared" ca="1" si="7"/>
        <v>275800</v>
      </c>
      <c r="O16" s="52">
        <f t="shared" ca="1" si="1"/>
        <v>100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03" t="s">
        <v>22</v>
      </c>
      <c r="B17" s="797"/>
      <c r="C17" s="797"/>
      <c r="D17" s="797"/>
      <c r="E17" s="797"/>
      <c r="F17" s="797"/>
      <c r="G17" s="795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4070285</v>
      </c>
      <c r="M18" s="22">
        <f t="shared" ca="1" si="8"/>
        <v>2169895</v>
      </c>
      <c r="N18" s="22">
        <f t="shared" ca="1" si="8"/>
        <v>933596.65999999992</v>
      </c>
      <c r="O18" s="22">
        <f t="shared" ref="O18:O26" ca="1" si="9">IF(L18&gt;0,N18*100/L18,0)</f>
        <v>22.936886729061968</v>
      </c>
      <c r="P18" s="22">
        <f t="shared" ref="P18:P26" ca="1" si="10">IF(M18&gt;0,N18*100/M18,0)</f>
        <v>43.024969410962278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4070285</v>
      </c>
      <c r="M20" s="30">
        <f t="shared" ca="1" si="11"/>
        <v>2169895</v>
      </c>
      <c r="N20" s="30">
        <f t="shared" ca="1" si="11"/>
        <v>933596.65999999992</v>
      </c>
      <c r="O20" s="30">
        <f t="shared" ca="1" si="9"/>
        <v>22.936886729061968</v>
      </c>
      <c r="P20" s="30">
        <f t="shared" ca="1" si="10"/>
        <v>43.024969410962278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589" t="s">
        <v>12</v>
      </c>
      <c r="I21" s="269"/>
      <c r="J21" s="269"/>
      <c r="K21" s="465"/>
      <c r="L21" s="465">
        <f t="shared" ref="L21:N21" ca="1" si="12">L22+L23</f>
        <v>3794485</v>
      </c>
      <c r="M21" s="465">
        <f t="shared" ca="1" si="12"/>
        <v>1894095</v>
      </c>
      <c r="N21" s="465">
        <f t="shared" ca="1" si="12"/>
        <v>657796.65999999992</v>
      </c>
      <c r="O21" s="465">
        <f t="shared" ca="1" si="9"/>
        <v>17.335597847929296</v>
      </c>
      <c r="P21" s="465">
        <f t="shared" ca="1" si="10"/>
        <v>34.728810328943368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2" t="s">
        <v>18</v>
      </c>
      <c r="F22" s="40"/>
      <c r="G22" s="42"/>
      <c r="H22" s="43" t="s">
        <v>12</v>
      </c>
      <c r="I22" s="583"/>
      <c r="J22" s="583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2" t="s">
        <v>19</v>
      </c>
      <c r="F23" s="40"/>
      <c r="G23" s="42"/>
      <c r="H23" s="43" t="s">
        <v>12</v>
      </c>
      <c r="I23" s="583"/>
      <c r="J23" s="583"/>
      <c r="K23" s="93"/>
      <c r="L23" s="93">
        <f t="shared" ca="1" si="13"/>
        <v>3794485</v>
      </c>
      <c r="M23" s="93">
        <f t="shared" ca="1" si="13"/>
        <v>1894095</v>
      </c>
      <c r="N23" s="93">
        <f t="shared" ca="1" si="13"/>
        <v>657796.65999999992</v>
      </c>
      <c r="O23" s="93">
        <f t="shared" ca="1" si="9"/>
        <v>17.335597847929296</v>
      </c>
      <c r="P23" s="93">
        <f t="shared" ca="1" si="10"/>
        <v>34.728810328943368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589" t="s">
        <v>12</v>
      </c>
      <c r="I24" s="269"/>
      <c r="J24" s="269"/>
      <c r="K24" s="465"/>
      <c r="L24" s="465">
        <f t="shared" ref="L24:N24" ca="1" si="14">L25+L26</f>
        <v>275800</v>
      </c>
      <c r="M24" s="465">
        <f t="shared" ca="1" si="14"/>
        <v>275800</v>
      </c>
      <c r="N24" s="465">
        <f t="shared" ca="1" si="14"/>
        <v>275800</v>
      </c>
      <c r="O24" s="465">
        <f t="shared" ca="1" si="9"/>
        <v>100</v>
      </c>
      <c r="P24" s="465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2" t="s">
        <v>18</v>
      </c>
      <c r="F25" s="40"/>
      <c r="G25" s="42"/>
      <c r="H25" s="43" t="s">
        <v>12</v>
      </c>
      <c r="I25" s="583"/>
      <c r="J25" s="583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275800</v>
      </c>
      <c r="M26" s="52">
        <f t="shared" ca="1" si="15"/>
        <v>275800</v>
      </c>
      <c r="N26" s="52">
        <f t="shared" ca="1" si="15"/>
        <v>275800</v>
      </c>
      <c r="O26" s="52">
        <f t="shared" ca="1" si="9"/>
        <v>100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03" t="s">
        <v>23</v>
      </c>
      <c r="B27" s="797"/>
      <c r="C27" s="797"/>
      <c r="D27" s="797"/>
      <c r="E27" s="797"/>
      <c r="F27" s="797"/>
      <c r="G27" s="795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2303750</v>
      </c>
      <c r="M28" s="22">
        <f t="shared" si="16"/>
        <v>0</v>
      </c>
      <c r="N28" s="22">
        <f t="shared" si="16"/>
        <v>0</v>
      </c>
      <c r="O28" s="22">
        <f t="shared" ref="O28:O37" ca="1" si="17">IF(L28&gt;0,N28*100/L28,0)</f>
        <v>0</v>
      </c>
      <c r="P28" s="22">
        <f t="shared" ref="P28:P37" si="18">IF(M28&gt;0,N28*100/M28,0)</f>
        <v>0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2303750</v>
      </c>
      <c r="M30" s="30">
        <f t="shared" si="19"/>
        <v>0</v>
      </c>
      <c r="N30" s="30">
        <f t="shared" si="19"/>
        <v>0</v>
      </c>
      <c r="O30" s="30">
        <f t="shared" ca="1" si="17"/>
        <v>0</v>
      </c>
      <c r="P30" s="30">
        <f t="shared" si="18"/>
        <v>0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589" t="s">
        <v>12</v>
      </c>
      <c r="I31" s="269"/>
      <c r="J31" s="269"/>
      <c r="K31" s="465"/>
      <c r="L31" s="465">
        <f t="shared" ref="L31:N31" ca="1" si="20">L32+L33</f>
        <v>2303750</v>
      </c>
      <c r="M31" s="465">
        <f t="shared" si="20"/>
        <v>0</v>
      </c>
      <c r="N31" s="465">
        <f t="shared" si="20"/>
        <v>0</v>
      </c>
      <c r="O31" s="465">
        <f t="shared" ca="1" si="17"/>
        <v>0</v>
      </c>
      <c r="P31" s="465">
        <f t="shared" si="18"/>
        <v>0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2" t="s">
        <v>18</v>
      </c>
      <c r="F32" s="40"/>
      <c r="G32" s="42"/>
      <c r="H32" s="43" t="s">
        <v>12</v>
      </c>
      <c r="I32" s="583"/>
      <c r="J32" s="583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2" t="s">
        <v>19</v>
      </c>
      <c r="F33" s="40"/>
      <c r="G33" s="42"/>
      <c r="H33" s="43" t="s">
        <v>12</v>
      </c>
      <c r="I33" s="583"/>
      <c r="J33" s="583"/>
      <c r="K33" s="93"/>
      <c r="L33" s="93">
        <f t="shared" ca="1" si="21"/>
        <v>2303750</v>
      </c>
      <c r="M33" s="93">
        <f t="shared" si="21"/>
        <v>0</v>
      </c>
      <c r="N33" s="93">
        <f t="shared" si="21"/>
        <v>0</v>
      </c>
      <c r="O33" s="93">
        <f t="shared" ca="1" si="17"/>
        <v>0</v>
      </c>
      <c r="P33" s="93">
        <f t="shared" si="18"/>
        <v>0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589" t="s">
        <v>12</v>
      </c>
      <c r="I34" s="269"/>
      <c r="J34" s="269"/>
      <c r="K34" s="465"/>
      <c r="L34" s="465">
        <f t="shared" ref="L34:N34" ca="1" si="22">L35+L36</f>
        <v>0</v>
      </c>
      <c r="M34" s="465">
        <f t="shared" si="22"/>
        <v>0</v>
      </c>
      <c r="N34" s="465">
        <f t="shared" si="22"/>
        <v>0</v>
      </c>
      <c r="O34" s="465">
        <f t="shared" ca="1" si="17"/>
        <v>0</v>
      </c>
      <c r="P34" s="465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2" t="s">
        <v>18</v>
      </c>
      <c r="F35" s="40"/>
      <c r="G35" s="42"/>
      <c r="H35" s="43" t="s">
        <v>12</v>
      </c>
      <c r="I35" s="583"/>
      <c r="J35" s="583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53" t="s">
        <v>24</v>
      </c>
      <c r="B37" s="54"/>
      <c r="C37" s="54"/>
      <c r="D37" s="54"/>
      <c r="E37" s="54"/>
      <c r="F37" s="54"/>
      <c r="G37" s="55"/>
      <c r="H37" s="56"/>
      <c r="I37" s="392"/>
      <c r="J37" s="392"/>
      <c r="K37" s="58"/>
      <c r="L37" s="59">
        <f t="shared" ref="L37:N37" ca="1" si="24">L41+L53+L66+L88+L119+L132+L149+L165+L181+L261+L277+L298+L315+L328+L345+L389+L402</f>
        <v>4070285</v>
      </c>
      <c r="M37" s="59">
        <f t="shared" ca="1" si="24"/>
        <v>2169895</v>
      </c>
      <c r="N37" s="59">
        <f t="shared" ca="1" si="24"/>
        <v>933596.66</v>
      </c>
      <c r="O37" s="59">
        <f t="shared" ca="1" si="17"/>
        <v>22.936886729061971</v>
      </c>
      <c r="P37" s="59">
        <f t="shared" ca="1" si="18"/>
        <v>43.024969410962285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04" t="s">
        <v>27</v>
      </c>
      <c r="C40" s="805"/>
      <c r="D40" s="805"/>
      <c r="E40" s="805"/>
      <c r="F40" s="805"/>
      <c r="G40" s="806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15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849550</v>
      </c>
      <c r="M41" s="85">
        <f t="shared" ca="1" si="25"/>
        <v>425450</v>
      </c>
      <c r="N41" s="85">
        <f t="shared" ca="1" si="25"/>
        <v>141950</v>
      </c>
      <c r="O41" s="85">
        <f t="shared" ref="O41:O49" ca="1" si="26">IF(L41&gt;0,N41*100/L41,0)</f>
        <v>16.708845859572715</v>
      </c>
      <c r="P41" s="85">
        <f t="shared" ref="P41:P49" ca="1" si="27">IF(M41&gt;0,N41*100/M41,0)</f>
        <v>33.364672699494655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849550</v>
      </c>
      <c r="M43" s="92">
        <f t="shared" ca="1" si="28"/>
        <v>425450</v>
      </c>
      <c r="N43" s="92">
        <f t="shared" ca="1" si="28"/>
        <v>141950</v>
      </c>
      <c r="O43" s="92">
        <f t="shared" ca="1" si="26"/>
        <v>16.708845859572715</v>
      </c>
      <c r="P43" s="92">
        <f t="shared" ca="1" si="27"/>
        <v>33.364672699494655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589" t="s">
        <v>12</v>
      </c>
      <c r="I44" s="269"/>
      <c r="J44" s="269"/>
      <c r="K44" s="465"/>
      <c r="L44" s="465">
        <f t="shared" ref="L44:N44" ca="1" si="29">L45+L46</f>
        <v>849550</v>
      </c>
      <c r="M44" s="465">
        <f t="shared" ca="1" si="29"/>
        <v>425450</v>
      </c>
      <c r="N44" s="465">
        <f t="shared" ca="1" si="29"/>
        <v>141950</v>
      </c>
      <c r="O44" s="465">
        <f t="shared" ca="1" si="26"/>
        <v>16.708845859572715</v>
      </c>
      <c r="P44" s="465">
        <f t="shared" ca="1" si="27"/>
        <v>33.364672699494655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2" t="s">
        <v>18</v>
      </c>
      <c r="F45" s="40"/>
      <c r="G45" s="42"/>
      <c r="H45" s="43" t="s">
        <v>12</v>
      </c>
      <c r="I45" s="583"/>
      <c r="J45" s="583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2" t="s">
        <v>19</v>
      </c>
      <c r="F46" s="40"/>
      <c r="G46" s="42"/>
      <c r="H46" s="43" t="s">
        <v>12</v>
      </c>
      <c r="I46" s="583"/>
      <c r="J46" s="583"/>
      <c r="K46" s="93"/>
      <c r="L46" s="93">
        <f ca="1">IFERROR(__xludf.DUMMYFUNCTION("IMPORTRANGE(""https://docs.google.com/spreadsheets/d/1MeEWN-I1oV_STSDYn1IFDPWt_1FKiwhDph83XaGc0o0/edit?usp=sharing"",""งบพรบ!M16"")"),849550)</f>
        <v>849550</v>
      </c>
      <c r="M46" s="93">
        <f ca="1">IFERROR(__xludf.DUMMYFUNCTION("IMPORTRANGE(""https://docs.google.com/spreadsheets/d/1MeEWN-I1oV_STSDYn1IFDPWt_1FKiwhDph83XaGc0o0/edit?usp=sharing"",""งบพรบ!R16"")"),425450)</f>
        <v>425450</v>
      </c>
      <c r="N46" s="93">
        <f ca="1">IFERROR(__xludf.DUMMYFUNCTION("IMPORTRANGE(""https://docs.google.com/spreadsheets/d/1MeEWN-I1oV_STSDYn1IFDPWt_1FKiwhDph83XaGc0o0/edit?usp=sharing"",""งบพรบ!T16"")"),141950)</f>
        <v>141950</v>
      </c>
      <c r="O46" s="93">
        <f t="shared" ca="1" si="26"/>
        <v>16.708845859572715</v>
      </c>
      <c r="P46" s="93">
        <f t="shared" ca="1" si="27"/>
        <v>33.364672699494655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589" t="s">
        <v>12</v>
      </c>
      <c r="I47" s="269"/>
      <c r="J47" s="269"/>
      <c r="K47" s="465"/>
      <c r="L47" s="465">
        <f t="shared" ref="L47:N47" ca="1" si="30">L48+L49</f>
        <v>0</v>
      </c>
      <c r="M47" s="465">
        <f t="shared" ca="1" si="30"/>
        <v>0</v>
      </c>
      <c r="N47" s="465">
        <f t="shared" ca="1" si="30"/>
        <v>0</v>
      </c>
      <c r="O47" s="465">
        <f t="shared" ca="1" si="26"/>
        <v>0</v>
      </c>
      <c r="P47" s="465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2" t="s">
        <v>18</v>
      </c>
      <c r="F48" s="40"/>
      <c r="G48" s="42"/>
      <c r="H48" s="43" t="s">
        <v>12</v>
      </c>
      <c r="I48" s="583"/>
      <c r="J48" s="583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IFERROR(__xludf.DUMMYFUNCTION("IMPORTRANGE(""https://docs.google.com/spreadsheets/d/1MeEWN-I1oV_STSDYn1IFDPWt_1FKiwhDph83XaGc0o0/edit?usp=sharing"",""งบพรบ!P16"")"),0)</f>
        <v>0</v>
      </c>
      <c r="M49" s="52">
        <f ca="1">IFERROR(__xludf.DUMMYFUNCTION("IMPORTRANGE(""https://docs.google.com/spreadsheets/d/1MeEWN-I1oV_STSDYn1IFDPWt_1FKiwhDph83XaGc0o0/edit?usp=sharing"",""งบพรบ!S16"")"),0)</f>
        <v>0</v>
      </c>
      <c r="N49" s="52">
        <f ca="1">IFERROR(__xludf.DUMMYFUNCTION("IMPORTRANGE(""https://docs.google.com/spreadsheets/d/1MeEWN-I1oV_STSDYn1IFDPWt_1FKiwhDph83XaGc0o0/edit?usp=sharing"",""งบพรบ!U16"")"),0)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07" t="s">
        <v>28</v>
      </c>
      <c r="B50" s="797"/>
      <c r="C50" s="797"/>
      <c r="D50" s="797"/>
      <c r="E50" s="797"/>
      <c r="F50" s="797"/>
      <c r="G50" s="795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08" t="s">
        <v>29</v>
      </c>
      <c r="C51" s="805"/>
      <c r="D51" s="805"/>
      <c r="E51" s="805"/>
      <c r="F51" s="805"/>
      <c r="G51" s="806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16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903400</v>
      </c>
      <c r="M53" s="116">
        <f t="shared" ca="1" si="31"/>
        <v>547700</v>
      </c>
      <c r="N53" s="116">
        <f t="shared" ca="1" si="31"/>
        <v>448143.8</v>
      </c>
      <c r="O53" s="116">
        <f t="shared" ref="O53:O61" ca="1" si="32">IF(L53&gt;0,N53*100/L53,0)</f>
        <v>49.606353774629177</v>
      </c>
      <c r="P53" s="116">
        <f t="shared" ref="P53:P61" ca="1" si="33">IF(M53&gt;0,N53*100/M53,0)</f>
        <v>81.822859229505198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903400</v>
      </c>
      <c r="M55" s="123">
        <f t="shared" ca="1" si="34"/>
        <v>547700</v>
      </c>
      <c r="N55" s="123">
        <f t="shared" ca="1" si="34"/>
        <v>448143.8</v>
      </c>
      <c r="O55" s="123">
        <f t="shared" ca="1" si="32"/>
        <v>49.606353774629177</v>
      </c>
      <c r="P55" s="123">
        <f t="shared" ca="1" si="33"/>
        <v>81.822859229505198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589" t="s">
        <v>12</v>
      </c>
      <c r="I56" s="269"/>
      <c r="J56" s="269"/>
      <c r="K56" s="465"/>
      <c r="L56" s="465">
        <f t="shared" ref="L56:N56" ca="1" si="35">L57+L58</f>
        <v>711400</v>
      </c>
      <c r="M56" s="465">
        <f t="shared" ca="1" si="35"/>
        <v>355700</v>
      </c>
      <c r="N56" s="465">
        <f t="shared" ca="1" si="35"/>
        <v>256143.8</v>
      </c>
      <c r="O56" s="465">
        <f t="shared" ca="1" si="32"/>
        <v>36.005594602192858</v>
      </c>
      <c r="P56" s="465">
        <f t="shared" ca="1" si="33"/>
        <v>72.011189204385715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2" t="s">
        <v>18</v>
      </c>
      <c r="F57" s="40"/>
      <c r="G57" s="42"/>
      <c r="H57" s="43" t="s">
        <v>12</v>
      </c>
      <c r="I57" s="583"/>
      <c r="J57" s="583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2" t="s">
        <v>19</v>
      </c>
      <c r="F58" s="40"/>
      <c r="G58" s="42"/>
      <c r="H58" s="43" t="s">
        <v>12</v>
      </c>
      <c r="I58" s="583"/>
      <c r="J58" s="583"/>
      <c r="K58" s="93"/>
      <c r="L58" s="93">
        <f ca="1">IFERROR(__xludf.DUMMYFUNCTION("IMPORTRANGE(""https://docs.google.com/spreadsheets/d/1MeEWN-I1oV_STSDYn1IFDPWt_1FKiwhDph83XaGc0o0/edit?usp=sharing"",""งบพรบ!W16"")"),711400)</f>
        <v>711400</v>
      </c>
      <c r="M58" s="93">
        <f ca="1">IFERROR(__xludf.DUMMYFUNCTION("IMPORTRANGE(""https://docs.google.com/spreadsheets/d/1MeEWN-I1oV_STSDYn1IFDPWt_1FKiwhDph83XaGc0o0/edit?usp=sharing"",""งบพรบ!AB16"")"),355700)</f>
        <v>355700</v>
      </c>
      <c r="N58" s="93">
        <f ca="1">IFERROR(__xludf.DUMMYFUNCTION("IMPORTRANGE(""https://docs.google.com/spreadsheets/d/1MeEWN-I1oV_STSDYn1IFDPWt_1FKiwhDph83XaGc0o0/edit?usp=sharing"",""งบพรบ!AD16"")"),256143.8)</f>
        <v>256143.8</v>
      </c>
      <c r="O58" s="93">
        <f t="shared" ca="1" si="32"/>
        <v>36.005594602192858</v>
      </c>
      <c r="P58" s="93">
        <f t="shared" ca="1" si="33"/>
        <v>72.011189204385715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589" t="s">
        <v>12</v>
      </c>
      <c r="I59" s="269"/>
      <c r="J59" s="269"/>
      <c r="K59" s="465"/>
      <c r="L59" s="465">
        <f t="shared" ref="L59:N59" ca="1" si="36">L60+L61</f>
        <v>192000</v>
      </c>
      <c r="M59" s="465">
        <f t="shared" ca="1" si="36"/>
        <v>192000</v>
      </c>
      <c r="N59" s="465">
        <f t="shared" ca="1" si="36"/>
        <v>192000</v>
      </c>
      <c r="O59" s="465">
        <f t="shared" ca="1" si="32"/>
        <v>100</v>
      </c>
      <c r="P59" s="465">
        <f t="shared" ca="1" si="33"/>
        <v>100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2" t="s">
        <v>18</v>
      </c>
      <c r="F60" s="40"/>
      <c r="G60" s="42"/>
      <c r="H60" s="43" t="s">
        <v>12</v>
      </c>
      <c r="I60" s="583"/>
      <c r="J60" s="583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IFERROR(__xludf.DUMMYFUNCTION("IMPORTRANGE(""https://docs.google.com/spreadsheets/d/1MeEWN-I1oV_STSDYn1IFDPWt_1FKiwhDph83XaGc0o0/edit?usp=sharing"",""งบพรบ!Z16"")"),192000)</f>
        <v>192000</v>
      </c>
      <c r="M61" s="52">
        <f ca="1">IFERROR(__xludf.DUMMYFUNCTION("IMPORTRANGE(""https://docs.google.com/spreadsheets/d/1MeEWN-I1oV_STSDYn1IFDPWt_1FKiwhDph83XaGc0o0/edit?usp=sharing"",""งบพรบ!AC16"")"),192000)</f>
        <v>192000</v>
      </c>
      <c r="N61" s="52">
        <f ca="1">IFERROR(__xludf.DUMMYFUNCTION("IMPORTRANGE(""https://docs.google.com/spreadsheets/d/1MeEWN-I1oV_STSDYn1IFDPWt_1FKiwhDph83XaGc0o0/edit?usp=sharing"",""งบพรบ!AE16"")"),192000)</f>
        <v>192000</v>
      </c>
      <c r="O61" s="52">
        <f t="shared" ca="1" si="32"/>
        <v>100</v>
      </c>
      <c r="P61" s="52">
        <f t="shared" ca="1" si="33"/>
        <v>100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 hidden="1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 hidden="1">
      <c r="A64" s="138"/>
      <c r="B64" s="208" t="s">
        <v>33</v>
      </c>
      <c r="C64" s="140"/>
      <c r="D64" s="141"/>
      <c r="E64" s="140"/>
      <c r="F64" s="140"/>
      <c r="G64" s="142"/>
      <c r="H64" s="143" t="s">
        <v>34</v>
      </c>
      <c r="I64" s="144">
        <f t="shared" ref="I64:J65" ca="1" si="37">I76</f>
        <v>0</v>
      </c>
      <c r="J64" s="144">
        <f t="shared" si="37"/>
        <v>0</v>
      </c>
      <c r="K64" s="145">
        <f t="shared" ref="K64:K65" ca="1" si="38">IF(I64&gt;0,J64*100/I64,0)</f>
        <v>0</v>
      </c>
      <c r="L64" s="146"/>
      <c r="M64" s="146"/>
      <c r="N64" s="146"/>
      <c r="O64" s="146"/>
      <c r="P64" s="146"/>
    </row>
    <row r="65" spans="1:26" ht="19.5" hidden="1">
      <c r="A65" s="138"/>
      <c r="B65" s="140"/>
      <c r="C65" s="140"/>
      <c r="D65" s="141"/>
      <c r="E65" s="140"/>
      <c r="F65" s="140"/>
      <c r="G65" s="142"/>
      <c r="H65" s="143" t="s">
        <v>35</v>
      </c>
      <c r="I65" s="144">
        <f t="shared" ca="1" si="37"/>
        <v>0</v>
      </c>
      <c r="J65" s="144">
        <f t="shared" si="37"/>
        <v>0</v>
      </c>
      <c r="K65" s="145">
        <f t="shared" ca="1" si="38"/>
        <v>0</v>
      </c>
      <c r="L65" s="146"/>
      <c r="M65" s="146"/>
      <c r="N65" s="146"/>
      <c r="O65" s="146"/>
      <c r="P65" s="146"/>
    </row>
    <row r="66" spans="1:26" ht="19.5" hidden="1">
      <c r="A66" s="147"/>
      <c r="B66" s="148"/>
      <c r="C66" s="149" t="s">
        <v>16</v>
      </c>
      <c r="D66" s="817" t="s">
        <v>17</v>
      </c>
      <c r="E66" s="148"/>
      <c r="F66" s="148"/>
      <c r="G66" s="151"/>
      <c r="H66" s="152" t="s">
        <v>12</v>
      </c>
      <c r="I66" s="388"/>
      <c r="J66" s="388"/>
      <c r="K66" s="154"/>
      <c r="L66" s="155">
        <f t="shared" ref="L66:N66" ca="1" si="39">L67+L68</f>
        <v>0</v>
      </c>
      <c r="M66" s="155">
        <f t="shared" ca="1" si="39"/>
        <v>0</v>
      </c>
      <c r="N66" s="155">
        <f t="shared" ca="1" si="39"/>
        <v>0</v>
      </c>
      <c r="O66" s="155">
        <f t="shared" ref="O66:O74" ca="1" si="40">IF(L66&gt;0,N66*100/L66,0)</f>
        <v>0</v>
      </c>
      <c r="P66" s="155">
        <f t="shared" ref="P66:P74" ca="1" si="41">IF(M66&gt;0,N66*100/M66,0)</f>
        <v>0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2" t="s">
        <v>18</v>
      </c>
      <c r="F67" s="40"/>
      <c r="G67" s="157"/>
      <c r="H67" s="158" t="s">
        <v>12</v>
      </c>
      <c r="I67" s="583"/>
      <c r="J67" s="583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2" t="s">
        <v>19</v>
      </c>
      <c r="F68" s="40"/>
      <c r="G68" s="157"/>
      <c r="H68" s="158" t="s">
        <v>12</v>
      </c>
      <c r="I68" s="583"/>
      <c r="J68" s="583"/>
      <c r="K68" s="93"/>
      <c r="L68" s="93">
        <f t="shared" ca="1" si="42"/>
        <v>0</v>
      </c>
      <c r="M68" s="93">
        <f t="shared" ca="1" si="42"/>
        <v>0</v>
      </c>
      <c r="N68" s="93">
        <f t="shared" ca="1" si="42"/>
        <v>0</v>
      </c>
      <c r="O68" s="93">
        <f t="shared" ca="1" si="40"/>
        <v>0</v>
      </c>
      <c r="P68" s="93">
        <f t="shared" ca="1" si="41"/>
        <v>0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 hidden="1">
      <c r="A69" s="159"/>
      <c r="B69" s="33"/>
      <c r="C69" s="281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65">
        <f t="shared" ref="L69:N69" ca="1" si="43">L70+L71</f>
        <v>0</v>
      </c>
      <c r="M69" s="465">
        <f t="shared" ca="1" si="43"/>
        <v>0</v>
      </c>
      <c r="N69" s="465">
        <f t="shared" ca="1" si="43"/>
        <v>0</v>
      </c>
      <c r="O69" s="465">
        <f t="shared" ca="1" si="40"/>
        <v>0</v>
      </c>
      <c r="P69" s="465">
        <f t="shared" ca="1" si="41"/>
        <v>0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2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2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IFERROR(__xludf.DUMMYFUNCTION("IMPORTRANGE(""https://docs.google.com/spreadsheets/d/1MeEWN-I1oV_STSDYn1IFDPWt_1FKiwhDph83XaGc0o0/edit?usp=sharing"",""งบพรบ!AG16"")"),0)</f>
        <v>0</v>
      </c>
      <c r="M71" s="93">
        <f ca="1">IFERROR(__xludf.DUMMYFUNCTION("IMPORTRANGE(""https://docs.google.com/spreadsheets/d/1MeEWN-I1oV_STSDYn1IFDPWt_1FKiwhDph83XaGc0o0/edit?usp=sharing"",""งบพรบ!AL16"")"),0)</f>
        <v>0</v>
      </c>
      <c r="N71" s="93">
        <f ca="1">IFERROR(__xludf.DUMMYFUNCTION("IMPORTRANGE(""https://docs.google.com/spreadsheets/d/1MeEWN-I1oV_STSDYn1IFDPWt_1FKiwhDph83XaGc0o0/edit?usp=sharing"",""งบพรบ!AN16"")"),0)</f>
        <v>0</v>
      </c>
      <c r="O71" s="93">
        <f t="shared" ca="1" si="40"/>
        <v>0</v>
      </c>
      <c r="P71" s="93">
        <f t="shared" ca="1" si="41"/>
        <v>0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 hidden="1">
      <c r="A72" s="159"/>
      <c r="B72" s="33"/>
      <c r="C72" s="281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65">
        <f t="shared" ref="L72:N72" ca="1" si="44">L73+L74</f>
        <v>0</v>
      </c>
      <c r="M72" s="465">
        <f t="shared" ca="1" si="44"/>
        <v>0</v>
      </c>
      <c r="N72" s="465">
        <f t="shared" ca="1" si="44"/>
        <v>0</v>
      </c>
      <c r="O72" s="465">
        <f t="shared" ca="1" si="40"/>
        <v>0</v>
      </c>
      <c r="P72" s="465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2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2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IFERROR(__xludf.DUMMYFUNCTION("IMPORTRANGE(""https://docs.google.com/spreadsheets/d/1MeEWN-I1oV_STSDYn1IFDPWt_1FKiwhDph83XaGc0o0/edit?usp=sharing"",""งบพรบ!AJ16"")"),0)</f>
        <v>0</v>
      </c>
      <c r="M74" s="93">
        <f ca="1">IFERROR(__xludf.DUMMYFUNCTION("IMPORTRANGE(""https://docs.google.com/spreadsheets/d/1MeEWN-I1oV_STSDYn1IFDPWt_1FKiwhDph83XaGc0o0/edit?usp=sharing"",""งบพรบ!AM16"")"),0)</f>
        <v>0</v>
      </c>
      <c r="N74" s="93">
        <f ca="1">IFERROR(__xludf.DUMMYFUNCTION("IMPORTRANGE(""https://docs.google.com/spreadsheets/d/1MeEWN-I1oV_STSDYn1IFDPWt_1FKiwhDph83XaGc0o0/edit?usp=sharing"",""งบพรบ!AO16"")"),0)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 hidden="1">
      <c r="A75" s="170"/>
      <c r="B75" s="171"/>
      <c r="C75" s="164" t="s">
        <v>16</v>
      </c>
      <c r="D75" s="818" t="s">
        <v>38</v>
      </c>
      <c r="E75" s="173"/>
      <c r="F75" s="173"/>
      <c r="G75" s="174"/>
      <c r="H75" s="726"/>
      <c r="I75" s="184"/>
      <c r="J75" s="184"/>
      <c r="K75" s="163"/>
      <c r="L75" s="163"/>
      <c r="M75" s="163"/>
      <c r="N75" s="163"/>
      <c r="O75" s="163"/>
      <c r="P75" s="163"/>
    </row>
    <row r="76" spans="1:26" ht="19.5" hidden="1">
      <c r="A76" s="170"/>
      <c r="B76" s="171"/>
      <c r="C76" s="171"/>
      <c r="D76" s="343" t="s">
        <v>39</v>
      </c>
      <c r="E76" s="415"/>
      <c r="F76" s="342"/>
      <c r="G76" s="179"/>
      <c r="H76" s="180" t="s">
        <v>34</v>
      </c>
      <c r="I76" s="269">
        <f t="shared" ref="I76:J77" ca="1" si="45">I78+I80+I82</f>
        <v>0</v>
      </c>
      <c r="J76" s="269">
        <f t="shared" si="45"/>
        <v>0</v>
      </c>
      <c r="K76" s="163">
        <f t="shared" ref="K76:K84" ca="1" si="46">IF(I76&gt;0,J76*100/I76,0)</f>
        <v>0</v>
      </c>
      <c r="L76" s="163"/>
      <c r="M76" s="163"/>
      <c r="N76" s="163"/>
      <c r="O76" s="163"/>
      <c r="P76" s="163"/>
    </row>
    <row r="77" spans="1:26" ht="19.5" hidden="1">
      <c r="A77" s="170"/>
      <c r="B77" s="171"/>
      <c r="C77" s="171"/>
      <c r="D77" s="171"/>
      <c r="E77" s="342"/>
      <c r="F77" s="342"/>
      <c r="G77" s="179"/>
      <c r="H77" s="180" t="s">
        <v>35</v>
      </c>
      <c r="I77" s="269">
        <f t="shared" ca="1" si="45"/>
        <v>0</v>
      </c>
      <c r="J77" s="269">
        <f t="shared" si="45"/>
        <v>0</v>
      </c>
      <c r="K77" s="163">
        <f t="shared" ca="1" si="46"/>
        <v>0</v>
      </c>
      <c r="L77" s="163"/>
      <c r="M77" s="163"/>
      <c r="N77" s="163"/>
      <c r="O77" s="163"/>
      <c r="P77" s="163"/>
    </row>
    <row r="78" spans="1:26" ht="18.75" hidden="1">
      <c r="A78" s="170"/>
      <c r="B78" s="171"/>
      <c r="C78" s="171"/>
      <c r="D78" s="171"/>
      <c r="E78" s="415" t="s">
        <v>40</v>
      </c>
      <c r="F78" s="415"/>
      <c r="G78" s="179"/>
      <c r="H78" s="728" t="s">
        <v>34</v>
      </c>
      <c r="I78" s="184">
        <f ca="1">IFERROR(__xludf.DUMMYFUNCTION("IMPORTRANGE(""https://docs.google.com/spreadsheets/d/1QqKyyYR6Q21VydFLVH3TRQUabQu_ym0Zz7PgGX0-kHA/edit?usp=sharing"",""แผน!H16"")"),0)</f>
        <v>0</v>
      </c>
      <c r="J78" s="214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 hidden="1">
      <c r="A79" s="170"/>
      <c r="B79" s="171"/>
      <c r="C79" s="171"/>
      <c r="D79" s="171"/>
      <c r="E79" s="342"/>
      <c r="F79" s="342"/>
      <c r="G79" s="179"/>
      <c r="H79" s="728" t="s">
        <v>35</v>
      </c>
      <c r="I79" s="184">
        <f ca="1">IFERROR(__xludf.DUMMYFUNCTION("IMPORTRANGE(""https://docs.google.com/spreadsheets/d/1QqKyyYR6Q21VydFLVH3TRQUabQu_ym0Zz7PgGX0-kHA/edit?usp=sharing"",""แผน!I16"")"),0)</f>
        <v>0</v>
      </c>
      <c r="J79" s="214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 hidden="1">
      <c r="A80" s="170"/>
      <c r="B80" s="171"/>
      <c r="C80" s="171"/>
      <c r="D80" s="171"/>
      <c r="E80" s="415" t="s">
        <v>41</v>
      </c>
      <c r="F80" s="415"/>
      <c r="G80" s="179"/>
      <c r="H80" s="728" t="s">
        <v>34</v>
      </c>
      <c r="I80" s="184">
        <f ca="1">IFERROR(__xludf.DUMMYFUNCTION("IMPORTRANGE(""https://docs.google.com/spreadsheets/d/1QqKyyYR6Q21VydFLVH3TRQUabQu_ym0Zz7PgGX0-kHA/edit?usp=sharing"",""แผน!F16"")"),0)</f>
        <v>0</v>
      </c>
      <c r="J80" s="214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 hidden="1">
      <c r="A81" s="170"/>
      <c r="B81" s="171"/>
      <c r="C81" s="171"/>
      <c r="D81" s="171"/>
      <c r="E81" s="342"/>
      <c r="F81" s="342"/>
      <c r="G81" s="179"/>
      <c r="H81" s="728" t="s">
        <v>35</v>
      </c>
      <c r="I81" s="184">
        <f ca="1">IFERROR(__xludf.DUMMYFUNCTION("IMPORTRANGE(""https://docs.google.com/spreadsheets/d/1QqKyyYR6Q21VydFLVH3TRQUabQu_ym0Zz7PgGX0-kHA/edit?usp=sharing"",""แผน!G16"")"),0)</f>
        <v>0</v>
      </c>
      <c r="J81" s="214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 hidden="1">
      <c r="A82" s="170"/>
      <c r="B82" s="171"/>
      <c r="C82" s="171"/>
      <c r="D82" s="171"/>
      <c r="E82" s="415" t="s">
        <v>42</v>
      </c>
      <c r="F82" s="415"/>
      <c r="G82" s="179"/>
      <c r="H82" s="728" t="s">
        <v>34</v>
      </c>
      <c r="I82" s="184">
        <f ca="1">IFERROR(__xludf.DUMMYFUNCTION("IMPORTRANGE(""https://docs.google.com/spreadsheets/d/1QqKyyYR6Q21VydFLVH3TRQUabQu_ym0Zz7PgGX0-kHA/edit?usp=sharing"",""แผน!D16"")"),0)</f>
        <v>0</v>
      </c>
      <c r="J82" s="214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 hidden="1">
      <c r="A83" s="170"/>
      <c r="B83" s="171"/>
      <c r="C83" s="171"/>
      <c r="D83" s="171"/>
      <c r="E83" s="342"/>
      <c r="F83" s="342"/>
      <c r="G83" s="179"/>
      <c r="H83" s="728" t="s">
        <v>35</v>
      </c>
      <c r="I83" s="184">
        <f ca="1">IFERROR(__xludf.DUMMYFUNCTION("IMPORTRANGE(""https://docs.google.com/spreadsheets/d/1QqKyyYR6Q21VydFLVH3TRQUabQu_ym0Zz7PgGX0-kHA/edit?usp=sharing"",""แผน!E16"")"),0)</f>
        <v>0</v>
      </c>
      <c r="J83" s="214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 hidden="1">
      <c r="A84" s="170"/>
      <c r="B84" s="171"/>
      <c r="C84" s="171"/>
      <c r="D84" s="343" t="s">
        <v>43</v>
      </c>
      <c r="E84" s="415"/>
      <c r="F84" s="342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IFERROR(__xludf.DUMMYFUNCTION("IMPORTRANGE(""https://docs.google.com/spreadsheets/d/1QqKyyYR6Q21VydFLVH3TRQUabQu_ym0Zz7PgGX0-kHA/edit?usp=sharing"",""แผน!J16"")"),0)</f>
        <v>0</v>
      </c>
      <c r="J84" s="214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8" t="s">
        <v>45</v>
      </c>
      <c r="C86" s="140"/>
      <c r="D86" s="141"/>
      <c r="E86" s="140"/>
      <c r="F86" s="140"/>
      <c r="G86" s="142"/>
      <c r="H86" s="143" t="s">
        <v>46</v>
      </c>
      <c r="I86" s="144">
        <f t="shared" ref="I86:J87" ca="1" si="47">I98</f>
        <v>30</v>
      </c>
      <c r="J86" s="144">
        <f t="shared" si="47"/>
        <v>30</v>
      </c>
      <c r="K86" s="145">
        <f t="shared" ref="K86:K87" ca="1" si="48">IF(I86&gt;0,J86*100/I86,0)</f>
        <v>100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143" t="s">
        <v>35</v>
      </c>
      <c r="I87" s="144">
        <f t="shared" ca="1" si="47"/>
        <v>10</v>
      </c>
      <c r="J87" s="144">
        <f t="shared" si="47"/>
        <v>10</v>
      </c>
      <c r="K87" s="145">
        <f t="shared" ca="1" si="48"/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17" t="s">
        <v>17</v>
      </c>
      <c r="E88" s="148"/>
      <c r="F88" s="148"/>
      <c r="G88" s="151"/>
      <c r="H88" s="152" t="s">
        <v>12</v>
      </c>
      <c r="I88" s="388"/>
      <c r="J88" s="388"/>
      <c r="K88" s="154"/>
      <c r="L88" s="155">
        <f t="shared" ref="L88:N88" ca="1" si="49">L89+L90</f>
        <v>86040</v>
      </c>
      <c r="M88" s="155">
        <f t="shared" ca="1" si="49"/>
        <v>21840</v>
      </c>
      <c r="N88" s="155">
        <f t="shared" ca="1" si="49"/>
        <v>21840</v>
      </c>
      <c r="O88" s="155">
        <f t="shared" ref="O88:O96" ca="1" si="50">IF(L88&gt;0,N88*100/L88,0)</f>
        <v>25.383542538354252</v>
      </c>
      <c r="P88" s="155">
        <f t="shared" ref="P88:P96" ca="1" si="51">IF(M88&gt;0,N88*100/M88,0)</f>
        <v>100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2" t="s">
        <v>18</v>
      </c>
      <c r="F89" s="40"/>
      <c r="G89" s="157"/>
      <c r="H89" s="158" t="s">
        <v>12</v>
      </c>
      <c r="I89" s="583"/>
      <c r="J89" s="583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2" t="s">
        <v>19</v>
      </c>
      <c r="F90" s="40"/>
      <c r="G90" s="157"/>
      <c r="H90" s="158" t="s">
        <v>12</v>
      </c>
      <c r="I90" s="583"/>
      <c r="J90" s="583"/>
      <c r="K90" s="93"/>
      <c r="L90" s="93">
        <f t="shared" ca="1" si="52"/>
        <v>86040</v>
      </c>
      <c r="M90" s="93">
        <f t="shared" ca="1" si="52"/>
        <v>21840</v>
      </c>
      <c r="N90" s="93">
        <f t="shared" ca="1" si="52"/>
        <v>21840</v>
      </c>
      <c r="O90" s="93">
        <f t="shared" ca="1" si="50"/>
        <v>25.383542538354252</v>
      </c>
      <c r="P90" s="93">
        <f t="shared" ca="1" si="51"/>
        <v>100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1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65">
        <f t="shared" ref="L91:N91" ca="1" si="53">L92+L93</f>
        <v>86040</v>
      </c>
      <c r="M91" s="465">
        <f t="shared" ca="1" si="53"/>
        <v>21840</v>
      </c>
      <c r="N91" s="465">
        <f t="shared" ca="1" si="53"/>
        <v>21840</v>
      </c>
      <c r="O91" s="465">
        <f t="shared" ca="1" si="50"/>
        <v>25.383542538354252</v>
      </c>
      <c r="P91" s="465">
        <f t="shared" ca="1" si="51"/>
        <v>100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2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2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IFERROR(__xludf.DUMMYFUNCTION("IMPORTRANGE(""https://docs.google.com/spreadsheets/d/1MeEWN-I1oV_STSDYn1IFDPWt_1FKiwhDph83XaGc0o0/edit?usp=sharing"",""งบพรบ!AQ16"")"),86040)</f>
        <v>86040</v>
      </c>
      <c r="M93" s="93">
        <f ca="1">IFERROR(__xludf.DUMMYFUNCTION("IMPORTRANGE(""https://docs.google.com/spreadsheets/d/1MeEWN-I1oV_STSDYn1IFDPWt_1FKiwhDph83XaGc0o0/edit?usp=sharing"",""งบพรบ!AV16"")"),21840)</f>
        <v>21840</v>
      </c>
      <c r="N93" s="93">
        <f ca="1">IFERROR(__xludf.DUMMYFUNCTION("IMPORTRANGE(""https://docs.google.com/spreadsheets/d/1MeEWN-I1oV_STSDYn1IFDPWt_1FKiwhDph83XaGc0o0/edit?usp=sharing"",""งบพรบ!AX16"")"),21840)</f>
        <v>21840</v>
      </c>
      <c r="O93" s="93">
        <f t="shared" ca="1" si="50"/>
        <v>25.383542538354252</v>
      </c>
      <c r="P93" s="93">
        <f t="shared" ca="1" si="51"/>
        <v>100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1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65">
        <f t="shared" ref="L94:N94" ca="1" si="54">L95+L96</f>
        <v>0</v>
      </c>
      <c r="M94" s="465">
        <f t="shared" ca="1" si="54"/>
        <v>0</v>
      </c>
      <c r="N94" s="465">
        <f t="shared" ca="1" si="54"/>
        <v>0</v>
      </c>
      <c r="O94" s="465">
        <f t="shared" ca="1" si="50"/>
        <v>0</v>
      </c>
      <c r="P94" s="465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2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2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IFERROR(__xludf.DUMMYFUNCTION("IMPORTRANGE(""https://docs.google.com/spreadsheets/d/1MeEWN-I1oV_STSDYn1IFDPWt_1FKiwhDph83XaGc0o0/edit?usp=sharing"",""งบพรบ!AT16"")"),0)</f>
        <v>0</v>
      </c>
      <c r="M96" s="93">
        <f ca="1">IFERROR(__xludf.DUMMYFUNCTION("IMPORTRANGE(""https://docs.google.com/spreadsheets/d/1MeEWN-I1oV_STSDYn1IFDPWt_1FKiwhDph83XaGc0o0/edit?usp=sharing"",""งบพรบ!AW16"")"),0)</f>
        <v>0</v>
      </c>
      <c r="N96" s="93">
        <f ca="1">IFERROR(__xludf.DUMMYFUNCTION("IMPORTRANGE(""https://docs.google.com/spreadsheets/d/1MeEWN-I1oV_STSDYn1IFDPWt_1FKiwhDph83XaGc0o0/edit?usp=sharing"",""งบพรบ!AY16"")"),0)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18" t="s">
        <v>38</v>
      </c>
      <c r="E97" s="173"/>
      <c r="F97" s="173"/>
      <c r="G97" s="174"/>
      <c r="H97" s="726"/>
      <c r="I97" s="184"/>
      <c r="J97" s="269"/>
      <c r="K97" s="465"/>
      <c r="L97" s="465"/>
      <c r="M97" s="465"/>
      <c r="N97" s="465"/>
      <c r="O97" s="163"/>
      <c r="P97" s="163"/>
    </row>
    <row r="98" spans="1:16" ht="18.75">
      <c r="A98" s="170"/>
      <c r="B98" s="171"/>
      <c r="C98" s="171"/>
      <c r="D98" s="415" t="s">
        <v>47</v>
      </c>
      <c r="E98" s="415"/>
      <c r="F98" s="342"/>
      <c r="G98" s="179"/>
      <c r="H98" s="589" t="s">
        <v>46</v>
      </c>
      <c r="I98" s="269">
        <f ca="1">IFERROR(__xludf.DUMMYFUNCTION("IMPORTRANGE(""https://docs.google.com/spreadsheets/d/1QqKyyYR6Q21VydFLVH3TRQUabQu_ym0Zz7PgGX0-kHA/edit?usp=sharing"",""แผน!K16"")"),30)</f>
        <v>30</v>
      </c>
      <c r="J98" s="269">
        <f>J102</f>
        <v>30</v>
      </c>
      <c r="K98" s="465">
        <f t="shared" ref="K98:K100" ca="1" si="55">IF(I98&gt;0,J98*100/I98,0)</f>
        <v>100</v>
      </c>
      <c r="L98" s="465"/>
      <c r="M98" s="465"/>
      <c r="N98" s="465"/>
      <c r="O98" s="163"/>
      <c r="P98" s="163"/>
    </row>
    <row r="99" spans="1:16" ht="18.75">
      <c r="A99" s="170"/>
      <c r="B99" s="171"/>
      <c r="C99" s="171"/>
      <c r="D99" s="415" t="s">
        <v>48</v>
      </c>
      <c r="E99" s="415"/>
      <c r="F99" s="342"/>
      <c r="G99" s="179"/>
      <c r="H99" s="589" t="s">
        <v>35</v>
      </c>
      <c r="I99" s="269">
        <f ca="1">IFERROR(__xludf.DUMMYFUNCTION("IMPORTRANGE(""https://docs.google.com/spreadsheets/d/1QqKyyYR6Q21VydFLVH3TRQUabQu_ym0Zz7PgGX0-kHA/edit?usp=sharing"",""แผน!L16"")"),10)</f>
        <v>10</v>
      </c>
      <c r="J99" s="269">
        <f>J104</f>
        <v>10</v>
      </c>
      <c r="K99" s="465">
        <f t="shared" ca="1" si="55"/>
        <v>100</v>
      </c>
      <c r="L99" s="465"/>
      <c r="M99" s="465"/>
      <c r="N99" s="465"/>
      <c r="O99" s="163"/>
      <c r="P99" s="163"/>
    </row>
    <row r="100" spans="1:16" ht="18.75">
      <c r="A100" s="170"/>
      <c r="B100" s="171"/>
      <c r="C100" s="171"/>
      <c r="D100" s="171"/>
      <c r="E100" s="342"/>
      <c r="F100" s="342"/>
      <c r="G100" s="179"/>
      <c r="H100" s="589" t="s">
        <v>49</v>
      </c>
      <c r="I100" s="269">
        <f ca="1">IFERROR(__xludf.DUMMYFUNCTION("IMPORTRANGE(""https://docs.google.com/spreadsheets/d/1QqKyyYR6Q21VydFLVH3TRQUabQu_ym0Zz7PgGX0-kHA/edit?usp=sharing"",""แผน!M16"")"),2)</f>
        <v>2</v>
      </c>
      <c r="J100" s="269">
        <f>J107+J110</f>
        <v>0</v>
      </c>
      <c r="K100" s="465">
        <f t="shared" ca="1" si="55"/>
        <v>0</v>
      </c>
      <c r="L100" s="465"/>
      <c r="M100" s="465"/>
      <c r="N100" s="465"/>
      <c r="O100" s="163"/>
      <c r="P100" s="163"/>
    </row>
    <row r="101" spans="1:16" ht="19.5">
      <c r="A101" s="170"/>
      <c r="B101" s="171"/>
      <c r="C101" s="171"/>
      <c r="D101" s="342"/>
      <c r="E101" s="191" t="s">
        <v>50</v>
      </c>
      <c r="F101" s="342"/>
      <c r="G101" s="179"/>
      <c r="H101" s="589"/>
      <c r="I101" s="269"/>
      <c r="J101" s="269"/>
      <c r="K101" s="465"/>
      <c r="L101" s="465"/>
      <c r="M101" s="465"/>
      <c r="N101" s="465"/>
      <c r="O101" s="163"/>
      <c r="P101" s="163"/>
    </row>
    <row r="102" spans="1:16" ht="18.75">
      <c r="A102" s="170"/>
      <c r="B102" s="171"/>
      <c r="C102" s="171"/>
      <c r="D102" s="342"/>
      <c r="E102" s="592" t="s">
        <v>47</v>
      </c>
      <c r="F102" s="342"/>
      <c r="G102" s="179"/>
      <c r="H102" s="589" t="s">
        <v>46</v>
      </c>
      <c r="I102" s="269">
        <f ca="1">IFERROR(__xludf.DUMMYFUNCTION("IMPORTRANGE(""https://docs.google.com/spreadsheets/d/1QqKyyYR6Q21VydFLVH3TRQUabQu_ym0Zz7PgGX0-kHA/edit?usp=sharing"",""แผน!N16"")"),30)</f>
        <v>30</v>
      </c>
      <c r="J102" s="214">
        <v>30</v>
      </c>
      <c r="K102" s="465">
        <f t="shared" ref="K102:K104" ca="1" si="56">IF(I102&gt;0,J102*100/I102,0)</f>
        <v>100</v>
      </c>
      <c r="L102" s="465"/>
      <c r="M102" s="465"/>
      <c r="N102" s="465"/>
      <c r="O102" s="163"/>
      <c r="P102" s="163"/>
    </row>
    <row r="103" spans="1:16" ht="19.5">
      <c r="A103" s="170"/>
      <c r="B103" s="171"/>
      <c r="C103" s="171"/>
      <c r="D103" s="342"/>
      <c r="E103" s="415" t="s">
        <v>51</v>
      </c>
      <c r="F103" s="342"/>
      <c r="G103" s="179"/>
      <c r="H103" s="589" t="s">
        <v>35</v>
      </c>
      <c r="I103" s="269">
        <f ca="1">IFERROR(__xludf.DUMMYFUNCTION("IMPORTRANGE(""https://docs.google.com/spreadsheets/d/1QqKyyYR6Q21VydFLVH3TRQUabQu_ym0Zz7PgGX0-kHA/edit?usp=sharing"",""แผน!O16"")"),10)</f>
        <v>10</v>
      </c>
      <c r="J103" s="214">
        <v>10</v>
      </c>
      <c r="K103" s="465">
        <f t="shared" ca="1" si="56"/>
        <v>100</v>
      </c>
      <c r="L103" s="465"/>
      <c r="M103" s="465"/>
      <c r="N103" s="465"/>
      <c r="O103" s="163"/>
      <c r="P103" s="163"/>
    </row>
    <row r="104" spans="1:16" ht="18.75">
      <c r="A104" s="170"/>
      <c r="B104" s="171"/>
      <c r="C104" s="171"/>
      <c r="D104" s="342"/>
      <c r="E104" s="188" t="s">
        <v>52</v>
      </c>
      <c r="F104" s="342"/>
      <c r="G104" s="179"/>
      <c r="H104" s="589" t="s">
        <v>35</v>
      </c>
      <c r="I104" s="269">
        <f ca="1">IFERROR(__xludf.DUMMYFUNCTION("IMPORTRANGE(""https://docs.google.com/spreadsheets/d/1QqKyyYR6Q21VydFLVH3TRQUabQu_ym0Zz7PgGX0-kHA/edit?usp=sharing"",""แผน!O16"")"),10)</f>
        <v>10</v>
      </c>
      <c r="J104" s="214">
        <v>10</v>
      </c>
      <c r="K104" s="465">
        <f t="shared" ca="1" si="56"/>
        <v>100</v>
      </c>
      <c r="L104" s="465"/>
      <c r="M104" s="465"/>
      <c r="N104" s="465"/>
      <c r="O104" s="163"/>
      <c r="P104" s="163"/>
    </row>
    <row r="105" spans="1:16" ht="19.5">
      <c r="A105" s="170"/>
      <c r="B105" s="171"/>
      <c r="C105" s="171"/>
      <c r="D105" s="342"/>
      <c r="E105" s="191" t="s">
        <v>53</v>
      </c>
      <c r="F105" s="342"/>
      <c r="G105" s="179"/>
      <c r="H105" s="189"/>
      <c r="I105" s="269"/>
      <c r="J105" s="269"/>
      <c r="K105" s="465"/>
      <c r="L105" s="465"/>
      <c r="M105" s="465"/>
      <c r="N105" s="465"/>
      <c r="O105" s="163"/>
      <c r="P105" s="163"/>
    </row>
    <row r="106" spans="1:16" ht="19.5">
      <c r="A106" s="170"/>
      <c r="B106" s="171"/>
      <c r="C106" s="171"/>
      <c r="D106" s="342"/>
      <c r="E106" s="415" t="s">
        <v>54</v>
      </c>
      <c r="F106" s="342"/>
      <c r="G106" s="179"/>
      <c r="H106" s="589" t="s">
        <v>49</v>
      </c>
      <c r="I106" s="269">
        <f ca="1">IFERROR(__xludf.DUMMYFUNCTION("IMPORTRANGE(""https://docs.google.com/spreadsheets/d/1QqKyyYR6Q21VydFLVH3TRQUabQu_ym0Zz7PgGX0-kHA/edit?usp=sharing"",""แผน!P16"")"),1)</f>
        <v>1</v>
      </c>
      <c r="J106" s="214">
        <v>0</v>
      </c>
      <c r="K106" s="465">
        <f t="shared" ref="K106:K107" ca="1" si="57">IF(I106&gt;0,J106*100/I106,0)</f>
        <v>0</v>
      </c>
      <c r="L106" s="465"/>
      <c r="M106" s="465"/>
      <c r="N106" s="465"/>
      <c r="O106" s="163"/>
      <c r="P106" s="163"/>
    </row>
    <row r="107" spans="1:16" ht="18.75">
      <c r="A107" s="170"/>
      <c r="B107" s="171"/>
      <c r="C107" s="171"/>
      <c r="D107" s="342"/>
      <c r="E107" s="188" t="s">
        <v>55</v>
      </c>
      <c r="F107" s="342"/>
      <c r="G107" s="179"/>
      <c r="H107" s="589" t="s">
        <v>49</v>
      </c>
      <c r="I107" s="269">
        <f ca="1">IFERROR(__xludf.DUMMYFUNCTION("IMPORTRANGE(""https://docs.google.com/spreadsheets/d/1QqKyyYR6Q21VydFLVH3TRQUabQu_ym0Zz7PgGX0-kHA/edit?usp=sharing"",""แผน!P16"")"),1)</f>
        <v>1</v>
      </c>
      <c r="J107" s="214">
        <v>0</v>
      </c>
      <c r="K107" s="465">
        <f t="shared" ca="1" si="57"/>
        <v>0</v>
      </c>
      <c r="L107" s="465"/>
      <c r="M107" s="465"/>
      <c r="N107" s="465"/>
      <c r="O107" s="163"/>
      <c r="P107" s="163"/>
    </row>
    <row r="108" spans="1:16" ht="19.5">
      <c r="A108" s="170"/>
      <c r="B108" s="171"/>
      <c r="C108" s="171"/>
      <c r="D108" s="342"/>
      <c r="E108" s="191" t="s">
        <v>56</v>
      </c>
      <c r="F108" s="342"/>
      <c r="G108" s="179"/>
      <c r="H108" s="189"/>
      <c r="I108" s="269"/>
      <c r="J108" s="269"/>
      <c r="K108" s="465"/>
      <c r="L108" s="465"/>
      <c r="M108" s="465"/>
      <c r="N108" s="465"/>
      <c r="O108" s="163"/>
      <c r="P108" s="163"/>
    </row>
    <row r="109" spans="1:16" ht="19.5">
      <c r="A109" s="170"/>
      <c r="B109" s="171"/>
      <c r="C109" s="171"/>
      <c r="D109" s="342"/>
      <c r="E109" s="415" t="s">
        <v>57</v>
      </c>
      <c r="F109" s="342"/>
      <c r="G109" s="179"/>
      <c r="H109" s="589" t="s">
        <v>49</v>
      </c>
      <c r="I109" s="269">
        <f ca="1">IFERROR(__xludf.DUMMYFUNCTION("IMPORTRANGE(""https://docs.google.com/spreadsheets/d/1QqKyyYR6Q21VydFLVH3TRQUabQu_ym0Zz7PgGX0-kHA/edit?usp=sharing"",""แผน!Q16"")"),1)</f>
        <v>1</v>
      </c>
      <c r="J109" s="214">
        <v>0</v>
      </c>
      <c r="K109" s="465">
        <f t="shared" ref="K109:K116" ca="1" si="58">IF(I109&gt;0,J109*100/I109,0)</f>
        <v>0</v>
      </c>
      <c r="L109" s="465"/>
      <c r="M109" s="465"/>
      <c r="N109" s="465"/>
      <c r="O109" s="163"/>
      <c r="P109" s="163"/>
    </row>
    <row r="110" spans="1:16" ht="18.75">
      <c r="A110" s="170"/>
      <c r="B110" s="171"/>
      <c r="C110" s="171"/>
      <c r="D110" s="342"/>
      <c r="E110" s="190" t="s">
        <v>58</v>
      </c>
      <c r="F110" s="342"/>
      <c r="G110" s="179"/>
      <c r="H110" s="589" t="s">
        <v>49</v>
      </c>
      <c r="I110" s="269">
        <f ca="1">IFERROR(__xludf.DUMMYFUNCTION("IMPORTRANGE(""https://docs.google.com/spreadsheets/d/1QqKyyYR6Q21VydFLVH3TRQUabQu_ym0Zz7PgGX0-kHA/edit?usp=sharing"",""แผน!Q16"")"),1)</f>
        <v>1</v>
      </c>
      <c r="J110" s="214">
        <v>0</v>
      </c>
      <c r="K110" s="465">
        <f t="shared" ca="1" si="58"/>
        <v>0</v>
      </c>
      <c r="L110" s="465"/>
      <c r="M110" s="465"/>
      <c r="N110" s="465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342"/>
      <c r="G111" s="179"/>
      <c r="H111" s="731" t="s">
        <v>35</v>
      </c>
      <c r="I111" s="193">
        <f ca="1">IFERROR(__xludf.DUMMYFUNCTION("IMPORTRANGE(""https://docs.google.com/spreadsheets/d/1QqKyyYR6Q21VydFLVH3TRQUabQu_ym0Zz7PgGX0-kHA/edit?usp=sharing"",""แผน!R16"")"),10)</f>
        <v>10</v>
      </c>
      <c r="J111" s="647">
        <f>J114</f>
        <v>0</v>
      </c>
      <c r="K111" s="195">
        <f t="shared" ca="1" si="58"/>
        <v>0</v>
      </c>
      <c r="L111" s="465"/>
      <c r="M111" s="465"/>
      <c r="N111" s="465"/>
      <c r="O111" s="163"/>
      <c r="P111" s="163"/>
    </row>
    <row r="112" spans="1:16" ht="19.5">
      <c r="A112" s="170"/>
      <c r="B112" s="171"/>
      <c r="C112" s="171"/>
      <c r="D112" s="171"/>
      <c r="E112" s="342"/>
      <c r="F112" s="342"/>
      <c r="G112" s="179"/>
      <c r="H112" s="196" t="s">
        <v>49</v>
      </c>
      <c r="I112" s="193">
        <f t="shared" ref="I112:J112" ca="1" si="59">I115+I116</f>
        <v>2</v>
      </c>
      <c r="J112" s="647">
        <f t="shared" si="59"/>
        <v>0</v>
      </c>
      <c r="K112" s="195">
        <f t="shared" ca="1" si="58"/>
        <v>0</v>
      </c>
      <c r="L112" s="465"/>
      <c r="M112" s="465"/>
      <c r="N112" s="465"/>
      <c r="O112" s="163"/>
      <c r="P112" s="163"/>
    </row>
    <row r="113" spans="1:26" ht="19.5">
      <c r="A113" s="170"/>
      <c r="B113" s="171"/>
      <c r="C113" s="171"/>
      <c r="D113" s="171"/>
      <c r="E113" s="494" t="s">
        <v>60</v>
      </c>
      <c r="F113" s="342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IFERROR(__xludf.DUMMYFUNCTION("IMPORTRANGE(""https://docs.google.com/spreadsheets/d/1QqKyyYR6Q21VydFLVH3TRQUabQu_ym0Zz7PgGX0-kHA/edit?usp=sharing"",""แผน!R16"")"),10)</f>
        <v>10</v>
      </c>
      <c r="J113" s="214">
        <v>0</v>
      </c>
      <c r="K113" s="465">
        <f t="shared" ca="1" si="58"/>
        <v>0</v>
      </c>
      <c r="L113" s="465"/>
      <c r="M113" s="465"/>
      <c r="N113" s="465"/>
      <c r="O113" s="163"/>
      <c r="P113" s="163"/>
    </row>
    <row r="114" spans="1:26" ht="19.5">
      <c r="A114" s="170"/>
      <c r="B114" s="171"/>
      <c r="C114" s="171"/>
      <c r="D114" s="171"/>
      <c r="E114" s="415" t="s">
        <v>61</v>
      </c>
      <c r="F114" s="342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IFERROR(__xludf.DUMMYFUNCTION("IMPORTRANGE(""https://docs.google.com/spreadsheets/d/1QqKyyYR6Q21VydFLVH3TRQUabQu_ym0Zz7PgGX0-kHA/edit?usp=sharing"",""แผน!R16"")"),10)</f>
        <v>10</v>
      </c>
      <c r="J114" s="214">
        <v>0</v>
      </c>
      <c r="K114" s="465">
        <f t="shared" ca="1" si="58"/>
        <v>0</v>
      </c>
      <c r="L114" s="465"/>
      <c r="M114" s="465"/>
      <c r="N114" s="465"/>
      <c r="O114" s="163"/>
      <c r="P114" s="163"/>
    </row>
    <row r="115" spans="1:26" ht="18.75">
      <c r="A115" s="170"/>
      <c r="B115" s="171"/>
      <c r="C115" s="171"/>
      <c r="D115" s="171"/>
      <c r="E115" s="415" t="s">
        <v>62</v>
      </c>
      <c r="F115" s="342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IFERROR(__xludf.DUMMYFUNCTION("IMPORTRANGE(""https://docs.google.com/spreadsheets/d/1QqKyyYR6Q21VydFLVH3TRQUabQu_ym0Zz7PgGX0-kHA/edit?usp=sharing"",""แผน!S16"")"),1)</f>
        <v>1</v>
      </c>
      <c r="J115" s="214">
        <v>0</v>
      </c>
      <c r="K115" s="465">
        <f t="shared" ca="1" si="58"/>
        <v>0</v>
      </c>
      <c r="L115" s="465"/>
      <c r="M115" s="465"/>
      <c r="N115" s="465"/>
      <c r="O115" s="163"/>
      <c r="P115" s="163"/>
    </row>
    <row r="116" spans="1:26" ht="18.75">
      <c r="A116" s="170"/>
      <c r="B116" s="171"/>
      <c r="C116" s="171"/>
      <c r="D116" s="171"/>
      <c r="E116" s="415" t="s">
        <v>63</v>
      </c>
      <c r="F116" s="342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IFERROR(__xludf.DUMMYFUNCTION("IMPORTRANGE(""https://docs.google.com/spreadsheets/d/1QqKyyYR6Q21VydFLVH3TRQUabQu_ym0Zz7PgGX0-kHA/edit?usp=sharing"",""แผน!T16"")"),1)</f>
        <v>1</v>
      </c>
      <c r="J116" s="214">
        <v>0</v>
      </c>
      <c r="K116" s="465">
        <f t="shared" ca="1" si="58"/>
        <v>0</v>
      </c>
      <c r="L116" s="465"/>
      <c r="M116" s="465"/>
      <c r="N116" s="465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8" t="s">
        <v>65</v>
      </c>
      <c r="C118" s="204"/>
      <c r="D118" s="141"/>
      <c r="E118" s="140"/>
      <c r="F118" s="140"/>
      <c r="G118" s="142"/>
      <c r="H118" s="143"/>
      <c r="I118" s="205"/>
      <c r="J118" s="205"/>
      <c r="K118" s="146"/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17" t="s">
        <v>17</v>
      </c>
      <c r="E119" s="148"/>
      <c r="F119" s="148"/>
      <c r="G119" s="151"/>
      <c r="H119" s="152" t="s">
        <v>12</v>
      </c>
      <c r="I119" s="388"/>
      <c r="J119" s="388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2" t="s">
        <v>18</v>
      </c>
      <c r="F120" s="40"/>
      <c r="G120" s="157"/>
      <c r="H120" s="158" t="s">
        <v>12</v>
      </c>
      <c r="I120" s="583"/>
      <c r="J120" s="583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2" t="s">
        <v>19</v>
      </c>
      <c r="F121" s="40"/>
      <c r="G121" s="157"/>
      <c r="H121" s="158" t="s">
        <v>12</v>
      </c>
      <c r="I121" s="583"/>
      <c r="J121" s="583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1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65">
        <f t="shared" ref="L122:N122" ca="1" si="64">L123+L124</f>
        <v>0</v>
      </c>
      <c r="M122" s="465">
        <f t="shared" ca="1" si="64"/>
        <v>0</v>
      </c>
      <c r="N122" s="465">
        <f t="shared" ca="1" si="64"/>
        <v>0</v>
      </c>
      <c r="O122" s="465">
        <f t="shared" ca="1" si="61"/>
        <v>0</v>
      </c>
      <c r="P122" s="465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2"/>
      <c r="D123" s="40"/>
      <c r="E123" s="222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2"/>
      <c r="D124" s="40"/>
      <c r="E124" s="222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IFERROR(__xludf.DUMMYFUNCTION("IMPORTRANGE(""https://docs.google.com/spreadsheets/d/1MeEWN-I1oV_STSDYn1IFDPWt_1FKiwhDph83XaGc0o0/edit?usp=sharing"",""งบพรบ!BA16"")"),0)</f>
        <v>0</v>
      </c>
      <c r="M124" s="93">
        <f ca="1">IFERROR(__xludf.DUMMYFUNCTION("IMPORTRANGE(""https://docs.google.com/spreadsheets/d/1MeEWN-I1oV_STSDYn1IFDPWt_1FKiwhDph83XaGc0o0/edit?usp=sharing"",""งบพรบ!BF16"")"),0)</f>
        <v>0</v>
      </c>
      <c r="N124" s="93">
        <f ca="1">IFERROR(__xludf.DUMMYFUNCTION("IMPORTRANGE(""https://docs.google.com/spreadsheets/d/1MeEWN-I1oV_STSDYn1IFDPWt_1FKiwhDph83XaGc0o0/edit?usp=sharing"",""งบพรบ!BH16"")"),0)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1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65">
        <f t="shared" ref="L125:N125" ca="1" si="65">L126+L127</f>
        <v>0</v>
      </c>
      <c r="M125" s="465">
        <f t="shared" ca="1" si="65"/>
        <v>0</v>
      </c>
      <c r="N125" s="465">
        <f t="shared" ca="1" si="65"/>
        <v>0</v>
      </c>
      <c r="O125" s="465">
        <f t="shared" ca="1" si="61"/>
        <v>0</v>
      </c>
      <c r="P125" s="465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2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2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IFERROR(__xludf.DUMMYFUNCTION("IMPORTRANGE(""https://docs.google.com/spreadsheets/d/1MeEWN-I1oV_STSDYn1IFDPWt_1FKiwhDph83XaGc0o0/edit?usp=sharing"",""งบพรบ!BD16"")"),0)</f>
        <v>0</v>
      </c>
      <c r="M127" s="93">
        <f ca="1">IFERROR(__xludf.DUMMYFUNCTION("IMPORTRANGE(""https://docs.google.com/spreadsheets/d/1MeEWN-I1oV_STSDYn1IFDPWt_1FKiwhDph83XaGc0o0/edit?usp=sharing"",""งบพรบ!BG16"")"),0)</f>
        <v>0</v>
      </c>
      <c r="N127" s="93">
        <f ca="1">IFERROR(__xludf.DUMMYFUNCTION("IMPORTRANGE(""https://docs.google.com/spreadsheets/d/1MeEWN-I1oV_STSDYn1IFDPWt_1FKiwhDph83XaGc0o0/edit?usp=sharing"",""งบพรบ!BI16"")"),0)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66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8" t="s">
        <v>67</v>
      </c>
      <c r="C129" s="204"/>
      <c r="D129" s="141"/>
      <c r="E129" s="140"/>
      <c r="F129" s="140"/>
      <c r="G129" s="140"/>
      <c r="H129" s="207"/>
      <c r="I129" s="205"/>
      <c r="J129" s="205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8"/>
      <c r="C130" s="209" t="s">
        <v>68</v>
      </c>
      <c r="D130" s="141"/>
      <c r="E130" s="140"/>
      <c r="F130" s="140"/>
      <c r="G130" s="142"/>
      <c r="H130" s="143" t="s">
        <v>69</v>
      </c>
      <c r="I130" s="144">
        <f t="shared" ref="I130:J130" ca="1" si="66">I146</f>
        <v>0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8"/>
      <c r="C131" s="209" t="s">
        <v>70</v>
      </c>
      <c r="D131" s="141"/>
      <c r="E131" s="140"/>
      <c r="F131" s="140"/>
      <c r="G131" s="142"/>
      <c r="H131" s="143" t="s">
        <v>35</v>
      </c>
      <c r="I131" s="144">
        <f t="shared" ref="I131:J131" ca="1" si="68">I143</f>
        <v>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817" t="s">
        <v>17</v>
      </c>
      <c r="E132" s="148"/>
      <c r="F132" s="148"/>
      <c r="G132" s="151"/>
      <c r="H132" s="152" t="s">
        <v>12</v>
      </c>
      <c r="I132" s="388"/>
      <c r="J132" s="388"/>
      <c r="K132" s="154"/>
      <c r="L132" s="155">
        <f t="shared" ref="L132:N132" ca="1" si="69">L133+L134</f>
        <v>0</v>
      </c>
      <c r="M132" s="155">
        <f t="shared" ca="1" si="69"/>
        <v>0</v>
      </c>
      <c r="N132" s="155">
        <f t="shared" ca="1" si="69"/>
        <v>0</v>
      </c>
      <c r="O132" s="155">
        <f t="shared" ref="O132:O140" ca="1" si="70">IF(L132&gt;0,N132*100/L132,0)</f>
        <v>0</v>
      </c>
      <c r="P132" s="155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2" t="s">
        <v>18</v>
      </c>
      <c r="F133" s="40"/>
      <c r="G133" s="157"/>
      <c r="H133" s="158" t="s">
        <v>12</v>
      </c>
      <c r="I133" s="583"/>
      <c r="J133" s="583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2" t="s">
        <v>19</v>
      </c>
      <c r="F134" s="40"/>
      <c r="G134" s="157"/>
      <c r="H134" s="158" t="s">
        <v>12</v>
      </c>
      <c r="I134" s="583"/>
      <c r="J134" s="583"/>
      <c r="K134" s="93"/>
      <c r="L134" s="93">
        <f t="shared" ca="1" si="72"/>
        <v>0</v>
      </c>
      <c r="M134" s="93">
        <f t="shared" ca="1" si="72"/>
        <v>0</v>
      </c>
      <c r="N134" s="93">
        <f t="shared" ca="1" si="72"/>
        <v>0</v>
      </c>
      <c r="O134" s="93">
        <f t="shared" ca="1" si="70"/>
        <v>0</v>
      </c>
      <c r="P134" s="93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1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65">
        <f t="shared" ref="L135:N135" ca="1" si="73">L136+L137</f>
        <v>0</v>
      </c>
      <c r="M135" s="465">
        <f t="shared" ca="1" si="73"/>
        <v>0</v>
      </c>
      <c r="N135" s="465">
        <f t="shared" ca="1" si="73"/>
        <v>0</v>
      </c>
      <c r="O135" s="465">
        <f t="shared" ca="1" si="70"/>
        <v>0</v>
      </c>
      <c r="P135" s="465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2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2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IFERROR(__xludf.DUMMYFUNCTION("IMPORTRANGE(""https://docs.google.com/spreadsheets/d/1MeEWN-I1oV_STSDYn1IFDPWt_1FKiwhDph83XaGc0o0/edit?usp=sharing"",""งบพรบ!BK16"")"),0)</f>
        <v>0</v>
      </c>
      <c r="M137" s="93">
        <f ca="1">IFERROR(__xludf.DUMMYFUNCTION("IMPORTRANGE(""https://docs.google.com/spreadsheets/d/1MeEWN-I1oV_STSDYn1IFDPWt_1FKiwhDph83XaGc0o0/edit?usp=sharing"",""งบพรบ!BP16"")"),0)</f>
        <v>0</v>
      </c>
      <c r="N137" s="93">
        <f ca="1">IFERROR(__xludf.DUMMYFUNCTION("IMPORTRANGE(""https://docs.google.com/spreadsheets/d/1MeEWN-I1oV_STSDYn1IFDPWt_1FKiwhDph83XaGc0o0/edit?usp=sharing"",""งบพรบ!BR16"")"),0)</f>
        <v>0</v>
      </c>
      <c r="O137" s="93">
        <f t="shared" ca="1" si="70"/>
        <v>0</v>
      </c>
      <c r="P137" s="93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1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65">
        <f t="shared" ref="L138:N138" ca="1" si="74">L139+L140</f>
        <v>0</v>
      </c>
      <c r="M138" s="465">
        <f t="shared" ca="1" si="74"/>
        <v>0</v>
      </c>
      <c r="N138" s="465">
        <f t="shared" ca="1" si="74"/>
        <v>0</v>
      </c>
      <c r="O138" s="465">
        <f t="shared" ca="1" si="70"/>
        <v>0</v>
      </c>
      <c r="P138" s="465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2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2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IFERROR(__xludf.DUMMYFUNCTION("IMPORTRANGE(""https://docs.google.com/spreadsheets/d/1MeEWN-I1oV_STSDYn1IFDPWt_1FKiwhDph83XaGc0o0/edit?usp=sharing"",""งบพรบ!BN16"")"),0)</f>
        <v>0</v>
      </c>
      <c r="M140" s="93">
        <f ca="1">IFERROR(__xludf.DUMMYFUNCTION("IMPORTRANGE(""https://docs.google.com/spreadsheets/d/1MeEWN-I1oV_STSDYn1IFDPWt_1FKiwhDph83XaGc0o0/edit?usp=sharing"",""งบพรบ!BQ16"")"),0)</f>
        <v>0</v>
      </c>
      <c r="N140" s="93">
        <f ca="1">IFERROR(__xludf.DUMMYFUNCTION("IMPORTRANGE(""https://docs.google.com/spreadsheets/d/1MeEWN-I1oV_STSDYn1IFDPWt_1FKiwhDph83XaGc0o0/edit?usp=sharing"",""งบพรบ!BS16"")"),0)</f>
        <v>0</v>
      </c>
      <c r="O140" s="93">
        <f t="shared" ca="1" si="70"/>
        <v>0</v>
      </c>
      <c r="P140" s="93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818" t="s">
        <v>38</v>
      </c>
      <c r="E141" s="173"/>
      <c r="F141" s="173"/>
      <c r="G141" s="174"/>
      <c r="H141" s="168"/>
      <c r="I141" s="269"/>
      <c r="J141" s="269"/>
      <c r="K141" s="465"/>
      <c r="L141" s="465"/>
      <c r="M141" s="465"/>
      <c r="N141" s="465"/>
      <c r="O141" s="465"/>
      <c r="P141" s="465"/>
    </row>
    <row r="142" spans="1:26" ht="19.5" hidden="1">
      <c r="A142" s="159"/>
      <c r="B142" s="33"/>
      <c r="C142" s="210"/>
      <c r="D142" s="281" t="s">
        <v>71</v>
      </c>
      <c r="E142" s="34"/>
      <c r="F142" s="33"/>
      <c r="G142" s="213"/>
      <c r="H142" s="168"/>
      <c r="I142" s="269"/>
      <c r="J142" s="214">
        <v>0</v>
      </c>
      <c r="K142" s="465"/>
      <c r="L142" s="465"/>
      <c r="M142" s="465"/>
      <c r="N142" s="465"/>
      <c r="O142" s="465"/>
      <c r="P142" s="465"/>
    </row>
    <row r="143" spans="1:26" ht="19.5" hidden="1">
      <c r="A143" s="159"/>
      <c r="B143" s="33"/>
      <c r="C143" s="210"/>
      <c r="D143" s="281" t="s">
        <v>72</v>
      </c>
      <c r="E143" s="34"/>
      <c r="F143" s="33"/>
      <c r="G143" s="213"/>
      <c r="H143" s="168" t="s">
        <v>35</v>
      </c>
      <c r="I143" s="269">
        <f ca="1">I145</f>
        <v>0</v>
      </c>
      <c r="J143" s="269">
        <f ca="1">IF(AND(J144&gt;=I144,J145&gt;=I145),J145,0)</f>
        <v>0</v>
      </c>
      <c r="K143" s="465">
        <f t="shared" ref="K143:K146" ca="1" si="75">IF(I143&gt;0,J143*100/I143,0)</f>
        <v>0</v>
      </c>
      <c r="L143" s="465"/>
      <c r="M143" s="465"/>
      <c r="N143" s="465"/>
      <c r="O143" s="465"/>
      <c r="P143" s="465"/>
    </row>
    <row r="144" spans="1:26" ht="19.5" hidden="1">
      <c r="A144" s="159"/>
      <c r="B144" s="33"/>
      <c r="C144" s="210"/>
      <c r="D144" s="342"/>
      <c r="E144" s="281" t="s">
        <v>73</v>
      </c>
      <c r="F144" s="33"/>
      <c r="G144" s="213"/>
      <c r="H144" s="168" t="s">
        <v>35</v>
      </c>
      <c r="I144" s="269">
        <f ca="1">IFERROR(__xludf.DUMMYFUNCTION("IMPORTRANGE(""https://docs.google.com/spreadsheets/d/1QqKyyYR6Q21VydFLVH3TRQUabQu_ym0Zz7PgGX0-kHA/edit?usp=sharing"",""แผน!U16"")"),0)</f>
        <v>0</v>
      </c>
      <c r="J144" s="214">
        <v>0</v>
      </c>
      <c r="K144" s="465">
        <f t="shared" ca="1" si="75"/>
        <v>0</v>
      </c>
      <c r="L144" s="465"/>
      <c r="M144" s="465"/>
      <c r="N144" s="465"/>
      <c r="O144" s="465"/>
      <c r="P144" s="465"/>
    </row>
    <row r="145" spans="1:26" ht="19.5" hidden="1">
      <c r="A145" s="159"/>
      <c r="B145" s="33"/>
      <c r="C145" s="210"/>
      <c r="D145" s="342"/>
      <c r="E145" s="281" t="s">
        <v>74</v>
      </c>
      <c r="F145" s="33"/>
      <c r="G145" s="213"/>
      <c r="H145" s="168" t="s">
        <v>35</v>
      </c>
      <c r="I145" s="269">
        <f ca="1">IFERROR(__xludf.DUMMYFUNCTION("IMPORTRANGE(""https://docs.google.com/spreadsheets/d/1QqKyyYR6Q21VydFLVH3TRQUabQu_ym0Zz7PgGX0-kHA/edit?usp=sharing"",""แผน!V16"")"),0)</f>
        <v>0</v>
      </c>
      <c r="J145" s="214">
        <v>0</v>
      </c>
      <c r="K145" s="465">
        <f t="shared" ca="1" si="75"/>
        <v>0</v>
      </c>
      <c r="L145" s="465"/>
      <c r="M145" s="465"/>
      <c r="N145" s="465"/>
      <c r="O145" s="465"/>
      <c r="P145" s="465"/>
    </row>
    <row r="146" spans="1:26" ht="19.5" hidden="1">
      <c r="A146" s="159"/>
      <c r="B146" s="33"/>
      <c r="C146" s="210"/>
      <c r="D146" s="281" t="s">
        <v>75</v>
      </c>
      <c r="E146" s="34"/>
      <c r="F146" s="33"/>
      <c r="G146" s="213"/>
      <c r="H146" s="168" t="s">
        <v>69</v>
      </c>
      <c r="I146" s="269">
        <f ca="1">IFERROR(__xludf.DUMMYFUNCTION("IMPORTRANGE(""https://docs.google.com/spreadsheets/d/1QqKyyYR6Q21VydFLVH3TRQUabQu_ym0Zz7PgGX0-kHA/edit?usp=sharing"",""แผน!W16"")"),0)</f>
        <v>0</v>
      </c>
      <c r="J146" s="214">
        <v>0</v>
      </c>
      <c r="K146" s="465">
        <f t="shared" ca="1" si="75"/>
        <v>0</v>
      </c>
      <c r="L146" s="465"/>
      <c r="M146" s="465"/>
      <c r="N146" s="465"/>
      <c r="O146" s="465"/>
      <c r="P146" s="465"/>
    </row>
    <row r="147" spans="1:26" ht="19.5" hidden="1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 hidden="1">
      <c r="A148" s="216"/>
      <c r="B148" s="208" t="s">
        <v>77</v>
      </c>
      <c r="C148" s="208"/>
      <c r="D148" s="208"/>
      <c r="E148" s="819"/>
      <c r="F148" s="218"/>
      <c r="G148" s="219"/>
      <c r="H148" s="220" t="s">
        <v>35</v>
      </c>
      <c r="I148" s="144">
        <f t="shared" ref="I148:J148" ca="1" si="76">I159</f>
        <v>0</v>
      </c>
      <c r="J148" s="144">
        <f t="shared" si="76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1"/>
      <c r="R148" s="221"/>
      <c r="S148" s="221"/>
      <c r="T148" s="221"/>
      <c r="U148" s="221"/>
      <c r="V148" s="221"/>
      <c r="W148" s="221"/>
      <c r="X148" s="221"/>
      <c r="Y148" s="221"/>
      <c r="Z148" s="221"/>
    </row>
    <row r="149" spans="1:26" ht="19.5" hidden="1">
      <c r="A149" s="147"/>
      <c r="B149" s="148"/>
      <c r="C149" s="149" t="s">
        <v>16</v>
      </c>
      <c r="D149" s="817" t="s">
        <v>17</v>
      </c>
      <c r="E149" s="148"/>
      <c r="F149" s="148"/>
      <c r="G149" s="151"/>
      <c r="H149" s="152" t="s">
        <v>12</v>
      </c>
      <c r="I149" s="388"/>
      <c r="J149" s="388"/>
      <c r="K149" s="154"/>
      <c r="L149" s="155">
        <f t="shared" ref="L149:N149" ca="1" si="77">L150+L151</f>
        <v>0</v>
      </c>
      <c r="M149" s="155">
        <f t="shared" ca="1" si="77"/>
        <v>0</v>
      </c>
      <c r="N149" s="155">
        <f t="shared" ca="1" si="77"/>
        <v>0</v>
      </c>
      <c r="O149" s="155">
        <f t="shared" ref="O149:O157" ca="1" si="78">IF(L149&gt;0,N149*100/L149,0)</f>
        <v>0</v>
      </c>
      <c r="P149" s="155">
        <f t="shared" ref="P149:P157" ca="1" si="79">IF(M149&gt;0,N149*100/M149,0)</f>
        <v>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2" t="s">
        <v>18</v>
      </c>
      <c r="F150" s="40"/>
      <c r="G150" s="157"/>
      <c r="H150" s="158" t="s">
        <v>12</v>
      </c>
      <c r="I150" s="583"/>
      <c r="J150" s="583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2" t="s">
        <v>19</v>
      </c>
      <c r="F151" s="40"/>
      <c r="G151" s="157"/>
      <c r="H151" s="158" t="s">
        <v>12</v>
      </c>
      <c r="I151" s="583"/>
      <c r="J151" s="583"/>
      <c r="K151" s="93"/>
      <c r="L151" s="93">
        <f t="shared" ca="1" si="80"/>
        <v>0</v>
      </c>
      <c r="M151" s="93">
        <f t="shared" ca="1" si="80"/>
        <v>0</v>
      </c>
      <c r="N151" s="93">
        <f t="shared" ca="1" si="80"/>
        <v>0</v>
      </c>
      <c r="O151" s="93">
        <f t="shared" ca="1" si="78"/>
        <v>0</v>
      </c>
      <c r="P151" s="93">
        <f t="shared" ca="1" si="79"/>
        <v>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 hidden="1">
      <c r="A152" s="159"/>
      <c r="B152" s="33"/>
      <c r="C152" s="281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65">
        <f t="shared" ref="L152:N152" ca="1" si="81">L153+L154</f>
        <v>0</v>
      </c>
      <c r="M152" s="465">
        <f t="shared" ca="1" si="81"/>
        <v>0</v>
      </c>
      <c r="N152" s="465">
        <f t="shared" ca="1" si="81"/>
        <v>0</v>
      </c>
      <c r="O152" s="465">
        <f t="shared" ca="1" si="78"/>
        <v>0</v>
      </c>
      <c r="P152" s="465">
        <f t="shared" ca="1" si="79"/>
        <v>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2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2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IFERROR(__xludf.DUMMYFUNCTION("IMPORTRANGE(""https://docs.google.com/spreadsheets/d/1MeEWN-I1oV_STSDYn1IFDPWt_1FKiwhDph83XaGc0o0/edit?usp=sharing"",""งบพรบ!BU16"")"),0)</f>
        <v>0</v>
      </c>
      <c r="M154" s="93">
        <f ca="1">IFERROR(__xludf.DUMMYFUNCTION("IMPORTRANGE(""https://docs.google.com/spreadsheets/d/1MeEWN-I1oV_STSDYn1IFDPWt_1FKiwhDph83XaGc0o0/edit?usp=sharing"",""งบพรบ!BZ16"")"),0)</f>
        <v>0</v>
      </c>
      <c r="N154" s="93">
        <f ca="1">IFERROR(__xludf.DUMMYFUNCTION("IMPORTRANGE(""https://docs.google.com/spreadsheets/d/1MeEWN-I1oV_STSDYn1IFDPWt_1FKiwhDph83XaGc0o0/edit?usp=sharing"",""งบพรบ!CB16"")"),0)</f>
        <v>0</v>
      </c>
      <c r="O154" s="93">
        <f t="shared" ca="1" si="78"/>
        <v>0</v>
      </c>
      <c r="P154" s="93">
        <f t="shared" ca="1" si="79"/>
        <v>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 hidden="1">
      <c r="A155" s="159"/>
      <c r="B155" s="33"/>
      <c r="C155" s="281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65">
        <f t="shared" ref="L155:N155" ca="1" si="82">L156+L157</f>
        <v>0</v>
      </c>
      <c r="M155" s="465">
        <f t="shared" ca="1" si="82"/>
        <v>0</v>
      </c>
      <c r="N155" s="465">
        <f t="shared" ca="1" si="82"/>
        <v>0</v>
      </c>
      <c r="O155" s="465">
        <f t="shared" ca="1" si="78"/>
        <v>0</v>
      </c>
      <c r="P155" s="465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2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2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IFERROR(__xludf.DUMMYFUNCTION("IMPORTRANGE(""https://docs.google.com/spreadsheets/d/1MeEWN-I1oV_STSDYn1IFDPWt_1FKiwhDph83XaGc0o0/edit?usp=sharing"",""งบพรบ!BX16"")"),0)</f>
        <v>0</v>
      </c>
      <c r="M157" s="93">
        <f ca="1">IFERROR(__xludf.DUMMYFUNCTION("IMPORTRANGE(""https://docs.google.com/spreadsheets/d/1MeEWN-I1oV_STSDYn1IFDPWt_1FKiwhDph83XaGc0o0/edit?usp=sharing"",""งบพรบ!CA16"")"),0)</f>
        <v>0</v>
      </c>
      <c r="N157" s="93">
        <f ca="1">IFERROR(__xludf.DUMMYFUNCTION("IMPORTRANGE(""https://docs.google.com/spreadsheets/d/1MeEWN-I1oV_STSDYn1IFDPWt_1FKiwhDph83XaGc0o0/edit?usp=sharing"",""งบพรบ!CC16"")"),0)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 hidden="1">
      <c r="A158" s="170"/>
      <c r="B158" s="171"/>
      <c r="C158" s="164" t="s">
        <v>16</v>
      </c>
      <c r="D158" s="818" t="s">
        <v>38</v>
      </c>
      <c r="E158" s="173"/>
      <c r="F158" s="173"/>
      <c r="G158" s="174"/>
      <c r="H158" s="168"/>
      <c r="I158" s="269"/>
      <c r="J158" s="269"/>
      <c r="K158" s="465"/>
      <c r="L158" s="465"/>
      <c r="M158" s="465"/>
      <c r="N158" s="465"/>
      <c r="O158" s="465"/>
      <c r="P158" s="465"/>
    </row>
    <row r="159" spans="1:26" ht="19.5" hidden="1">
      <c r="A159" s="159"/>
      <c r="B159" s="33"/>
      <c r="C159" s="210"/>
      <c r="D159" s="281" t="s">
        <v>78</v>
      </c>
      <c r="E159" s="34"/>
      <c r="F159" s="33"/>
      <c r="G159" s="213"/>
      <c r="H159" s="168" t="s">
        <v>35</v>
      </c>
      <c r="I159" s="269">
        <f ca="1">IFERROR(__xludf.DUMMYFUNCTION("IMPORTRANGE(""https://docs.google.com/spreadsheets/d/1QqKyyYR6Q21VydFLVH3TRQUabQu_ym0Zz7PgGX0-kHA/edit?usp=sharing"",""แผน!X16"")"),0)</f>
        <v>0</v>
      </c>
      <c r="J159" s="214">
        <v>0</v>
      </c>
      <c r="K159" s="465">
        <f ca="1">IF(I159&gt;0,J159*100/I159,0)</f>
        <v>0</v>
      </c>
      <c r="L159" s="465"/>
      <c r="M159" s="465"/>
      <c r="N159" s="465"/>
      <c r="O159" s="465"/>
      <c r="P159" s="465"/>
    </row>
    <row r="160" spans="1:26" ht="19.5" hidden="1">
      <c r="A160" s="156"/>
      <c r="B160" s="40"/>
      <c r="C160" s="164"/>
      <c r="D160" s="222" t="s">
        <v>79</v>
      </c>
      <c r="E160" s="223"/>
      <c r="F160" s="40"/>
      <c r="G160" s="157"/>
      <c r="H160" s="169" t="s">
        <v>35</v>
      </c>
      <c r="I160" s="583"/>
      <c r="J160" s="583"/>
      <c r="K160" s="93"/>
      <c r="L160" s="93"/>
      <c r="M160" s="93"/>
      <c r="N160" s="93"/>
      <c r="O160" s="93"/>
      <c r="P160" s="93"/>
      <c r="Q160" s="224"/>
      <c r="R160" s="224"/>
      <c r="S160" s="224"/>
      <c r="T160" s="224"/>
      <c r="U160" s="224"/>
      <c r="V160" s="224"/>
      <c r="W160" s="224"/>
      <c r="X160" s="224"/>
      <c r="Y160" s="224"/>
      <c r="Z160" s="224"/>
    </row>
    <row r="161" spans="1:26" ht="19.5" hidden="1">
      <c r="A161" s="225"/>
      <c r="B161" s="226"/>
      <c r="C161" s="227"/>
      <c r="D161" s="228" t="s">
        <v>80</v>
      </c>
      <c r="E161" s="820"/>
      <c r="F161" s="226"/>
      <c r="G161" s="230"/>
      <c r="H161" s="231" t="s">
        <v>35</v>
      </c>
      <c r="I161" s="232"/>
      <c r="J161" s="232"/>
      <c r="K161" s="233"/>
      <c r="L161" s="233"/>
      <c r="M161" s="233"/>
      <c r="N161" s="233"/>
      <c r="O161" s="233"/>
      <c r="P161" s="233"/>
      <c r="Q161" s="224"/>
      <c r="R161" s="224"/>
      <c r="S161" s="224"/>
      <c r="T161" s="224"/>
      <c r="U161" s="224"/>
      <c r="V161" s="224"/>
      <c r="W161" s="224"/>
      <c r="X161" s="224"/>
      <c r="Y161" s="224"/>
      <c r="Z161" s="224"/>
    </row>
    <row r="162" spans="1:26" ht="19.5">
      <c r="A162" s="234" t="s">
        <v>81</v>
      </c>
      <c r="B162" s="235"/>
      <c r="C162" s="235"/>
      <c r="D162" s="235"/>
      <c r="E162" s="236"/>
      <c r="F162" s="236"/>
      <c r="G162" s="237"/>
      <c r="H162" s="238"/>
      <c r="I162" s="239"/>
      <c r="J162" s="239"/>
      <c r="K162" s="240"/>
      <c r="L162" s="240"/>
      <c r="M162" s="240"/>
      <c r="N162" s="240"/>
      <c r="O162" s="240"/>
      <c r="P162" s="240"/>
    </row>
    <row r="163" spans="1:26" ht="19.5">
      <c r="A163" s="241" t="s">
        <v>82</v>
      </c>
      <c r="B163" s="242"/>
      <c r="C163" s="242"/>
      <c r="D163" s="243"/>
      <c r="E163" s="243"/>
      <c r="F163" s="243"/>
      <c r="G163" s="244"/>
      <c r="H163" s="245"/>
      <c r="I163" s="246"/>
      <c r="J163" s="246"/>
      <c r="K163" s="247"/>
      <c r="L163" s="247"/>
      <c r="M163" s="247"/>
      <c r="N163" s="247"/>
      <c r="O163" s="247"/>
      <c r="P163" s="247"/>
    </row>
    <row r="164" spans="1:26" ht="19.5">
      <c r="A164" s="248"/>
      <c r="B164" s="249" t="s">
        <v>83</v>
      </c>
      <c r="C164" s="250"/>
      <c r="D164" s="173"/>
      <c r="E164" s="173"/>
      <c r="F164" s="173"/>
      <c r="G164" s="174"/>
      <c r="H164" s="251" t="s">
        <v>35</v>
      </c>
      <c r="I164" s="252">
        <f t="shared" ref="I164:J164" ca="1" si="83">I174+I177</f>
        <v>11</v>
      </c>
      <c r="J164" s="252">
        <f t="shared" si="83"/>
        <v>11</v>
      </c>
      <c r="K164" s="253">
        <f ca="1">IF(I164&gt;0,J164*100/I164,0)</f>
        <v>100</v>
      </c>
      <c r="L164" s="254"/>
      <c r="M164" s="254"/>
      <c r="N164" s="254"/>
      <c r="O164" s="254"/>
      <c r="P164" s="254"/>
    </row>
    <row r="165" spans="1:26" ht="19.5">
      <c r="A165" s="147"/>
      <c r="B165" s="148"/>
      <c r="C165" s="149" t="s">
        <v>16</v>
      </c>
      <c r="D165" s="817" t="s">
        <v>17</v>
      </c>
      <c r="E165" s="148"/>
      <c r="F165" s="148"/>
      <c r="G165" s="151"/>
      <c r="H165" s="152" t="s">
        <v>12</v>
      </c>
      <c r="I165" s="388"/>
      <c r="J165" s="388"/>
      <c r="K165" s="154"/>
      <c r="L165" s="155">
        <f t="shared" ref="L165:N165" ca="1" si="84">L166+L167</f>
        <v>22055</v>
      </c>
      <c r="M165" s="155">
        <f t="shared" ca="1" si="84"/>
        <v>22055</v>
      </c>
      <c r="N165" s="155">
        <f t="shared" ca="1" si="84"/>
        <v>22055</v>
      </c>
      <c r="O165" s="155">
        <f t="shared" ref="O165:O173" ca="1" si="85">IF(L165&gt;0,N165*100/L165,0)</f>
        <v>100</v>
      </c>
      <c r="P165" s="155">
        <f t="shared" ref="P165:P173" ca="1" si="86">IF(M165&gt;0,N165*100/M165,0)</f>
        <v>100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2" t="s">
        <v>18</v>
      </c>
      <c r="F166" s="40"/>
      <c r="G166" s="157"/>
      <c r="H166" s="158" t="s">
        <v>12</v>
      </c>
      <c r="I166" s="583"/>
      <c r="J166" s="583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2" t="s">
        <v>19</v>
      </c>
      <c r="F167" s="40"/>
      <c r="G167" s="157"/>
      <c r="H167" s="158" t="s">
        <v>12</v>
      </c>
      <c r="I167" s="583"/>
      <c r="J167" s="583"/>
      <c r="K167" s="93"/>
      <c r="L167" s="93">
        <f t="shared" ca="1" si="87"/>
        <v>22055</v>
      </c>
      <c r="M167" s="93">
        <f t="shared" ca="1" si="87"/>
        <v>22055</v>
      </c>
      <c r="N167" s="93">
        <f t="shared" ca="1" si="87"/>
        <v>22055</v>
      </c>
      <c r="O167" s="93">
        <f t="shared" ca="1" si="85"/>
        <v>100</v>
      </c>
      <c r="P167" s="93">
        <f t="shared" ca="1" si="86"/>
        <v>100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1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65">
        <f t="shared" ref="L168:N168" ca="1" si="88">L169+L170</f>
        <v>22055</v>
      </c>
      <c r="M168" s="465">
        <f t="shared" ca="1" si="88"/>
        <v>22055</v>
      </c>
      <c r="N168" s="465">
        <f t="shared" ca="1" si="88"/>
        <v>22055</v>
      </c>
      <c r="O168" s="465">
        <f t="shared" ca="1" si="85"/>
        <v>100</v>
      </c>
      <c r="P168" s="465">
        <f t="shared" ca="1" si="86"/>
        <v>100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2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2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IFERROR(__xludf.DUMMYFUNCTION("IMPORTRANGE(""https://docs.google.com/spreadsheets/d/1MeEWN-I1oV_STSDYn1IFDPWt_1FKiwhDph83XaGc0o0/edit?usp=sharing"",""งบพรบ!CE16"")"),22055)</f>
        <v>22055</v>
      </c>
      <c r="M170" s="93">
        <f ca="1">IFERROR(__xludf.DUMMYFUNCTION("IMPORTRANGE(""https://docs.google.com/spreadsheets/d/1MeEWN-I1oV_STSDYn1IFDPWt_1FKiwhDph83XaGc0o0/edit?usp=sharing"",""งบพรบ!CJ16"")"),22055)</f>
        <v>22055</v>
      </c>
      <c r="N170" s="93">
        <f ca="1">IFERROR(__xludf.DUMMYFUNCTION("IMPORTRANGE(""https://docs.google.com/spreadsheets/d/1MeEWN-I1oV_STSDYn1IFDPWt_1FKiwhDph83XaGc0o0/edit?usp=sharing"",""งบพรบ!CL16"")"),22055)</f>
        <v>22055</v>
      </c>
      <c r="O170" s="93">
        <f t="shared" ca="1" si="85"/>
        <v>100</v>
      </c>
      <c r="P170" s="93">
        <f t="shared" ca="1" si="86"/>
        <v>100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1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65">
        <f t="shared" ref="L171:N171" ca="1" si="89">L172+L173</f>
        <v>0</v>
      </c>
      <c r="M171" s="465">
        <f t="shared" ca="1" si="89"/>
        <v>0</v>
      </c>
      <c r="N171" s="465">
        <f t="shared" ca="1" si="89"/>
        <v>0</v>
      </c>
      <c r="O171" s="465">
        <f t="shared" ca="1" si="85"/>
        <v>0</v>
      </c>
      <c r="P171" s="465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2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2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IFERROR(__xludf.DUMMYFUNCTION("IMPORTRANGE(""https://docs.google.com/spreadsheets/d/1MeEWN-I1oV_STSDYn1IFDPWt_1FKiwhDph83XaGc0o0/edit?usp=sharing"",""งบพรบ!CH16"")"),0)</f>
        <v>0</v>
      </c>
      <c r="M173" s="93">
        <f ca="1">IFERROR(__xludf.DUMMYFUNCTION("IMPORTRANGE(""https://docs.google.com/spreadsheets/d/1MeEWN-I1oV_STSDYn1IFDPWt_1FKiwhDph83XaGc0o0/edit?usp=sharing"",""งบพรบ!CK16"")"),0)</f>
        <v>0</v>
      </c>
      <c r="N173" s="93">
        <f ca="1">IFERROR(__xludf.DUMMYFUNCTION("IMPORTRANGE(""https://docs.google.com/spreadsheets/d/1MeEWN-I1oV_STSDYn1IFDPWt_1FKiwhDph83XaGc0o0/edit?usp=sharing"",""งบพรบ!CM16"")"),0)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5"/>
      <c r="B174" s="256"/>
      <c r="C174" s="257" t="s">
        <v>84</v>
      </c>
      <c r="D174" s="256"/>
      <c r="E174" s="256"/>
      <c r="F174" s="256"/>
      <c r="G174" s="258"/>
      <c r="H174" s="259" t="s">
        <v>35</v>
      </c>
      <c r="I174" s="260">
        <f t="shared" ref="I174:J174" ca="1" si="90">I176</f>
        <v>11</v>
      </c>
      <c r="J174" s="260">
        <f t="shared" si="90"/>
        <v>11</v>
      </c>
      <c r="K174" s="261">
        <f ca="1">IF(I174&gt;0,J174*100/I174,0)</f>
        <v>100</v>
      </c>
      <c r="L174" s="261"/>
      <c r="M174" s="261"/>
      <c r="N174" s="261"/>
      <c r="O174" s="261"/>
      <c r="P174" s="261"/>
    </row>
    <row r="175" spans="1:26" ht="19.5">
      <c r="A175" s="170"/>
      <c r="B175" s="171"/>
      <c r="C175" s="164" t="s">
        <v>16</v>
      </c>
      <c r="D175" s="818" t="s">
        <v>38</v>
      </c>
      <c r="E175" s="173"/>
      <c r="F175" s="173"/>
      <c r="G175" s="174"/>
      <c r="H175" s="726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10" t="s">
        <v>85</v>
      </c>
      <c r="E176" s="342"/>
      <c r="F176" s="342"/>
      <c r="G176" s="179"/>
      <c r="H176" s="589" t="s">
        <v>35</v>
      </c>
      <c r="I176" s="269">
        <f ca="1">IFERROR(__xludf.DUMMYFUNCTION("IMPORTRANGE(""https://docs.google.com/spreadsheets/d/1QqKyyYR6Q21VydFLVH3TRQUabQu_ym0Zz7PgGX0-kHA/edit?usp=sharing"",""แผน!Y16"")"),11)</f>
        <v>11</v>
      </c>
      <c r="J176" s="214">
        <v>11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5"/>
      <c r="B177" s="263"/>
      <c r="C177" s="264" t="s">
        <v>86</v>
      </c>
      <c r="D177" s="263"/>
      <c r="E177" s="256"/>
      <c r="F177" s="256"/>
      <c r="G177" s="258"/>
      <c r="H177" s="265" t="s">
        <v>35</v>
      </c>
      <c r="I177" s="260"/>
      <c r="J177" s="260">
        <f>J179</f>
        <v>0</v>
      </c>
      <c r="K177" s="261"/>
      <c r="L177" s="261"/>
      <c r="M177" s="261"/>
      <c r="N177" s="261"/>
      <c r="O177" s="261"/>
      <c r="P177" s="261"/>
    </row>
    <row r="178" spans="1:26" ht="19.5" hidden="1">
      <c r="A178" s="170"/>
      <c r="B178" s="171"/>
      <c r="C178" s="164" t="s">
        <v>16</v>
      </c>
      <c r="D178" s="266" t="s">
        <v>38</v>
      </c>
      <c r="E178" s="173"/>
      <c r="F178" s="173"/>
      <c r="G178" s="174"/>
      <c r="H178" s="726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267" t="s">
        <v>87</v>
      </c>
      <c r="E179" s="342"/>
      <c r="F179" s="268"/>
      <c r="G179" s="179"/>
      <c r="H179" s="43" t="s">
        <v>35</v>
      </c>
      <c r="I179" s="269"/>
      <c r="J179" s="269"/>
      <c r="K179" s="163"/>
      <c r="L179" s="163"/>
      <c r="M179" s="163"/>
      <c r="N179" s="163"/>
      <c r="O179" s="163"/>
      <c r="P179" s="163"/>
    </row>
    <row r="180" spans="1:26" ht="19.5">
      <c r="A180" s="248"/>
      <c r="B180" s="249" t="s">
        <v>88</v>
      </c>
      <c r="C180" s="250"/>
      <c r="D180" s="173"/>
      <c r="E180" s="173"/>
      <c r="F180" s="173"/>
      <c r="G180" s="174"/>
      <c r="H180" s="251" t="s">
        <v>35</v>
      </c>
      <c r="I180" s="252"/>
      <c r="J180" s="252">
        <f>J225+J226</f>
        <v>0</v>
      </c>
      <c r="K180" s="253">
        <f>IF(I180&gt;0,J180*100/I180,0)</f>
        <v>0</v>
      </c>
      <c r="L180" s="254"/>
      <c r="M180" s="254"/>
      <c r="N180" s="254"/>
      <c r="O180" s="254"/>
      <c r="P180" s="254"/>
    </row>
    <row r="181" spans="1:26" ht="19.5">
      <c r="A181" s="147"/>
      <c r="B181" s="148"/>
      <c r="C181" s="149" t="s">
        <v>16</v>
      </c>
      <c r="D181" s="817" t="s">
        <v>17</v>
      </c>
      <c r="E181" s="148"/>
      <c r="F181" s="148"/>
      <c r="G181" s="151"/>
      <c r="H181" s="152" t="s">
        <v>12</v>
      </c>
      <c r="I181" s="388"/>
      <c r="J181" s="388"/>
      <c r="K181" s="154"/>
      <c r="L181" s="155">
        <f t="shared" ref="L181:N181" ca="1" si="91">L182+L183</f>
        <v>757600</v>
      </c>
      <c r="M181" s="155">
        <f t="shared" ca="1" si="91"/>
        <v>380750</v>
      </c>
      <c r="N181" s="155">
        <f t="shared" ca="1" si="91"/>
        <v>102748.61</v>
      </c>
      <c r="O181" s="155">
        <f t="shared" ref="O181:O189" ca="1" si="92">IF(L181&gt;0,N181*100/L181,0)</f>
        <v>13.56238252375924</v>
      </c>
      <c r="P181" s="155">
        <f t="shared" ref="P181:P189" ca="1" si="93">IF(M181&gt;0,N181*100/M181,0)</f>
        <v>26.985846355876561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2" t="s">
        <v>18</v>
      </c>
      <c r="F182" s="40"/>
      <c r="G182" s="157"/>
      <c r="H182" s="158" t="s">
        <v>12</v>
      </c>
      <c r="I182" s="583"/>
      <c r="J182" s="583"/>
      <c r="K182" s="93"/>
      <c r="L182" s="93">
        <f t="shared" ref="L182:N183" si="94">L185+L188</f>
        <v>0</v>
      </c>
      <c r="M182" s="93">
        <f t="shared" si="94"/>
        <v>0</v>
      </c>
      <c r="N182" s="93">
        <f t="shared" si="94"/>
        <v>0</v>
      </c>
      <c r="O182" s="93">
        <f t="shared" si="92"/>
        <v>0</v>
      </c>
      <c r="P182" s="93">
        <f t="shared" si="93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2" t="s">
        <v>19</v>
      </c>
      <c r="F183" s="40"/>
      <c r="G183" s="157"/>
      <c r="H183" s="158" t="s">
        <v>12</v>
      </c>
      <c r="I183" s="583"/>
      <c r="J183" s="583"/>
      <c r="K183" s="93"/>
      <c r="L183" s="93">
        <f t="shared" ca="1" si="94"/>
        <v>757600</v>
      </c>
      <c r="M183" s="93">
        <f t="shared" ca="1" si="94"/>
        <v>380750</v>
      </c>
      <c r="N183" s="93">
        <f t="shared" ca="1" si="94"/>
        <v>102748.61</v>
      </c>
      <c r="O183" s="93">
        <f t="shared" ca="1" si="92"/>
        <v>13.56238252375924</v>
      </c>
      <c r="P183" s="93">
        <f t="shared" ca="1" si="93"/>
        <v>26.985846355876561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1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65">
        <f t="shared" ref="L184:N184" ca="1" si="95">L185+L186</f>
        <v>757600</v>
      </c>
      <c r="M184" s="465">
        <f t="shared" ca="1" si="95"/>
        <v>380750</v>
      </c>
      <c r="N184" s="465">
        <f t="shared" ca="1" si="95"/>
        <v>102748.61</v>
      </c>
      <c r="O184" s="465">
        <f t="shared" ca="1" si="92"/>
        <v>13.56238252375924</v>
      </c>
      <c r="P184" s="465">
        <f t="shared" ca="1" si="93"/>
        <v>26.985846355876561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2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2"/>
        <v>0</v>
      </c>
      <c r="P185" s="93">
        <f t="shared" si="93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2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IFERROR(__xludf.DUMMYFUNCTION("IMPORTRANGE(""https://docs.google.com/spreadsheets/d/1MeEWN-I1oV_STSDYn1IFDPWt_1FKiwhDph83XaGc0o0/edit?usp=sharing"",""งบพรบ!CO16"")"),757600)</f>
        <v>757600</v>
      </c>
      <c r="M186" s="93">
        <f ca="1">IFERROR(__xludf.DUMMYFUNCTION("IMPORTRANGE(""https://docs.google.com/spreadsheets/d/1MeEWN-I1oV_STSDYn1IFDPWt_1FKiwhDph83XaGc0o0/edit?usp=sharing"",""งบพรบ!CT16"")"),380750)</f>
        <v>380750</v>
      </c>
      <c r="N186" s="93">
        <f ca="1">IFERROR(__xludf.DUMMYFUNCTION("IMPORTRANGE(""https://docs.google.com/spreadsheets/d/1MeEWN-I1oV_STSDYn1IFDPWt_1FKiwhDph83XaGc0o0/edit?usp=sharing"",""งบพรบ!CV16"")"),102748.61)</f>
        <v>102748.61</v>
      </c>
      <c r="O186" s="93">
        <f t="shared" ca="1" si="92"/>
        <v>13.56238252375924</v>
      </c>
      <c r="P186" s="93">
        <f t="shared" ca="1" si="93"/>
        <v>26.985846355876561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1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65">
        <f t="shared" ref="L187:N187" ca="1" si="96">L188+L189</f>
        <v>0</v>
      </c>
      <c r="M187" s="465">
        <f t="shared" ca="1" si="96"/>
        <v>0</v>
      </c>
      <c r="N187" s="465">
        <f t="shared" ca="1" si="96"/>
        <v>0</v>
      </c>
      <c r="O187" s="465">
        <f t="shared" ca="1" si="92"/>
        <v>0</v>
      </c>
      <c r="P187" s="465">
        <f t="shared" ca="1" si="93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2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2"/>
        <v>0</v>
      </c>
      <c r="P188" s="93">
        <f t="shared" si="93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2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IFERROR(__xludf.DUMMYFUNCTION("IMPORTRANGE(""https://docs.google.com/spreadsheets/d/1MeEWN-I1oV_STSDYn1IFDPWt_1FKiwhDph83XaGc0o0/edit?usp=sharing"",""งบพรบ!CR16"")"),0)</f>
        <v>0</v>
      </c>
      <c r="M189" s="93">
        <f ca="1">IFERROR(__xludf.DUMMYFUNCTION("IMPORTRANGE(""https://docs.google.com/spreadsheets/d/1MeEWN-I1oV_STSDYn1IFDPWt_1FKiwhDph83XaGc0o0/edit?usp=sharing"",""งบพรบ!CU16"")"),0)</f>
        <v>0</v>
      </c>
      <c r="N189" s="93">
        <f ca="1">IFERROR(__xludf.DUMMYFUNCTION("IMPORTRANGE(""https://docs.google.com/spreadsheets/d/1MeEWN-I1oV_STSDYn1IFDPWt_1FKiwhDph83XaGc0o0/edit?usp=sharing"",""งบพรบ!CW16"")"),0)</f>
        <v>0</v>
      </c>
      <c r="O189" s="93">
        <f t="shared" ca="1" si="92"/>
        <v>0</v>
      </c>
      <c r="P189" s="93">
        <f t="shared" ca="1" si="93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5"/>
      <c r="B190" s="263"/>
      <c r="C190" s="339" t="s">
        <v>89</v>
      </c>
      <c r="D190" s="256"/>
      <c r="E190" s="256"/>
      <c r="F190" s="256"/>
      <c r="G190" s="258"/>
      <c r="H190" s="259" t="s">
        <v>90</v>
      </c>
      <c r="I190" s="271">
        <f t="shared" ref="I190:J190" ca="1" si="97">I193</f>
        <v>4</v>
      </c>
      <c r="J190" s="271">
        <f t="shared" si="97"/>
        <v>0</v>
      </c>
      <c r="K190" s="272">
        <f ca="1">IF(I190&gt;0,J190*100/I190,0)</f>
        <v>0</v>
      </c>
      <c r="L190" s="261"/>
      <c r="M190" s="261"/>
      <c r="N190" s="261"/>
      <c r="O190" s="261"/>
      <c r="P190" s="261"/>
    </row>
    <row r="191" spans="1:26" ht="19.5">
      <c r="A191" s="147"/>
      <c r="B191" s="148"/>
      <c r="C191" s="149" t="s">
        <v>16</v>
      </c>
      <c r="D191" s="822" t="s">
        <v>17</v>
      </c>
      <c r="E191" s="148"/>
      <c r="F191" s="148"/>
      <c r="G191" s="151"/>
      <c r="H191" s="274" t="s">
        <v>12</v>
      </c>
      <c r="I191" s="388"/>
      <c r="J191" s="388"/>
      <c r="K191" s="154"/>
      <c r="L191" s="155">
        <f ca="1">IFERROR(__xludf.DUMMYFUNCTION("IMPORTRANGE(""https://docs.google.com/spreadsheets/d/1QqKyyYR6Q21VydFLVH3TRQUabQu_ym0Zz7PgGX0-kHA/edit?usp=sharing"",""แผน!Z16"")"),6000)</f>
        <v>6000</v>
      </c>
      <c r="M191" s="155"/>
      <c r="N191" s="275">
        <v>0</v>
      </c>
      <c r="O191" s="155">
        <f ca="1">IF(L191&gt;0,N191*100/L191,0)</f>
        <v>0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0" t="s">
        <v>16</v>
      </c>
      <c r="D192" s="818" t="s">
        <v>38</v>
      </c>
      <c r="E192" s="173"/>
      <c r="F192" s="173"/>
      <c r="G192" s="174"/>
      <c r="H192" s="726"/>
      <c r="I192" s="269"/>
      <c r="J192" s="269"/>
      <c r="K192" s="465"/>
      <c r="L192" s="465"/>
      <c r="M192" s="465"/>
      <c r="N192" s="465"/>
      <c r="O192" s="465"/>
      <c r="P192" s="465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15" t="s">
        <v>91</v>
      </c>
      <c r="E193" s="342"/>
      <c r="F193" s="342"/>
      <c r="G193" s="179"/>
      <c r="H193" s="728" t="s">
        <v>90</v>
      </c>
      <c r="I193" s="269">
        <f ca="1">IFERROR(__xludf.DUMMYFUNCTION("IMPORTRANGE(""https://docs.google.com/spreadsheets/d/1QqKyyYR6Q21VydFLVH3TRQUabQu_ym0Zz7PgGX0-kHA/edit?usp=sharing"",""แผน!AC16"")"),4)</f>
        <v>4</v>
      </c>
      <c r="J193" s="214">
        <v>0</v>
      </c>
      <c r="K193" s="465">
        <f ca="1">IF(I193&gt;0,J193*100/I193,0)</f>
        <v>0</v>
      </c>
      <c r="L193" s="465"/>
      <c r="M193" s="465"/>
      <c r="N193" s="465"/>
      <c r="O193" s="465"/>
      <c r="P193" s="465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15" t="s">
        <v>92</v>
      </c>
      <c r="E194" s="342"/>
      <c r="F194" s="342"/>
      <c r="G194" s="179"/>
      <c r="H194" s="276" t="s">
        <v>35</v>
      </c>
      <c r="I194" s="269"/>
      <c r="J194" s="269">
        <f>J195+J196</f>
        <v>0</v>
      </c>
      <c r="K194" s="465"/>
      <c r="L194" s="465"/>
      <c r="M194" s="465"/>
      <c r="N194" s="465"/>
      <c r="O194" s="465"/>
      <c r="P194" s="465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15" t="s">
        <v>93</v>
      </c>
      <c r="F195" s="342"/>
      <c r="G195" s="179"/>
      <c r="H195" s="276" t="s">
        <v>35</v>
      </c>
      <c r="I195" s="269"/>
      <c r="J195" s="214">
        <v>0</v>
      </c>
      <c r="K195" s="465"/>
      <c r="L195" s="465"/>
      <c r="M195" s="465"/>
      <c r="N195" s="465"/>
      <c r="O195" s="465"/>
      <c r="P195" s="465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15" t="s">
        <v>94</v>
      </c>
      <c r="F196" s="342"/>
      <c r="G196" s="179"/>
      <c r="H196" s="276" t="s">
        <v>35</v>
      </c>
      <c r="I196" s="269"/>
      <c r="J196" s="214">
        <v>0</v>
      </c>
      <c r="K196" s="465"/>
      <c r="L196" s="465"/>
      <c r="M196" s="465"/>
      <c r="N196" s="465"/>
      <c r="O196" s="465"/>
      <c r="P196" s="465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5"/>
      <c r="B197" s="263"/>
      <c r="C197" s="339" t="s">
        <v>95</v>
      </c>
      <c r="D197" s="256"/>
      <c r="E197" s="256"/>
      <c r="F197" s="256"/>
      <c r="G197" s="258"/>
      <c r="H197" s="277" t="s">
        <v>96</v>
      </c>
      <c r="I197" s="271">
        <f t="shared" ref="I197:J197" ca="1" si="98">I204</f>
        <v>2</v>
      </c>
      <c r="J197" s="271">
        <f t="shared" si="98"/>
        <v>0</v>
      </c>
      <c r="K197" s="272">
        <f ca="1">IF(I197&gt;0,J197*100/I197,0)</f>
        <v>0</v>
      </c>
      <c r="L197" s="261"/>
      <c r="M197" s="261"/>
      <c r="N197" s="261"/>
      <c r="O197" s="261"/>
      <c r="P197" s="261"/>
    </row>
    <row r="198" spans="1:26" ht="19.5">
      <c r="A198" s="147"/>
      <c r="B198" s="148"/>
      <c r="C198" s="149" t="s">
        <v>16</v>
      </c>
      <c r="D198" s="822" t="s">
        <v>17</v>
      </c>
      <c r="E198" s="148"/>
      <c r="F198" s="148"/>
      <c r="G198" s="151"/>
      <c r="H198" s="274" t="s">
        <v>12</v>
      </c>
      <c r="I198" s="387"/>
      <c r="J198" s="387"/>
      <c r="K198" s="279"/>
      <c r="L198" s="155">
        <f ca="1">L199+L200+L201+L202</f>
        <v>26000</v>
      </c>
      <c r="M198" s="155"/>
      <c r="N198" s="155">
        <f>N199+N200+N201+N202</f>
        <v>0</v>
      </c>
      <c r="O198" s="155">
        <f ca="1">IF(L198&gt;0,N198*100/L198,0)</f>
        <v>0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0"/>
      <c r="C199" s="33"/>
      <c r="D199" s="281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65">
        <f ca="1">IFERROR(__xludf.DUMMYFUNCTION("IMPORTRANGE(""https://docs.google.com/spreadsheets/d/1QqKyyYR6Q21VydFLVH3TRQUabQu_ym0Zz7PgGX0-kHA/edit?usp=sharing"",""แผน!AE16"")"),2000)</f>
        <v>2000</v>
      </c>
      <c r="M199" s="465"/>
      <c r="N199" s="789">
        <v>0</v>
      </c>
      <c r="O199" s="465"/>
      <c r="P199" s="465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3"/>
      <c r="B200" s="280"/>
      <c r="C200" s="210"/>
      <c r="D200" s="281" t="s">
        <v>98</v>
      </c>
      <c r="E200" s="33"/>
      <c r="F200" s="33"/>
      <c r="G200" s="35"/>
      <c r="H200" s="589" t="s">
        <v>12</v>
      </c>
      <c r="I200" s="269"/>
      <c r="J200" s="269"/>
      <c r="K200" s="465"/>
      <c r="L200" s="465">
        <f ca="1">IFERROR(__xludf.DUMMYFUNCTION("IMPORTRANGE(""https://docs.google.com/spreadsheets/d/1QqKyyYR6Q21VydFLVH3TRQUabQu_ym0Zz7PgGX0-kHA/edit?usp=sharing"",""แผน!AF16"")"),16000)</f>
        <v>16000</v>
      </c>
      <c r="M200" s="465"/>
      <c r="N200" s="789">
        <v>0</v>
      </c>
      <c r="O200" s="465"/>
      <c r="P200" s="465"/>
      <c r="Q200" s="285"/>
      <c r="R200" s="285"/>
      <c r="S200" s="285"/>
      <c r="T200" s="285"/>
      <c r="U200" s="285"/>
      <c r="V200" s="285"/>
      <c r="W200" s="285"/>
      <c r="X200" s="285"/>
      <c r="Y200" s="285"/>
      <c r="Z200" s="285"/>
    </row>
    <row r="201" spans="1:26" ht="19.5">
      <c r="A201" s="283"/>
      <c r="B201" s="280"/>
      <c r="C201" s="210"/>
      <c r="D201" s="281" t="s">
        <v>99</v>
      </c>
      <c r="E201" s="33"/>
      <c r="F201" s="33"/>
      <c r="G201" s="35"/>
      <c r="H201" s="589" t="s">
        <v>12</v>
      </c>
      <c r="I201" s="269"/>
      <c r="J201" s="269"/>
      <c r="K201" s="465"/>
      <c r="L201" s="465">
        <f ca="1">IFERROR(__xludf.DUMMYFUNCTION("IMPORTRANGE(""https://docs.google.com/spreadsheets/d/1QqKyyYR6Q21VydFLVH3TRQUabQu_ym0Zz7PgGX0-kHA/edit?usp=sharing"",""แผน!AG16"")"),8000)</f>
        <v>8000</v>
      </c>
      <c r="M201" s="465"/>
      <c r="N201" s="789">
        <v>0</v>
      </c>
      <c r="O201" s="465"/>
      <c r="P201" s="465"/>
      <c r="Q201" s="285"/>
      <c r="R201" s="285"/>
      <c r="S201" s="285"/>
      <c r="T201" s="285"/>
      <c r="U201" s="285"/>
      <c r="V201" s="285"/>
      <c r="W201" s="285"/>
      <c r="X201" s="285"/>
      <c r="Y201" s="285"/>
      <c r="Z201" s="285"/>
    </row>
    <row r="202" spans="1:26" ht="19.5">
      <c r="A202" s="283"/>
      <c r="B202" s="280"/>
      <c r="C202" s="210"/>
      <c r="D202" s="281" t="s">
        <v>100</v>
      </c>
      <c r="E202" s="33"/>
      <c r="F202" s="33"/>
      <c r="G202" s="35"/>
      <c r="H202" s="589" t="s">
        <v>12</v>
      </c>
      <c r="I202" s="269"/>
      <c r="J202" s="269"/>
      <c r="K202" s="465"/>
      <c r="L202" s="465">
        <f ca="1">IFERROR(__xludf.DUMMYFUNCTION("IMPORTRANGE(""https://docs.google.com/spreadsheets/d/1QqKyyYR6Q21VydFLVH3TRQUabQu_ym0Zz7PgGX0-kHA/edit?usp=sharing"",""แผน!AH16"")"),0)</f>
        <v>0</v>
      </c>
      <c r="M202" s="465"/>
      <c r="N202" s="789">
        <v>0</v>
      </c>
      <c r="O202" s="465"/>
      <c r="P202" s="465"/>
      <c r="Q202" s="285"/>
      <c r="R202" s="285"/>
      <c r="S202" s="285"/>
      <c r="T202" s="285"/>
      <c r="U202" s="285"/>
      <c r="V202" s="285"/>
      <c r="W202" s="285"/>
      <c r="X202" s="285"/>
      <c r="Y202" s="285"/>
      <c r="Z202" s="285"/>
    </row>
    <row r="203" spans="1:26" ht="19.5">
      <c r="A203" s="170"/>
      <c r="B203" s="171"/>
      <c r="C203" s="210" t="s">
        <v>16</v>
      </c>
      <c r="D203" s="818" t="s">
        <v>38</v>
      </c>
      <c r="E203" s="173"/>
      <c r="F203" s="173"/>
      <c r="G203" s="174"/>
      <c r="H203" s="726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343" t="s">
        <v>101</v>
      </c>
      <c r="E204" s="342"/>
      <c r="F204" s="342"/>
      <c r="G204" s="179"/>
      <c r="H204" s="726" t="s">
        <v>96</v>
      </c>
      <c r="I204" s="269">
        <f ca="1">IFERROR(__xludf.DUMMYFUNCTION("IMPORTRANGE(""https://docs.google.com/spreadsheets/d/1QqKyyYR6Q21VydFLVH3TRQUabQu_ym0Zz7PgGX0-kHA/edit?usp=sharing"",""แผน!AI16"")"),2)</f>
        <v>2</v>
      </c>
      <c r="J204" s="214">
        <v>0</v>
      </c>
      <c r="K204" s="163">
        <f ca="1">IF(I204&gt;0,J204*100/I204,0)</f>
        <v>0</v>
      </c>
      <c r="L204" s="465"/>
      <c r="M204" s="465"/>
      <c r="N204" s="465"/>
      <c r="O204" s="465"/>
      <c r="P204" s="465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15" t="s">
        <v>59</v>
      </c>
      <c r="E205" s="342"/>
      <c r="F205" s="342"/>
      <c r="G205" s="179"/>
      <c r="H205" s="726"/>
      <c r="I205" s="269"/>
      <c r="J205" s="269"/>
      <c r="K205" s="163"/>
      <c r="L205" s="465"/>
      <c r="M205" s="465"/>
      <c r="N205" s="465"/>
      <c r="O205" s="465"/>
      <c r="P205" s="465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342"/>
      <c r="E206" s="494" t="s">
        <v>102</v>
      </c>
      <c r="F206" s="286"/>
      <c r="G206" s="287"/>
      <c r="H206" s="288" t="s">
        <v>96</v>
      </c>
      <c r="I206" s="269">
        <v>2</v>
      </c>
      <c r="J206" s="214">
        <v>0</v>
      </c>
      <c r="K206" s="163">
        <f t="shared" ref="K206:K208" si="99">IF(I206&gt;0,J206*100/I206,0)</f>
        <v>0</v>
      </c>
      <c r="L206" s="465"/>
      <c r="M206" s="465"/>
      <c r="N206" s="465"/>
      <c r="O206" s="465"/>
      <c r="P206" s="465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15"/>
      <c r="E207" s="415" t="s">
        <v>103</v>
      </c>
      <c r="F207" s="342"/>
      <c r="G207" s="342"/>
      <c r="H207" s="289" t="s">
        <v>104</v>
      </c>
      <c r="I207" s="269">
        <v>0</v>
      </c>
      <c r="J207" s="214">
        <v>0</v>
      </c>
      <c r="K207" s="163">
        <f t="shared" si="99"/>
        <v>0</v>
      </c>
      <c r="L207" s="465"/>
      <c r="M207" s="465"/>
      <c r="N207" s="465"/>
      <c r="O207" s="465"/>
      <c r="P207" s="465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>
      <c r="A208" s="255"/>
      <c r="B208" s="263"/>
      <c r="C208" s="339" t="s">
        <v>105</v>
      </c>
      <c r="D208" s="256"/>
      <c r="E208" s="256"/>
      <c r="F208" s="290"/>
      <c r="G208" s="258"/>
      <c r="H208" s="277" t="s">
        <v>96</v>
      </c>
      <c r="I208" s="271">
        <f t="shared" ref="I208:J208" ca="1" si="100">I215</f>
        <v>1</v>
      </c>
      <c r="J208" s="271">
        <f t="shared" si="100"/>
        <v>0</v>
      </c>
      <c r="K208" s="272">
        <f t="shared" ca="1" si="99"/>
        <v>0</v>
      </c>
      <c r="L208" s="261"/>
      <c r="M208" s="261"/>
      <c r="N208" s="261"/>
      <c r="O208" s="261"/>
      <c r="P208" s="261"/>
    </row>
    <row r="209" spans="1:26" ht="19.5">
      <c r="A209" s="147"/>
      <c r="B209" s="148"/>
      <c r="C209" s="149" t="s">
        <v>16</v>
      </c>
      <c r="D209" s="822" t="s">
        <v>17</v>
      </c>
      <c r="E209" s="148"/>
      <c r="F209" s="148"/>
      <c r="G209" s="151"/>
      <c r="H209" s="274" t="s">
        <v>12</v>
      </c>
      <c r="I209" s="387"/>
      <c r="J209" s="387"/>
      <c r="K209" s="279"/>
      <c r="L209" s="155">
        <f ca="1">L210+L211+L212</f>
        <v>14000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>
      <c r="A210" s="159"/>
      <c r="B210" s="280"/>
      <c r="C210" s="33"/>
      <c r="D210" s="281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65">
        <f ca="1">IFERROR(__xludf.DUMMYFUNCTION("IMPORTRANGE(""https://docs.google.com/spreadsheets/d/1QqKyyYR6Q21VydFLVH3TRQUabQu_ym0Zz7PgGX0-kHA/edit?usp=sharing"",""แผน!AK16"")"),1000)</f>
        <v>1000</v>
      </c>
      <c r="M210" s="465"/>
      <c r="N210" s="789">
        <v>0</v>
      </c>
      <c r="O210" s="465"/>
      <c r="P210" s="465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>
      <c r="A211" s="283"/>
      <c r="B211" s="280"/>
      <c r="C211" s="291"/>
      <c r="D211" s="281" t="s">
        <v>99</v>
      </c>
      <c r="E211" s="33"/>
      <c r="F211" s="33"/>
      <c r="G211" s="35"/>
      <c r="H211" s="161" t="s">
        <v>12</v>
      </c>
      <c r="I211" s="269"/>
      <c r="J211" s="269"/>
      <c r="K211" s="465"/>
      <c r="L211" s="465">
        <f ca="1">IFERROR(__xludf.DUMMYFUNCTION("IMPORTRANGE(""https://docs.google.com/spreadsheets/d/1QqKyyYR6Q21VydFLVH3TRQUabQu_ym0Zz7PgGX0-kHA/edit?usp=sharing"",""แผน!AL16"")"),5000)</f>
        <v>5000</v>
      </c>
      <c r="M211" s="465"/>
      <c r="N211" s="789">
        <v>0</v>
      </c>
      <c r="O211" s="465"/>
      <c r="P211" s="465"/>
      <c r="Q211" s="285"/>
      <c r="R211" s="285"/>
      <c r="S211" s="285"/>
      <c r="T211" s="285"/>
      <c r="U211" s="285"/>
      <c r="V211" s="285"/>
      <c r="W211" s="285"/>
      <c r="X211" s="285"/>
      <c r="Y211" s="285"/>
      <c r="Z211" s="285"/>
    </row>
    <row r="212" spans="1:26" ht="19.5">
      <c r="A212" s="283"/>
      <c r="B212" s="280"/>
      <c r="C212" s="291"/>
      <c r="D212" s="281" t="s">
        <v>98</v>
      </c>
      <c r="E212" s="33"/>
      <c r="F212" s="33"/>
      <c r="G212" s="35"/>
      <c r="H212" s="161" t="s">
        <v>12</v>
      </c>
      <c r="I212" s="269"/>
      <c r="J212" s="269"/>
      <c r="K212" s="465"/>
      <c r="L212" s="465">
        <f ca="1">IFERROR(__xludf.DUMMYFUNCTION("IMPORTRANGE(""https://docs.google.com/spreadsheets/d/1QqKyyYR6Q21VydFLVH3TRQUabQu_ym0Zz7PgGX0-kHA/edit?usp=sharing"",""แผน!AM16"")"),8000)</f>
        <v>8000</v>
      </c>
      <c r="M212" s="465"/>
      <c r="N212" s="789">
        <v>0</v>
      </c>
      <c r="O212" s="465"/>
      <c r="P212" s="465"/>
      <c r="Q212" s="285"/>
      <c r="R212" s="285"/>
      <c r="S212" s="285"/>
      <c r="T212" s="285"/>
      <c r="U212" s="285"/>
      <c r="V212" s="285"/>
      <c r="W212" s="285"/>
      <c r="X212" s="285"/>
      <c r="Y212" s="285"/>
      <c r="Z212" s="285"/>
    </row>
    <row r="213" spans="1:26" ht="19.5">
      <c r="A213" s="170"/>
      <c r="B213" s="171"/>
      <c r="C213" s="291" t="s">
        <v>16</v>
      </c>
      <c r="D213" s="818" t="s">
        <v>38</v>
      </c>
      <c r="E213" s="173"/>
      <c r="F213" s="173"/>
      <c r="G213" s="174"/>
      <c r="H213" s="726"/>
      <c r="I213" s="184"/>
      <c r="J213" s="269"/>
      <c r="K213" s="465"/>
      <c r="L213" s="465"/>
      <c r="M213" s="465"/>
      <c r="N213" s="465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>
      <c r="A214" s="170"/>
      <c r="B214" s="171"/>
      <c r="C214" s="171"/>
      <c r="D214" s="343" t="s">
        <v>106</v>
      </c>
      <c r="E214" s="342"/>
      <c r="F214" s="342"/>
      <c r="G214" s="179"/>
      <c r="H214" s="726" t="s">
        <v>96</v>
      </c>
      <c r="I214" s="269">
        <f ca="1">IFERROR(__xludf.DUMMYFUNCTION("IMPORTRANGE(""https://docs.google.com/spreadsheets/d/1QqKyyYR6Q21VydFLVH3TRQUabQu_ym0Zz7PgGX0-kHA/edit?usp=sharing"",""แผน!AN16"")"),1)</f>
        <v>1</v>
      </c>
      <c r="J214" s="214">
        <v>0</v>
      </c>
      <c r="K214" s="465">
        <f t="shared" ref="K214:K216" ca="1" si="101">IF(I214&gt;0,J214*100/I214,0)</f>
        <v>0</v>
      </c>
      <c r="L214" s="465"/>
      <c r="M214" s="465"/>
      <c r="N214" s="465"/>
      <c r="O214" s="465"/>
      <c r="P214" s="465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>
      <c r="A215" s="170"/>
      <c r="B215" s="171"/>
      <c r="C215" s="171"/>
      <c r="D215" s="343" t="s">
        <v>107</v>
      </c>
      <c r="E215" s="342"/>
      <c r="F215" s="342"/>
      <c r="G215" s="179"/>
      <c r="H215" s="726" t="s">
        <v>96</v>
      </c>
      <c r="I215" s="269">
        <f ca="1">IFERROR(__xludf.DUMMYFUNCTION("IMPORTRANGE(""https://docs.google.com/spreadsheets/d/1QqKyyYR6Q21VydFLVH3TRQUabQu_ym0Zz7PgGX0-kHA/edit?usp=sharing"",""แผน!AN16"")"),1)</f>
        <v>1</v>
      </c>
      <c r="J215" s="214">
        <v>0</v>
      </c>
      <c r="K215" s="465">
        <f t="shared" ca="1" si="101"/>
        <v>0</v>
      </c>
      <c r="L215" s="465"/>
      <c r="M215" s="465"/>
      <c r="N215" s="465"/>
      <c r="O215" s="465"/>
      <c r="P215" s="465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5"/>
      <c r="B216" s="263"/>
      <c r="C216" s="339" t="s">
        <v>108</v>
      </c>
      <c r="D216" s="256"/>
      <c r="E216" s="256"/>
      <c r="F216" s="290"/>
      <c r="G216" s="258"/>
      <c r="H216" s="259" t="s">
        <v>109</v>
      </c>
      <c r="I216" s="271">
        <f t="shared" ref="I216:J216" ca="1" si="102">I224</f>
        <v>13000</v>
      </c>
      <c r="J216" s="271">
        <f t="shared" si="102"/>
        <v>0</v>
      </c>
      <c r="K216" s="272">
        <f t="shared" ca="1" si="101"/>
        <v>0</v>
      </c>
      <c r="L216" s="261"/>
      <c r="M216" s="261"/>
      <c r="N216" s="261"/>
      <c r="O216" s="261"/>
      <c r="P216" s="261"/>
    </row>
    <row r="217" spans="1:26" ht="19.5">
      <c r="A217" s="147"/>
      <c r="B217" s="148"/>
      <c r="C217" s="149" t="s">
        <v>16</v>
      </c>
      <c r="D217" s="822" t="s">
        <v>17</v>
      </c>
      <c r="E217" s="148"/>
      <c r="F217" s="148"/>
      <c r="G217" s="151"/>
      <c r="H217" s="274" t="s">
        <v>12</v>
      </c>
      <c r="I217" s="387"/>
      <c r="J217" s="387"/>
      <c r="K217" s="279"/>
      <c r="L217" s="155">
        <f ca="1">L218+L219+L220</f>
        <v>7100</v>
      </c>
      <c r="M217" s="155"/>
      <c r="N217" s="155">
        <f>N218+N219+N220</f>
        <v>0</v>
      </c>
      <c r="O217" s="155">
        <f ca="1">IF(L217&gt;0,N217*100/L217,0)</f>
        <v>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0"/>
      <c r="C218" s="33"/>
      <c r="D218" s="281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65">
        <f ca="1">IFERROR(__xludf.DUMMYFUNCTION("IMPORTRANGE(""https://docs.google.com/spreadsheets/d/1QqKyyYR6Q21VydFLVH3TRQUabQu_ym0Zz7PgGX0-kHA/edit?usp=sharing"",""แผน!AP16"")"),3000)</f>
        <v>3000</v>
      </c>
      <c r="M218" s="465"/>
      <c r="N218" s="789">
        <v>0</v>
      </c>
      <c r="O218" s="465"/>
      <c r="P218" s="465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3"/>
      <c r="B219" s="280"/>
      <c r="C219" s="291"/>
      <c r="D219" s="281" t="s">
        <v>110</v>
      </c>
      <c r="E219" s="33"/>
      <c r="F219" s="33"/>
      <c r="G219" s="35"/>
      <c r="H219" s="161" t="s">
        <v>12</v>
      </c>
      <c r="I219" s="269"/>
      <c r="J219" s="269"/>
      <c r="K219" s="465"/>
      <c r="L219" s="465">
        <f ca="1">IFERROR(__xludf.DUMMYFUNCTION("IMPORTRANGE(""https://docs.google.com/spreadsheets/d/1QqKyyYR6Q21VydFLVH3TRQUabQu_ym0Zz7PgGX0-kHA/edit?usp=sharing"",""แผน!AQ16"")"),4100)</f>
        <v>4100</v>
      </c>
      <c r="M219" s="465"/>
      <c r="N219" s="789">
        <v>0</v>
      </c>
      <c r="O219" s="465"/>
      <c r="P219" s="465"/>
      <c r="Q219" s="285"/>
      <c r="R219" s="285"/>
      <c r="S219" s="285"/>
      <c r="T219" s="285"/>
      <c r="U219" s="285"/>
      <c r="V219" s="285"/>
      <c r="W219" s="285"/>
      <c r="X219" s="285"/>
      <c r="Y219" s="285"/>
      <c r="Z219" s="285"/>
    </row>
    <row r="220" spans="1:26" ht="19.5">
      <c r="A220" s="283"/>
      <c r="B220" s="280"/>
      <c r="C220" s="291"/>
      <c r="D220" s="281" t="s">
        <v>98</v>
      </c>
      <c r="E220" s="33"/>
      <c r="F220" s="33"/>
      <c r="G220" s="35"/>
      <c r="H220" s="161" t="s">
        <v>12</v>
      </c>
      <c r="I220" s="269"/>
      <c r="J220" s="269"/>
      <c r="K220" s="465"/>
      <c r="L220" s="465">
        <f ca="1">IFERROR(__xludf.DUMMYFUNCTION("IMPORTRANGE(""https://docs.google.com/spreadsheets/d/1QqKyyYR6Q21VydFLVH3TRQUabQu_ym0Zz7PgGX0-kHA/edit?usp=sharing"",""แผน!AR16"")"),0)</f>
        <v>0</v>
      </c>
      <c r="M220" s="465"/>
      <c r="N220" s="789">
        <v>0</v>
      </c>
      <c r="O220" s="465"/>
      <c r="P220" s="465"/>
      <c r="Q220" s="285"/>
      <c r="R220" s="285"/>
      <c r="S220" s="285"/>
      <c r="T220" s="285"/>
      <c r="U220" s="285"/>
      <c r="V220" s="285"/>
      <c r="W220" s="285"/>
      <c r="X220" s="285"/>
      <c r="Y220" s="285"/>
      <c r="Z220" s="285"/>
    </row>
    <row r="221" spans="1:26" ht="19.5">
      <c r="A221" s="170"/>
      <c r="B221" s="171"/>
      <c r="C221" s="291" t="s">
        <v>16</v>
      </c>
      <c r="D221" s="818" t="s">
        <v>38</v>
      </c>
      <c r="E221" s="173"/>
      <c r="F221" s="173"/>
      <c r="G221" s="174"/>
      <c r="H221" s="726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1" t="s">
        <v>111</v>
      </c>
      <c r="E222" s="342"/>
      <c r="F222" s="342"/>
      <c r="G222" s="179"/>
      <c r="H222" s="726"/>
      <c r="I222" s="269"/>
      <c r="J222" s="269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343" t="s">
        <v>112</v>
      </c>
      <c r="F223" s="342"/>
      <c r="G223" s="179"/>
      <c r="H223" s="728" t="s">
        <v>109</v>
      </c>
      <c r="I223" s="269">
        <f ca="1">IFERROR(__xludf.DUMMYFUNCTION("IMPORTRANGE(""https://docs.google.com/spreadsheets/d/1QqKyyYR6Q21VydFLVH3TRQUabQu_ym0Zz7PgGX0-kHA/edit?usp=sharing"",""แผน!AT16"")"),13000)</f>
        <v>13000</v>
      </c>
      <c r="J223" s="214">
        <v>0</v>
      </c>
      <c r="K223" s="163">
        <f t="shared" ref="K223:K226" ca="1" si="103">IF(I223&gt;0,J223*100/I223,0)</f>
        <v>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343" t="s">
        <v>113</v>
      </c>
      <c r="F224" s="342"/>
      <c r="G224" s="179"/>
      <c r="H224" s="728" t="s">
        <v>109</v>
      </c>
      <c r="I224" s="269">
        <f ca="1">IFERROR(__xludf.DUMMYFUNCTION("IMPORTRANGE(""https://docs.google.com/spreadsheets/d/1QqKyyYR6Q21VydFLVH3TRQUabQu_ym0Zz7PgGX0-kHA/edit?usp=sharing"",""แผน!AT16"")"),13000)</f>
        <v>13000</v>
      </c>
      <c r="J224" s="214">
        <v>0</v>
      </c>
      <c r="K224" s="163">
        <f t="shared" ca="1" si="103"/>
        <v>0</v>
      </c>
      <c r="L224" s="465"/>
      <c r="M224" s="465"/>
      <c r="N224" s="465"/>
      <c r="O224" s="465"/>
      <c r="P224" s="465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1" t="s">
        <v>114</v>
      </c>
      <c r="E225" s="342"/>
      <c r="F225" s="342"/>
      <c r="G225" s="179"/>
      <c r="H225" s="728" t="s">
        <v>35</v>
      </c>
      <c r="I225" s="269">
        <f ca="1">IFERROR(__xludf.DUMMYFUNCTION("IMPORTRANGE(""https://docs.google.com/spreadsheets/d/1QqKyyYR6Q21VydFLVH3TRQUabQu_ym0Zz7PgGX0-kHA/edit?usp=sharing"",""แผน!AS16"")"),0)</f>
        <v>0</v>
      </c>
      <c r="J225" s="214">
        <v>0</v>
      </c>
      <c r="K225" s="163">
        <f t="shared" ca="1" si="103"/>
        <v>0</v>
      </c>
      <c r="L225" s="465"/>
      <c r="M225" s="465"/>
      <c r="N225" s="465"/>
      <c r="O225" s="465"/>
      <c r="P225" s="465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5"/>
      <c r="B226" s="263"/>
      <c r="C226" s="823" t="s">
        <v>115</v>
      </c>
      <c r="D226" s="256"/>
      <c r="E226" s="256"/>
      <c r="F226" s="256"/>
      <c r="G226" s="258"/>
      <c r="H226" s="265" t="s">
        <v>35</v>
      </c>
      <c r="I226" s="824">
        <f t="shared" ref="I226:J226" ca="1" si="104">I237+I248</f>
        <v>100</v>
      </c>
      <c r="J226" s="824">
        <f t="shared" si="104"/>
        <v>0</v>
      </c>
      <c r="K226" s="825">
        <f t="shared" ca="1" si="103"/>
        <v>0</v>
      </c>
      <c r="L226" s="261"/>
      <c r="M226" s="261"/>
      <c r="N226" s="261"/>
      <c r="O226" s="261"/>
      <c r="P226" s="261"/>
    </row>
    <row r="227" spans="1:26" ht="19.5" hidden="1">
      <c r="A227" s="826"/>
      <c r="B227" s="827"/>
      <c r="C227" s="828" t="s">
        <v>16</v>
      </c>
      <c r="D227" s="829" t="s">
        <v>17</v>
      </c>
      <c r="E227" s="827"/>
      <c r="F227" s="827"/>
      <c r="G227" s="830"/>
      <c r="H227" s="831" t="s">
        <v>12</v>
      </c>
      <c r="I227" s="832"/>
      <c r="J227" s="832"/>
      <c r="K227" s="833"/>
      <c r="L227" s="834">
        <f t="shared" ref="L227:L231" ca="1" si="105">L238+L249</f>
        <v>533800</v>
      </c>
      <c r="M227" s="834"/>
      <c r="N227" s="834">
        <f t="shared" ref="N227:N231" si="106">N238+N249</f>
        <v>0</v>
      </c>
      <c r="O227" s="835"/>
      <c r="P227" s="835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542"/>
      <c r="C228" s="40"/>
      <c r="D228" s="222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5"/>
        <v>334200</v>
      </c>
      <c r="M228" s="93"/>
      <c r="N228" s="93">
        <f t="shared" si="106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836"/>
      <c r="B229" s="542"/>
      <c r="C229" s="837"/>
      <c r="D229" s="222" t="s">
        <v>98</v>
      </c>
      <c r="E229" s="40"/>
      <c r="F229" s="40"/>
      <c r="G229" s="42"/>
      <c r="H229" s="165" t="s">
        <v>12</v>
      </c>
      <c r="I229" s="583"/>
      <c r="J229" s="583"/>
      <c r="K229" s="93"/>
      <c r="L229" s="93">
        <f t="shared" ca="1" si="105"/>
        <v>139600</v>
      </c>
      <c r="M229" s="93"/>
      <c r="N229" s="93">
        <f t="shared" si="106"/>
        <v>0</v>
      </c>
      <c r="O229" s="93"/>
      <c r="P229" s="93"/>
      <c r="Q229" s="838"/>
      <c r="R229" s="838"/>
      <c r="S229" s="838"/>
      <c r="T229" s="838"/>
      <c r="U229" s="838"/>
      <c r="V229" s="838"/>
      <c r="W229" s="838"/>
      <c r="X229" s="838"/>
      <c r="Y229" s="838"/>
      <c r="Z229" s="838"/>
    </row>
    <row r="230" spans="1:26" ht="19.5" hidden="1">
      <c r="A230" s="836"/>
      <c r="B230" s="542"/>
      <c r="C230" s="837"/>
      <c r="D230" s="222" t="s">
        <v>116</v>
      </c>
      <c r="E230" s="40"/>
      <c r="F230" s="40"/>
      <c r="G230" s="42"/>
      <c r="H230" s="165" t="s">
        <v>12</v>
      </c>
      <c r="I230" s="583"/>
      <c r="J230" s="583"/>
      <c r="K230" s="93"/>
      <c r="L230" s="93">
        <f t="shared" ca="1" si="105"/>
        <v>0</v>
      </c>
      <c r="M230" s="93"/>
      <c r="N230" s="93">
        <f t="shared" si="106"/>
        <v>0</v>
      </c>
      <c r="O230" s="93"/>
      <c r="P230" s="93"/>
      <c r="Q230" s="838"/>
      <c r="R230" s="838"/>
      <c r="S230" s="838"/>
      <c r="T230" s="838"/>
      <c r="U230" s="838"/>
      <c r="V230" s="838"/>
      <c r="W230" s="838"/>
      <c r="X230" s="838"/>
      <c r="Y230" s="838"/>
      <c r="Z230" s="838"/>
    </row>
    <row r="231" spans="1:26" ht="19.5" hidden="1">
      <c r="A231" s="836"/>
      <c r="B231" s="542"/>
      <c r="C231" s="837"/>
      <c r="D231" s="222" t="s">
        <v>100</v>
      </c>
      <c r="E231" s="40"/>
      <c r="F231" s="40"/>
      <c r="G231" s="42"/>
      <c r="H231" s="165" t="s">
        <v>12</v>
      </c>
      <c r="I231" s="583"/>
      <c r="J231" s="583"/>
      <c r="K231" s="93"/>
      <c r="L231" s="93">
        <f t="shared" ca="1" si="105"/>
        <v>60000</v>
      </c>
      <c r="M231" s="93"/>
      <c r="N231" s="93">
        <f t="shared" si="106"/>
        <v>0</v>
      </c>
      <c r="O231" s="93"/>
      <c r="P231" s="93"/>
      <c r="Q231" s="838"/>
      <c r="R231" s="838"/>
      <c r="S231" s="838"/>
      <c r="T231" s="838"/>
      <c r="U231" s="838"/>
      <c r="V231" s="838"/>
      <c r="W231" s="838"/>
      <c r="X231" s="838"/>
      <c r="Y231" s="838"/>
      <c r="Z231" s="838"/>
    </row>
    <row r="232" spans="1:26" ht="19.5" hidden="1">
      <c r="A232" s="839"/>
      <c r="B232" s="840"/>
      <c r="C232" s="837" t="s">
        <v>16</v>
      </c>
      <c r="D232" s="266" t="s">
        <v>38</v>
      </c>
      <c r="E232" s="841"/>
      <c r="F232" s="841"/>
      <c r="G232" s="842"/>
      <c r="H232" s="581"/>
      <c r="I232" s="166"/>
      <c r="J232" s="583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839"/>
      <c r="B233" s="840"/>
      <c r="C233" s="840"/>
      <c r="D233" s="268" t="s">
        <v>117</v>
      </c>
      <c r="E233" s="536"/>
      <c r="F233" s="536"/>
      <c r="G233" s="843"/>
      <c r="H233" s="582" t="s">
        <v>35</v>
      </c>
      <c r="I233" s="583">
        <f t="shared" ref="I233:J233" ca="1" si="107">I244+I255</f>
        <v>100</v>
      </c>
      <c r="J233" s="583">
        <f t="shared" si="107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839"/>
      <c r="B234" s="840"/>
      <c r="C234" s="840"/>
      <c r="D234" s="844" t="s">
        <v>43</v>
      </c>
      <c r="E234" s="536"/>
      <c r="F234" s="536"/>
      <c r="G234" s="843"/>
      <c r="H234" s="582"/>
      <c r="I234" s="583"/>
      <c r="J234" s="583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839"/>
      <c r="B235" s="840"/>
      <c r="C235" s="840"/>
      <c r="D235" s="840"/>
      <c r="E235" s="267" t="s">
        <v>118</v>
      </c>
      <c r="F235" s="536"/>
      <c r="G235" s="843"/>
      <c r="H235" s="582" t="s">
        <v>35</v>
      </c>
      <c r="I235" s="583">
        <f t="shared" ref="I235:J236" si="108">I246+I257</f>
        <v>0</v>
      </c>
      <c r="J235" s="583">
        <f t="shared" si="108"/>
        <v>0</v>
      </c>
      <c r="K235" s="93">
        <f t="shared" ref="K235:K237" si="109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839"/>
      <c r="B236" s="840"/>
      <c r="C236" s="840"/>
      <c r="D236" s="840"/>
      <c r="E236" s="267" t="s">
        <v>119</v>
      </c>
      <c r="F236" s="536"/>
      <c r="G236" s="843"/>
      <c r="H236" s="582" t="s">
        <v>69</v>
      </c>
      <c r="I236" s="583">
        <f t="shared" si="108"/>
        <v>3</v>
      </c>
      <c r="J236" s="583">
        <f t="shared" si="108"/>
        <v>0</v>
      </c>
      <c r="K236" s="93">
        <f t="shared" si="109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>
      <c r="A237" s="255"/>
      <c r="B237" s="263"/>
      <c r="C237" s="339" t="s">
        <v>335</v>
      </c>
      <c r="D237" s="256"/>
      <c r="E237" s="256"/>
      <c r="F237" s="256"/>
      <c r="G237" s="258"/>
      <c r="H237" s="259" t="s">
        <v>35</v>
      </c>
      <c r="I237" s="271">
        <f t="shared" ref="I237:J237" ca="1" si="110">I244</f>
        <v>100</v>
      </c>
      <c r="J237" s="271">
        <f t="shared" si="110"/>
        <v>0</v>
      </c>
      <c r="K237" s="272">
        <f t="shared" ca="1" si="109"/>
        <v>0</v>
      </c>
      <c r="L237" s="261"/>
      <c r="M237" s="261"/>
      <c r="N237" s="261"/>
      <c r="O237" s="261"/>
      <c r="P237" s="261"/>
    </row>
    <row r="238" spans="1:26" ht="19.5">
      <c r="A238" s="147"/>
      <c r="B238" s="148"/>
      <c r="C238" s="149" t="s">
        <v>16</v>
      </c>
      <c r="D238" s="817" t="s">
        <v>17</v>
      </c>
      <c r="E238" s="148"/>
      <c r="F238" s="148"/>
      <c r="G238" s="151"/>
      <c r="H238" s="274" t="s">
        <v>12</v>
      </c>
      <c r="I238" s="387"/>
      <c r="J238" s="387"/>
      <c r="K238" s="279"/>
      <c r="L238" s="155">
        <f ca="1">L239+L240+L241+L242</f>
        <v>533800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>
      <c r="A239" s="313"/>
      <c r="B239" s="314"/>
      <c r="C239" s="315"/>
      <c r="D239" s="324" t="s">
        <v>97</v>
      </c>
      <c r="E239" s="315"/>
      <c r="F239" s="315"/>
      <c r="G239" s="317"/>
      <c r="H239" s="318" t="s">
        <v>12</v>
      </c>
      <c r="I239" s="319"/>
      <c r="J239" s="319"/>
      <c r="K239" s="320"/>
      <c r="L239" s="321">
        <f ca="1">IFERROR(__xludf.DUMMYFUNCTION("IMPORTRANGE(""https://docs.google.com/spreadsheets/d/1QqKyyYR6Q21VydFLVH3TRQUabQu_ym0Zz7PgGX0-kHA/edit?usp=sharing"",""แผน!AV16"")"),334200)</f>
        <v>334200</v>
      </c>
      <c r="M239" s="321"/>
      <c r="N239" s="340">
        <v>0</v>
      </c>
      <c r="O239" s="321"/>
      <c r="P239" s="321"/>
      <c r="Q239" s="312"/>
      <c r="R239" s="312"/>
      <c r="S239" s="312"/>
      <c r="T239" s="312"/>
      <c r="U239" s="312"/>
      <c r="V239" s="312"/>
      <c r="W239" s="312"/>
      <c r="X239" s="312"/>
      <c r="Y239" s="312"/>
      <c r="Z239" s="312"/>
    </row>
    <row r="240" spans="1:26" ht="19.5">
      <c r="A240" s="322"/>
      <c r="B240" s="314"/>
      <c r="C240" s="323"/>
      <c r="D240" s="324" t="s">
        <v>98</v>
      </c>
      <c r="E240" s="315"/>
      <c r="F240" s="315"/>
      <c r="G240" s="317"/>
      <c r="H240" s="318" t="s">
        <v>12</v>
      </c>
      <c r="I240" s="325"/>
      <c r="J240" s="325"/>
      <c r="K240" s="321"/>
      <c r="L240" s="321">
        <f ca="1">IFERROR(__xludf.DUMMYFUNCTION("IMPORTRANGE(""https://docs.google.com/spreadsheets/d/1QqKyyYR6Q21VydFLVH3TRQUabQu_ym0Zz7PgGX0-kHA/edit?usp=sharing"",""แผน!AW16"")"),139600)</f>
        <v>139600</v>
      </c>
      <c r="M240" s="321"/>
      <c r="N240" s="340">
        <v>0</v>
      </c>
      <c r="O240" s="321"/>
      <c r="P240" s="321"/>
      <c r="Q240" s="326"/>
      <c r="R240" s="326"/>
      <c r="S240" s="326"/>
      <c r="T240" s="326"/>
      <c r="U240" s="326"/>
      <c r="V240" s="326"/>
      <c r="W240" s="326"/>
      <c r="X240" s="326"/>
      <c r="Y240" s="326"/>
      <c r="Z240" s="326"/>
    </row>
    <row r="241" spans="1:26" ht="19.5">
      <c r="A241" s="322"/>
      <c r="B241" s="314"/>
      <c r="C241" s="323"/>
      <c r="D241" s="324" t="s">
        <v>116</v>
      </c>
      <c r="E241" s="315"/>
      <c r="F241" s="315"/>
      <c r="G241" s="317"/>
      <c r="H241" s="318" t="s">
        <v>12</v>
      </c>
      <c r="I241" s="325"/>
      <c r="J241" s="325"/>
      <c r="K241" s="321"/>
      <c r="L241" s="321">
        <f ca="1">IFERROR(__xludf.DUMMYFUNCTION("IMPORTRANGE(""https://docs.google.com/spreadsheets/d/1QqKyyYR6Q21VydFLVH3TRQUabQu_ym0Zz7PgGX0-kHA/edit?usp=sharing"",""แผน!AX16"")"),0)</f>
        <v>0</v>
      </c>
      <c r="M241" s="321"/>
      <c r="N241" s="340">
        <v>0</v>
      </c>
      <c r="O241" s="321"/>
      <c r="P241" s="321"/>
      <c r="Q241" s="326"/>
      <c r="R241" s="326"/>
      <c r="S241" s="326"/>
      <c r="T241" s="326"/>
      <c r="U241" s="326"/>
      <c r="V241" s="326"/>
      <c r="W241" s="326"/>
      <c r="X241" s="326"/>
      <c r="Y241" s="326"/>
      <c r="Z241" s="326"/>
    </row>
    <row r="242" spans="1:26" ht="19.5">
      <c r="A242" s="322"/>
      <c r="B242" s="314"/>
      <c r="C242" s="323"/>
      <c r="D242" s="324" t="s">
        <v>100</v>
      </c>
      <c r="E242" s="315"/>
      <c r="F242" s="315"/>
      <c r="G242" s="317"/>
      <c r="H242" s="318" t="s">
        <v>12</v>
      </c>
      <c r="I242" s="325"/>
      <c r="J242" s="325"/>
      <c r="K242" s="321"/>
      <c r="L242" s="321">
        <f ca="1">IFERROR(__xludf.DUMMYFUNCTION("IMPORTRANGE(""https://docs.google.com/spreadsheets/d/1QqKyyYR6Q21VydFLVH3TRQUabQu_ym0Zz7PgGX0-kHA/edit?usp=sharing"",""แผน!AY16"")"),60000)</f>
        <v>60000</v>
      </c>
      <c r="M242" s="321"/>
      <c r="N242" s="340">
        <v>0</v>
      </c>
      <c r="O242" s="321"/>
      <c r="P242" s="321"/>
      <c r="Q242" s="326"/>
      <c r="R242" s="326"/>
      <c r="S242" s="326"/>
      <c r="T242" s="326"/>
      <c r="U242" s="326"/>
      <c r="V242" s="326"/>
      <c r="W242" s="326"/>
      <c r="X242" s="326"/>
      <c r="Y242" s="326"/>
      <c r="Z242" s="326"/>
    </row>
    <row r="243" spans="1:26" ht="19.5">
      <c r="A243" s="170"/>
      <c r="B243" s="171"/>
      <c r="C243" s="291" t="s">
        <v>16</v>
      </c>
      <c r="D243" s="818" t="s">
        <v>38</v>
      </c>
      <c r="E243" s="173"/>
      <c r="F243" s="173"/>
      <c r="G243" s="174"/>
      <c r="H243" s="726"/>
      <c r="I243" s="184"/>
      <c r="J243" s="269"/>
      <c r="K243" s="465"/>
      <c r="L243" s="465"/>
      <c r="M243" s="465"/>
      <c r="N243" s="465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>
      <c r="A244" s="170"/>
      <c r="B244" s="171"/>
      <c r="C244" s="171"/>
      <c r="D244" s="415" t="s">
        <v>117</v>
      </c>
      <c r="E244" s="342"/>
      <c r="F244" s="342"/>
      <c r="G244" s="179"/>
      <c r="H244" s="728" t="s">
        <v>35</v>
      </c>
      <c r="I244" s="269">
        <f ca="1">IFERROR(__xludf.DUMMYFUNCTION("IMPORTRANGE(""https://docs.google.com/spreadsheets/d/1QqKyyYR6Q21VydFLVH3TRQUabQu_ym0Zz7PgGX0-kHA/edit?usp=sharing"",""แผน!BE16"")"),100)</f>
        <v>100</v>
      </c>
      <c r="J244" s="214">
        <v>0</v>
      </c>
      <c r="K244" s="465">
        <f ca="1">IF(I244&gt;0,J244*100/I244,0)</f>
        <v>0</v>
      </c>
      <c r="L244" s="465"/>
      <c r="M244" s="465"/>
      <c r="N244" s="465"/>
      <c r="O244" s="465"/>
      <c r="P244" s="465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>
      <c r="A245" s="170"/>
      <c r="B245" s="171"/>
      <c r="C245" s="171"/>
      <c r="D245" s="341" t="s">
        <v>43</v>
      </c>
      <c r="E245" s="342"/>
      <c r="F245" s="342"/>
      <c r="G245" s="179"/>
      <c r="H245" s="728"/>
      <c r="I245" s="269"/>
      <c r="J245" s="269"/>
      <c r="K245" s="465"/>
      <c r="L245" s="465"/>
      <c r="M245" s="465"/>
      <c r="N245" s="465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>
      <c r="A246" s="170"/>
      <c r="B246" s="171"/>
      <c r="C246" s="171"/>
      <c r="D246" s="171"/>
      <c r="E246" s="343" t="s">
        <v>118</v>
      </c>
      <c r="F246" s="342"/>
      <c r="G246" s="179"/>
      <c r="H246" s="728" t="s">
        <v>35</v>
      </c>
      <c r="I246" s="269">
        <v>0</v>
      </c>
      <c r="J246" s="214">
        <v>0</v>
      </c>
      <c r="K246" s="465">
        <f t="shared" ref="K246:K248" si="111">IF(I246&gt;0,J246*100/I246,0)</f>
        <v>0</v>
      </c>
      <c r="L246" s="465"/>
      <c r="M246" s="465"/>
      <c r="N246" s="465"/>
      <c r="O246" s="465"/>
      <c r="P246" s="465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>
      <c r="A247" s="170"/>
      <c r="B247" s="171"/>
      <c r="C247" s="171"/>
      <c r="D247" s="171"/>
      <c r="E247" s="343" t="s">
        <v>119</v>
      </c>
      <c r="F247" s="342"/>
      <c r="G247" s="179"/>
      <c r="H247" s="728" t="s">
        <v>69</v>
      </c>
      <c r="I247" s="269">
        <v>3</v>
      </c>
      <c r="J247" s="214">
        <v>0</v>
      </c>
      <c r="K247" s="465">
        <f t="shared" si="111"/>
        <v>0</v>
      </c>
      <c r="L247" s="465"/>
      <c r="M247" s="465"/>
      <c r="N247" s="465"/>
      <c r="O247" s="465"/>
      <c r="P247" s="465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5"/>
      <c r="B248" s="263"/>
      <c r="C248" s="339" t="s">
        <v>331</v>
      </c>
      <c r="D248" s="256"/>
      <c r="E248" s="256"/>
      <c r="F248" s="256"/>
      <c r="G248" s="258"/>
      <c r="H248" s="259" t="s">
        <v>35</v>
      </c>
      <c r="I248" s="271">
        <f t="shared" ref="I248:J248" ca="1" si="112">I255</f>
        <v>0</v>
      </c>
      <c r="J248" s="271">
        <f t="shared" si="112"/>
        <v>0</v>
      </c>
      <c r="K248" s="272">
        <f t="shared" ca="1" si="111"/>
        <v>0</v>
      </c>
      <c r="L248" s="261"/>
      <c r="M248" s="261"/>
      <c r="N248" s="261"/>
      <c r="O248" s="261"/>
      <c r="P248" s="261"/>
    </row>
    <row r="249" spans="1:26" ht="19.5" hidden="1">
      <c r="A249" s="147"/>
      <c r="B249" s="148"/>
      <c r="C249" s="149" t="s">
        <v>16</v>
      </c>
      <c r="D249" s="822" t="s">
        <v>17</v>
      </c>
      <c r="E249" s="148"/>
      <c r="F249" s="148"/>
      <c r="G249" s="151"/>
      <c r="H249" s="274" t="s">
        <v>12</v>
      </c>
      <c r="I249" s="387"/>
      <c r="J249" s="387"/>
      <c r="K249" s="279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3"/>
      <c r="B250" s="314"/>
      <c r="C250" s="315"/>
      <c r="D250" s="324" t="s">
        <v>97</v>
      </c>
      <c r="E250" s="315"/>
      <c r="F250" s="315"/>
      <c r="G250" s="317"/>
      <c r="H250" s="318" t="s">
        <v>12</v>
      </c>
      <c r="I250" s="319"/>
      <c r="J250" s="319"/>
      <c r="K250" s="320"/>
      <c r="L250" s="321">
        <f ca="1">IFERROR(__xludf.DUMMYFUNCTION("IMPORTRANGE(""https://docs.google.com/spreadsheets/d/1QqKyyYR6Q21VydFLVH3TRQUabQu_ym0Zz7PgGX0-kHA/edit?usp=sharing"",""แผน!AZ16"")"),0)</f>
        <v>0</v>
      </c>
      <c r="M250" s="321"/>
      <c r="N250" s="340">
        <v>0</v>
      </c>
      <c r="O250" s="321"/>
      <c r="P250" s="321"/>
      <c r="Q250" s="312"/>
      <c r="R250" s="312"/>
      <c r="S250" s="312"/>
      <c r="T250" s="312"/>
      <c r="U250" s="312"/>
      <c r="V250" s="312"/>
      <c r="W250" s="312"/>
      <c r="X250" s="312"/>
      <c r="Y250" s="312"/>
      <c r="Z250" s="312"/>
    </row>
    <row r="251" spans="1:26" ht="19.5" hidden="1">
      <c r="A251" s="322"/>
      <c r="B251" s="314"/>
      <c r="C251" s="323"/>
      <c r="D251" s="324" t="s">
        <v>98</v>
      </c>
      <c r="E251" s="315"/>
      <c r="F251" s="315"/>
      <c r="G251" s="317"/>
      <c r="H251" s="318" t="s">
        <v>12</v>
      </c>
      <c r="I251" s="325"/>
      <c r="J251" s="325"/>
      <c r="K251" s="321"/>
      <c r="L251" s="321">
        <f ca="1">IFERROR(__xludf.DUMMYFUNCTION("IMPORTRANGE(""https://docs.google.com/spreadsheets/d/1QqKyyYR6Q21VydFLVH3TRQUabQu_ym0Zz7PgGX0-kHA/edit?usp=sharing"",""แผน!BA16"")"),0)</f>
        <v>0</v>
      </c>
      <c r="M251" s="321"/>
      <c r="N251" s="340">
        <v>0</v>
      </c>
      <c r="O251" s="321"/>
      <c r="P251" s="321"/>
      <c r="Q251" s="326"/>
      <c r="R251" s="326"/>
      <c r="S251" s="326"/>
      <c r="T251" s="326"/>
      <c r="U251" s="326"/>
      <c r="V251" s="326"/>
      <c r="W251" s="326"/>
      <c r="X251" s="326"/>
      <c r="Y251" s="326"/>
      <c r="Z251" s="326"/>
    </row>
    <row r="252" spans="1:26" ht="19.5" hidden="1">
      <c r="A252" s="322"/>
      <c r="B252" s="314"/>
      <c r="C252" s="323"/>
      <c r="D252" s="324" t="s">
        <v>116</v>
      </c>
      <c r="E252" s="315"/>
      <c r="F252" s="315"/>
      <c r="G252" s="317"/>
      <c r="H252" s="318" t="s">
        <v>12</v>
      </c>
      <c r="I252" s="325"/>
      <c r="J252" s="325"/>
      <c r="K252" s="321"/>
      <c r="L252" s="321">
        <f ca="1">IFERROR(__xludf.DUMMYFUNCTION("IMPORTRANGE(""https://docs.google.com/spreadsheets/d/1QqKyyYR6Q21VydFLVH3TRQUabQu_ym0Zz7PgGX0-kHA/edit?usp=sharing"",""แผน!BB16"")"),0)</f>
        <v>0</v>
      </c>
      <c r="M252" s="321"/>
      <c r="N252" s="340">
        <v>0</v>
      </c>
      <c r="O252" s="321"/>
      <c r="P252" s="321"/>
      <c r="Q252" s="326"/>
      <c r="R252" s="326"/>
      <c r="S252" s="326"/>
      <c r="T252" s="326"/>
      <c r="U252" s="326"/>
      <c r="V252" s="326"/>
      <c r="W252" s="326"/>
      <c r="X252" s="326"/>
      <c r="Y252" s="326"/>
      <c r="Z252" s="326"/>
    </row>
    <row r="253" spans="1:26" ht="19.5" hidden="1">
      <c r="A253" s="322"/>
      <c r="B253" s="314"/>
      <c r="C253" s="323"/>
      <c r="D253" s="324" t="s">
        <v>100</v>
      </c>
      <c r="E253" s="315"/>
      <c r="F253" s="315"/>
      <c r="G253" s="317"/>
      <c r="H253" s="318" t="s">
        <v>12</v>
      </c>
      <c r="I253" s="325"/>
      <c r="J253" s="325"/>
      <c r="K253" s="321"/>
      <c r="L253" s="321">
        <f ca="1">IFERROR(__xludf.DUMMYFUNCTION("IMPORTRANGE(""https://docs.google.com/spreadsheets/d/1QqKyyYR6Q21VydFLVH3TRQUabQu_ym0Zz7PgGX0-kHA/edit?usp=sharing"",""แผน!BC16"")"),0)</f>
        <v>0</v>
      </c>
      <c r="M253" s="321"/>
      <c r="N253" s="340">
        <v>0</v>
      </c>
      <c r="O253" s="321"/>
      <c r="P253" s="321"/>
      <c r="Q253" s="326"/>
      <c r="R253" s="326"/>
      <c r="S253" s="326"/>
      <c r="T253" s="326"/>
      <c r="U253" s="326"/>
      <c r="V253" s="326"/>
      <c r="W253" s="326"/>
      <c r="X253" s="326"/>
      <c r="Y253" s="326"/>
      <c r="Z253" s="326"/>
    </row>
    <row r="254" spans="1:26" ht="19.5" hidden="1">
      <c r="A254" s="170"/>
      <c r="B254" s="171"/>
      <c r="C254" s="291" t="s">
        <v>16</v>
      </c>
      <c r="D254" s="818" t="s">
        <v>38</v>
      </c>
      <c r="E254" s="173"/>
      <c r="F254" s="173"/>
      <c r="G254" s="174"/>
      <c r="H254" s="726"/>
      <c r="I254" s="184"/>
      <c r="J254" s="269"/>
      <c r="K254" s="465"/>
      <c r="L254" s="465"/>
      <c r="M254" s="465"/>
      <c r="N254" s="465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15" t="s">
        <v>117</v>
      </c>
      <c r="E255" s="342"/>
      <c r="F255" s="342"/>
      <c r="G255" s="179"/>
      <c r="H255" s="728" t="s">
        <v>35</v>
      </c>
      <c r="I255" s="269">
        <f ca="1">IFERROR(__xludf.DUMMYFUNCTION("IMPORTRANGE(""https://docs.google.com/spreadsheets/d/1QqKyyYR6Q21VydFLVH3TRQUabQu_ym0Zz7PgGX0-kHA/edit?usp=sharing"",""แผน!BF16"")"),0)</f>
        <v>0</v>
      </c>
      <c r="J255" s="214">
        <v>0</v>
      </c>
      <c r="K255" s="465">
        <f ca="1">IF(I255&gt;0,J255*100/I255,0)</f>
        <v>0</v>
      </c>
      <c r="L255" s="465"/>
      <c r="M255" s="465"/>
      <c r="N255" s="465"/>
      <c r="O255" s="465"/>
      <c r="P255" s="465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341" t="s">
        <v>43</v>
      </c>
      <c r="E256" s="342"/>
      <c r="F256" s="342"/>
      <c r="G256" s="179"/>
      <c r="H256" s="728"/>
      <c r="I256" s="269"/>
      <c r="J256" s="269"/>
      <c r="K256" s="465"/>
      <c r="L256" s="465"/>
      <c r="M256" s="465"/>
      <c r="N256" s="465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343" t="s">
        <v>118</v>
      </c>
      <c r="F257" s="342"/>
      <c r="G257" s="179"/>
      <c r="H257" s="728" t="s">
        <v>35</v>
      </c>
      <c r="I257" s="269"/>
      <c r="J257" s="214">
        <v>0</v>
      </c>
      <c r="K257" s="465">
        <f t="shared" ref="K257:K258" si="113">IF(I257&gt;0,J257*100/I257,0)</f>
        <v>0</v>
      </c>
      <c r="L257" s="465"/>
      <c r="M257" s="465"/>
      <c r="N257" s="465"/>
      <c r="O257" s="465"/>
      <c r="P257" s="465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343" t="s">
        <v>119</v>
      </c>
      <c r="F258" s="342"/>
      <c r="G258" s="179"/>
      <c r="H258" s="728" t="s">
        <v>69</v>
      </c>
      <c r="I258" s="269"/>
      <c r="J258" s="214">
        <v>0</v>
      </c>
      <c r="K258" s="465">
        <f t="shared" si="113"/>
        <v>0</v>
      </c>
      <c r="L258" s="465"/>
      <c r="M258" s="465"/>
      <c r="N258" s="465"/>
      <c r="O258" s="465"/>
      <c r="P258" s="465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1" t="s">
        <v>122</v>
      </c>
      <c r="B259" s="242"/>
      <c r="C259" s="242"/>
      <c r="D259" s="243"/>
      <c r="E259" s="243"/>
      <c r="F259" s="243"/>
      <c r="G259" s="244"/>
      <c r="H259" s="245"/>
      <c r="I259" s="246"/>
      <c r="J259" s="246"/>
      <c r="K259" s="247"/>
      <c r="L259" s="247"/>
      <c r="M259" s="247"/>
      <c r="N259" s="247"/>
      <c r="O259" s="247"/>
      <c r="P259" s="247"/>
    </row>
    <row r="260" spans="1:26" ht="19.5">
      <c r="A260" s="248"/>
      <c r="B260" s="249" t="s">
        <v>123</v>
      </c>
      <c r="C260" s="250"/>
      <c r="D260" s="173"/>
      <c r="E260" s="173"/>
      <c r="F260" s="173"/>
      <c r="G260" s="174"/>
      <c r="H260" s="251" t="s">
        <v>35</v>
      </c>
      <c r="I260" s="252">
        <f t="shared" ref="I260:J260" ca="1" si="114">I271</f>
        <v>26</v>
      </c>
      <c r="J260" s="252">
        <f t="shared" si="114"/>
        <v>0</v>
      </c>
      <c r="K260" s="253">
        <f ca="1">IF(I260&gt;0,J260*100/I260,0)</f>
        <v>0</v>
      </c>
      <c r="L260" s="254"/>
      <c r="M260" s="254"/>
      <c r="N260" s="254"/>
      <c r="O260" s="254"/>
      <c r="P260" s="254"/>
    </row>
    <row r="261" spans="1:26" ht="19.5">
      <c r="A261" s="147"/>
      <c r="B261" s="148"/>
      <c r="C261" s="149" t="s">
        <v>16</v>
      </c>
      <c r="D261" s="817" t="s">
        <v>17</v>
      </c>
      <c r="E261" s="148"/>
      <c r="F261" s="148"/>
      <c r="G261" s="151"/>
      <c r="H261" s="152" t="s">
        <v>12</v>
      </c>
      <c r="I261" s="388"/>
      <c r="J261" s="388"/>
      <c r="K261" s="154"/>
      <c r="L261" s="155">
        <f t="shared" ref="L261:N261" ca="1" si="115">L262+L263</f>
        <v>30700</v>
      </c>
      <c r="M261" s="155">
        <f t="shared" ca="1" si="115"/>
        <v>27700</v>
      </c>
      <c r="N261" s="155">
        <f t="shared" ca="1" si="115"/>
        <v>1860</v>
      </c>
      <c r="O261" s="155">
        <f t="shared" ref="O261:O269" ca="1" si="116">IF(L261&gt;0,N261*100/L261,0)</f>
        <v>6.0586319218241043</v>
      </c>
      <c r="P261" s="155">
        <f t="shared" ref="P261:P269" ca="1" si="117">IF(M261&gt;0,N261*100/M261,0)</f>
        <v>6.7148014440433217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2" t="s">
        <v>18</v>
      </c>
      <c r="F262" s="40"/>
      <c r="G262" s="157"/>
      <c r="H262" s="158" t="s">
        <v>12</v>
      </c>
      <c r="I262" s="583"/>
      <c r="J262" s="583"/>
      <c r="K262" s="93"/>
      <c r="L262" s="93">
        <f t="shared" ref="L262:N263" si="118">L265+L268</f>
        <v>0</v>
      </c>
      <c r="M262" s="93">
        <f t="shared" si="118"/>
        <v>0</v>
      </c>
      <c r="N262" s="93">
        <f t="shared" si="118"/>
        <v>0</v>
      </c>
      <c r="O262" s="93">
        <f t="shared" si="116"/>
        <v>0</v>
      </c>
      <c r="P262" s="93">
        <f t="shared" si="117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2" t="s">
        <v>19</v>
      </c>
      <c r="F263" s="40"/>
      <c r="G263" s="157"/>
      <c r="H263" s="158" t="s">
        <v>12</v>
      </c>
      <c r="I263" s="583"/>
      <c r="J263" s="583"/>
      <c r="K263" s="93"/>
      <c r="L263" s="93">
        <f t="shared" ca="1" si="118"/>
        <v>30700</v>
      </c>
      <c r="M263" s="93">
        <f t="shared" ca="1" si="118"/>
        <v>27700</v>
      </c>
      <c r="N263" s="93">
        <f t="shared" ca="1" si="118"/>
        <v>1860</v>
      </c>
      <c r="O263" s="93">
        <f t="shared" ca="1" si="116"/>
        <v>6.0586319218241043</v>
      </c>
      <c r="P263" s="93">
        <f t="shared" ca="1" si="117"/>
        <v>6.7148014440433217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1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65">
        <f t="shared" ref="L264:N264" ca="1" si="119">L265+L266</f>
        <v>30700</v>
      </c>
      <c r="M264" s="465">
        <f t="shared" ca="1" si="119"/>
        <v>27700</v>
      </c>
      <c r="N264" s="465">
        <f t="shared" ca="1" si="119"/>
        <v>1860</v>
      </c>
      <c r="O264" s="465">
        <f t="shared" ca="1" si="116"/>
        <v>6.0586319218241043</v>
      </c>
      <c r="P264" s="465">
        <f t="shared" ca="1" si="117"/>
        <v>6.7148014440433217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2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6"/>
        <v>0</v>
      </c>
      <c r="P265" s="93">
        <f t="shared" si="117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2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IFERROR(__xludf.DUMMYFUNCTION("IMPORTRANGE(""https://docs.google.com/spreadsheets/d/1MeEWN-I1oV_STSDYn1IFDPWt_1FKiwhDph83XaGc0o0/edit?usp=sharing"",""งบพรบ!CY16"")"),30700)</f>
        <v>30700</v>
      </c>
      <c r="M266" s="93">
        <f ca="1">IFERROR(__xludf.DUMMYFUNCTION("IMPORTRANGE(""https://docs.google.com/spreadsheets/d/1MeEWN-I1oV_STSDYn1IFDPWt_1FKiwhDph83XaGc0o0/edit?usp=sharing"",""งบพรบ!DD16"")"),27700)</f>
        <v>27700</v>
      </c>
      <c r="N266" s="93">
        <f ca="1">IFERROR(__xludf.DUMMYFUNCTION("IMPORTRANGE(""https://docs.google.com/spreadsheets/d/1MeEWN-I1oV_STSDYn1IFDPWt_1FKiwhDph83XaGc0o0/edit?usp=sharing"",""งบพรบ!DF16"")"),1860)</f>
        <v>1860</v>
      </c>
      <c r="O266" s="93">
        <f t="shared" ca="1" si="116"/>
        <v>6.0586319218241043</v>
      </c>
      <c r="P266" s="93">
        <f t="shared" ca="1" si="117"/>
        <v>6.7148014440433217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1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65">
        <f t="shared" ref="L267:N267" ca="1" si="120">L268+L269</f>
        <v>0</v>
      </c>
      <c r="M267" s="465">
        <f t="shared" ca="1" si="120"/>
        <v>0</v>
      </c>
      <c r="N267" s="465">
        <f t="shared" ca="1" si="120"/>
        <v>0</v>
      </c>
      <c r="O267" s="465">
        <f t="shared" ca="1" si="116"/>
        <v>0</v>
      </c>
      <c r="P267" s="465">
        <f t="shared" ca="1" si="117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2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6"/>
        <v>0</v>
      </c>
      <c r="P268" s="93">
        <f t="shared" si="117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2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IFERROR(__xludf.DUMMYFUNCTION("IMPORTRANGE(""https://docs.google.com/spreadsheets/d/1MeEWN-I1oV_STSDYn1IFDPWt_1FKiwhDph83XaGc0o0/edit?usp=sharing"",""งบพรบ!DB16"")"),0)</f>
        <v>0</v>
      </c>
      <c r="M269" s="93">
        <f ca="1">IFERROR(__xludf.DUMMYFUNCTION("IMPORTRANGE(""https://docs.google.com/spreadsheets/d/1MeEWN-I1oV_STSDYn1IFDPWt_1FKiwhDph83XaGc0o0/edit?usp=sharing"",""งบพรบ!DE16"")"),0)</f>
        <v>0</v>
      </c>
      <c r="N269" s="93">
        <f ca="1">IFERROR(__xludf.DUMMYFUNCTION("IMPORTRANGE(""https://docs.google.com/spreadsheets/d/1MeEWN-I1oV_STSDYn1IFDPWt_1FKiwhDph83XaGc0o0/edit?usp=sharing"",""งบพรบ!DG16"")"),0)</f>
        <v>0</v>
      </c>
      <c r="O269" s="93">
        <f t="shared" ca="1" si="116"/>
        <v>0</v>
      </c>
      <c r="P269" s="93">
        <f t="shared" ca="1" si="117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1" t="s">
        <v>16</v>
      </c>
      <c r="D270" s="818" t="s">
        <v>38</v>
      </c>
      <c r="E270" s="173"/>
      <c r="F270" s="173"/>
      <c r="G270" s="174"/>
      <c r="H270" s="726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44" t="s">
        <v>124</v>
      </c>
      <c r="E271" s="342"/>
      <c r="F271" s="268"/>
      <c r="G271" s="179"/>
      <c r="H271" s="345" t="s">
        <v>35</v>
      </c>
      <c r="I271" s="269">
        <f ca="1">IFERROR(__xludf.DUMMYFUNCTION("IMPORTRANGE(""https://docs.google.com/spreadsheets/d/1QqKyyYR6Q21VydFLVH3TRQUabQu_ym0Zz7PgGX0-kHA/edit?usp=sharing"",""แผน!EA16"")"),26)</f>
        <v>26</v>
      </c>
      <c r="J271" s="214">
        <v>0</v>
      </c>
      <c r="K271" s="163">
        <f ca="1">IF(I271&gt;0,J271*100/I271,0)</f>
        <v>0</v>
      </c>
      <c r="L271" s="163"/>
      <c r="M271" s="163"/>
      <c r="N271" s="163"/>
      <c r="O271" s="163"/>
      <c r="P271" s="163"/>
    </row>
    <row r="272" spans="1:26" ht="18.75" hidden="1">
      <c r="A272" s="346"/>
      <c r="B272" s="347"/>
      <c r="C272" s="347"/>
      <c r="D272" s="348" t="s">
        <v>125</v>
      </c>
      <c r="E272" s="349"/>
      <c r="F272" s="349"/>
      <c r="G272" s="350"/>
      <c r="H272" s="50" t="s">
        <v>35</v>
      </c>
      <c r="I272" s="468">
        <v>0</v>
      </c>
      <c r="J272" s="468">
        <v>0</v>
      </c>
      <c r="K272" s="353">
        <v>0</v>
      </c>
      <c r="L272" s="353"/>
      <c r="M272" s="353"/>
      <c r="N272" s="353"/>
      <c r="O272" s="353"/>
      <c r="P272" s="353"/>
    </row>
    <row r="273" spans="1:26" ht="19.5">
      <c r="A273" s="354" t="s">
        <v>126</v>
      </c>
      <c r="B273" s="355"/>
      <c r="C273" s="355"/>
      <c r="D273" s="355"/>
      <c r="E273" s="356"/>
      <c r="F273" s="356"/>
      <c r="G273" s="357"/>
      <c r="H273" s="358"/>
      <c r="I273" s="359"/>
      <c r="J273" s="359"/>
      <c r="K273" s="360"/>
      <c r="L273" s="360"/>
      <c r="M273" s="360"/>
      <c r="N273" s="360"/>
      <c r="O273" s="360"/>
      <c r="P273" s="360"/>
    </row>
    <row r="274" spans="1:26" ht="19.5">
      <c r="A274" s="361" t="s">
        <v>127</v>
      </c>
      <c r="B274" s="362"/>
      <c r="C274" s="363"/>
      <c r="D274" s="362"/>
      <c r="E274" s="362"/>
      <c r="F274" s="362"/>
      <c r="G274" s="362"/>
      <c r="H274" s="364"/>
      <c r="I274" s="365"/>
      <c r="J274" s="366"/>
      <c r="K274" s="367"/>
      <c r="L274" s="367"/>
      <c r="M274" s="367"/>
      <c r="N274" s="367"/>
      <c r="O274" s="367"/>
      <c r="P274" s="367"/>
    </row>
    <row r="275" spans="1:26" ht="19.5">
      <c r="A275" s="368"/>
      <c r="B275" s="377" t="s">
        <v>128</v>
      </c>
      <c r="C275" s="370"/>
      <c r="D275" s="371"/>
      <c r="E275" s="370"/>
      <c r="F275" s="370"/>
      <c r="G275" s="372"/>
      <c r="H275" s="373" t="s">
        <v>35</v>
      </c>
      <c r="I275" s="374">
        <f t="shared" ref="I275:J275" ca="1" si="121">I288</f>
        <v>30</v>
      </c>
      <c r="J275" s="374">
        <f t="shared" ca="1" si="121"/>
        <v>0</v>
      </c>
      <c r="K275" s="375">
        <f t="shared" ref="K275:K276" ca="1" si="122">IF(I275&gt;0,J275*100/I275,0)</f>
        <v>0</v>
      </c>
      <c r="L275" s="376"/>
      <c r="M275" s="376"/>
      <c r="N275" s="376"/>
      <c r="O275" s="376"/>
      <c r="P275" s="376"/>
    </row>
    <row r="276" spans="1:26" ht="19.5">
      <c r="A276" s="368"/>
      <c r="B276" s="377"/>
      <c r="C276" s="370"/>
      <c r="D276" s="371"/>
      <c r="E276" s="370"/>
      <c r="F276" s="370"/>
      <c r="G276" s="372"/>
      <c r="H276" s="373" t="s">
        <v>46</v>
      </c>
      <c r="I276" s="374">
        <f t="shared" ref="I276:J276" ca="1" si="123">I287</f>
        <v>300</v>
      </c>
      <c r="J276" s="374">
        <f t="shared" si="123"/>
        <v>0</v>
      </c>
      <c r="K276" s="375">
        <f t="shared" ca="1" si="122"/>
        <v>0</v>
      </c>
      <c r="L276" s="376"/>
      <c r="M276" s="376"/>
      <c r="N276" s="376"/>
      <c r="O276" s="376"/>
      <c r="P276" s="376"/>
    </row>
    <row r="277" spans="1:26" ht="19.5">
      <c r="A277" s="147"/>
      <c r="B277" s="148"/>
      <c r="C277" s="149" t="s">
        <v>16</v>
      </c>
      <c r="D277" s="817" t="s">
        <v>17</v>
      </c>
      <c r="E277" s="148"/>
      <c r="F277" s="148"/>
      <c r="G277" s="151"/>
      <c r="H277" s="152" t="s">
        <v>12</v>
      </c>
      <c r="I277" s="388"/>
      <c r="J277" s="388"/>
      <c r="K277" s="154"/>
      <c r="L277" s="155">
        <f t="shared" ref="L277:N277" ca="1" si="124">L278+L279</f>
        <v>111710</v>
      </c>
      <c r="M277" s="155">
        <f t="shared" ca="1" si="124"/>
        <v>46460</v>
      </c>
      <c r="N277" s="155">
        <f t="shared" ca="1" si="124"/>
        <v>0</v>
      </c>
      <c r="O277" s="155">
        <f t="shared" ref="O277:O285" ca="1" si="125">IF(L277&gt;0,N277*100/L277,0)</f>
        <v>0</v>
      </c>
      <c r="P277" s="155">
        <f t="shared" ref="P277:P285" ca="1" si="126">IF(M277&gt;0,N277*100/M277,0)</f>
        <v>0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2" t="s">
        <v>18</v>
      </c>
      <c r="F278" s="40"/>
      <c r="G278" s="157"/>
      <c r="H278" s="158" t="s">
        <v>12</v>
      </c>
      <c r="I278" s="583"/>
      <c r="J278" s="583"/>
      <c r="K278" s="93"/>
      <c r="L278" s="93">
        <f t="shared" ref="L278:N279" si="127">L281+L284</f>
        <v>0</v>
      </c>
      <c r="M278" s="93">
        <f t="shared" si="127"/>
        <v>0</v>
      </c>
      <c r="N278" s="93">
        <f t="shared" si="127"/>
        <v>0</v>
      </c>
      <c r="O278" s="93">
        <f t="shared" si="125"/>
        <v>0</v>
      </c>
      <c r="P278" s="93">
        <f t="shared" si="126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2" t="s">
        <v>19</v>
      </c>
      <c r="F279" s="40"/>
      <c r="G279" s="157"/>
      <c r="H279" s="158" t="s">
        <v>12</v>
      </c>
      <c r="I279" s="583"/>
      <c r="J279" s="583"/>
      <c r="K279" s="93"/>
      <c r="L279" s="93">
        <f t="shared" ca="1" si="127"/>
        <v>111710</v>
      </c>
      <c r="M279" s="93">
        <f t="shared" ca="1" si="127"/>
        <v>46460</v>
      </c>
      <c r="N279" s="93">
        <f t="shared" ca="1" si="127"/>
        <v>0</v>
      </c>
      <c r="O279" s="93">
        <f t="shared" ca="1" si="125"/>
        <v>0</v>
      </c>
      <c r="P279" s="93">
        <f t="shared" ca="1" si="126"/>
        <v>0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>
      <c r="A280" s="159"/>
      <c r="B280" s="33"/>
      <c r="C280" s="281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65">
        <f t="shared" ref="L280:N280" ca="1" si="128">L281+L282</f>
        <v>111710</v>
      </c>
      <c r="M280" s="465">
        <f t="shared" ca="1" si="128"/>
        <v>46460</v>
      </c>
      <c r="N280" s="465">
        <f t="shared" ca="1" si="128"/>
        <v>0</v>
      </c>
      <c r="O280" s="465">
        <f t="shared" ca="1" si="125"/>
        <v>0</v>
      </c>
      <c r="P280" s="465">
        <f t="shared" ca="1" si="126"/>
        <v>0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2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5"/>
        <v>0</v>
      </c>
      <c r="P281" s="93">
        <f t="shared" si="126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2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IFERROR(__xludf.DUMMYFUNCTION("IMPORTRANGE(""https://docs.google.com/spreadsheets/d/1MeEWN-I1oV_STSDYn1IFDPWt_1FKiwhDph83XaGc0o0/edit?usp=sharing"",""งบพรบ!DI16"")"),111710)</f>
        <v>111710</v>
      </c>
      <c r="M282" s="93">
        <f ca="1">IFERROR(__xludf.DUMMYFUNCTION("IMPORTRANGE(""https://docs.google.com/spreadsheets/d/1MeEWN-I1oV_STSDYn1IFDPWt_1FKiwhDph83XaGc0o0/edit?usp=sharing"",""งบพรบ!DN16"")"),46460)</f>
        <v>46460</v>
      </c>
      <c r="N282" s="93">
        <f ca="1">IFERROR(__xludf.DUMMYFUNCTION("IMPORTRANGE(""https://docs.google.com/spreadsheets/d/1MeEWN-I1oV_STSDYn1IFDPWt_1FKiwhDph83XaGc0o0/edit?usp=sharing"",""งบพรบ!DP16"")"),0)</f>
        <v>0</v>
      </c>
      <c r="O282" s="93">
        <f t="shared" ca="1" si="125"/>
        <v>0</v>
      </c>
      <c r="P282" s="93">
        <f t="shared" ca="1" si="126"/>
        <v>0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>
      <c r="A283" s="159"/>
      <c r="B283" s="33"/>
      <c r="C283" s="281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65">
        <f t="shared" ref="L283:N283" ca="1" si="129">L284+L285</f>
        <v>0</v>
      </c>
      <c r="M283" s="465">
        <f t="shared" ca="1" si="129"/>
        <v>0</v>
      </c>
      <c r="N283" s="465">
        <f t="shared" ca="1" si="129"/>
        <v>0</v>
      </c>
      <c r="O283" s="465">
        <f t="shared" ca="1" si="125"/>
        <v>0</v>
      </c>
      <c r="P283" s="465">
        <f t="shared" ca="1" si="126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2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5"/>
        <v>0</v>
      </c>
      <c r="P284" s="93">
        <f t="shared" si="126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2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IFERROR(__xludf.DUMMYFUNCTION("IMPORTRANGE(""https://docs.google.com/spreadsheets/d/1MeEWN-I1oV_STSDYn1IFDPWt_1FKiwhDph83XaGc0o0/edit?usp=sharing"",""งบพรบ!DL16"")"),0)</f>
        <v>0</v>
      </c>
      <c r="M285" s="93">
        <f ca="1">IFERROR(__xludf.DUMMYFUNCTION("IMPORTRANGE(""https://docs.google.com/spreadsheets/d/1MeEWN-I1oV_STSDYn1IFDPWt_1FKiwhDph83XaGc0o0/edit?usp=sharing"",""งบพรบ!DO16"")"),0)</f>
        <v>0</v>
      </c>
      <c r="N285" s="93">
        <f ca="1">IFERROR(__xludf.DUMMYFUNCTION("IMPORTRANGE(""https://docs.google.com/spreadsheets/d/1MeEWN-I1oV_STSDYn1IFDPWt_1FKiwhDph83XaGc0o0/edit?usp=sharing"",""งบพรบ!DQ16"")"),0)</f>
        <v>0</v>
      </c>
      <c r="O285" s="93">
        <f t="shared" ca="1" si="125"/>
        <v>0</v>
      </c>
      <c r="P285" s="93">
        <f t="shared" ca="1" si="126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>
      <c r="A286" s="170"/>
      <c r="B286" s="171"/>
      <c r="C286" s="164" t="s">
        <v>16</v>
      </c>
      <c r="D286" s="818" t="s">
        <v>38</v>
      </c>
      <c r="E286" s="173"/>
      <c r="F286" s="173"/>
      <c r="G286" s="174"/>
      <c r="H286" s="726"/>
      <c r="I286" s="184"/>
      <c r="J286" s="184"/>
      <c r="K286" s="163"/>
      <c r="L286" s="163"/>
      <c r="M286" s="163"/>
      <c r="N286" s="163"/>
      <c r="O286" s="163"/>
      <c r="P286" s="163"/>
    </row>
    <row r="287" spans="1:26" ht="18.75">
      <c r="A287" s="170"/>
      <c r="B287" s="171"/>
      <c r="C287" s="171"/>
      <c r="D287" s="592" t="s">
        <v>129</v>
      </c>
      <c r="E287" s="171"/>
      <c r="F287" s="342"/>
      <c r="G287" s="179"/>
      <c r="H287" s="185" t="s">
        <v>46</v>
      </c>
      <c r="I287" s="269">
        <f ca="1">IFERROR(__xludf.DUMMYFUNCTION("IMPORTRANGE(""https://docs.google.com/spreadsheets/d/1QqKyyYR6Q21VydFLVH3TRQUabQu_ym0Zz7PgGX0-kHA/edit?usp=sharing"",""แผน!EC16"")"),300)</f>
        <v>300</v>
      </c>
      <c r="J287" s="214">
        <v>0</v>
      </c>
      <c r="K287" s="163">
        <f t="shared" ref="K287:K288" ca="1" si="130">IF(I287&gt;0,J287*100/I287,0)</f>
        <v>0</v>
      </c>
      <c r="L287" s="163"/>
      <c r="M287" s="163"/>
      <c r="N287" s="163"/>
      <c r="O287" s="163"/>
      <c r="P287" s="163"/>
    </row>
    <row r="288" spans="1:26" ht="19.5">
      <c r="A288" s="170"/>
      <c r="B288" s="171"/>
      <c r="C288" s="171"/>
      <c r="D288" s="592" t="s">
        <v>130</v>
      </c>
      <c r="E288" s="171"/>
      <c r="F288" s="342"/>
      <c r="G288" s="179"/>
      <c r="H288" s="180" t="s">
        <v>35</v>
      </c>
      <c r="I288" s="647">
        <f ca="1">IFERROR(__xludf.DUMMYFUNCTION("IMPORTRANGE(""https://docs.google.com/spreadsheets/d/1QqKyyYR6Q21VydFLVH3TRQUabQu_ym0Zz7PgGX0-kHA/edit?usp=sharing"",""แผน!EB16"")"),30)</f>
        <v>30</v>
      </c>
      <c r="J288" s="647">
        <f ca="1">IF(AND(J291&gt;=I288,J294&gt;=I288),J294,0)</f>
        <v>0</v>
      </c>
      <c r="K288" s="379">
        <f t="shared" ca="1" si="130"/>
        <v>0</v>
      </c>
      <c r="L288" s="163"/>
      <c r="M288" s="163"/>
      <c r="N288" s="163"/>
      <c r="O288" s="163"/>
      <c r="P288" s="163"/>
    </row>
    <row r="289" spans="1:26" ht="19.5">
      <c r="A289" s="170"/>
      <c r="B289" s="171"/>
      <c r="C289" s="171"/>
      <c r="D289" s="380"/>
      <c r="E289" s="381" t="s">
        <v>131</v>
      </c>
      <c r="F289" s="342"/>
      <c r="G289" s="179"/>
      <c r="H289" s="728"/>
      <c r="I289" s="184"/>
      <c r="J289" s="269"/>
      <c r="K289" s="163"/>
      <c r="L289" s="163"/>
      <c r="M289" s="163"/>
      <c r="N289" s="163"/>
      <c r="O289" s="163"/>
      <c r="P289" s="163"/>
    </row>
    <row r="290" spans="1:26" ht="19.5">
      <c r="A290" s="170"/>
      <c r="B290" s="171"/>
      <c r="C290" s="171"/>
      <c r="D290" s="380"/>
      <c r="E290" s="592" t="s">
        <v>132</v>
      </c>
      <c r="F290" s="342"/>
      <c r="G290" s="179"/>
      <c r="H290" s="728" t="s">
        <v>35</v>
      </c>
      <c r="I290" s="184">
        <f ca="1">IFERROR(__xludf.DUMMYFUNCTION("IMPORTRANGE(""https://docs.google.com/spreadsheets/d/1QqKyyYR6Q21VydFLVH3TRQUabQu_ym0Zz7PgGX0-kHA/edit?usp=sharing"",""แผน!EB16"")"),30)</f>
        <v>30</v>
      </c>
      <c r="J290" s="214">
        <v>0</v>
      </c>
      <c r="K290" s="163">
        <f t="shared" ref="K290:K291" ca="1" si="131">IF(I290&gt;0,J290*100/I290,0)</f>
        <v>0</v>
      </c>
      <c r="L290" s="163"/>
      <c r="M290" s="163"/>
      <c r="N290" s="163"/>
      <c r="O290" s="163"/>
      <c r="P290" s="163"/>
    </row>
    <row r="291" spans="1:26" ht="19.5">
      <c r="A291" s="170"/>
      <c r="B291" s="171"/>
      <c r="C291" s="171"/>
      <c r="D291" s="342"/>
      <c r="E291" s="592" t="s">
        <v>133</v>
      </c>
      <c r="F291" s="342"/>
      <c r="G291" s="179"/>
      <c r="H291" s="728" t="s">
        <v>35</v>
      </c>
      <c r="I291" s="184">
        <f ca="1">IFERROR(__xludf.DUMMYFUNCTION("IMPORTRANGE(""https://docs.google.com/spreadsheets/d/1QqKyyYR6Q21VydFLVH3TRQUabQu_ym0Zz7PgGX0-kHA/edit?usp=sharing"",""แผน!EB16"")"),30)</f>
        <v>30</v>
      </c>
      <c r="J291" s="214">
        <v>0</v>
      </c>
      <c r="K291" s="163">
        <f t="shared" ca="1" si="131"/>
        <v>0</v>
      </c>
      <c r="L291" s="163"/>
      <c r="M291" s="163"/>
      <c r="N291" s="163"/>
      <c r="O291" s="163"/>
      <c r="P291" s="163"/>
    </row>
    <row r="292" spans="1:26" ht="19.5">
      <c r="A292" s="382"/>
      <c r="B292" s="383"/>
      <c r="C292" s="383"/>
      <c r="D292" s="384"/>
      <c r="E292" s="385" t="s">
        <v>134</v>
      </c>
      <c r="F292" s="286"/>
      <c r="G292" s="287"/>
      <c r="H292" s="386"/>
      <c r="I292" s="387"/>
      <c r="J292" s="388"/>
      <c r="K292" s="279"/>
      <c r="L292" s="279"/>
      <c r="M292" s="279"/>
      <c r="N292" s="279"/>
      <c r="O292" s="279"/>
      <c r="P292" s="279"/>
    </row>
    <row r="293" spans="1:26" ht="19.5">
      <c r="A293" s="170"/>
      <c r="B293" s="171"/>
      <c r="C293" s="171"/>
      <c r="D293" s="380"/>
      <c r="E293" s="592" t="s">
        <v>132</v>
      </c>
      <c r="F293" s="342"/>
      <c r="G293" s="179"/>
      <c r="H293" s="728" t="s">
        <v>35</v>
      </c>
      <c r="I293" s="184">
        <f ca="1">IFERROR(__xludf.DUMMYFUNCTION("IMPORTRANGE(""https://docs.google.com/spreadsheets/d/1QqKyyYR6Q21VydFLVH3TRQUabQu_ym0Zz7PgGX0-kHA/edit?usp=sharing"",""แผน!EB16"")"),30)</f>
        <v>30</v>
      </c>
      <c r="J293" s="214">
        <v>0</v>
      </c>
      <c r="K293" s="163">
        <f t="shared" ref="K293:K294" ca="1" si="132">IF(I293&gt;0,J293*100/I293,0)</f>
        <v>0</v>
      </c>
      <c r="L293" s="163"/>
      <c r="M293" s="163"/>
      <c r="N293" s="163"/>
      <c r="O293" s="163"/>
      <c r="P293" s="163"/>
    </row>
    <row r="294" spans="1:26" ht="19.5">
      <c r="A294" s="346"/>
      <c r="B294" s="347"/>
      <c r="C294" s="347"/>
      <c r="D294" s="349"/>
      <c r="E294" s="698" t="s">
        <v>136</v>
      </c>
      <c r="F294" s="349"/>
      <c r="G294" s="350"/>
      <c r="H294" s="390" t="s">
        <v>35</v>
      </c>
      <c r="I294" s="391">
        <f ca="1">IFERROR(__xludf.DUMMYFUNCTION("IMPORTRANGE(""https://docs.google.com/spreadsheets/d/1QqKyyYR6Q21VydFLVH3TRQUabQu_ym0Zz7PgGX0-kHA/edit?usp=sharing"",""แผน!EB16"")"),30)</f>
        <v>30</v>
      </c>
      <c r="J294" s="392">
        <v>0</v>
      </c>
      <c r="K294" s="353">
        <f t="shared" ca="1" si="132"/>
        <v>0</v>
      </c>
      <c r="L294" s="353"/>
      <c r="M294" s="353"/>
      <c r="N294" s="353"/>
      <c r="O294" s="353"/>
      <c r="P294" s="353"/>
    </row>
    <row r="295" spans="1:26" ht="19.5">
      <c r="A295" s="393" t="s">
        <v>137</v>
      </c>
      <c r="B295" s="394"/>
      <c r="C295" s="394"/>
      <c r="D295" s="394"/>
      <c r="E295" s="395"/>
      <c r="F295" s="395"/>
      <c r="G295" s="396"/>
      <c r="H295" s="397"/>
      <c r="I295" s="398"/>
      <c r="J295" s="398"/>
      <c r="K295" s="399"/>
      <c r="L295" s="399"/>
      <c r="M295" s="399"/>
      <c r="N295" s="399"/>
      <c r="O295" s="399"/>
      <c r="P295" s="399"/>
    </row>
    <row r="296" spans="1:26" ht="19.5">
      <c r="A296" s="400" t="s">
        <v>138</v>
      </c>
      <c r="B296" s="401"/>
      <c r="C296" s="401"/>
      <c r="D296" s="402"/>
      <c r="E296" s="402"/>
      <c r="F296" s="402"/>
      <c r="G296" s="403"/>
      <c r="H296" s="404"/>
      <c r="I296" s="405"/>
      <c r="J296" s="405"/>
      <c r="K296" s="406"/>
      <c r="L296" s="406"/>
      <c r="M296" s="406"/>
      <c r="N296" s="406"/>
      <c r="O296" s="406"/>
      <c r="P296" s="406"/>
    </row>
    <row r="297" spans="1:26" ht="19.5">
      <c r="A297" s="407"/>
      <c r="B297" s="408" t="s">
        <v>139</v>
      </c>
      <c r="C297" s="409"/>
      <c r="D297" s="409"/>
      <c r="E297" s="409"/>
      <c r="F297" s="409"/>
      <c r="G297" s="410"/>
      <c r="H297" s="411" t="s">
        <v>35</v>
      </c>
      <c r="I297" s="412">
        <f t="shared" ref="I297:J297" ca="1" si="133">I309</f>
        <v>20</v>
      </c>
      <c r="J297" s="412">
        <f t="shared" si="133"/>
        <v>20</v>
      </c>
      <c r="K297" s="413">
        <f ca="1">IF(I297&gt;0,J297*100/I297,0)</f>
        <v>100</v>
      </c>
      <c r="L297" s="414"/>
      <c r="M297" s="414"/>
      <c r="N297" s="414"/>
      <c r="O297" s="414"/>
      <c r="P297" s="414"/>
    </row>
    <row r="298" spans="1:26" ht="19.5">
      <c r="A298" s="147"/>
      <c r="B298" s="148"/>
      <c r="C298" s="149" t="s">
        <v>16</v>
      </c>
      <c r="D298" s="817" t="s">
        <v>17</v>
      </c>
      <c r="E298" s="148"/>
      <c r="F298" s="148"/>
      <c r="G298" s="151"/>
      <c r="H298" s="152" t="s">
        <v>12</v>
      </c>
      <c r="I298" s="388"/>
      <c r="J298" s="388"/>
      <c r="K298" s="154"/>
      <c r="L298" s="155">
        <f t="shared" ref="L298:N298" ca="1" si="134">L299+L300</f>
        <v>225400</v>
      </c>
      <c r="M298" s="155">
        <f t="shared" ca="1" si="134"/>
        <v>114120</v>
      </c>
      <c r="N298" s="155">
        <f t="shared" ca="1" si="134"/>
        <v>32500</v>
      </c>
      <c r="O298" s="155">
        <f t="shared" ref="O298:O306" ca="1" si="135">IF(L298&gt;0,N298*100/L298,0)</f>
        <v>14.418811002661934</v>
      </c>
      <c r="P298" s="155">
        <f t="shared" ref="P298:P306" ca="1" si="136">IF(M298&gt;0,N298*100/M298,0)</f>
        <v>28.478794251664915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2" t="s">
        <v>18</v>
      </c>
      <c r="F299" s="40"/>
      <c r="G299" s="157"/>
      <c r="H299" s="158" t="s">
        <v>12</v>
      </c>
      <c r="I299" s="583"/>
      <c r="J299" s="583"/>
      <c r="K299" s="93"/>
      <c r="L299" s="93">
        <f t="shared" ref="L299:N300" si="137">L302+L305</f>
        <v>0</v>
      </c>
      <c r="M299" s="93">
        <f t="shared" si="137"/>
        <v>0</v>
      </c>
      <c r="N299" s="93">
        <f t="shared" si="137"/>
        <v>0</v>
      </c>
      <c r="O299" s="93">
        <f t="shared" si="135"/>
        <v>0</v>
      </c>
      <c r="P299" s="93">
        <f t="shared" si="136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2" t="s">
        <v>19</v>
      </c>
      <c r="F300" s="40"/>
      <c r="G300" s="157"/>
      <c r="H300" s="158" t="s">
        <v>12</v>
      </c>
      <c r="I300" s="583"/>
      <c r="J300" s="583"/>
      <c r="K300" s="93"/>
      <c r="L300" s="93">
        <f t="shared" ca="1" si="137"/>
        <v>225400</v>
      </c>
      <c r="M300" s="93">
        <f t="shared" ca="1" si="137"/>
        <v>114120</v>
      </c>
      <c r="N300" s="93">
        <f t="shared" ca="1" si="137"/>
        <v>32500</v>
      </c>
      <c r="O300" s="93">
        <f t="shared" ca="1" si="135"/>
        <v>14.418811002661934</v>
      </c>
      <c r="P300" s="93">
        <f t="shared" ca="1" si="136"/>
        <v>28.478794251664915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>
      <c r="A301" s="159"/>
      <c r="B301" s="33"/>
      <c r="C301" s="281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65">
        <f t="shared" ref="L301:N301" ca="1" si="138">L302+L303</f>
        <v>225400</v>
      </c>
      <c r="M301" s="465">
        <f t="shared" ca="1" si="138"/>
        <v>114120</v>
      </c>
      <c r="N301" s="465">
        <f t="shared" ca="1" si="138"/>
        <v>32500</v>
      </c>
      <c r="O301" s="465">
        <f t="shared" ca="1" si="135"/>
        <v>14.418811002661934</v>
      </c>
      <c r="P301" s="465">
        <f t="shared" ca="1" si="136"/>
        <v>28.478794251664915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2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5"/>
        <v>0</v>
      </c>
      <c r="P302" s="93">
        <f t="shared" si="136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2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IFERROR(__xludf.DUMMYFUNCTION("IMPORTRANGE(""https://docs.google.com/spreadsheets/d/1MeEWN-I1oV_STSDYn1IFDPWt_1FKiwhDph83XaGc0o0/edit?usp=sharing"",""งบพรบ!DS16"")"),225400)</f>
        <v>225400</v>
      </c>
      <c r="M303" s="93">
        <f ca="1">IFERROR(__xludf.DUMMYFUNCTION("IMPORTRANGE(""https://docs.google.com/spreadsheets/d/1MeEWN-I1oV_STSDYn1IFDPWt_1FKiwhDph83XaGc0o0/edit?usp=sharing"",""งบพรบ!DX16"")"),114120)</f>
        <v>114120</v>
      </c>
      <c r="N303" s="93">
        <f ca="1">IFERROR(__xludf.DUMMYFUNCTION("IMPORTRANGE(""https://docs.google.com/spreadsheets/d/1MeEWN-I1oV_STSDYn1IFDPWt_1FKiwhDph83XaGc0o0/edit?usp=sharing"",""งบพรบ!DZ16"")"),32500)</f>
        <v>32500</v>
      </c>
      <c r="O303" s="93">
        <f t="shared" ca="1" si="135"/>
        <v>14.418811002661934</v>
      </c>
      <c r="P303" s="93">
        <f t="shared" ca="1" si="136"/>
        <v>28.478794251664915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>
      <c r="A304" s="159"/>
      <c r="B304" s="33"/>
      <c r="C304" s="281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65">
        <f t="shared" ref="L304:N304" ca="1" si="139">L305+L306</f>
        <v>0</v>
      </c>
      <c r="M304" s="465">
        <f t="shared" ca="1" si="139"/>
        <v>0</v>
      </c>
      <c r="N304" s="465">
        <f t="shared" ca="1" si="139"/>
        <v>0</v>
      </c>
      <c r="O304" s="465">
        <f t="shared" ca="1" si="135"/>
        <v>0</v>
      </c>
      <c r="P304" s="465">
        <f t="shared" ca="1" si="136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2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5"/>
        <v>0</v>
      </c>
      <c r="P305" s="93">
        <f t="shared" si="136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2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IFERROR(__xludf.DUMMYFUNCTION("IMPORTRANGE(""https://docs.google.com/spreadsheets/d/1MeEWN-I1oV_STSDYn1IFDPWt_1FKiwhDph83XaGc0o0/edit?usp=sharing"",""งบพรบ!DV16"")"),0)</f>
        <v>0</v>
      </c>
      <c r="M306" s="93">
        <f ca="1">IFERROR(__xludf.DUMMYFUNCTION("IMPORTRANGE(""https://docs.google.com/spreadsheets/d/1MeEWN-I1oV_STSDYn1IFDPWt_1FKiwhDph83XaGc0o0/edit?usp=sharing"",""งบพรบ!DY16"")"),0)</f>
        <v>0</v>
      </c>
      <c r="N306" s="93">
        <f ca="1">IFERROR(__xludf.DUMMYFUNCTION("IMPORTRANGE(""https://docs.google.com/spreadsheets/d/1MeEWN-I1oV_STSDYn1IFDPWt_1FKiwhDph83XaGc0o0/edit?usp=sharing"",""งบพรบ!EA16"")"),0)</f>
        <v>0</v>
      </c>
      <c r="O306" s="93">
        <f t="shared" ca="1" si="135"/>
        <v>0</v>
      </c>
      <c r="P306" s="93">
        <f t="shared" ca="1" si="136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>
      <c r="A307" s="170"/>
      <c r="B307" s="171"/>
      <c r="C307" s="164" t="s">
        <v>16</v>
      </c>
      <c r="D307" s="818" t="s">
        <v>38</v>
      </c>
      <c r="E307" s="173"/>
      <c r="F307" s="173"/>
      <c r="G307" s="174"/>
      <c r="H307" s="726"/>
      <c r="I307" s="269"/>
      <c r="J307" s="269"/>
      <c r="K307" s="465"/>
      <c r="L307" s="465"/>
      <c r="M307" s="465"/>
      <c r="N307" s="465"/>
      <c r="O307" s="465"/>
      <c r="P307" s="465"/>
    </row>
    <row r="308" spans="1:26" ht="18.75">
      <c r="A308" s="170"/>
      <c r="B308" s="171"/>
      <c r="C308" s="171"/>
      <c r="D308" s="415" t="s">
        <v>140</v>
      </c>
      <c r="E308" s="415"/>
      <c r="F308" s="415"/>
      <c r="G308" s="179"/>
      <c r="H308" s="728"/>
      <c r="I308" s="269"/>
      <c r="J308" s="214">
        <v>1</v>
      </c>
      <c r="K308" s="465"/>
      <c r="L308" s="465"/>
      <c r="M308" s="465"/>
      <c r="N308" s="465"/>
      <c r="O308" s="465"/>
      <c r="P308" s="465"/>
    </row>
    <row r="309" spans="1:26" ht="18.75">
      <c r="A309" s="170"/>
      <c r="B309" s="171"/>
      <c r="C309" s="171"/>
      <c r="D309" s="415" t="s">
        <v>141</v>
      </c>
      <c r="E309" s="415"/>
      <c r="F309" s="415"/>
      <c r="G309" s="179"/>
      <c r="H309" s="728" t="s">
        <v>35</v>
      </c>
      <c r="I309" s="269">
        <f ca="1">IFERROR(__xludf.DUMMYFUNCTION("IMPORTRANGE(""https://docs.google.com/spreadsheets/d/1QqKyyYR6Q21VydFLVH3TRQUabQu_ym0Zz7PgGX0-kHA/edit?usp=sharing"",""แผน!ED16"")"),20)</f>
        <v>20</v>
      </c>
      <c r="J309" s="214">
        <v>20</v>
      </c>
      <c r="K309" s="465">
        <f t="shared" ref="K309:K312" ca="1" si="140">IF(I309&gt;0,J309*100/I309,0)</f>
        <v>100</v>
      </c>
      <c r="L309" s="465"/>
      <c r="M309" s="465"/>
      <c r="N309" s="465"/>
      <c r="O309" s="465"/>
      <c r="P309" s="465"/>
    </row>
    <row r="310" spans="1:26" ht="18.75">
      <c r="A310" s="170"/>
      <c r="B310" s="171"/>
      <c r="C310" s="171"/>
      <c r="D310" s="415" t="s">
        <v>142</v>
      </c>
      <c r="E310" s="415"/>
      <c r="F310" s="415"/>
      <c r="G310" s="179"/>
      <c r="H310" s="728" t="s">
        <v>35</v>
      </c>
      <c r="I310" s="269">
        <f ca="1">IFERROR(__xludf.DUMMYFUNCTION("IMPORTRANGE(""https://docs.google.com/spreadsheets/d/1QqKyyYR6Q21VydFLVH3TRQUabQu_ym0Zz7PgGX0-kHA/edit?usp=sharing"",""แผน!ED16"")"),20)</f>
        <v>20</v>
      </c>
      <c r="J310" s="214">
        <v>0</v>
      </c>
      <c r="K310" s="465">
        <f t="shared" ca="1" si="140"/>
        <v>0</v>
      </c>
      <c r="L310" s="465"/>
      <c r="M310" s="465"/>
      <c r="N310" s="465"/>
      <c r="O310" s="465"/>
      <c r="P310" s="465"/>
    </row>
    <row r="311" spans="1:26" ht="18.75">
      <c r="A311" s="170"/>
      <c r="B311" s="171"/>
      <c r="C311" s="171"/>
      <c r="D311" s="415" t="s">
        <v>59</v>
      </c>
      <c r="E311" s="415"/>
      <c r="F311" s="415"/>
      <c r="G311" s="179"/>
      <c r="H311" s="728" t="s">
        <v>35</v>
      </c>
      <c r="I311" s="269">
        <f ca="1">IFERROR(__xludf.DUMMYFUNCTION("IMPORTRANGE(""https://docs.google.com/spreadsheets/d/1QqKyyYR6Q21VydFLVH3TRQUabQu_ym0Zz7PgGX0-kHA/edit?usp=sharing"",""แผน!ED16"")"),20)</f>
        <v>20</v>
      </c>
      <c r="J311" s="214">
        <v>0</v>
      </c>
      <c r="K311" s="465">
        <f t="shared" ca="1" si="140"/>
        <v>0</v>
      </c>
      <c r="L311" s="465"/>
      <c r="M311" s="465"/>
      <c r="N311" s="465"/>
      <c r="O311" s="465"/>
      <c r="P311" s="465"/>
    </row>
    <row r="312" spans="1:26" ht="18.75">
      <c r="A312" s="170"/>
      <c r="B312" s="171"/>
      <c r="C312" s="171"/>
      <c r="D312" s="415" t="s">
        <v>143</v>
      </c>
      <c r="E312" s="415"/>
      <c r="F312" s="415"/>
      <c r="G312" s="179"/>
      <c r="H312" s="728" t="s">
        <v>35</v>
      </c>
      <c r="I312" s="269">
        <f ca="1">IFERROR(__xludf.DUMMYFUNCTION("IMPORTRANGE(""https://docs.google.com/spreadsheets/d/1QqKyyYR6Q21VydFLVH3TRQUabQu_ym0Zz7PgGX0-kHA/edit?usp=sharing"",""แผน!EE16"")"),4)</f>
        <v>4</v>
      </c>
      <c r="J312" s="214">
        <v>0</v>
      </c>
      <c r="K312" s="465">
        <f t="shared" ca="1" si="140"/>
        <v>0</v>
      </c>
      <c r="L312" s="465"/>
      <c r="M312" s="465"/>
      <c r="N312" s="465"/>
      <c r="O312" s="465"/>
      <c r="P312" s="465"/>
    </row>
    <row r="313" spans="1:26" ht="19.5">
      <c r="A313" s="400" t="s">
        <v>144</v>
      </c>
      <c r="B313" s="401"/>
      <c r="C313" s="401"/>
      <c r="D313" s="402"/>
      <c r="E313" s="401"/>
      <c r="F313" s="401"/>
      <c r="G313" s="401"/>
      <c r="H313" s="417"/>
      <c r="I313" s="405"/>
      <c r="J313" s="405"/>
      <c r="K313" s="406"/>
      <c r="L313" s="406"/>
      <c r="M313" s="406"/>
      <c r="N313" s="406"/>
      <c r="O313" s="406"/>
      <c r="P313" s="406"/>
    </row>
    <row r="314" spans="1:26" ht="19.5">
      <c r="A314" s="418"/>
      <c r="B314" s="408" t="s">
        <v>145</v>
      </c>
      <c r="C314" s="419"/>
      <c r="D314" s="420"/>
      <c r="E314" s="409"/>
      <c r="F314" s="409"/>
      <c r="G314" s="410"/>
      <c r="H314" s="411" t="s">
        <v>146</v>
      </c>
      <c r="I314" s="412">
        <f t="shared" ref="I314:J314" ca="1" si="141">I325</f>
        <v>1</v>
      </c>
      <c r="J314" s="412">
        <f t="shared" si="141"/>
        <v>0</v>
      </c>
      <c r="K314" s="413">
        <f ca="1">IF(I314&gt;0,J314*100/I314,0)</f>
        <v>0</v>
      </c>
      <c r="L314" s="414"/>
      <c r="M314" s="414"/>
      <c r="N314" s="414"/>
      <c r="O314" s="414"/>
      <c r="P314" s="414"/>
    </row>
    <row r="315" spans="1:26" ht="19.5">
      <c r="A315" s="147"/>
      <c r="B315" s="148"/>
      <c r="C315" s="149" t="s">
        <v>16</v>
      </c>
      <c r="D315" s="817" t="s">
        <v>17</v>
      </c>
      <c r="E315" s="148"/>
      <c r="F315" s="148"/>
      <c r="G315" s="151"/>
      <c r="H315" s="152" t="s">
        <v>12</v>
      </c>
      <c r="I315" s="388"/>
      <c r="J315" s="388"/>
      <c r="K315" s="154"/>
      <c r="L315" s="155">
        <f t="shared" ref="L315:N315" ca="1" si="142">L316+L317</f>
        <v>10000</v>
      </c>
      <c r="M315" s="155">
        <f t="shared" ca="1" si="142"/>
        <v>5000</v>
      </c>
      <c r="N315" s="155">
        <f t="shared" ca="1" si="142"/>
        <v>0</v>
      </c>
      <c r="O315" s="155">
        <f t="shared" ref="O315:O323" ca="1" si="143">IF(L315&gt;0,N315*100/L315,0)</f>
        <v>0</v>
      </c>
      <c r="P315" s="155">
        <f t="shared" ref="P315:P323" ca="1" si="144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2" t="s">
        <v>18</v>
      </c>
      <c r="F316" s="40"/>
      <c r="G316" s="157"/>
      <c r="H316" s="158" t="s">
        <v>12</v>
      </c>
      <c r="I316" s="583"/>
      <c r="J316" s="583"/>
      <c r="K316" s="93"/>
      <c r="L316" s="93">
        <f t="shared" ref="L316:N317" si="145">L319+L322</f>
        <v>0</v>
      </c>
      <c r="M316" s="93">
        <f t="shared" si="145"/>
        <v>0</v>
      </c>
      <c r="N316" s="93">
        <f t="shared" si="145"/>
        <v>0</v>
      </c>
      <c r="O316" s="93">
        <f t="shared" si="143"/>
        <v>0</v>
      </c>
      <c r="P316" s="93">
        <f t="shared" si="144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2" t="s">
        <v>19</v>
      </c>
      <c r="F317" s="40"/>
      <c r="G317" s="157"/>
      <c r="H317" s="158" t="s">
        <v>12</v>
      </c>
      <c r="I317" s="583"/>
      <c r="J317" s="583"/>
      <c r="K317" s="93"/>
      <c r="L317" s="93">
        <f t="shared" ca="1" si="145"/>
        <v>10000</v>
      </c>
      <c r="M317" s="93">
        <f t="shared" ca="1" si="145"/>
        <v>5000</v>
      </c>
      <c r="N317" s="93">
        <f t="shared" ca="1" si="145"/>
        <v>0</v>
      </c>
      <c r="O317" s="93">
        <f t="shared" ca="1" si="143"/>
        <v>0</v>
      </c>
      <c r="P317" s="93">
        <f t="shared" ca="1" si="144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>
      <c r="A318" s="159"/>
      <c r="B318" s="33"/>
      <c r="C318" s="281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65">
        <f t="shared" ref="L318:N318" ca="1" si="146">L319+L320</f>
        <v>10000</v>
      </c>
      <c r="M318" s="465">
        <f t="shared" ca="1" si="146"/>
        <v>5000</v>
      </c>
      <c r="N318" s="465">
        <f t="shared" ca="1" si="146"/>
        <v>0</v>
      </c>
      <c r="O318" s="465">
        <f t="shared" ca="1" si="143"/>
        <v>0</v>
      </c>
      <c r="P318" s="465">
        <f t="shared" ca="1" si="144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2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3"/>
        <v>0</v>
      </c>
      <c r="P319" s="93">
        <f t="shared" si="144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2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IFERROR(__xludf.DUMMYFUNCTION("IMPORTRANGE(""https://docs.google.com/spreadsheets/d/1MeEWN-I1oV_STSDYn1IFDPWt_1FKiwhDph83XaGc0o0/edit?usp=sharing"",""งบพรบ!EC16"")"),10000)</f>
        <v>10000</v>
      </c>
      <c r="M320" s="93">
        <f ca="1">IFERROR(__xludf.DUMMYFUNCTION("IMPORTRANGE(""https://docs.google.com/spreadsheets/d/1MeEWN-I1oV_STSDYn1IFDPWt_1FKiwhDph83XaGc0o0/edit?usp=sharing"",""งบพรบ!EH16"")"),5000)</f>
        <v>5000</v>
      </c>
      <c r="N320" s="93">
        <f ca="1">IFERROR(__xludf.DUMMYFUNCTION("IMPORTRANGE(""https://docs.google.com/spreadsheets/d/1MeEWN-I1oV_STSDYn1IFDPWt_1FKiwhDph83XaGc0o0/edit?usp=sharing"",""งบพรบ!EJ16"")"),0)</f>
        <v>0</v>
      </c>
      <c r="O320" s="93">
        <f t="shared" ca="1" si="143"/>
        <v>0</v>
      </c>
      <c r="P320" s="93">
        <f t="shared" ca="1" si="144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>
      <c r="A321" s="159"/>
      <c r="B321" s="33"/>
      <c r="C321" s="281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65">
        <f t="shared" ref="L321:N321" ca="1" si="147">L322+L323</f>
        <v>0</v>
      </c>
      <c r="M321" s="465">
        <f t="shared" ca="1" si="147"/>
        <v>0</v>
      </c>
      <c r="N321" s="465">
        <f t="shared" ca="1" si="147"/>
        <v>0</v>
      </c>
      <c r="O321" s="465">
        <f t="shared" ca="1" si="143"/>
        <v>0</v>
      </c>
      <c r="P321" s="465">
        <f t="shared" ca="1" si="144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2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3"/>
        <v>0</v>
      </c>
      <c r="P322" s="93">
        <f t="shared" si="144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2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IFERROR(__xludf.DUMMYFUNCTION("IMPORTRANGE(""https://docs.google.com/spreadsheets/d/1MeEWN-I1oV_STSDYn1IFDPWt_1FKiwhDph83XaGc0o0/edit?usp=sharing"",""งบพรบ!EF16"")"),0)</f>
        <v>0</v>
      </c>
      <c r="M323" s="93">
        <f ca="1">IFERROR(__xludf.DUMMYFUNCTION("IMPORTRANGE(""https://docs.google.com/spreadsheets/d/1MeEWN-I1oV_STSDYn1IFDPWt_1FKiwhDph83XaGc0o0/edit?usp=sharing"",""งบพรบ!EI16"")"),0)</f>
        <v>0</v>
      </c>
      <c r="N323" s="93">
        <f ca="1">IFERROR(__xludf.DUMMYFUNCTION("IMPORTRANGE(""https://docs.google.com/spreadsheets/d/1MeEWN-I1oV_STSDYn1IFDPWt_1FKiwhDph83XaGc0o0/edit?usp=sharing"",""งบพรบ!EK16"")"),0)</f>
        <v>0</v>
      </c>
      <c r="O323" s="93">
        <f t="shared" ca="1" si="143"/>
        <v>0</v>
      </c>
      <c r="P323" s="93">
        <f t="shared" ca="1" si="144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>
      <c r="A324" s="170"/>
      <c r="B324" s="171"/>
      <c r="C324" s="164" t="s">
        <v>16</v>
      </c>
      <c r="D324" s="818" t="s">
        <v>38</v>
      </c>
      <c r="E324" s="173"/>
      <c r="F324" s="173"/>
      <c r="G324" s="174"/>
      <c r="H324" s="726"/>
      <c r="I324" s="184"/>
      <c r="J324" s="269"/>
      <c r="K324" s="465"/>
      <c r="L324" s="465"/>
      <c r="M324" s="465"/>
      <c r="N324" s="465"/>
      <c r="O324" s="163"/>
      <c r="P324" s="163"/>
    </row>
    <row r="325" spans="1:26" ht="18.75">
      <c r="A325" s="170"/>
      <c r="B325" s="171"/>
      <c r="C325" s="171"/>
      <c r="D325" s="343" t="s">
        <v>147</v>
      </c>
      <c r="E325" s="342"/>
      <c r="F325" s="415"/>
      <c r="G325" s="179"/>
      <c r="H325" s="589" t="s">
        <v>146</v>
      </c>
      <c r="I325" s="269">
        <f ca="1">IFERROR(__xludf.DUMMYFUNCTION("IMPORTRANGE(""https://docs.google.com/spreadsheets/d/1QqKyyYR6Q21VydFLVH3TRQUabQu_ym0Zz7PgGX0-kHA/edit?usp=sharing"",""แผน!EF16"")"),1)</f>
        <v>1</v>
      </c>
      <c r="J325" s="214">
        <v>0</v>
      </c>
      <c r="K325" s="465">
        <f ca="1">IF(I325&gt;0,J325*100/I325,0)</f>
        <v>0</v>
      </c>
      <c r="L325" s="465"/>
      <c r="M325" s="465"/>
      <c r="N325" s="465"/>
      <c r="O325" s="163"/>
      <c r="P325" s="163"/>
    </row>
    <row r="326" spans="1:26" ht="19.5">
      <c r="A326" s="400" t="s">
        <v>148</v>
      </c>
      <c r="B326" s="401"/>
      <c r="C326" s="401"/>
      <c r="D326" s="402"/>
      <c r="E326" s="401"/>
      <c r="F326" s="401"/>
      <c r="G326" s="401"/>
      <c r="H326" s="417"/>
      <c r="I326" s="405"/>
      <c r="J326" s="405"/>
      <c r="K326" s="406"/>
      <c r="L326" s="406"/>
      <c r="M326" s="406"/>
      <c r="N326" s="406"/>
      <c r="O326" s="406"/>
      <c r="P326" s="406"/>
    </row>
    <row r="327" spans="1:26" ht="19.5">
      <c r="A327" s="407"/>
      <c r="B327" s="408" t="s">
        <v>149</v>
      </c>
      <c r="C327" s="420"/>
      <c r="D327" s="409"/>
      <c r="E327" s="409"/>
      <c r="F327" s="409"/>
      <c r="G327" s="410"/>
      <c r="H327" s="411" t="s">
        <v>35</v>
      </c>
      <c r="I327" s="412">
        <f ca="1">IFERROR(__xludf.DUMMYFUNCTION("IMPORTRANGE(""https://docs.google.com/spreadsheets/d/1QqKyyYR6Q21VydFLVH3TRQUabQu_ym0Zz7PgGX0-kHA/edit?usp=sharing"",""แผน!EG16"")"),900)</f>
        <v>900</v>
      </c>
      <c r="J327" s="412">
        <f ca="1">J338+J341+J342+J343</f>
        <v>458</v>
      </c>
      <c r="K327" s="413">
        <f ca="1">IF(I327&gt;0,J327*100/I327,0)</f>
        <v>50.888888888888886</v>
      </c>
      <c r="L327" s="414"/>
      <c r="M327" s="414"/>
      <c r="N327" s="414"/>
      <c r="O327" s="414"/>
      <c r="P327" s="414"/>
    </row>
    <row r="328" spans="1:26" ht="19.5">
      <c r="A328" s="147"/>
      <c r="B328" s="148"/>
      <c r="C328" s="149" t="s">
        <v>16</v>
      </c>
      <c r="D328" s="817" t="s">
        <v>17</v>
      </c>
      <c r="E328" s="148"/>
      <c r="F328" s="148"/>
      <c r="G328" s="151"/>
      <c r="H328" s="152" t="s">
        <v>12</v>
      </c>
      <c r="I328" s="388"/>
      <c r="J328" s="388"/>
      <c r="K328" s="154"/>
      <c r="L328" s="155">
        <f t="shared" ref="L328:N328" ca="1" si="148">L329+L330</f>
        <v>651800</v>
      </c>
      <c r="M328" s="155">
        <f t="shared" ca="1" si="148"/>
        <v>325900</v>
      </c>
      <c r="N328" s="155">
        <f t="shared" ca="1" si="148"/>
        <v>57899.25</v>
      </c>
      <c r="O328" s="155">
        <f t="shared" ref="O328:O336" ca="1" si="149">IF(L328&gt;0,N328*100/L328,0)</f>
        <v>8.8829779073335384</v>
      </c>
      <c r="P328" s="155">
        <f t="shared" ref="P328:P336" ca="1" si="150">IF(M328&gt;0,N328*100/M328,0)</f>
        <v>17.765955814667077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2" t="s">
        <v>18</v>
      </c>
      <c r="F329" s="40"/>
      <c r="G329" s="157"/>
      <c r="H329" s="158" t="s">
        <v>12</v>
      </c>
      <c r="I329" s="583"/>
      <c r="J329" s="583"/>
      <c r="K329" s="93"/>
      <c r="L329" s="93">
        <f t="shared" ref="L329:N330" si="151">L332+L335</f>
        <v>0</v>
      </c>
      <c r="M329" s="93">
        <f t="shared" si="151"/>
        <v>0</v>
      </c>
      <c r="N329" s="93">
        <f t="shared" si="151"/>
        <v>0</v>
      </c>
      <c r="O329" s="93">
        <f t="shared" si="149"/>
        <v>0</v>
      </c>
      <c r="P329" s="93">
        <f t="shared" si="150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2" t="s">
        <v>19</v>
      </c>
      <c r="F330" s="40"/>
      <c r="G330" s="157"/>
      <c r="H330" s="158" t="s">
        <v>12</v>
      </c>
      <c r="I330" s="583"/>
      <c r="J330" s="583"/>
      <c r="K330" s="93"/>
      <c r="L330" s="93">
        <f t="shared" ca="1" si="151"/>
        <v>651800</v>
      </c>
      <c r="M330" s="93">
        <f t="shared" ca="1" si="151"/>
        <v>325900</v>
      </c>
      <c r="N330" s="93">
        <f t="shared" ca="1" si="151"/>
        <v>57899.25</v>
      </c>
      <c r="O330" s="93">
        <f t="shared" ca="1" si="149"/>
        <v>8.8829779073335384</v>
      </c>
      <c r="P330" s="93">
        <f t="shared" ca="1" si="150"/>
        <v>17.765955814667077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1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65">
        <f t="shared" ref="L331:N331" ca="1" si="152">L332+L333</f>
        <v>651800</v>
      </c>
      <c r="M331" s="465">
        <f t="shared" ca="1" si="152"/>
        <v>325900</v>
      </c>
      <c r="N331" s="465">
        <f t="shared" ca="1" si="152"/>
        <v>57899.25</v>
      </c>
      <c r="O331" s="465">
        <f t="shared" ca="1" si="149"/>
        <v>8.8829779073335384</v>
      </c>
      <c r="P331" s="465">
        <f t="shared" ca="1" si="150"/>
        <v>17.765955814667077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2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49"/>
        <v>0</v>
      </c>
      <c r="P332" s="93">
        <f t="shared" si="150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2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IFERROR(__xludf.DUMMYFUNCTION("IMPORTRANGE(""https://docs.google.com/spreadsheets/d/1MeEWN-I1oV_STSDYn1IFDPWt_1FKiwhDph83XaGc0o0/edit?usp=sharing"",""งบพรบ!EM16"")"),651800)</f>
        <v>651800</v>
      </c>
      <c r="M333" s="93">
        <f ca="1">IFERROR(__xludf.DUMMYFUNCTION("IMPORTRANGE(""https://docs.google.com/spreadsheets/d/1MeEWN-I1oV_STSDYn1IFDPWt_1FKiwhDph83XaGc0o0/edit?usp=sharing"",""งบพรบ!ER16"")"),325900)</f>
        <v>325900</v>
      </c>
      <c r="N333" s="93">
        <f ca="1">IFERROR(__xludf.DUMMYFUNCTION("IMPORTRANGE(""https://docs.google.com/spreadsheets/d/1MeEWN-I1oV_STSDYn1IFDPWt_1FKiwhDph83XaGc0o0/edit?usp=sharing"",""งบพรบ!ET16"")"),57899.25)</f>
        <v>57899.25</v>
      </c>
      <c r="O333" s="93">
        <f t="shared" ca="1" si="149"/>
        <v>8.8829779073335384</v>
      </c>
      <c r="P333" s="93">
        <f t="shared" ca="1" si="150"/>
        <v>17.765955814667077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1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65">
        <f t="shared" ref="L334:N334" ca="1" si="153">L335+L336</f>
        <v>0</v>
      </c>
      <c r="M334" s="465">
        <f t="shared" ca="1" si="153"/>
        <v>0</v>
      </c>
      <c r="N334" s="465">
        <f t="shared" ca="1" si="153"/>
        <v>0</v>
      </c>
      <c r="O334" s="465">
        <f t="shared" ca="1" si="149"/>
        <v>0</v>
      </c>
      <c r="P334" s="465">
        <f t="shared" ca="1" si="150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2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49"/>
        <v>0</v>
      </c>
      <c r="P335" s="93">
        <f t="shared" si="150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2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IFERROR(__xludf.DUMMYFUNCTION("IMPORTRANGE(""https://docs.google.com/spreadsheets/d/1MeEWN-I1oV_STSDYn1IFDPWt_1FKiwhDph83XaGc0o0/edit?usp=sharing"",""งบพรบ!EP16"")"),0)</f>
        <v>0</v>
      </c>
      <c r="M336" s="93">
        <f ca="1">IFERROR(__xludf.DUMMYFUNCTION("IMPORTRANGE(""https://docs.google.com/spreadsheets/d/1MeEWN-I1oV_STSDYn1IFDPWt_1FKiwhDph83XaGc0o0/edit?usp=sharing"",""งบพรบ!ES16"")"),0)</f>
        <v>0</v>
      </c>
      <c r="N336" s="93">
        <f ca="1">IFERROR(__xludf.DUMMYFUNCTION("IMPORTRANGE(""https://docs.google.com/spreadsheets/d/1MeEWN-I1oV_STSDYn1IFDPWt_1FKiwhDph83XaGc0o0/edit?usp=sharing"",""งบพรบ!EU16"")"),0)</f>
        <v>0</v>
      </c>
      <c r="O336" s="93">
        <f t="shared" ca="1" si="149"/>
        <v>0</v>
      </c>
      <c r="P336" s="93">
        <f t="shared" ca="1" si="150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18" t="s">
        <v>38</v>
      </c>
      <c r="E337" s="173"/>
      <c r="F337" s="173"/>
      <c r="G337" s="174"/>
      <c r="H337" s="726"/>
      <c r="I337" s="184"/>
      <c r="J337" s="269"/>
      <c r="K337" s="465"/>
      <c r="L337" s="465"/>
      <c r="M337" s="465"/>
      <c r="N337" s="465"/>
      <c r="O337" s="163"/>
      <c r="P337" s="163"/>
    </row>
    <row r="338" spans="1:26" ht="18.75">
      <c r="A338" s="283"/>
      <c r="B338" s="33"/>
      <c r="C338" s="280"/>
      <c r="D338" s="415" t="s">
        <v>150</v>
      </c>
      <c r="E338" s="171"/>
      <c r="F338" s="33"/>
      <c r="G338" s="35"/>
      <c r="H338" s="276" t="s">
        <v>35</v>
      </c>
      <c r="I338" s="269">
        <f ca="1">IFERROR(__xludf.DUMMYFUNCTION("IMPORTRANGE(""https://docs.google.com/spreadsheets/d/1QqKyyYR6Q21VydFLVH3TRQUabQu_ym0Zz7PgGX0-kHA/edit?usp=sharing"",""แผน!EG16"")"),900)</f>
        <v>900</v>
      </c>
      <c r="J338" s="269">
        <f ca="1">IFERROR(__xludf.DUMMYFUNCTION("IMPORTRANGE(""https://docs.google.com/spreadsheets/d/1kVcqe37tkHyjCSG3S0O1AXqVkqjo8mSIZil3BcpIysc/edit?usp=sharing"",""ศูนย์!D16"")"),283)</f>
        <v>283</v>
      </c>
      <c r="K338" s="465">
        <f ca="1">IF(I338&gt;0,J338*100/I338,0)</f>
        <v>31.444444444444443</v>
      </c>
      <c r="L338" s="465"/>
      <c r="M338" s="465"/>
      <c r="N338" s="465"/>
      <c r="O338" s="465"/>
      <c r="P338" s="465"/>
    </row>
    <row r="339" spans="1:26" ht="18.75">
      <c r="A339" s="283"/>
      <c r="B339" s="33"/>
      <c r="C339" s="280"/>
      <c r="D339" s="415" t="s">
        <v>151</v>
      </c>
      <c r="E339" s="171"/>
      <c r="F339" s="33"/>
      <c r="G339" s="35"/>
      <c r="H339" s="276"/>
      <c r="I339" s="269"/>
      <c r="J339" s="269"/>
      <c r="K339" s="465"/>
      <c r="L339" s="465"/>
      <c r="M339" s="465"/>
      <c r="N339" s="465"/>
      <c r="O339" s="465"/>
      <c r="P339" s="465"/>
    </row>
    <row r="340" spans="1:26" ht="18.75">
      <c r="A340" s="283"/>
      <c r="B340" s="33"/>
      <c r="C340" s="280"/>
      <c r="D340" s="342"/>
      <c r="E340" s="415" t="s">
        <v>152</v>
      </c>
      <c r="F340" s="33"/>
      <c r="G340" s="35"/>
      <c r="H340" s="276" t="s">
        <v>153</v>
      </c>
      <c r="I340" s="269">
        <f ca="1">IFERROR(__xludf.DUMMYFUNCTION("IMPORTRANGE(""https://docs.google.com/spreadsheets/d/1QqKyyYR6Q21VydFLVH3TRQUabQu_ym0Zz7PgGX0-kHA/edit?usp=sharing"",""แผน!EH16"")"),4)</f>
        <v>4</v>
      </c>
      <c r="J340" s="269">
        <f ca="1">IFERROR(__xludf.DUMMYFUNCTION("IMPORTRANGE(""https://docs.google.com/spreadsheets/d/1kVcqe37tkHyjCSG3S0O1AXqVkqjo8mSIZil3BcpIysc/edit?usp=sharing"",""ศูนย์!E16"")"),2)</f>
        <v>2</v>
      </c>
      <c r="K340" s="465">
        <f ca="1">IF(I340&gt;0,J340*100/I340,0)</f>
        <v>50</v>
      </c>
      <c r="L340" s="465"/>
      <c r="M340" s="465"/>
      <c r="N340" s="465"/>
      <c r="O340" s="465"/>
      <c r="P340" s="465"/>
    </row>
    <row r="341" spans="1:26" ht="18.75">
      <c r="A341" s="283"/>
      <c r="B341" s="33"/>
      <c r="C341" s="280"/>
      <c r="D341" s="342"/>
      <c r="E341" s="415" t="s">
        <v>154</v>
      </c>
      <c r="F341" s="33"/>
      <c r="G341" s="35"/>
      <c r="H341" s="276" t="s">
        <v>35</v>
      </c>
      <c r="I341" s="269"/>
      <c r="J341" s="269">
        <f ca="1">IFERROR(__xludf.DUMMYFUNCTION("IMPORTRANGE(""https://docs.google.com/spreadsheets/d/1kVcqe37tkHyjCSG3S0O1AXqVkqjo8mSIZil3BcpIysc/edit?usp=sharing"",""ศูนย์!F16"")"),144)</f>
        <v>144</v>
      </c>
      <c r="K341" s="465"/>
      <c r="L341" s="465"/>
      <c r="M341" s="465"/>
      <c r="N341" s="465"/>
      <c r="O341" s="465"/>
      <c r="P341" s="465"/>
    </row>
    <row r="342" spans="1:26" ht="18.75">
      <c r="A342" s="283"/>
      <c r="B342" s="33"/>
      <c r="C342" s="280"/>
      <c r="D342" s="415" t="s">
        <v>155</v>
      </c>
      <c r="E342" s="342"/>
      <c r="F342" s="342"/>
      <c r="G342" s="35"/>
      <c r="H342" s="276" t="s">
        <v>35</v>
      </c>
      <c r="I342" s="269"/>
      <c r="J342" s="269">
        <f ca="1">IFERROR(__xludf.DUMMYFUNCTION("IMPORTRANGE(""https://docs.google.com/spreadsheets/d/1kVcqe37tkHyjCSG3S0O1AXqVkqjo8mSIZil3BcpIysc/edit?usp=sharing"",""ศูนย์!G16"")"),0)</f>
        <v>0</v>
      </c>
      <c r="K342" s="465"/>
      <c r="L342" s="465"/>
      <c r="M342" s="465"/>
      <c r="N342" s="465"/>
      <c r="O342" s="465"/>
      <c r="P342" s="465"/>
    </row>
    <row r="343" spans="1:26" ht="18.75">
      <c r="A343" s="283"/>
      <c r="B343" s="33"/>
      <c r="C343" s="280"/>
      <c r="D343" s="415" t="s">
        <v>156</v>
      </c>
      <c r="E343" s="342"/>
      <c r="F343" s="342"/>
      <c r="G343" s="35"/>
      <c r="H343" s="276" t="s">
        <v>35</v>
      </c>
      <c r="I343" s="269"/>
      <c r="J343" s="269">
        <f ca="1">IFERROR(__xludf.DUMMYFUNCTION("IMPORTRANGE(""https://docs.google.com/spreadsheets/d/1kVcqe37tkHyjCSG3S0O1AXqVkqjo8mSIZil3BcpIysc/edit?usp=sharing"",""ศูนย์!H16"")"),31)</f>
        <v>31</v>
      </c>
      <c r="K343" s="465"/>
      <c r="L343" s="465"/>
      <c r="M343" s="465"/>
      <c r="N343" s="465"/>
      <c r="O343" s="465"/>
      <c r="P343" s="465"/>
    </row>
    <row r="344" spans="1:26" ht="19.5">
      <c r="A344" s="407"/>
      <c r="B344" s="408" t="s">
        <v>157</v>
      </c>
      <c r="C344" s="420"/>
      <c r="D344" s="409"/>
      <c r="E344" s="409"/>
      <c r="F344" s="409"/>
      <c r="G344" s="410"/>
      <c r="H344" s="411"/>
      <c r="I344" s="421"/>
      <c r="J344" s="421"/>
      <c r="K344" s="414"/>
      <c r="L344" s="414"/>
      <c r="M344" s="414"/>
      <c r="N344" s="414"/>
      <c r="O344" s="414"/>
      <c r="P344" s="414"/>
    </row>
    <row r="345" spans="1:26" ht="19.5">
      <c r="A345" s="147"/>
      <c r="B345" s="148"/>
      <c r="C345" s="149" t="s">
        <v>16</v>
      </c>
      <c r="D345" s="817" t="s">
        <v>17</v>
      </c>
      <c r="E345" s="148"/>
      <c r="F345" s="148"/>
      <c r="G345" s="151"/>
      <c r="H345" s="152" t="s">
        <v>12</v>
      </c>
      <c r="I345" s="388"/>
      <c r="J345" s="388"/>
      <c r="K345" s="154"/>
      <c r="L345" s="155">
        <f t="shared" ref="L345:N345" ca="1" si="154">L346+L347</f>
        <v>422030</v>
      </c>
      <c r="M345" s="155">
        <f t="shared" ca="1" si="154"/>
        <v>252920</v>
      </c>
      <c r="N345" s="155">
        <f t="shared" ca="1" si="154"/>
        <v>104600</v>
      </c>
      <c r="O345" s="155">
        <f t="shared" ref="O345:O353" ca="1" si="155">IF(L345&gt;0,N345*100/L345,0)</f>
        <v>24.784967893277727</v>
      </c>
      <c r="P345" s="155">
        <f t="shared" ref="P345:P353" ca="1" si="156">IF(M345&gt;0,N345*100/M345,0)</f>
        <v>41.356950814486794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2" t="s">
        <v>18</v>
      </c>
      <c r="F346" s="40"/>
      <c r="G346" s="157"/>
      <c r="H346" s="158" t="s">
        <v>12</v>
      </c>
      <c r="I346" s="583"/>
      <c r="J346" s="583"/>
      <c r="K346" s="93"/>
      <c r="L346" s="93">
        <f t="shared" ref="L346:N347" si="157">L349+L352</f>
        <v>0</v>
      </c>
      <c r="M346" s="93">
        <f t="shared" si="157"/>
        <v>0</v>
      </c>
      <c r="N346" s="93">
        <f t="shared" si="157"/>
        <v>0</v>
      </c>
      <c r="O346" s="93">
        <f t="shared" si="155"/>
        <v>0</v>
      </c>
      <c r="P346" s="93">
        <f t="shared" si="156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2" t="s">
        <v>19</v>
      </c>
      <c r="F347" s="40"/>
      <c r="G347" s="157"/>
      <c r="H347" s="158" t="s">
        <v>12</v>
      </c>
      <c r="I347" s="583"/>
      <c r="J347" s="583"/>
      <c r="K347" s="93"/>
      <c r="L347" s="93">
        <f t="shared" ca="1" si="157"/>
        <v>422030</v>
      </c>
      <c r="M347" s="93">
        <f t="shared" ca="1" si="157"/>
        <v>252920</v>
      </c>
      <c r="N347" s="93">
        <f t="shared" ca="1" si="157"/>
        <v>104600</v>
      </c>
      <c r="O347" s="93">
        <f t="shared" ca="1" si="155"/>
        <v>24.784967893277727</v>
      </c>
      <c r="P347" s="93">
        <f t="shared" ca="1" si="156"/>
        <v>41.356950814486794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1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65">
        <f t="shared" ref="L348:N348" ca="1" si="158">L349+L350</f>
        <v>338230</v>
      </c>
      <c r="M348" s="465">
        <f t="shared" ca="1" si="158"/>
        <v>169120</v>
      </c>
      <c r="N348" s="465">
        <f t="shared" ca="1" si="158"/>
        <v>20800</v>
      </c>
      <c r="O348" s="465">
        <f t="shared" ca="1" si="155"/>
        <v>6.1496614729621859</v>
      </c>
      <c r="P348" s="465">
        <f t="shared" ca="1" si="156"/>
        <v>12.298959318826869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2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5"/>
        <v>0</v>
      </c>
      <c r="P349" s="93">
        <f t="shared" si="156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2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IFERROR(__xludf.DUMMYFUNCTION("IMPORTRANGE(""https://docs.google.com/spreadsheets/d/1MeEWN-I1oV_STSDYn1IFDPWt_1FKiwhDph83XaGc0o0/edit?usp=sharing"",""งบพรบ!EW16"")"),338230)</f>
        <v>338230</v>
      </c>
      <c r="M350" s="93">
        <f ca="1">IFERROR(__xludf.DUMMYFUNCTION("IMPORTRANGE(""https://docs.google.com/spreadsheets/d/1MeEWN-I1oV_STSDYn1IFDPWt_1FKiwhDph83XaGc0o0/edit?usp=sharing"",""งบพรบ!FB16"")"),169120)</f>
        <v>169120</v>
      </c>
      <c r="N350" s="93">
        <f ca="1">IFERROR(__xludf.DUMMYFUNCTION("IMPORTRANGE(""https://docs.google.com/spreadsheets/d/1MeEWN-I1oV_STSDYn1IFDPWt_1FKiwhDph83XaGc0o0/edit?usp=sharing"",""งบพรบ!FD16"")"),20800)</f>
        <v>20800</v>
      </c>
      <c r="O350" s="93">
        <f t="shared" ca="1" si="155"/>
        <v>6.1496614729621859</v>
      </c>
      <c r="P350" s="93">
        <f t="shared" ca="1" si="156"/>
        <v>12.298959318826869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1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65">
        <f t="shared" ref="L351:N351" ca="1" si="159">L352+L353</f>
        <v>83800</v>
      </c>
      <c r="M351" s="465">
        <f t="shared" ca="1" si="159"/>
        <v>83800</v>
      </c>
      <c r="N351" s="465">
        <f t="shared" ca="1" si="159"/>
        <v>83800</v>
      </c>
      <c r="O351" s="465">
        <f t="shared" ca="1" si="155"/>
        <v>100</v>
      </c>
      <c r="P351" s="465">
        <f t="shared" ca="1" si="156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2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5"/>
        <v>0</v>
      </c>
      <c r="P352" s="93">
        <f t="shared" si="156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2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IFERROR(__xludf.DUMMYFUNCTION("IMPORTRANGE(""https://docs.google.com/spreadsheets/d/1MeEWN-I1oV_STSDYn1IFDPWt_1FKiwhDph83XaGc0o0/edit?usp=sharing"",""งบพรบ!EZ16"")"),83800)</f>
        <v>83800</v>
      </c>
      <c r="M353" s="93">
        <f ca="1">IFERROR(__xludf.DUMMYFUNCTION("IMPORTRANGE(""https://docs.google.com/spreadsheets/d/1MeEWN-I1oV_STSDYn1IFDPWt_1FKiwhDph83XaGc0o0/edit?usp=sharing"",""งบพรบ!FC16"")"),83800)</f>
        <v>83800</v>
      </c>
      <c r="N353" s="93">
        <f ca="1">IFERROR(__xludf.DUMMYFUNCTION("IMPORTRANGE(""https://docs.google.com/spreadsheets/d/1MeEWN-I1oV_STSDYn1IFDPWt_1FKiwhDph83XaGc0o0/edit?usp=sharing"",""งบพรบ!FE16"")"),83800)</f>
        <v>83800</v>
      </c>
      <c r="O353" s="93">
        <f t="shared" ca="1" si="155"/>
        <v>100</v>
      </c>
      <c r="P353" s="93">
        <f t="shared" ca="1" si="156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5"/>
      <c r="B354" s="263"/>
      <c r="C354" s="256"/>
      <c r="D354" s="845" t="s">
        <v>158</v>
      </c>
      <c r="E354" s="256"/>
      <c r="F354" s="256"/>
      <c r="G354" s="258"/>
      <c r="H354" s="423"/>
      <c r="I354" s="260"/>
      <c r="J354" s="260"/>
      <c r="K354" s="261"/>
      <c r="L354" s="261"/>
      <c r="M354" s="261"/>
      <c r="N354" s="261"/>
      <c r="O354" s="261"/>
      <c r="P354" s="261"/>
    </row>
    <row r="355" spans="1:26" ht="19.5">
      <c r="A355" s="424"/>
      <c r="B355" s="425"/>
      <c r="C355" s="426"/>
      <c r="D355" s="846" t="s">
        <v>159</v>
      </c>
      <c r="E355" s="428"/>
      <c r="F355" s="428"/>
      <c r="G355" s="429"/>
      <c r="H355" s="430" t="s">
        <v>35</v>
      </c>
      <c r="I355" s="432">
        <f ca="1">IFERROR(__xludf.DUMMYFUNCTION("IMPORTRANGE(""https://docs.google.com/spreadsheets/d/1QqKyyYR6Q21VydFLVH3TRQUabQu_ym0Zz7PgGX0-kHA/edit?usp=sharing"",""แผน!EP16"")"),110)</f>
        <v>110</v>
      </c>
      <c r="J355" s="432">
        <f ca="1">J362</f>
        <v>0</v>
      </c>
      <c r="K355" s="433">
        <f ca="1">IF(I355&gt;0,J355*100/I355,0)</f>
        <v>0</v>
      </c>
      <c r="L355" s="434"/>
      <c r="M355" s="434"/>
      <c r="N355" s="434"/>
      <c r="O355" s="434"/>
      <c r="P355" s="434"/>
    </row>
    <row r="356" spans="1:26" ht="19.5">
      <c r="A356" s="424"/>
      <c r="B356" s="425"/>
      <c r="C356" s="426"/>
      <c r="D356" s="435" t="s">
        <v>160</v>
      </c>
      <c r="E356" s="428"/>
      <c r="F356" s="428"/>
      <c r="G356" s="429"/>
      <c r="H356" s="436"/>
      <c r="I356" s="437"/>
      <c r="J356" s="437"/>
      <c r="K356" s="434"/>
      <c r="L356" s="434"/>
      <c r="M356" s="434"/>
      <c r="N356" s="434"/>
      <c r="O356" s="434"/>
      <c r="P356" s="434"/>
    </row>
    <row r="357" spans="1:26" ht="19.5">
      <c r="A357" s="170"/>
      <c r="B357" s="171"/>
      <c r="C357" s="164" t="s">
        <v>16</v>
      </c>
      <c r="D357" s="818" t="s">
        <v>38</v>
      </c>
      <c r="E357" s="173"/>
      <c r="F357" s="173"/>
      <c r="G357" s="174"/>
      <c r="H357" s="726"/>
      <c r="I357" s="269"/>
      <c r="J357" s="269"/>
      <c r="K357" s="465"/>
      <c r="L357" s="163"/>
      <c r="M357" s="163"/>
      <c r="N357" s="163"/>
      <c r="O357" s="163"/>
      <c r="P357" s="163"/>
    </row>
    <row r="358" spans="1:26" ht="18.75">
      <c r="A358" s="170"/>
      <c r="B358" s="342"/>
      <c r="C358" s="171"/>
      <c r="D358" s="342"/>
      <c r="E358" s="343" t="s">
        <v>161</v>
      </c>
      <c r="F358" s="342"/>
      <c r="G358" s="179"/>
      <c r="H358" s="185" t="s">
        <v>35</v>
      </c>
      <c r="I358" s="269">
        <v>0</v>
      </c>
      <c r="J358" s="269">
        <f ca="1">IFERROR(__xludf.DUMMYFUNCTION("IMPORTRANGE(""https://docs.google.com/spreadsheets/d/1XWAQStnk-4SwqDmLtmXYiTMKHgktTP8We1SCoS47DrQ/edit?usp=sharing"",""จัดที่ดิน!W16"")"),1)</f>
        <v>1</v>
      </c>
      <c r="K358" s="465">
        <f t="shared" ref="K358:K365" si="160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342"/>
      <c r="C359" s="171"/>
      <c r="D359" s="342"/>
      <c r="E359" s="342"/>
      <c r="F359" s="342"/>
      <c r="G359" s="179"/>
      <c r="H359" s="185" t="s">
        <v>46</v>
      </c>
      <c r="I359" s="269">
        <f ca="1">IFERROR(__xludf.DUMMYFUNCTION("IMPORTRANGE(""https://docs.google.com/spreadsheets/d/1QqKyyYR6Q21VydFLVH3TRQUabQu_ym0Zz7PgGX0-kHA/edit?usp=sharing"",""แผน!EO16"")"),1100)</f>
        <v>1100</v>
      </c>
      <c r="J359" s="269">
        <f ca="1">IFERROR(__xludf.DUMMYFUNCTION("IMPORTRANGE(""https://docs.google.com/spreadsheets/d/1XWAQStnk-4SwqDmLtmXYiTMKHgktTP8We1SCoS47DrQ/edit?usp=sharing"",""จัดที่ดิน!X16"")"),1.51)</f>
        <v>1.51</v>
      </c>
      <c r="K359" s="465">
        <f t="shared" ca="1" si="160"/>
        <v>0.13727272727272727</v>
      </c>
      <c r="L359" s="163"/>
      <c r="M359" s="163"/>
      <c r="N359" s="163"/>
      <c r="O359" s="163"/>
      <c r="P359" s="163"/>
    </row>
    <row r="360" spans="1:26" ht="18.75">
      <c r="A360" s="170"/>
      <c r="B360" s="342"/>
      <c r="C360" s="171"/>
      <c r="D360" s="342"/>
      <c r="E360" s="343" t="s">
        <v>162</v>
      </c>
      <c r="F360" s="342"/>
      <c r="G360" s="179"/>
      <c r="H360" s="728" t="s">
        <v>35</v>
      </c>
      <c r="I360" s="269">
        <f ca="1">IFERROR(__xludf.DUMMYFUNCTION("IMPORTRANGE(""https://docs.google.com/spreadsheets/d/1QqKyyYR6Q21VydFLVH3TRQUabQu_ym0Zz7PgGX0-kHA/edit?usp=sharing"",""แผน!EP16"")"),110)</f>
        <v>110</v>
      </c>
      <c r="J360" s="269">
        <f ca="1">IFERROR(__xludf.DUMMYFUNCTION("IMPORTRANGE(""https://docs.google.com/spreadsheets/d/1XWAQStnk-4SwqDmLtmXYiTMKHgktTP8We1SCoS47DrQ/edit?usp=sharing"",""จัดที่ดิน!Y16"")"),0)</f>
        <v>0</v>
      </c>
      <c r="K360" s="465">
        <f t="shared" ca="1" si="160"/>
        <v>0</v>
      </c>
      <c r="L360" s="163"/>
      <c r="M360" s="163"/>
      <c r="N360" s="163"/>
      <c r="O360" s="163"/>
      <c r="P360" s="163"/>
    </row>
    <row r="361" spans="1:26" ht="18.75">
      <c r="A361" s="170"/>
      <c r="B361" s="342"/>
      <c r="C361" s="171"/>
      <c r="D361" s="342"/>
      <c r="E361" s="342"/>
      <c r="F361" s="342"/>
      <c r="G361" s="179"/>
      <c r="H361" s="728" t="s">
        <v>46</v>
      </c>
      <c r="I361" s="269">
        <v>0</v>
      </c>
      <c r="J361" s="269">
        <f ca="1">IFERROR(__xludf.DUMMYFUNCTION("IMPORTRANGE(""https://docs.google.com/spreadsheets/d/1XWAQStnk-4SwqDmLtmXYiTMKHgktTP8We1SCoS47DrQ/edit?usp=sharing"",""จัดที่ดิน!Z16"")"),0)</f>
        <v>0</v>
      </c>
      <c r="K361" s="465">
        <f t="shared" si="160"/>
        <v>0</v>
      </c>
      <c r="L361" s="163"/>
      <c r="M361" s="163"/>
      <c r="N361" s="163"/>
      <c r="O361" s="163"/>
      <c r="P361" s="163"/>
    </row>
    <row r="362" spans="1:26" ht="18.75">
      <c r="A362" s="170"/>
      <c r="B362" s="342"/>
      <c r="C362" s="171"/>
      <c r="D362" s="342"/>
      <c r="E362" s="343" t="s">
        <v>163</v>
      </c>
      <c r="F362" s="342"/>
      <c r="G362" s="179"/>
      <c r="H362" s="728" t="s">
        <v>35</v>
      </c>
      <c r="I362" s="269">
        <f ca="1">IFERROR(__xludf.DUMMYFUNCTION("IMPORTRANGE(""https://docs.google.com/spreadsheets/d/1QqKyyYR6Q21VydFLVH3TRQUabQu_ym0Zz7PgGX0-kHA/edit?usp=sharing"",""แผน!EP16"")"),110)</f>
        <v>110</v>
      </c>
      <c r="J362" s="269">
        <f ca="1">IFERROR(__xludf.DUMMYFUNCTION("IMPORTRANGE(""https://docs.google.com/spreadsheets/d/1XWAQStnk-4SwqDmLtmXYiTMKHgktTP8We1SCoS47DrQ/edit?usp=sharing"",""จัดที่ดิน!AA16"")"),0)</f>
        <v>0</v>
      </c>
      <c r="K362" s="465">
        <f t="shared" ca="1" si="160"/>
        <v>0</v>
      </c>
      <c r="L362" s="163"/>
      <c r="M362" s="163"/>
      <c r="N362" s="163"/>
      <c r="O362" s="163"/>
      <c r="P362" s="163"/>
    </row>
    <row r="363" spans="1:26" ht="18.75">
      <c r="A363" s="438" t="s">
        <v>164</v>
      </c>
      <c r="B363" s="342"/>
      <c r="C363" s="171"/>
      <c r="D363" s="342"/>
      <c r="E363" s="415"/>
      <c r="F363" s="342"/>
      <c r="G363" s="179"/>
      <c r="H363" s="728" t="s">
        <v>46</v>
      </c>
      <c r="I363" s="269">
        <v>0</v>
      </c>
      <c r="J363" s="269">
        <f ca="1">IFERROR(__xludf.DUMMYFUNCTION("IMPORTRANGE(""https://docs.google.com/spreadsheets/d/1XWAQStnk-4SwqDmLtmXYiTMKHgktTP8We1SCoS47DrQ/edit?usp=sharing"",""จัดที่ดิน!AB16"")"),0)</f>
        <v>0</v>
      </c>
      <c r="K363" s="465">
        <f t="shared" si="160"/>
        <v>0</v>
      </c>
      <c r="L363" s="163"/>
      <c r="M363" s="163"/>
      <c r="N363" s="163"/>
      <c r="O363" s="163"/>
      <c r="P363" s="163"/>
    </row>
    <row r="364" spans="1:26" ht="19.5">
      <c r="A364" s="439"/>
      <c r="B364" s="440"/>
      <c r="C364" s="441"/>
      <c r="D364" s="442" t="s">
        <v>165</v>
      </c>
      <c r="E364" s="443"/>
      <c r="F364" s="443"/>
      <c r="G364" s="444"/>
      <c r="H364" s="445" t="s">
        <v>35</v>
      </c>
      <c r="I364" s="446">
        <f t="shared" ref="I364:J364" ca="1" si="161">I365+I374</f>
        <v>270</v>
      </c>
      <c r="J364" s="446">
        <f t="shared" ca="1" si="161"/>
        <v>0</v>
      </c>
      <c r="K364" s="447">
        <f t="shared" ca="1" si="160"/>
        <v>0</v>
      </c>
      <c r="L364" s="448"/>
      <c r="M364" s="448"/>
      <c r="N364" s="448"/>
      <c r="O364" s="448"/>
      <c r="P364" s="448"/>
      <c r="Q364" s="449"/>
      <c r="R364" s="449"/>
      <c r="S364" s="449"/>
      <c r="T364" s="449"/>
      <c r="U364" s="449"/>
      <c r="V364" s="449"/>
      <c r="W364" s="449"/>
      <c r="X364" s="449"/>
      <c r="Y364" s="449"/>
      <c r="Z364" s="449"/>
    </row>
    <row r="365" spans="1:26" ht="19.5">
      <c r="A365" s="450"/>
      <c r="B365" s="451"/>
      <c r="C365" s="453"/>
      <c r="D365" s="453" t="s">
        <v>166</v>
      </c>
      <c r="E365" s="454"/>
      <c r="F365" s="454"/>
      <c r="G365" s="455"/>
      <c r="H365" s="456" t="s">
        <v>35</v>
      </c>
      <c r="I365" s="458">
        <f ca="1">IFERROR(__xludf.DUMMYFUNCTION("IMPORTRANGE(""https://docs.google.com/spreadsheets/d/1QqKyyYR6Q21VydFLVH3TRQUabQu_ym0Zz7PgGX0-kHA/edit?usp=sharing"",""แผน!EJ16"")"),80)</f>
        <v>80</v>
      </c>
      <c r="J365" s="458">
        <f ca="1">J372</f>
        <v>0</v>
      </c>
      <c r="K365" s="459">
        <f t="shared" ca="1" si="160"/>
        <v>0</v>
      </c>
      <c r="L365" s="460"/>
      <c r="M365" s="460"/>
      <c r="N365" s="460"/>
      <c r="O365" s="460"/>
      <c r="P365" s="460"/>
      <c r="Q365" s="449"/>
      <c r="R365" s="449"/>
      <c r="S365" s="449"/>
      <c r="T365" s="449"/>
      <c r="U365" s="449"/>
      <c r="V365" s="449"/>
      <c r="W365" s="449"/>
      <c r="X365" s="449"/>
      <c r="Y365" s="449"/>
      <c r="Z365" s="449"/>
    </row>
    <row r="366" spans="1:26" ht="19.5">
      <c r="A366" s="450"/>
      <c r="B366" s="451"/>
      <c r="C366" s="453"/>
      <c r="D366" s="461" t="s">
        <v>167</v>
      </c>
      <c r="E366" s="454"/>
      <c r="F366" s="454"/>
      <c r="G366" s="455"/>
      <c r="H366" s="462"/>
      <c r="I366" s="463"/>
      <c r="J366" s="463"/>
      <c r="K366" s="460"/>
      <c r="L366" s="460"/>
      <c r="M366" s="460"/>
      <c r="N366" s="460"/>
      <c r="O366" s="460"/>
      <c r="P366" s="460"/>
      <c r="Q366" s="449"/>
      <c r="R366" s="449"/>
      <c r="S366" s="449"/>
      <c r="T366" s="449"/>
      <c r="U366" s="449"/>
      <c r="V366" s="449"/>
      <c r="W366" s="449"/>
      <c r="X366" s="449"/>
      <c r="Y366" s="449"/>
      <c r="Z366" s="449"/>
    </row>
    <row r="367" spans="1:26" ht="19.5">
      <c r="A367" s="170"/>
      <c r="B367" s="171"/>
      <c r="C367" s="164" t="s">
        <v>16</v>
      </c>
      <c r="D367" s="818" t="s">
        <v>38</v>
      </c>
      <c r="E367" s="173"/>
      <c r="F367" s="173"/>
      <c r="G367" s="174"/>
      <c r="H367" s="726"/>
      <c r="I367" s="269"/>
      <c r="J367" s="269"/>
      <c r="K367" s="465"/>
      <c r="L367" s="163"/>
      <c r="M367" s="163"/>
      <c r="N367" s="163"/>
      <c r="O367" s="163"/>
      <c r="P367" s="163"/>
    </row>
    <row r="368" spans="1:26" ht="18.75">
      <c r="A368" s="170"/>
      <c r="B368" s="342"/>
      <c r="C368" s="171"/>
      <c r="D368" s="342"/>
      <c r="E368" s="343" t="s">
        <v>161</v>
      </c>
      <c r="F368" s="342"/>
      <c r="G368" s="179"/>
      <c r="H368" s="185" t="s">
        <v>35</v>
      </c>
      <c r="I368" s="269">
        <v>0</v>
      </c>
      <c r="J368" s="269">
        <f ca="1">IFERROR(__xludf.DUMMYFUNCTION("IMPORTRANGE(""https://docs.google.com/spreadsheets/d/1XWAQStnk-4SwqDmLtmXYiTMKHgktTP8We1SCoS47DrQ/edit?usp=sharing"",""จัดที่ดิน!E16"")"),1)</f>
        <v>1</v>
      </c>
      <c r="K368" s="465">
        <f t="shared" ref="K368:K374" si="162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342"/>
      <c r="C369" s="171"/>
      <c r="D369" s="342"/>
      <c r="E369" s="342"/>
      <c r="F369" s="342"/>
      <c r="G369" s="179"/>
      <c r="H369" s="185" t="s">
        <v>46</v>
      </c>
      <c r="I369" s="269">
        <f ca="1">IFERROR(__xludf.DUMMYFUNCTION("IMPORTRANGE(""https://docs.google.com/spreadsheets/d/1QqKyyYR6Q21VydFLVH3TRQUabQu_ym0Zz7PgGX0-kHA/edit?usp=sharing"",""แผน!EI16"")"),800)</f>
        <v>800</v>
      </c>
      <c r="J369" s="269">
        <f ca="1">IFERROR(__xludf.DUMMYFUNCTION("IMPORTRANGE(""https://docs.google.com/spreadsheets/d/1XWAQStnk-4SwqDmLtmXYiTMKHgktTP8We1SCoS47DrQ/edit?usp=sharing"",""จัดที่ดิน!F16"")"),1.51)</f>
        <v>1.51</v>
      </c>
      <c r="K369" s="465">
        <f t="shared" ca="1" si="162"/>
        <v>0.18875</v>
      </c>
      <c r="L369" s="163"/>
      <c r="M369" s="163"/>
      <c r="N369" s="163"/>
      <c r="O369" s="163"/>
      <c r="P369" s="163"/>
    </row>
    <row r="370" spans="1:26" ht="18.75">
      <c r="A370" s="170"/>
      <c r="B370" s="342"/>
      <c r="C370" s="171"/>
      <c r="D370" s="342"/>
      <c r="E370" s="343" t="s">
        <v>162</v>
      </c>
      <c r="F370" s="342"/>
      <c r="G370" s="179"/>
      <c r="H370" s="728" t="s">
        <v>35</v>
      </c>
      <c r="I370" s="269">
        <f ca="1">IFERROR(__xludf.DUMMYFUNCTION("IMPORTRANGE(""https://docs.google.com/spreadsheets/d/1QqKyyYR6Q21VydFLVH3TRQUabQu_ym0Zz7PgGX0-kHA/edit?usp=sharing"",""แผน!EJ16"")"),80)</f>
        <v>80</v>
      </c>
      <c r="J370" s="269">
        <f ca="1">IFERROR(__xludf.DUMMYFUNCTION("IMPORTRANGE(""https://docs.google.com/spreadsheets/d/1XWAQStnk-4SwqDmLtmXYiTMKHgktTP8We1SCoS47DrQ/edit?usp=sharing"",""จัดที่ดิน!G16"")"),0)</f>
        <v>0</v>
      </c>
      <c r="K370" s="465">
        <f t="shared" ca="1" si="162"/>
        <v>0</v>
      </c>
      <c r="L370" s="163"/>
      <c r="M370" s="163"/>
      <c r="N370" s="163"/>
      <c r="O370" s="163"/>
      <c r="P370" s="163"/>
    </row>
    <row r="371" spans="1:26" ht="18.75">
      <c r="A371" s="170"/>
      <c r="B371" s="342"/>
      <c r="C371" s="171"/>
      <c r="D371" s="342"/>
      <c r="E371" s="342"/>
      <c r="F371" s="342"/>
      <c r="G371" s="179"/>
      <c r="H371" s="728" t="s">
        <v>46</v>
      </c>
      <c r="I371" s="269">
        <v>0</v>
      </c>
      <c r="J371" s="269">
        <f ca="1">IFERROR(__xludf.DUMMYFUNCTION("IMPORTRANGE(""https://docs.google.com/spreadsheets/d/1XWAQStnk-4SwqDmLtmXYiTMKHgktTP8We1SCoS47DrQ/edit?usp=sharing"",""จัดที่ดิน!H16"")"),0)</f>
        <v>0</v>
      </c>
      <c r="K371" s="465">
        <f t="shared" si="162"/>
        <v>0</v>
      </c>
      <c r="L371" s="163"/>
      <c r="M371" s="163"/>
      <c r="N371" s="163"/>
      <c r="O371" s="163"/>
      <c r="P371" s="163"/>
    </row>
    <row r="372" spans="1:26" ht="18.75">
      <c r="A372" s="170"/>
      <c r="B372" s="342"/>
      <c r="C372" s="171"/>
      <c r="D372" s="342"/>
      <c r="E372" s="343" t="s">
        <v>163</v>
      </c>
      <c r="F372" s="342"/>
      <c r="G372" s="179"/>
      <c r="H372" s="728" t="s">
        <v>35</v>
      </c>
      <c r="I372" s="269">
        <f ca="1">IFERROR(__xludf.DUMMYFUNCTION("IMPORTRANGE(""https://docs.google.com/spreadsheets/d/1QqKyyYR6Q21VydFLVH3TRQUabQu_ym0Zz7PgGX0-kHA/edit?usp=sharing"",""แผน!EJ16"")"),80)</f>
        <v>80</v>
      </c>
      <c r="J372" s="269">
        <f ca="1">IFERROR(__xludf.DUMMYFUNCTION("IMPORTRANGE(""https://docs.google.com/spreadsheets/d/1XWAQStnk-4SwqDmLtmXYiTMKHgktTP8We1SCoS47DrQ/edit?usp=sharing"",""จัดที่ดิน!I16"")"),0)</f>
        <v>0</v>
      </c>
      <c r="K372" s="465">
        <f t="shared" ca="1" si="162"/>
        <v>0</v>
      </c>
      <c r="L372" s="163"/>
      <c r="M372" s="163"/>
      <c r="N372" s="163"/>
      <c r="O372" s="163"/>
      <c r="P372" s="163"/>
    </row>
    <row r="373" spans="1:26" ht="18.75">
      <c r="A373" s="438" t="s">
        <v>164</v>
      </c>
      <c r="B373" s="342"/>
      <c r="C373" s="171"/>
      <c r="D373" s="342"/>
      <c r="E373" s="415"/>
      <c r="F373" s="342"/>
      <c r="G373" s="179"/>
      <c r="H373" s="728" t="s">
        <v>46</v>
      </c>
      <c r="I373" s="269">
        <v>0</v>
      </c>
      <c r="J373" s="269">
        <f ca="1">IFERROR(__xludf.DUMMYFUNCTION("IMPORTRANGE(""https://docs.google.com/spreadsheets/d/1XWAQStnk-4SwqDmLtmXYiTMKHgktTP8We1SCoS47DrQ/edit?usp=sharing"",""จัดที่ดิน!J16"")"),0)</f>
        <v>0</v>
      </c>
      <c r="K373" s="465">
        <f t="shared" si="162"/>
        <v>0</v>
      </c>
      <c r="L373" s="163"/>
      <c r="M373" s="163"/>
      <c r="N373" s="163"/>
      <c r="O373" s="163"/>
      <c r="P373" s="163"/>
    </row>
    <row r="374" spans="1:26" ht="19.5">
      <c r="A374" s="450"/>
      <c r="B374" s="451"/>
      <c r="C374" s="453"/>
      <c r="D374" s="453" t="s">
        <v>168</v>
      </c>
      <c r="E374" s="454"/>
      <c r="F374" s="454"/>
      <c r="G374" s="455"/>
      <c r="H374" s="456" t="s">
        <v>35</v>
      </c>
      <c r="I374" s="464">
        <f ca="1">IFERROR(__xludf.DUMMYFUNCTION("IMPORTRANGE(""https://docs.google.com/spreadsheets/d/1QqKyyYR6Q21VydFLVH3TRQUabQu_ym0Zz7PgGX0-kHA/edit?usp=sharing"",""แผน!EU16"")"),190)</f>
        <v>190</v>
      </c>
      <c r="J374" s="458">
        <f ca="1">J381</f>
        <v>0</v>
      </c>
      <c r="K374" s="459">
        <f t="shared" ca="1" si="162"/>
        <v>0</v>
      </c>
      <c r="L374" s="460"/>
      <c r="M374" s="460"/>
      <c r="N374" s="460"/>
      <c r="O374" s="460"/>
      <c r="P374" s="460"/>
      <c r="Q374" s="449"/>
      <c r="R374" s="449"/>
      <c r="S374" s="449"/>
      <c r="T374" s="449"/>
      <c r="U374" s="449"/>
      <c r="V374" s="449"/>
      <c r="W374" s="449"/>
      <c r="X374" s="449"/>
      <c r="Y374" s="449"/>
      <c r="Z374" s="449"/>
    </row>
    <row r="375" spans="1:26" ht="19.5">
      <c r="A375" s="450"/>
      <c r="B375" s="451"/>
      <c r="C375" s="453"/>
      <c r="D375" s="461" t="s">
        <v>169</v>
      </c>
      <c r="E375" s="454"/>
      <c r="F375" s="454"/>
      <c r="G375" s="455"/>
      <c r="H375" s="462"/>
      <c r="I375" s="463"/>
      <c r="J375" s="463"/>
      <c r="K375" s="460"/>
      <c r="L375" s="460"/>
      <c r="M375" s="460"/>
      <c r="N375" s="460"/>
      <c r="O375" s="460"/>
      <c r="P375" s="460"/>
      <c r="Q375" s="449"/>
      <c r="R375" s="449"/>
      <c r="S375" s="449"/>
      <c r="T375" s="449"/>
      <c r="U375" s="449"/>
      <c r="V375" s="449"/>
      <c r="W375" s="449"/>
      <c r="X375" s="449"/>
      <c r="Y375" s="449"/>
      <c r="Z375" s="449"/>
    </row>
    <row r="376" spans="1:26" ht="19.5">
      <c r="A376" s="170"/>
      <c r="B376" s="171"/>
      <c r="C376" s="164" t="s">
        <v>16</v>
      </c>
      <c r="D376" s="818" t="s">
        <v>38</v>
      </c>
      <c r="E376" s="173"/>
      <c r="F376" s="173"/>
      <c r="G376" s="174"/>
      <c r="H376" s="726"/>
      <c r="I376" s="269"/>
      <c r="J376" s="269"/>
      <c r="K376" s="465"/>
      <c r="L376" s="163"/>
      <c r="M376" s="163"/>
      <c r="N376" s="163"/>
      <c r="O376" s="163"/>
      <c r="P376" s="163"/>
    </row>
    <row r="377" spans="1:26" ht="18.75">
      <c r="A377" s="170"/>
      <c r="B377" s="342"/>
      <c r="C377" s="171"/>
      <c r="D377" s="342"/>
      <c r="E377" s="343" t="s">
        <v>161</v>
      </c>
      <c r="F377" s="342"/>
      <c r="G377" s="179"/>
      <c r="H377" s="185" t="s">
        <v>35</v>
      </c>
      <c r="I377" s="269">
        <v>0</v>
      </c>
      <c r="J377" s="269">
        <f ca="1">IFERROR(__xludf.DUMMYFUNCTION("IMPORTRANGE(""https://docs.google.com/spreadsheets/d/1XWAQStnk-4SwqDmLtmXYiTMKHgktTP8We1SCoS47DrQ/edit?usp=sharing"",""จัดที่ดิน!AH16"")"),0)</f>
        <v>0</v>
      </c>
      <c r="K377" s="465">
        <f t="shared" ref="K377:K382" si="163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342"/>
      <c r="C378" s="171"/>
      <c r="D378" s="342"/>
      <c r="E378" s="342"/>
      <c r="F378" s="342"/>
      <c r="G378" s="179"/>
      <c r="H378" s="185" t="s">
        <v>46</v>
      </c>
      <c r="I378" s="269">
        <f ca="1">IFERROR(__xludf.DUMMYFUNCTION("IMPORTRANGE(""https://docs.google.com/spreadsheets/d/1QqKyyYR6Q21VydFLVH3TRQUabQu_ym0Zz7PgGX0-kHA/edit?usp=sharing"",""แผน!ET16"")"),300)</f>
        <v>300</v>
      </c>
      <c r="J378" s="269">
        <f ca="1">IFERROR(__xludf.DUMMYFUNCTION("IMPORTRANGE(""https://docs.google.com/spreadsheets/d/1XWAQStnk-4SwqDmLtmXYiTMKHgktTP8We1SCoS47DrQ/edit?usp=sharing"",""จัดที่ดิน!AI16"")"),0)</f>
        <v>0</v>
      </c>
      <c r="K378" s="465">
        <f t="shared" ca="1" si="163"/>
        <v>0</v>
      </c>
      <c r="L378" s="163"/>
      <c r="M378" s="163"/>
      <c r="N378" s="163"/>
      <c r="O378" s="163"/>
      <c r="P378" s="163"/>
    </row>
    <row r="379" spans="1:26" ht="18.75">
      <c r="A379" s="170"/>
      <c r="B379" s="342"/>
      <c r="C379" s="171"/>
      <c r="D379" s="342"/>
      <c r="E379" s="343" t="s">
        <v>162</v>
      </c>
      <c r="F379" s="342"/>
      <c r="G379" s="179"/>
      <c r="H379" s="728" t="s">
        <v>35</v>
      </c>
      <c r="I379" s="269">
        <f ca="1">IFERROR(__xludf.DUMMYFUNCTION("IMPORTRANGE(""https://docs.google.com/spreadsheets/d/1QqKyyYR6Q21VydFLVH3TRQUabQu_ym0Zz7PgGX0-kHA/edit?usp=sharing"",""แผน!EU16"")"),190)</f>
        <v>190</v>
      </c>
      <c r="J379" s="269">
        <f ca="1">IFERROR(__xludf.DUMMYFUNCTION("IMPORTRANGE(""https://docs.google.com/spreadsheets/d/1XWAQStnk-4SwqDmLtmXYiTMKHgktTP8We1SCoS47DrQ/edit?usp=sharing"",""จัดที่ดิน!AJ16"")"),0)</f>
        <v>0</v>
      </c>
      <c r="K379" s="465">
        <f t="shared" ca="1" si="163"/>
        <v>0</v>
      </c>
      <c r="L379" s="163"/>
      <c r="M379" s="163"/>
      <c r="N379" s="163"/>
      <c r="O379" s="163"/>
      <c r="P379" s="163"/>
    </row>
    <row r="380" spans="1:26" ht="18.75">
      <c r="A380" s="170"/>
      <c r="B380" s="342"/>
      <c r="C380" s="171"/>
      <c r="D380" s="342"/>
      <c r="E380" s="342"/>
      <c r="F380" s="342"/>
      <c r="G380" s="179"/>
      <c r="H380" s="728" t="s">
        <v>46</v>
      </c>
      <c r="I380" s="269">
        <v>0</v>
      </c>
      <c r="J380" s="269">
        <f ca="1">IFERROR(__xludf.DUMMYFUNCTION("IMPORTRANGE(""https://docs.google.com/spreadsheets/d/1XWAQStnk-4SwqDmLtmXYiTMKHgktTP8We1SCoS47DrQ/edit?usp=sharing"",""จัดที่ดิน!AK16"")"),0)</f>
        <v>0</v>
      </c>
      <c r="K380" s="465">
        <f t="shared" si="163"/>
        <v>0</v>
      </c>
      <c r="L380" s="163"/>
      <c r="M380" s="163"/>
      <c r="N380" s="163"/>
      <c r="O380" s="163"/>
      <c r="P380" s="163"/>
    </row>
    <row r="381" spans="1:26" ht="18.75">
      <c r="A381" s="170"/>
      <c r="B381" s="342"/>
      <c r="C381" s="171"/>
      <c r="D381" s="342"/>
      <c r="E381" s="343" t="s">
        <v>163</v>
      </c>
      <c r="F381" s="342"/>
      <c r="G381" s="179"/>
      <c r="H381" s="728" t="s">
        <v>35</v>
      </c>
      <c r="I381" s="269">
        <f ca="1">IFERROR(__xludf.DUMMYFUNCTION("IMPORTRANGE(""https://docs.google.com/spreadsheets/d/1QqKyyYR6Q21VydFLVH3TRQUabQu_ym0Zz7PgGX0-kHA/edit?usp=sharing"",""แผน!EU16"")"),190)</f>
        <v>190</v>
      </c>
      <c r="J381" s="269">
        <f ca="1">IFERROR(__xludf.DUMMYFUNCTION("IMPORTRANGE(""https://docs.google.com/spreadsheets/d/1XWAQStnk-4SwqDmLtmXYiTMKHgktTP8We1SCoS47DrQ/edit?usp=sharing"",""จัดที่ดิน!AL16"")"),0)</f>
        <v>0</v>
      </c>
      <c r="K381" s="465">
        <f t="shared" ca="1" si="163"/>
        <v>0</v>
      </c>
      <c r="L381" s="163"/>
      <c r="M381" s="163"/>
      <c r="N381" s="163"/>
      <c r="O381" s="163"/>
      <c r="P381" s="163"/>
    </row>
    <row r="382" spans="1:26" ht="18.75">
      <c r="A382" s="438" t="s">
        <v>164</v>
      </c>
      <c r="B382" s="342"/>
      <c r="C382" s="171"/>
      <c r="D382" s="342"/>
      <c r="E382" s="415"/>
      <c r="F382" s="342"/>
      <c r="G382" s="179"/>
      <c r="H382" s="728" t="s">
        <v>46</v>
      </c>
      <c r="I382" s="269">
        <v>0</v>
      </c>
      <c r="J382" s="269">
        <f ca="1">IFERROR(__xludf.DUMMYFUNCTION("IMPORTRANGE(""https://docs.google.com/spreadsheets/d/1XWAQStnk-4SwqDmLtmXYiTMKHgktTP8We1SCoS47DrQ/edit?usp=sharing"",""จัดที่ดิน!AM16"")"),0)</f>
        <v>0</v>
      </c>
      <c r="K382" s="465">
        <f t="shared" si="163"/>
        <v>0</v>
      </c>
      <c r="L382" s="163"/>
      <c r="M382" s="163"/>
      <c r="N382" s="163"/>
      <c r="O382" s="163"/>
      <c r="P382" s="163"/>
    </row>
    <row r="383" spans="1:26" ht="19.5">
      <c r="A383" s="255"/>
      <c r="B383" s="263"/>
      <c r="C383" s="256"/>
      <c r="D383" s="845" t="s">
        <v>170</v>
      </c>
      <c r="E383" s="256"/>
      <c r="F383" s="256"/>
      <c r="G383" s="258"/>
      <c r="H383" s="423"/>
      <c r="I383" s="260"/>
      <c r="J383" s="260"/>
      <c r="K383" s="261"/>
      <c r="L383" s="261"/>
      <c r="M383" s="261"/>
      <c r="N383" s="261"/>
      <c r="O383" s="261"/>
      <c r="P383" s="261"/>
    </row>
    <row r="384" spans="1:26" ht="19.5">
      <c r="A384" s="170"/>
      <c r="B384" s="171"/>
      <c r="C384" s="33" t="s">
        <v>16</v>
      </c>
      <c r="D384" s="818" t="s">
        <v>38</v>
      </c>
      <c r="E384" s="173"/>
      <c r="F384" s="173"/>
      <c r="G384" s="174"/>
      <c r="H384" s="726"/>
      <c r="I384" s="269"/>
      <c r="J384" s="269"/>
      <c r="K384" s="465"/>
      <c r="L384" s="163"/>
      <c r="M384" s="163"/>
      <c r="N384" s="163"/>
      <c r="O384" s="163"/>
      <c r="P384" s="163"/>
    </row>
    <row r="385" spans="1:26" ht="18.75">
      <c r="A385" s="346"/>
      <c r="B385" s="349"/>
      <c r="C385" s="347"/>
      <c r="D385" s="349"/>
      <c r="E385" s="466" t="s">
        <v>163</v>
      </c>
      <c r="F385" s="349"/>
      <c r="G385" s="350"/>
      <c r="H385" s="467" t="s">
        <v>35</v>
      </c>
      <c r="I385" s="468">
        <f ca="1">IFERROR(__xludf.DUMMYFUNCTION("IMPORTRANGE(""https://docs.google.com/spreadsheets/d/1QqKyyYR6Q21VydFLVH3TRQUabQu_ym0Zz7PgGX0-kHA/edit?usp=sharing"",""แผน!EW16"")"),10)</f>
        <v>10</v>
      </c>
      <c r="J385" s="468">
        <f ca="1">IFERROR(__xludf.DUMMYFUNCTION("IMPORTRANGE(""https://docs.google.com/spreadsheets/d/1XWAQStnk-4SwqDmLtmXYiTMKHgktTP8We1SCoS47DrQ/edit?usp=sharing"",""จัดที่ดิน!AP16"")"),0)</f>
        <v>0</v>
      </c>
      <c r="K385" s="469">
        <f ca="1">IF(I385&gt;0,J385*100/I385,0)</f>
        <v>0</v>
      </c>
      <c r="L385" s="353"/>
      <c r="M385" s="353"/>
      <c r="N385" s="353"/>
      <c r="O385" s="353"/>
      <c r="P385" s="353"/>
    </row>
    <row r="386" spans="1:26" ht="19.5" hidden="1">
      <c r="A386" s="470" t="s">
        <v>171</v>
      </c>
      <c r="B386" s="471"/>
      <c r="C386" s="471"/>
      <c r="D386" s="471"/>
      <c r="E386" s="472"/>
      <c r="F386" s="472"/>
      <c r="G386" s="473"/>
      <c r="H386" s="474"/>
      <c r="I386" s="475"/>
      <c r="J386" s="475"/>
      <c r="K386" s="476"/>
      <c r="L386" s="476"/>
      <c r="M386" s="476"/>
      <c r="N386" s="476"/>
      <c r="O386" s="476"/>
      <c r="P386" s="476"/>
    </row>
    <row r="387" spans="1:26" ht="19.5" hidden="1">
      <c r="A387" s="477" t="s">
        <v>172</v>
      </c>
      <c r="B387" s="478"/>
      <c r="C387" s="478"/>
      <c r="D387" s="479"/>
      <c r="E387" s="478"/>
      <c r="F387" s="478"/>
      <c r="G387" s="478"/>
      <c r="H387" s="480"/>
      <c r="I387" s="481"/>
      <c r="J387" s="481"/>
      <c r="K387" s="482"/>
      <c r="L387" s="482"/>
      <c r="M387" s="482"/>
      <c r="N387" s="482"/>
      <c r="O387" s="482"/>
      <c r="P387" s="482"/>
    </row>
    <row r="388" spans="1:26" ht="19.5" hidden="1">
      <c r="A388" s="483"/>
      <c r="B388" s="484" t="s">
        <v>173</v>
      </c>
      <c r="C388" s="485"/>
      <c r="D388" s="486"/>
      <c r="E388" s="486"/>
      <c r="F388" s="486"/>
      <c r="G388" s="487"/>
      <c r="H388" s="488" t="s">
        <v>69</v>
      </c>
      <c r="I388" s="489">
        <f t="shared" ref="I388:J388" si="164">I400</f>
        <v>0</v>
      </c>
      <c r="J388" s="489">
        <f t="shared" si="164"/>
        <v>0</v>
      </c>
      <c r="K388" s="490">
        <f>IF(I388&gt;0,J388*100/I388,0)</f>
        <v>0</v>
      </c>
      <c r="L388" s="491"/>
      <c r="M388" s="491"/>
      <c r="N388" s="491"/>
      <c r="O388" s="491"/>
      <c r="P388" s="491"/>
    </row>
    <row r="389" spans="1:26" ht="19.5" hidden="1">
      <c r="A389" s="147"/>
      <c r="B389" s="148"/>
      <c r="C389" s="149" t="s">
        <v>16</v>
      </c>
      <c r="D389" s="817" t="s">
        <v>17</v>
      </c>
      <c r="E389" s="148"/>
      <c r="F389" s="148"/>
      <c r="G389" s="151"/>
      <c r="H389" s="152" t="s">
        <v>12</v>
      </c>
      <c r="I389" s="388"/>
      <c r="J389" s="388"/>
      <c r="K389" s="154"/>
      <c r="L389" s="155">
        <f t="shared" ref="L389:N389" ca="1" si="165">L390+L391</f>
        <v>0</v>
      </c>
      <c r="M389" s="155">
        <f t="shared" ca="1" si="165"/>
        <v>0</v>
      </c>
      <c r="N389" s="155">
        <f t="shared" ca="1" si="165"/>
        <v>0</v>
      </c>
      <c r="O389" s="155">
        <f t="shared" ref="O389:O397" ca="1" si="166">IF(L389&gt;0,N389*100/L389,0)</f>
        <v>0</v>
      </c>
      <c r="P389" s="155">
        <f t="shared" ref="P389:P397" ca="1" si="167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2" t="s">
        <v>18</v>
      </c>
      <c r="F390" s="40"/>
      <c r="G390" s="157"/>
      <c r="H390" s="158" t="s">
        <v>12</v>
      </c>
      <c r="I390" s="583"/>
      <c r="J390" s="583"/>
      <c r="K390" s="93"/>
      <c r="L390" s="93">
        <f t="shared" ref="L390:N391" si="168">L393+L396</f>
        <v>0</v>
      </c>
      <c r="M390" s="93">
        <f t="shared" si="168"/>
        <v>0</v>
      </c>
      <c r="N390" s="93">
        <f t="shared" si="168"/>
        <v>0</v>
      </c>
      <c r="O390" s="93">
        <f t="shared" si="166"/>
        <v>0</v>
      </c>
      <c r="P390" s="93">
        <f t="shared" si="167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2" t="s">
        <v>19</v>
      </c>
      <c r="F391" s="40"/>
      <c r="G391" s="157"/>
      <c r="H391" s="158" t="s">
        <v>12</v>
      </c>
      <c r="I391" s="583"/>
      <c r="J391" s="583"/>
      <c r="K391" s="93"/>
      <c r="L391" s="93">
        <f t="shared" ca="1" si="168"/>
        <v>0</v>
      </c>
      <c r="M391" s="93">
        <f t="shared" ca="1" si="168"/>
        <v>0</v>
      </c>
      <c r="N391" s="93">
        <f t="shared" ca="1" si="168"/>
        <v>0</v>
      </c>
      <c r="O391" s="93">
        <f t="shared" ca="1" si="166"/>
        <v>0</v>
      </c>
      <c r="P391" s="93">
        <f t="shared" ca="1" si="167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1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65">
        <f t="shared" ref="L392:N392" ca="1" si="169">L393+L394</f>
        <v>0</v>
      </c>
      <c r="M392" s="465">
        <f t="shared" ca="1" si="169"/>
        <v>0</v>
      </c>
      <c r="N392" s="465">
        <f t="shared" ca="1" si="169"/>
        <v>0</v>
      </c>
      <c r="O392" s="465">
        <f t="shared" ca="1" si="166"/>
        <v>0</v>
      </c>
      <c r="P392" s="465">
        <f t="shared" ca="1" si="167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2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6"/>
        <v>0</v>
      </c>
      <c r="P393" s="93">
        <f t="shared" si="167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2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IFERROR(__xludf.DUMMYFUNCTION("IMPORTRANGE(""https://docs.google.com/spreadsheets/d/1MeEWN-I1oV_STSDYn1IFDPWt_1FKiwhDph83XaGc0o0/edit?usp=sharing"",""งบพรบ!FG16"")"),0)</f>
        <v>0</v>
      </c>
      <c r="M394" s="93">
        <f ca="1">IFERROR(__xludf.DUMMYFUNCTION("IMPORTRANGE(""https://docs.google.com/spreadsheets/d/1MeEWN-I1oV_STSDYn1IFDPWt_1FKiwhDph83XaGc0o0/edit?usp=sharing"",""งบพรบ!FL16"")"),0)</f>
        <v>0</v>
      </c>
      <c r="N394" s="93">
        <f ca="1">IFERROR(__xludf.DUMMYFUNCTION("IMPORTRANGE(""https://docs.google.com/spreadsheets/d/1MeEWN-I1oV_STSDYn1IFDPWt_1FKiwhDph83XaGc0o0/edit?usp=sharing"",""งบพรบ!FN16"")"),0)</f>
        <v>0</v>
      </c>
      <c r="O394" s="93">
        <f t="shared" ca="1" si="166"/>
        <v>0</v>
      </c>
      <c r="P394" s="93">
        <f t="shared" ca="1" si="167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1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65">
        <f t="shared" ref="L395:N395" ca="1" si="170">L396+L397</f>
        <v>0</v>
      </c>
      <c r="M395" s="465">
        <f t="shared" ca="1" si="170"/>
        <v>0</v>
      </c>
      <c r="N395" s="465">
        <f t="shared" ca="1" si="170"/>
        <v>0</v>
      </c>
      <c r="O395" s="465">
        <f t="shared" ca="1" si="166"/>
        <v>0</v>
      </c>
      <c r="P395" s="465">
        <f t="shared" ca="1" si="167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2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6"/>
        <v>0</v>
      </c>
      <c r="P396" s="93">
        <f t="shared" si="167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2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IFERROR(__xludf.DUMMYFUNCTION("IMPORTRANGE(""https://docs.google.com/spreadsheets/d/1MeEWN-I1oV_STSDYn1IFDPWt_1FKiwhDph83XaGc0o0/edit?usp=sharing"",""งบพรบ!FJ16"")"),0)</f>
        <v>0</v>
      </c>
      <c r="M397" s="93">
        <f ca="1">IFERROR(__xludf.DUMMYFUNCTION("IMPORTRANGE(""https://docs.google.com/spreadsheets/d/1MeEWN-I1oV_STSDYn1IFDPWt_1FKiwhDph83XaGc0o0/edit?usp=sharing"",""งบพรบ!FM16"")"),0)</f>
        <v>0</v>
      </c>
      <c r="N397" s="93">
        <f ca="1">IFERROR(__xludf.DUMMYFUNCTION("IMPORTRANGE(""https://docs.google.com/spreadsheets/d/1MeEWN-I1oV_STSDYn1IFDPWt_1FKiwhDph83XaGc0o0/edit?usp=sharing"",""งบพรบ!FO16"")"),0)</f>
        <v>0</v>
      </c>
      <c r="O397" s="93">
        <f t="shared" ca="1" si="166"/>
        <v>0</v>
      </c>
      <c r="P397" s="93">
        <f t="shared" ca="1" si="167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18" t="s">
        <v>38</v>
      </c>
      <c r="E398" s="173"/>
      <c r="F398" s="173"/>
      <c r="G398" s="174"/>
      <c r="H398" s="726"/>
      <c r="I398" s="184"/>
      <c r="J398" s="269"/>
      <c r="K398" s="465"/>
      <c r="L398" s="465"/>
      <c r="M398" s="465"/>
      <c r="N398" s="465"/>
      <c r="O398" s="163"/>
      <c r="P398" s="163"/>
    </row>
    <row r="399" spans="1:26" ht="18.75" hidden="1">
      <c r="A399" s="492"/>
      <c r="B399" s="148"/>
      <c r="C399" s="493"/>
      <c r="D399" s="494" t="s">
        <v>174</v>
      </c>
      <c r="E399" s="383"/>
      <c r="F399" s="148"/>
      <c r="G399" s="151"/>
      <c r="H399" s="495" t="s">
        <v>9</v>
      </c>
      <c r="I399" s="269">
        <v>0</v>
      </c>
      <c r="J399" s="214">
        <v>0</v>
      </c>
      <c r="K399" s="465">
        <f t="shared" ref="K399:K401" si="171">IF(I399&gt;0,J399*100/I399,0)</f>
        <v>0</v>
      </c>
      <c r="L399" s="496"/>
      <c r="M399" s="496"/>
      <c r="N399" s="496"/>
      <c r="O399" s="496"/>
      <c r="P399" s="496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3"/>
      <c r="B400" s="33"/>
      <c r="C400" s="280"/>
      <c r="D400" s="415" t="s">
        <v>175</v>
      </c>
      <c r="E400" s="171"/>
      <c r="F400" s="33"/>
      <c r="G400" s="35"/>
      <c r="H400" s="276" t="s">
        <v>69</v>
      </c>
      <c r="I400" s="269">
        <v>0</v>
      </c>
      <c r="J400" s="214">
        <v>0</v>
      </c>
      <c r="K400" s="465">
        <f t="shared" si="171"/>
        <v>0</v>
      </c>
      <c r="L400" s="465"/>
      <c r="M400" s="465"/>
      <c r="N400" s="465"/>
      <c r="O400" s="465"/>
      <c r="P400" s="465"/>
    </row>
    <row r="401" spans="1:26" ht="19.5" hidden="1">
      <c r="A401" s="483"/>
      <c r="B401" s="484" t="s">
        <v>176</v>
      </c>
      <c r="C401" s="485"/>
      <c r="D401" s="486"/>
      <c r="E401" s="486"/>
      <c r="F401" s="486"/>
      <c r="G401" s="487"/>
      <c r="H401" s="488" t="s">
        <v>69</v>
      </c>
      <c r="I401" s="489">
        <f t="shared" ref="I401:J401" si="172">I412</f>
        <v>0</v>
      </c>
      <c r="J401" s="489">
        <f t="shared" si="172"/>
        <v>0</v>
      </c>
      <c r="K401" s="490">
        <f t="shared" si="171"/>
        <v>0</v>
      </c>
      <c r="L401" s="491"/>
      <c r="M401" s="491"/>
      <c r="N401" s="491"/>
      <c r="O401" s="491"/>
      <c r="P401" s="491"/>
    </row>
    <row r="402" spans="1:26" ht="19.5" hidden="1">
      <c r="A402" s="147"/>
      <c r="B402" s="148"/>
      <c r="C402" s="149" t="s">
        <v>16</v>
      </c>
      <c r="D402" s="817" t="s">
        <v>17</v>
      </c>
      <c r="E402" s="148"/>
      <c r="F402" s="148"/>
      <c r="G402" s="151"/>
      <c r="H402" s="152" t="s">
        <v>12</v>
      </c>
      <c r="I402" s="388"/>
      <c r="J402" s="388"/>
      <c r="K402" s="154"/>
      <c r="L402" s="155">
        <f t="shared" ref="L402:N402" ca="1" si="173">L403+L404</f>
        <v>0</v>
      </c>
      <c r="M402" s="155">
        <f t="shared" ca="1" si="173"/>
        <v>0</v>
      </c>
      <c r="N402" s="155">
        <f t="shared" ca="1" si="173"/>
        <v>0</v>
      </c>
      <c r="O402" s="155">
        <f t="shared" ref="O402:O410" ca="1" si="174">IF(L402&gt;0,N402*100/L402,0)</f>
        <v>0</v>
      </c>
      <c r="P402" s="155">
        <f t="shared" ref="P402:P410" ca="1" si="175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2" t="s">
        <v>18</v>
      </c>
      <c r="F403" s="40"/>
      <c r="G403" s="157"/>
      <c r="H403" s="158" t="s">
        <v>12</v>
      </c>
      <c r="I403" s="583"/>
      <c r="J403" s="583"/>
      <c r="K403" s="93"/>
      <c r="L403" s="93">
        <f t="shared" ref="L403:N404" si="176">L406+L409</f>
        <v>0</v>
      </c>
      <c r="M403" s="93">
        <f t="shared" si="176"/>
        <v>0</v>
      </c>
      <c r="N403" s="93">
        <f t="shared" si="176"/>
        <v>0</v>
      </c>
      <c r="O403" s="93">
        <f t="shared" si="174"/>
        <v>0</v>
      </c>
      <c r="P403" s="93">
        <f t="shared" si="175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2" t="s">
        <v>19</v>
      </c>
      <c r="F404" s="40"/>
      <c r="G404" s="157"/>
      <c r="H404" s="158" t="s">
        <v>12</v>
      </c>
      <c r="I404" s="583"/>
      <c r="J404" s="583"/>
      <c r="K404" s="93"/>
      <c r="L404" s="93">
        <f t="shared" ca="1" si="176"/>
        <v>0</v>
      </c>
      <c r="M404" s="93">
        <f t="shared" ca="1" si="176"/>
        <v>0</v>
      </c>
      <c r="N404" s="93">
        <f t="shared" ca="1" si="176"/>
        <v>0</v>
      </c>
      <c r="O404" s="93">
        <f t="shared" ca="1" si="174"/>
        <v>0</v>
      </c>
      <c r="P404" s="93">
        <f t="shared" ca="1" si="175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1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65">
        <f t="shared" ref="L405:N405" ca="1" si="177">L406+L407</f>
        <v>0</v>
      </c>
      <c r="M405" s="465">
        <f t="shared" ca="1" si="177"/>
        <v>0</v>
      </c>
      <c r="N405" s="465">
        <f t="shared" ca="1" si="177"/>
        <v>0</v>
      </c>
      <c r="O405" s="465">
        <f t="shared" ca="1" si="174"/>
        <v>0</v>
      </c>
      <c r="P405" s="465">
        <f t="shared" ca="1" si="175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2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4"/>
        <v>0</v>
      </c>
      <c r="P406" s="93">
        <f t="shared" si="175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2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IFERROR(__xludf.DUMMYFUNCTION("IMPORTRANGE(""https://docs.google.com/spreadsheets/d/1MeEWN-I1oV_STSDYn1IFDPWt_1FKiwhDph83XaGc0o0/edit?usp=sharing"",""งบพรบ!FQ16"")"),0)</f>
        <v>0</v>
      </c>
      <c r="M407" s="93">
        <f ca="1">IFERROR(__xludf.DUMMYFUNCTION("IMPORTRANGE(""https://docs.google.com/spreadsheets/d/1MeEWN-I1oV_STSDYn1IFDPWt_1FKiwhDph83XaGc0o0/edit?usp=sharing"",""งบพรบ!FV16"")"),0)</f>
        <v>0</v>
      </c>
      <c r="N407" s="93">
        <f ca="1">IFERROR(__xludf.DUMMYFUNCTION("IMPORTRANGE(""https://docs.google.com/spreadsheets/d/1MeEWN-I1oV_STSDYn1IFDPWt_1FKiwhDph83XaGc0o0/edit?usp=sharing"",""งบพรบ!FX16"")"),0)</f>
        <v>0</v>
      </c>
      <c r="O407" s="93">
        <f t="shared" ca="1" si="174"/>
        <v>0</v>
      </c>
      <c r="P407" s="93">
        <f t="shared" ca="1" si="175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1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65">
        <f t="shared" ref="L408:N408" ca="1" si="178">L409+L410</f>
        <v>0</v>
      </c>
      <c r="M408" s="465">
        <f t="shared" ca="1" si="178"/>
        <v>0</v>
      </c>
      <c r="N408" s="465">
        <f t="shared" ca="1" si="178"/>
        <v>0</v>
      </c>
      <c r="O408" s="465">
        <f t="shared" ca="1" si="174"/>
        <v>0</v>
      </c>
      <c r="P408" s="465">
        <f t="shared" ca="1" si="175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2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4"/>
        <v>0</v>
      </c>
      <c r="P409" s="93">
        <f t="shared" si="175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2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IFERROR(__xludf.DUMMYFUNCTION("IMPORTRANGE(""https://docs.google.com/spreadsheets/d/1MeEWN-I1oV_STSDYn1IFDPWt_1FKiwhDph83XaGc0o0/edit?usp=sharing"",""งบพรบ!FT16"")"),0)</f>
        <v>0</v>
      </c>
      <c r="M410" s="93">
        <f ca="1">IFERROR(__xludf.DUMMYFUNCTION("IMPORTRANGE(""https://docs.google.com/spreadsheets/d/1MeEWN-I1oV_STSDYn1IFDPWt_1FKiwhDph83XaGc0o0/edit?usp=sharing"",""งบพรบ!FW16"")"),0)</f>
        <v>0</v>
      </c>
      <c r="N410" s="93">
        <f ca="1">IFERROR(__xludf.DUMMYFUNCTION("IMPORTRANGE(""https://docs.google.com/spreadsheets/d/1MeEWN-I1oV_STSDYn1IFDPWt_1FKiwhDph83XaGc0o0/edit?usp=sharing"",""งบพรบ!FY16"")"),0)</f>
        <v>0</v>
      </c>
      <c r="O410" s="93">
        <f t="shared" ca="1" si="174"/>
        <v>0</v>
      </c>
      <c r="P410" s="93">
        <f t="shared" ca="1" si="175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47" t="s">
        <v>38</v>
      </c>
      <c r="E411" s="498"/>
      <c r="F411" s="498"/>
      <c r="G411" s="499"/>
      <c r="H411" s="726"/>
      <c r="I411" s="269"/>
      <c r="J411" s="269"/>
      <c r="K411" s="465"/>
      <c r="L411" s="163"/>
      <c r="M411" s="163"/>
      <c r="N411" s="163"/>
      <c r="O411" s="163"/>
      <c r="P411" s="163"/>
    </row>
    <row r="412" spans="1:26" ht="18.75" hidden="1">
      <c r="A412" s="170"/>
      <c r="B412" s="342"/>
      <c r="C412" s="342"/>
      <c r="D412" s="415" t="s">
        <v>177</v>
      </c>
      <c r="E412" s="342"/>
      <c r="F412" s="342"/>
      <c r="G412" s="179"/>
      <c r="H412" s="500" t="s">
        <v>69</v>
      </c>
      <c r="I412" s="269">
        <v>0</v>
      </c>
      <c r="J412" s="214">
        <v>0</v>
      </c>
      <c r="K412" s="465">
        <f t="shared" ref="K412:K413" si="179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01"/>
      <c r="B413" s="502"/>
      <c r="C413" s="502"/>
      <c r="D413" s="503" t="s">
        <v>178</v>
      </c>
      <c r="E413" s="502"/>
      <c r="F413" s="502"/>
      <c r="G413" s="504"/>
      <c r="H413" s="505" t="s">
        <v>179</v>
      </c>
      <c r="I413" s="506">
        <v>0</v>
      </c>
      <c r="J413" s="507">
        <v>0</v>
      </c>
      <c r="K413" s="508">
        <f t="shared" si="179"/>
        <v>0</v>
      </c>
      <c r="L413" s="509"/>
      <c r="M413" s="509"/>
      <c r="N413" s="509"/>
      <c r="O413" s="509"/>
      <c r="P413" s="509"/>
    </row>
    <row r="414" spans="1:26" ht="19.5">
      <c r="A414" s="510" t="s">
        <v>180</v>
      </c>
      <c r="B414" s="511"/>
      <c r="C414" s="511"/>
      <c r="D414" s="511"/>
      <c r="E414" s="511"/>
      <c r="F414" s="511"/>
      <c r="G414" s="512"/>
      <c r="H414" s="513"/>
      <c r="I414" s="514"/>
      <c r="J414" s="514"/>
      <c r="K414" s="515"/>
      <c r="L414" s="516">
        <f t="shared" ref="L414:N414" ca="1" si="180">L419+L444+L467+L502+L523+L544+L629+L655+L685+L737+L754+L770+L786+L805</f>
        <v>2303750</v>
      </c>
      <c r="M414" s="516">
        <f t="shared" si="180"/>
        <v>0</v>
      </c>
      <c r="N414" s="516">
        <f t="shared" si="180"/>
        <v>0</v>
      </c>
      <c r="O414" s="516">
        <f ca="1">IF(L414&gt;0,N414*100/L414,0)</f>
        <v>0</v>
      </c>
      <c r="P414" s="516">
        <f>IF(M414&gt;0,N414*100/M414,0)</f>
        <v>0</v>
      </c>
    </row>
    <row r="415" spans="1:26" ht="19.5">
      <c r="A415" s="517" t="s">
        <v>181</v>
      </c>
      <c r="B415" s="518"/>
      <c r="C415" s="518"/>
      <c r="D415" s="518"/>
      <c r="E415" s="518"/>
      <c r="F415" s="518"/>
      <c r="G415" s="518"/>
      <c r="H415" s="519"/>
      <c r="I415" s="520"/>
      <c r="J415" s="520"/>
      <c r="K415" s="521"/>
      <c r="L415" s="522"/>
      <c r="M415" s="522"/>
      <c r="N415" s="522"/>
      <c r="O415" s="522"/>
      <c r="P415" s="522"/>
    </row>
    <row r="416" spans="1:26" ht="19.5">
      <c r="A416" s="517" t="s">
        <v>182</v>
      </c>
      <c r="B416" s="518"/>
      <c r="C416" s="518"/>
      <c r="D416" s="518"/>
      <c r="E416" s="518"/>
      <c r="F416" s="518"/>
      <c r="G416" s="523"/>
      <c r="H416" s="524"/>
      <c r="I416" s="525"/>
      <c r="J416" s="525"/>
      <c r="K416" s="522"/>
      <c r="L416" s="522"/>
      <c r="M416" s="522"/>
      <c r="N416" s="522"/>
      <c r="O416" s="522"/>
      <c r="P416" s="522"/>
    </row>
    <row r="417" spans="1:26" ht="24" customHeight="1">
      <c r="A417" s="526">
        <v>1</v>
      </c>
      <c r="B417" s="528" t="s">
        <v>183</v>
      </c>
      <c r="C417" s="528"/>
      <c r="D417" s="529"/>
      <c r="E417" s="529"/>
      <c r="F417" s="529"/>
      <c r="G417" s="530"/>
      <c r="H417" s="531" t="s">
        <v>35</v>
      </c>
      <c r="I417" s="532">
        <f t="shared" ref="I417:J418" ca="1" si="181">I433</f>
        <v>20</v>
      </c>
      <c r="J417" s="532">
        <f t="shared" ca="1" si="181"/>
        <v>0</v>
      </c>
      <c r="K417" s="533">
        <f t="shared" ref="K417:K418" ca="1" si="182">IF(I417&gt;0,J417*100/I417,0)</f>
        <v>0</v>
      </c>
      <c r="L417" s="534"/>
      <c r="M417" s="534"/>
      <c r="N417" s="534"/>
      <c r="O417" s="534"/>
      <c r="P417" s="534"/>
    </row>
    <row r="418" spans="1:26" ht="19.5">
      <c r="A418" s="535"/>
      <c r="B418" s="526"/>
      <c r="C418" s="528"/>
      <c r="D418" s="529"/>
      <c r="E418" s="529"/>
      <c r="F418" s="529"/>
      <c r="G418" s="530"/>
      <c r="H418" s="531" t="s">
        <v>49</v>
      </c>
      <c r="I418" s="532">
        <f t="shared" ca="1" si="181"/>
        <v>1</v>
      </c>
      <c r="J418" s="532">
        <f t="shared" si="181"/>
        <v>0</v>
      </c>
      <c r="K418" s="533">
        <f t="shared" ca="1" si="182"/>
        <v>0</v>
      </c>
      <c r="L418" s="534"/>
      <c r="M418" s="534"/>
      <c r="N418" s="534"/>
      <c r="O418" s="534"/>
      <c r="P418" s="534"/>
    </row>
    <row r="419" spans="1:26" ht="19.5">
      <c r="A419" s="147"/>
      <c r="B419" s="148"/>
      <c r="C419" s="148" t="s">
        <v>16</v>
      </c>
      <c r="D419" s="848" t="s">
        <v>17</v>
      </c>
      <c r="E419" s="810"/>
      <c r="F419" s="810"/>
      <c r="G419" s="151"/>
      <c r="H419" s="274" t="s">
        <v>12</v>
      </c>
      <c r="I419" s="388"/>
      <c r="J419" s="388"/>
      <c r="K419" s="154"/>
      <c r="L419" s="155">
        <f t="shared" ref="L419:N419" ca="1" si="183">L420+L421</f>
        <v>78660</v>
      </c>
      <c r="M419" s="155">
        <f t="shared" si="183"/>
        <v>0</v>
      </c>
      <c r="N419" s="155">
        <f t="shared" si="183"/>
        <v>0</v>
      </c>
      <c r="O419" s="155">
        <f t="shared" ref="O419:O424" ca="1" si="184">IF(L419&gt;0,N419*100/L419,0)</f>
        <v>0</v>
      </c>
      <c r="P419" s="155">
        <f t="shared" ref="P419:P424" si="185">IF(M419&gt;0,N419*100/M419,0)</f>
        <v>0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536"/>
      <c r="E420" s="222" t="s">
        <v>184</v>
      </c>
      <c r="F420" s="40"/>
      <c r="G420" s="157"/>
      <c r="H420" s="165" t="s">
        <v>12</v>
      </c>
      <c r="I420" s="583"/>
      <c r="J420" s="583"/>
      <c r="K420" s="93"/>
      <c r="L420" s="93">
        <f t="shared" ref="L420:N421" si="186">L423+L430</f>
        <v>0</v>
      </c>
      <c r="M420" s="93">
        <f t="shared" si="186"/>
        <v>0</v>
      </c>
      <c r="N420" s="93">
        <f t="shared" si="186"/>
        <v>0</v>
      </c>
      <c r="O420" s="93">
        <f t="shared" si="184"/>
        <v>0</v>
      </c>
      <c r="P420" s="93">
        <f t="shared" si="185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536"/>
      <c r="E421" s="222" t="s">
        <v>185</v>
      </c>
      <c r="F421" s="40"/>
      <c r="G421" s="157"/>
      <c r="H421" s="165" t="s">
        <v>12</v>
      </c>
      <c r="I421" s="583"/>
      <c r="J421" s="583"/>
      <c r="K421" s="93"/>
      <c r="L421" s="93">
        <f t="shared" ca="1" si="186"/>
        <v>78660</v>
      </c>
      <c r="M421" s="93">
        <f t="shared" si="186"/>
        <v>0</v>
      </c>
      <c r="N421" s="93">
        <f t="shared" si="186"/>
        <v>0</v>
      </c>
      <c r="O421" s="93">
        <f t="shared" ca="1" si="184"/>
        <v>0</v>
      </c>
      <c r="P421" s="93">
        <f t="shared" si="185"/>
        <v>0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0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65">
        <f t="shared" ref="L422:N422" ca="1" si="187">L423+L424</f>
        <v>78660</v>
      </c>
      <c r="M422" s="465">
        <f t="shared" si="187"/>
        <v>0</v>
      </c>
      <c r="N422" s="465">
        <f t="shared" si="187"/>
        <v>0</v>
      </c>
      <c r="O422" s="465">
        <f t="shared" ca="1" si="184"/>
        <v>0</v>
      </c>
      <c r="P422" s="465">
        <f t="shared" si="185"/>
        <v>0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536"/>
      <c r="E423" s="222" t="s">
        <v>184</v>
      </c>
      <c r="F423" s="40"/>
      <c r="G423" s="157"/>
      <c r="H423" s="165" t="s">
        <v>12</v>
      </c>
      <c r="I423" s="583"/>
      <c r="J423" s="583"/>
      <c r="K423" s="93"/>
      <c r="L423" s="93">
        <v>0</v>
      </c>
      <c r="M423" s="93">
        <v>0</v>
      </c>
      <c r="N423" s="93">
        <v>0</v>
      </c>
      <c r="O423" s="93">
        <f t="shared" si="184"/>
        <v>0</v>
      </c>
      <c r="P423" s="93">
        <f t="shared" si="185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536"/>
      <c r="E424" s="222" t="s">
        <v>185</v>
      </c>
      <c r="F424" s="40"/>
      <c r="G424" s="157"/>
      <c r="H424" s="165" t="s">
        <v>12</v>
      </c>
      <c r="I424" s="583"/>
      <c r="J424" s="583"/>
      <c r="K424" s="93"/>
      <c r="L424" s="93">
        <f ca="1">IFERROR(__xludf.DUMMYFUNCTION("IMPORTRANGE(""https://docs.google.com/spreadsheets/d/1QqKyyYR6Q21VydFLVH3TRQUabQu_ym0Zz7PgGX0-kHA/edit?usp=sharing"",""แผน!EY16"")"),78660)</f>
        <v>78660</v>
      </c>
      <c r="M424" s="93">
        <v>0</v>
      </c>
      <c r="N424" s="93">
        <f>N425+N426+N427+N428</f>
        <v>0</v>
      </c>
      <c r="O424" s="93">
        <f t="shared" ca="1" si="184"/>
        <v>0</v>
      </c>
      <c r="P424" s="93">
        <f t="shared" si="185"/>
        <v>0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37"/>
      <c r="B425" s="538"/>
      <c r="C425" s="727"/>
      <c r="D425" s="727"/>
      <c r="E425" s="727"/>
      <c r="F425" s="727" t="s">
        <v>186</v>
      </c>
      <c r="G425" s="189"/>
      <c r="H425" s="161" t="s">
        <v>12</v>
      </c>
      <c r="I425" s="269"/>
      <c r="J425" s="269"/>
      <c r="K425" s="465"/>
      <c r="L425" s="465"/>
      <c r="M425" s="465"/>
      <c r="N425" s="789">
        <v>0</v>
      </c>
      <c r="O425" s="465"/>
      <c r="P425" s="465"/>
      <c r="Q425" s="541"/>
      <c r="R425" s="541"/>
      <c r="S425" s="541"/>
      <c r="T425" s="541"/>
      <c r="U425" s="541"/>
      <c r="V425" s="541"/>
      <c r="W425" s="541"/>
      <c r="X425" s="541"/>
      <c r="Y425" s="541"/>
      <c r="Z425" s="541"/>
    </row>
    <row r="426" spans="1:26" ht="18.75">
      <c r="A426" s="537"/>
      <c r="B426" s="538"/>
      <c r="C426" s="727"/>
      <c r="D426" s="727"/>
      <c r="E426" s="727"/>
      <c r="F426" s="727" t="s">
        <v>187</v>
      </c>
      <c r="G426" s="189"/>
      <c r="H426" s="161" t="s">
        <v>12</v>
      </c>
      <c r="I426" s="269"/>
      <c r="J426" s="269"/>
      <c r="K426" s="465"/>
      <c r="L426" s="465"/>
      <c r="M426" s="465"/>
      <c r="N426" s="789">
        <v>0</v>
      </c>
      <c r="O426" s="465"/>
      <c r="P426" s="465"/>
      <c r="Q426" s="541"/>
      <c r="R426" s="541"/>
      <c r="S426" s="541"/>
      <c r="T426" s="541"/>
      <c r="U426" s="541"/>
      <c r="V426" s="541"/>
      <c r="W426" s="541"/>
      <c r="X426" s="541"/>
      <c r="Y426" s="541"/>
      <c r="Z426" s="541"/>
    </row>
    <row r="427" spans="1:26" ht="18.75">
      <c r="A427" s="537"/>
      <c r="B427" s="538"/>
      <c r="C427" s="727"/>
      <c r="D427" s="727"/>
      <c r="E427" s="727"/>
      <c r="F427" s="727" t="s">
        <v>188</v>
      </c>
      <c r="G427" s="189"/>
      <c r="H427" s="161" t="s">
        <v>12</v>
      </c>
      <c r="I427" s="269"/>
      <c r="J427" s="269"/>
      <c r="K427" s="465"/>
      <c r="L427" s="465"/>
      <c r="M427" s="465"/>
      <c r="N427" s="789">
        <v>0</v>
      </c>
      <c r="O427" s="465"/>
      <c r="P427" s="465"/>
      <c r="Q427" s="541"/>
      <c r="R427" s="541"/>
      <c r="S427" s="541"/>
      <c r="T427" s="541"/>
      <c r="U427" s="541"/>
      <c r="V427" s="541"/>
      <c r="W427" s="541"/>
      <c r="X427" s="541"/>
      <c r="Y427" s="541"/>
      <c r="Z427" s="541"/>
    </row>
    <row r="428" spans="1:26" ht="18.75">
      <c r="A428" s="283"/>
      <c r="B428" s="280"/>
      <c r="C428" s="33"/>
      <c r="D428" s="33"/>
      <c r="E428" s="33"/>
      <c r="F428" s="281" t="s">
        <v>189</v>
      </c>
      <c r="G428" s="213"/>
      <c r="H428" s="161" t="s">
        <v>12</v>
      </c>
      <c r="I428" s="269"/>
      <c r="J428" s="269"/>
      <c r="K428" s="465"/>
      <c r="L428" s="465"/>
      <c r="M428" s="465"/>
      <c r="N428" s="789">
        <v>0</v>
      </c>
      <c r="O428" s="465"/>
      <c r="P428" s="465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0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65">
        <f t="shared" ref="L429:N429" ca="1" si="188">L430+L431</f>
        <v>0</v>
      </c>
      <c r="M429" s="465">
        <f t="shared" si="188"/>
        <v>0</v>
      </c>
      <c r="N429" s="465">
        <f t="shared" si="188"/>
        <v>0</v>
      </c>
      <c r="O429" s="465">
        <f t="shared" ref="O429:O431" ca="1" si="189">IF(L429&gt;0,N429*100/L429,0)</f>
        <v>0</v>
      </c>
      <c r="P429" s="465">
        <f t="shared" ref="P429:P431" si="190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542"/>
      <c r="C430" s="40"/>
      <c r="D430" s="40"/>
      <c r="E430" s="222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89"/>
        <v>0</v>
      </c>
      <c r="P430" s="93">
        <f t="shared" si="190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542"/>
      <c r="C431" s="40"/>
      <c r="D431" s="40"/>
      <c r="E431" s="222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IFERROR(__xludf.DUMMYFUNCTION("IMPORTRANGE(""https://docs.google.com/spreadsheets/d/1QqKyyYR6Q21VydFLVH3TRQUabQu_ym0Zz7PgGX0-kHA/edit?usp=sharing"",""แผน!FB16"")"),0)</f>
        <v>0</v>
      </c>
      <c r="M431" s="93">
        <v>0</v>
      </c>
      <c r="N431" s="93">
        <v>0</v>
      </c>
      <c r="O431" s="93">
        <f t="shared" ca="1" si="189"/>
        <v>0</v>
      </c>
      <c r="P431" s="93">
        <f t="shared" si="190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382"/>
      <c r="B432" s="383"/>
      <c r="C432" s="148" t="s">
        <v>16</v>
      </c>
      <c r="D432" s="849" t="s">
        <v>38</v>
      </c>
      <c r="E432" s="544"/>
      <c r="F432" s="544"/>
      <c r="G432" s="545"/>
      <c r="H432" s="546"/>
      <c r="I432" s="388"/>
      <c r="J432" s="388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190</v>
      </c>
      <c r="E433" s="342"/>
      <c r="F433" s="342"/>
      <c r="G433" s="179"/>
      <c r="H433" s="196" t="s">
        <v>35</v>
      </c>
      <c r="I433" s="647">
        <f ca="1">I435</f>
        <v>20</v>
      </c>
      <c r="J433" s="647">
        <f ca="1">IF(AND(J435=I435,J437=I437,J439=I439),I437+I439,IF(AND(J435=I437,J437=I437),I437,IF(AND(J435=I439,J439=I439),I439,0)))</f>
        <v>0</v>
      </c>
      <c r="K433" s="195">
        <f t="shared" ref="K433:K435" ca="1" si="191">IF(I433&gt;0,J433*100/I433,0)</f>
        <v>0</v>
      </c>
      <c r="L433" s="465"/>
      <c r="M433" s="465"/>
      <c r="N433" s="465"/>
      <c r="O433" s="465"/>
      <c r="P433" s="465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191</v>
      </c>
      <c r="E434" s="342"/>
      <c r="F434" s="342"/>
      <c r="G434" s="179"/>
      <c r="H434" s="196" t="s">
        <v>49</v>
      </c>
      <c r="I434" s="647">
        <f t="shared" ref="I434:J434" ca="1" si="192">I438+I440</f>
        <v>1</v>
      </c>
      <c r="J434" s="647">
        <f t="shared" si="192"/>
        <v>0</v>
      </c>
      <c r="K434" s="195">
        <f t="shared" ca="1" si="191"/>
        <v>0</v>
      </c>
      <c r="L434" s="465"/>
      <c r="M434" s="465"/>
      <c r="N434" s="465"/>
      <c r="O434" s="465"/>
      <c r="P434" s="465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15" t="s">
        <v>192</v>
      </c>
      <c r="E435" s="342"/>
      <c r="F435" s="342"/>
      <c r="G435" s="179"/>
      <c r="H435" s="589" t="s">
        <v>35</v>
      </c>
      <c r="I435" s="547">
        <f ca="1">IFERROR(__xludf.DUMMYFUNCTION("IMPORTRANGE(""https://docs.google.com/spreadsheets/d/1QqKyyYR6Q21VydFLVH3TRQUabQu_ym0Zz7PgGX0-kHA/edit?usp=sharing"",""แผน!FC16"")"),20)</f>
        <v>20</v>
      </c>
      <c r="J435" s="548">
        <v>20</v>
      </c>
      <c r="K435" s="465">
        <f t="shared" ca="1" si="191"/>
        <v>100</v>
      </c>
      <c r="L435" s="465"/>
      <c r="M435" s="465"/>
      <c r="N435" s="465"/>
      <c r="O435" s="465"/>
      <c r="P435" s="465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15" t="s">
        <v>193</v>
      </c>
      <c r="E436" s="342"/>
      <c r="F436" s="342"/>
      <c r="G436" s="179"/>
      <c r="H436" s="589"/>
      <c r="I436" s="269"/>
      <c r="J436" s="269"/>
      <c r="K436" s="465"/>
      <c r="L436" s="465"/>
      <c r="M436" s="465"/>
      <c r="N436" s="465"/>
      <c r="O436" s="465"/>
      <c r="P436" s="465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15" t="s">
        <v>194</v>
      </c>
      <c r="E437" s="342"/>
      <c r="F437" s="342"/>
      <c r="G437" s="179"/>
      <c r="H437" s="589" t="s">
        <v>35</v>
      </c>
      <c r="I437" s="547">
        <f ca="1">IFERROR(__xludf.DUMMYFUNCTION("IMPORTRANGE(""https://docs.google.com/spreadsheets/d/1QqKyyYR6Q21VydFLVH3TRQUabQu_ym0Zz7PgGX0-kHA/edit?usp=sharing"",""แผน!FD16"")"),0)</f>
        <v>0</v>
      </c>
      <c r="J437" s="548">
        <v>0</v>
      </c>
      <c r="K437" s="465">
        <f t="shared" ref="K437:K443" ca="1" si="193">IF(I437&gt;0,J437*100/I437,0)</f>
        <v>0</v>
      </c>
      <c r="L437" s="465"/>
      <c r="M437" s="465"/>
      <c r="N437" s="465"/>
      <c r="O437" s="465"/>
      <c r="P437" s="465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15" t="s">
        <v>195</v>
      </c>
      <c r="E438" s="342"/>
      <c r="F438" s="342"/>
      <c r="G438" s="179"/>
      <c r="H438" s="589" t="s">
        <v>49</v>
      </c>
      <c r="I438" s="269">
        <f ca="1">IFERROR(__xludf.DUMMYFUNCTION("IMPORTRANGE(""https://docs.google.com/spreadsheets/d/1QqKyyYR6Q21VydFLVH3TRQUabQu_ym0Zz7PgGX0-kHA/edit?usp=sharing"",""แผน!FE16"")"),0)</f>
        <v>0</v>
      </c>
      <c r="J438" s="214">
        <v>0</v>
      </c>
      <c r="K438" s="465">
        <f t="shared" ca="1" si="193"/>
        <v>0</v>
      </c>
      <c r="L438" s="465"/>
      <c r="M438" s="465"/>
      <c r="N438" s="465"/>
      <c r="O438" s="465"/>
      <c r="P438" s="465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15" t="s">
        <v>196</v>
      </c>
      <c r="E439" s="342"/>
      <c r="F439" s="342"/>
      <c r="G439" s="179"/>
      <c r="H439" s="589" t="s">
        <v>35</v>
      </c>
      <c r="I439" s="547">
        <f ca="1">IFERROR(__xludf.DUMMYFUNCTION("IMPORTRANGE(""https://docs.google.com/spreadsheets/d/1QqKyyYR6Q21VydFLVH3TRQUabQu_ym0Zz7PgGX0-kHA/edit?usp=sharing"",""แผน!FF16"")"),20)</f>
        <v>20</v>
      </c>
      <c r="J439" s="548">
        <v>0</v>
      </c>
      <c r="K439" s="465">
        <f t="shared" ca="1" si="193"/>
        <v>0</v>
      </c>
      <c r="L439" s="465"/>
      <c r="M439" s="465"/>
      <c r="N439" s="465"/>
      <c r="O439" s="465"/>
      <c r="P439" s="465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15" t="s">
        <v>197</v>
      </c>
      <c r="E440" s="342"/>
      <c r="F440" s="342"/>
      <c r="G440" s="179"/>
      <c r="H440" s="589" t="s">
        <v>49</v>
      </c>
      <c r="I440" s="269">
        <f ca="1">IFERROR(__xludf.DUMMYFUNCTION("IMPORTRANGE(""https://docs.google.com/spreadsheets/d/1QqKyyYR6Q21VydFLVH3TRQUabQu_ym0Zz7PgGX0-kHA/edit?usp=sharing"",""แผน!FG16"")"),1)</f>
        <v>1</v>
      </c>
      <c r="J440" s="214">
        <v>0</v>
      </c>
      <c r="K440" s="465">
        <f t="shared" ca="1" si="193"/>
        <v>0</v>
      </c>
      <c r="L440" s="465"/>
      <c r="M440" s="465"/>
      <c r="N440" s="465"/>
      <c r="O440" s="465"/>
      <c r="P440" s="465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 hidden="1">
      <c r="A441" s="170"/>
      <c r="B441" s="171"/>
      <c r="C441" s="171"/>
      <c r="D441" s="415" t="s">
        <v>198</v>
      </c>
      <c r="E441" s="342"/>
      <c r="F441" s="342"/>
      <c r="G441" s="179"/>
      <c r="H441" s="589" t="s">
        <v>35</v>
      </c>
      <c r="I441" s="269">
        <f ca="1">IFERROR(__xludf.DUMMYFUNCTION("IMPORTRANGE(""https://docs.google.com/spreadsheets/d/1QqKyyYR6Q21VydFLVH3TRQUabQu_ym0Zz7PgGX0-kHA/edit?usp=sharing"",""แผน!FH16"")"),0)</f>
        <v>0</v>
      </c>
      <c r="J441" s="269">
        <v>0</v>
      </c>
      <c r="K441" s="465">
        <f t="shared" ca="1" si="193"/>
        <v>0</v>
      </c>
      <c r="L441" s="465"/>
      <c r="M441" s="465"/>
      <c r="N441" s="465"/>
      <c r="O441" s="465"/>
      <c r="P441" s="465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49">
        <v>2</v>
      </c>
      <c r="B442" s="550" t="s">
        <v>199</v>
      </c>
      <c r="C442" s="551"/>
      <c r="D442" s="551"/>
      <c r="E442" s="551"/>
      <c r="F442" s="551"/>
      <c r="G442" s="552"/>
      <c r="H442" s="553" t="s">
        <v>35</v>
      </c>
      <c r="I442" s="554">
        <f t="shared" ref="I442:J442" ca="1" si="194">I460</f>
        <v>40</v>
      </c>
      <c r="J442" s="554">
        <f t="shared" si="194"/>
        <v>0</v>
      </c>
      <c r="K442" s="555">
        <f t="shared" ca="1" si="193"/>
        <v>0</v>
      </c>
      <c r="L442" s="556"/>
      <c r="M442" s="556"/>
      <c r="N442" s="556"/>
      <c r="O442" s="556"/>
      <c r="P442" s="556"/>
      <c r="Q442" s="541"/>
      <c r="R442" s="541"/>
      <c r="S442" s="541"/>
      <c r="T442" s="541"/>
      <c r="U442" s="541"/>
      <c r="V442" s="541"/>
      <c r="W442" s="541"/>
      <c r="X442" s="541"/>
      <c r="Y442" s="541"/>
      <c r="Z442" s="541"/>
    </row>
    <row r="443" spans="1:26" ht="19.5">
      <c r="A443" s="557"/>
      <c r="B443" s="558"/>
      <c r="C443" s="559"/>
      <c r="D443" s="559"/>
      <c r="E443" s="559"/>
      <c r="F443" s="559"/>
      <c r="G443" s="560"/>
      <c r="H443" s="531" t="s">
        <v>46</v>
      </c>
      <c r="I443" s="532">
        <f t="shared" ref="I443:J443" ca="1" si="195">I462</f>
        <v>80</v>
      </c>
      <c r="J443" s="532">
        <f t="shared" si="195"/>
        <v>0</v>
      </c>
      <c r="K443" s="533">
        <f t="shared" ca="1" si="193"/>
        <v>0</v>
      </c>
      <c r="L443" s="534"/>
      <c r="M443" s="534"/>
      <c r="N443" s="534"/>
      <c r="O443" s="534"/>
      <c r="P443" s="534"/>
      <c r="Q443" s="541"/>
      <c r="R443" s="541"/>
      <c r="S443" s="541"/>
      <c r="T443" s="541"/>
      <c r="U443" s="541"/>
      <c r="V443" s="541"/>
      <c r="W443" s="541"/>
      <c r="X443" s="541"/>
      <c r="Y443" s="541"/>
      <c r="Z443" s="541"/>
    </row>
    <row r="444" spans="1:26" ht="19.5">
      <c r="A444" s="561"/>
      <c r="B444" s="727"/>
      <c r="C444" s="727" t="s">
        <v>16</v>
      </c>
      <c r="D444" s="811" t="s">
        <v>17</v>
      </c>
      <c r="E444" s="805"/>
      <c r="F444" s="805"/>
      <c r="G444" s="189"/>
      <c r="H444" s="562" t="s">
        <v>12</v>
      </c>
      <c r="I444" s="269"/>
      <c r="J444" s="269"/>
      <c r="K444" s="465"/>
      <c r="L444" s="195">
        <f t="shared" ref="L444:N444" ca="1" si="196">L445+L446</f>
        <v>319880</v>
      </c>
      <c r="M444" s="195">
        <f t="shared" si="196"/>
        <v>0</v>
      </c>
      <c r="N444" s="195">
        <f t="shared" si="196"/>
        <v>0</v>
      </c>
      <c r="O444" s="195">
        <f t="shared" ref="O444:O449" ca="1" si="197">IF(L444&gt;0,N444*100/L444,0)</f>
        <v>0</v>
      </c>
      <c r="P444" s="195">
        <f t="shared" ref="P444:P449" si="198">IF(M444&gt;0,N444*100/M444,0)</f>
        <v>0</v>
      </c>
      <c r="Q444" s="541"/>
      <c r="R444" s="541"/>
      <c r="S444" s="541"/>
      <c r="T444" s="541"/>
      <c r="U444" s="541"/>
      <c r="V444" s="541"/>
      <c r="W444" s="541"/>
      <c r="X444" s="541"/>
      <c r="Y444" s="541"/>
      <c r="Z444" s="541"/>
    </row>
    <row r="445" spans="1:26" ht="18.75" hidden="1">
      <c r="A445" s="563"/>
      <c r="B445" s="723"/>
      <c r="C445" s="723"/>
      <c r="D445" s="684"/>
      <c r="E445" s="723" t="s">
        <v>184</v>
      </c>
      <c r="F445" s="723"/>
      <c r="G445" s="567"/>
      <c r="H445" s="165" t="s">
        <v>12</v>
      </c>
      <c r="I445" s="583"/>
      <c r="J445" s="583"/>
      <c r="K445" s="93"/>
      <c r="L445" s="93">
        <f t="shared" ref="L445:N446" si="199">L448+L455</f>
        <v>0</v>
      </c>
      <c r="M445" s="93">
        <f t="shared" si="199"/>
        <v>0</v>
      </c>
      <c r="N445" s="93">
        <f t="shared" si="199"/>
        <v>0</v>
      </c>
      <c r="O445" s="93">
        <f t="shared" si="197"/>
        <v>0</v>
      </c>
      <c r="P445" s="93">
        <f t="shared" si="198"/>
        <v>0</v>
      </c>
      <c r="Q445" s="568"/>
      <c r="R445" s="568"/>
      <c r="S445" s="568"/>
      <c r="T445" s="568"/>
      <c r="U445" s="568"/>
      <c r="V445" s="568"/>
      <c r="W445" s="568"/>
      <c r="X445" s="568"/>
      <c r="Y445" s="568"/>
      <c r="Z445" s="568"/>
    </row>
    <row r="446" spans="1:26" ht="18.75" hidden="1">
      <c r="A446" s="563"/>
      <c r="B446" s="571"/>
      <c r="C446" s="723"/>
      <c r="D446" s="684"/>
      <c r="E446" s="723" t="s">
        <v>185</v>
      </c>
      <c r="F446" s="723"/>
      <c r="G446" s="567"/>
      <c r="H446" s="165" t="s">
        <v>12</v>
      </c>
      <c r="I446" s="583"/>
      <c r="J446" s="583"/>
      <c r="K446" s="93"/>
      <c r="L446" s="93">
        <f t="shared" ca="1" si="199"/>
        <v>319880</v>
      </c>
      <c r="M446" s="93">
        <f t="shared" si="199"/>
        <v>0</v>
      </c>
      <c r="N446" s="93">
        <f t="shared" si="199"/>
        <v>0</v>
      </c>
      <c r="O446" s="93">
        <f t="shared" ca="1" si="197"/>
        <v>0</v>
      </c>
      <c r="P446" s="93">
        <f t="shared" si="198"/>
        <v>0</v>
      </c>
      <c r="Q446" s="568"/>
      <c r="R446" s="568"/>
      <c r="S446" s="568"/>
      <c r="T446" s="568"/>
      <c r="U446" s="568"/>
      <c r="V446" s="568"/>
      <c r="W446" s="568"/>
      <c r="X446" s="568"/>
      <c r="Y446" s="568"/>
      <c r="Z446" s="568"/>
    </row>
    <row r="447" spans="1:26" ht="18.75">
      <c r="A447" s="561"/>
      <c r="B447" s="538"/>
      <c r="C447" s="727"/>
      <c r="D447" s="570" t="s">
        <v>20</v>
      </c>
      <c r="E447" s="727"/>
      <c r="F447" s="727"/>
      <c r="G447" s="189"/>
      <c r="H447" s="161" t="s">
        <v>12</v>
      </c>
      <c r="I447" s="184"/>
      <c r="J447" s="184"/>
      <c r="K447" s="163"/>
      <c r="L447" s="465">
        <f t="shared" ref="L447:N447" ca="1" si="200">L448+L449</f>
        <v>319880</v>
      </c>
      <c r="M447" s="465">
        <f t="shared" si="200"/>
        <v>0</v>
      </c>
      <c r="N447" s="465">
        <f t="shared" si="200"/>
        <v>0</v>
      </c>
      <c r="O447" s="465">
        <f t="shared" ca="1" si="197"/>
        <v>0</v>
      </c>
      <c r="P447" s="465">
        <f t="shared" si="198"/>
        <v>0</v>
      </c>
      <c r="Q447" s="541"/>
      <c r="R447" s="541"/>
      <c r="S447" s="541"/>
      <c r="T447" s="541"/>
      <c r="U447" s="541"/>
      <c r="V447" s="541"/>
      <c r="W447" s="541"/>
      <c r="X447" s="541"/>
      <c r="Y447" s="541"/>
      <c r="Z447" s="541"/>
    </row>
    <row r="448" spans="1:26" ht="18.75" hidden="1">
      <c r="A448" s="563"/>
      <c r="B448" s="571"/>
      <c r="C448" s="723"/>
      <c r="D448" s="684"/>
      <c r="E448" s="723" t="s">
        <v>184</v>
      </c>
      <c r="F448" s="723"/>
      <c r="G448" s="567"/>
      <c r="H448" s="165" t="s">
        <v>12</v>
      </c>
      <c r="I448" s="583"/>
      <c r="J448" s="583"/>
      <c r="K448" s="93"/>
      <c r="L448" s="93">
        <v>0</v>
      </c>
      <c r="M448" s="93">
        <v>0</v>
      </c>
      <c r="N448" s="93">
        <v>0</v>
      </c>
      <c r="O448" s="93">
        <f t="shared" si="197"/>
        <v>0</v>
      </c>
      <c r="P448" s="93">
        <f t="shared" si="198"/>
        <v>0</v>
      </c>
      <c r="Q448" s="568"/>
      <c r="R448" s="568"/>
      <c r="S448" s="568"/>
      <c r="T448" s="568"/>
      <c r="U448" s="568"/>
      <c r="V448" s="568"/>
      <c r="W448" s="568"/>
      <c r="X448" s="568"/>
      <c r="Y448" s="568"/>
      <c r="Z448" s="568"/>
    </row>
    <row r="449" spans="1:26" ht="18.75" hidden="1">
      <c r="A449" s="563"/>
      <c r="B449" s="571"/>
      <c r="C449" s="723"/>
      <c r="D449" s="684"/>
      <c r="E449" s="723" t="s">
        <v>185</v>
      </c>
      <c r="F449" s="723"/>
      <c r="G449" s="567"/>
      <c r="H449" s="165" t="s">
        <v>12</v>
      </c>
      <c r="I449" s="583"/>
      <c r="J449" s="583"/>
      <c r="K449" s="93"/>
      <c r="L449" s="93">
        <f ca="1">IFERROR(__xludf.DUMMYFUNCTION("IMPORTRANGE(""https://docs.google.com/spreadsheets/d/1QqKyyYR6Q21VydFLVH3TRQUabQu_ym0Zz7PgGX0-kHA/edit?usp=sharing"",""แผน!FJ16"")"),319880)</f>
        <v>319880</v>
      </c>
      <c r="M449" s="93">
        <v>0</v>
      </c>
      <c r="N449" s="93">
        <f>N450+N451+N452+N453</f>
        <v>0</v>
      </c>
      <c r="O449" s="93">
        <f t="shared" ca="1" si="197"/>
        <v>0</v>
      </c>
      <c r="P449" s="93">
        <f t="shared" si="198"/>
        <v>0</v>
      </c>
      <c r="Q449" s="568"/>
      <c r="R449" s="568"/>
      <c r="S449" s="568"/>
      <c r="T449" s="568"/>
      <c r="U449" s="568"/>
      <c r="V449" s="568"/>
      <c r="W449" s="568"/>
      <c r="X449" s="568"/>
      <c r="Y449" s="568"/>
      <c r="Z449" s="568"/>
    </row>
    <row r="450" spans="1:26" ht="18.75">
      <c r="A450" s="537"/>
      <c r="B450" s="538"/>
      <c r="C450" s="727"/>
      <c r="D450" s="727"/>
      <c r="E450" s="727"/>
      <c r="F450" s="727" t="s">
        <v>186</v>
      </c>
      <c r="G450" s="189"/>
      <c r="H450" s="161" t="s">
        <v>12</v>
      </c>
      <c r="I450" s="269"/>
      <c r="J450" s="269"/>
      <c r="K450" s="465"/>
      <c r="L450" s="465"/>
      <c r="M450" s="465"/>
      <c r="N450" s="789">
        <v>0</v>
      </c>
      <c r="O450" s="465"/>
      <c r="P450" s="465"/>
      <c r="Q450" s="541"/>
      <c r="R450" s="541"/>
      <c r="S450" s="541"/>
      <c r="T450" s="541"/>
      <c r="U450" s="541"/>
      <c r="V450" s="541"/>
      <c r="W450" s="541"/>
      <c r="X450" s="541"/>
      <c r="Y450" s="541"/>
      <c r="Z450" s="541"/>
    </row>
    <row r="451" spans="1:26" ht="18.75">
      <c r="A451" s="537"/>
      <c r="B451" s="538"/>
      <c r="C451" s="727"/>
      <c r="D451" s="727"/>
      <c r="E451" s="727"/>
      <c r="F451" s="727" t="s">
        <v>187</v>
      </c>
      <c r="G451" s="189"/>
      <c r="H451" s="161" t="s">
        <v>12</v>
      </c>
      <c r="I451" s="269"/>
      <c r="J451" s="269"/>
      <c r="K451" s="465"/>
      <c r="L451" s="465"/>
      <c r="M451" s="465"/>
      <c r="N451" s="789">
        <v>0</v>
      </c>
      <c r="O451" s="465"/>
      <c r="P451" s="465"/>
      <c r="Q451" s="541"/>
      <c r="R451" s="541"/>
      <c r="S451" s="541"/>
      <c r="T451" s="541"/>
      <c r="U451" s="541"/>
      <c r="V451" s="541"/>
      <c r="W451" s="541"/>
      <c r="X451" s="541"/>
      <c r="Y451" s="541"/>
      <c r="Z451" s="541"/>
    </row>
    <row r="452" spans="1:26" ht="18.75">
      <c r="A452" s="537"/>
      <c r="B452" s="538"/>
      <c r="C452" s="538"/>
      <c r="D452" s="538"/>
      <c r="E452" s="538"/>
      <c r="F452" s="727" t="s">
        <v>188</v>
      </c>
      <c r="G452" s="189"/>
      <c r="H452" s="161" t="s">
        <v>12</v>
      </c>
      <c r="I452" s="269"/>
      <c r="J452" s="269"/>
      <c r="K452" s="465"/>
      <c r="L452" s="465"/>
      <c r="M452" s="465"/>
      <c r="N452" s="789">
        <v>0</v>
      </c>
      <c r="O452" s="465"/>
      <c r="P452" s="465"/>
      <c r="Q452" s="541"/>
      <c r="R452" s="541"/>
      <c r="S452" s="541"/>
      <c r="T452" s="541"/>
      <c r="U452" s="541"/>
      <c r="V452" s="541"/>
      <c r="W452" s="541"/>
      <c r="X452" s="541"/>
      <c r="Y452" s="541"/>
      <c r="Z452" s="541"/>
    </row>
    <row r="453" spans="1:26" ht="18.75">
      <c r="A453" s="537"/>
      <c r="B453" s="538"/>
      <c r="C453" s="538"/>
      <c r="D453" s="538"/>
      <c r="E453" s="538"/>
      <c r="F453" s="727" t="s">
        <v>189</v>
      </c>
      <c r="G453" s="189"/>
      <c r="H453" s="161" t="s">
        <v>12</v>
      </c>
      <c r="I453" s="269"/>
      <c r="J453" s="269"/>
      <c r="K453" s="465"/>
      <c r="L453" s="465"/>
      <c r="M453" s="465"/>
      <c r="N453" s="789">
        <v>0</v>
      </c>
      <c r="O453" s="465"/>
      <c r="P453" s="465"/>
      <c r="Q453" s="541"/>
      <c r="R453" s="541"/>
      <c r="S453" s="541"/>
      <c r="T453" s="541"/>
      <c r="U453" s="541"/>
      <c r="V453" s="541"/>
      <c r="W453" s="541"/>
      <c r="X453" s="541"/>
      <c r="Y453" s="541"/>
      <c r="Z453" s="541"/>
    </row>
    <row r="454" spans="1:26" ht="18.75">
      <c r="A454" s="561"/>
      <c r="B454" s="538"/>
      <c r="C454" s="538"/>
      <c r="D454" s="570" t="s">
        <v>21</v>
      </c>
      <c r="E454" s="538"/>
      <c r="F454" s="727"/>
      <c r="G454" s="189"/>
      <c r="H454" s="168" t="s">
        <v>12</v>
      </c>
      <c r="I454" s="184"/>
      <c r="J454" s="184"/>
      <c r="K454" s="163"/>
      <c r="L454" s="465">
        <f t="shared" ref="L454:N454" ca="1" si="201">L455+L456</f>
        <v>0</v>
      </c>
      <c r="M454" s="465">
        <f t="shared" si="201"/>
        <v>0</v>
      </c>
      <c r="N454" s="465">
        <f t="shared" si="201"/>
        <v>0</v>
      </c>
      <c r="O454" s="465">
        <f t="shared" ref="O454:O456" ca="1" si="202">IF(L454&gt;0,N454*100/L454,0)</f>
        <v>0</v>
      </c>
      <c r="P454" s="465">
        <f t="shared" ref="P454:P456" si="203">IF(M454&gt;0,N454*100/M454,0)</f>
        <v>0</v>
      </c>
      <c r="Q454" s="541"/>
      <c r="R454" s="541"/>
      <c r="S454" s="541"/>
      <c r="T454" s="541"/>
      <c r="U454" s="541"/>
      <c r="V454" s="541"/>
      <c r="W454" s="541"/>
      <c r="X454" s="541"/>
      <c r="Y454" s="541"/>
      <c r="Z454" s="541"/>
    </row>
    <row r="455" spans="1:26" ht="18.75" hidden="1">
      <c r="A455" s="563"/>
      <c r="B455" s="571"/>
      <c r="C455" s="571"/>
      <c r="D455" s="571"/>
      <c r="E455" s="571" t="s">
        <v>18</v>
      </c>
      <c r="F455" s="723"/>
      <c r="G455" s="567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2"/>
        <v>0</v>
      </c>
      <c r="P455" s="93">
        <f t="shared" si="203"/>
        <v>0</v>
      </c>
      <c r="Q455" s="568"/>
      <c r="R455" s="568"/>
      <c r="S455" s="568"/>
      <c r="T455" s="568"/>
      <c r="U455" s="568"/>
      <c r="V455" s="568"/>
      <c r="W455" s="568"/>
      <c r="X455" s="568"/>
      <c r="Y455" s="568"/>
      <c r="Z455" s="568"/>
    </row>
    <row r="456" spans="1:26" ht="18.75" hidden="1">
      <c r="A456" s="563"/>
      <c r="B456" s="571"/>
      <c r="C456" s="571"/>
      <c r="D456" s="571"/>
      <c r="E456" s="571" t="s">
        <v>19</v>
      </c>
      <c r="F456" s="723"/>
      <c r="G456" s="567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IFERROR(__xludf.DUMMYFUNCTION("IMPORTRANGE(""https://docs.google.com/spreadsheets/d/1QqKyyYR6Q21VydFLVH3TRQUabQu_ym0Zz7PgGX0-kHA/edit?usp=sharing"",""แผน!FM16"")"),0)</f>
        <v>0</v>
      </c>
      <c r="M456" s="93">
        <v>0</v>
      </c>
      <c r="N456" s="93">
        <v>0</v>
      </c>
      <c r="O456" s="93">
        <f t="shared" ca="1" si="202"/>
        <v>0</v>
      </c>
      <c r="P456" s="93">
        <f t="shared" si="203"/>
        <v>0</v>
      </c>
      <c r="Q456" s="568"/>
      <c r="R456" s="568"/>
      <c r="S456" s="568"/>
      <c r="T456" s="568"/>
      <c r="U456" s="568"/>
      <c r="V456" s="568"/>
      <c r="W456" s="568"/>
      <c r="X456" s="568"/>
      <c r="Y456" s="568"/>
      <c r="Z456" s="568"/>
    </row>
    <row r="457" spans="1:26" ht="19.5">
      <c r="A457" s="572"/>
      <c r="B457" s="584"/>
      <c r="C457" s="538" t="s">
        <v>16</v>
      </c>
      <c r="D457" s="850" t="s">
        <v>38</v>
      </c>
      <c r="E457" s="575"/>
      <c r="F457" s="725"/>
      <c r="G457" s="577"/>
      <c r="H457" s="726"/>
      <c r="I457" s="269"/>
      <c r="J457" s="269"/>
      <c r="K457" s="465"/>
      <c r="L457" s="465"/>
      <c r="M457" s="465"/>
      <c r="N457" s="465"/>
      <c r="O457" s="465"/>
      <c r="P457" s="465"/>
      <c r="Q457" s="541"/>
      <c r="R457" s="541"/>
      <c r="S457" s="541"/>
      <c r="T457" s="541"/>
      <c r="U457" s="541"/>
      <c r="V457" s="541"/>
      <c r="W457" s="541"/>
      <c r="X457" s="541"/>
      <c r="Y457" s="541"/>
      <c r="Z457" s="541"/>
    </row>
    <row r="458" spans="1:26" ht="18.75" hidden="1">
      <c r="A458" s="578"/>
      <c r="B458" s="580"/>
      <c r="C458" s="580"/>
      <c r="D458" s="580" t="s">
        <v>200</v>
      </c>
      <c r="E458" s="580"/>
      <c r="F458" s="684"/>
      <c r="G458" s="581"/>
      <c r="H458" s="582" t="s">
        <v>35</v>
      </c>
      <c r="I458" s="583">
        <v>0</v>
      </c>
      <c r="J458" s="583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568"/>
      <c r="R458" s="568"/>
      <c r="S458" s="568"/>
      <c r="T458" s="568"/>
      <c r="U458" s="568"/>
      <c r="V458" s="568"/>
      <c r="W458" s="568"/>
      <c r="X458" s="568"/>
      <c r="Y458" s="568"/>
      <c r="Z458" s="568"/>
    </row>
    <row r="459" spans="1:26" ht="18.75" hidden="1">
      <c r="A459" s="578"/>
      <c r="B459" s="580"/>
      <c r="C459" s="580"/>
      <c r="D459" s="580" t="s">
        <v>201</v>
      </c>
      <c r="E459" s="580"/>
      <c r="F459" s="684"/>
      <c r="G459" s="581"/>
      <c r="H459" s="582"/>
      <c r="I459" s="583"/>
      <c r="J459" s="583"/>
      <c r="K459" s="93"/>
      <c r="L459" s="93"/>
      <c r="M459" s="93"/>
      <c r="N459" s="93"/>
      <c r="O459" s="93"/>
      <c r="P459" s="93"/>
      <c r="Q459" s="568"/>
      <c r="R459" s="568"/>
      <c r="S459" s="568"/>
      <c r="T459" s="568"/>
      <c r="U459" s="568"/>
      <c r="V459" s="568"/>
      <c r="W459" s="568"/>
      <c r="X459" s="568"/>
      <c r="Y459" s="568"/>
      <c r="Z459" s="568"/>
    </row>
    <row r="460" spans="1:26" ht="18.75">
      <c r="A460" s="572"/>
      <c r="B460" s="584"/>
      <c r="C460" s="584"/>
      <c r="D460" s="584" t="s">
        <v>202</v>
      </c>
      <c r="E460" s="584"/>
      <c r="F460" s="592"/>
      <c r="G460" s="726"/>
      <c r="H460" s="728" t="s">
        <v>35</v>
      </c>
      <c r="I460" s="269">
        <f ca="1">IFERROR(__xludf.DUMMYFUNCTION("IMPORTRANGE(""https://docs.google.com/spreadsheets/d/1QqKyyYR6Q21VydFLVH3TRQUabQu_ym0Zz7PgGX0-kHA/edit?usp=sharing"",""แผน!FN16"")"),40)</f>
        <v>40</v>
      </c>
      <c r="J460" s="214">
        <v>0</v>
      </c>
      <c r="K460" s="465">
        <f ca="1">IF(I460&gt;0,J460*100/I460,0)</f>
        <v>0</v>
      </c>
      <c r="L460" s="465"/>
      <c r="M460" s="465"/>
      <c r="N460" s="465"/>
      <c r="O460" s="465"/>
      <c r="P460" s="465"/>
      <c r="Q460" s="541"/>
      <c r="R460" s="541"/>
      <c r="S460" s="541"/>
      <c r="T460" s="541"/>
      <c r="U460" s="541"/>
      <c r="V460" s="541"/>
      <c r="W460" s="541"/>
      <c r="X460" s="541"/>
      <c r="Y460" s="541"/>
      <c r="Z460" s="541"/>
    </row>
    <row r="461" spans="1:26" ht="18.75">
      <c r="A461" s="572"/>
      <c r="B461" s="584"/>
      <c r="C461" s="584"/>
      <c r="D461" s="584" t="s">
        <v>203</v>
      </c>
      <c r="E461" s="592"/>
      <c r="F461" s="592"/>
      <c r="G461" s="726"/>
      <c r="H461" s="728"/>
      <c r="I461" s="269"/>
      <c r="J461" s="269"/>
      <c r="K461" s="465"/>
      <c r="L461" s="465"/>
      <c r="M461" s="465"/>
      <c r="N461" s="465"/>
      <c r="O461" s="465"/>
      <c r="P461" s="465"/>
      <c r="Q461" s="541"/>
      <c r="R461" s="541"/>
      <c r="S461" s="541"/>
      <c r="T461" s="541"/>
      <c r="U461" s="541"/>
      <c r="V461" s="541"/>
      <c r="W461" s="541"/>
      <c r="X461" s="541"/>
      <c r="Y461" s="541"/>
      <c r="Z461" s="541"/>
    </row>
    <row r="462" spans="1:26" ht="18.75">
      <c r="A462" s="572"/>
      <c r="B462" s="584"/>
      <c r="C462" s="584"/>
      <c r="D462" s="584" t="s">
        <v>204</v>
      </c>
      <c r="E462" s="592"/>
      <c r="F462" s="592"/>
      <c r="G462" s="726"/>
      <c r="H462" s="728" t="s">
        <v>46</v>
      </c>
      <c r="I462" s="269">
        <f ca="1">IFERROR(__xludf.DUMMYFUNCTION("IMPORTRANGE(""https://docs.google.com/spreadsheets/d/1QqKyyYR6Q21VydFLVH3TRQUabQu_ym0Zz7PgGX0-kHA/edit?usp=sharing"",""แผน!FO16"")"),80)</f>
        <v>80</v>
      </c>
      <c r="J462" s="214">
        <v>0</v>
      </c>
      <c r="K462" s="465">
        <f ca="1">IF(I462&gt;0,J462*100/I462,0)</f>
        <v>0</v>
      </c>
      <c r="L462" s="465"/>
      <c r="M462" s="465"/>
      <c r="N462" s="465"/>
      <c r="O462" s="465"/>
      <c r="P462" s="465"/>
      <c r="Q462" s="541"/>
      <c r="R462" s="541"/>
      <c r="S462" s="541"/>
      <c r="T462" s="541"/>
      <c r="U462" s="541"/>
      <c r="V462" s="541"/>
      <c r="W462" s="541"/>
      <c r="X462" s="541"/>
      <c r="Y462" s="541"/>
      <c r="Z462" s="541"/>
    </row>
    <row r="463" spans="1:26" ht="18.75">
      <c r="A463" s="572"/>
      <c r="B463" s="584"/>
      <c r="C463" s="584"/>
      <c r="D463" s="584" t="s">
        <v>59</v>
      </c>
      <c r="E463" s="592"/>
      <c r="F463" s="727"/>
      <c r="G463" s="189"/>
      <c r="H463" s="728" t="s">
        <v>46</v>
      </c>
      <c r="I463" s="269">
        <f ca="1">IFERROR(__xludf.DUMMYFUNCTION("IMPORTRANGE(""https://docs.google.com/spreadsheets/d/1QqKyyYR6Q21VydFLVH3TRQUabQu_ym0Zz7PgGX0-kHA/edit?usp=sharing"",""แผน!FO16"")"),80)</f>
        <v>80</v>
      </c>
      <c r="J463" s="214">
        <v>0</v>
      </c>
      <c r="K463" s="465"/>
      <c r="L463" s="465"/>
      <c r="M463" s="465"/>
      <c r="N463" s="465"/>
      <c r="O463" s="465"/>
      <c r="P463" s="465"/>
      <c r="Q463" s="541"/>
      <c r="R463" s="541"/>
      <c r="S463" s="541"/>
      <c r="T463" s="541"/>
      <c r="U463" s="541"/>
      <c r="V463" s="541"/>
      <c r="W463" s="541"/>
      <c r="X463" s="541"/>
      <c r="Y463" s="541"/>
      <c r="Z463" s="541"/>
    </row>
    <row r="464" spans="1:26" ht="19.5">
      <c r="A464" s="572"/>
      <c r="B464" s="584"/>
      <c r="C464" s="584"/>
      <c r="D464" s="584"/>
      <c r="E464" s="592"/>
      <c r="F464" s="592"/>
      <c r="G464" s="586"/>
      <c r="H464" s="728" t="s">
        <v>35</v>
      </c>
      <c r="I464" s="269">
        <f ca="1">IFERROR(__xludf.DUMMYFUNCTION("IMPORTRANGE(""https://docs.google.com/spreadsheets/d/1QqKyyYR6Q21VydFLVH3TRQUabQu_ym0Zz7PgGX0-kHA/edit?usp=sharing"",""แผน!FN16"")"),40)</f>
        <v>40</v>
      </c>
      <c r="J464" s="214">
        <v>0</v>
      </c>
      <c r="K464" s="465"/>
      <c r="L464" s="465"/>
      <c r="M464" s="465"/>
      <c r="N464" s="465"/>
      <c r="O464" s="465"/>
      <c r="P464" s="465"/>
      <c r="Q464" s="541"/>
      <c r="R464" s="541"/>
      <c r="S464" s="541"/>
      <c r="T464" s="541"/>
      <c r="U464" s="541"/>
      <c r="V464" s="541"/>
      <c r="W464" s="541"/>
      <c r="X464" s="541"/>
      <c r="Y464" s="541"/>
      <c r="Z464" s="541"/>
    </row>
    <row r="465" spans="1:26" ht="19.5">
      <c r="A465" s="549">
        <v>3</v>
      </c>
      <c r="B465" s="550" t="s">
        <v>205</v>
      </c>
      <c r="C465" s="551"/>
      <c r="D465" s="551"/>
      <c r="E465" s="551"/>
      <c r="F465" s="551"/>
      <c r="G465" s="552"/>
      <c r="H465" s="553" t="s">
        <v>35</v>
      </c>
      <c r="I465" s="554">
        <f ca="1">IFERROR(__xludf.DUMMYFUNCTION("IMPORTRANGE(""https://docs.google.com/spreadsheets/d/1QqKyyYR6Q21VydFLVH3TRQUabQu_ym0Zz7PgGX0-kHA/edit?usp=sharing"",""แผน!FX16"")"),131)</f>
        <v>131</v>
      </c>
      <c r="J465" s="554">
        <f>J485+J489+J492</f>
        <v>14</v>
      </c>
      <c r="K465" s="555">
        <f t="shared" ref="K465:K466" ca="1" si="204">IF(I465&gt;0,J465*100/I465,0)</f>
        <v>10.687022900763358</v>
      </c>
      <c r="L465" s="556"/>
      <c r="M465" s="556"/>
      <c r="N465" s="556"/>
      <c r="O465" s="556"/>
      <c r="P465" s="556"/>
      <c r="Q465" s="541"/>
      <c r="R465" s="541"/>
      <c r="S465" s="541"/>
      <c r="T465" s="541"/>
      <c r="U465" s="541"/>
      <c r="V465" s="541"/>
      <c r="W465" s="541"/>
      <c r="X465" s="541"/>
      <c r="Y465" s="541"/>
      <c r="Z465" s="541"/>
    </row>
    <row r="466" spans="1:26" ht="19.5">
      <c r="A466" s="557"/>
      <c r="B466" s="558"/>
      <c r="C466" s="559"/>
      <c r="D466" s="559"/>
      <c r="E466" s="559"/>
      <c r="F466" s="559"/>
      <c r="G466" s="560"/>
      <c r="H466" s="531" t="s">
        <v>46</v>
      </c>
      <c r="I466" s="532">
        <f ca="1">IFERROR(__xludf.DUMMYFUNCTION("IMPORTRANGE(""https://docs.google.com/spreadsheets/d/1QqKyyYR6Q21VydFLVH3TRQUabQu_ym0Zz7PgGX0-kHA/edit?usp=sharing"",""แผน!FW16"")"),1300)</f>
        <v>1300</v>
      </c>
      <c r="J466" s="532">
        <f>J483+J487</f>
        <v>0</v>
      </c>
      <c r="K466" s="533">
        <f t="shared" ca="1" si="204"/>
        <v>0</v>
      </c>
      <c r="L466" s="534"/>
      <c r="M466" s="534"/>
      <c r="N466" s="534"/>
      <c r="O466" s="534"/>
      <c r="P466" s="534"/>
      <c r="Q466" s="541"/>
      <c r="R466" s="541"/>
      <c r="S466" s="541"/>
      <c r="T466" s="541"/>
      <c r="U466" s="541"/>
      <c r="V466" s="541"/>
      <c r="W466" s="541"/>
      <c r="X466" s="541"/>
      <c r="Y466" s="541"/>
      <c r="Z466" s="541"/>
    </row>
    <row r="467" spans="1:26" ht="19.5">
      <c r="A467" s="561"/>
      <c r="B467" s="727"/>
      <c r="C467" s="727" t="s">
        <v>16</v>
      </c>
      <c r="D467" s="811" t="s">
        <v>17</v>
      </c>
      <c r="E467" s="805"/>
      <c r="F467" s="805"/>
      <c r="G467" s="189"/>
      <c r="H467" s="562" t="s">
        <v>12</v>
      </c>
      <c r="I467" s="269"/>
      <c r="J467" s="269"/>
      <c r="K467" s="465"/>
      <c r="L467" s="195">
        <f t="shared" ref="L467:N467" ca="1" si="205">L468+L469</f>
        <v>1161548</v>
      </c>
      <c r="M467" s="195">
        <f t="shared" si="205"/>
        <v>0</v>
      </c>
      <c r="N467" s="195">
        <f t="shared" si="205"/>
        <v>0</v>
      </c>
      <c r="O467" s="195">
        <f t="shared" ref="O467:O472" ca="1" si="206">IF(L467&gt;0,N467*100/L467,0)</f>
        <v>0</v>
      </c>
      <c r="P467" s="195">
        <f t="shared" ref="P467:P472" si="207">IF(M467&gt;0,N467*100/M467,0)</f>
        <v>0</v>
      </c>
      <c r="Q467" s="541"/>
      <c r="R467" s="541"/>
      <c r="S467" s="541"/>
      <c r="T467" s="541"/>
      <c r="U467" s="541"/>
      <c r="V467" s="541"/>
      <c r="W467" s="541"/>
      <c r="X467" s="541"/>
      <c r="Y467" s="541"/>
      <c r="Z467" s="541"/>
    </row>
    <row r="468" spans="1:26" ht="18.75" hidden="1">
      <c r="A468" s="563"/>
      <c r="B468" s="723"/>
      <c r="C468" s="723"/>
      <c r="D468" s="684"/>
      <c r="E468" s="723" t="s">
        <v>184</v>
      </c>
      <c r="F468" s="723"/>
      <c r="G468" s="567"/>
      <c r="H468" s="165" t="s">
        <v>12</v>
      </c>
      <c r="I468" s="583"/>
      <c r="J468" s="583"/>
      <c r="K468" s="93"/>
      <c r="L468" s="93">
        <f t="shared" ref="L468:N469" si="208">L471+L478</f>
        <v>0</v>
      </c>
      <c r="M468" s="93">
        <f t="shared" si="208"/>
        <v>0</v>
      </c>
      <c r="N468" s="93">
        <f t="shared" si="208"/>
        <v>0</v>
      </c>
      <c r="O468" s="93">
        <f t="shared" si="206"/>
        <v>0</v>
      </c>
      <c r="P468" s="93">
        <f t="shared" si="207"/>
        <v>0</v>
      </c>
      <c r="Q468" s="568"/>
      <c r="R468" s="568"/>
      <c r="S468" s="568"/>
      <c r="T468" s="568"/>
      <c r="U468" s="568"/>
      <c r="V468" s="568"/>
      <c r="W468" s="568"/>
      <c r="X468" s="568"/>
      <c r="Y468" s="568"/>
      <c r="Z468" s="568"/>
    </row>
    <row r="469" spans="1:26" ht="18.75" hidden="1">
      <c r="A469" s="563"/>
      <c r="B469" s="571"/>
      <c r="C469" s="723"/>
      <c r="D469" s="684"/>
      <c r="E469" s="723" t="s">
        <v>185</v>
      </c>
      <c r="F469" s="723"/>
      <c r="G469" s="567"/>
      <c r="H469" s="165" t="s">
        <v>12</v>
      </c>
      <c r="I469" s="583"/>
      <c r="J469" s="583"/>
      <c r="K469" s="93"/>
      <c r="L469" s="93">
        <f t="shared" ca="1" si="208"/>
        <v>1161548</v>
      </c>
      <c r="M469" s="93">
        <f t="shared" si="208"/>
        <v>0</v>
      </c>
      <c r="N469" s="93">
        <f t="shared" si="208"/>
        <v>0</v>
      </c>
      <c r="O469" s="93">
        <f t="shared" ca="1" si="206"/>
        <v>0</v>
      </c>
      <c r="P469" s="93">
        <f t="shared" si="207"/>
        <v>0</v>
      </c>
      <c r="Q469" s="568"/>
      <c r="R469" s="568"/>
      <c r="S469" s="568"/>
      <c r="T469" s="568"/>
      <c r="U469" s="568"/>
      <c r="V469" s="568"/>
      <c r="W469" s="568"/>
      <c r="X469" s="568"/>
      <c r="Y469" s="568"/>
      <c r="Z469" s="568"/>
    </row>
    <row r="470" spans="1:26" ht="18.75">
      <c r="A470" s="561"/>
      <c r="B470" s="538"/>
      <c r="C470" s="727"/>
      <c r="D470" s="570" t="s">
        <v>20</v>
      </c>
      <c r="E470" s="727"/>
      <c r="F470" s="727"/>
      <c r="G470" s="189"/>
      <c r="H470" s="161" t="s">
        <v>12</v>
      </c>
      <c r="I470" s="184"/>
      <c r="J470" s="184"/>
      <c r="K470" s="163"/>
      <c r="L470" s="465">
        <f t="shared" ref="L470:N470" ca="1" si="209">L471+L472</f>
        <v>1161548</v>
      </c>
      <c r="M470" s="465">
        <f t="shared" si="209"/>
        <v>0</v>
      </c>
      <c r="N470" s="465">
        <f t="shared" si="209"/>
        <v>0</v>
      </c>
      <c r="O470" s="465">
        <f t="shared" ca="1" si="206"/>
        <v>0</v>
      </c>
      <c r="P470" s="465">
        <f t="shared" si="207"/>
        <v>0</v>
      </c>
      <c r="Q470" s="541"/>
      <c r="R470" s="541"/>
      <c r="S470" s="541"/>
      <c r="T470" s="541"/>
      <c r="U470" s="541"/>
      <c r="V470" s="541"/>
      <c r="W470" s="541"/>
      <c r="X470" s="541"/>
      <c r="Y470" s="541"/>
      <c r="Z470" s="541"/>
    </row>
    <row r="471" spans="1:26" ht="18.75" hidden="1">
      <c r="A471" s="563"/>
      <c r="B471" s="571"/>
      <c r="C471" s="723"/>
      <c r="D471" s="684"/>
      <c r="E471" s="723" t="s">
        <v>184</v>
      </c>
      <c r="F471" s="723"/>
      <c r="G471" s="567"/>
      <c r="H471" s="165" t="s">
        <v>12</v>
      </c>
      <c r="I471" s="583"/>
      <c r="J471" s="583"/>
      <c r="K471" s="93"/>
      <c r="L471" s="93">
        <v>0</v>
      </c>
      <c r="M471" s="93">
        <v>0</v>
      </c>
      <c r="N471" s="93">
        <v>0</v>
      </c>
      <c r="O471" s="93">
        <f t="shared" si="206"/>
        <v>0</v>
      </c>
      <c r="P471" s="93">
        <f t="shared" si="207"/>
        <v>0</v>
      </c>
      <c r="Q471" s="568"/>
      <c r="R471" s="568"/>
      <c r="S471" s="568"/>
      <c r="T471" s="568"/>
      <c r="U471" s="568"/>
      <c r="V471" s="568"/>
      <c r="W471" s="568"/>
      <c r="X471" s="568"/>
      <c r="Y471" s="568"/>
      <c r="Z471" s="568"/>
    </row>
    <row r="472" spans="1:26" ht="18.75" hidden="1">
      <c r="A472" s="563"/>
      <c r="B472" s="571"/>
      <c r="C472" s="723"/>
      <c r="D472" s="684"/>
      <c r="E472" s="723" t="s">
        <v>185</v>
      </c>
      <c r="F472" s="723"/>
      <c r="G472" s="567"/>
      <c r="H472" s="165" t="s">
        <v>12</v>
      </c>
      <c r="I472" s="583"/>
      <c r="J472" s="583"/>
      <c r="K472" s="93"/>
      <c r="L472" s="93">
        <f ca="1">IFERROR(__xludf.DUMMYFUNCTION("IMPORTRANGE(""https://docs.google.com/spreadsheets/d/1QqKyyYR6Q21VydFLVH3TRQUabQu_ym0Zz7PgGX0-kHA/edit?usp=sharing"",""แผน!FS16"")"),1161548)</f>
        <v>1161548</v>
      </c>
      <c r="M472" s="93">
        <v>0</v>
      </c>
      <c r="N472" s="93">
        <f>N473+N474+N475+N476</f>
        <v>0</v>
      </c>
      <c r="O472" s="93">
        <f t="shared" ca="1" si="206"/>
        <v>0</v>
      </c>
      <c r="P472" s="93">
        <f t="shared" si="207"/>
        <v>0</v>
      </c>
      <c r="Q472" s="568"/>
      <c r="R472" s="568"/>
      <c r="S472" s="568"/>
      <c r="T472" s="568"/>
      <c r="U472" s="568"/>
      <c r="V472" s="568"/>
      <c r="W472" s="568"/>
      <c r="X472" s="568"/>
      <c r="Y472" s="568"/>
      <c r="Z472" s="568"/>
    </row>
    <row r="473" spans="1:26" ht="18.75">
      <c r="A473" s="537"/>
      <c r="B473" s="538"/>
      <c r="C473" s="727"/>
      <c r="D473" s="727"/>
      <c r="E473" s="727"/>
      <c r="F473" s="727" t="s">
        <v>186</v>
      </c>
      <c r="G473" s="189"/>
      <c r="H473" s="161" t="s">
        <v>12</v>
      </c>
      <c r="I473" s="269"/>
      <c r="J473" s="269"/>
      <c r="K473" s="465"/>
      <c r="L473" s="465"/>
      <c r="M473" s="465"/>
      <c r="N473" s="789">
        <v>0</v>
      </c>
      <c r="O473" s="465"/>
      <c r="P473" s="465"/>
      <c r="Q473" s="541"/>
      <c r="R473" s="541"/>
      <c r="S473" s="541"/>
      <c r="T473" s="541"/>
      <c r="U473" s="541"/>
      <c r="V473" s="541"/>
      <c r="W473" s="541"/>
      <c r="X473" s="541"/>
      <c r="Y473" s="541"/>
      <c r="Z473" s="541"/>
    </row>
    <row r="474" spans="1:26" ht="18.75">
      <c r="A474" s="537"/>
      <c r="B474" s="538"/>
      <c r="C474" s="727"/>
      <c r="D474" s="727"/>
      <c r="E474" s="727"/>
      <c r="F474" s="727" t="s">
        <v>187</v>
      </c>
      <c r="G474" s="189"/>
      <c r="H474" s="161" t="s">
        <v>12</v>
      </c>
      <c r="I474" s="269"/>
      <c r="J474" s="269"/>
      <c r="K474" s="465"/>
      <c r="L474" s="465"/>
      <c r="M474" s="465"/>
      <c r="N474" s="789">
        <v>0</v>
      </c>
      <c r="O474" s="465"/>
      <c r="P474" s="465"/>
      <c r="Q474" s="541"/>
      <c r="R474" s="541"/>
      <c r="S474" s="541"/>
      <c r="T474" s="541"/>
      <c r="U474" s="541"/>
      <c r="V474" s="541"/>
      <c r="W474" s="541"/>
      <c r="X474" s="541"/>
      <c r="Y474" s="541"/>
      <c r="Z474" s="541"/>
    </row>
    <row r="475" spans="1:26" ht="18.75">
      <c r="A475" s="537"/>
      <c r="B475" s="538"/>
      <c r="C475" s="538"/>
      <c r="D475" s="538"/>
      <c r="E475" s="538"/>
      <c r="F475" s="727" t="s">
        <v>188</v>
      </c>
      <c r="G475" s="189"/>
      <c r="H475" s="161" t="s">
        <v>12</v>
      </c>
      <c r="I475" s="269"/>
      <c r="J475" s="269"/>
      <c r="K475" s="465"/>
      <c r="L475" s="465"/>
      <c r="M475" s="465"/>
      <c r="N475" s="789">
        <v>0</v>
      </c>
      <c r="O475" s="465"/>
      <c r="P475" s="465"/>
      <c r="Q475" s="541"/>
      <c r="R475" s="541"/>
      <c r="S475" s="541"/>
      <c r="T475" s="541"/>
      <c r="U475" s="541"/>
      <c r="V475" s="541"/>
      <c r="W475" s="541"/>
      <c r="X475" s="541"/>
      <c r="Y475" s="541"/>
      <c r="Z475" s="541"/>
    </row>
    <row r="476" spans="1:26" ht="18.75">
      <c r="A476" s="537"/>
      <c r="B476" s="538"/>
      <c r="C476" s="538"/>
      <c r="D476" s="538"/>
      <c r="E476" s="538"/>
      <c r="F476" s="727" t="s">
        <v>189</v>
      </c>
      <c r="G476" s="189"/>
      <c r="H476" s="161" t="s">
        <v>12</v>
      </c>
      <c r="I476" s="269"/>
      <c r="J476" s="269"/>
      <c r="K476" s="465"/>
      <c r="L476" s="465"/>
      <c r="M476" s="465"/>
      <c r="N476" s="789">
        <v>0</v>
      </c>
      <c r="O476" s="465"/>
      <c r="P476" s="465"/>
      <c r="Q476" s="541"/>
      <c r="R476" s="541"/>
      <c r="S476" s="541"/>
      <c r="T476" s="541"/>
      <c r="U476" s="541"/>
      <c r="V476" s="541"/>
      <c r="W476" s="541"/>
      <c r="X476" s="541"/>
      <c r="Y476" s="541"/>
      <c r="Z476" s="541"/>
    </row>
    <row r="477" spans="1:26" ht="18.75">
      <c r="A477" s="561"/>
      <c r="B477" s="538"/>
      <c r="C477" s="538"/>
      <c r="D477" s="570" t="s">
        <v>21</v>
      </c>
      <c r="E477" s="538"/>
      <c r="F477" s="538"/>
      <c r="G477" s="189"/>
      <c r="H477" s="168" t="s">
        <v>12</v>
      </c>
      <c r="I477" s="184"/>
      <c r="J477" s="184"/>
      <c r="K477" s="163"/>
      <c r="L477" s="465">
        <f t="shared" ref="L477:N477" ca="1" si="210">L478+L479</f>
        <v>0</v>
      </c>
      <c r="M477" s="465">
        <f t="shared" si="210"/>
        <v>0</v>
      </c>
      <c r="N477" s="465">
        <f t="shared" si="210"/>
        <v>0</v>
      </c>
      <c r="O477" s="465">
        <f t="shared" ref="O477:O479" ca="1" si="211">IF(L477&gt;0,N477*100/L477,0)</f>
        <v>0</v>
      </c>
      <c r="P477" s="465">
        <f t="shared" ref="P477:P479" si="212">IF(M477&gt;0,N477*100/M477,0)</f>
        <v>0</v>
      </c>
      <c r="Q477" s="541"/>
      <c r="R477" s="541"/>
      <c r="S477" s="541"/>
      <c r="T477" s="541"/>
      <c r="U477" s="541"/>
      <c r="V477" s="541"/>
      <c r="W477" s="541"/>
      <c r="X477" s="541"/>
      <c r="Y477" s="541"/>
      <c r="Z477" s="541"/>
    </row>
    <row r="478" spans="1:26" ht="18.75" hidden="1">
      <c r="A478" s="563"/>
      <c r="B478" s="571"/>
      <c r="C478" s="571"/>
      <c r="D478" s="571"/>
      <c r="E478" s="571" t="s">
        <v>18</v>
      </c>
      <c r="F478" s="571"/>
      <c r="G478" s="567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1"/>
        <v>0</v>
      </c>
      <c r="P478" s="93">
        <f t="shared" si="212"/>
        <v>0</v>
      </c>
      <c r="Q478" s="568"/>
      <c r="R478" s="568"/>
      <c r="S478" s="568"/>
      <c r="T478" s="568"/>
      <c r="U478" s="568"/>
      <c r="V478" s="568"/>
      <c r="W478" s="568"/>
      <c r="X478" s="568"/>
      <c r="Y478" s="568"/>
      <c r="Z478" s="568"/>
    </row>
    <row r="479" spans="1:26" ht="18.75" hidden="1">
      <c r="A479" s="563"/>
      <c r="B479" s="571"/>
      <c r="C479" s="571"/>
      <c r="D479" s="571"/>
      <c r="E479" s="571" t="s">
        <v>19</v>
      </c>
      <c r="F479" s="571"/>
      <c r="G479" s="567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IFERROR(__xludf.DUMMYFUNCTION("IMPORTRANGE(""https://docs.google.com/spreadsheets/d/1QqKyyYR6Q21VydFLVH3TRQUabQu_ym0Zz7PgGX0-kHA/edit?usp=sharing"",""แผน!FV16"")"),0)</f>
        <v>0</v>
      </c>
      <c r="M479" s="93">
        <v>0</v>
      </c>
      <c r="N479" s="93">
        <v>0</v>
      </c>
      <c r="O479" s="93">
        <f t="shared" ca="1" si="211"/>
        <v>0</v>
      </c>
      <c r="P479" s="93">
        <f t="shared" si="212"/>
        <v>0</v>
      </c>
      <c r="Q479" s="568"/>
      <c r="R479" s="568"/>
      <c r="S479" s="568"/>
      <c r="T479" s="568"/>
      <c r="U479" s="568"/>
      <c r="V479" s="568"/>
      <c r="W479" s="568"/>
      <c r="X479" s="568"/>
      <c r="Y479" s="568"/>
      <c r="Z479" s="568"/>
    </row>
    <row r="480" spans="1:26" ht="19.5">
      <c r="A480" s="572"/>
      <c r="B480" s="584"/>
      <c r="C480" s="538" t="s">
        <v>16</v>
      </c>
      <c r="D480" s="851" t="s">
        <v>38</v>
      </c>
      <c r="E480" s="575"/>
      <c r="F480" s="725"/>
      <c r="G480" s="577"/>
      <c r="H480" s="726"/>
      <c r="I480" s="269"/>
      <c r="J480" s="269"/>
      <c r="K480" s="465"/>
      <c r="L480" s="465"/>
      <c r="M480" s="465"/>
      <c r="N480" s="465"/>
      <c r="O480" s="465"/>
      <c r="P480" s="465"/>
      <c r="Q480" s="541"/>
      <c r="R480" s="541"/>
      <c r="S480" s="541"/>
      <c r="T480" s="541"/>
      <c r="U480" s="541"/>
      <c r="V480" s="541"/>
      <c r="W480" s="541"/>
      <c r="X480" s="541"/>
      <c r="Y480" s="541"/>
      <c r="Z480" s="541"/>
    </row>
    <row r="481" spans="1:26" ht="19.5">
      <c r="A481" s="572"/>
      <c r="B481" s="584"/>
      <c r="C481" s="584"/>
      <c r="D481" s="591" t="s">
        <v>206</v>
      </c>
      <c r="E481" s="584"/>
      <c r="F481" s="584"/>
      <c r="G481" s="726"/>
      <c r="H481" s="189"/>
      <c r="I481" s="269"/>
      <c r="J481" s="269"/>
      <c r="K481" s="465"/>
      <c r="L481" s="465"/>
      <c r="M481" s="465"/>
      <c r="N481" s="465"/>
      <c r="O481" s="465"/>
      <c r="P481" s="465"/>
      <c r="Q481" s="541"/>
      <c r="R481" s="541"/>
      <c r="S481" s="541"/>
      <c r="T481" s="541"/>
      <c r="U481" s="541"/>
      <c r="V481" s="541"/>
      <c r="W481" s="541"/>
      <c r="X481" s="541"/>
      <c r="Y481" s="541"/>
      <c r="Z481" s="541"/>
    </row>
    <row r="482" spans="1:26" ht="18.75">
      <c r="A482" s="572"/>
      <c r="B482" s="584"/>
      <c r="C482" s="584"/>
      <c r="D482" s="584"/>
      <c r="E482" s="584" t="s">
        <v>207</v>
      </c>
      <c r="F482" s="584"/>
      <c r="G482" s="726"/>
      <c r="H482" s="189"/>
      <c r="I482" s="269"/>
      <c r="J482" s="269"/>
      <c r="K482" s="465"/>
      <c r="L482" s="465"/>
      <c r="M482" s="465"/>
      <c r="N482" s="465"/>
      <c r="O482" s="465"/>
      <c r="P482" s="465"/>
      <c r="Q482" s="541"/>
      <c r="R482" s="541"/>
      <c r="S482" s="541"/>
      <c r="T482" s="541"/>
      <c r="U482" s="541"/>
      <c r="V482" s="541"/>
      <c r="W482" s="541"/>
      <c r="X482" s="541"/>
      <c r="Y482" s="541"/>
      <c r="Z482" s="541"/>
    </row>
    <row r="483" spans="1:26" ht="18.75">
      <c r="A483" s="572"/>
      <c r="B483" s="584"/>
      <c r="C483" s="584"/>
      <c r="D483" s="584"/>
      <c r="E483" s="584"/>
      <c r="F483" s="584" t="s">
        <v>208</v>
      </c>
      <c r="G483" s="726"/>
      <c r="H483" s="589" t="s">
        <v>46</v>
      </c>
      <c r="I483" s="269">
        <f ca="1">IFERROR(__xludf.DUMMYFUNCTION("IMPORTRANGE(""https://docs.google.com/spreadsheets/d/1QqKyyYR6Q21VydFLVH3TRQUabQu_ym0Zz7PgGX0-kHA/edit?usp=sharing"",""แผน!FY16"")"),1170)</f>
        <v>1170</v>
      </c>
      <c r="J483" s="214">
        <v>0</v>
      </c>
      <c r="K483" s="465">
        <f ca="1">IF(I483&gt;0,J483*100/I483,0)</f>
        <v>0</v>
      </c>
      <c r="L483" s="465"/>
      <c r="M483" s="465"/>
      <c r="N483" s="465"/>
      <c r="O483" s="465"/>
      <c r="P483" s="465"/>
      <c r="Q483" s="541"/>
      <c r="R483" s="541"/>
      <c r="S483" s="541"/>
      <c r="T483" s="541"/>
      <c r="U483" s="541"/>
      <c r="V483" s="541"/>
      <c r="W483" s="541"/>
      <c r="X483" s="541"/>
      <c r="Y483" s="541"/>
      <c r="Z483" s="541"/>
    </row>
    <row r="484" spans="1:26" ht="18.75">
      <c r="A484" s="572"/>
      <c r="B484" s="584"/>
      <c r="C484" s="584"/>
      <c r="D484" s="584"/>
      <c r="E484" s="584"/>
      <c r="F484" s="584" t="s">
        <v>209</v>
      </c>
      <c r="G484" s="726"/>
      <c r="H484" s="589" t="s">
        <v>35</v>
      </c>
      <c r="I484" s="269"/>
      <c r="J484" s="214">
        <v>0</v>
      </c>
      <c r="K484" s="465"/>
      <c r="L484" s="465"/>
      <c r="M484" s="465"/>
      <c r="N484" s="465"/>
      <c r="O484" s="465"/>
      <c r="P484" s="465"/>
      <c r="Q484" s="541"/>
      <c r="R484" s="541"/>
      <c r="S484" s="541"/>
      <c r="T484" s="541"/>
      <c r="U484" s="541"/>
      <c r="V484" s="541"/>
      <c r="W484" s="541"/>
      <c r="X484" s="541"/>
      <c r="Y484" s="541"/>
      <c r="Z484" s="541"/>
    </row>
    <row r="485" spans="1:26" ht="18.75">
      <c r="A485" s="572"/>
      <c r="B485" s="584"/>
      <c r="C485" s="584"/>
      <c r="D485" s="584"/>
      <c r="E485" s="584"/>
      <c r="F485" s="584" t="s">
        <v>210</v>
      </c>
      <c r="G485" s="726"/>
      <c r="H485" s="589" t="s">
        <v>35</v>
      </c>
      <c r="I485" s="269">
        <f ca="1">IFERROR(__xludf.DUMMYFUNCTION("IMPORTRANGE(""https://docs.google.com/spreadsheets/d/1QqKyyYR6Q21VydFLVH3TRQUabQu_ym0Zz7PgGX0-kHA/edit?usp=sharing"",""แผน!FZ16"")"),117)</f>
        <v>117</v>
      </c>
      <c r="J485" s="214">
        <v>0</v>
      </c>
      <c r="K485" s="465">
        <f ca="1">IF(I485&gt;0,J485*100/I485,0)</f>
        <v>0</v>
      </c>
      <c r="L485" s="465"/>
      <c r="M485" s="465"/>
      <c r="N485" s="465"/>
      <c r="O485" s="465"/>
      <c r="P485" s="465"/>
      <c r="Q485" s="541"/>
      <c r="R485" s="541"/>
      <c r="S485" s="541"/>
      <c r="T485" s="541"/>
      <c r="U485" s="541"/>
      <c r="V485" s="541"/>
      <c r="W485" s="541"/>
      <c r="X485" s="541"/>
      <c r="Y485" s="541"/>
      <c r="Z485" s="541"/>
    </row>
    <row r="486" spans="1:26" ht="18.75">
      <c r="A486" s="572"/>
      <c r="B486" s="584"/>
      <c r="C486" s="584"/>
      <c r="D486" s="584"/>
      <c r="E486" s="584" t="s">
        <v>62</v>
      </c>
      <c r="F486" s="584"/>
      <c r="G486" s="726"/>
      <c r="H486" s="589"/>
      <c r="I486" s="269"/>
      <c r="J486" s="269"/>
      <c r="K486" s="465"/>
      <c r="L486" s="465"/>
      <c r="M486" s="465"/>
      <c r="N486" s="465"/>
      <c r="O486" s="465"/>
      <c r="P486" s="465"/>
      <c r="Q486" s="541"/>
      <c r="R486" s="541"/>
      <c r="S486" s="541"/>
      <c r="T486" s="541"/>
      <c r="U486" s="541"/>
      <c r="V486" s="541"/>
      <c r="W486" s="541"/>
      <c r="X486" s="541"/>
      <c r="Y486" s="541"/>
      <c r="Z486" s="541"/>
    </row>
    <row r="487" spans="1:26" ht="18.75">
      <c r="A487" s="572"/>
      <c r="B487" s="584"/>
      <c r="C487" s="584"/>
      <c r="D487" s="584"/>
      <c r="E487" s="584"/>
      <c r="F487" s="584" t="s">
        <v>208</v>
      </c>
      <c r="G487" s="726"/>
      <c r="H487" s="589" t="s">
        <v>46</v>
      </c>
      <c r="I487" s="269">
        <f ca="1">IFERROR(__xludf.DUMMYFUNCTION("IMPORTRANGE(""https://docs.google.com/spreadsheets/d/1QqKyyYR6Q21VydFLVH3TRQUabQu_ym0Zz7PgGX0-kHA/edit?usp=sharing"",""แผน!GA16"")"),130)</f>
        <v>130</v>
      </c>
      <c r="J487" s="214">
        <v>0</v>
      </c>
      <c r="K487" s="465">
        <f ca="1">IF(I487&gt;0,J487*100/I487,0)</f>
        <v>0</v>
      </c>
      <c r="L487" s="465"/>
      <c r="M487" s="465"/>
      <c r="N487" s="465"/>
      <c r="O487" s="465"/>
      <c r="P487" s="465"/>
      <c r="Q487" s="541"/>
      <c r="R487" s="541"/>
      <c r="S487" s="541"/>
      <c r="T487" s="541"/>
      <c r="U487" s="541"/>
      <c r="V487" s="541"/>
      <c r="W487" s="541"/>
      <c r="X487" s="541"/>
      <c r="Y487" s="541"/>
      <c r="Z487" s="541"/>
    </row>
    <row r="488" spans="1:26" ht="18.75">
      <c r="A488" s="572"/>
      <c r="B488" s="584"/>
      <c r="C488" s="584"/>
      <c r="D488" s="584"/>
      <c r="E488" s="584"/>
      <c r="F488" s="584" t="s">
        <v>211</v>
      </c>
      <c r="G488" s="726"/>
      <c r="H488" s="589" t="s">
        <v>35</v>
      </c>
      <c r="I488" s="269"/>
      <c r="J488" s="214">
        <v>0</v>
      </c>
      <c r="K488" s="465"/>
      <c r="L488" s="465"/>
      <c r="M488" s="465"/>
      <c r="N488" s="465"/>
      <c r="O488" s="465"/>
      <c r="P488" s="465"/>
      <c r="Q488" s="541"/>
      <c r="R488" s="541"/>
      <c r="S488" s="541"/>
      <c r="T488" s="541"/>
      <c r="U488" s="541"/>
      <c r="V488" s="541"/>
      <c r="W488" s="541"/>
      <c r="X488" s="541"/>
      <c r="Y488" s="541"/>
      <c r="Z488" s="541"/>
    </row>
    <row r="489" spans="1:26" ht="18.75">
      <c r="A489" s="572"/>
      <c r="B489" s="584"/>
      <c r="C489" s="584"/>
      <c r="D489" s="584"/>
      <c r="E489" s="584"/>
      <c r="F489" s="584" t="s">
        <v>212</v>
      </c>
      <c r="G489" s="726"/>
      <c r="H489" s="589" t="s">
        <v>35</v>
      </c>
      <c r="I489" s="269">
        <f ca="1">IFERROR(__xludf.DUMMYFUNCTION("IMPORTRANGE(""https://docs.google.com/spreadsheets/d/1QqKyyYR6Q21VydFLVH3TRQUabQu_ym0Zz7PgGX0-kHA/edit?usp=sharing"",""แผน!GB16"")"),13)</f>
        <v>13</v>
      </c>
      <c r="J489" s="214">
        <v>13</v>
      </c>
      <c r="K489" s="465">
        <f ca="1">IF(I489&gt;0,J489*100/I489,0)</f>
        <v>100</v>
      </c>
      <c r="L489" s="465"/>
      <c r="M489" s="465"/>
      <c r="N489" s="465"/>
      <c r="O489" s="465"/>
      <c r="P489" s="465"/>
      <c r="Q489" s="541"/>
      <c r="R489" s="541"/>
      <c r="S489" s="541"/>
      <c r="T489" s="541"/>
      <c r="U489" s="541"/>
      <c r="V489" s="541"/>
      <c r="W489" s="541"/>
      <c r="X489" s="541"/>
      <c r="Y489" s="541"/>
      <c r="Z489" s="541"/>
    </row>
    <row r="490" spans="1:26" ht="18.75">
      <c r="A490" s="572"/>
      <c r="B490" s="584"/>
      <c r="C490" s="584"/>
      <c r="D490" s="584"/>
      <c r="E490" s="584" t="s">
        <v>63</v>
      </c>
      <c r="F490" s="592"/>
      <c r="G490" s="726"/>
      <c r="H490" s="589"/>
      <c r="I490" s="269"/>
      <c r="J490" s="269"/>
      <c r="K490" s="465"/>
      <c r="L490" s="465"/>
      <c r="M490" s="465"/>
      <c r="N490" s="465"/>
      <c r="O490" s="465"/>
      <c r="P490" s="465"/>
      <c r="Q490" s="541"/>
      <c r="R490" s="541"/>
      <c r="S490" s="541"/>
      <c r="T490" s="541"/>
      <c r="U490" s="541"/>
      <c r="V490" s="541"/>
      <c r="W490" s="541"/>
      <c r="X490" s="541"/>
      <c r="Y490" s="541"/>
      <c r="Z490" s="541"/>
    </row>
    <row r="491" spans="1:26" ht="18.75">
      <c r="A491" s="572"/>
      <c r="B491" s="584"/>
      <c r="C491" s="584"/>
      <c r="D491" s="584"/>
      <c r="E491" s="584"/>
      <c r="F491" s="584" t="s">
        <v>213</v>
      </c>
      <c r="G491" s="726"/>
      <c r="H491" s="589" t="s">
        <v>35</v>
      </c>
      <c r="I491" s="269"/>
      <c r="J491" s="214">
        <v>0</v>
      </c>
      <c r="K491" s="465"/>
      <c r="L491" s="465"/>
      <c r="M491" s="465"/>
      <c r="N491" s="465"/>
      <c r="O491" s="465"/>
      <c r="P491" s="465"/>
      <c r="Q491" s="541"/>
      <c r="R491" s="541"/>
      <c r="S491" s="541"/>
      <c r="T491" s="541"/>
      <c r="U491" s="541"/>
      <c r="V491" s="541"/>
      <c r="W491" s="541"/>
      <c r="X491" s="541"/>
      <c r="Y491" s="541"/>
      <c r="Z491" s="541"/>
    </row>
    <row r="492" spans="1:26" ht="18.75">
      <c r="A492" s="572"/>
      <c r="B492" s="584"/>
      <c r="C492" s="584"/>
      <c r="D492" s="584"/>
      <c r="E492" s="584"/>
      <c r="F492" s="584" t="s">
        <v>214</v>
      </c>
      <c r="G492" s="726"/>
      <c r="H492" s="589" t="s">
        <v>35</v>
      </c>
      <c r="I492" s="269">
        <f ca="1">IFERROR(__xludf.DUMMYFUNCTION("IMPORTRANGE(""https://docs.google.com/spreadsheets/d/1QqKyyYR6Q21VydFLVH3TRQUabQu_ym0Zz7PgGX0-kHA/edit?usp=sharing"",""แผน!GC16"")"),1)</f>
        <v>1</v>
      </c>
      <c r="J492" s="214">
        <v>1</v>
      </c>
      <c r="K492" s="465">
        <f ca="1">IF(I492&gt;0,J492*100/I492,0)</f>
        <v>100</v>
      </c>
      <c r="L492" s="465"/>
      <c r="M492" s="465"/>
      <c r="N492" s="465"/>
      <c r="O492" s="465"/>
      <c r="P492" s="465"/>
      <c r="Q492" s="541"/>
      <c r="R492" s="541"/>
      <c r="S492" s="541"/>
      <c r="T492" s="541"/>
      <c r="U492" s="541"/>
      <c r="V492" s="541"/>
      <c r="W492" s="541"/>
      <c r="X492" s="541"/>
      <c r="Y492" s="541"/>
      <c r="Z492" s="541"/>
    </row>
    <row r="493" spans="1:26" ht="19.5">
      <c r="A493" s="572"/>
      <c r="B493" s="584"/>
      <c r="C493" s="584"/>
      <c r="D493" s="591" t="s">
        <v>59</v>
      </c>
      <c r="E493" s="584"/>
      <c r="F493" s="592"/>
      <c r="G493" s="726"/>
      <c r="H493" s="189"/>
      <c r="I493" s="269"/>
      <c r="J493" s="269"/>
      <c r="K493" s="465"/>
      <c r="L493" s="465"/>
      <c r="M493" s="465"/>
      <c r="N493" s="465"/>
      <c r="O493" s="465"/>
      <c r="P493" s="465"/>
      <c r="Q493" s="541"/>
      <c r="R493" s="541"/>
      <c r="S493" s="541"/>
      <c r="T493" s="541"/>
      <c r="U493" s="541"/>
      <c r="V493" s="541"/>
      <c r="W493" s="541"/>
      <c r="X493" s="541"/>
      <c r="Y493" s="541"/>
      <c r="Z493" s="541"/>
    </row>
    <row r="494" spans="1:26" ht="18.75">
      <c r="A494" s="572"/>
      <c r="B494" s="584"/>
      <c r="C494" s="584"/>
      <c r="D494" s="584"/>
      <c r="E494" s="584" t="s">
        <v>207</v>
      </c>
      <c r="F494" s="592"/>
      <c r="G494" s="726"/>
      <c r="H494" s="189"/>
      <c r="I494" s="269"/>
      <c r="J494" s="269"/>
      <c r="K494" s="465"/>
      <c r="L494" s="465"/>
      <c r="M494" s="465"/>
      <c r="N494" s="465"/>
      <c r="O494" s="465"/>
      <c r="P494" s="465"/>
      <c r="Q494" s="541"/>
      <c r="R494" s="541"/>
      <c r="S494" s="541"/>
      <c r="T494" s="541"/>
      <c r="U494" s="541"/>
      <c r="V494" s="541"/>
      <c r="W494" s="541"/>
      <c r="X494" s="541"/>
      <c r="Y494" s="541"/>
      <c r="Z494" s="541"/>
    </row>
    <row r="495" spans="1:26" ht="18.75">
      <c r="A495" s="572"/>
      <c r="B495" s="584"/>
      <c r="C495" s="584"/>
      <c r="D495" s="584"/>
      <c r="E495" s="584"/>
      <c r="F495" s="592" t="s">
        <v>215</v>
      </c>
      <c r="G495" s="726"/>
      <c r="H495" s="589" t="s">
        <v>46</v>
      </c>
      <c r="I495" s="269">
        <f ca="1">IFERROR(__xludf.DUMMYFUNCTION("IMPORTRANGE(""https://docs.google.com/spreadsheets/d/1QqKyyYR6Q21VydFLVH3TRQUabQu_ym0Zz7PgGX0-kHA/edit?usp=sharing"",""แผน!FY16"")"),1170)</f>
        <v>1170</v>
      </c>
      <c r="J495" s="214">
        <v>0</v>
      </c>
      <c r="K495" s="465">
        <f ca="1">IF(I495&gt;0,J495*100/I495,0)</f>
        <v>0</v>
      </c>
      <c r="L495" s="465"/>
      <c r="M495" s="465"/>
      <c r="N495" s="465"/>
      <c r="O495" s="465"/>
      <c r="P495" s="465"/>
      <c r="Q495" s="541"/>
      <c r="R495" s="541"/>
      <c r="S495" s="541"/>
      <c r="T495" s="541"/>
      <c r="U495" s="541"/>
      <c r="V495" s="541"/>
      <c r="W495" s="541"/>
      <c r="X495" s="541"/>
      <c r="Y495" s="541"/>
      <c r="Z495" s="541"/>
    </row>
    <row r="496" spans="1:26" ht="18.75">
      <c r="A496" s="572"/>
      <c r="B496" s="584"/>
      <c r="C496" s="584"/>
      <c r="D496" s="584"/>
      <c r="E496" s="584"/>
      <c r="F496" s="592" t="s">
        <v>216</v>
      </c>
      <c r="G496" s="726"/>
      <c r="H496" s="589" t="s">
        <v>46</v>
      </c>
      <c r="I496" s="269"/>
      <c r="J496" s="214">
        <v>0</v>
      </c>
      <c r="K496" s="465"/>
      <c r="L496" s="465"/>
      <c r="M496" s="465"/>
      <c r="N496" s="465"/>
      <c r="O496" s="465"/>
      <c r="P496" s="465"/>
      <c r="Q496" s="541"/>
      <c r="R496" s="541"/>
      <c r="S496" s="541"/>
      <c r="T496" s="541"/>
      <c r="U496" s="541"/>
      <c r="V496" s="541"/>
      <c r="W496" s="541"/>
      <c r="X496" s="541"/>
      <c r="Y496" s="541"/>
      <c r="Z496" s="541"/>
    </row>
    <row r="497" spans="1:26" ht="18.75">
      <c r="A497" s="572"/>
      <c r="B497" s="584"/>
      <c r="C497" s="584"/>
      <c r="D497" s="584"/>
      <c r="E497" s="584" t="s">
        <v>62</v>
      </c>
      <c r="F497" s="592"/>
      <c r="G497" s="726"/>
      <c r="H497" s="189"/>
      <c r="I497" s="269"/>
      <c r="J497" s="269"/>
      <c r="K497" s="465"/>
      <c r="L497" s="465"/>
      <c r="M497" s="465"/>
      <c r="N497" s="465"/>
      <c r="O497" s="465"/>
      <c r="P497" s="465"/>
      <c r="Q497" s="541"/>
      <c r="R497" s="541"/>
      <c r="S497" s="541"/>
      <c r="T497" s="541"/>
      <c r="U497" s="541"/>
      <c r="V497" s="541"/>
      <c r="W497" s="541"/>
      <c r="X497" s="541"/>
      <c r="Y497" s="541"/>
      <c r="Z497" s="541"/>
    </row>
    <row r="498" spans="1:26" ht="18.75">
      <c r="A498" s="572"/>
      <c r="B498" s="584"/>
      <c r="C498" s="584"/>
      <c r="D498" s="584"/>
      <c r="E498" s="592"/>
      <c r="F498" s="592" t="s">
        <v>217</v>
      </c>
      <c r="G498" s="726"/>
      <c r="H498" s="589" t="s">
        <v>46</v>
      </c>
      <c r="I498" s="269">
        <f ca="1">IFERROR(__xludf.DUMMYFUNCTION("IMPORTRANGE(""https://docs.google.com/spreadsheets/d/1QqKyyYR6Q21VydFLVH3TRQUabQu_ym0Zz7PgGX0-kHA/edit?usp=sharing"",""แผน!GA16"")"),130)</f>
        <v>130</v>
      </c>
      <c r="J498" s="214">
        <v>0</v>
      </c>
      <c r="K498" s="465">
        <f ca="1">IF(I498&gt;0,J498*100/I498,0)</f>
        <v>0</v>
      </c>
      <c r="L498" s="465"/>
      <c r="M498" s="465"/>
      <c r="N498" s="465"/>
      <c r="O498" s="465"/>
      <c r="P498" s="465"/>
      <c r="Q498" s="541"/>
      <c r="R498" s="541"/>
      <c r="S498" s="541"/>
      <c r="T498" s="541"/>
      <c r="U498" s="541"/>
      <c r="V498" s="541"/>
      <c r="W498" s="541"/>
      <c r="X498" s="541"/>
      <c r="Y498" s="541"/>
      <c r="Z498" s="541"/>
    </row>
    <row r="499" spans="1:26" ht="18.75">
      <c r="A499" s="572"/>
      <c r="B499" s="584"/>
      <c r="C499" s="584"/>
      <c r="D499" s="584"/>
      <c r="E499" s="592"/>
      <c r="F499" s="592" t="s">
        <v>218</v>
      </c>
      <c r="G499" s="726"/>
      <c r="H499" s="589" t="s">
        <v>46</v>
      </c>
      <c r="I499" s="269"/>
      <c r="J499" s="214">
        <v>0</v>
      </c>
      <c r="K499" s="465"/>
      <c r="L499" s="465"/>
      <c r="M499" s="465"/>
      <c r="N499" s="465"/>
      <c r="O499" s="465"/>
      <c r="P499" s="465"/>
      <c r="Q499" s="541"/>
      <c r="R499" s="541"/>
      <c r="S499" s="541"/>
      <c r="T499" s="541"/>
      <c r="U499" s="541"/>
      <c r="V499" s="541"/>
      <c r="W499" s="541"/>
      <c r="X499" s="541"/>
      <c r="Y499" s="541"/>
      <c r="Z499" s="541"/>
    </row>
    <row r="500" spans="1:26" ht="19.5" hidden="1">
      <c r="A500" s="593">
        <v>4</v>
      </c>
      <c r="B500" s="594" t="s">
        <v>219</v>
      </c>
      <c r="C500" s="595"/>
      <c r="D500" s="596"/>
      <c r="E500" s="596"/>
      <c r="F500" s="596"/>
      <c r="G500" s="597"/>
      <c r="H500" s="598" t="s">
        <v>109</v>
      </c>
      <c r="I500" s="599"/>
      <c r="J500" s="599">
        <f t="shared" ref="J500:J501" si="213">J516</f>
        <v>0</v>
      </c>
      <c r="K500" s="600">
        <f t="shared" ref="K500:K501" si="214">IF(I500&gt;0,J500*100/I500,0)</f>
        <v>0</v>
      </c>
      <c r="L500" s="601"/>
      <c r="M500" s="601"/>
      <c r="N500" s="601"/>
      <c r="O500" s="601"/>
      <c r="P500" s="601"/>
      <c r="Q500" s="568"/>
      <c r="R500" s="568"/>
      <c r="S500" s="568"/>
      <c r="T500" s="568"/>
      <c r="U500" s="568"/>
      <c r="V500" s="568"/>
      <c r="W500" s="568"/>
      <c r="X500" s="568"/>
      <c r="Y500" s="568"/>
      <c r="Z500" s="568"/>
    </row>
    <row r="501" spans="1:26" ht="19.5" hidden="1">
      <c r="A501" s="602"/>
      <c r="B501" s="604" t="s">
        <v>220</v>
      </c>
      <c r="C501" s="604"/>
      <c r="D501" s="605"/>
      <c r="E501" s="605"/>
      <c r="F501" s="605"/>
      <c r="G501" s="606"/>
      <c r="H501" s="607" t="s">
        <v>35</v>
      </c>
      <c r="I501" s="608"/>
      <c r="J501" s="608">
        <f t="shared" si="213"/>
        <v>0</v>
      </c>
      <c r="K501" s="609">
        <f t="shared" si="214"/>
        <v>0</v>
      </c>
      <c r="L501" s="610"/>
      <c r="M501" s="610"/>
      <c r="N501" s="610"/>
      <c r="O501" s="610"/>
      <c r="P501" s="610"/>
      <c r="Q501" s="568"/>
      <c r="R501" s="568"/>
      <c r="S501" s="568"/>
      <c r="T501" s="568"/>
      <c r="U501" s="568"/>
      <c r="V501" s="568"/>
      <c r="W501" s="568"/>
      <c r="X501" s="568"/>
      <c r="Y501" s="568"/>
      <c r="Z501" s="568"/>
    </row>
    <row r="502" spans="1:26" ht="19.5" hidden="1">
      <c r="A502" s="563"/>
      <c r="B502" s="723"/>
      <c r="C502" s="723" t="s">
        <v>16</v>
      </c>
      <c r="D502" s="812" t="s">
        <v>17</v>
      </c>
      <c r="E502" s="805"/>
      <c r="F502" s="805"/>
      <c r="G502" s="567"/>
      <c r="H502" s="612" t="s">
        <v>12</v>
      </c>
      <c r="I502" s="583"/>
      <c r="J502" s="583"/>
      <c r="K502" s="93"/>
      <c r="L502" s="613">
        <f t="shared" ref="L502:N502" si="215">L503+L504</f>
        <v>0</v>
      </c>
      <c r="M502" s="613">
        <f t="shared" si="215"/>
        <v>0</v>
      </c>
      <c r="N502" s="613">
        <f t="shared" si="215"/>
        <v>0</v>
      </c>
      <c r="O502" s="613">
        <f t="shared" ref="O502:O507" si="216">IF(L502&gt;0,N502*100/L502,0)</f>
        <v>0</v>
      </c>
      <c r="P502" s="613">
        <f t="shared" ref="P502:P507" si="217">IF(M502&gt;0,N502*100/M502,0)</f>
        <v>0</v>
      </c>
      <c r="Q502" s="568"/>
      <c r="R502" s="568"/>
      <c r="S502" s="568"/>
      <c r="T502" s="568"/>
      <c r="U502" s="568"/>
      <c r="V502" s="568"/>
      <c r="W502" s="568"/>
      <c r="X502" s="568"/>
      <c r="Y502" s="568"/>
      <c r="Z502" s="568"/>
    </row>
    <row r="503" spans="1:26" ht="18.75" hidden="1">
      <c r="A503" s="563"/>
      <c r="B503" s="723"/>
      <c r="C503" s="723"/>
      <c r="D503" s="684"/>
      <c r="E503" s="723" t="s">
        <v>184</v>
      </c>
      <c r="F503" s="723"/>
      <c r="G503" s="567"/>
      <c r="H503" s="165" t="s">
        <v>12</v>
      </c>
      <c r="I503" s="583"/>
      <c r="J503" s="583"/>
      <c r="K503" s="93"/>
      <c r="L503" s="93">
        <f t="shared" ref="L503:N504" si="218">L506+L513</f>
        <v>0</v>
      </c>
      <c r="M503" s="93">
        <f t="shared" si="218"/>
        <v>0</v>
      </c>
      <c r="N503" s="93">
        <f t="shared" si="218"/>
        <v>0</v>
      </c>
      <c r="O503" s="93">
        <f t="shared" si="216"/>
        <v>0</v>
      </c>
      <c r="P503" s="93">
        <f t="shared" si="217"/>
        <v>0</v>
      </c>
      <c r="Q503" s="568"/>
      <c r="R503" s="568"/>
      <c r="S503" s="568"/>
      <c r="T503" s="568"/>
      <c r="U503" s="568"/>
      <c r="V503" s="568"/>
      <c r="W503" s="568"/>
      <c r="X503" s="568"/>
      <c r="Y503" s="568"/>
      <c r="Z503" s="568"/>
    </row>
    <row r="504" spans="1:26" ht="18.75" hidden="1">
      <c r="A504" s="563"/>
      <c r="B504" s="571"/>
      <c r="C504" s="723"/>
      <c r="D504" s="684"/>
      <c r="E504" s="723" t="s">
        <v>185</v>
      </c>
      <c r="F504" s="723"/>
      <c r="G504" s="567"/>
      <c r="H504" s="165" t="s">
        <v>12</v>
      </c>
      <c r="I504" s="583"/>
      <c r="J504" s="583"/>
      <c r="K504" s="93"/>
      <c r="L504" s="93">
        <f t="shared" si="218"/>
        <v>0</v>
      </c>
      <c r="M504" s="93">
        <f t="shared" si="218"/>
        <v>0</v>
      </c>
      <c r="N504" s="93">
        <f t="shared" si="218"/>
        <v>0</v>
      </c>
      <c r="O504" s="93">
        <f t="shared" si="216"/>
        <v>0</v>
      </c>
      <c r="P504" s="93">
        <f t="shared" si="217"/>
        <v>0</v>
      </c>
      <c r="Q504" s="568"/>
      <c r="R504" s="568"/>
      <c r="S504" s="568"/>
      <c r="T504" s="568"/>
      <c r="U504" s="568"/>
      <c r="V504" s="568"/>
      <c r="W504" s="568"/>
      <c r="X504" s="568"/>
      <c r="Y504" s="568"/>
      <c r="Z504" s="568"/>
    </row>
    <row r="505" spans="1:26" ht="18.75" hidden="1">
      <c r="A505" s="563"/>
      <c r="B505" s="571"/>
      <c r="C505" s="723"/>
      <c r="D505" s="614" t="s">
        <v>20</v>
      </c>
      <c r="E505" s="723"/>
      <c r="F505" s="723"/>
      <c r="G505" s="567"/>
      <c r="H505" s="165" t="s">
        <v>12</v>
      </c>
      <c r="I505" s="166"/>
      <c r="J505" s="166"/>
      <c r="K505" s="167"/>
      <c r="L505" s="93">
        <f t="shared" ref="L505:N505" si="219">L506+L507</f>
        <v>0</v>
      </c>
      <c r="M505" s="93">
        <f t="shared" si="219"/>
        <v>0</v>
      </c>
      <c r="N505" s="93">
        <f t="shared" si="219"/>
        <v>0</v>
      </c>
      <c r="O505" s="93">
        <f t="shared" si="216"/>
        <v>0</v>
      </c>
      <c r="P505" s="93">
        <f t="shared" si="217"/>
        <v>0</v>
      </c>
      <c r="Q505" s="568"/>
      <c r="R505" s="568"/>
      <c r="S505" s="568"/>
      <c r="T505" s="568"/>
      <c r="U505" s="568"/>
      <c r="V505" s="568"/>
      <c r="W505" s="568"/>
      <c r="X505" s="568"/>
      <c r="Y505" s="568"/>
      <c r="Z505" s="568"/>
    </row>
    <row r="506" spans="1:26" ht="18.75" hidden="1">
      <c r="A506" s="563"/>
      <c r="B506" s="571"/>
      <c r="C506" s="723"/>
      <c r="D506" s="684"/>
      <c r="E506" s="723" t="s">
        <v>184</v>
      </c>
      <c r="F506" s="723"/>
      <c r="G506" s="567"/>
      <c r="H506" s="165" t="s">
        <v>12</v>
      </c>
      <c r="I506" s="583"/>
      <c r="J506" s="583"/>
      <c r="K506" s="93"/>
      <c r="L506" s="93">
        <v>0</v>
      </c>
      <c r="M506" s="93">
        <v>0</v>
      </c>
      <c r="N506" s="93">
        <v>0</v>
      </c>
      <c r="O506" s="93">
        <f t="shared" si="216"/>
        <v>0</v>
      </c>
      <c r="P506" s="93">
        <f t="shared" si="217"/>
        <v>0</v>
      </c>
      <c r="Q506" s="568"/>
      <c r="R506" s="568"/>
      <c r="S506" s="568"/>
      <c r="T506" s="568"/>
      <c r="U506" s="568"/>
      <c r="V506" s="568"/>
      <c r="W506" s="568"/>
      <c r="X506" s="568"/>
      <c r="Y506" s="568"/>
      <c r="Z506" s="568"/>
    </row>
    <row r="507" spans="1:26" ht="18.75" hidden="1">
      <c r="A507" s="563"/>
      <c r="B507" s="571"/>
      <c r="C507" s="723"/>
      <c r="D507" s="684"/>
      <c r="E507" s="723" t="s">
        <v>185</v>
      </c>
      <c r="F507" s="723"/>
      <c r="G507" s="567"/>
      <c r="H507" s="165" t="s">
        <v>12</v>
      </c>
      <c r="I507" s="583"/>
      <c r="J507" s="583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6"/>
        <v>0</v>
      </c>
      <c r="P507" s="93">
        <f t="shared" si="217"/>
        <v>0</v>
      </c>
      <c r="Q507" s="568"/>
      <c r="R507" s="568"/>
      <c r="S507" s="568"/>
      <c r="T507" s="568"/>
      <c r="U507" s="568"/>
      <c r="V507" s="568"/>
      <c r="W507" s="568"/>
      <c r="X507" s="568"/>
      <c r="Y507" s="568"/>
      <c r="Z507" s="568"/>
    </row>
    <row r="508" spans="1:26" ht="18.75" hidden="1">
      <c r="A508" s="615"/>
      <c r="B508" s="571"/>
      <c r="C508" s="723"/>
      <c r="D508" s="723"/>
      <c r="E508" s="723"/>
      <c r="F508" s="723" t="s">
        <v>186</v>
      </c>
      <c r="G508" s="567"/>
      <c r="H508" s="165" t="s">
        <v>12</v>
      </c>
      <c r="I508" s="583"/>
      <c r="J508" s="583"/>
      <c r="K508" s="93"/>
      <c r="L508" s="93"/>
      <c r="M508" s="93"/>
      <c r="N508" s="93">
        <v>0</v>
      </c>
      <c r="O508" s="93"/>
      <c r="P508" s="93"/>
      <c r="Q508" s="568"/>
      <c r="R508" s="568"/>
      <c r="S508" s="568"/>
      <c r="T508" s="568"/>
      <c r="U508" s="568"/>
      <c r="V508" s="568"/>
      <c r="W508" s="568"/>
      <c r="X508" s="568"/>
      <c r="Y508" s="568"/>
      <c r="Z508" s="568"/>
    </row>
    <row r="509" spans="1:26" ht="18.75" hidden="1">
      <c r="A509" s="615"/>
      <c r="B509" s="571"/>
      <c r="C509" s="723"/>
      <c r="D509" s="723"/>
      <c r="E509" s="723"/>
      <c r="F509" s="723" t="s">
        <v>187</v>
      </c>
      <c r="G509" s="567"/>
      <c r="H509" s="165" t="s">
        <v>12</v>
      </c>
      <c r="I509" s="583"/>
      <c r="J509" s="583"/>
      <c r="K509" s="93"/>
      <c r="L509" s="93"/>
      <c r="M509" s="93"/>
      <c r="N509" s="93">
        <v>0</v>
      </c>
      <c r="O509" s="93"/>
      <c r="P509" s="93"/>
      <c r="Q509" s="568"/>
      <c r="R509" s="568"/>
      <c r="S509" s="568"/>
      <c r="T509" s="568"/>
      <c r="U509" s="568"/>
      <c r="V509" s="568"/>
      <c r="W509" s="568"/>
      <c r="X509" s="568"/>
      <c r="Y509" s="568"/>
      <c r="Z509" s="568"/>
    </row>
    <row r="510" spans="1:26" ht="18.75" hidden="1">
      <c r="A510" s="615"/>
      <c r="B510" s="571"/>
      <c r="C510" s="571"/>
      <c r="D510" s="571"/>
      <c r="E510" s="723"/>
      <c r="F510" s="723" t="s">
        <v>188</v>
      </c>
      <c r="G510" s="567"/>
      <c r="H510" s="165" t="s">
        <v>12</v>
      </c>
      <c r="I510" s="583"/>
      <c r="J510" s="583"/>
      <c r="K510" s="93"/>
      <c r="L510" s="93"/>
      <c r="M510" s="93"/>
      <c r="N510" s="93">
        <v>0</v>
      </c>
      <c r="O510" s="93"/>
      <c r="P510" s="93"/>
      <c r="Q510" s="568"/>
      <c r="R510" s="568"/>
      <c r="S510" s="568"/>
      <c r="T510" s="568"/>
      <c r="U510" s="568"/>
      <c r="V510" s="568"/>
      <c r="W510" s="568"/>
      <c r="X510" s="568"/>
      <c r="Y510" s="568"/>
      <c r="Z510" s="568"/>
    </row>
    <row r="511" spans="1:26" ht="18.75" hidden="1">
      <c r="A511" s="615"/>
      <c r="B511" s="571"/>
      <c r="C511" s="571"/>
      <c r="D511" s="571"/>
      <c r="E511" s="723"/>
      <c r="F511" s="723" t="s">
        <v>189</v>
      </c>
      <c r="G511" s="567"/>
      <c r="H511" s="165" t="s">
        <v>12</v>
      </c>
      <c r="I511" s="583"/>
      <c r="J511" s="583"/>
      <c r="K511" s="93"/>
      <c r="L511" s="93"/>
      <c r="M511" s="93"/>
      <c r="N511" s="93">
        <v>0</v>
      </c>
      <c r="O511" s="93"/>
      <c r="P511" s="93"/>
      <c r="Q511" s="568"/>
      <c r="R511" s="568"/>
      <c r="S511" s="568"/>
      <c r="T511" s="568"/>
      <c r="U511" s="568"/>
      <c r="V511" s="568"/>
      <c r="W511" s="568"/>
      <c r="X511" s="568"/>
      <c r="Y511" s="568"/>
      <c r="Z511" s="568"/>
    </row>
    <row r="512" spans="1:26" ht="18.75" hidden="1">
      <c r="A512" s="563"/>
      <c r="B512" s="571"/>
      <c r="C512" s="571"/>
      <c r="D512" s="614" t="s">
        <v>21</v>
      </c>
      <c r="E512" s="571"/>
      <c r="F512" s="723"/>
      <c r="G512" s="567"/>
      <c r="H512" s="169" t="s">
        <v>12</v>
      </c>
      <c r="I512" s="166"/>
      <c r="J512" s="166"/>
      <c r="K512" s="167"/>
      <c r="L512" s="93">
        <f t="shared" ref="L512:N512" si="220">L513+L514</f>
        <v>0</v>
      </c>
      <c r="M512" s="93">
        <f t="shared" si="220"/>
        <v>0</v>
      </c>
      <c r="N512" s="93">
        <f t="shared" si="220"/>
        <v>0</v>
      </c>
      <c r="O512" s="93">
        <f t="shared" ref="O512:O514" si="221">IF(L512&gt;0,N512*100/L512,0)</f>
        <v>0</v>
      </c>
      <c r="P512" s="93">
        <f t="shared" ref="P512:P514" si="222">IF(M512&gt;0,N512*100/M512,0)</f>
        <v>0</v>
      </c>
      <c r="Q512" s="568"/>
      <c r="R512" s="568"/>
      <c r="S512" s="568"/>
      <c r="T512" s="568"/>
      <c r="U512" s="568"/>
      <c r="V512" s="568"/>
      <c r="W512" s="568"/>
      <c r="X512" s="568"/>
      <c r="Y512" s="568"/>
      <c r="Z512" s="568"/>
    </row>
    <row r="513" spans="1:26" ht="18.75" hidden="1">
      <c r="A513" s="563"/>
      <c r="B513" s="571"/>
      <c r="C513" s="571"/>
      <c r="D513" s="571"/>
      <c r="E513" s="571" t="s">
        <v>18</v>
      </c>
      <c r="F513" s="723"/>
      <c r="G513" s="567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1"/>
        <v>0</v>
      </c>
      <c r="P513" s="93">
        <f t="shared" si="222"/>
        <v>0</v>
      </c>
      <c r="Q513" s="568"/>
      <c r="R513" s="568"/>
      <c r="S513" s="568"/>
      <c r="T513" s="568"/>
      <c r="U513" s="568"/>
      <c r="V513" s="568"/>
      <c r="W513" s="568"/>
      <c r="X513" s="568"/>
      <c r="Y513" s="568"/>
      <c r="Z513" s="568"/>
    </row>
    <row r="514" spans="1:26" ht="18.75" hidden="1">
      <c r="A514" s="563"/>
      <c r="B514" s="571"/>
      <c r="C514" s="571"/>
      <c r="D514" s="723"/>
      <c r="E514" s="571" t="s">
        <v>19</v>
      </c>
      <c r="F514" s="723"/>
      <c r="G514" s="567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1"/>
        <v>0</v>
      </c>
      <c r="P514" s="93">
        <f t="shared" si="222"/>
        <v>0</v>
      </c>
      <c r="Q514" s="568"/>
      <c r="R514" s="568"/>
      <c r="S514" s="568"/>
      <c r="T514" s="568"/>
      <c r="U514" s="568"/>
      <c r="V514" s="568"/>
      <c r="W514" s="568"/>
      <c r="X514" s="568"/>
      <c r="Y514" s="568"/>
      <c r="Z514" s="568"/>
    </row>
    <row r="515" spans="1:26" ht="19.5" hidden="1">
      <c r="A515" s="578"/>
      <c r="B515" s="580"/>
      <c r="C515" s="571" t="s">
        <v>16</v>
      </c>
      <c r="D515" s="852" t="s">
        <v>38</v>
      </c>
      <c r="E515" s="617"/>
      <c r="F515" s="617"/>
      <c r="G515" s="618"/>
      <c r="H515" s="581"/>
      <c r="I515" s="166"/>
      <c r="J515" s="166"/>
      <c r="K515" s="167"/>
      <c r="L515" s="167"/>
      <c r="M515" s="167"/>
      <c r="N515" s="167"/>
      <c r="O515" s="167"/>
      <c r="P515" s="167"/>
      <c r="Q515" s="568"/>
      <c r="R515" s="568"/>
      <c r="S515" s="568"/>
      <c r="T515" s="568"/>
      <c r="U515" s="568"/>
      <c r="V515" s="568"/>
      <c r="W515" s="568"/>
      <c r="X515" s="568"/>
      <c r="Y515" s="568"/>
      <c r="Z515" s="568"/>
    </row>
    <row r="516" spans="1:26" ht="18.75" hidden="1">
      <c r="A516" s="578"/>
      <c r="B516" s="580"/>
      <c r="C516" s="580"/>
      <c r="D516" s="580" t="s">
        <v>221</v>
      </c>
      <c r="E516" s="684"/>
      <c r="F516" s="684"/>
      <c r="G516" s="581"/>
      <c r="H516" s="619" t="s">
        <v>109</v>
      </c>
      <c r="I516" s="583"/>
      <c r="J516" s="583">
        <v>0</v>
      </c>
      <c r="K516" s="167">
        <f t="shared" ref="K516:K517" si="223">IF(I516&gt;0,J516*100/I516,0)</f>
        <v>0</v>
      </c>
      <c r="L516" s="167"/>
      <c r="M516" s="167"/>
      <c r="N516" s="167"/>
      <c r="O516" s="167"/>
      <c r="P516" s="167"/>
      <c r="Q516" s="568"/>
      <c r="R516" s="568"/>
      <c r="S516" s="568"/>
      <c r="T516" s="568"/>
      <c r="U516" s="568"/>
      <c r="V516" s="568"/>
      <c r="W516" s="568"/>
      <c r="X516" s="568"/>
      <c r="Y516" s="568"/>
      <c r="Z516" s="568"/>
    </row>
    <row r="517" spans="1:26" ht="19.5" hidden="1">
      <c r="A517" s="578"/>
      <c r="B517" s="580"/>
      <c r="C517" s="580"/>
      <c r="D517" s="580" t="s">
        <v>222</v>
      </c>
      <c r="E517" s="684"/>
      <c r="F517" s="684"/>
      <c r="G517" s="581"/>
      <c r="H517" s="620" t="s">
        <v>35</v>
      </c>
      <c r="I517" s="621"/>
      <c r="J517" s="621">
        <f>J518+J519</f>
        <v>0</v>
      </c>
      <c r="K517" s="622">
        <f t="shared" si="223"/>
        <v>0</v>
      </c>
      <c r="L517" s="167"/>
      <c r="M517" s="167"/>
      <c r="N517" s="167"/>
      <c r="O517" s="167"/>
      <c r="P517" s="167"/>
      <c r="Q517" s="568"/>
      <c r="R517" s="568"/>
      <c r="S517" s="568"/>
      <c r="T517" s="568"/>
      <c r="U517" s="568"/>
      <c r="V517" s="568"/>
      <c r="W517" s="568"/>
      <c r="X517" s="568"/>
      <c r="Y517" s="568"/>
      <c r="Z517" s="568"/>
    </row>
    <row r="518" spans="1:26" ht="18.75" hidden="1">
      <c r="A518" s="578"/>
      <c r="B518" s="580"/>
      <c r="C518" s="580"/>
      <c r="D518" s="580"/>
      <c r="E518" s="580" t="s">
        <v>223</v>
      </c>
      <c r="F518" s="684"/>
      <c r="G518" s="581"/>
      <c r="H518" s="582" t="s">
        <v>35</v>
      </c>
      <c r="I518" s="583"/>
      <c r="J518" s="583"/>
      <c r="K518" s="167"/>
      <c r="L518" s="167"/>
      <c r="M518" s="167"/>
      <c r="N518" s="167"/>
      <c r="O518" s="167"/>
      <c r="P518" s="167"/>
      <c r="Q518" s="568"/>
      <c r="R518" s="568"/>
      <c r="S518" s="568"/>
      <c r="T518" s="568"/>
      <c r="U518" s="568"/>
      <c r="V518" s="568"/>
      <c r="W518" s="568"/>
      <c r="X518" s="568"/>
      <c r="Y518" s="568"/>
      <c r="Z518" s="568"/>
    </row>
    <row r="519" spans="1:26" ht="18.75" hidden="1">
      <c r="A519" s="578"/>
      <c r="B519" s="580"/>
      <c r="C519" s="580"/>
      <c r="D519" s="580"/>
      <c r="E519" s="580" t="s">
        <v>224</v>
      </c>
      <c r="F519" s="684"/>
      <c r="G519" s="581"/>
      <c r="H519" s="619" t="s">
        <v>35</v>
      </c>
      <c r="I519" s="583"/>
      <c r="J519" s="583"/>
      <c r="K519" s="167"/>
      <c r="L519" s="167"/>
      <c r="M519" s="167"/>
      <c r="N519" s="167"/>
      <c r="O519" s="167"/>
      <c r="P519" s="167"/>
      <c r="Q519" s="568"/>
      <c r="R519" s="568"/>
      <c r="S519" s="568"/>
      <c r="T519" s="568"/>
      <c r="U519" s="568"/>
      <c r="V519" s="568"/>
      <c r="W519" s="568"/>
      <c r="X519" s="568"/>
      <c r="Y519" s="568"/>
      <c r="Z519" s="568"/>
    </row>
    <row r="520" spans="1:26" ht="19.5">
      <c r="A520" s="623" t="s">
        <v>137</v>
      </c>
      <c r="B520" s="624"/>
      <c r="C520" s="624"/>
      <c r="D520" s="625"/>
      <c r="E520" s="625"/>
      <c r="F520" s="625"/>
      <c r="G520" s="626"/>
      <c r="H520" s="627"/>
      <c r="I520" s="628"/>
      <c r="J520" s="628"/>
      <c r="K520" s="629"/>
      <c r="L520" s="629"/>
      <c r="M520" s="629"/>
      <c r="N520" s="629"/>
      <c r="O520" s="629"/>
      <c r="P520" s="629"/>
    </row>
    <row r="521" spans="1:26" ht="19.5" hidden="1">
      <c r="A521" s="630">
        <v>5</v>
      </c>
      <c r="B521" s="631" t="s">
        <v>225</v>
      </c>
      <c r="C521" s="632"/>
      <c r="D521" s="633"/>
      <c r="E521" s="633"/>
      <c r="F521" s="633"/>
      <c r="G521" s="633"/>
      <c r="H521" s="634"/>
      <c r="I521" s="635"/>
      <c r="J521" s="635"/>
      <c r="K521" s="636"/>
      <c r="L521" s="636"/>
      <c r="M521" s="636"/>
      <c r="N521" s="636"/>
      <c r="O521" s="636"/>
      <c r="P521" s="636"/>
      <c r="Q521" s="541"/>
      <c r="R521" s="541"/>
      <c r="S521" s="541"/>
      <c r="T521" s="541"/>
      <c r="U521" s="541"/>
      <c r="V521" s="541"/>
      <c r="W521" s="541"/>
      <c r="X521" s="541"/>
      <c r="Y521" s="541"/>
      <c r="Z521" s="541"/>
    </row>
    <row r="522" spans="1:26" ht="19.5" hidden="1">
      <c r="A522" s="637"/>
      <c r="B522" s="638" t="s">
        <v>226</v>
      </c>
      <c r="C522" s="639"/>
      <c r="D522" s="639"/>
      <c r="E522" s="639"/>
      <c r="F522" s="639"/>
      <c r="G522" s="640"/>
      <c r="H522" s="641" t="s">
        <v>35</v>
      </c>
      <c r="I522" s="672">
        <f t="shared" ref="I522:J522" ca="1" si="224">I537</f>
        <v>0</v>
      </c>
      <c r="J522" s="672">
        <f t="shared" ca="1" si="224"/>
        <v>0</v>
      </c>
      <c r="K522" s="643">
        <f ca="1">IF(I522&gt;0,J522*100/I522,0)</f>
        <v>0</v>
      </c>
      <c r="L522" s="644"/>
      <c r="M522" s="644"/>
      <c r="N522" s="644"/>
      <c r="O522" s="644"/>
      <c r="P522" s="644"/>
      <c r="Q522" s="541"/>
      <c r="R522" s="541"/>
      <c r="S522" s="541"/>
      <c r="T522" s="541"/>
      <c r="U522" s="541"/>
      <c r="V522" s="541"/>
      <c r="W522" s="541"/>
      <c r="X522" s="541"/>
      <c r="Y522" s="541"/>
      <c r="Z522" s="541"/>
    </row>
    <row r="523" spans="1:26" ht="19.5" hidden="1">
      <c r="A523" s="561"/>
      <c r="B523" s="727"/>
      <c r="C523" s="727" t="s">
        <v>16</v>
      </c>
      <c r="D523" s="811" t="s">
        <v>17</v>
      </c>
      <c r="E523" s="805"/>
      <c r="F523" s="805"/>
      <c r="G523" s="189"/>
      <c r="H523" s="562" t="s">
        <v>12</v>
      </c>
      <c r="I523" s="269"/>
      <c r="J523" s="269"/>
      <c r="K523" s="465"/>
      <c r="L523" s="195">
        <f t="shared" ref="L523:N523" ca="1" si="225">L524+L525</f>
        <v>0</v>
      </c>
      <c r="M523" s="195">
        <f t="shared" si="225"/>
        <v>0</v>
      </c>
      <c r="N523" s="195">
        <f t="shared" si="225"/>
        <v>0</v>
      </c>
      <c r="O523" s="195">
        <f t="shared" ref="O523:O528" ca="1" si="226">IF(L523&gt;0,N523*100/L523,0)</f>
        <v>0</v>
      </c>
      <c r="P523" s="195">
        <f t="shared" ref="P523:P528" si="227">IF(M523&gt;0,N523*100/M523,0)</f>
        <v>0</v>
      </c>
      <c r="Q523" s="541"/>
      <c r="R523" s="541"/>
      <c r="S523" s="541"/>
      <c r="T523" s="541"/>
      <c r="U523" s="541"/>
      <c r="V523" s="541"/>
      <c r="W523" s="541"/>
      <c r="X523" s="541"/>
      <c r="Y523" s="541"/>
      <c r="Z523" s="541"/>
    </row>
    <row r="524" spans="1:26" ht="18.75" hidden="1">
      <c r="A524" s="563"/>
      <c r="B524" s="723"/>
      <c r="C524" s="723"/>
      <c r="D524" s="684"/>
      <c r="E524" s="723" t="s">
        <v>184</v>
      </c>
      <c r="F524" s="723"/>
      <c r="G524" s="567"/>
      <c r="H524" s="165" t="s">
        <v>12</v>
      </c>
      <c r="I524" s="583"/>
      <c r="J524" s="583"/>
      <c r="K524" s="93"/>
      <c r="L524" s="93">
        <f t="shared" ref="L524:N525" si="228">L527+L534</f>
        <v>0</v>
      </c>
      <c r="M524" s="93">
        <f t="shared" si="228"/>
        <v>0</v>
      </c>
      <c r="N524" s="93">
        <f t="shared" si="228"/>
        <v>0</v>
      </c>
      <c r="O524" s="93">
        <f t="shared" si="226"/>
        <v>0</v>
      </c>
      <c r="P524" s="93">
        <f t="shared" si="227"/>
        <v>0</v>
      </c>
      <c r="Q524" s="568"/>
      <c r="R524" s="568"/>
      <c r="S524" s="568"/>
      <c r="T524" s="568"/>
      <c r="U524" s="568"/>
      <c r="V524" s="568"/>
      <c r="W524" s="568"/>
      <c r="X524" s="568"/>
      <c r="Y524" s="568"/>
      <c r="Z524" s="568"/>
    </row>
    <row r="525" spans="1:26" ht="18.75" hidden="1">
      <c r="A525" s="563"/>
      <c r="B525" s="571"/>
      <c r="C525" s="723"/>
      <c r="D525" s="684"/>
      <c r="E525" s="723" t="s">
        <v>185</v>
      </c>
      <c r="F525" s="723"/>
      <c r="G525" s="567"/>
      <c r="H525" s="165" t="s">
        <v>12</v>
      </c>
      <c r="I525" s="583"/>
      <c r="J525" s="583"/>
      <c r="K525" s="93"/>
      <c r="L525" s="93">
        <f t="shared" ca="1" si="228"/>
        <v>0</v>
      </c>
      <c r="M525" s="93">
        <f t="shared" si="228"/>
        <v>0</v>
      </c>
      <c r="N525" s="93">
        <f t="shared" si="228"/>
        <v>0</v>
      </c>
      <c r="O525" s="93">
        <f t="shared" ca="1" si="226"/>
        <v>0</v>
      </c>
      <c r="P525" s="93">
        <f t="shared" si="227"/>
        <v>0</v>
      </c>
      <c r="Q525" s="568"/>
      <c r="R525" s="568"/>
      <c r="S525" s="568"/>
      <c r="T525" s="568"/>
      <c r="U525" s="568"/>
      <c r="V525" s="568"/>
      <c r="W525" s="568"/>
      <c r="X525" s="568"/>
      <c r="Y525" s="568"/>
      <c r="Z525" s="568"/>
    </row>
    <row r="526" spans="1:26" ht="18.75" hidden="1">
      <c r="A526" s="561"/>
      <c r="B526" s="538"/>
      <c r="C526" s="727"/>
      <c r="D526" s="570" t="s">
        <v>20</v>
      </c>
      <c r="E526" s="727"/>
      <c r="F526" s="727"/>
      <c r="G526" s="189"/>
      <c r="H526" s="161" t="s">
        <v>12</v>
      </c>
      <c r="I526" s="184"/>
      <c r="J526" s="184"/>
      <c r="K526" s="163"/>
      <c r="L526" s="465">
        <f t="shared" ref="L526:N526" ca="1" si="229">L527+L528</f>
        <v>0</v>
      </c>
      <c r="M526" s="465">
        <f t="shared" si="229"/>
        <v>0</v>
      </c>
      <c r="N526" s="465">
        <f t="shared" si="229"/>
        <v>0</v>
      </c>
      <c r="O526" s="465">
        <f t="shared" ca="1" si="226"/>
        <v>0</v>
      </c>
      <c r="P526" s="465">
        <f t="shared" si="227"/>
        <v>0</v>
      </c>
      <c r="Q526" s="541"/>
      <c r="R526" s="541"/>
      <c r="S526" s="541"/>
      <c r="T526" s="541"/>
      <c r="U526" s="541"/>
      <c r="V526" s="541"/>
      <c r="W526" s="541"/>
      <c r="X526" s="541"/>
      <c r="Y526" s="541"/>
      <c r="Z526" s="541"/>
    </row>
    <row r="527" spans="1:26" ht="18.75" hidden="1">
      <c r="A527" s="563"/>
      <c r="B527" s="571"/>
      <c r="C527" s="723"/>
      <c r="D527" s="684"/>
      <c r="E527" s="723" t="s">
        <v>184</v>
      </c>
      <c r="F527" s="723"/>
      <c r="G527" s="567"/>
      <c r="H527" s="165" t="s">
        <v>12</v>
      </c>
      <c r="I527" s="583"/>
      <c r="J527" s="583"/>
      <c r="K527" s="93"/>
      <c r="L527" s="93">
        <v>0</v>
      </c>
      <c r="M527" s="93">
        <v>0</v>
      </c>
      <c r="N527" s="93">
        <v>0</v>
      </c>
      <c r="O527" s="93">
        <f t="shared" si="226"/>
        <v>0</v>
      </c>
      <c r="P527" s="93">
        <f t="shared" si="227"/>
        <v>0</v>
      </c>
      <c r="Q527" s="568"/>
      <c r="R527" s="568"/>
      <c r="S527" s="568"/>
      <c r="T527" s="568"/>
      <c r="U527" s="568"/>
      <c r="V527" s="568"/>
      <c r="W527" s="568"/>
      <c r="X527" s="568"/>
      <c r="Y527" s="568"/>
      <c r="Z527" s="568"/>
    </row>
    <row r="528" spans="1:26" ht="18.75" hidden="1">
      <c r="A528" s="563"/>
      <c r="B528" s="571"/>
      <c r="C528" s="723"/>
      <c r="D528" s="684"/>
      <c r="E528" s="723" t="s">
        <v>185</v>
      </c>
      <c r="F528" s="723"/>
      <c r="G528" s="567"/>
      <c r="H528" s="165" t="s">
        <v>12</v>
      </c>
      <c r="I528" s="583"/>
      <c r="J528" s="583"/>
      <c r="K528" s="93"/>
      <c r="L528" s="93">
        <f ca="1">IFERROR(__xludf.DUMMYFUNCTION("IMPORTRANGE(""https://docs.google.com/spreadsheets/d/1QqKyyYR6Q21VydFLVH3TRQUabQu_ym0Zz7PgGX0-kHA/edit?usp=sharing"",""แผน!GQ16"")"),0)</f>
        <v>0</v>
      </c>
      <c r="M528" s="93">
        <v>0</v>
      </c>
      <c r="N528" s="93">
        <f>N529+N530+N531+N532</f>
        <v>0</v>
      </c>
      <c r="O528" s="93">
        <f t="shared" ca="1" si="226"/>
        <v>0</v>
      </c>
      <c r="P528" s="93">
        <f t="shared" si="227"/>
        <v>0</v>
      </c>
      <c r="Q528" s="568"/>
      <c r="R528" s="568"/>
      <c r="S528" s="568"/>
      <c r="T528" s="568"/>
      <c r="U528" s="568"/>
      <c r="V528" s="568"/>
      <c r="W528" s="568"/>
      <c r="X528" s="568"/>
      <c r="Y528" s="568"/>
      <c r="Z528" s="568"/>
    </row>
    <row r="529" spans="1:26" ht="18.75" hidden="1">
      <c r="A529" s="537"/>
      <c r="B529" s="538"/>
      <c r="C529" s="727"/>
      <c r="D529" s="727"/>
      <c r="E529" s="727"/>
      <c r="F529" s="727" t="s">
        <v>186</v>
      </c>
      <c r="G529" s="189"/>
      <c r="H529" s="161" t="s">
        <v>12</v>
      </c>
      <c r="I529" s="269"/>
      <c r="J529" s="269"/>
      <c r="K529" s="465"/>
      <c r="L529" s="465"/>
      <c r="M529" s="465"/>
      <c r="N529" s="789">
        <v>0</v>
      </c>
      <c r="O529" s="465"/>
      <c r="P529" s="465"/>
      <c r="Q529" s="541"/>
      <c r="R529" s="541"/>
      <c r="S529" s="541"/>
      <c r="T529" s="541"/>
      <c r="U529" s="541"/>
      <c r="V529" s="541"/>
      <c r="W529" s="541"/>
      <c r="X529" s="541"/>
      <c r="Y529" s="541"/>
      <c r="Z529" s="541"/>
    </row>
    <row r="530" spans="1:26" ht="18.75" hidden="1">
      <c r="A530" s="537"/>
      <c r="B530" s="538"/>
      <c r="C530" s="727"/>
      <c r="D530" s="727"/>
      <c r="E530" s="727"/>
      <c r="F530" s="727" t="s">
        <v>187</v>
      </c>
      <c r="G530" s="189"/>
      <c r="H530" s="161" t="s">
        <v>12</v>
      </c>
      <c r="I530" s="269"/>
      <c r="J530" s="269"/>
      <c r="K530" s="465"/>
      <c r="L530" s="465"/>
      <c r="M530" s="465"/>
      <c r="N530" s="789">
        <v>0</v>
      </c>
      <c r="O530" s="465"/>
      <c r="P530" s="465"/>
      <c r="Q530" s="541"/>
      <c r="R530" s="541"/>
      <c r="S530" s="541"/>
      <c r="T530" s="541"/>
      <c r="U530" s="541"/>
      <c r="V530" s="541"/>
      <c r="W530" s="541"/>
      <c r="X530" s="541"/>
      <c r="Y530" s="541"/>
      <c r="Z530" s="541"/>
    </row>
    <row r="531" spans="1:26" ht="18.75" hidden="1">
      <c r="A531" s="537"/>
      <c r="B531" s="538"/>
      <c r="C531" s="727"/>
      <c r="D531" s="727"/>
      <c r="E531" s="727"/>
      <c r="F531" s="727" t="s">
        <v>188</v>
      </c>
      <c r="G531" s="189"/>
      <c r="H531" s="161" t="s">
        <v>12</v>
      </c>
      <c r="I531" s="269"/>
      <c r="J531" s="269"/>
      <c r="K531" s="465"/>
      <c r="L531" s="465"/>
      <c r="M531" s="465"/>
      <c r="N531" s="789">
        <v>0</v>
      </c>
      <c r="O531" s="465"/>
      <c r="P531" s="465"/>
      <c r="Q531" s="541"/>
      <c r="R531" s="541"/>
      <c r="S531" s="541"/>
      <c r="T531" s="541"/>
      <c r="U531" s="541"/>
      <c r="V531" s="541"/>
      <c r="W531" s="541"/>
      <c r="X531" s="541"/>
      <c r="Y531" s="541"/>
      <c r="Z531" s="541"/>
    </row>
    <row r="532" spans="1:26" ht="18.75" hidden="1">
      <c r="A532" s="537"/>
      <c r="B532" s="538"/>
      <c r="C532" s="727"/>
      <c r="D532" s="727"/>
      <c r="E532" s="727"/>
      <c r="F532" s="727" t="s">
        <v>189</v>
      </c>
      <c r="G532" s="189"/>
      <c r="H532" s="161" t="s">
        <v>12</v>
      </c>
      <c r="I532" s="269"/>
      <c r="J532" s="269"/>
      <c r="K532" s="465"/>
      <c r="L532" s="465"/>
      <c r="M532" s="465"/>
      <c r="N532" s="789">
        <v>0</v>
      </c>
      <c r="O532" s="465"/>
      <c r="P532" s="465"/>
      <c r="Q532" s="541"/>
      <c r="R532" s="541"/>
      <c r="S532" s="541"/>
      <c r="T532" s="541"/>
      <c r="U532" s="541"/>
      <c r="V532" s="541"/>
      <c r="W532" s="541"/>
      <c r="X532" s="541"/>
      <c r="Y532" s="541"/>
      <c r="Z532" s="541"/>
    </row>
    <row r="533" spans="1:26" ht="18.75" hidden="1">
      <c r="A533" s="561"/>
      <c r="B533" s="538"/>
      <c r="C533" s="727"/>
      <c r="D533" s="570" t="s">
        <v>21</v>
      </c>
      <c r="E533" s="727"/>
      <c r="F533" s="727"/>
      <c r="G533" s="189"/>
      <c r="H533" s="168" t="s">
        <v>12</v>
      </c>
      <c r="I533" s="184"/>
      <c r="J533" s="184"/>
      <c r="K533" s="163"/>
      <c r="L533" s="465">
        <f t="shared" ref="L533:N533" ca="1" si="230">L534+L535</f>
        <v>0</v>
      </c>
      <c r="M533" s="465">
        <f t="shared" si="230"/>
        <v>0</v>
      </c>
      <c r="N533" s="465">
        <f t="shared" si="230"/>
        <v>0</v>
      </c>
      <c r="O533" s="465">
        <f t="shared" ref="O533:O535" ca="1" si="231">IF(L533&gt;0,N533*100/L533,0)</f>
        <v>0</v>
      </c>
      <c r="P533" s="465">
        <f t="shared" ref="P533:P535" si="232">IF(M533&gt;0,N533*100/M533,0)</f>
        <v>0</v>
      </c>
      <c r="Q533" s="541"/>
      <c r="R533" s="541"/>
      <c r="S533" s="541"/>
      <c r="T533" s="541"/>
      <c r="U533" s="541"/>
      <c r="V533" s="541"/>
      <c r="W533" s="541"/>
      <c r="X533" s="541"/>
      <c r="Y533" s="541"/>
      <c r="Z533" s="541"/>
    </row>
    <row r="534" spans="1:26" ht="18.75" hidden="1">
      <c r="A534" s="563"/>
      <c r="B534" s="571"/>
      <c r="C534" s="723"/>
      <c r="D534" s="723"/>
      <c r="E534" s="723" t="s">
        <v>18</v>
      </c>
      <c r="F534" s="723"/>
      <c r="G534" s="567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1"/>
        <v>0</v>
      </c>
      <c r="P534" s="93">
        <f t="shared" si="232"/>
        <v>0</v>
      </c>
      <c r="Q534" s="568"/>
      <c r="R534" s="568"/>
      <c r="S534" s="568"/>
      <c r="T534" s="568"/>
      <c r="U534" s="568"/>
      <c r="V534" s="568"/>
      <c r="W534" s="568"/>
      <c r="X534" s="568"/>
      <c r="Y534" s="568"/>
      <c r="Z534" s="568"/>
    </row>
    <row r="535" spans="1:26" ht="18.75" hidden="1">
      <c r="A535" s="563"/>
      <c r="B535" s="571"/>
      <c r="C535" s="723"/>
      <c r="D535" s="723"/>
      <c r="E535" s="723" t="s">
        <v>19</v>
      </c>
      <c r="F535" s="723"/>
      <c r="G535" s="567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IFERROR(__xludf.DUMMYFUNCTION("IMPORTRANGE(""https://docs.google.com/spreadsheets/d/1QqKyyYR6Q21VydFLVH3TRQUabQu_ym0Zz7PgGX0-kHA/edit?usp=sharing"",""แผน!GT16"")"),0)</f>
        <v>0</v>
      </c>
      <c r="M535" s="93">
        <v>0</v>
      </c>
      <c r="N535" s="93">
        <v>0</v>
      </c>
      <c r="O535" s="93">
        <f t="shared" ca="1" si="231"/>
        <v>0</v>
      </c>
      <c r="P535" s="93">
        <f t="shared" si="232"/>
        <v>0</v>
      </c>
      <c r="Q535" s="568"/>
      <c r="R535" s="568"/>
      <c r="S535" s="568"/>
      <c r="T535" s="568"/>
      <c r="U535" s="568"/>
      <c r="V535" s="568"/>
      <c r="W535" s="568"/>
      <c r="X535" s="568"/>
      <c r="Y535" s="568"/>
      <c r="Z535" s="568"/>
    </row>
    <row r="536" spans="1:26" ht="19.5" hidden="1">
      <c r="A536" s="572"/>
      <c r="B536" s="584"/>
      <c r="C536" s="727" t="s">
        <v>16</v>
      </c>
      <c r="D536" s="853" t="s">
        <v>38</v>
      </c>
      <c r="E536" s="725"/>
      <c r="F536" s="725"/>
      <c r="G536" s="577"/>
      <c r="H536" s="726"/>
      <c r="I536" s="184"/>
      <c r="J536" s="184"/>
      <c r="K536" s="163"/>
      <c r="L536" s="163"/>
      <c r="M536" s="163"/>
      <c r="N536" s="163"/>
      <c r="O536" s="163"/>
      <c r="P536" s="163"/>
      <c r="Q536" s="541"/>
      <c r="R536" s="541"/>
      <c r="S536" s="541"/>
      <c r="T536" s="541"/>
      <c r="U536" s="541"/>
      <c r="V536" s="541"/>
      <c r="W536" s="541"/>
      <c r="X536" s="541"/>
      <c r="Y536" s="541"/>
      <c r="Z536" s="541"/>
    </row>
    <row r="537" spans="1:26" ht="19.5" hidden="1">
      <c r="A537" s="537"/>
      <c r="B537" s="538"/>
      <c r="C537" s="727"/>
      <c r="D537" s="727" t="s">
        <v>227</v>
      </c>
      <c r="E537" s="727"/>
      <c r="F537" s="727"/>
      <c r="G537" s="189"/>
      <c r="H537" s="589" t="s">
        <v>35</v>
      </c>
      <c r="I537" s="647">
        <f ca="1">IFERROR(__xludf.DUMMYFUNCTION("IMPORTRANGE(""https://docs.google.com/spreadsheets/d/1QqKyyYR6Q21VydFLVH3TRQUabQu_ym0Zz7PgGX0-kHA/edit?usp=sharing"",""แผน!GU16"")"),0)</f>
        <v>0</v>
      </c>
      <c r="J537" s="647">
        <f ca="1">IF(AND(J538=I538,J539=I539,J540=I540,J541=I541),I537,0)</f>
        <v>0</v>
      </c>
      <c r="K537" s="465">
        <f t="shared" ref="K537:K543" ca="1" si="233">IF(I537&gt;0,J537*100/I537,0)</f>
        <v>0</v>
      </c>
      <c r="L537" s="465"/>
      <c r="M537" s="465"/>
      <c r="N537" s="465"/>
      <c r="O537" s="465"/>
      <c r="P537" s="465"/>
      <c r="Q537" s="648"/>
      <c r="R537" s="648"/>
      <c r="S537" s="648"/>
      <c r="T537" s="648"/>
      <c r="U537" s="648"/>
      <c r="V537" s="648"/>
      <c r="W537" s="648"/>
      <c r="X537" s="648"/>
      <c r="Y537" s="648"/>
      <c r="Z537" s="648"/>
    </row>
    <row r="538" spans="1:26" ht="18.75" hidden="1">
      <c r="A538" s="537"/>
      <c r="B538" s="538"/>
      <c r="C538" s="727"/>
      <c r="D538" s="727"/>
      <c r="E538" s="727" t="s">
        <v>228</v>
      </c>
      <c r="F538" s="727"/>
      <c r="G538" s="189"/>
      <c r="H538" s="589" t="s">
        <v>35</v>
      </c>
      <c r="I538" s="269">
        <f ca="1">IFERROR(__xludf.DUMMYFUNCTION("IMPORTRANGE(""https://docs.google.com/spreadsheets/d/1QqKyyYR6Q21VydFLVH3TRQUabQu_ym0Zz7PgGX0-kHA/edit?usp=sharing"",""แผน!GV16"")"),0)</f>
        <v>0</v>
      </c>
      <c r="J538" s="214">
        <v>0</v>
      </c>
      <c r="K538" s="465">
        <f t="shared" ca="1" si="233"/>
        <v>0</v>
      </c>
      <c r="L538" s="465"/>
      <c r="M538" s="465"/>
      <c r="N538" s="465"/>
      <c r="O538" s="465"/>
      <c r="P538" s="465"/>
      <c r="Q538" s="648"/>
      <c r="R538" s="648"/>
      <c r="S538" s="648"/>
      <c r="T538" s="648"/>
      <c r="U538" s="648"/>
      <c r="V538" s="648"/>
      <c r="W538" s="648"/>
      <c r="X538" s="648"/>
      <c r="Y538" s="648"/>
      <c r="Z538" s="648"/>
    </row>
    <row r="539" spans="1:26" ht="18.75" hidden="1">
      <c r="A539" s="537"/>
      <c r="B539" s="538"/>
      <c r="C539" s="727"/>
      <c r="D539" s="727"/>
      <c r="E539" s="727" t="s">
        <v>229</v>
      </c>
      <c r="F539" s="727"/>
      <c r="G539" s="189"/>
      <c r="H539" s="589" t="s">
        <v>35</v>
      </c>
      <c r="I539" s="269">
        <f ca="1">IFERROR(__xludf.DUMMYFUNCTION("IMPORTRANGE(""https://docs.google.com/spreadsheets/d/1QqKyyYR6Q21VydFLVH3TRQUabQu_ym0Zz7PgGX0-kHA/edit?usp=sharing"",""แผน!GW16"")"),0)</f>
        <v>0</v>
      </c>
      <c r="J539" s="214">
        <v>0</v>
      </c>
      <c r="K539" s="465">
        <f t="shared" ca="1" si="233"/>
        <v>0</v>
      </c>
      <c r="L539" s="465"/>
      <c r="M539" s="465"/>
      <c r="N539" s="465"/>
      <c r="O539" s="465"/>
      <c r="P539" s="465"/>
      <c r="Q539" s="648"/>
      <c r="R539" s="648"/>
      <c r="S539" s="648"/>
      <c r="T539" s="648"/>
      <c r="U539" s="648"/>
      <c r="V539" s="648"/>
      <c r="W539" s="648"/>
      <c r="X539" s="648"/>
      <c r="Y539" s="648"/>
      <c r="Z539" s="648"/>
    </row>
    <row r="540" spans="1:26" ht="18.75" hidden="1">
      <c r="A540" s="537"/>
      <c r="B540" s="538"/>
      <c r="C540" s="727"/>
      <c r="D540" s="727"/>
      <c r="E540" s="727" t="s">
        <v>230</v>
      </c>
      <c r="F540" s="727"/>
      <c r="G540" s="189"/>
      <c r="H540" s="589" t="s">
        <v>35</v>
      </c>
      <c r="I540" s="269">
        <f ca="1">IFERROR(__xludf.DUMMYFUNCTION("IMPORTRANGE(""https://docs.google.com/spreadsheets/d/1QqKyyYR6Q21VydFLVH3TRQUabQu_ym0Zz7PgGX0-kHA/edit?usp=sharing"",""แผน!GX16"")"),0)</f>
        <v>0</v>
      </c>
      <c r="J540" s="214">
        <v>0</v>
      </c>
      <c r="K540" s="465">
        <f t="shared" ca="1" si="233"/>
        <v>0</v>
      </c>
      <c r="L540" s="465"/>
      <c r="M540" s="465"/>
      <c r="N540" s="465"/>
      <c r="O540" s="465"/>
      <c r="P540" s="465"/>
      <c r="Q540" s="648"/>
      <c r="R540" s="648"/>
      <c r="S540" s="648"/>
      <c r="T540" s="648"/>
      <c r="U540" s="648"/>
      <c r="V540" s="648"/>
      <c r="W540" s="648"/>
      <c r="X540" s="648"/>
      <c r="Y540" s="648"/>
      <c r="Z540" s="648"/>
    </row>
    <row r="541" spans="1:26" ht="18.75" hidden="1">
      <c r="A541" s="537"/>
      <c r="B541" s="538"/>
      <c r="C541" s="727"/>
      <c r="D541" s="727"/>
      <c r="E541" s="733" t="s">
        <v>231</v>
      </c>
      <c r="F541" s="727"/>
      <c r="G541" s="189"/>
      <c r="H541" s="589" t="s">
        <v>35</v>
      </c>
      <c r="I541" s="269">
        <f ca="1">IFERROR(__xludf.DUMMYFUNCTION("IMPORTRANGE(""https://docs.google.com/spreadsheets/d/1QqKyyYR6Q21VydFLVH3TRQUabQu_ym0Zz7PgGX0-kHA/edit?usp=sharing"",""แผน!GY16"")"),0)</f>
        <v>0</v>
      </c>
      <c r="J541" s="214">
        <v>0</v>
      </c>
      <c r="K541" s="465">
        <f t="shared" ca="1" si="233"/>
        <v>0</v>
      </c>
      <c r="L541" s="465"/>
      <c r="M541" s="465"/>
      <c r="N541" s="465"/>
      <c r="O541" s="465"/>
      <c r="P541" s="465"/>
      <c r="Q541" s="648"/>
      <c r="R541" s="648"/>
      <c r="S541" s="648"/>
      <c r="T541" s="648"/>
      <c r="U541" s="648"/>
      <c r="V541" s="648"/>
      <c r="W541" s="648"/>
      <c r="X541" s="648"/>
      <c r="Y541" s="648"/>
      <c r="Z541" s="648"/>
    </row>
    <row r="542" spans="1:26" ht="18.75" hidden="1">
      <c r="A542" s="537"/>
      <c r="B542" s="538"/>
      <c r="C542" s="727"/>
      <c r="D542" s="727" t="s">
        <v>59</v>
      </c>
      <c r="E542" s="727"/>
      <c r="F542" s="727"/>
      <c r="G542" s="189"/>
      <c r="H542" s="589" t="s">
        <v>35</v>
      </c>
      <c r="I542" s="269">
        <f ca="1">IFERROR(__xludf.DUMMYFUNCTION("IMPORTRANGE(""https://docs.google.com/spreadsheets/d/1QqKyyYR6Q21VydFLVH3TRQUabQu_ym0Zz7PgGX0-kHA/edit?usp=sharing"",""แผน!GZ16"")"),0)</f>
        <v>0</v>
      </c>
      <c r="J542" s="214">
        <v>0</v>
      </c>
      <c r="K542" s="465">
        <f t="shared" ca="1" si="233"/>
        <v>0</v>
      </c>
      <c r="L542" s="465"/>
      <c r="M542" s="465"/>
      <c r="N542" s="465"/>
      <c r="O542" s="465"/>
      <c r="P542" s="465"/>
      <c r="Q542" s="648"/>
      <c r="R542" s="648"/>
      <c r="S542" s="648"/>
      <c r="T542" s="648"/>
      <c r="U542" s="648"/>
      <c r="V542" s="648"/>
      <c r="W542" s="648"/>
      <c r="X542" s="648"/>
      <c r="Y542" s="648"/>
      <c r="Z542" s="648"/>
    </row>
    <row r="543" spans="1:26" ht="19.5">
      <c r="A543" s="630">
        <v>6</v>
      </c>
      <c r="B543" s="651" t="s">
        <v>232</v>
      </c>
      <c r="C543" s="633"/>
      <c r="D543" s="633"/>
      <c r="E543" s="633"/>
      <c r="F543" s="633"/>
      <c r="G543" s="634"/>
      <c r="H543" s="652" t="s">
        <v>46</v>
      </c>
      <c r="I543" s="653">
        <f t="shared" ref="I543:J543" ca="1" si="234">I559</f>
        <v>7071</v>
      </c>
      <c r="J543" s="653">
        <f t="shared" si="234"/>
        <v>0</v>
      </c>
      <c r="K543" s="654">
        <f t="shared" ca="1" si="233"/>
        <v>0</v>
      </c>
      <c r="L543" s="636"/>
      <c r="M543" s="636"/>
      <c r="N543" s="636"/>
      <c r="O543" s="636"/>
      <c r="P543" s="636"/>
      <c r="Q543" s="541"/>
      <c r="R543" s="541"/>
      <c r="S543" s="541"/>
      <c r="T543" s="541"/>
      <c r="U543" s="541"/>
      <c r="V543" s="541"/>
      <c r="W543" s="541"/>
      <c r="X543" s="541"/>
      <c r="Y543" s="541"/>
      <c r="Z543" s="541"/>
    </row>
    <row r="544" spans="1:26" ht="19.5">
      <c r="A544" s="655"/>
      <c r="B544" s="656"/>
      <c r="C544" s="656" t="s">
        <v>16</v>
      </c>
      <c r="D544" s="854" t="s">
        <v>17</v>
      </c>
      <c r="E544" s="810"/>
      <c r="F544" s="810"/>
      <c r="G544" s="657"/>
      <c r="H544" s="274" t="s">
        <v>12</v>
      </c>
      <c r="I544" s="388"/>
      <c r="J544" s="388"/>
      <c r="K544" s="154"/>
      <c r="L544" s="155">
        <f t="shared" ref="L544:N544" ca="1" si="235">L545+L546</f>
        <v>355427</v>
      </c>
      <c r="M544" s="155">
        <f t="shared" si="235"/>
        <v>0</v>
      </c>
      <c r="N544" s="155">
        <f t="shared" si="235"/>
        <v>0</v>
      </c>
      <c r="O544" s="155">
        <f t="shared" ref="O544:O549" ca="1" si="236">IF(L544&gt;0,N544*100/L544,0)</f>
        <v>0</v>
      </c>
      <c r="P544" s="155">
        <f t="shared" ref="P544:P549" si="237">IF(M544&gt;0,N544*100/M544,0)</f>
        <v>0</v>
      </c>
      <c r="Q544" s="541"/>
      <c r="R544" s="541"/>
      <c r="S544" s="541"/>
      <c r="T544" s="541"/>
      <c r="U544" s="541"/>
      <c r="V544" s="541"/>
      <c r="W544" s="541"/>
      <c r="X544" s="541"/>
      <c r="Y544" s="541"/>
      <c r="Z544" s="541"/>
    </row>
    <row r="545" spans="1:26" ht="18.75" hidden="1">
      <c r="A545" s="563"/>
      <c r="B545" s="723"/>
      <c r="C545" s="723"/>
      <c r="D545" s="723"/>
      <c r="E545" s="723" t="s">
        <v>184</v>
      </c>
      <c r="F545" s="723"/>
      <c r="G545" s="567"/>
      <c r="H545" s="165" t="s">
        <v>12</v>
      </c>
      <c r="I545" s="583"/>
      <c r="J545" s="583"/>
      <c r="K545" s="93"/>
      <c r="L545" s="93">
        <f t="shared" ref="L545:L546" si="238">L548+L556</f>
        <v>0</v>
      </c>
      <c r="M545" s="93">
        <f t="shared" ref="M545:N546" si="239">M548+M555</f>
        <v>0</v>
      </c>
      <c r="N545" s="93">
        <f t="shared" si="239"/>
        <v>0</v>
      </c>
      <c r="O545" s="93">
        <f t="shared" si="236"/>
        <v>0</v>
      </c>
      <c r="P545" s="93">
        <f t="shared" si="237"/>
        <v>0</v>
      </c>
      <c r="Q545" s="568"/>
      <c r="R545" s="568"/>
      <c r="S545" s="568"/>
      <c r="T545" s="568"/>
      <c r="U545" s="568"/>
      <c r="V545" s="568"/>
      <c r="W545" s="568"/>
      <c r="X545" s="568"/>
      <c r="Y545" s="568"/>
      <c r="Z545" s="568"/>
    </row>
    <row r="546" spans="1:26" ht="18.75" hidden="1">
      <c r="A546" s="563"/>
      <c r="B546" s="571"/>
      <c r="C546" s="723"/>
      <c r="D546" s="723"/>
      <c r="E546" s="723" t="s">
        <v>185</v>
      </c>
      <c r="F546" s="723"/>
      <c r="G546" s="567"/>
      <c r="H546" s="165" t="s">
        <v>12</v>
      </c>
      <c r="I546" s="583"/>
      <c r="J546" s="583"/>
      <c r="K546" s="93"/>
      <c r="L546" s="93">
        <f t="shared" ca="1" si="238"/>
        <v>355427</v>
      </c>
      <c r="M546" s="93">
        <f t="shared" si="239"/>
        <v>0</v>
      </c>
      <c r="N546" s="93">
        <f t="shared" si="239"/>
        <v>0</v>
      </c>
      <c r="O546" s="93">
        <f t="shared" ca="1" si="236"/>
        <v>0</v>
      </c>
      <c r="P546" s="93">
        <f t="shared" si="237"/>
        <v>0</v>
      </c>
      <c r="Q546" s="568"/>
      <c r="R546" s="568"/>
      <c r="S546" s="568"/>
      <c r="T546" s="568"/>
      <c r="U546" s="568"/>
      <c r="V546" s="568"/>
      <c r="W546" s="568"/>
      <c r="X546" s="568"/>
      <c r="Y546" s="568"/>
      <c r="Z546" s="568"/>
    </row>
    <row r="547" spans="1:26" ht="18.75">
      <c r="A547" s="561"/>
      <c r="B547" s="538"/>
      <c r="C547" s="727"/>
      <c r="D547" s="570" t="s">
        <v>20</v>
      </c>
      <c r="E547" s="727"/>
      <c r="F547" s="727"/>
      <c r="G547" s="189"/>
      <c r="H547" s="161" t="s">
        <v>12</v>
      </c>
      <c r="I547" s="184"/>
      <c r="J547" s="184"/>
      <c r="K547" s="163"/>
      <c r="L547" s="465">
        <f t="shared" ref="L547:N547" ca="1" si="240">L548+L549</f>
        <v>355427</v>
      </c>
      <c r="M547" s="465">
        <f t="shared" si="240"/>
        <v>0</v>
      </c>
      <c r="N547" s="465">
        <f t="shared" si="240"/>
        <v>0</v>
      </c>
      <c r="O547" s="465">
        <f t="shared" ca="1" si="236"/>
        <v>0</v>
      </c>
      <c r="P547" s="465">
        <f t="shared" si="237"/>
        <v>0</v>
      </c>
      <c r="Q547" s="541"/>
      <c r="R547" s="541"/>
      <c r="S547" s="541"/>
      <c r="T547" s="541"/>
      <c r="U547" s="541"/>
      <c r="V547" s="541"/>
      <c r="W547" s="541"/>
      <c r="X547" s="541"/>
      <c r="Y547" s="541"/>
      <c r="Z547" s="541"/>
    </row>
    <row r="548" spans="1:26" ht="18.75" hidden="1">
      <c r="A548" s="563"/>
      <c r="B548" s="571"/>
      <c r="C548" s="723"/>
      <c r="D548" s="684"/>
      <c r="E548" s="723" t="s">
        <v>184</v>
      </c>
      <c r="F548" s="723"/>
      <c r="G548" s="567"/>
      <c r="H548" s="165" t="s">
        <v>12</v>
      </c>
      <c r="I548" s="583"/>
      <c r="J548" s="583"/>
      <c r="K548" s="93"/>
      <c r="L548" s="93">
        <v>0</v>
      </c>
      <c r="M548" s="93">
        <v>0</v>
      </c>
      <c r="N548" s="93">
        <v>0</v>
      </c>
      <c r="O548" s="93">
        <f t="shared" si="236"/>
        <v>0</v>
      </c>
      <c r="P548" s="93">
        <f t="shared" si="237"/>
        <v>0</v>
      </c>
      <c r="Q548" s="568"/>
      <c r="R548" s="568"/>
      <c r="S548" s="568"/>
      <c r="T548" s="568"/>
      <c r="U548" s="568"/>
      <c r="V548" s="568"/>
      <c r="W548" s="568"/>
      <c r="X548" s="568"/>
      <c r="Y548" s="568"/>
      <c r="Z548" s="568"/>
    </row>
    <row r="549" spans="1:26" ht="18.75" hidden="1">
      <c r="A549" s="563"/>
      <c r="B549" s="571"/>
      <c r="C549" s="723"/>
      <c r="D549" s="684"/>
      <c r="E549" s="723" t="s">
        <v>185</v>
      </c>
      <c r="F549" s="723"/>
      <c r="G549" s="567"/>
      <c r="H549" s="165" t="s">
        <v>12</v>
      </c>
      <c r="I549" s="583"/>
      <c r="J549" s="583"/>
      <c r="K549" s="93"/>
      <c r="L549" s="93">
        <f ca="1">IFERROR(__xludf.DUMMYFUNCTION("IMPORTRANGE(""https://docs.google.com/spreadsheets/d/1QqKyyYR6Q21VydFLVH3TRQUabQu_ym0Zz7PgGX0-kHA/edit?usp=sharing"",""แผน!HB16"")"),355427)</f>
        <v>355427</v>
      </c>
      <c r="M549" s="93">
        <v>0</v>
      </c>
      <c r="N549" s="93">
        <f>N550+N551+N552+N553+N554</f>
        <v>0</v>
      </c>
      <c r="O549" s="93">
        <f t="shared" ca="1" si="236"/>
        <v>0</v>
      </c>
      <c r="P549" s="93">
        <f t="shared" si="237"/>
        <v>0</v>
      </c>
      <c r="Q549" s="568"/>
      <c r="R549" s="568"/>
      <c r="S549" s="568"/>
      <c r="T549" s="568"/>
      <c r="U549" s="568"/>
      <c r="V549" s="568"/>
      <c r="W549" s="568"/>
      <c r="X549" s="568"/>
      <c r="Y549" s="568"/>
      <c r="Z549" s="568"/>
    </row>
    <row r="550" spans="1:26" ht="18.75">
      <c r="A550" s="537"/>
      <c r="B550" s="538"/>
      <c r="C550" s="727"/>
      <c r="D550" s="727"/>
      <c r="E550" s="727"/>
      <c r="F550" s="727" t="s">
        <v>186</v>
      </c>
      <c r="G550" s="189"/>
      <c r="H550" s="161" t="s">
        <v>12</v>
      </c>
      <c r="I550" s="269"/>
      <c r="J550" s="269"/>
      <c r="K550" s="465"/>
      <c r="L550" s="465"/>
      <c r="M550" s="465"/>
      <c r="N550" s="789">
        <v>0</v>
      </c>
      <c r="O550" s="465"/>
      <c r="P550" s="465"/>
      <c r="Q550" s="541"/>
      <c r="R550" s="541"/>
      <c r="S550" s="541"/>
      <c r="T550" s="541"/>
      <c r="U550" s="541"/>
      <c r="V550" s="541"/>
      <c r="W550" s="541"/>
      <c r="X550" s="541"/>
      <c r="Y550" s="541"/>
      <c r="Z550" s="541"/>
    </row>
    <row r="551" spans="1:26" ht="18.75">
      <c r="A551" s="537"/>
      <c r="B551" s="538"/>
      <c r="C551" s="538"/>
      <c r="D551" s="538"/>
      <c r="E551" s="727"/>
      <c r="F551" s="727" t="s">
        <v>187</v>
      </c>
      <c r="G551" s="189"/>
      <c r="H551" s="161" t="s">
        <v>12</v>
      </c>
      <c r="I551" s="269"/>
      <c r="J551" s="269"/>
      <c r="K551" s="465"/>
      <c r="L551" s="465"/>
      <c r="M551" s="465"/>
      <c r="N551" s="789">
        <v>0</v>
      </c>
      <c r="O551" s="465"/>
      <c r="P551" s="465"/>
      <c r="Q551" s="541"/>
      <c r="R551" s="541"/>
      <c r="S551" s="541"/>
      <c r="T551" s="541"/>
      <c r="U551" s="541"/>
      <c r="V551" s="541"/>
      <c r="W551" s="541"/>
      <c r="X551" s="541"/>
      <c r="Y551" s="541"/>
      <c r="Z551" s="541"/>
    </row>
    <row r="552" spans="1:26" ht="18.75">
      <c r="A552" s="537"/>
      <c r="B552" s="538"/>
      <c r="C552" s="727"/>
      <c r="D552" s="727"/>
      <c r="E552" s="727"/>
      <c r="F552" s="727" t="s">
        <v>188</v>
      </c>
      <c r="G552" s="189"/>
      <c r="H552" s="161" t="s">
        <v>12</v>
      </c>
      <c r="I552" s="269"/>
      <c r="J552" s="269"/>
      <c r="K552" s="465"/>
      <c r="L552" s="465"/>
      <c r="M552" s="465"/>
      <c r="N552" s="789">
        <v>0</v>
      </c>
      <c r="O552" s="465"/>
      <c r="P552" s="465"/>
      <c r="Q552" s="541"/>
      <c r="R552" s="541"/>
      <c r="S552" s="541"/>
      <c r="T552" s="541"/>
      <c r="U552" s="541"/>
      <c r="V552" s="541"/>
      <c r="W552" s="541"/>
      <c r="X552" s="541"/>
      <c r="Y552" s="541"/>
      <c r="Z552" s="541"/>
    </row>
    <row r="553" spans="1:26" ht="18.75">
      <c r="A553" s="537"/>
      <c r="B553" s="538"/>
      <c r="C553" s="538"/>
      <c r="D553" s="538"/>
      <c r="E553" s="727"/>
      <c r="F553" s="727" t="s">
        <v>189</v>
      </c>
      <c r="G553" s="189"/>
      <c r="H553" s="161" t="s">
        <v>12</v>
      </c>
      <c r="I553" s="269"/>
      <c r="J553" s="269"/>
      <c r="K553" s="465"/>
      <c r="L553" s="465"/>
      <c r="M553" s="465"/>
      <c r="N553" s="789">
        <v>0</v>
      </c>
      <c r="O553" s="465"/>
      <c r="P553" s="465"/>
      <c r="Q553" s="541"/>
      <c r="R553" s="541"/>
      <c r="S553" s="541"/>
      <c r="T553" s="541"/>
      <c r="U553" s="541"/>
      <c r="V553" s="541"/>
      <c r="W553" s="541"/>
      <c r="X553" s="541"/>
      <c r="Y553" s="541"/>
      <c r="Z553" s="541"/>
    </row>
    <row r="554" spans="1:26" ht="18.75">
      <c r="A554" s="537"/>
      <c r="B554" s="538"/>
      <c r="C554" s="538"/>
      <c r="D554" s="538"/>
      <c r="E554" s="727"/>
      <c r="F554" s="727" t="s">
        <v>233</v>
      </c>
      <c r="G554" s="189"/>
      <c r="H554" s="161" t="s">
        <v>12</v>
      </c>
      <c r="I554" s="269"/>
      <c r="J554" s="269"/>
      <c r="K554" s="465"/>
      <c r="L554" s="465"/>
      <c r="M554" s="465"/>
      <c r="N554" s="789">
        <v>0</v>
      </c>
      <c r="O554" s="465"/>
      <c r="P554" s="465"/>
      <c r="Q554" s="541"/>
      <c r="R554" s="541"/>
      <c r="S554" s="541"/>
      <c r="T554" s="541"/>
      <c r="U554" s="541"/>
      <c r="V554" s="541"/>
      <c r="W554" s="541"/>
      <c r="X554" s="541"/>
      <c r="Y554" s="541"/>
      <c r="Z554" s="541"/>
    </row>
    <row r="555" spans="1:26" ht="18.75">
      <c r="A555" s="561"/>
      <c r="B555" s="538"/>
      <c r="C555" s="538"/>
      <c r="D555" s="570" t="s">
        <v>21</v>
      </c>
      <c r="E555" s="727"/>
      <c r="F555" s="727"/>
      <c r="G555" s="189"/>
      <c r="H555" s="168" t="s">
        <v>12</v>
      </c>
      <c r="I555" s="184"/>
      <c r="J555" s="184"/>
      <c r="K555" s="163"/>
      <c r="L555" s="465">
        <f t="shared" ref="L555:N555" ca="1" si="241">L556+L557</f>
        <v>0</v>
      </c>
      <c r="M555" s="465">
        <f t="shared" si="241"/>
        <v>0</v>
      </c>
      <c r="N555" s="465">
        <f t="shared" si="241"/>
        <v>0</v>
      </c>
      <c r="O555" s="465">
        <f t="shared" ref="O555:O557" ca="1" si="242">IF(L555&gt;0,N555*100/L555,0)</f>
        <v>0</v>
      </c>
      <c r="P555" s="465">
        <f t="shared" ref="P555:P557" si="243">IF(M555&gt;0,N555*100/M555,0)</f>
        <v>0</v>
      </c>
      <c r="Q555" s="541"/>
      <c r="R555" s="541"/>
      <c r="S555" s="541"/>
      <c r="T555" s="541"/>
      <c r="U555" s="541"/>
      <c r="V555" s="541"/>
      <c r="W555" s="541"/>
      <c r="X555" s="541"/>
      <c r="Y555" s="541"/>
      <c r="Z555" s="541"/>
    </row>
    <row r="556" spans="1:26" ht="18.75" hidden="1">
      <c r="A556" s="563"/>
      <c r="B556" s="571"/>
      <c r="C556" s="571"/>
      <c r="D556" s="723"/>
      <c r="E556" s="723" t="s">
        <v>18</v>
      </c>
      <c r="F556" s="723"/>
      <c r="G556" s="567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2"/>
        <v>0</v>
      </c>
      <c r="P556" s="93">
        <f t="shared" si="243"/>
        <v>0</v>
      </c>
      <c r="Q556" s="568"/>
      <c r="R556" s="568"/>
      <c r="S556" s="568"/>
      <c r="T556" s="568"/>
      <c r="U556" s="568"/>
      <c r="V556" s="568"/>
      <c r="W556" s="568"/>
      <c r="X556" s="568"/>
      <c r="Y556" s="568"/>
      <c r="Z556" s="568"/>
    </row>
    <row r="557" spans="1:26" ht="18.75" hidden="1">
      <c r="A557" s="563"/>
      <c r="B557" s="571"/>
      <c r="C557" s="571"/>
      <c r="D557" s="723"/>
      <c r="E557" s="723" t="s">
        <v>19</v>
      </c>
      <c r="F557" s="723"/>
      <c r="G557" s="567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IFERROR(__xludf.DUMMYFUNCTION("IMPORTRANGE(""https://docs.google.com/spreadsheets/d/1QqKyyYR6Q21VydFLVH3TRQUabQu_ym0Zz7PgGX0-kHA/edit?usp=sharing"",""แผน!HF16"")"),0)</f>
        <v>0</v>
      </c>
      <c r="M557" s="93">
        <v>0</v>
      </c>
      <c r="N557" s="93">
        <v>0</v>
      </c>
      <c r="O557" s="93">
        <f t="shared" ca="1" si="242"/>
        <v>0</v>
      </c>
      <c r="P557" s="93">
        <f t="shared" si="243"/>
        <v>0</v>
      </c>
      <c r="Q557" s="568"/>
      <c r="R557" s="568"/>
      <c r="S557" s="568"/>
      <c r="T557" s="568"/>
      <c r="U557" s="568"/>
      <c r="V557" s="568"/>
      <c r="W557" s="568"/>
      <c r="X557" s="568"/>
      <c r="Y557" s="568"/>
      <c r="Z557" s="568"/>
    </row>
    <row r="558" spans="1:26" ht="19.5">
      <c r="A558" s="572"/>
      <c r="B558" s="584"/>
      <c r="C558" s="538" t="s">
        <v>16</v>
      </c>
      <c r="D558" s="853" t="s">
        <v>38</v>
      </c>
      <c r="E558" s="725"/>
      <c r="F558" s="725"/>
      <c r="G558" s="577"/>
      <c r="H558" s="726"/>
      <c r="I558" s="184"/>
      <c r="J558" s="184"/>
      <c r="K558" s="163"/>
      <c r="L558" s="163"/>
      <c r="M558" s="163"/>
      <c r="N558" s="163"/>
      <c r="O558" s="163"/>
      <c r="P558" s="163"/>
      <c r="Q558" s="541"/>
      <c r="R558" s="541"/>
      <c r="S558" s="541"/>
      <c r="T558" s="541"/>
      <c r="U558" s="541"/>
      <c r="V558" s="541"/>
      <c r="W558" s="541"/>
      <c r="X558" s="541"/>
      <c r="Y558" s="541"/>
      <c r="Z558" s="541"/>
    </row>
    <row r="559" spans="1:26" ht="19.5">
      <c r="A559" s="658"/>
      <c r="B559" s="659" t="s">
        <v>234</v>
      </c>
      <c r="C559" s="660"/>
      <c r="D559" s="660"/>
      <c r="E559" s="639"/>
      <c r="F559" s="639"/>
      <c r="G559" s="640"/>
      <c r="H559" s="661" t="s">
        <v>46</v>
      </c>
      <c r="I559" s="672">
        <f t="shared" ref="I559:J559" ca="1" si="244">I576</f>
        <v>7071</v>
      </c>
      <c r="J559" s="672">
        <f t="shared" si="244"/>
        <v>0</v>
      </c>
      <c r="K559" s="643">
        <f t="shared" ref="K559:K561" ca="1" si="245">IF(I559&gt;0,J559*100/I559,0)</f>
        <v>0</v>
      </c>
      <c r="L559" s="644"/>
      <c r="M559" s="644"/>
      <c r="N559" s="644"/>
      <c r="O559" s="644"/>
      <c r="P559" s="644"/>
      <c r="Q559" s="541"/>
      <c r="R559" s="541"/>
      <c r="S559" s="541"/>
      <c r="T559" s="541"/>
      <c r="U559" s="541"/>
      <c r="V559" s="541"/>
      <c r="W559" s="541"/>
      <c r="X559" s="541"/>
      <c r="Y559" s="541"/>
      <c r="Z559" s="541"/>
    </row>
    <row r="560" spans="1:26" ht="19.5">
      <c r="A560" s="572"/>
      <c r="B560" s="584"/>
      <c r="C560" s="591" t="s">
        <v>235</v>
      </c>
      <c r="D560" s="584"/>
      <c r="E560" s="592"/>
      <c r="F560" s="592"/>
      <c r="G560" s="726"/>
      <c r="H560" s="731" t="s">
        <v>46</v>
      </c>
      <c r="I560" s="193">
        <f ca="1">IFERROR(__xludf.DUMMYFUNCTION("IMPORTRANGE(""https://docs.google.com/spreadsheets/d/1QqKyyYR6Q21VydFLVH3TRQUabQu_ym0Zz7PgGX0-kHA/edit?usp=sharing"",""แผน!HH16"")"),7071)</f>
        <v>7071</v>
      </c>
      <c r="J560" s="193">
        <f t="shared" ref="J560:J561" si="246">J562+J564+J566</f>
        <v>0</v>
      </c>
      <c r="K560" s="379">
        <f t="shared" ca="1" si="245"/>
        <v>0</v>
      </c>
      <c r="L560" s="163"/>
      <c r="M560" s="163"/>
      <c r="N560" s="163"/>
      <c r="O560" s="163"/>
      <c r="P560" s="163"/>
      <c r="Q560" s="541"/>
      <c r="R560" s="541"/>
      <c r="S560" s="541"/>
      <c r="T560" s="541"/>
      <c r="U560" s="541"/>
      <c r="V560" s="541"/>
      <c r="W560" s="541"/>
      <c r="X560" s="541"/>
      <c r="Y560" s="541"/>
      <c r="Z560" s="541"/>
    </row>
    <row r="561" spans="1:26" ht="19.5">
      <c r="A561" s="572"/>
      <c r="B561" s="584"/>
      <c r="C561" s="584"/>
      <c r="D561" s="592"/>
      <c r="E561" s="592"/>
      <c r="F561" s="592"/>
      <c r="G561" s="726"/>
      <c r="H561" s="731" t="s">
        <v>34</v>
      </c>
      <c r="I561" s="193">
        <f ca="1">IFERROR(__xludf.DUMMYFUNCTION("IMPORTRANGE(""https://docs.google.com/spreadsheets/d/1QqKyyYR6Q21VydFLVH3TRQUabQu_ym0Zz7PgGX0-kHA/edit?usp=sharing"",""แผน!HG16"")"),1982)</f>
        <v>1982</v>
      </c>
      <c r="J561" s="193">
        <f t="shared" si="246"/>
        <v>0</v>
      </c>
      <c r="K561" s="379">
        <f t="shared" ca="1" si="245"/>
        <v>0</v>
      </c>
      <c r="L561" s="163"/>
      <c r="M561" s="163"/>
      <c r="N561" s="163"/>
      <c r="O561" s="163"/>
      <c r="P561" s="163"/>
      <c r="Q561" s="541"/>
      <c r="R561" s="541"/>
      <c r="S561" s="541"/>
      <c r="T561" s="541"/>
      <c r="U561" s="541"/>
      <c r="V561" s="541"/>
      <c r="W561" s="541"/>
      <c r="X561" s="541"/>
      <c r="Y561" s="541"/>
      <c r="Z561" s="541"/>
    </row>
    <row r="562" spans="1:26" ht="18.75">
      <c r="A562" s="572"/>
      <c r="B562" s="584"/>
      <c r="C562" s="584"/>
      <c r="D562" s="592" t="s">
        <v>236</v>
      </c>
      <c r="E562" s="592"/>
      <c r="F562" s="592"/>
      <c r="G562" s="726"/>
      <c r="H562" s="728" t="s">
        <v>46</v>
      </c>
      <c r="I562" s="184"/>
      <c r="J562" s="214">
        <v>0</v>
      </c>
      <c r="K562" s="163"/>
      <c r="L562" s="163"/>
      <c r="M562" s="163"/>
      <c r="N562" s="163"/>
      <c r="O562" s="163"/>
      <c r="P562" s="163"/>
      <c r="Q562" s="541"/>
      <c r="R562" s="541"/>
      <c r="S562" s="541"/>
      <c r="T562" s="541"/>
      <c r="U562" s="541"/>
      <c r="V562" s="541"/>
      <c r="W562" s="541"/>
      <c r="X562" s="541"/>
      <c r="Y562" s="541"/>
      <c r="Z562" s="541"/>
    </row>
    <row r="563" spans="1:26" ht="18.75">
      <c r="A563" s="572"/>
      <c r="B563" s="584"/>
      <c r="C563" s="584"/>
      <c r="D563" s="584"/>
      <c r="E563" s="592"/>
      <c r="F563" s="592"/>
      <c r="G563" s="726"/>
      <c r="H563" s="728" t="s">
        <v>34</v>
      </c>
      <c r="I563" s="184"/>
      <c r="J563" s="214">
        <v>0</v>
      </c>
      <c r="K563" s="163"/>
      <c r="L563" s="163"/>
      <c r="M563" s="163"/>
      <c r="N563" s="163"/>
      <c r="O563" s="163"/>
      <c r="P563" s="163"/>
      <c r="Q563" s="541"/>
      <c r="R563" s="541"/>
      <c r="S563" s="541"/>
      <c r="T563" s="541"/>
      <c r="U563" s="541"/>
      <c r="V563" s="541"/>
      <c r="W563" s="541"/>
      <c r="X563" s="541"/>
      <c r="Y563" s="541"/>
      <c r="Z563" s="541"/>
    </row>
    <row r="564" spans="1:26" ht="18.75">
      <c r="A564" s="572"/>
      <c r="B564" s="584"/>
      <c r="C564" s="584"/>
      <c r="D564" s="592" t="s">
        <v>237</v>
      </c>
      <c r="E564" s="592"/>
      <c r="F564" s="592"/>
      <c r="G564" s="726"/>
      <c r="H564" s="728" t="s">
        <v>46</v>
      </c>
      <c r="I564" s="184"/>
      <c r="J564" s="214">
        <v>0</v>
      </c>
      <c r="K564" s="163"/>
      <c r="L564" s="163"/>
      <c r="M564" s="163"/>
      <c r="N564" s="163"/>
      <c r="O564" s="163"/>
      <c r="P564" s="163"/>
      <c r="Q564" s="541"/>
      <c r="R564" s="541"/>
      <c r="S564" s="541"/>
      <c r="T564" s="541"/>
      <c r="U564" s="541"/>
      <c r="V564" s="541"/>
      <c r="W564" s="541"/>
      <c r="X564" s="541"/>
      <c r="Y564" s="541"/>
      <c r="Z564" s="541"/>
    </row>
    <row r="565" spans="1:26" ht="18.75">
      <c r="A565" s="572"/>
      <c r="B565" s="584"/>
      <c r="C565" s="584"/>
      <c r="D565" s="592"/>
      <c r="E565" s="592"/>
      <c r="F565" s="592"/>
      <c r="G565" s="726"/>
      <c r="H565" s="728" t="s">
        <v>34</v>
      </c>
      <c r="I565" s="184"/>
      <c r="J565" s="214">
        <v>0</v>
      </c>
      <c r="K565" s="163"/>
      <c r="L565" s="163"/>
      <c r="M565" s="163"/>
      <c r="N565" s="163"/>
      <c r="O565" s="163"/>
      <c r="P565" s="163"/>
      <c r="Q565" s="541"/>
      <c r="R565" s="541"/>
      <c r="S565" s="541"/>
      <c r="T565" s="541"/>
      <c r="U565" s="541"/>
      <c r="V565" s="541"/>
      <c r="W565" s="541"/>
      <c r="X565" s="541"/>
      <c r="Y565" s="541"/>
      <c r="Z565" s="541"/>
    </row>
    <row r="566" spans="1:26" ht="18.75">
      <c r="A566" s="572"/>
      <c r="B566" s="584"/>
      <c r="C566" s="584"/>
      <c r="D566" s="592" t="s">
        <v>238</v>
      </c>
      <c r="E566" s="592"/>
      <c r="F566" s="592"/>
      <c r="G566" s="726"/>
      <c r="H566" s="728" t="s">
        <v>46</v>
      </c>
      <c r="I566" s="184"/>
      <c r="J566" s="214">
        <v>0</v>
      </c>
      <c r="K566" s="163"/>
      <c r="L566" s="163"/>
      <c r="M566" s="163"/>
      <c r="N566" s="163"/>
      <c r="O566" s="163"/>
      <c r="P566" s="163"/>
      <c r="Q566" s="541"/>
      <c r="R566" s="541"/>
      <c r="S566" s="541"/>
      <c r="T566" s="541"/>
      <c r="U566" s="541"/>
      <c r="V566" s="541"/>
      <c r="W566" s="541"/>
      <c r="X566" s="541"/>
      <c r="Y566" s="541"/>
      <c r="Z566" s="541"/>
    </row>
    <row r="567" spans="1:26" ht="18.75">
      <c r="A567" s="572"/>
      <c r="B567" s="584"/>
      <c r="C567" s="584"/>
      <c r="D567" s="592"/>
      <c r="E567" s="592"/>
      <c r="F567" s="592"/>
      <c r="G567" s="726"/>
      <c r="H567" s="728" t="s">
        <v>34</v>
      </c>
      <c r="I567" s="184"/>
      <c r="J567" s="214">
        <v>0</v>
      </c>
      <c r="K567" s="163"/>
      <c r="L567" s="163"/>
      <c r="M567" s="163"/>
      <c r="N567" s="163"/>
      <c r="O567" s="163"/>
      <c r="P567" s="163"/>
      <c r="Q567" s="541"/>
      <c r="R567" s="541"/>
      <c r="S567" s="541"/>
      <c r="T567" s="541"/>
      <c r="U567" s="541"/>
      <c r="V567" s="541"/>
      <c r="W567" s="541"/>
      <c r="X567" s="541"/>
      <c r="Y567" s="541"/>
      <c r="Z567" s="541"/>
    </row>
    <row r="568" spans="1:26" ht="19.5">
      <c r="A568" s="572"/>
      <c r="B568" s="584"/>
      <c r="C568" s="591" t="s">
        <v>239</v>
      </c>
      <c r="D568" s="592"/>
      <c r="E568" s="592"/>
      <c r="F568" s="592"/>
      <c r="G568" s="726"/>
      <c r="H568" s="731" t="s">
        <v>46</v>
      </c>
      <c r="I568" s="193">
        <f ca="1">IFERROR(__xludf.DUMMYFUNCTION("IMPORTRANGE(""https://docs.google.com/spreadsheets/d/1QqKyyYR6Q21VydFLVH3TRQUabQu_ym0Zz7PgGX0-kHA/edit?usp=sharing"",""แผน!HH16"")"),7071)</f>
        <v>7071</v>
      </c>
      <c r="J568" s="647">
        <f t="shared" ref="J568:J569" si="247">J570+J572+J574</f>
        <v>0</v>
      </c>
      <c r="K568" s="379">
        <f t="shared" ref="K568:K569" ca="1" si="248">IF(I568&gt;0,J568*100/I568,0)</f>
        <v>0</v>
      </c>
      <c r="L568" s="163"/>
      <c r="M568" s="163"/>
      <c r="N568" s="163"/>
      <c r="O568" s="163"/>
      <c r="P568" s="163"/>
      <c r="Q568" s="541"/>
      <c r="R568" s="541"/>
      <c r="S568" s="541"/>
      <c r="T568" s="541"/>
      <c r="U568" s="541"/>
      <c r="V568" s="541"/>
      <c r="W568" s="541"/>
      <c r="X568" s="541"/>
      <c r="Y568" s="541"/>
      <c r="Z568" s="541"/>
    </row>
    <row r="569" spans="1:26" ht="19.5">
      <c r="A569" s="572"/>
      <c r="B569" s="584"/>
      <c r="C569" s="584"/>
      <c r="D569" s="584"/>
      <c r="E569" s="592"/>
      <c r="F569" s="592"/>
      <c r="G569" s="726"/>
      <c r="H569" s="731" t="s">
        <v>34</v>
      </c>
      <c r="I569" s="193">
        <f ca="1">IFERROR(__xludf.DUMMYFUNCTION("IMPORTRANGE(""https://docs.google.com/spreadsheets/d/1QqKyyYR6Q21VydFLVH3TRQUabQu_ym0Zz7PgGX0-kHA/edit?usp=sharing"",""แผน!HG16"")"),1982)</f>
        <v>1982</v>
      </c>
      <c r="J569" s="647">
        <f t="shared" si="247"/>
        <v>0</v>
      </c>
      <c r="K569" s="379">
        <f t="shared" ca="1" si="248"/>
        <v>0</v>
      </c>
      <c r="L569" s="163"/>
      <c r="M569" s="163"/>
      <c r="N569" s="163"/>
      <c r="O569" s="163"/>
      <c r="P569" s="163"/>
      <c r="Q569" s="541"/>
      <c r="R569" s="541"/>
      <c r="S569" s="541"/>
      <c r="T569" s="541"/>
      <c r="U569" s="541"/>
      <c r="V569" s="541"/>
      <c r="W569" s="541"/>
      <c r="X569" s="541"/>
      <c r="Y569" s="541"/>
      <c r="Z569" s="541"/>
    </row>
    <row r="570" spans="1:26" ht="18.75">
      <c r="A570" s="572"/>
      <c r="B570" s="584"/>
      <c r="C570" s="584"/>
      <c r="D570" s="592" t="s">
        <v>240</v>
      </c>
      <c r="E570" s="584"/>
      <c r="F570" s="592"/>
      <c r="G570" s="726"/>
      <c r="H570" s="728" t="s">
        <v>46</v>
      </c>
      <c r="I570" s="184"/>
      <c r="J570" s="214">
        <v>0</v>
      </c>
      <c r="K570" s="163"/>
      <c r="L570" s="163"/>
      <c r="M570" s="163"/>
      <c r="N570" s="163"/>
      <c r="O570" s="163"/>
      <c r="P570" s="163"/>
      <c r="Q570" s="541"/>
      <c r="R570" s="541"/>
      <c r="S570" s="541"/>
      <c r="T570" s="541"/>
      <c r="U570" s="541"/>
      <c r="V570" s="541"/>
      <c r="W570" s="541"/>
      <c r="X570" s="541"/>
      <c r="Y570" s="541"/>
      <c r="Z570" s="541"/>
    </row>
    <row r="571" spans="1:26" ht="18.75">
      <c r="A571" s="572"/>
      <c r="B571" s="584"/>
      <c r="C571" s="584"/>
      <c r="D571" s="584"/>
      <c r="E571" s="592"/>
      <c r="F571" s="592"/>
      <c r="G571" s="726"/>
      <c r="H571" s="728" t="s">
        <v>34</v>
      </c>
      <c r="I571" s="184"/>
      <c r="J571" s="214">
        <v>0</v>
      </c>
      <c r="K571" s="163"/>
      <c r="L571" s="163"/>
      <c r="M571" s="163"/>
      <c r="N571" s="163"/>
      <c r="O571" s="163"/>
      <c r="P571" s="163"/>
      <c r="Q571" s="541"/>
      <c r="R571" s="541"/>
      <c r="S571" s="541"/>
      <c r="T571" s="541"/>
      <c r="U571" s="541"/>
      <c r="V571" s="541"/>
      <c r="W571" s="541"/>
      <c r="X571" s="541"/>
      <c r="Y571" s="541"/>
      <c r="Z571" s="541"/>
    </row>
    <row r="572" spans="1:26" ht="18.75">
      <c r="A572" s="572"/>
      <c r="B572" s="584"/>
      <c r="C572" s="584"/>
      <c r="D572" s="592" t="s">
        <v>241</v>
      </c>
      <c r="E572" s="592"/>
      <c r="F572" s="592"/>
      <c r="G572" s="726"/>
      <c r="H572" s="728" t="s">
        <v>46</v>
      </c>
      <c r="I572" s="184"/>
      <c r="J572" s="214">
        <v>0</v>
      </c>
      <c r="K572" s="163"/>
      <c r="L572" s="163"/>
      <c r="M572" s="163"/>
      <c r="N572" s="163"/>
      <c r="O572" s="163"/>
      <c r="P572" s="163"/>
      <c r="Q572" s="541"/>
      <c r="R572" s="541"/>
      <c r="S572" s="541"/>
      <c r="T572" s="541"/>
      <c r="U572" s="541"/>
      <c r="V572" s="541"/>
      <c r="W572" s="541"/>
      <c r="X572" s="541"/>
      <c r="Y572" s="541"/>
      <c r="Z572" s="541"/>
    </row>
    <row r="573" spans="1:26" ht="18.75">
      <c r="A573" s="572"/>
      <c r="B573" s="584"/>
      <c r="C573" s="584"/>
      <c r="D573" s="592"/>
      <c r="E573" s="592"/>
      <c r="F573" s="592"/>
      <c r="G573" s="726"/>
      <c r="H573" s="728" t="s">
        <v>34</v>
      </c>
      <c r="I573" s="184"/>
      <c r="J573" s="214">
        <v>0</v>
      </c>
      <c r="K573" s="163"/>
      <c r="L573" s="163"/>
      <c r="M573" s="163"/>
      <c r="N573" s="163"/>
      <c r="O573" s="163"/>
      <c r="P573" s="163"/>
      <c r="Q573" s="541"/>
      <c r="R573" s="541"/>
      <c r="S573" s="541"/>
      <c r="T573" s="541"/>
      <c r="U573" s="541"/>
      <c r="V573" s="541"/>
      <c r="W573" s="541"/>
      <c r="X573" s="541"/>
      <c r="Y573" s="541"/>
      <c r="Z573" s="541"/>
    </row>
    <row r="574" spans="1:26" ht="18.75">
      <c r="A574" s="572"/>
      <c r="B574" s="584"/>
      <c r="C574" s="584"/>
      <c r="D574" s="592" t="s">
        <v>242</v>
      </c>
      <c r="E574" s="592"/>
      <c r="F574" s="592"/>
      <c r="G574" s="726"/>
      <c r="H574" s="728" t="s">
        <v>46</v>
      </c>
      <c r="I574" s="184"/>
      <c r="J574" s="214">
        <v>0</v>
      </c>
      <c r="K574" s="163"/>
      <c r="L574" s="163"/>
      <c r="M574" s="163"/>
      <c r="N574" s="163"/>
      <c r="O574" s="163"/>
      <c r="P574" s="163"/>
      <c r="Q574" s="541"/>
      <c r="R574" s="541"/>
      <c r="S574" s="541"/>
      <c r="T574" s="541"/>
      <c r="U574" s="541"/>
      <c r="V574" s="541"/>
      <c r="W574" s="541"/>
      <c r="X574" s="541"/>
      <c r="Y574" s="541"/>
      <c r="Z574" s="541"/>
    </row>
    <row r="575" spans="1:26" ht="18.75">
      <c r="A575" s="572"/>
      <c r="B575" s="584"/>
      <c r="C575" s="584"/>
      <c r="D575" s="584"/>
      <c r="E575" s="592"/>
      <c r="F575" s="592"/>
      <c r="G575" s="726"/>
      <c r="H575" s="728" t="s">
        <v>34</v>
      </c>
      <c r="I575" s="184"/>
      <c r="J575" s="214">
        <v>0</v>
      </c>
      <c r="K575" s="163"/>
      <c r="L575" s="163"/>
      <c r="M575" s="163"/>
      <c r="N575" s="163"/>
      <c r="O575" s="163"/>
      <c r="P575" s="163"/>
      <c r="Q575" s="541"/>
      <c r="R575" s="541"/>
      <c r="S575" s="541"/>
      <c r="T575" s="541"/>
      <c r="U575" s="541"/>
      <c r="V575" s="541"/>
      <c r="W575" s="541"/>
      <c r="X575" s="541"/>
      <c r="Y575" s="541"/>
      <c r="Z575" s="541"/>
    </row>
    <row r="576" spans="1:26" ht="19.5">
      <c r="A576" s="572"/>
      <c r="B576" s="584"/>
      <c r="C576" s="591" t="s">
        <v>243</v>
      </c>
      <c r="D576" s="584"/>
      <c r="E576" s="584"/>
      <c r="F576" s="592"/>
      <c r="G576" s="726"/>
      <c r="H576" s="731" t="s">
        <v>46</v>
      </c>
      <c r="I576" s="193">
        <f ca="1">IFERROR(__xludf.DUMMYFUNCTION("IMPORTRANGE(""https://docs.google.com/spreadsheets/d/1QqKyyYR6Q21VydFLVH3TRQUabQu_ym0Zz7PgGX0-kHA/edit?usp=sharing"",""แผน!HH16"")"),7071)</f>
        <v>7071</v>
      </c>
      <c r="J576" s="647">
        <f t="shared" ref="J576:J577" si="249">J578+J580+J582+J588+J590</f>
        <v>0</v>
      </c>
      <c r="K576" s="379">
        <f t="shared" ref="K576:K577" ca="1" si="250">IF(I576&gt;0,J576*100/I576,0)</f>
        <v>0</v>
      </c>
      <c r="L576" s="163"/>
      <c r="M576" s="163"/>
      <c r="N576" s="163"/>
      <c r="O576" s="163"/>
      <c r="P576" s="163"/>
      <c r="Q576" s="541"/>
      <c r="R576" s="541"/>
      <c r="S576" s="541"/>
      <c r="T576" s="541"/>
      <c r="U576" s="541"/>
      <c r="V576" s="541"/>
      <c r="W576" s="541"/>
      <c r="X576" s="541"/>
      <c r="Y576" s="541"/>
      <c r="Z576" s="541"/>
    </row>
    <row r="577" spans="1:26" ht="19.5">
      <c r="A577" s="572"/>
      <c r="B577" s="584"/>
      <c r="C577" s="584"/>
      <c r="D577" s="584"/>
      <c r="E577" s="592"/>
      <c r="F577" s="592"/>
      <c r="G577" s="726"/>
      <c r="H577" s="731" t="s">
        <v>34</v>
      </c>
      <c r="I577" s="193">
        <f ca="1">IFERROR(__xludf.DUMMYFUNCTION("IMPORTRANGE(""https://docs.google.com/spreadsheets/d/1QqKyyYR6Q21VydFLVH3TRQUabQu_ym0Zz7PgGX0-kHA/edit?usp=sharing"",""แผน!HG16"")"),1982)</f>
        <v>1982</v>
      </c>
      <c r="J577" s="647">
        <f t="shared" si="249"/>
        <v>0</v>
      </c>
      <c r="K577" s="379">
        <f t="shared" ca="1" si="250"/>
        <v>0</v>
      </c>
      <c r="L577" s="163"/>
      <c r="M577" s="163"/>
      <c r="N577" s="163"/>
      <c r="O577" s="163"/>
      <c r="P577" s="163"/>
      <c r="Q577" s="541"/>
      <c r="R577" s="541"/>
      <c r="S577" s="541"/>
      <c r="T577" s="541"/>
      <c r="U577" s="541"/>
      <c r="V577" s="541"/>
      <c r="W577" s="541"/>
      <c r="X577" s="541"/>
      <c r="Y577" s="541"/>
      <c r="Z577" s="541"/>
    </row>
    <row r="578" spans="1:26" ht="18.75">
      <c r="A578" s="572"/>
      <c r="B578" s="584"/>
      <c r="C578" s="584"/>
      <c r="D578" s="592" t="s">
        <v>244</v>
      </c>
      <c r="E578" s="592"/>
      <c r="F578" s="592"/>
      <c r="G578" s="726"/>
      <c r="H578" s="728" t="s">
        <v>46</v>
      </c>
      <c r="I578" s="184"/>
      <c r="J578" s="214">
        <v>0</v>
      </c>
      <c r="K578" s="163"/>
      <c r="L578" s="163"/>
      <c r="M578" s="163"/>
      <c r="N578" s="163"/>
      <c r="O578" s="163"/>
      <c r="P578" s="163"/>
      <c r="Q578" s="541"/>
      <c r="R578" s="541"/>
      <c r="S578" s="541"/>
      <c r="T578" s="541"/>
      <c r="U578" s="541"/>
      <c r="V578" s="541"/>
      <c r="W578" s="541"/>
      <c r="X578" s="541"/>
      <c r="Y578" s="541"/>
      <c r="Z578" s="541"/>
    </row>
    <row r="579" spans="1:26" ht="18.75">
      <c r="A579" s="572"/>
      <c r="B579" s="584"/>
      <c r="C579" s="584"/>
      <c r="D579" s="584"/>
      <c r="E579" s="592"/>
      <c r="F579" s="592"/>
      <c r="G579" s="726"/>
      <c r="H579" s="728" t="s">
        <v>34</v>
      </c>
      <c r="I579" s="184"/>
      <c r="J579" s="214">
        <v>0</v>
      </c>
      <c r="K579" s="163"/>
      <c r="L579" s="163"/>
      <c r="M579" s="163"/>
      <c r="N579" s="163"/>
      <c r="O579" s="163"/>
      <c r="P579" s="163"/>
      <c r="Q579" s="541"/>
      <c r="R579" s="541"/>
      <c r="S579" s="541"/>
      <c r="T579" s="541"/>
      <c r="U579" s="541"/>
      <c r="V579" s="541"/>
      <c r="W579" s="541"/>
      <c r="X579" s="541"/>
      <c r="Y579" s="541"/>
      <c r="Z579" s="541"/>
    </row>
    <row r="580" spans="1:26" ht="18.75">
      <c r="A580" s="572"/>
      <c r="B580" s="584"/>
      <c r="C580" s="584"/>
      <c r="D580" s="592" t="s">
        <v>245</v>
      </c>
      <c r="E580" s="592"/>
      <c r="F580" s="592"/>
      <c r="G580" s="726"/>
      <c r="H580" s="728" t="s">
        <v>46</v>
      </c>
      <c r="I580" s="184"/>
      <c r="J580" s="214">
        <v>0</v>
      </c>
      <c r="K580" s="163"/>
      <c r="L580" s="163"/>
      <c r="M580" s="163"/>
      <c r="N580" s="163"/>
      <c r="O580" s="163"/>
      <c r="P580" s="163"/>
      <c r="Q580" s="541"/>
      <c r="R580" s="541"/>
      <c r="S580" s="541"/>
      <c r="T580" s="541"/>
      <c r="U580" s="541"/>
      <c r="V580" s="541"/>
      <c r="W580" s="541"/>
      <c r="X580" s="541"/>
      <c r="Y580" s="541"/>
      <c r="Z580" s="541"/>
    </row>
    <row r="581" spans="1:26" ht="18.75">
      <c r="A581" s="572"/>
      <c r="B581" s="584"/>
      <c r="C581" s="584"/>
      <c r="D581" s="584"/>
      <c r="E581" s="592"/>
      <c r="F581" s="592"/>
      <c r="G581" s="726"/>
      <c r="H581" s="728" t="s">
        <v>34</v>
      </c>
      <c r="I581" s="184"/>
      <c r="J581" s="214">
        <v>0</v>
      </c>
      <c r="K581" s="163"/>
      <c r="L581" s="163"/>
      <c r="M581" s="163"/>
      <c r="N581" s="163"/>
      <c r="O581" s="163"/>
      <c r="P581" s="163"/>
      <c r="Q581" s="541"/>
      <c r="R581" s="541"/>
      <c r="S581" s="541"/>
      <c r="T581" s="541"/>
      <c r="U581" s="541"/>
      <c r="V581" s="541"/>
      <c r="W581" s="541"/>
      <c r="X581" s="541"/>
      <c r="Y581" s="541"/>
      <c r="Z581" s="541"/>
    </row>
    <row r="582" spans="1:26" ht="19.5">
      <c r="A582" s="572"/>
      <c r="B582" s="584"/>
      <c r="C582" s="584"/>
      <c r="D582" s="592" t="s">
        <v>246</v>
      </c>
      <c r="E582" s="592"/>
      <c r="F582" s="592"/>
      <c r="G582" s="726"/>
      <c r="H582" s="728" t="s">
        <v>46</v>
      </c>
      <c r="I582" s="184"/>
      <c r="J582" s="647">
        <f t="shared" ref="J582:J583" si="251">J584+J586</f>
        <v>0</v>
      </c>
      <c r="K582" s="379"/>
      <c r="L582" s="163"/>
      <c r="M582" s="163"/>
      <c r="N582" s="163"/>
      <c r="O582" s="163"/>
      <c r="P582" s="163"/>
      <c r="Q582" s="541"/>
      <c r="R582" s="541"/>
      <c r="S582" s="541"/>
      <c r="T582" s="541"/>
      <c r="U582" s="541"/>
      <c r="V582" s="541"/>
      <c r="W582" s="541"/>
      <c r="X582" s="541"/>
      <c r="Y582" s="541"/>
      <c r="Z582" s="541"/>
    </row>
    <row r="583" spans="1:26" ht="19.5">
      <c r="A583" s="572"/>
      <c r="B583" s="584"/>
      <c r="C583" s="584"/>
      <c r="D583" s="584"/>
      <c r="E583" s="592"/>
      <c r="F583" s="592"/>
      <c r="G583" s="726"/>
      <c r="H583" s="728" t="s">
        <v>34</v>
      </c>
      <c r="I583" s="184"/>
      <c r="J583" s="647">
        <f t="shared" si="251"/>
        <v>0</v>
      </c>
      <c r="K583" s="379"/>
      <c r="L583" s="163"/>
      <c r="M583" s="163"/>
      <c r="N583" s="163"/>
      <c r="O583" s="163"/>
      <c r="P583" s="163"/>
      <c r="Q583" s="541"/>
      <c r="R583" s="541"/>
      <c r="S583" s="541"/>
      <c r="T583" s="541"/>
      <c r="U583" s="541"/>
      <c r="V583" s="541"/>
      <c r="W583" s="541"/>
      <c r="X583" s="541"/>
      <c r="Y583" s="541"/>
      <c r="Z583" s="541"/>
    </row>
    <row r="584" spans="1:26" ht="18.75">
      <c r="A584" s="572"/>
      <c r="B584" s="584"/>
      <c r="C584" s="584"/>
      <c r="D584" s="584"/>
      <c r="E584" s="592" t="s">
        <v>247</v>
      </c>
      <c r="F584" s="592"/>
      <c r="G584" s="726"/>
      <c r="H584" s="728" t="s">
        <v>46</v>
      </c>
      <c r="I584" s="184"/>
      <c r="J584" s="214">
        <v>0</v>
      </c>
      <c r="K584" s="163"/>
      <c r="L584" s="163"/>
      <c r="M584" s="163"/>
      <c r="N584" s="163"/>
      <c r="O584" s="163"/>
      <c r="P584" s="163"/>
      <c r="Q584" s="541"/>
      <c r="R584" s="541"/>
      <c r="S584" s="541"/>
      <c r="T584" s="541"/>
      <c r="U584" s="541"/>
      <c r="V584" s="541"/>
      <c r="W584" s="541"/>
      <c r="X584" s="541"/>
      <c r="Y584" s="541"/>
      <c r="Z584" s="541"/>
    </row>
    <row r="585" spans="1:26" ht="18.75">
      <c r="A585" s="572"/>
      <c r="B585" s="584"/>
      <c r="C585" s="584"/>
      <c r="D585" s="584"/>
      <c r="E585" s="592"/>
      <c r="F585" s="592"/>
      <c r="G585" s="726"/>
      <c r="H585" s="728" t="s">
        <v>34</v>
      </c>
      <c r="I585" s="184"/>
      <c r="J585" s="214">
        <v>0</v>
      </c>
      <c r="K585" s="163"/>
      <c r="L585" s="163"/>
      <c r="M585" s="163"/>
      <c r="N585" s="163"/>
      <c r="O585" s="163"/>
      <c r="P585" s="163"/>
      <c r="Q585" s="541"/>
      <c r="R585" s="541"/>
      <c r="S585" s="541"/>
      <c r="T585" s="541"/>
      <c r="U585" s="541"/>
      <c r="V585" s="541"/>
      <c r="W585" s="541"/>
      <c r="X585" s="541"/>
      <c r="Y585" s="541"/>
      <c r="Z585" s="541"/>
    </row>
    <row r="586" spans="1:26" ht="18.75">
      <c r="A586" s="572"/>
      <c r="B586" s="584"/>
      <c r="C586" s="584"/>
      <c r="D586" s="584"/>
      <c r="E586" s="592" t="s">
        <v>248</v>
      </c>
      <c r="F586" s="592"/>
      <c r="G586" s="726"/>
      <c r="H586" s="728" t="s">
        <v>46</v>
      </c>
      <c r="I586" s="184"/>
      <c r="J586" s="214">
        <v>0</v>
      </c>
      <c r="K586" s="163"/>
      <c r="L586" s="163"/>
      <c r="M586" s="163"/>
      <c r="N586" s="163"/>
      <c r="O586" s="163"/>
      <c r="P586" s="163"/>
      <c r="Q586" s="541"/>
      <c r="R586" s="541"/>
      <c r="S586" s="541"/>
      <c r="T586" s="541"/>
      <c r="U586" s="541"/>
      <c r="V586" s="541"/>
      <c r="W586" s="541"/>
      <c r="X586" s="541"/>
      <c r="Y586" s="541"/>
      <c r="Z586" s="541"/>
    </row>
    <row r="587" spans="1:26" ht="18.75">
      <c r="A587" s="572"/>
      <c r="B587" s="584"/>
      <c r="C587" s="584"/>
      <c r="D587" s="584"/>
      <c r="E587" s="584"/>
      <c r="F587" s="592"/>
      <c r="G587" s="726"/>
      <c r="H587" s="728" t="s">
        <v>34</v>
      </c>
      <c r="I587" s="184"/>
      <c r="J587" s="214">
        <v>0</v>
      </c>
      <c r="K587" s="163"/>
      <c r="L587" s="163"/>
      <c r="M587" s="163"/>
      <c r="N587" s="163"/>
      <c r="O587" s="163"/>
      <c r="P587" s="163"/>
      <c r="Q587" s="541"/>
      <c r="R587" s="541"/>
      <c r="S587" s="541"/>
      <c r="T587" s="541"/>
      <c r="U587" s="541"/>
      <c r="V587" s="541"/>
      <c r="W587" s="541"/>
      <c r="X587" s="541"/>
      <c r="Y587" s="541"/>
      <c r="Z587" s="541"/>
    </row>
    <row r="588" spans="1:26" ht="18.75">
      <c r="A588" s="572"/>
      <c r="B588" s="584"/>
      <c r="C588" s="584"/>
      <c r="D588" s="592" t="s">
        <v>249</v>
      </c>
      <c r="E588" s="592"/>
      <c r="F588" s="592"/>
      <c r="G588" s="726"/>
      <c r="H588" s="728" t="s">
        <v>46</v>
      </c>
      <c r="I588" s="184"/>
      <c r="J588" s="214">
        <v>0</v>
      </c>
      <c r="K588" s="163"/>
      <c r="L588" s="163"/>
      <c r="M588" s="163"/>
      <c r="N588" s="163"/>
      <c r="O588" s="163"/>
      <c r="P588" s="163"/>
      <c r="Q588" s="541"/>
      <c r="R588" s="541"/>
      <c r="S588" s="541"/>
      <c r="T588" s="541"/>
      <c r="U588" s="541"/>
      <c r="V588" s="541"/>
      <c r="W588" s="541"/>
      <c r="X588" s="541"/>
      <c r="Y588" s="541"/>
      <c r="Z588" s="541"/>
    </row>
    <row r="589" spans="1:26" ht="18.75">
      <c r="A589" s="572"/>
      <c r="B589" s="584"/>
      <c r="C589" s="584"/>
      <c r="D589" s="584"/>
      <c r="E589" s="584"/>
      <c r="F589" s="592"/>
      <c r="G589" s="726"/>
      <c r="H589" s="728" t="s">
        <v>34</v>
      </c>
      <c r="I589" s="184"/>
      <c r="J589" s="214">
        <v>0</v>
      </c>
      <c r="K589" s="163"/>
      <c r="L589" s="163"/>
      <c r="M589" s="163"/>
      <c r="N589" s="163"/>
      <c r="O589" s="163"/>
      <c r="P589" s="163"/>
      <c r="Q589" s="541"/>
      <c r="R589" s="541"/>
      <c r="S589" s="541"/>
      <c r="T589" s="541"/>
      <c r="U589" s="541"/>
      <c r="V589" s="541"/>
      <c r="W589" s="541"/>
      <c r="X589" s="541"/>
      <c r="Y589" s="541"/>
      <c r="Z589" s="541"/>
    </row>
    <row r="590" spans="1:26" ht="18.75">
      <c r="A590" s="572"/>
      <c r="B590" s="584"/>
      <c r="C590" s="584"/>
      <c r="D590" s="592" t="s">
        <v>250</v>
      </c>
      <c r="E590" s="592"/>
      <c r="F590" s="592"/>
      <c r="G590" s="726"/>
      <c r="H590" s="728" t="s">
        <v>46</v>
      </c>
      <c r="I590" s="184"/>
      <c r="J590" s="214">
        <v>0</v>
      </c>
      <c r="K590" s="163"/>
      <c r="L590" s="163"/>
      <c r="M590" s="163"/>
      <c r="N590" s="163"/>
      <c r="O590" s="163"/>
      <c r="P590" s="163"/>
      <c r="Q590" s="541"/>
      <c r="R590" s="541"/>
      <c r="S590" s="541"/>
      <c r="T590" s="541"/>
      <c r="U590" s="541"/>
      <c r="V590" s="541"/>
      <c r="W590" s="541"/>
      <c r="X590" s="541"/>
      <c r="Y590" s="541"/>
      <c r="Z590" s="541"/>
    </row>
    <row r="591" spans="1:26" ht="18.75">
      <c r="A591" s="662"/>
      <c r="B591" s="663"/>
      <c r="C591" s="663"/>
      <c r="D591" s="663"/>
      <c r="E591" s="541"/>
      <c r="F591" s="541"/>
      <c r="G591" s="664"/>
      <c r="H591" s="665" t="s">
        <v>34</v>
      </c>
      <c r="I591" s="666"/>
      <c r="J591" s="667">
        <v>0</v>
      </c>
      <c r="K591" s="668"/>
      <c r="L591" s="668"/>
      <c r="M591" s="668"/>
      <c r="N591" s="668"/>
      <c r="O591" s="668"/>
      <c r="P591" s="668"/>
      <c r="Q591" s="541"/>
      <c r="R591" s="541"/>
      <c r="S591" s="541"/>
      <c r="T591" s="541"/>
      <c r="U591" s="541"/>
      <c r="V591" s="541"/>
      <c r="W591" s="541"/>
      <c r="X591" s="541"/>
      <c r="Y591" s="541"/>
      <c r="Z591" s="541"/>
    </row>
    <row r="592" spans="1:26" ht="19.5">
      <c r="A592" s="658"/>
      <c r="B592" s="659" t="s">
        <v>251</v>
      </c>
      <c r="C592" s="660"/>
      <c r="D592" s="660"/>
      <c r="E592" s="639"/>
      <c r="F592" s="639"/>
      <c r="G592" s="640"/>
      <c r="H592" s="661" t="s">
        <v>46</v>
      </c>
      <c r="I592" s="672">
        <f t="shared" ref="I592:J592" ca="1" si="252">I593</f>
        <v>3900</v>
      </c>
      <c r="J592" s="672">
        <f t="shared" si="252"/>
        <v>0</v>
      </c>
      <c r="K592" s="643">
        <f t="shared" ref="K592:K594" ca="1" si="253">IF(I592&gt;0,J592*100/I592,0)</f>
        <v>0</v>
      </c>
      <c r="L592" s="644"/>
      <c r="M592" s="644"/>
      <c r="N592" s="644"/>
      <c r="O592" s="644"/>
      <c r="P592" s="644"/>
      <c r="Q592" s="541"/>
      <c r="R592" s="541"/>
      <c r="S592" s="541"/>
      <c r="T592" s="541"/>
      <c r="U592" s="541"/>
      <c r="V592" s="541"/>
      <c r="W592" s="541"/>
      <c r="X592" s="541"/>
      <c r="Y592" s="541"/>
      <c r="Z592" s="541"/>
    </row>
    <row r="593" spans="1:26" ht="19.5">
      <c r="A593" s="572"/>
      <c r="B593" s="584"/>
      <c r="C593" s="591" t="s">
        <v>252</v>
      </c>
      <c r="D593" s="584"/>
      <c r="E593" s="584"/>
      <c r="F593" s="592"/>
      <c r="G593" s="726"/>
      <c r="H593" s="731" t="s">
        <v>46</v>
      </c>
      <c r="I593" s="193">
        <f ca="1">IFERROR(__xludf.DUMMYFUNCTION("IMPORTRANGE(""https://docs.google.com/spreadsheets/d/1QqKyyYR6Q21VydFLVH3TRQUabQu_ym0Zz7PgGX0-kHA/edit?usp=sharing"",""แผน!HJ16"")"),3900)</f>
        <v>3900</v>
      </c>
      <c r="J593" s="193">
        <f t="shared" ref="J593:J594" si="254">J595+J603+J609</f>
        <v>0</v>
      </c>
      <c r="K593" s="379">
        <f t="shared" ca="1" si="253"/>
        <v>0</v>
      </c>
      <c r="L593" s="163"/>
      <c r="M593" s="163"/>
      <c r="N593" s="163"/>
      <c r="O593" s="163"/>
      <c r="P593" s="163"/>
      <c r="Q593" s="541"/>
      <c r="R593" s="541"/>
      <c r="S593" s="541"/>
      <c r="T593" s="541"/>
      <c r="U593" s="541"/>
      <c r="V593" s="541"/>
      <c r="W593" s="541"/>
      <c r="X593" s="541"/>
      <c r="Y593" s="541"/>
      <c r="Z593" s="541"/>
    </row>
    <row r="594" spans="1:26" ht="19.5">
      <c r="A594" s="572"/>
      <c r="B594" s="584"/>
      <c r="C594" s="584"/>
      <c r="D594" s="584"/>
      <c r="E594" s="592"/>
      <c r="F594" s="592"/>
      <c r="G594" s="726"/>
      <c r="H594" s="731" t="s">
        <v>34</v>
      </c>
      <c r="I594" s="193">
        <f ca="1">IFERROR(__xludf.DUMMYFUNCTION("IMPORTRANGE(""https://docs.google.com/spreadsheets/d/1QqKyyYR6Q21VydFLVH3TRQUabQu_ym0Zz7PgGX0-kHA/edit?usp=sharing"",""แผน!HI16"")"),220)</f>
        <v>220</v>
      </c>
      <c r="J594" s="193">
        <f t="shared" si="254"/>
        <v>0</v>
      </c>
      <c r="K594" s="379">
        <f t="shared" ca="1" si="253"/>
        <v>0</v>
      </c>
      <c r="L594" s="163"/>
      <c r="M594" s="163"/>
      <c r="N594" s="163"/>
      <c r="O594" s="163"/>
      <c r="P594" s="163"/>
      <c r="Q594" s="541"/>
      <c r="R594" s="541"/>
      <c r="S594" s="541"/>
      <c r="T594" s="541"/>
      <c r="U594" s="541"/>
      <c r="V594" s="541"/>
      <c r="W594" s="541"/>
      <c r="X594" s="541"/>
      <c r="Y594" s="541"/>
      <c r="Z594" s="541"/>
    </row>
    <row r="595" spans="1:26" ht="18.75">
      <c r="A595" s="572"/>
      <c r="B595" s="584"/>
      <c r="C595" s="584" t="s">
        <v>253</v>
      </c>
      <c r="D595" s="584"/>
      <c r="E595" s="584"/>
      <c r="F595" s="592"/>
      <c r="G595" s="726"/>
      <c r="H595" s="728" t="s">
        <v>46</v>
      </c>
      <c r="I595" s="184"/>
      <c r="J595" s="184">
        <f t="shared" ref="J595:J596" si="255">J597+J599</f>
        <v>0</v>
      </c>
      <c r="K595" s="163"/>
      <c r="L595" s="163"/>
      <c r="M595" s="163"/>
      <c r="N595" s="163"/>
      <c r="O595" s="163"/>
      <c r="P595" s="163"/>
      <c r="Q595" s="541"/>
      <c r="R595" s="541"/>
      <c r="S595" s="541"/>
      <c r="T595" s="541"/>
      <c r="U595" s="541"/>
      <c r="V595" s="541"/>
      <c r="W595" s="541"/>
      <c r="X595" s="541"/>
      <c r="Y595" s="541"/>
      <c r="Z595" s="541"/>
    </row>
    <row r="596" spans="1:26" ht="18.75">
      <c r="A596" s="572"/>
      <c r="B596" s="584"/>
      <c r="C596" s="584"/>
      <c r="D596" s="584"/>
      <c r="E596" s="592"/>
      <c r="F596" s="592"/>
      <c r="G596" s="726"/>
      <c r="H596" s="728" t="s">
        <v>34</v>
      </c>
      <c r="I596" s="184"/>
      <c r="J596" s="184">
        <f t="shared" si="255"/>
        <v>0</v>
      </c>
      <c r="K596" s="163"/>
      <c r="L596" s="163"/>
      <c r="M596" s="163"/>
      <c r="N596" s="163"/>
      <c r="O596" s="163"/>
      <c r="P596" s="163"/>
      <c r="Q596" s="541"/>
      <c r="R596" s="541"/>
      <c r="S596" s="541"/>
      <c r="T596" s="541"/>
      <c r="U596" s="541"/>
      <c r="V596" s="541"/>
      <c r="W596" s="541"/>
      <c r="X596" s="541"/>
      <c r="Y596" s="541"/>
      <c r="Z596" s="541"/>
    </row>
    <row r="597" spans="1:26" ht="18.75">
      <c r="A597" s="572"/>
      <c r="B597" s="584"/>
      <c r="C597" s="584"/>
      <c r="D597" s="710" t="s">
        <v>254</v>
      </c>
      <c r="E597" s="592"/>
      <c r="F597" s="592"/>
      <c r="G597" s="726"/>
      <c r="H597" s="728" t="s">
        <v>46</v>
      </c>
      <c r="I597" s="184"/>
      <c r="J597" s="214">
        <v>0</v>
      </c>
      <c r="K597" s="163"/>
      <c r="L597" s="163"/>
      <c r="M597" s="163"/>
      <c r="N597" s="163"/>
      <c r="O597" s="163"/>
      <c r="P597" s="163"/>
      <c r="Q597" s="541"/>
      <c r="R597" s="541"/>
      <c r="S597" s="541"/>
      <c r="T597" s="541"/>
      <c r="U597" s="541"/>
      <c r="V597" s="541"/>
      <c r="W597" s="541"/>
      <c r="X597" s="541"/>
      <c r="Y597" s="541"/>
      <c r="Z597" s="541"/>
    </row>
    <row r="598" spans="1:26" ht="18.75">
      <c r="A598" s="572"/>
      <c r="B598" s="584"/>
      <c r="C598" s="584"/>
      <c r="D598" s="584"/>
      <c r="E598" s="592"/>
      <c r="F598" s="592"/>
      <c r="G598" s="726"/>
      <c r="H598" s="728" t="s">
        <v>34</v>
      </c>
      <c r="I598" s="269"/>
      <c r="J598" s="214">
        <v>0</v>
      </c>
      <c r="K598" s="163"/>
      <c r="L598" s="163"/>
      <c r="M598" s="163"/>
      <c r="N598" s="163"/>
      <c r="O598" s="163"/>
      <c r="P598" s="163"/>
      <c r="Q598" s="541"/>
      <c r="R598" s="541"/>
      <c r="S598" s="541"/>
      <c r="T598" s="541"/>
      <c r="U598" s="541"/>
      <c r="V598" s="541"/>
      <c r="W598" s="541"/>
      <c r="X598" s="541"/>
      <c r="Y598" s="541"/>
      <c r="Z598" s="541"/>
    </row>
    <row r="599" spans="1:26" ht="18.75">
      <c r="A599" s="572"/>
      <c r="B599" s="584"/>
      <c r="C599" s="584"/>
      <c r="D599" s="710" t="s">
        <v>255</v>
      </c>
      <c r="E599" s="592"/>
      <c r="F599" s="592"/>
      <c r="G599" s="726"/>
      <c r="H599" s="728" t="s">
        <v>46</v>
      </c>
      <c r="I599" s="269"/>
      <c r="J599" s="214">
        <v>0</v>
      </c>
      <c r="K599" s="163"/>
      <c r="L599" s="163"/>
      <c r="M599" s="163"/>
      <c r="N599" s="163"/>
      <c r="O599" s="163"/>
      <c r="P599" s="163"/>
      <c r="Q599" s="541"/>
      <c r="R599" s="541"/>
      <c r="S599" s="541"/>
      <c r="T599" s="541"/>
      <c r="U599" s="541"/>
      <c r="V599" s="541"/>
      <c r="W599" s="541"/>
      <c r="X599" s="541"/>
      <c r="Y599" s="541"/>
      <c r="Z599" s="541"/>
    </row>
    <row r="600" spans="1:26" ht="18.75">
      <c r="A600" s="572"/>
      <c r="B600" s="584"/>
      <c r="C600" s="584"/>
      <c r="D600" s="584"/>
      <c r="E600" s="592"/>
      <c r="F600" s="592"/>
      <c r="G600" s="726"/>
      <c r="H600" s="728" t="s">
        <v>34</v>
      </c>
      <c r="I600" s="269"/>
      <c r="J600" s="214">
        <v>0</v>
      </c>
      <c r="K600" s="163"/>
      <c r="L600" s="163"/>
      <c r="M600" s="163"/>
      <c r="N600" s="163"/>
      <c r="O600" s="163"/>
      <c r="P600" s="163"/>
      <c r="Q600" s="541"/>
      <c r="R600" s="541"/>
      <c r="S600" s="541"/>
      <c r="T600" s="541"/>
      <c r="U600" s="541"/>
      <c r="V600" s="541"/>
      <c r="W600" s="541"/>
      <c r="X600" s="541"/>
      <c r="Y600" s="541"/>
      <c r="Z600" s="541"/>
    </row>
    <row r="601" spans="1:26" ht="18.75">
      <c r="A601" s="572"/>
      <c r="B601" s="584"/>
      <c r="C601" s="584"/>
      <c r="D601" s="710" t="s">
        <v>256</v>
      </c>
      <c r="E601" s="592"/>
      <c r="F601" s="592"/>
      <c r="G601" s="726"/>
      <c r="H601" s="728" t="s">
        <v>46</v>
      </c>
      <c r="I601" s="269"/>
      <c r="J601" s="214">
        <v>0</v>
      </c>
      <c r="K601" s="163"/>
      <c r="L601" s="163"/>
      <c r="M601" s="163"/>
      <c r="N601" s="163"/>
      <c r="O601" s="163"/>
      <c r="P601" s="163"/>
      <c r="Q601" s="541"/>
      <c r="R601" s="541"/>
      <c r="S601" s="541"/>
      <c r="T601" s="541"/>
      <c r="U601" s="541"/>
      <c r="V601" s="541"/>
      <c r="W601" s="541"/>
      <c r="X601" s="541"/>
      <c r="Y601" s="541"/>
      <c r="Z601" s="541"/>
    </row>
    <row r="602" spans="1:26" ht="18.75">
      <c r="A602" s="572"/>
      <c r="B602" s="584"/>
      <c r="C602" s="584"/>
      <c r="D602" s="584"/>
      <c r="E602" s="592"/>
      <c r="F602" s="592"/>
      <c r="G602" s="726"/>
      <c r="H602" s="728" t="s">
        <v>34</v>
      </c>
      <c r="I602" s="269"/>
      <c r="J602" s="214">
        <v>0</v>
      </c>
      <c r="K602" s="163"/>
      <c r="L602" s="163"/>
      <c r="M602" s="163"/>
      <c r="N602" s="163"/>
      <c r="O602" s="163"/>
      <c r="P602" s="163"/>
      <c r="Q602" s="541"/>
      <c r="R602" s="541"/>
      <c r="S602" s="541"/>
      <c r="T602" s="541"/>
      <c r="U602" s="541"/>
      <c r="V602" s="541"/>
      <c r="W602" s="541"/>
      <c r="X602" s="541"/>
      <c r="Y602" s="541"/>
      <c r="Z602" s="541"/>
    </row>
    <row r="603" spans="1:26" ht="18.75">
      <c r="A603" s="572"/>
      <c r="B603" s="584"/>
      <c r="C603" s="669" t="s">
        <v>257</v>
      </c>
      <c r="D603" s="584"/>
      <c r="E603" s="584"/>
      <c r="F603" s="592"/>
      <c r="G603" s="726"/>
      <c r="H603" s="728" t="s">
        <v>46</v>
      </c>
      <c r="I603" s="269"/>
      <c r="J603" s="269">
        <f t="shared" ref="J603:J604" si="256">J605+J607</f>
        <v>0</v>
      </c>
      <c r="K603" s="163"/>
      <c r="L603" s="163"/>
      <c r="M603" s="163"/>
      <c r="N603" s="163"/>
      <c r="O603" s="163"/>
      <c r="P603" s="163"/>
      <c r="Q603" s="541"/>
      <c r="R603" s="541"/>
      <c r="S603" s="541"/>
      <c r="T603" s="541"/>
      <c r="U603" s="541"/>
      <c r="V603" s="541"/>
      <c r="W603" s="541"/>
      <c r="X603" s="541"/>
      <c r="Y603" s="541"/>
      <c r="Z603" s="541"/>
    </row>
    <row r="604" spans="1:26" ht="18.75">
      <c r="A604" s="572"/>
      <c r="B604" s="584"/>
      <c r="C604" s="584"/>
      <c r="D604" s="584"/>
      <c r="E604" s="592"/>
      <c r="F604" s="592"/>
      <c r="G604" s="726"/>
      <c r="H604" s="728" t="s">
        <v>34</v>
      </c>
      <c r="I604" s="269"/>
      <c r="J604" s="269">
        <f t="shared" si="256"/>
        <v>0</v>
      </c>
      <c r="K604" s="163"/>
      <c r="L604" s="163"/>
      <c r="M604" s="163"/>
      <c r="N604" s="163"/>
      <c r="O604" s="163"/>
      <c r="P604" s="163"/>
      <c r="Q604" s="541"/>
      <c r="R604" s="541"/>
      <c r="S604" s="541"/>
      <c r="T604" s="541"/>
      <c r="U604" s="541"/>
      <c r="V604" s="541"/>
      <c r="W604" s="541"/>
      <c r="X604" s="541"/>
      <c r="Y604" s="541"/>
      <c r="Z604" s="541"/>
    </row>
    <row r="605" spans="1:26" ht="18.75">
      <c r="A605" s="572"/>
      <c r="B605" s="584"/>
      <c r="C605" s="584"/>
      <c r="D605" s="669" t="s">
        <v>258</v>
      </c>
      <c r="E605" s="592"/>
      <c r="F605" s="592"/>
      <c r="G605" s="726"/>
      <c r="H605" s="728" t="s">
        <v>46</v>
      </c>
      <c r="I605" s="269"/>
      <c r="J605" s="214">
        <v>0</v>
      </c>
      <c r="K605" s="163"/>
      <c r="L605" s="163"/>
      <c r="M605" s="163"/>
      <c r="N605" s="163"/>
      <c r="O605" s="163"/>
      <c r="P605" s="163"/>
      <c r="Q605" s="541"/>
      <c r="R605" s="541"/>
      <c r="S605" s="541"/>
      <c r="T605" s="541"/>
      <c r="U605" s="541"/>
      <c r="V605" s="541"/>
      <c r="W605" s="541"/>
      <c r="X605" s="541"/>
      <c r="Y605" s="541"/>
      <c r="Z605" s="541"/>
    </row>
    <row r="606" spans="1:26" ht="18.75">
      <c r="A606" s="572"/>
      <c r="B606" s="584"/>
      <c r="C606" s="584"/>
      <c r="D606" s="584"/>
      <c r="E606" s="584"/>
      <c r="F606" s="592"/>
      <c r="G606" s="726"/>
      <c r="H606" s="728" t="s">
        <v>34</v>
      </c>
      <c r="I606" s="269"/>
      <c r="J606" s="214">
        <v>0</v>
      </c>
      <c r="K606" s="163"/>
      <c r="L606" s="163"/>
      <c r="M606" s="163"/>
      <c r="N606" s="163"/>
      <c r="O606" s="163"/>
      <c r="P606" s="163"/>
      <c r="Q606" s="541"/>
      <c r="R606" s="541"/>
      <c r="S606" s="541"/>
      <c r="T606" s="541"/>
      <c r="U606" s="541"/>
      <c r="V606" s="541"/>
      <c r="W606" s="541"/>
      <c r="X606" s="541"/>
      <c r="Y606" s="541"/>
      <c r="Z606" s="541"/>
    </row>
    <row r="607" spans="1:26" ht="18.75">
      <c r="A607" s="572"/>
      <c r="B607" s="584"/>
      <c r="C607" s="584"/>
      <c r="D607" s="669" t="s">
        <v>259</v>
      </c>
      <c r="E607" s="584"/>
      <c r="F607" s="592"/>
      <c r="G607" s="726"/>
      <c r="H607" s="728" t="s">
        <v>46</v>
      </c>
      <c r="I607" s="269"/>
      <c r="J607" s="214">
        <v>0</v>
      </c>
      <c r="K607" s="163"/>
      <c r="L607" s="163"/>
      <c r="M607" s="163"/>
      <c r="N607" s="163"/>
      <c r="O607" s="163"/>
      <c r="P607" s="163"/>
      <c r="Q607" s="541"/>
      <c r="R607" s="541"/>
      <c r="S607" s="541"/>
      <c r="T607" s="541"/>
      <c r="U607" s="541"/>
      <c r="V607" s="541"/>
      <c r="W607" s="541"/>
      <c r="X607" s="541"/>
      <c r="Y607" s="541"/>
      <c r="Z607" s="541"/>
    </row>
    <row r="608" spans="1:26" ht="18.75">
      <c r="A608" s="572"/>
      <c r="B608" s="584"/>
      <c r="C608" s="584"/>
      <c r="D608" s="584"/>
      <c r="E608" s="592"/>
      <c r="F608" s="592"/>
      <c r="G608" s="726"/>
      <c r="H608" s="728" t="s">
        <v>34</v>
      </c>
      <c r="I608" s="269"/>
      <c r="J608" s="214">
        <v>0</v>
      </c>
      <c r="K608" s="163"/>
      <c r="L608" s="163"/>
      <c r="M608" s="163"/>
      <c r="N608" s="163"/>
      <c r="O608" s="163"/>
      <c r="P608" s="163"/>
      <c r="Q608" s="541"/>
      <c r="R608" s="541"/>
      <c r="S608" s="541"/>
      <c r="T608" s="541"/>
      <c r="U608" s="541"/>
      <c r="V608" s="541"/>
      <c r="W608" s="541"/>
      <c r="X608" s="541"/>
      <c r="Y608" s="541"/>
      <c r="Z608" s="541"/>
    </row>
    <row r="609" spans="1:26" ht="18.75">
      <c r="A609" s="572"/>
      <c r="B609" s="584"/>
      <c r="C609" s="584" t="s">
        <v>260</v>
      </c>
      <c r="D609" s="584"/>
      <c r="E609" s="584"/>
      <c r="F609" s="592"/>
      <c r="G609" s="726"/>
      <c r="H609" s="728" t="s">
        <v>46</v>
      </c>
      <c r="I609" s="269"/>
      <c r="J609" s="214">
        <v>0</v>
      </c>
      <c r="K609" s="163"/>
      <c r="L609" s="163"/>
      <c r="M609" s="163"/>
      <c r="N609" s="163"/>
      <c r="O609" s="163"/>
      <c r="P609" s="163"/>
      <c r="Q609" s="541"/>
      <c r="R609" s="541"/>
      <c r="S609" s="541"/>
      <c r="T609" s="541"/>
      <c r="U609" s="541"/>
      <c r="V609" s="541"/>
      <c r="W609" s="541"/>
      <c r="X609" s="541"/>
      <c r="Y609" s="541"/>
      <c r="Z609" s="541"/>
    </row>
    <row r="610" spans="1:26" ht="18.75">
      <c r="A610" s="572"/>
      <c r="B610" s="584"/>
      <c r="C610" s="584"/>
      <c r="D610" s="584"/>
      <c r="E610" s="592"/>
      <c r="F610" s="592"/>
      <c r="G610" s="726"/>
      <c r="H610" s="728" t="s">
        <v>34</v>
      </c>
      <c r="I610" s="269"/>
      <c r="J610" s="214">
        <v>0</v>
      </c>
      <c r="K610" s="163"/>
      <c r="L610" s="163"/>
      <c r="M610" s="163"/>
      <c r="N610" s="163"/>
      <c r="O610" s="163"/>
      <c r="P610" s="163"/>
      <c r="Q610" s="541"/>
      <c r="R610" s="541"/>
      <c r="S610" s="541"/>
      <c r="T610" s="541"/>
      <c r="U610" s="541"/>
      <c r="V610" s="541"/>
      <c r="W610" s="541"/>
      <c r="X610" s="541"/>
      <c r="Y610" s="541"/>
      <c r="Z610" s="541"/>
    </row>
    <row r="611" spans="1:26" ht="19.5">
      <c r="A611" s="658"/>
      <c r="B611" s="670" t="s">
        <v>261</v>
      </c>
      <c r="C611" s="660"/>
      <c r="D611" s="660"/>
      <c r="E611" s="639"/>
      <c r="F611" s="639"/>
      <c r="G611" s="640"/>
      <c r="H611" s="671" t="s">
        <v>46</v>
      </c>
      <c r="I611" s="672">
        <v>0</v>
      </c>
      <c r="J611" s="672">
        <f>J614+J616</f>
        <v>0</v>
      </c>
      <c r="K611" s="643">
        <f t="shared" ref="K611:K613" si="257">IF(I611&gt;0,J611*100/I611,0)</f>
        <v>0</v>
      </c>
      <c r="L611" s="644"/>
      <c r="M611" s="644"/>
      <c r="N611" s="644"/>
      <c r="O611" s="644"/>
      <c r="P611" s="644"/>
      <c r="Q611" s="541"/>
      <c r="R611" s="541"/>
      <c r="S611" s="541"/>
      <c r="T611" s="541"/>
      <c r="U611" s="541"/>
      <c r="V611" s="541"/>
      <c r="W611" s="541"/>
      <c r="X611" s="541"/>
      <c r="Y611" s="541"/>
      <c r="Z611" s="541"/>
    </row>
    <row r="612" spans="1:26" ht="19.5" hidden="1">
      <c r="A612" s="673"/>
      <c r="B612" s="683"/>
      <c r="C612" s="675" t="s">
        <v>262</v>
      </c>
      <c r="D612" s="683"/>
      <c r="E612" s="683"/>
      <c r="F612" s="676"/>
      <c r="G612" s="677"/>
      <c r="H612" s="678" t="s">
        <v>46</v>
      </c>
      <c r="I612" s="680">
        <v>0</v>
      </c>
      <c r="J612" s="680">
        <f t="shared" ref="J612:J613" si="258">J614+J616</f>
        <v>0</v>
      </c>
      <c r="K612" s="681">
        <f t="shared" si="257"/>
        <v>0</v>
      </c>
      <c r="L612" s="682"/>
      <c r="M612" s="682"/>
      <c r="N612" s="682"/>
      <c r="O612" s="682"/>
      <c r="P612" s="682"/>
      <c r="Q612" s="568"/>
      <c r="R612" s="568"/>
      <c r="S612" s="568"/>
      <c r="T612" s="568"/>
      <c r="U612" s="568"/>
      <c r="V612" s="568"/>
      <c r="W612" s="568"/>
      <c r="X612" s="568"/>
      <c r="Y612" s="568"/>
      <c r="Z612" s="568"/>
    </row>
    <row r="613" spans="1:26" ht="19.5" hidden="1">
      <c r="A613" s="673"/>
      <c r="B613" s="683"/>
      <c r="C613" s="683" t="s">
        <v>263</v>
      </c>
      <c r="D613" s="683"/>
      <c r="E613" s="683"/>
      <c r="F613" s="676"/>
      <c r="G613" s="677"/>
      <c r="H613" s="678" t="s">
        <v>34</v>
      </c>
      <c r="I613" s="680">
        <v>0</v>
      </c>
      <c r="J613" s="680">
        <f t="shared" si="258"/>
        <v>0</v>
      </c>
      <c r="K613" s="681">
        <f t="shared" si="257"/>
        <v>0</v>
      </c>
      <c r="L613" s="682"/>
      <c r="M613" s="682"/>
      <c r="N613" s="682"/>
      <c r="O613" s="682"/>
      <c r="P613" s="682"/>
      <c r="Q613" s="568"/>
      <c r="R613" s="568"/>
      <c r="S613" s="568"/>
      <c r="T613" s="568"/>
      <c r="U613" s="568"/>
      <c r="V613" s="568"/>
      <c r="W613" s="568"/>
      <c r="X613" s="568"/>
      <c r="Y613" s="568"/>
      <c r="Z613" s="568"/>
    </row>
    <row r="614" spans="1:26" ht="18.75" hidden="1">
      <c r="A614" s="578"/>
      <c r="B614" s="580"/>
      <c r="C614" s="580"/>
      <c r="D614" s="684" t="s">
        <v>264</v>
      </c>
      <c r="E614" s="580"/>
      <c r="F614" s="684"/>
      <c r="G614" s="581"/>
      <c r="H614" s="582" t="s">
        <v>46</v>
      </c>
      <c r="I614" s="583"/>
      <c r="J614" s="583">
        <v>0</v>
      </c>
      <c r="K614" s="167"/>
      <c r="L614" s="167"/>
      <c r="M614" s="167"/>
      <c r="N614" s="167"/>
      <c r="O614" s="167"/>
      <c r="P614" s="167"/>
      <c r="Q614" s="568"/>
      <c r="R614" s="568"/>
      <c r="S614" s="568"/>
      <c r="T614" s="568"/>
      <c r="U614" s="568"/>
      <c r="V614" s="568"/>
      <c r="W614" s="568"/>
      <c r="X614" s="568"/>
      <c r="Y614" s="568"/>
      <c r="Z614" s="568"/>
    </row>
    <row r="615" spans="1:26" ht="18.75" hidden="1">
      <c r="A615" s="578"/>
      <c r="B615" s="580"/>
      <c r="C615" s="580"/>
      <c r="D615" s="580"/>
      <c r="E615" s="580"/>
      <c r="F615" s="684"/>
      <c r="G615" s="581"/>
      <c r="H615" s="582" t="s">
        <v>34</v>
      </c>
      <c r="I615" s="583"/>
      <c r="J615" s="583">
        <v>0</v>
      </c>
      <c r="K615" s="167"/>
      <c r="L615" s="167"/>
      <c r="M615" s="167"/>
      <c r="N615" s="167"/>
      <c r="O615" s="167"/>
      <c r="P615" s="167"/>
      <c r="Q615" s="568"/>
      <c r="R615" s="568"/>
      <c r="S615" s="568"/>
      <c r="T615" s="568"/>
      <c r="U615" s="568"/>
      <c r="V615" s="568"/>
      <c r="W615" s="568"/>
      <c r="X615" s="568"/>
      <c r="Y615" s="568"/>
      <c r="Z615" s="568"/>
    </row>
    <row r="616" spans="1:26" ht="18.75" hidden="1">
      <c r="A616" s="578"/>
      <c r="B616" s="580"/>
      <c r="C616" s="580"/>
      <c r="D616" s="685" t="s">
        <v>264</v>
      </c>
      <c r="E616" s="684"/>
      <c r="F616" s="684"/>
      <c r="G616" s="581"/>
      <c r="H616" s="582" t="s">
        <v>46</v>
      </c>
      <c r="I616" s="583"/>
      <c r="J616" s="583">
        <v>0</v>
      </c>
      <c r="K616" s="167"/>
      <c r="L616" s="167"/>
      <c r="M616" s="167"/>
      <c r="N616" s="167"/>
      <c r="O616" s="167"/>
      <c r="P616" s="167"/>
      <c r="Q616" s="568"/>
      <c r="R616" s="568"/>
      <c r="S616" s="568"/>
      <c r="T616" s="568"/>
      <c r="U616" s="568"/>
      <c r="V616" s="568"/>
      <c r="W616" s="568"/>
      <c r="X616" s="568"/>
      <c r="Y616" s="568"/>
      <c r="Z616" s="568"/>
    </row>
    <row r="617" spans="1:26" ht="18.75" hidden="1">
      <c r="A617" s="578"/>
      <c r="B617" s="580"/>
      <c r="C617" s="580"/>
      <c r="D617" s="580"/>
      <c r="E617" s="684"/>
      <c r="F617" s="684"/>
      <c r="G617" s="581"/>
      <c r="H617" s="582" t="s">
        <v>34</v>
      </c>
      <c r="I617" s="583"/>
      <c r="J617" s="583">
        <v>0</v>
      </c>
      <c r="K617" s="167"/>
      <c r="L617" s="167"/>
      <c r="M617" s="167"/>
      <c r="N617" s="167"/>
      <c r="O617" s="167"/>
      <c r="P617" s="167"/>
      <c r="Q617" s="568"/>
      <c r="R617" s="568"/>
      <c r="S617" s="568"/>
      <c r="T617" s="568"/>
      <c r="U617" s="568"/>
      <c r="V617" s="568"/>
      <c r="W617" s="568"/>
      <c r="X617" s="568"/>
      <c r="Y617" s="568"/>
      <c r="Z617" s="568"/>
    </row>
    <row r="618" spans="1:26" ht="18.75" hidden="1">
      <c r="A618" s="578"/>
      <c r="B618" s="580"/>
      <c r="C618" s="580"/>
      <c r="D618" s="685" t="s">
        <v>265</v>
      </c>
      <c r="E618" s="684"/>
      <c r="F618" s="684"/>
      <c r="G618" s="581"/>
      <c r="H618" s="582" t="s">
        <v>46</v>
      </c>
      <c r="I618" s="583"/>
      <c r="J618" s="583">
        <v>0</v>
      </c>
      <c r="K618" s="167"/>
      <c r="L618" s="167"/>
      <c r="M618" s="167"/>
      <c r="N618" s="167"/>
      <c r="O618" s="167"/>
      <c r="P618" s="167"/>
      <c r="Q618" s="568"/>
      <c r="R618" s="568"/>
      <c r="S618" s="568"/>
      <c r="T618" s="568"/>
      <c r="U618" s="568"/>
      <c r="V618" s="568"/>
      <c r="W618" s="568"/>
      <c r="X618" s="568"/>
      <c r="Y618" s="568"/>
      <c r="Z618" s="568"/>
    </row>
    <row r="619" spans="1:26" ht="18.75" hidden="1">
      <c r="A619" s="578"/>
      <c r="B619" s="580"/>
      <c r="C619" s="580"/>
      <c r="D619" s="580"/>
      <c r="E619" s="684"/>
      <c r="F619" s="684"/>
      <c r="G619" s="581"/>
      <c r="H619" s="582" t="s">
        <v>34</v>
      </c>
      <c r="I619" s="583"/>
      <c r="J619" s="583">
        <v>0</v>
      </c>
      <c r="K619" s="167"/>
      <c r="L619" s="167"/>
      <c r="M619" s="167"/>
      <c r="N619" s="167"/>
      <c r="O619" s="167"/>
      <c r="P619" s="167"/>
      <c r="Q619" s="568"/>
      <c r="R619" s="568"/>
      <c r="S619" s="568"/>
      <c r="T619" s="568"/>
      <c r="U619" s="568"/>
      <c r="V619" s="568"/>
      <c r="W619" s="568"/>
      <c r="X619" s="568"/>
      <c r="Y619" s="568"/>
      <c r="Z619" s="568"/>
    </row>
    <row r="620" spans="1:26" ht="19.5">
      <c r="A620" s="686"/>
      <c r="B620" s="695"/>
      <c r="C620" s="688" t="s">
        <v>266</v>
      </c>
      <c r="D620" s="695"/>
      <c r="E620" s="695"/>
      <c r="F620" s="689"/>
      <c r="G620" s="690"/>
      <c r="H620" s="691" t="s">
        <v>46</v>
      </c>
      <c r="I620" s="692">
        <f ca="1">IFERROR(__xludf.DUMMYFUNCTION("IMPORTRANGE(""https://docs.google.com/spreadsheets/d/1QqKyyYR6Q21VydFLVH3TRQUabQu_ym0Zz7PgGX0-kHA/edit?usp=sharing"",""แผน!HL16"")"),0)</f>
        <v>0</v>
      </c>
      <c r="J620" s="692">
        <f t="shared" ref="J620:J621" si="259">J622+J624+J626</f>
        <v>0</v>
      </c>
      <c r="K620" s="693">
        <f t="shared" ref="K620:K621" ca="1" si="260">IF(I620&gt;0,J620*100/I620,0)</f>
        <v>0</v>
      </c>
      <c r="L620" s="694"/>
      <c r="M620" s="694"/>
      <c r="N620" s="694"/>
      <c r="O620" s="694"/>
      <c r="P620" s="694"/>
      <c r="Q620" s="541"/>
      <c r="R620" s="541"/>
      <c r="S620" s="541"/>
      <c r="T620" s="541"/>
      <c r="U620" s="541"/>
      <c r="V620" s="541"/>
      <c r="W620" s="541"/>
      <c r="X620" s="541"/>
      <c r="Y620" s="541"/>
      <c r="Z620" s="541"/>
    </row>
    <row r="621" spans="1:26" ht="19.5">
      <c r="A621" s="686"/>
      <c r="B621" s="695"/>
      <c r="C621" s="695" t="s">
        <v>267</v>
      </c>
      <c r="D621" s="695"/>
      <c r="E621" s="695"/>
      <c r="F621" s="689"/>
      <c r="G621" s="690"/>
      <c r="H621" s="691" t="s">
        <v>34</v>
      </c>
      <c r="I621" s="692">
        <f ca="1">IFERROR(__xludf.DUMMYFUNCTION("IMPORTRANGE(""https://docs.google.com/spreadsheets/d/1QqKyyYR6Q21VydFLVH3TRQUabQu_ym0Zz7PgGX0-kHA/edit?usp=sharing"",""แผน!HK16"")"),0)</f>
        <v>0</v>
      </c>
      <c r="J621" s="692">
        <f t="shared" si="259"/>
        <v>0</v>
      </c>
      <c r="K621" s="693">
        <f t="shared" ca="1" si="260"/>
        <v>0</v>
      </c>
      <c r="L621" s="694"/>
      <c r="M621" s="694"/>
      <c r="N621" s="694"/>
      <c r="O621" s="694"/>
      <c r="P621" s="694"/>
      <c r="Q621" s="541"/>
      <c r="R621" s="541"/>
      <c r="S621" s="541"/>
      <c r="T621" s="541"/>
      <c r="U621" s="541"/>
      <c r="V621" s="541"/>
      <c r="W621" s="541"/>
      <c r="X621" s="541"/>
      <c r="Y621" s="541"/>
      <c r="Z621" s="541"/>
    </row>
    <row r="622" spans="1:26" ht="18.75">
      <c r="A622" s="572"/>
      <c r="B622" s="584"/>
      <c r="C622" s="584"/>
      <c r="D622" s="710" t="s">
        <v>268</v>
      </c>
      <c r="E622" s="592"/>
      <c r="F622" s="592"/>
      <c r="G622" s="726"/>
      <c r="H622" s="728" t="s">
        <v>46</v>
      </c>
      <c r="I622" s="269"/>
      <c r="J622" s="214">
        <v>0</v>
      </c>
      <c r="K622" s="163"/>
      <c r="L622" s="163"/>
      <c r="M622" s="163"/>
      <c r="N622" s="163"/>
      <c r="O622" s="163"/>
      <c r="P622" s="163"/>
      <c r="Q622" s="541"/>
      <c r="R622" s="541"/>
      <c r="S622" s="541"/>
      <c r="T622" s="541"/>
      <c r="U622" s="541"/>
      <c r="V622" s="541"/>
      <c r="W622" s="541"/>
      <c r="X622" s="541"/>
      <c r="Y622" s="541"/>
      <c r="Z622" s="541"/>
    </row>
    <row r="623" spans="1:26" ht="18.75">
      <c r="A623" s="572"/>
      <c r="B623" s="584"/>
      <c r="C623" s="584"/>
      <c r="D623" s="584"/>
      <c r="E623" s="592"/>
      <c r="F623" s="592"/>
      <c r="G623" s="726"/>
      <c r="H623" s="728" t="s">
        <v>34</v>
      </c>
      <c r="I623" s="269"/>
      <c r="J623" s="214">
        <v>0</v>
      </c>
      <c r="K623" s="163"/>
      <c r="L623" s="163"/>
      <c r="M623" s="163"/>
      <c r="N623" s="163"/>
      <c r="O623" s="163"/>
      <c r="P623" s="163"/>
      <c r="Q623" s="541"/>
      <c r="R623" s="541"/>
      <c r="S623" s="541"/>
      <c r="T623" s="541"/>
      <c r="U623" s="541"/>
      <c r="V623" s="541"/>
      <c r="W623" s="541"/>
      <c r="X623" s="541"/>
      <c r="Y623" s="541"/>
      <c r="Z623" s="541"/>
    </row>
    <row r="624" spans="1:26" ht="18.75">
      <c r="A624" s="572"/>
      <c r="B624" s="584"/>
      <c r="C624" s="584"/>
      <c r="D624" s="710" t="s">
        <v>264</v>
      </c>
      <c r="E624" s="592"/>
      <c r="F624" s="592"/>
      <c r="G624" s="726"/>
      <c r="H624" s="728" t="s">
        <v>46</v>
      </c>
      <c r="I624" s="269"/>
      <c r="J624" s="214">
        <v>0</v>
      </c>
      <c r="K624" s="163"/>
      <c r="L624" s="163"/>
      <c r="M624" s="163"/>
      <c r="N624" s="163"/>
      <c r="O624" s="163"/>
      <c r="P624" s="163"/>
      <c r="Q624" s="541"/>
      <c r="R624" s="541"/>
      <c r="S624" s="541"/>
      <c r="T624" s="541"/>
      <c r="U624" s="541"/>
      <c r="V624" s="541"/>
      <c r="W624" s="541"/>
      <c r="X624" s="541"/>
      <c r="Y624" s="541"/>
      <c r="Z624" s="541"/>
    </row>
    <row r="625" spans="1:26" ht="18.75">
      <c r="A625" s="572"/>
      <c r="B625" s="584"/>
      <c r="C625" s="584"/>
      <c r="D625" s="584"/>
      <c r="E625" s="592"/>
      <c r="F625" s="592"/>
      <c r="G625" s="726"/>
      <c r="H625" s="728" t="s">
        <v>34</v>
      </c>
      <c r="I625" s="269"/>
      <c r="J625" s="214">
        <v>0</v>
      </c>
      <c r="K625" s="163"/>
      <c r="L625" s="163"/>
      <c r="M625" s="163"/>
      <c r="N625" s="163"/>
      <c r="O625" s="163"/>
      <c r="P625" s="163"/>
      <c r="Q625" s="541"/>
      <c r="R625" s="541"/>
      <c r="S625" s="541"/>
      <c r="T625" s="541"/>
      <c r="U625" s="541"/>
      <c r="V625" s="541"/>
      <c r="W625" s="541"/>
      <c r="X625" s="541"/>
      <c r="Y625" s="541"/>
      <c r="Z625" s="541"/>
    </row>
    <row r="626" spans="1:26" ht="18.75">
      <c r="A626" s="572"/>
      <c r="B626" s="584"/>
      <c r="C626" s="584"/>
      <c r="D626" s="710" t="s">
        <v>269</v>
      </c>
      <c r="E626" s="592"/>
      <c r="F626" s="592"/>
      <c r="G626" s="726"/>
      <c r="H626" s="728" t="s">
        <v>46</v>
      </c>
      <c r="I626" s="269"/>
      <c r="J626" s="214">
        <v>0</v>
      </c>
      <c r="K626" s="163"/>
      <c r="L626" s="163"/>
      <c r="M626" s="163"/>
      <c r="N626" s="163"/>
      <c r="O626" s="163"/>
      <c r="P626" s="163"/>
      <c r="Q626" s="541"/>
      <c r="R626" s="541"/>
      <c r="S626" s="541"/>
      <c r="T626" s="541"/>
      <c r="U626" s="541"/>
      <c r="V626" s="541"/>
      <c r="W626" s="541"/>
      <c r="X626" s="541"/>
      <c r="Y626" s="541"/>
      <c r="Z626" s="541"/>
    </row>
    <row r="627" spans="1:26" ht="18.75">
      <c r="A627" s="696"/>
      <c r="B627" s="697"/>
      <c r="C627" s="697"/>
      <c r="D627" s="697"/>
      <c r="E627" s="698"/>
      <c r="F627" s="698"/>
      <c r="G627" s="699"/>
      <c r="H627" s="390" t="s">
        <v>34</v>
      </c>
      <c r="I627" s="468"/>
      <c r="J627" s="392">
        <v>0</v>
      </c>
      <c r="K627" s="353"/>
      <c r="L627" s="353"/>
      <c r="M627" s="353"/>
      <c r="N627" s="353"/>
      <c r="O627" s="353"/>
      <c r="P627" s="353"/>
      <c r="Q627" s="541"/>
      <c r="R627" s="541"/>
      <c r="S627" s="541"/>
      <c r="T627" s="541"/>
      <c r="U627" s="541"/>
      <c r="V627" s="541"/>
      <c r="W627" s="541"/>
      <c r="X627" s="541"/>
      <c r="Y627" s="541"/>
      <c r="Z627" s="541"/>
    </row>
    <row r="628" spans="1:26" ht="19.5">
      <c r="A628" s="700">
        <v>7</v>
      </c>
      <c r="B628" s="701" t="s">
        <v>270</v>
      </c>
      <c r="C628" s="702"/>
      <c r="D628" s="702"/>
      <c r="E628" s="702"/>
      <c r="F628" s="702"/>
      <c r="G628" s="703"/>
      <c r="H628" s="704" t="s">
        <v>35</v>
      </c>
      <c r="I628" s="705">
        <f t="shared" ref="I628:J628" ca="1" si="261">I651</f>
        <v>21</v>
      </c>
      <c r="J628" s="705">
        <f t="shared" ca="1" si="261"/>
        <v>0</v>
      </c>
      <c r="K628" s="706">
        <f ca="1">IF(I628&gt;0,J628*100/I628,0)</f>
        <v>0</v>
      </c>
      <c r="L628" s="707"/>
      <c r="M628" s="707"/>
      <c r="N628" s="707"/>
      <c r="O628" s="707"/>
      <c r="P628" s="707"/>
      <c r="Q628" s="541"/>
      <c r="R628" s="541"/>
      <c r="S628" s="541"/>
      <c r="T628" s="541"/>
      <c r="U628" s="541"/>
      <c r="V628" s="541"/>
      <c r="W628" s="541"/>
      <c r="X628" s="541"/>
      <c r="Y628" s="541"/>
      <c r="Z628" s="541"/>
    </row>
    <row r="629" spans="1:26" ht="19.5">
      <c r="A629" s="561"/>
      <c r="B629" s="727"/>
      <c r="C629" s="727" t="s">
        <v>16</v>
      </c>
      <c r="D629" s="811" t="s">
        <v>17</v>
      </c>
      <c r="E629" s="805"/>
      <c r="F629" s="805"/>
      <c r="G629" s="189"/>
      <c r="H629" s="562" t="s">
        <v>12</v>
      </c>
      <c r="I629" s="269"/>
      <c r="J629" s="269"/>
      <c r="K629" s="465"/>
      <c r="L629" s="195">
        <f t="shared" ref="L629:N629" ca="1" si="262">L630+L631</f>
        <v>233605</v>
      </c>
      <c r="M629" s="195">
        <f t="shared" si="262"/>
        <v>0</v>
      </c>
      <c r="N629" s="195">
        <f t="shared" si="262"/>
        <v>0</v>
      </c>
      <c r="O629" s="195">
        <f t="shared" ref="O629:O634" ca="1" si="263">IF(L629&gt;0,N629*100/L629,0)</f>
        <v>0</v>
      </c>
      <c r="P629" s="195">
        <f t="shared" ref="P629:P634" si="264">IF(M629&gt;0,N629*100/M629,0)</f>
        <v>0</v>
      </c>
      <c r="Q629" s="541"/>
      <c r="R629" s="541"/>
      <c r="S629" s="541"/>
      <c r="T629" s="541"/>
      <c r="U629" s="541"/>
      <c r="V629" s="541"/>
      <c r="W629" s="541"/>
      <c r="X629" s="541"/>
      <c r="Y629" s="541"/>
      <c r="Z629" s="541"/>
    </row>
    <row r="630" spans="1:26" ht="18.75" hidden="1">
      <c r="A630" s="563"/>
      <c r="B630" s="723"/>
      <c r="C630" s="723"/>
      <c r="D630" s="684"/>
      <c r="E630" s="723" t="s">
        <v>184</v>
      </c>
      <c r="F630" s="723"/>
      <c r="G630" s="567"/>
      <c r="H630" s="165" t="s">
        <v>12</v>
      </c>
      <c r="I630" s="583"/>
      <c r="J630" s="583"/>
      <c r="K630" s="93"/>
      <c r="L630" s="93">
        <f t="shared" ref="L630:N631" si="265">L633+L640</f>
        <v>0</v>
      </c>
      <c r="M630" s="93">
        <f t="shared" si="265"/>
        <v>0</v>
      </c>
      <c r="N630" s="93">
        <f t="shared" si="265"/>
        <v>0</v>
      </c>
      <c r="O630" s="93">
        <f t="shared" si="263"/>
        <v>0</v>
      </c>
      <c r="P630" s="93">
        <f t="shared" si="264"/>
        <v>0</v>
      </c>
      <c r="Q630" s="568"/>
      <c r="R630" s="568"/>
      <c r="S630" s="568"/>
      <c r="T630" s="568"/>
      <c r="U630" s="568"/>
      <c r="V630" s="568"/>
      <c r="W630" s="568"/>
      <c r="X630" s="568"/>
      <c r="Y630" s="568"/>
      <c r="Z630" s="568"/>
    </row>
    <row r="631" spans="1:26" ht="18.75" hidden="1">
      <c r="A631" s="563"/>
      <c r="B631" s="571"/>
      <c r="C631" s="723"/>
      <c r="D631" s="684"/>
      <c r="E631" s="723" t="s">
        <v>185</v>
      </c>
      <c r="F631" s="723"/>
      <c r="G631" s="567"/>
      <c r="H631" s="165" t="s">
        <v>12</v>
      </c>
      <c r="I631" s="583"/>
      <c r="J631" s="583"/>
      <c r="K631" s="93"/>
      <c r="L631" s="93">
        <f t="shared" ca="1" si="265"/>
        <v>233605</v>
      </c>
      <c r="M631" s="93">
        <f t="shared" si="265"/>
        <v>0</v>
      </c>
      <c r="N631" s="93">
        <f t="shared" si="265"/>
        <v>0</v>
      </c>
      <c r="O631" s="93">
        <f t="shared" ca="1" si="263"/>
        <v>0</v>
      </c>
      <c r="P631" s="93">
        <f t="shared" si="264"/>
        <v>0</v>
      </c>
      <c r="Q631" s="568"/>
      <c r="R631" s="568"/>
      <c r="S631" s="568"/>
      <c r="T631" s="568"/>
      <c r="U631" s="568"/>
      <c r="V631" s="568"/>
      <c r="W631" s="568"/>
      <c r="X631" s="568"/>
      <c r="Y631" s="568"/>
      <c r="Z631" s="568"/>
    </row>
    <row r="632" spans="1:26" ht="18.75">
      <c r="A632" s="561"/>
      <c r="B632" s="538"/>
      <c r="C632" s="727"/>
      <c r="D632" s="570" t="s">
        <v>20</v>
      </c>
      <c r="E632" s="727"/>
      <c r="F632" s="727"/>
      <c r="G632" s="189"/>
      <c r="H632" s="161" t="s">
        <v>12</v>
      </c>
      <c r="I632" s="184"/>
      <c r="J632" s="184"/>
      <c r="K632" s="163"/>
      <c r="L632" s="465">
        <f t="shared" ref="L632:N632" ca="1" si="266">L633+L634</f>
        <v>233605</v>
      </c>
      <c r="M632" s="465">
        <f t="shared" si="266"/>
        <v>0</v>
      </c>
      <c r="N632" s="465">
        <f t="shared" si="266"/>
        <v>0</v>
      </c>
      <c r="O632" s="465">
        <f t="shared" ca="1" si="263"/>
        <v>0</v>
      </c>
      <c r="P632" s="465">
        <f t="shared" si="264"/>
        <v>0</v>
      </c>
      <c r="Q632" s="541"/>
      <c r="R632" s="541"/>
      <c r="S632" s="541"/>
      <c r="T632" s="541"/>
      <c r="U632" s="541"/>
      <c r="V632" s="541"/>
      <c r="W632" s="541"/>
      <c r="X632" s="541"/>
      <c r="Y632" s="541"/>
      <c r="Z632" s="541"/>
    </row>
    <row r="633" spans="1:26" ht="18.75" hidden="1">
      <c r="A633" s="563"/>
      <c r="B633" s="571"/>
      <c r="C633" s="723"/>
      <c r="D633" s="684"/>
      <c r="E633" s="723" t="s">
        <v>184</v>
      </c>
      <c r="F633" s="723"/>
      <c r="G633" s="567"/>
      <c r="H633" s="165" t="s">
        <v>12</v>
      </c>
      <c r="I633" s="583"/>
      <c r="J633" s="583"/>
      <c r="K633" s="93"/>
      <c r="L633" s="93">
        <v>0</v>
      </c>
      <c r="M633" s="93">
        <v>0</v>
      </c>
      <c r="N633" s="93">
        <v>0</v>
      </c>
      <c r="O633" s="93">
        <f t="shared" si="263"/>
        <v>0</v>
      </c>
      <c r="P633" s="93">
        <f t="shared" si="264"/>
        <v>0</v>
      </c>
      <c r="Q633" s="568"/>
      <c r="R633" s="568"/>
      <c r="S633" s="568"/>
      <c r="T633" s="568"/>
      <c r="U633" s="568"/>
      <c r="V633" s="568"/>
      <c r="W633" s="568"/>
      <c r="X633" s="568"/>
      <c r="Y633" s="568"/>
      <c r="Z633" s="568"/>
    </row>
    <row r="634" spans="1:26" ht="18.75" hidden="1">
      <c r="A634" s="563"/>
      <c r="B634" s="571"/>
      <c r="C634" s="723"/>
      <c r="D634" s="684"/>
      <c r="E634" s="723" t="s">
        <v>185</v>
      </c>
      <c r="F634" s="723"/>
      <c r="G634" s="567"/>
      <c r="H634" s="165" t="s">
        <v>12</v>
      </c>
      <c r="I634" s="583"/>
      <c r="J634" s="583"/>
      <c r="K634" s="93"/>
      <c r="L634" s="93">
        <f ca="1">IFERROR(__xludf.DUMMYFUNCTION("IMPORTRANGE(""https://docs.google.com/spreadsheets/d/1QqKyyYR6Q21VydFLVH3TRQUabQu_ym0Zz7PgGX0-kHA/edit?usp=sharing"",""แผน!HN16"")"),233605)</f>
        <v>233605</v>
      </c>
      <c r="M634" s="93">
        <v>0</v>
      </c>
      <c r="N634" s="93">
        <f>N635+N636+N637+N638</f>
        <v>0</v>
      </c>
      <c r="O634" s="93">
        <f t="shared" ca="1" si="263"/>
        <v>0</v>
      </c>
      <c r="P634" s="93">
        <f t="shared" si="264"/>
        <v>0</v>
      </c>
      <c r="Q634" s="568"/>
      <c r="R634" s="568"/>
      <c r="S634" s="568"/>
      <c r="T634" s="568"/>
      <c r="U634" s="568"/>
      <c r="V634" s="568"/>
      <c r="W634" s="568"/>
      <c r="X634" s="568"/>
      <c r="Y634" s="568"/>
      <c r="Z634" s="568"/>
    </row>
    <row r="635" spans="1:26" ht="18.75">
      <c r="A635" s="537"/>
      <c r="B635" s="538"/>
      <c r="C635" s="727"/>
      <c r="D635" s="727"/>
      <c r="E635" s="727"/>
      <c r="F635" s="727" t="s">
        <v>186</v>
      </c>
      <c r="G635" s="189"/>
      <c r="H635" s="161" t="s">
        <v>12</v>
      </c>
      <c r="I635" s="269"/>
      <c r="J635" s="269"/>
      <c r="K635" s="465"/>
      <c r="L635" s="465"/>
      <c r="M635" s="465"/>
      <c r="N635" s="789">
        <v>0</v>
      </c>
      <c r="O635" s="465"/>
      <c r="P635" s="465"/>
      <c r="Q635" s="541"/>
      <c r="R635" s="541"/>
      <c r="S635" s="541"/>
      <c r="T635" s="541"/>
      <c r="U635" s="541"/>
      <c r="V635" s="541"/>
      <c r="W635" s="541"/>
      <c r="X635" s="541"/>
      <c r="Y635" s="541"/>
      <c r="Z635" s="541"/>
    </row>
    <row r="636" spans="1:26" ht="18.75">
      <c r="A636" s="537"/>
      <c r="B636" s="538"/>
      <c r="C636" s="727"/>
      <c r="D636" s="727"/>
      <c r="E636" s="727"/>
      <c r="F636" s="727" t="s">
        <v>187</v>
      </c>
      <c r="G636" s="189"/>
      <c r="H636" s="161" t="s">
        <v>12</v>
      </c>
      <c r="I636" s="269"/>
      <c r="J636" s="269"/>
      <c r="K636" s="465"/>
      <c r="L636" s="465"/>
      <c r="M636" s="465"/>
      <c r="N636" s="789">
        <v>0</v>
      </c>
      <c r="O636" s="465"/>
      <c r="P636" s="465"/>
      <c r="Q636" s="541"/>
      <c r="R636" s="541"/>
      <c r="S636" s="541"/>
      <c r="T636" s="541"/>
      <c r="U636" s="541"/>
      <c r="V636" s="541"/>
      <c r="W636" s="541"/>
      <c r="X636" s="541"/>
      <c r="Y636" s="541"/>
      <c r="Z636" s="541"/>
    </row>
    <row r="637" spans="1:26" ht="18.75">
      <c r="A637" s="537"/>
      <c r="B637" s="538"/>
      <c r="C637" s="727"/>
      <c r="D637" s="727"/>
      <c r="E637" s="727"/>
      <c r="F637" s="727" t="s">
        <v>188</v>
      </c>
      <c r="G637" s="189"/>
      <c r="H637" s="161" t="s">
        <v>12</v>
      </c>
      <c r="I637" s="269"/>
      <c r="J637" s="269"/>
      <c r="K637" s="465"/>
      <c r="L637" s="465"/>
      <c r="M637" s="465"/>
      <c r="N637" s="789">
        <v>0</v>
      </c>
      <c r="O637" s="465"/>
      <c r="P637" s="465"/>
      <c r="Q637" s="541"/>
      <c r="R637" s="541"/>
      <c r="S637" s="541"/>
      <c r="T637" s="541"/>
      <c r="U637" s="541"/>
      <c r="V637" s="541"/>
      <c r="W637" s="541"/>
      <c r="X637" s="541"/>
      <c r="Y637" s="541"/>
      <c r="Z637" s="541"/>
    </row>
    <row r="638" spans="1:26" ht="18.75">
      <c r="A638" s="537"/>
      <c r="B638" s="538"/>
      <c r="C638" s="727"/>
      <c r="D638" s="727"/>
      <c r="E638" s="727"/>
      <c r="F638" s="727" t="s">
        <v>189</v>
      </c>
      <c r="G638" s="189"/>
      <c r="H638" s="161" t="s">
        <v>12</v>
      </c>
      <c r="I638" s="269"/>
      <c r="J638" s="269"/>
      <c r="K638" s="465"/>
      <c r="L638" s="465"/>
      <c r="M638" s="465"/>
      <c r="N638" s="789">
        <v>0</v>
      </c>
      <c r="O638" s="465"/>
      <c r="P638" s="465"/>
      <c r="Q638" s="541"/>
      <c r="R638" s="541"/>
      <c r="S638" s="541"/>
      <c r="T638" s="541"/>
      <c r="U638" s="541"/>
      <c r="V638" s="541"/>
      <c r="W638" s="541"/>
      <c r="X638" s="541"/>
      <c r="Y638" s="541"/>
      <c r="Z638" s="541"/>
    </row>
    <row r="639" spans="1:26" ht="18.75">
      <c r="A639" s="561"/>
      <c r="B639" s="538"/>
      <c r="C639" s="727"/>
      <c r="D639" s="570" t="s">
        <v>21</v>
      </c>
      <c r="E639" s="727"/>
      <c r="F639" s="727"/>
      <c r="G639" s="189"/>
      <c r="H639" s="168" t="s">
        <v>12</v>
      </c>
      <c r="I639" s="184"/>
      <c r="J639" s="184"/>
      <c r="K639" s="163"/>
      <c r="L639" s="465">
        <f t="shared" ref="L639:N639" ca="1" si="267">L640+L641</f>
        <v>0</v>
      </c>
      <c r="M639" s="465">
        <f t="shared" si="267"/>
        <v>0</v>
      </c>
      <c r="N639" s="465">
        <f t="shared" si="267"/>
        <v>0</v>
      </c>
      <c r="O639" s="465">
        <f t="shared" ref="O639:O641" ca="1" si="268">IF(L639&gt;0,N639*100/L639,0)</f>
        <v>0</v>
      </c>
      <c r="P639" s="465">
        <f t="shared" ref="P639:P641" si="269">IF(M639&gt;0,N639*100/M639,0)</f>
        <v>0</v>
      </c>
      <c r="Q639" s="541"/>
      <c r="R639" s="541"/>
      <c r="S639" s="541"/>
      <c r="T639" s="541"/>
      <c r="U639" s="541"/>
      <c r="V639" s="541"/>
      <c r="W639" s="541"/>
      <c r="X639" s="541"/>
      <c r="Y639" s="541"/>
      <c r="Z639" s="541"/>
    </row>
    <row r="640" spans="1:26" ht="18.75" hidden="1">
      <c r="A640" s="563"/>
      <c r="B640" s="571"/>
      <c r="C640" s="723"/>
      <c r="D640" s="723"/>
      <c r="E640" s="723" t="s">
        <v>18</v>
      </c>
      <c r="F640" s="723"/>
      <c r="G640" s="567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8"/>
        <v>0</v>
      </c>
      <c r="P640" s="93">
        <f t="shared" si="269"/>
        <v>0</v>
      </c>
      <c r="Q640" s="568"/>
      <c r="R640" s="568"/>
      <c r="S640" s="568"/>
      <c r="T640" s="568"/>
      <c r="U640" s="568"/>
      <c r="V640" s="568"/>
      <c r="W640" s="568"/>
      <c r="X640" s="568"/>
      <c r="Y640" s="568"/>
      <c r="Z640" s="568"/>
    </row>
    <row r="641" spans="1:26" ht="18.75" hidden="1">
      <c r="A641" s="563"/>
      <c r="B641" s="571"/>
      <c r="C641" s="723"/>
      <c r="D641" s="723"/>
      <c r="E641" s="723" t="s">
        <v>19</v>
      </c>
      <c r="F641" s="723"/>
      <c r="G641" s="567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IFERROR(__xludf.DUMMYFUNCTION("IMPORTRANGE(""https://docs.google.com/spreadsheets/d/1QqKyyYR6Q21VydFLVH3TRQUabQu_ym0Zz7PgGX0-kHA/edit?usp=sharing"",""แผน!HQ16"")"),0)</f>
        <v>0</v>
      </c>
      <c r="M641" s="93">
        <v>0</v>
      </c>
      <c r="N641" s="93">
        <v>0</v>
      </c>
      <c r="O641" s="93">
        <f t="shared" ca="1" si="268"/>
        <v>0</v>
      </c>
      <c r="P641" s="93">
        <f t="shared" si="269"/>
        <v>0</v>
      </c>
      <c r="Q641" s="568"/>
      <c r="R641" s="568"/>
      <c r="S641" s="568"/>
      <c r="T641" s="568"/>
      <c r="U641" s="568"/>
      <c r="V641" s="568"/>
      <c r="W641" s="568"/>
      <c r="X641" s="568"/>
      <c r="Y641" s="568"/>
      <c r="Z641" s="568"/>
    </row>
    <row r="642" spans="1:26" ht="19.5">
      <c r="A642" s="572"/>
      <c r="B642" s="584"/>
      <c r="C642" s="727" t="s">
        <v>16</v>
      </c>
      <c r="D642" s="853" t="s">
        <v>38</v>
      </c>
      <c r="E642" s="725"/>
      <c r="F642" s="725"/>
      <c r="G642" s="577"/>
      <c r="H642" s="726"/>
      <c r="I642" s="184"/>
      <c r="J642" s="184"/>
      <c r="K642" s="163"/>
      <c r="L642" s="163"/>
      <c r="M642" s="163"/>
      <c r="N642" s="163"/>
      <c r="O642" s="163"/>
      <c r="P642" s="163"/>
      <c r="Q642" s="541"/>
      <c r="R642" s="541"/>
      <c r="S642" s="541"/>
      <c r="T642" s="541"/>
      <c r="U642" s="541"/>
      <c r="V642" s="541"/>
      <c r="W642" s="541"/>
      <c r="X642" s="541"/>
      <c r="Y642" s="541"/>
      <c r="Z642" s="541"/>
    </row>
    <row r="643" spans="1:26" ht="18.75">
      <c r="A643" s="708"/>
      <c r="B643" s="538"/>
      <c r="C643" s="727"/>
      <c r="D643" s="592"/>
      <c r="E643" s="710" t="s">
        <v>271</v>
      </c>
      <c r="F643" s="592"/>
      <c r="G643" s="726"/>
      <c r="H643" s="728" t="s">
        <v>272</v>
      </c>
      <c r="I643" s="269">
        <f ca="1">IFERROR(__xludf.DUMMYFUNCTION("IMPORTRANGE(""https://docs.google.com/spreadsheets/d/1QqKyyYR6Q21VydFLVH3TRQUabQu_ym0Zz7PgGX0-kHA/edit?usp=sharing"",""แผน!HR16"")"),2)</f>
        <v>2</v>
      </c>
      <c r="J643" s="214">
        <v>0</v>
      </c>
      <c r="K643" s="163">
        <f t="shared" ref="K643:K652" ca="1" si="270">IF(I643&gt;0,J643*100/I643,0)</f>
        <v>0</v>
      </c>
      <c r="L643" s="163"/>
      <c r="M643" s="163"/>
      <c r="N643" s="465"/>
      <c r="O643" s="163"/>
      <c r="P643" s="163"/>
      <c r="Q643" s="541"/>
      <c r="R643" s="541"/>
      <c r="S643" s="541"/>
      <c r="T643" s="541"/>
      <c r="U643" s="541"/>
      <c r="V643" s="541"/>
      <c r="W643" s="541"/>
      <c r="X643" s="541"/>
      <c r="Y643" s="541"/>
      <c r="Z643" s="541"/>
    </row>
    <row r="644" spans="1:26" ht="18.75">
      <c r="A644" s="708"/>
      <c r="B644" s="538"/>
      <c r="C644" s="727"/>
      <c r="D644" s="592"/>
      <c r="E644" s="710" t="s">
        <v>273</v>
      </c>
      <c r="F644" s="592"/>
      <c r="G644" s="726"/>
      <c r="H644" s="728" t="s">
        <v>274</v>
      </c>
      <c r="I644" s="269">
        <f ca="1">IFERROR(__xludf.DUMMYFUNCTION("IMPORTRANGE(""https://docs.google.com/spreadsheets/d/1QqKyyYR6Q21VydFLVH3TRQUabQu_ym0Zz7PgGX0-kHA/edit?usp=sharing"",""แผน!HR16"")"),2)</f>
        <v>2</v>
      </c>
      <c r="J644" s="214">
        <v>0</v>
      </c>
      <c r="K644" s="163">
        <f t="shared" ca="1" si="270"/>
        <v>0</v>
      </c>
      <c r="L644" s="163"/>
      <c r="M644" s="163"/>
      <c r="N644" s="465"/>
      <c r="O644" s="163"/>
      <c r="P644" s="163"/>
      <c r="Q644" s="541"/>
      <c r="R644" s="541"/>
      <c r="S644" s="541"/>
      <c r="T644" s="541"/>
      <c r="U644" s="541"/>
      <c r="V644" s="541"/>
      <c r="W644" s="541"/>
      <c r="X644" s="541"/>
      <c r="Y644" s="541"/>
      <c r="Z644" s="541"/>
    </row>
    <row r="645" spans="1:26" ht="18.75">
      <c r="A645" s="708"/>
      <c r="B645" s="538"/>
      <c r="C645" s="727"/>
      <c r="D645" s="592"/>
      <c r="E645" s="710" t="s">
        <v>275</v>
      </c>
      <c r="F645" s="592"/>
      <c r="G645" s="726"/>
      <c r="H645" s="728" t="s">
        <v>34</v>
      </c>
      <c r="I645" s="269">
        <v>0</v>
      </c>
      <c r="J645" s="269">
        <f ca="1">IFERROR(__xludf.DUMMYFUNCTION("IMPORTRANGE(""https://docs.google.com/spreadsheets/d/1XWAQStnk-4SwqDmLtmXYiTMKHgktTP8We1SCoS47DrQ/edit?usp=sharing"",""จัดที่ดิน!AS16"")"),0)</f>
        <v>0</v>
      </c>
      <c r="K645" s="163">
        <f t="shared" si="270"/>
        <v>0</v>
      </c>
      <c r="L645" s="163"/>
      <c r="M645" s="163"/>
      <c r="N645" s="465"/>
      <c r="O645" s="163"/>
      <c r="P645" s="163"/>
      <c r="Q645" s="541"/>
      <c r="R645" s="541"/>
      <c r="S645" s="541"/>
      <c r="T645" s="541"/>
      <c r="U645" s="541"/>
      <c r="V645" s="541"/>
      <c r="W645" s="541"/>
      <c r="X645" s="541"/>
      <c r="Y645" s="541"/>
      <c r="Z645" s="541"/>
    </row>
    <row r="646" spans="1:26" ht="18.75">
      <c r="A646" s="708"/>
      <c r="B646" s="538"/>
      <c r="C646" s="727"/>
      <c r="D646" s="592"/>
      <c r="E646" s="592"/>
      <c r="F646" s="592"/>
      <c r="G646" s="726"/>
      <c r="H646" s="728" t="s">
        <v>46</v>
      </c>
      <c r="I646" s="269">
        <v>0</v>
      </c>
      <c r="J646" s="269">
        <f ca="1">IFERROR(__xludf.DUMMYFUNCTION("IMPORTRANGE(""https://docs.google.com/spreadsheets/d/1XWAQStnk-4SwqDmLtmXYiTMKHgktTP8We1SCoS47DrQ/edit?usp=sharing"",""จัดที่ดิน!AT16"")"),0)</f>
        <v>0</v>
      </c>
      <c r="K646" s="465">
        <f t="shared" si="270"/>
        <v>0</v>
      </c>
      <c r="L646" s="163"/>
      <c r="M646" s="163"/>
      <c r="N646" s="465"/>
      <c r="O646" s="163"/>
      <c r="P646" s="163"/>
      <c r="Q646" s="541"/>
      <c r="R646" s="541"/>
      <c r="S646" s="541"/>
      <c r="T646" s="541"/>
      <c r="U646" s="541"/>
      <c r="V646" s="541"/>
      <c r="W646" s="541"/>
      <c r="X646" s="541"/>
      <c r="Y646" s="541"/>
      <c r="Z646" s="541"/>
    </row>
    <row r="647" spans="1:26" ht="18.75">
      <c r="A647" s="708"/>
      <c r="B647" s="538"/>
      <c r="C647" s="727"/>
      <c r="D647" s="592"/>
      <c r="E647" s="710" t="s">
        <v>162</v>
      </c>
      <c r="F647" s="592"/>
      <c r="G647" s="726"/>
      <c r="H647" s="728" t="s">
        <v>35</v>
      </c>
      <c r="I647" s="269">
        <f ca="1">IFERROR(__xludf.DUMMYFUNCTION("IMPORTRANGE(""https://docs.google.com/spreadsheets/d/1QqKyyYR6Q21VydFLVH3TRQUabQu_ym0Zz7PgGX0-kHA/edit?usp=sharing"",""แผน!HS16"")"),21)</f>
        <v>21</v>
      </c>
      <c r="J647" s="269">
        <f ca="1">IFERROR(__xludf.DUMMYFUNCTION("IMPORTRANGE(""https://docs.google.com/spreadsheets/d/1XWAQStnk-4SwqDmLtmXYiTMKHgktTP8We1SCoS47DrQ/edit?usp=sharing"",""จัดที่ดิน!AU16"")"),0)</f>
        <v>0</v>
      </c>
      <c r="K647" s="163">
        <f t="shared" ca="1" si="270"/>
        <v>0</v>
      </c>
      <c r="L647" s="163"/>
      <c r="M647" s="163"/>
      <c r="N647" s="163"/>
      <c r="O647" s="163"/>
      <c r="P647" s="163"/>
      <c r="Q647" s="541"/>
      <c r="R647" s="541"/>
      <c r="S647" s="541"/>
      <c r="T647" s="541"/>
      <c r="U647" s="541"/>
      <c r="V647" s="541"/>
      <c r="W647" s="541"/>
      <c r="X647" s="541"/>
      <c r="Y647" s="541"/>
      <c r="Z647" s="541"/>
    </row>
    <row r="648" spans="1:26" ht="18.75">
      <c r="A648" s="708"/>
      <c r="B648" s="538"/>
      <c r="C648" s="727"/>
      <c r="D648" s="592"/>
      <c r="E648" s="592"/>
      <c r="F648" s="592"/>
      <c r="G648" s="726"/>
      <c r="H648" s="728" t="s">
        <v>46</v>
      </c>
      <c r="I648" s="269">
        <v>0</v>
      </c>
      <c r="J648" s="269">
        <f ca="1">IFERROR(__xludf.DUMMYFUNCTION("IMPORTRANGE(""https://docs.google.com/spreadsheets/d/1XWAQStnk-4SwqDmLtmXYiTMKHgktTP8We1SCoS47DrQ/edit?usp=sharing"",""จัดที่ดิน!AV16"")"),0)</f>
        <v>0</v>
      </c>
      <c r="K648" s="465">
        <f t="shared" si="270"/>
        <v>0</v>
      </c>
      <c r="L648" s="163"/>
      <c r="M648" s="163"/>
      <c r="N648" s="163"/>
      <c r="O648" s="163"/>
      <c r="P648" s="163"/>
      <c r="Q648" s="541"/>
      <c r="R648" s="541"/>
      <c r="S648" s="541"/>
      <c r="T648" s="541"/>
      <c r="U648" s="541"/>
      <c r="V648" s="541"/>
      <c r="W648" s="541"/>
      <c r="X648" s="541"/>
      <c r="Y648" s="541"/>
      <c r="Z648" s="541"/>
    </row>
    <row r="649" spans="1:26" ht="18.75">
      <c r="A649" s="708"/>
      <c r="B649" s="538"/>
      <c r="C649" s="727"/>
      <c r="D649" s="592"/>
      <c r="E649" s="710" t="s">
        <v>276</v>
      </c>
      <c r="F649" s="592"/>
      <c r="G649" s="726"/>
      <c r="H649" s="728" t="s">
        <v>35</v>
      </c>
      <c r="I649" s="269">
        <f ca="1">IFERROR(__xludf.DUMMYFUNCTION("IMPORTRANGE(""https://docs.google.com/spreadsheets/d/1QqKyyYR6Q21VydFLVH3TRQUabQu_ym0Zz7PgGX0-kHA/edit?usp=sharing"",""แผน!HS16"")"),21)</f>
        <v>21</v>
      </c>
      <c r="J649" s="269">
        <f ca="1">IFERROR(__xludf.DUMMYFUNCTION("IMPORTRANGE(""https://docs.google.com/spreadsheets/d/1XWAQStnk-4SwqDmLtmXYiTMKHgktTP8We1SCoS47DrQ/edit?usp=sharing"",""จัดที่ดิน!AW16"")"),0)</f>
        <v>0</v>
      </c>
      <c r="K649" s="163">
        <f t="shared" ca="1" si="270"/>
        <v>0</v>
      </c>
      <c r="L649" s="163"/>
      <c r="M649" s="163"/>
      <c r="N649" s="163"/>
      <c r="O649" s="163"/>
      <c r="P649" s="163"/>
      <c r="Q649" s="541"/>
      <c r="R649" s="541"/>
      <c r="S649" s="541"/>
      <c r="T649" s="541"/>
      <c r="U649" s="541"/>
      <c r="V649" s="541"/>
      <c r="W649" s="541"/>
      <c r="X649" s="541"/>
      <c r="Y649" s="541"/>
      <c r="Z649" s="541"/>
    </row>
    <row r="650" spans="1:26" ht="18.75">
      <c r="A650" s="708"/>
      <c r="B650" s="538"/>
      <c r="C650" s="727"/>
      <c r="D650" s="592"/>
      <c r="E650" s="592"/>
      <c r="F650" s="592"/>
      <c r="G650" s="726"/>
      <c r="H650" s="728" t="s">
        <v>46</v>
      </c>
      <c r="I650" s="269">
        <v>0</v>
      </c>
      <c r="J650" s="269">
        <f ca="1">IFERROR(__xludf.DUMMYFUNCTION("IMPORTRANGE(""https://docs.google.com/spreadsheets/d/1XWAQStnk-4SwqDmLtmXYiTMKHgktTP8We1SCoS47DrQ/edit?usp=sharing"",""จัดที่ดิน!AX16"")"),0)</f>
        <v>0</v>
      </c>
      <c r="K650" s="465">
        <f t="shared" si="270"/>
        <v>0</v>
      </c>
      <c r="L650" s="163"/>
      <c r="M650" s="163"/>
      <c r="N650" s="163"/>
      <c r="O650" s="163"/>
      <c r="P650" s="163"/>
      <c r="Q650" s="541"/>
      <c r="R650" s="541"/>
      <c r="S650" s="541"/>
      <c r="T650" s="541"/>
      <c r="U650" s="541"/>
      <c r="V650" s="541"/>
      <c r="W650" s="541"/>
      <c r="X650" s="541"/>
      <c r="Y650" s="541"/>
      <c r="Z650" s="541"/>
    </row>
    <row r="651" spans="1:26" ht="18.75">
      <c r="A651" s="708"/>
      <c r="B651" s="538"/>
      <c r="C651" s="727"/>
      <c r="D651" s="592"/>
      <c r="E651" s="710" t="s">
        <v>277</v>
      </c>
      <c r="F651" s="592"/>
      <c r="G651" s="726"/>
      <c r="H651" s="728" t="s">
        <v>35</v>
      </c>
      <c r="I651" s="269">
        <f ca="1">IFERROR(__xludf.DUMMYFUNCTION("IMPORTRANGE(""https://docs.google.com/spreadsheets/d/1QqKyyYR6Q21VydFLVH3TRQUabQu_ym0Zz7PgGX0-kHA/edit?usp=sharing"",""แผน!HS16"")"),21)</f>
        <v>21</v>
      </c>
      <c r="J651" s="269">
        <f ca="1">IFERROR(__xludf.DUMMYFUNCTION("IMPORTRANGE(""https://docs.google.com/spreadsheets/d/1XWAQStnk-4SwqDmLtmXYiTMKHgktTP8We1SCoS47DrQ/edit?usp=sharing"",""จัดที่ดิน!AY16"")"),0)</f>
        <v>0</v>
      </c>
      <c r="K651" s="163">
        <f t="shared" ca="1" si="270"/>
        <v>0</v>
      </c>
      <c r="L651" s="163"/>
      <c r="M651" s="163"/>
      <c r="N651" s="163"/>
      <c r="O651" s="163"/>
      <c r="P651" s="163"/>
      <c r="Q651" s="541"/>
      <c r="R651" s="541"/>
      <c r="S651" s="541"/>
      <c r="T651" s="541"/>
      <c r="U651" s="541"/>
      <c r="V651" s="541"/>
      <c r="W651" s="541"/>
      <c r="X651" s="541"/>
      <c r="Y651" s="541"/>
      <c r="Z651" s="541"/>
    </row>
    <row r="652" spans="1:26" ht="18.75">
      <c r="A652" s="711"/>
      <c r="B652" s="712"/>
      <c r="C652" s="713"/>
      <c r="D652" s="698"/>
      <c r="E652" s="698"/>
      <c r="F652" s="698"/>
      <c r="G652" s="699"/>
      <c r="H652" s="467" t="s">
        <v>46</v>
      </c>
      <c r="I652" s="468">
        <v>0</v>
      </c>
      <c r="J652" s="468">
        <f ca="1">IFERROR(__xludf.DUMMYFUNCTION("IMPORTRANGE(""https://docs.google.com/spreadsheets/d/1XWAQStnk-4SwqDmLtmXYiTMKHgktTP8We1SCoS47DrQ/edit?usp=sharing"",""จัดที่ดิน!AZ16"")"),0)</f>
        <v>0</v>
      </c>
      <c r="K652" s="469">
        <f t="shared" si="270"/>
        <v>0</v>
      </c>
      <c r="L652" s="353"/>
      <c r="M652" s="353"/>
      <c r="N652" s="353"/>
      <c r="O652" s="353"/>
      <c r="P652" s="353"/>
      <c r="Q652" s="541"/>
      <c r="R652" s="541"/>
      <c r="S652" s="541"/>
      <c r="T652" s="541"/>
      <c r="U652" s="541"/>
      <c r="V652" s="541"/>
      <c r="W652" s="541"/>
      <c r="X652" s="541"/>
      <c r="Y652" s="541"/>
      <c r="Z652" s="541"/>
    </row>
    <row r="653" spans="1:26" ht="19.5">
      <c r="A653" s="714">
        <v>8</v>
      </c>
      <c r="B653" s="701" t="s">
        <v>278</v>
      </c>
      <c r="C653" s="702"/>
      <c r="D653" s="702"/>
      <c r="E653" s="702"/>
      <c r="F653" s="702"/>
      <c r="G653" s="703"/>
      <c r="H653" s="703"/>
      <c r="I653" s="715"/>
      <c r="J653" s="715"/>
      <c r="K653" s="707"/>
      <c r="L653" s="707"/>
      <c r="M653" s="707"/>
      <c r="N653" s="707"/>
      <c r="O653" s="707"/>
      <c r="P653" s="707"/>
      <c r="Q653" s="541"/>
      <c r="R653" s="541"/>
      <c r="S653" s="541"/>
      <c r="T653" s="541"/>
      <c r="U653" s="541"/>
      <c r="V653" s="541"/>
      <c r="W653" s="541"/>
      <c r="X653" s="541"/>
      <c r="Y653" s="541"/>
      <c r="Z653" s="541"/>
    </row>
    <row r="654" spans="1:26" ht="19.5">
      <c r="A654" s="639"/>
      <c r="B654" s="638" t="s">
        <v>279</v>
      </c>
      <c r="C654" s="639"/>
      <c r="D654" s="639"/>
      <c r="E654" s="639"/>
      <c r="F654" s="639"/>
      <c r="G654" s="640"/>
      <c r="H654" s="671" t="s">
        <v>46</v>
      </c>
      <c r="I654" s="672">
        <f t="shared" ref="I654:J654" ca="1" si="271">I669</f>
        <v>100</v>
      </c>
      <c r="J654" s="672">
        <f t="shared" si="271"/>
        <v>0</v>
      </c>
      <c r="K654" s="643">
        <f ca="1">IF(I654&gt;0,J654*100/I654,0)</f>
        <v>0</v>
      </c>
      <c r="L654" s="644"/>
      <c r="M654" s="644"/>
      <c r="N654" s="644"/>
      <c r="O654" s="644"/>
      <c r="P654" s="644"/>
      <c r="Q654" s="541"/>
      <c r="R654" s="541"/>
      <c r="S654" s="541"/>
      <c r="T654" s="541"/>
      <c r="U654" s="541"/>
      <c r="V654" s="541"/>
      <c r="W654" s="541"/>
      <c r="X654" s="541"/>
      <c r="Y654" s="541"/>
      <c r="Z654" s="541"/>
    </row>
    <row r="655" spans="1:26" ht="19.5">
      <c r="A655" s="561"/>
      <c r="B655" s="727"/>
      <c r="C655" s="727" t="s">
        <v>16</v>
      </c>
      <c r="D655" s="811" t="s">
        <v>17</v>
      </c>
      <c r="E655" s="805"/>
      <c r="F655" s="805"/>
      <c r="G655" s="189"/>
      <c r="H655" s="562" t="s">
        <v>12</v>
      </c>
      <c r="I655" s="269"/>
      <c r="J655" s="269"/>
      <c r="K655" s="465"/>
      <c r="L655" s="195">
        <f t="shared" ref="L655:N655" ca="1" si="272">L656+L657</f>
        <v>15600</v>
      </c>
      <c r="M655" s="195">
        <f t="shared" si="272"/>
        <v>0</v>
      </c>
      <c r="N655" s="195">
        <f t="shared" si="272"/>
        <v>0</v>
      </c>
      <c r="O655" s="195">
        <f t="shared" ref="O655:O660" ca="1" si="273">IF(L655&gt;0,N655*100/L655,0)</f>
        <v>0</v>
      </c>
      <c r="P655" s="195">
        <f t="shared" ref="P655:P660" si="274">IF(M655&gt;0,N655*100/M655,0)</f>
        <v>0</v>
      </c>
      <c r="Q655" s="541"/>
      <c r="R655" s="541"/>
      <c r="S655" s="541"/>
      <c r="T655" s="541"/>
      <c r="U655" s="541"/>
      <c r="V655" s="541"/>
      <c r="W655" s="541"/>
      <c r="X655" s="541"/>
      <c r="Y655" s="541"/>
      <c r="Z655" s="541"/>
    </row>
    <row r="656" spans="1:26" ht="18.75" hidden="1">
      <c r="A656" s="563"/>
      <c r="B656" s="723"/>
      <c r="C656" s="723"/>
      <c r="D656" s="684"/>
      <c r="E656" s="723" t="s">
        <v>184</v>
      </c>
      <c r="F656" s="723"/>
      <c r="G656" s="567"/>
      <c r="H656" s="165" t="s">
        <v>12</v>
      </c>
      <c r="I656" s="583"/>
      <c r="J656" s="583"/>
      <c r="K656" s="93"/>
      <c r="L656" s="93">
        <f t="shared" ref="L656:N657" si="275">L659+L666</f>
        <v>0</v>
      </c>
      <c r="M656" s="93">
        <f t="shared" si="275"/>
        <v>0</v>
      </c>
      <c r="N656" s="93">
        <f t="shared" si="275"/>
        <v>0</v>
      </c>
      <c r="O656" s="93">
        <f t="shared" si="273"/>
        <v>0</v>
      </c>
      <c r="P656" s="93">
        <f t="shared" si="274"/>
        <v>0</v>
      </c>
      <c r="Q656" s="568"/>
      <c r="R656" s="568"/>
      <c r="S656" s="568"/>
      <c r="T656" s="568"/>
      <c r="U656" s="568"/>
      <c r="V656" s="568"/>
      <c r="W656" s="568"/>
      <c r="X656" s="568"/>
      <c r="Y656" s="568"/>
      <c r="Z656" s="568"/>
    </row>
    <row r="657" spans="1:26" ht="18.75" hidden="1">
      <c r="A657" s="563"/>
      <c r="B657" s="571"/>
      <c r="C657" s="723"/>
      <c r="D657" s="684"/>
      <c r="E657" s="723" t="s">
        <v>185</v>
      </c>
      <c r="F657" s="723"/>
      <c r="G657" s="567"/>
      <c r="H657" s="165" t="s">
        <v>12</v>
      </c>
      <c r="I657" s="583"/>
      <c r="J657" s="583"/>
      <c r="K657" s="93"/>
      <c r="L657" s="93">
        <f t="shared" ca="1" si="275"/>
        <v>15600</v>
      </c>
      <c r="M657" s="93">
        <f t="shared" si="275"/>
        <v>0</v>
      </c>
      <c r="N657" s="93">
        <f t="shared" si="275"/>
        <v>0</v>
      </c>
      <c r="O657" s="93">
        <f t="shared" ca="1" si="273"/>
        <v>0</v>
      </c>
      <c r="P657" s="93">
        <f t="shared" si="274"/>
        <v>0</v>
      </c>
      <c r="Q657" s="568"/>
      <c r="R657" s="568"/>
      <c r="S657" s="568"/>
      <c r="T657" s="568"/>
      <c r="U657" s="568"/>
      <c r="V657" s="568"/>
      <c r="W657" s="568"/>
      <c r="X657" s="568"/>
      <c r="Y657" s="568"/>
      <c r="Z657" s="568"/>
    </row>
    <row r="658" spans="1:26" ht="18.75">
      <c r="A658" s="561"/>
      <c r="B658" s="538"/>
      <c r="C658" s="727"/>
      <c r="D658" s="570" t="s">
        <v>20</v>
      </c>
      <c r="E658" s="727"/>
      <c r="F658" s="727"/>
      <c r="G658" s="189"/>
      <c r="H658" s="161" t="s">
        <v>12</v>
      </c>
      <c r="I658" s="184"/>
      <c r="J658" s="184"/>
      <c r="K658" s="163"/>
      <c r="L658" s="465">
        <f t="shared" ref="L658:N658" ca="1" si="276">L659+L660</f>
        <v>15600</v>
      </c>
      <c r="M658" s="465">
        <f t="shared" si="276"/>
        <v>0</v>
      </c>
      <c r="N658" s="465">
        <f t="shared" si="276"/>
        <v>0</v>
      </c>
      <c r="O658" s="465">
        <f t="shared" ca="1" si="273"/>
        <v>0</v>
      </c>
      <c r="P658" s="465">
        <f t="shared" si="274"/>
        <v>0</v>
      </c>
      <c r="Q658" s="541"/>
      <c r="R658" s="541"/>
      <c r="S658" s="541"/>
      <c r="T658" s="541"/>
      <c r="U658" s="541"/>
      <c r="V658" s="541"/>
      <c r="W658" s="541"/>
      <c r="X658" s="541"/>
      <c r="Y658" s="541"/>
      <c r="Z658" s="541"/>
    </row>
    <row r="659" spans="1:26" ht="18.75" hidden="1">
      <c r="A659" s="563"/>
      <c r="B659" s="571"/>
      <c r="C659" s="723"/>
      <c r="D659" s="684"/>
      <c r="E659" s="723" t="s">
        <v>184</v>
      </c>
      <c r="F659" s="723"/>
      <c r="G659" s="567"/>
      <c r="H659" s="165" t="s">
        <v>12</v>
      </c>
      <c r="I659" s="583"/>
      <c r="J659" s="583"/>
      <c r="K659" s="93"/>
      <c r="L659" s="93">
        <v>0</v>
      </c>
      <c r="M659" s="93">
        <v>0</v>
      </c>
      <c r="N659" s="93">
        <v>0</v>
      </c>
      <c r="O659" s="93">
        <f t="shared" si="273"/>
        <v>0</v>
      </c>
      <c r="P659" s="93">
        <f t="shared" si="274"/>
        <v>0</v>
      </c>
      <c r="Q659" s="568"/>
      <c r="R659" s="568"/>
      <c r="S659" s="568"/>
      <c r="T659" s="568"/>
      <c r="U659" s="568"/>
      <c r="V659" s="568"/>
      <c r="W659" s="568"/>
      <c r="X659" s="568"/>
      <c r="Y659" s="568"/>
      <c r="Z659" s="568"/>
    </row>
    <row r="660" spans="1:26" ht="18.75" hidden="1">
      <c r="A660" s="563"/>
      <c r="B660" s="571"/>
      <c r="C660" s="723"/>
      <c r="D660" s="684"/>
      <c r="E660" s="723" t="s">
        <v>185</v>
      </c>
      <c r="F660" s="723"/>
      <c r="G660" s="567"/>
      <c r="H660" s="165" t="s">
        <v>12</v>
      </c>
      <c r="I660" s="583"/>
      <c r="J660" s="583"/>
      <c r="K660" s="93"/>
      <c r="L660" s="93">
        <f ca="1">IFERROR(__xludf.DUMMYFUNCTION("IMPORTRANGE(""https://docs.google.com/spreadsheets/d/1QqKyyYR6Q21VydFLVH3TRQUabQu_ym0Zz7PgGX0-kHA/edit?usp=sharing"",""แผน!HV16"")"),15600)</f>
        <v>15600</v>
      </c>
      <c r="M660" s="93">
        <v>0</v>
      </c>
      <c r="N660" s="93">
        <f>N661+N662+N663+N664</f>
        <v>0</v>
      </c>
      <c r="O660" s="93">
        <f t="shared" ca="1" si="273"/>
        <v>0</v>
      </c>
      <c r="P660" s="93">
        <f t="shared" si="274"/>
        <v>0</v>
      </c>
      <c r="Q660" s="568"/>
      <c r="R660" s="568"/>
      <c r="S660" s="568"/>
      <c r="T660" s="568"/>
      <c r="U660" s="568"/>
      <c r="V660" s="568"/>
      <c r="W660" s="568"/>
      <c r="X660" s="568"/>
      <c r="Y660" s="568"/>
      <c r="Z660" s="568"/>
    </row>
    <row r="661" spans="1:26" ht="18.75">
      <c r="A661" s="537"/>
      <c r="B661" s="538"/>
      <c r="C661" s="727"/>
      <c r="D661" s="727"/>
      <c r="E661" s="727"/>
      <c r="F661" s="727" t="s">
        <v>186</v>
      </c>
      <c r="G661" s="189"/>
      <c r="H661" s="161" t="s">
        <v>12</v>
      </c>
      <c r="I661" s="269"/>
      <c r="J661" s="269"/>
      <c r="K661" s="465"/>
      <c r="L661" s="465"/>
      <c r="M661" s="465"/>
      <c r="N661" s="789">
        <v>0</v>
      </c>
      <c r="O661" s="465"/>
      <c r="P661" s="465"/>
      <c r="Q661" s="541"/>
      <c r="R661" s="541"/>
      <c r="S661" s="541"/>
      <c r="T661" s="541"/>
      <c r="U661" s="541"/>
      <c r="V661" s="541"/>
      <c r="W661" s="541"/>
      <c r="X661" s="541"/>
      <c r="Y661" s="541"/>
      <c r="Z661" s="541"/>
    </row>
    <row r="662" spans="1:26" ht="18.75">
      <c r="A662" s="537"/>
      <c r="B662" s="538"/>
      <c r="C662" s="727"/>
      <c r="D662" s="727"/>
      <c r="E662" s="727"/>
      <c r="F662" s="727" t="s">
        <v>187</v>
      </c>
      <c r="G662" s="189"/>
      <c r="H662" s="161" t="s">
        <v>12</v>
      </c>
      <c r="I662" s="269"/>
      <c r="J662" s="269"/>
      <c r="K662" s="465"/>
      <c r="L662" s="465"/>
      <c r="M662" s="465"/>
      <c r="N662" s="789">
        <v>0</v>
      </c>
      <c r="O662" s="465"/>
      <c r="P662" s="465"/>
      <c r="Q662" s="541"/>
      <c r="R662" s="541"/>
      <c r="S662" s="541"/>
      <c r="T662" s="541"/>
      <c r="U662" s="541"/>
      <c r="V662" s="541"/>
      <c r="W662" s="541"/>
      <c r="X662" s="541"/>
      <c r="Y662" s="541"/>
      <c r="Z662" s="541"/>
    </row>
    <row r="663" spans="1:26" ht="18.75">
      <c r="A663" s="537"/>
      <c r="B663" s="538"/>
      <c r="C663" s="538"/>
      <c r="D663" s="727"/>
      <c r="E663" s="727"/>
      <c r="F663" s="727" t="s">
        <v>188</v>
      </c>
      <c r="G663" s="189"/>
      <c r="H663" s="161" t="s">
        <v>12</v>
      </c>
      <c r="I663" s="269"/>
      <c r="J663" s="269"/>
      <c r="K663" s="465"/>
      <c r="L663" s="465"/>
      <c r="M663" s="465"/>
      <c r="N663" s="789">
        <v>0</v>
      </c>
      <c r="O663" s="465"/>
      <c r="P663" s="465"/>
      <c r="Q663" s="541"/>
      <c r="R663" s="541"/>
      <c r="S663" s="541"/>
      <c r="T663" s="541"/>
      <c r="U663" s="541"/>
      <c r="V663" s="541"/>
      <c r="W663" s="541"/>
      <c r="X663" s="541"/>
      <c r="Y663" s="541"/>
      <c r="Z663" s="541"/>
    </row>
    <row r="664" spans="1:26" ht="18.75">
      <c r="A664" s="537"/>
      <c r="B664" s="538"/>
      <c r="C664" s="538"/>
      <c r="D664" s="538"/>
      <c r="E664" s="727"/>
      <c r="F664" s="727" t="s">
        <v>189</v>
      </c>
      <c r="G664" s="189"/>
      <c r="H664" s="161" t="s">
        <v>12</v>
      </c>
      <c r="I664" s="269"/>
      <c r="J664" s="269"/>
      <c r="K664" s="465"/>
      <c r="L664" s="465"/>
      <c r="M664" s="465"/>
      <c r="N664" s="789">
        <v>0</v>
      </c>
      <c r="O664" s="465"/>
      <c r="P664" s="465"/>
      <c r="Q664" s="541"/>
      <c r="R664" s="541"/>
      <c r="S664" s="541"/>
      <c r="T664" s="541"/>
      <c r="U664" s="541"/>
      <c r="V664" s="541"/>
      <c r="W664" s="541"/>
      <c r="X664" s="541"/>
      <c r="Y664" s="541"/>
      <c r="Z664" s="541"/>
    </row>
    <row r="665" spans="1:26" ht="18.75">
      <c r="A665" s="561"/>
      <c r="B665" s="538"/>
      <c r="C665" s="538"/>
      <c r="D665" s="570" t="s">
        <v>21</v>
      </c>
      <c r="E665" s="727"/>
      <c r="F665" s="727"/>
      <c r="G665" s="189"/>
      <c r="H665" s="168" t="s">
        <v>12</v>
      </c>
      <c r="I665" s="184"/>
      <c r="J665" s="184"/>
      <c r="K665" s="163"/>
      <c r="L665" s="465">
        <f t="shared" ref="L665:N665" si="277">L666+L667</f>
        <v>0</v>
      </c>
      <c r="M665" s="465">
        <f t="shared" si="277"/>
        <v>0</v>
      </c>
      <c r="N665" s="465">
        <f t="shared" si="277"/>
        <v>0</v>
      </c>
      <c r="O665" s="465">
        <f t="shared" ref="O665:O667" si="278">IF(L665&gt;0,N665*100/L665,0)</f>
        <v>0</v>
      </c>
      <c r="P665" s="465">
        <f t="shared" ref="P665:P667" si="279">IF(M665&gt;0,N665*100/M665,0)</f>
        <v>0</v>
      </c>
      <c r="Q665" s="541"/>
      <c r="R665" s="541"/>
      <c r="S665" s="541"/>
      <c r="T665" s="541"/>
      <c r="U665" s="541"/>
      <c r="V665" s="541"/>
      <c r="W665" s="541"/>
      <c r="X665" s="541"/>
      <c r="Y665" s="541"/>
      <c r="Z665" s="541"/>
    </row>
    <row r="666" spans="1:26" ht="18.75" hidden="1">
      <c r="A666" s="563"/>
      <c r="B666" s="571"/>
      <c r="C666" s="571"/>
      <c r="D666" s="571"/>
      <c r="E666" s="723" t="s">
        <v>18</v>
      </c>
      <c r="F666" s="723"/>
      <c r="G666" s="567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8"/>
        <v>0</v>
      </c>
      <c r="P666" s="93">
        <f t="shared" si="279"/>
        <v>0</v>
      </c>
      <c r="Q666" s="568"/>
      <c r="R666" s="568"/>
      <c r="S666" s="568"/>
      <c r="T666" s="568"/>
      <c r="U666" s="568"/>
      <c r="V666" s="568"/>
      <c r="W666" s="568"/>
      <c r="X666" s="568"/>
      <c r="Y666" s="568"/>
      <c r="Z666" s="568"/>
    </row>
    <row r="667" spans="1:26" ht="18.75" hidden="1">
      <c r="A667" s="563"/>
      <c r="B667" s="571"/>
      <c r="C667" s="571"/>
      <c r="D667" s="571"/>
      <c r="E667" s="723" t="s">
        <v>19</v>
      </c>
      <c r="F667" s="723"/>
      <c r="G667" s="567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8"/>
        <v>0</v>
      </c>
      <c r="P667" s="93">
        <f t="shared" si="279"/>
        <v>0</v>
      </c>
      <c r="Q667" s="568"/>
      <c r="R667" s="568"/>
      <c r="S667" s="568"/>
      <c r="T667" s="568"/>
      <c r="U667" s="568"/>
      <c r="V667" s="568"/>
      <c r="W667" s="568"/>
      <c r="X667" s="568"/>
      <c r="Y667" s="568"/>
      <c r="Z667" s="568"/>
    </row>
    <row r="668" spans="1:26" ht="19.5">
      <c r="A668" s="572"/>
      <c r="B668" s="584"/>
      <c r="C668" s="538" t="s">
        <v>16</v>
      </c>
      <c r="D668" s="850" t="s">
        <v>38</v>
      </c>
      <c r="E668" s="725"/>
      <c r="F668" s="725"/>
      <c r="G668" s="577"/>
      <c r="H668" s="726"/>
      <c r="I668" s="184"/>
      <c r="J668" s="184"/>
      <c r="K668" s="163"/>
      <c r="L668" s="163"/>
      <c r="M668" s="163"/>
      <c r="N668" s="163"/>
      <c r="O668" s="163"/>
      <c r="P668" s="163"/>
      <c r="Q668" s="541"/>
      <c r="R668" s="541"/>
      <c r="S668" s="541"/>
      <c r="T668" s="541"/>
      <c r="U668" s="541"/>
      <c r="V668" s="541"/>
      <c r="W668" s="541"/>
      <c r="X668" s="541"/>
      <c r="Y668" s="541"/>
      <c r="Z668" s="541"/>
    </row>
    <row r="669" spans="1:26" ht="19.5">
      <c r="A669" s="572"/>
      <c r="B669" s="584"/>
      <c r="C669" s="584"/>
      <c r="D669" s="584" t="s">
        <v>280</v>
      </c>
      <c r="E669" s="592"/>
      <c r="F669" s="592"/>
      <c r="G669" s="726"/>
      <c r="H669" s="731" t="s">
        <v>46</v>
      </c>
      <c r="I669" s="647">
        <f ca="1">IFERROR(__xludf.DUMMYFUNCTION("IMPORTRANGE(""https://docs.google.com/spreadsheets/d/1QqKyyYR6Q21VydFLVH3TRQUabQu_ym0Zz7PgGX0-kHA/edit?usp=sharing"",""แผน!IA16"")"),100)</f>
        <v>100</v>
      </c>
      <c r="J669" s="647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41"/>
      <c r="R669" s="541"/>
      <c r="S669" s="541"/>
      <c r="T669" s="541"/>
      <c r="U669" s="541"/>
      <c r="V669" s="541"/>
      <c r="W669" s="541"/>
      <c r="X669" s="541"/>
      <c r="Y669" s="541"/>
      <c r="Z669" s="541"/>
    </row>
    <row r="670" spans="1:26" ht="18.75">
      <c r="A670" s="572"/>
      <c r="B670" s="584"/>
      <c r="C670" s="584"/>
      <c r="D670" s="584"/>
      <c r="E670" s="592" t="s">
        <v>281</v>
      </c>
      <c r="F670" s="592"/>
      <c r="G670" s="726"/>
      <c r="H670" s="728" t="s">
        <v>69</v>
      </c>
      <c r="I670" s="269">
        <f ca="1">IFERROR(__xludf.DUMMYFUNCTION("IMPORTRANGE(""https://docs.google.com/spreadsheets/d/1QqKyyYR6Q21VydFLVH3TRQUabQu_ym0Zz7PgGX0-kHA/edit?usp=sharing"",""แผน!HZ16"")"),6)</f>
        <v>6</v>
      </c>
      <c r="J670" s="214">
        <v>0</v>
      </c>
      <c r="K670" s="465">
        <f ca="1">IF(I670&gt;0,(J670*100)/I670,0)</f>
        <v>0</v>
      </c>
      <c r="L670" s="163"/>
      <c r="M670" s="163"/>
      <c r="N670" s="163"/>
      <c r="O670" s="163"/>
      <c r="P670" s="163"/>
      <c r="Q670" s="541"/>
      <c r="R670" s="541"/>
      <c r="S670" s="541"/>
      <c r="T670" s="541"/>
      <c r="U670" s="541"/>
      <c r="V670" s="541"/>
      <c r="W670" s="541"/>
      <c r="X670" s="541"/>
      <c r="Y670" s="541"/>
      <c r="Z670" s="541"/>
    </row>
    <row r="671" spans="1:26" ht="18.75">
      <c r="A671" s="572"/>
      <c r="B671" s="584"/>
      <c r="C671" s="584"/>
      <c r="D671" s="584"/>
      <c r="E671" s="592" t="s">
        <v>282</v>
      </c>
      <c r="F671" s="592"/>
      <c r="G671" s="726"/>
      <c r="H671" s="728" t="s">
        <v>69</v>
      </c>
      <c r="I671" s="269">
        <f ca="1">IFERROR(__xludf.DUMMYFUNCTION("IMPORTRANGE(""https://docs.google.com/spreadsheets/d/1QqKyyYR6Q21VydFLVH3TRQUabQu_ym0Zz7PgGX0-kHA/edit?usp=sharing"",""แผน!HZ16"")"),6)</f>
        <v>6</v>
      </c>
      <c r="J671" s="214">
        <v>0</v>
      </c>
      <c r="K671" s="465">
        <f ca="1">IF(I$671&gt;0,J671*100/I$671,0)</f>
        <v>0</v>
      </c>
      <c r="L671" s="163"/>
      <c r="M671" s="163"/>
      <c r="N671" s="163"/>
      <c r="O671" s="163"/>
      <c r="P671" s="163"/>
      <c r="Q671" s="541"/>
      <c r="R671" s="541"/>
      <c r="S671" s="541"/>
      <c r="T671" s="541"/>
      <c r="U671" s="541"/>
      <c r="V671" s="541"/>
      <c r="W671" s="541"/>
      <c r="X671" s="541"/>
      <c r="Y671" s="541"/>
      <c r="Z671" s="541"/>
    </row>
    <row r="672" spans="1:26" ht="18.75">
      <c r="A672" s="572"/>
      <c r="B672" s="584"/>
      <c r="C672" s="584"/>
      <c r="D672" s="584"/>
      <c r="E672" s="592" t="s">
        <v>283</v>
      </c>
      <c r="F672" s="592"/>
      <c r="G672" s="726"/>
      <c r="H672" s="728" t="s">
        <v>46</v>
      </c>
      <c r="I672" s="269"/>
      <c r="J672" s="214">
        <v>0</v>
      </c>
      <c r="K672" s="465">
        <f t="shared" ref="K672:K675" ca="1" si="280">IF(I$669&gt;0,J672*100/I$669,0)</f>
        <v>0</v>
      </c>
      <c r="L672" s="163"/>
      <c r="M672" s="163"/>
      <c r="N672" s="163"/>
      <c r="O672" s="163"/>
      <c r="P672" s="163"/>
      <c r="Q672" s="541"/>
      <c r="R672" s="541"/>
      <c r="S672" s="541"/>
      <c r="T672" s="541"/>
      <c r="U672" s="541"/>
      <c r="V672" s="541"/>
      <c r="W672" s="541"/>
      <c r="X672" s="541"/>
      <c r="Y672" s="541"/>
      <c r="Z672" s="541"/>
    </row>
    <row r="673" spans="1:26" ht="18.75">
      <c r="A673" s="572"/>
      <c r="B673" s="584"/>
      <c r="C673" s="584"/>
      <c r="D673" s="584"/>
      <c r="E673" s="592" t="s">
        <v>284</v>
      </c>
      <c r="F673" s="592"/>
      <c r="G673" s="726"/>
      <c r="H673" s="728" t="s">
        <v>46</v>
      </c>
      <c r="I673" s="269"/>
      <c r="J673" s="214">
        <v>0</v>
      </c>
      <c r="K673" s="465">
        <f t="shared" ca="1" si="280"/>
        <v>0</v>
      </c>
      <c r="L673" s="163"/>
      <c r="M673" s="163"/>
      <c r="N673" s="163"/>
      <c r="O673" s="163"/>
      <c r="P673" s="163"/>
      <c r="Q673" s="541"/>
      <c r="R673" s="541"/>
      <c r="S673" s="541"/>
      <c r="T673" s="541"/>
      <c r="U673" s="541"/>
      <c r="V673" s="541"/>
      <c r="W673" s="541"/>
      <c r="X673" s="541"/>
      <c r="Y673" s="541"/>
      <c r="Z673" s="541"/>
    </row>
    <row r="674" spans="1:26" ht="18.75">
      <c r="A674" s="572"/>
      <c r="B674" s="584"/>
      <c r="C674" s="584"/>
      <c r="D674" s="584"/>
      <c r="E674" s="592" t="s">
        <v>285</v>
      </c>
      <c r="F674" s="592"/>
      <c r="G674" s="726"/>
      <c r="H674" s="728" t="s">
        <v>46</v>
      </c>
      <c r="I674" s="269"/>
      <c r="J674" s="214">
        <v>0</v>
      </c>
      <c r="K674" s="465">
        <f t="shared" ca="1" si="280"/>
        <v>0</v>
      </c>
      <c r="L674" s="163"/>
      <c r="M674" s="163"/>
      <c r="N674" s="163"/>
      <c r="O674" s="163"/>
      <c r="P674" s="163"/>
      <c r="Q674" s="541"/>
      <c r="R674" s="541"/>
      <c r="S674" s="541"/>
      <c r="T674" s="541"/>
      <c r="U674" s="541"/>
      <c r="V674" s="541"/>
      <c r="W674" s="541"/>
      <c r="X674" s="541"/>
      <c r="Y674" s="541"/>
      <c r="Z674" s="541"/>
    </row>
    <row r="675" spans="1:26" ht="19.5">
      <c r="A675" s="572"/>
      <c r="B675" s="584"/>
      <c r="C675" s="584"/>
      <c r="D675" s="584"/>
      <c r="E675" s="592" t="s">
        <v>286</v>
      </c>
      <c r="F675" s="592"/>
      <c r="G675" s="726"/>
      <c r="H675" s="728" t="s">
        <v>46</v>
      </c>
      <c r="I675" s="269"/>
      <c r="J675" s="647">
        <f>J676+J677</f>
        <v>0</v>
      </c>
      <c r="K675" s="195">
        <f t="shared" ca="1" si="280"/>
        <v>0</v>
      </c>
      <c r="L675" s="163"/>
      <c r="M675" s="163"/>
      <c r="N675" s="163"/>
      <c r="O675" s="163"/>
      <c r="P675" s="163"/>
      <c r="Q675" s="541"/>
      <c r="R675" s="541"/>
      <c r="S675" s="541"/>
      <c r="T675" s="541"/>
      <c r="U675" s="541"/>
      <c r="V675" s="541"/>
      <c r="W675" s="541"/>
      <c r="X675" s="541"/>
      <c r="Y675" s="541"/>
      <c r="Z675" s="541"/>
    </row>
    <row r="676" spans="1:26" ht="18.75">
      <c r="A676" s="572"/>
      <c r="B676" s="584"/>
      <c r="C676" s="584"/>
      <c r="D676" s="584"/>
      <c r="E676" s="592"/>
      <c r="F676" s="592" t="s">
        <v>287</v>
      </c>
      <c r="G676" s="726"/>
      <c r="H676" s="728" t="s">
        <v>46</v>
      </c>
      <c r="I676" s="269"/>
      <c r="J676" s="214">
        <v>0</v>
      </c>
      <c r="K676" s="465"/>
      <c r="L676" s="163"/>
      <c r="M676" s="163"/>
      <c r="N676" s="163"/>
      <c r="O676" s="163"/>
      <c r="P676" s="163"/>
      <c r="Q676" s="541"/>
      <c r="R676" s="541"/>
      <c r="S676" s="541"/>
      <c r="T676" s="541"/>
      <c r="U676" s="541"/>
      <c r="V676" s="541"/>
      <c r="W676" s="541"/>
      <c r="X676" s="541"/>
      <c r="Y676" s="541"/>
      <c r="Z676" s="541"/>
    </row>
    <row r="677" spans="1:26" ht="18.75">
      <c r="A677" s="572"/>
      <c r="B677" s="584"/>
      <c r="C677" s="584"/>
      <c r="D677" s="584"/>
      <c r="E677" s="592"/>
      <c r="F677" s="592" t="s">
        <v>288</v>
      </c>
      <c r="G677" s="726"/>
      <c r="H677" s="728" t="s">
        <v>46</v>
      </c>
      <c r="I677" s="269"/>
      <c r="J677" s="214">
        <v>0</v>
      </c>
      <c r="K677" s="465"/>
      <c r="L677" s="163"/>
      <c r="M677" s="163"/>
      <c r="N677" s="163"/>
      <c r="O677" s="163"/>
      <c r="P677" s="163"/>
      <c r="Q677" s="541"/>
      <c r="R677" s="541"/>
      <c r="S677" s="541"/>
      <c r="T677" s="541"/>
      <c r="U677" s="541"/>
      <c r="V677" s="541"/>
      <c r="W677" s="541"/>
      <c r="X677" s="541"/>
      <c r="Y677" s="541"/>
      <c r="Z677" s="541"/>
    </row>
    <row r="678" spans="1:26" ht="19.5">
      <c r="A678" s="572"/>
      <c r="B678" s="584"/>
      <c r="C678" s="584"/>
      <c r="D678" s="584" t="s">
        <v>289</v>
      </c>
      <c r="E678" s="592"/>
      <c r="F678" s="592"/>
      <c r="G678" s="726"/>
      <c r="H678" s="728" t="s">
        <v>46</v>
      </c>
      <c r="I678" s="647">
        <f ca="1">IFERROR(__xludf.DUMMYFUNCTION("IMPORTRANGE(""https://docs.google.com/spreadsheets/d/1QqKyyYR6Q21VydFLVH3TRQUabQu_ym0Zz7PgGX0-kHA/edit?usp=sharing"",""แผน!IB16"")"),0)</f>
        <v>0</v>
      </c>
      <c r="J678" s="647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41"/>
      <c r="R678" s="541"/>
      <c r="S678" s="541"/>
      <c r="T678" s="541"/>
      <c r="U678" s="541"/>
      <c r="V678" s="541"/>
      <c r="W678" s="541"/>
      <c r="X678" s="541"/>
      <c r="Y678" s="541"/>
      <c r="Z678" s="541"/>
    </row>
    <row r="679" spans="1:26" ht="18.75">
      <c r="A679" s="572"/>
      <c r="B679" s="584"/>
      <c r="C679" s="584"/>
      <c r="D679" s="584"/>
      <c r="E679" s="592" t="s">
        <v>290</v>
      </c>
      <c r="F679" s="592"/>
      <c r="G679" s="726"/>
      <c r="H679" s="728" t="s">
        <v>46</v>
      </c>
      <c r="I679" s="269"/>
      <c r="J679" s="269">
        <f>J680+J681</f>
        <v>0</v>
      </c>
      <c r="K679" s="465"/>
      <c r="L679" s="163"/>
      <c r="M679" s="163"/>
      <c r="N679" s="163"/>
      <c r="O679" s="163"/>
      <c r="P679" s="163"/>
      <c r="Q679" s="541"/>
      <c r="R679" s="541"/>
      <c r="S679" s="541"/>
      <c r="T679" s="541"/>
      <c r="U679" s="541"/>
      <c r="V679" s="541"/>
      <c r="W679" s="541"/>
      <c r="X679" s="541"/>
      <c r="Y679" s="541"/>
      <c r="Z679" s="541"/>
    </row>
    <row r="680" spans="1:26" ht="18.75">
      <c r="A680" s="572"/>
      <c r="B680" s="584"/>
      <c r="C680" s="584"/>
      <c r="D680" s="584"/>
      <c r="E680" s="592"/>
      <c r="F680" s="592" t="s">
        <v>287</v>
      </c>
      <c r="G680" s="726"/>
      <c r="H680" s="728" t="s">
        <v>46</v>
      </c>
      <c r="I680" s="269"/>
      <c r="J680" s="214">
        <v>0</v>
      </c>
      <c r="K680" s="465"/>
      <c r="L680" s="163"/>
      <c r="M680" s="163"/>
      <c r="N680" s="163"/>
      <c r="O680" s="163"/>
      <c r="P680" s="163"/>
      <c r="Q680" s="541"/>
      <c r="R680" s="541"/>
      <c r="S680" s="541"/>
      <c r="T680" s="541"/>
      <c r="U680" s="541"/>
      <c r="V680" s="541"/>
      <c r="W680" s="541"/>
      <c r="X680" s="541"/>
      <c r="Y680" s="541"/>
      <c r="Z680" s="541"/>
    </row>
    <row r="681" spans="1:26" ht="18.75">
      <c r="A681" s="572"/>
      <c r="B681" s="584"/>
      <c r="C681" s="584"/>
      <c r="D681" s="584"/>
      <c r="E681" s="592"/>
      <c r="F681" s="592" t="s">
        <v>288</v>
      </c>
      <c r="G681" s="726"/>
      <c r="H681" s="728" t="s">
        <v>46</v>
      </c>
      <c r="I681" s="269"/>
      <c r="J681" s="214">
        <v>0</v>
      </c>
      <c r="K681" s="465"/>
      <c r="L681" s="163"/>
      <c r="M681" s="163"/>
      <c r="N681" s="163"/>
      <c r="O681" s="163"/>
      <c r="P681" s="163"/>
      <c r="Q681" s="541"/>
      <c r="R681" s="541"/>
      <c r="S681" s="541"/>
      <c r="T681" s="541"/>
      <c r="U681" s="541"/>
      <c r="V681" s="541"/>
      <c r="W681" s="541"/>
      <c r="X681" s="541"/>
      <c r="Y681" s="541"/>
      <c r="Z681" s="541"/>
    </row>
    <row r="682" spans="1:26" ht="18.75">
      <c r="A682" s="572"/>
      <c r="B682" s="584"/>
      <c r="C682" s="584"/>
      <c r="D682" s="584"/>
      <c r="E682" s="592" t="s">
        <v>291</v>
      </c>
      <c r="F682" s="592"/>
      <c r="G682" s="726"/>
      <c r="H682" s="728" t="s">
        <v>46</v>
      </c>
      <c r="I682" s="269"/>
      <c r="J682" s="214">
        <v>0</v>
      </c>
      <c r="K682" s="465"/>
      <c r="L682" s="163"/>
      <c r="M682" s="163"/>
      <c r="N682" s="163"/>
      <c r="O682" s="163"/>
      <c r="P682" s="163"/>
      <c r="Q682" s="541"/>
      <c r="R682" s="541"/>
      <c r="S682" s="541"/>
      <c r="T682" s="541"/>
      <c r="U682" s="541"/>
      <c r="V682" s="541"/>
      <c r="W682" s="541"/>
      <c r="X682" s="541"/>
      <c r="Y682" s="541"/>
      <c r="Z682" s="541"/>
    </row>
    <row r="683" spans="1:26" ht="18.75">
      <c r="A683" s="572"/>
      <c r="B683" s="584"/>
      <c r="C683" s="584"/>
      <c r="D683" s="584"/>
      <c r="E683" s="592"/>
      <c r="F683" s="592" t="s">
        <v>292</v>
      </c>
      <c r="G683" s="726"/>
      <c r="H683" s="728" t="s">
        <v>46</v>
      </c>
      <c r="I683" s="269"/>
      <c r="J683" s="214">
        <v>0</v>
      </c>
      <c r="K683" s="465"/>
      <c r="L683" s="163"/>
      <c r="M683" s="163"/>
      <c r="N683" s="163"/>
      <c r="O683" s="163"/>
      <c r="P683" s="163"/>
      <c r="Q683" s="541"/>
      <c r="R683" s="541"/>
      <c r="S683" s="541"/>
      <c r="T683" s="541"/>
      <c r="U683" s="541"/>
      <c r="V683" s="541"/>
      <c r="W683" s="541"/>
      <c r="X683" s="541"/>
      <c r="Y683" s="541"/>
      <c r="Z683" s="541"/>
    </row>
    <row r="684" spans="1:26" ht="19.5">
      <c r="A684" s="717"/>
      <c r="B684" s="718" t="s">
        <v>293</v>
      </c>
      <c r="C684" s="717"/>
      <c r="D684" s="717"/>
      <c r="E684" s="717"/>
      <c r="F684" s="717"/>
      <c r="G684" s="719"/>
      <c r="H684" s="719"/>
      <c r="I684" s="720"/>
      <c r="J684" s="720"/>
      <c r="K684" s="721"/>
      <c r="L684" s="721"/>
      <c r="M684" s="721"/>
      <c r="N684" s="721"/>
      <c r="O684" s="721"/>
      <c r="P684" s="721"/>
      <c r="Q684" s="541"/>
      <c r="R684" s="541"/>
      <c r="S684" s="541"/>
      <c r="T684" s="541"/>
      <c r="U684" s="541"/>
      <c r="V684" s="541"/>
      <c r="W684" s="541"/>
      <c r="X684" s="541"/>
      <c r="Y684" s="541"/>
      <c r="Z684" s="541"/>
    </row>
    <row r="685" spans="1:26" ht="19.5">
      <c r="A685" s="561"/>
      <c r="B685" s="727"/>
      <c r="C685" s="727" t="s">
        <v>16</v>
      </c>
      <c r="D685" s="811" t="s">
        <v>17</v>
      </c>
      <c r="E685" s="805"/>
      <c r="F685" s="805"/>
      <c r="G685" s="189"/>
      <c r="H685" s="562" t="s">
        <v>12</v>
      </c>
      <c r="I685" s="269"/>
      <c r="J685" s="269"/>
      <c r="K685" s="465"/>
      <c r="L685" s="195">
        <f t="shared" ref="L685:N685" ca="1" si="281">L686+L687</f>
        <v>1750</v>
      </c>
      <c r="M685" s="195">
        <f t="shared" si="281"/>
        <v>0</v>
      </c>
      <c r="N685" s="195">
        <f t="shared" si="281"/>
        <v>0</v>
      </c>
      <c r="O685" s="195">
        <f t="shared" ref="O685:O688" ca="1" si="282">IF(L685&gt;0,N685*100/L685,0)</f>
        <v>0</v>
      </c>
      <c r="P685" s="195">
        <f t="shared" ref="P685:P688" si="283">IF(M685&gt;0,N685*100/M685,0)</f>
        <v>0</v>
      </c>
      <c r="Q685" s="541"/>
      <c r="R685" s="541"/>
      <c r="S685" s="541"/>
      <c r="T685" s="541"/>
      <c r="U685" s="541"/>
      <c r="V685" s="541"/>
      <c r="W685" s="541"/>
      <c r="X685" s="541"/>
      <c r="Y685" s="541"/>
      <c r="Z685" s="541"/>
    </row>
    <row r="686" spans="1:26" ht="18.75" hidden="1">
      <c r="A686" s="563"/>
      <c r="B686" s="723"/>
      <c r="C686" s="723"/>
      <c r="D686" s="684"/>
      <c r="E686" s="723" t="s">
        <v>184</v>
      </c>
      <c r="F686" s="723"/>
      <c r="G686" s="567"/>
      <c r="H686" s="165" t="s">
        <v>12</v>
      </c>
      <c r="I686" s="583"/>
      <c r="J686" s="583"/>
      <c r="K686" s="93"/>
      <c r="L686" s="93">
        <f t="shared" ref="L686:N687" si="284">L689+L696</f>
        <v>0</v>
      </c>
      <c r="M686" s="93">
        <f t="shared" si="284"/>
        <v>0</v>
      </c>
      <c r="N686" s="93">
        <f t="shared" si="284"/>
        <v>0</v>
      </c>
      <c r="O686" s="93">
        <f t="shared" si="282"/>
        <v>0</v>
      </c>
      <c r="P686" s="93">
        <f t="shared" si="283"/>
        <v>0</v>
      </c>
      <c r="Q686" s="568"/>
      <c r="R686" s="568"/>
      <c r="S686" s="568"/>
      <c r="T686" s="568"/>
      <c r="U686" s="568"/>
      <c r="V686" s="568"/>
      <c r="W686" s="568"/>
      <c r="X686" s="568"/>
      <c r="Y686" s="568"/>
      <c r="Z686" s="568"/>
    </row>
    <row r="687" spans="1:26" ht="18.75" hidden="1">
      <c r="A687" s="563"/>
      <c r="B687" s="571"/>
      <c r="C687" s="723"/>
      <c r="D687" s="684"/>
      <c r="E687" s="723" t="s">
        <v>185</v>
      </c>
      <c r="F687" s="723"/>
      <c r="G687" s="567"/>
      <c r="H687" s="165" t="s">
        <v>12</v>
      </c>
      <c r="I687" s="583"/>
      <c r="J687" s="583"/>
      <c r="K687" s="93"/>
      <c r="L687" s="93">
        <f t="shared" ca="1" si="284"/>
        <v>1750</v>
      </c>
      <c r="M687" s="93">
        <f t="shared" si="284"/>
        <v>0</v>
      </c>
      <c r="N687" s="93">
        <f t="shared" si="284"/>
        <v>0</v>
      </c>
      <c r="O687" s="93">
        <f t="shared" ca="1" si="282"/>
        <v>0</v>
      </c>
      <c r="P687" s="93">
        <f t="shared" si="283"/>
        <v>0</v>
      </c>
      <c r="Q687" s="568"/>
      <c r="R687" s="568"/>
      <c r="S687" s="568"/>
      <c r="T687" s="568"/>
      <c r="U687" s="568"/>
      <c r="V687" s="568"/>
      <c r="W687" s="568"/>
      <c r="X687" s="568"/>
      <c r="Y687" s="568"/>
      <c r="Z687" s="568"/>
    </row>
    <row r="688" spans="1:26" ht="18.75">
      <c r="A688" s="561"/>
      <c r="B688" s="538"/>
      <c r="C688" s="727"/>
      <c r="D688" s="570" t="s">
        <v>20</v>
      </c>
      <c r="E688" s="727"/>
      <c r="F688" s="727"/>
      <c r="G688" s="189"/>
      <c r="H688" s="161" t="s">
        <v>12</v>
      </c>
      <c r="I688" s="184"/>
      <c r="J688" s="184"/>
      <c r="K688" s="163"/>
      <c r="L688" s="465">
        <f t="shared" ref="L688:N688" ca="1" si="285">L689+L690</f>
        <v>1750</v>
      </c>
      <c r="M688" s="465">
        <f t="shared" si="285"/>
        <v>0</v>
      </c>
      <c r="N688" s="465">
        <f t="shared" si="285"/>
        <v>0</v>
      </c>
      <c r="O688" s="465">
        <f t="shared" ca="1" si="282"/>
        <v>0</v>
      </c>
      <c r="P688" s="465">
        <f t="shared" si="283"/>
        <v>0</v>
      </c>
      <c r="Q688" s="541"/>
      <c r="R688" s="541"/>
      <c r="S688" s="541"/>
      <c r="T688" s="541"/>
      <c r="U688" s="541"/>
      <c r="V688" s="541"/>
      <c r="W688" s="541"/>
      <c r="X688" s="541"/>
      <c r="Y688" s="541"/>
      <c r="Z688" s="541"/>
    </row>
    <row r="689" spans="1:26" ht="18.75" hidden="1">
      <c r="A689" s="563"/>
      <c r="B689" s="571"/>
      <c r="C689" s="723"/>
      <c r="D689" s="684"/>
      <c r="E689" s="723" t="s">
        <v>184</v>
      </c>
      <c r="F689" s="723"/>
      <c r="G689" s="567"/>
      <c r="H689" s="165" t="s">
        <v>12</v>
      </c>
      <c r="I689" s="583"/>
      <c r="J689" s="583"/>
      <c r="K689" s="93"/>
      <c r="L689" s="93">
        <v>0</v>
      </c>
      <c r="M689" s="93">
        <v>0</v>
      </c>
      <c r="N689" s="93">
        <v>0</v>
      </c>
      <c r="O689" s="93"/>
      <c r="P689" s="93"/>
      <c r="Q689" s="568"/>
      <c r="R689" s="568"/>
      <c r="S689" s="568"/>
      <c r="T689" s="568"/>
      <c r="U689" s="568"/>
      <c r="V689" s="568"/>
      <c r="W689" s="568"/>
      <c r="X689" s="568"/>
      <c r="Y689" s="568"/>
      <c r="Z689" s="568"/>
    </row>
    <row r="690" spans="1:26" ht="18.75" hidden="1">
      <c r="A690" s="563"/>
      <c r="B690" s="571"/>
      <c r="C690" s="723"/>
      <c r="D690" s="684"/>
      <c r="E690" s="723" t="s">
        <v>185</v>
      </c>
      <c r="F690" s="723"/>
      <c r="G690" s="567"/>
      <c r="H690" s="165" t="s">
        <v>12</v>
      </c>
      <c r="I690" s="583"/>
      <c r="J690" s="583"/>
      <c r="K690" s="93"/>
      <c r="L690" s="93">
        <f ca="1">IFERROR(__xludf.DUMMYFUNCTION("IMPORTRANGE(""https://docs.google.com/spreadsheets/d/1QqKyyYR6Q21VydFLVH3TRQUabQu_ym0Zz7PgGX0-kHA/edit?usp=sharing"",""แผน!HW16"")"),1750)</f>
        <v>1750</v>
      </c>
      <c r="M690" s="93">
        <v>0</v>
      </c>
      <c r="N690" s="93">
        <f>N691+N692+N693+N694</f>
        <v>0</v>
      </c>
      <c r="O690" s="93">
        <f ca="1">IF(L690&gt;0,N690*100/L690,0)</f>
        <v>0</v>
      </c>
      <c r="P690" s="93">
        <f>IF(M690&gt;0,N690*100/M690,0)</f>
        <v>0</v>
      </c>
      <c r="Q690" s="568"/>
      <c r="R690" s="568"/>
      <c r="S690" s="568"/>
      <c r="T690" s="568"/>
      <c r="U690" s="568"/>
      <c r="V690" s="568"/>
      <c r="W690" s="568"/>
      <c r="X690" s="568"/>
      <c r="Y690" s="568"/>
      <c r="Z690" s="568"/>
    </row>
    <row r="691" spans="1:26" ht="18.75">
      <c r="A691" s="537"/>
      <c r="B691" s="538"/>
      <c r="C691" s="727"/>
      <c r="D691" s="727"/>
      <c r="E691" s="727"/>
      <c r="F691" s="727" t="s">
        <v>186</v>
      </c>
      <c r="G691" s="189"/>
      <c r="H691" s="161" t="s">
        <v>12</v>
      </c>
      <c r="I691" s="269"/>
      <c r="J691" s="269"/>
      <c r="K691" s="465"/>
      <c r="L691" s="465"/>
      <c r="M691" s="465"/>
      <c r="N691" s="789">
        <v>0</v>
      </c>
      <c r="O691" s="465"/>
      <c r="P691" s="465"/>
      <c r="Q691" s="541"/>
      <c r="R691" s="541"/>
      <c r="S691" s="541"/>
      <c r="T691" s="541"/>
      <c r="U691" s="541"/>
      <c r="V691" s="541"/>
      <c r="W691" s="541"/>
      <c r="X691" s="541"/>
      <c r="Y691" s="541"/>
      <c r="Z691" s="541"/>
    </row>
    <row r="692" spans="1:26" ht="18.75">
      <c r="A692" s="537"/>
      <c r="B692" s="538"/>
      <c r="C692" s="727"/>
      <c r="D692" s="727"/>
      <c r="E692" s="727"/>
      <c r="F692" s="727" t="s">
        <v>187</v>
      </c>
      <c r="G692" s="189"/>
      <c r="H692" s="161" t="s">
        <v>12</v>
      </c>
      <c r="I692" s="269"/>
      <c r="J692" s="269"/>
      <c r="K692" s="465"/>
      <c r="L692" s="465"/>
      <c r="M692" s="465"/>
      <c r="N692" s="789">
        <v>0</v>
      </c>
      <c r="O692" s="465"/>
      <c r="P692" s="465"/>
      <c r="Q692" s="541"/>
      <c r="R692" s="541"/>
      <c r="S692" s="541"/>
      <c r="T692" s="541"/>
      <c r="U692" s="541"/>
      <c r="V692" s="541"/>
      <c r="W692" s="541"/>
      <c r="X692" s="541"/>
      <c r="Y692" s="541"/>
      <c r="Z692" s="541"/>
    </row>
    <row r="693" spans="1:26" ht="18.75">
      <c r="A693" s="537"/>
      <c r="B693" s="538"/>
      <c r="C693" s="727"/>
      <c r="D693" s="727"/>
      <c r="E693" s="727"/>
      <c r="F693" s="727" t="s">
        <v>188</v>
      </c>
      <c r="G693" s="189"/>
      <c r="H693" s="161" t="s">
        <v>12</v>
      </c>
      <c r="I693" s="269"/>
      <c r="J693" s="269"/>
      <c r="K693" s="465"/>
      <c r="L693" s="465"/>
      <c r="M693" s="465"/>
      <c r="N693" s="789">
        <v>0</v>
      </c>
      <c r="O693" s="465"/>
      <c r="P693" s="465"/>
      <c r="Q693" s="541"/>
      <c r="R693" s="541"/>
      <c r="S693" s="541"/>
      <c r="T693" s="541"/>
      <c r="U693" s="541"/>
      <c r="V693" s="541"/>
      <c r="W693" s="541"/>
      <c r="X693" s="541"/>
      <c r="Y693" s="541"/>
      <c r="Z693" s="541"/>
    </row>
    <row r="694" spans="1:26" ht="18.75">
      <c r="A694" s="537"/>
      <c r="B694" s="538"/>
      <c r="C694" s="727"/>
      <c r="D694" s="727"/>
      <c r="E694" s="727"/>
      <c r="F694" s="727" t="s">
        <v>189</v>
      </c>
      <c r="G694" s="189"/>
      <c r="H694" s="161" t="s">
        <v>12</v>
      </c>
      <c r="I694" s="269"/>
      <c r="J694" s="269"/>
      <c r="K694" s="465"/>
      <c r="L694" s="465"/>
      <c r="M694" s="465"/>
      <c r="N694" s="789">
        <v>0</v>
      </c>
      <c r="O694" s="465"/>
      <c r="P694" s="465"/>
      <c r="Q694" s="541"/>
      <c r="R694" s="541"/>
      <c r="S694" s="541"/>
      <c r="T694" s="541"/>
      <c r="U694" s="541"/>
      <c r="V694" s="541"/>
      <c r="W694" s="541"/>
      <c r="X694" s="541"/>
      <c r="Y694" s="541"/>
      <c r="Z694" s="541"/>
    </row>
    <row r="695" spans="1:26" ht="18.75">
      <c r="A695" s="561"/>
      <c r="B695" s="538"/>
      <c r="C695" s="727"/>
      <c r="D695" s="570" t="s">
        <v>21</v>
      </c>
      <c r="E695" s="727"/>
      <c r="F695" s="727"/>
      <c r="G695" s="189"/>
      <c r="H695" s="168" t="s">
        <v>12</v>
      </c>
      <c r="I695" s="184"/>
      <c r="J695" s="184"/>
      <c r="K695" s="163"/>
      <c r="L695" s="465">
        <f t="shared" ref="L695:N695" si="286">L696+L697</f>
        <v>0</v>
      </c>
      <c r="M695" s="465">
        <f t="shared" si="286"/>
        <v>0</v>
      </c>
      <c r="N695" s="465">
        <f t="shared" si="286"/>
        <v>0</v>
      </c>
      <c r="O695" s="465">
        <f t="shared" ref="O695:O697" si="287">IF(L695&gt;0,N695*100/L695,0)</f>
        <v>0</v>
      </c>
      <c r="P695" s="465">
        <f t="shared" ref="P695:P697" si="288">IF(M695&gt;0,N695*100/M695,0)</f>
        <v>0</v>
      </c>
      <c r="Q695" s="541"/>
      <c r="R695" s="541"/>
      <c r="S695" s="541"/>
      <c r="T695" s="541"/>
      <c r="U695" s="541"/>
      <c r="V695" s="541"/>
      <c r="W695" s="541"/>
      <c r="X695" s="541"/>
      <c r="Y695" s="541"/>
      <c r="Z695" s="541"/>
    </row>
    <row r="696" spans="1:26" ht="18.75" hidden="1">
      <c r="A696" s="563"/>
      <c r="B696" s="571"/>
      <c r="C696" s="723"/>
      <c r="D696" s="723"/>
      <c r="E696" s="723" t="s">
        <v>18</v>
      </c>
      <c r="F696" s="723"/>
      <c r="G696" s="567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7"/>
        <v>0</v>
      </c>
      <c r="P696" s="93">
        <f t="shared" si="288"/>
        <v>0</v>
      </c>
      <c r="Q696" s="568"/>
      <c r="R696" s="568"/>
      <c r="S696" s="568"/>
      <c r="T696" s="568"/>
      <c r="U696" s="568"/>
      <c r="V696" s="568"/>
      <c r="W696" s="568"/>
      <c r="X696" s="568"/>
      <c r="Y696" s="568"/>
      <c r="Z696" s="568"/>
    </row>
    <row r="697" spans="1:26" ht="18.75" hidden="1">
      <c r="A697" s="563"/>
      <c r="B697" s="571"/>
      <c r="C697" s="723"/>
      <c r="D697" s="723"/>
      <c r="E697" s="723" t="s">
        <v>19</v>
      </c>
      <c r="F697" s="723"/>
      <c r="G697" s="567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7"/>
        <v>0</v>
      </c>
      <c r="P697" s="93">
        <f t="shared" si="288"/>
        <v>0</v>
      </c>
      <c r="Q697" s="568"/>
      <c r="R697" s="568"/>
      <c r="S697" s="568"/>
      <c r="T697" s="568"/>
      <c r="U697" s="568"/>
      <c r="V697" s="568"/>
      <c r="W697" s="568"/>
      <c r="X697" s="568"/>
      <c r="Y697" s="568"/>
      <c r="Z697" s="568"/>
    </row>
    <row r="698" spans="1:26" ht="19.5">
      <c r="A698" s="572"/>
      <c r="B698" s="584"/>
      <c r="C698" s="727" t="s">
        <v>16</v>
      </c>
      <c r="D698" s="855" t="s">
        <v>38</v>
      </c>
      <c r="E698" s="725"/>
      <c r="F698" s="725"/>
      <c r="G698" s="577"/>
      <c r="H698" s="726"/>
      <c r="I698" s="184"/>
      <c r="J698" s="184"/>
      <c r="K698" s="163"/>
      <c r="L698" s="163"/>
      <c r="M698" s="163"/>
      <c r="N698" s="163"/>
      <c r="O698" s="163"/>
      <c r="P698" s="163"/>
      <c r="Q698" s="541"/>
      <c r="R698" s="541"/>
      <c r="S698" s="541"/>
      <c r="T698" s="541"/>
      <c r="U698" s="541"/>
      <c r="V698" s="541"/>
      <c r="W698" s="541"/>
      <c r="X698" s="541"/>
      <c r="Y698" s="541"/>
      <c r="Z698" s="541"/>
    </row>
    <row r="699" spans="1:26" ht="18.75">
      <c r="A699" s="708"/>
      <c r="B699" s="727"/>
      <c r="C699" s="727"/>
      <c r="D699" s="727" t="s">
        <v>294</v>
      </c>
      <c r="E699" s="727"/>
      <c r="F699" s="727"/>
      <c r="G699" s="189"/>
      <c r="H699" s="728" t="s">
        <v>46</v>
      </c>
      <c r="I699" s="729">
        <f ca="1">IFERROR(__xludf.DUMMYFUNCTION("IMPORTRANGE(""https://docs.google.com/spreadsheets/d/1QqKyyYR6Q21VydFLVH3TRQUabQu_ym0Zz7PgGX0-kHA/edit?usp=sharing"",""แผน!IC16"")"),0)</f>
        <v>0</v>
      </c>
      <c r="J699" s="269">
        <f ca="1">IFERROR(__xludf.DUMMYFUNCTION("IMPORTRANGE(""https://docs.google.com/spreadsheets/d/1XWAQStnk-4SwqDmLtmXYiTMKHgktTP8We1SCoS47DrQ/edit?usp=sharing"",""จัดที่ดิน!BB16"")"),0)</f>
        <v>0</v>
      </c>
      <c r="K699" s="465">
        <f t="shared" ref="K699:K701" ca="1" si="289">IF(I699&gt;0,J699*100/I699,0)</f>
        <v>0</v>
      </c>
      <c r="L699" s="465"/>
      <c r="M699" s="189"/>
      <c r="N699" s="730"/>
      <c r="O699" s="465"/>
      <c r="P699" s="465"/>
      <c r="Q699" s="541"/>
      <c r="R699" s="541"/>
      <c r="S699" s="541"/>
      <c r="T699" s="541"/>
      <c r="U699" s="541"/>
      <c r="V699" s="541"/>
      <c r="W699" s="541"/>
      <c r="X699" s="541"/>
      <c r="Y699" s="541"/>
      <c r="Z699" s="541"/>
    </row>
    <row r="700" spans="1:26" ht="18.75">
      <c r="A700" s="708"/>
      <c r="B700" s="727"/>
      <c r="C700" s="727"/>
      <c r="D700" s="727" t="s">
        <v>295</v>
      </c>
      <c r="E700" s="727"/>
      <c r="F700" s="727"/>
      <c r="G700" s="189"/>
      <c r="H700" s="728" t="s">
        <v>35</v>
      </c>
      <c r="I700" s="729">
        <f ca="1">IFERROR(__xludf.DUMMYFUNCTION("IMPORTRANGE(""https://docs.google.com/spreadsheets/d/1QqKyyYR6Q21VydFLVH3TRQUabQu_ym0Zz7PgGX0-kHA/edit?usp=sharing"",""แผน!ID16"")"),4)</f>
        <v>4</v>
      </c>
      <c r="J700" s="269">
        <f ca="1">IFERROR(__xludf.DUMMYFUNCTION("IMPORTRANGE(""https://docs.google.com/spreadsheets/d/1XWAQStnk-4SwqDmLtmXYiTMKHgktTP8We1SCoS47DrQ/edit?usp=sharing"",""จัดที่ดิน!BD16"")"),0)</f>
        <v>0</v>
      </c>
      <c r="K700" s="465">
        <f t="shared" ca="1" si="289"/>
        <v>0</v>
      </c>
      <c r="L700" s="465"/>
      <c r="M700" s="189"/>
      <c r="N700" s="730"/>
      <c r="O700" s="465"/>
      <c r="P700" s="465"/>
      <c r="Q700" s="541"/>
      <c r="R700" s="541"/>
      <c r="S700" s="541"/>
      <c r="T700" s="541"/>
      <c r="U700" s="541"/>
      <c r="V700" s="541"/>
      <c r="W700" s="541"/>
      <c r="X700" s="541"/>
      <c r="Y700" s="541"/>
      <c r="Z700" s="541"/>
    </row>
    <row r="701" spans="1:26" ht="19.5">
      <c r="A701" s="708"/>
      <c r="B701" s="727"/>
      <c r="C701" s="727"/>
      <c r="D701" s="727" t="s">
        <v>296</v>
      </c>
      <c r="E701" s="727"/>
      <c r="F701" s="727"/>
      <c r="G701" s="189"/>
      <c r="H701" s="731" t="s">
        <v>46</v>
      </c>
      <c r="I701" s="732">
        <f ca="1">IFERROR(__xludf.DUMMYFUNCTION("IMPORTRANGE(""https://docs.google.com/spreadsheets/d/1QqKyyYR6Q21VydFLVH3TRQUabQu_ym0Zz7PgGX0-kHA/edit?usp=sharing"",""แผน!IE16"")"),0)</f>
        <v>0</v>
      </c>
      <c r="J701" s="647">
        <f>J704+J707</f>
        <v>0</v>
      </c>
      <c r="K701" s="195">
        <f t="shared" ca="1" si="289"/>
        <v>0</v>
      </c>
      <c r="L701" s="465"/>
      <c r="M701" s="189"/>
      <c r="N701" s="730"/>
      <c r="O701" s="465"/>
      <c r="P701" s="465"/>
      <c r="Q701" s="541"/>
      <c r="R701" s="541"/>
      <c r="S701" s="541"/>
      <c r="T701" s="541"/>
      <c r="U701" s="541"/>
      <c r="V701" s="541"/>
      <c r="W701" s="541"/>
      <c r="X701" s="541"/>
      <c r="Y701" s="541"/>
      <c r="Z701" s="541"/>
    </row>
    <row r="702" spans="1:26" ht="18.75">
      <c r="A702" s="708"/>
      <c r="B702" s="727"/>
      <c r="C702" s="727"/>
      <c r="D702" s="727"/>
      <c r="E702" s="727" t="s">
        <v>297</v>
      </c>
      <c r="F702" s="727"/>
      <c r="G702" s="189"/>
      <c r="H702" s="728" t="s">
        <v>35</v>
      </c>
      <c r="I702" s="729"/>
      <c r="J702" s="214">
        <v>0</v>
      </c>
      <c r="K702" s="465"/>
      <c r="L702" s="465"/>
      <c r="M702" s="189"/>
      <c r="N702" s="730"/>
      <c r="O702" s="465"/>
      <c r="P702" s="465"/>
      <c r="Q702" s="541"/>
      <c r="R702" s="541"/>
      <c r="S702" s="541"/>
      <c r="T702" s="541"/>
      <c r="U702" s="541"/>
      <c r="V702" s="541"/>
      <c r="W702" s="541"/>
      <c r="X702" s="541"/>
      <c r="Y702" s="541"/>
      <c r="Z702" s="541"/>
    </row>
    <row r="703" spans="1:26" ht="18.75">
      <c r="A703" s="708"/>
      <c r="B703" s="727"/>
      <c r="C703" s="727"/>
      <c r="D703" s="727"/>
      <c r="E703" s="727"/>
      <c r="F703" s="727"/>
      <c r="G703" s="189"/>
      <c r="H703" s="728" t="s">
        <v>34</v>
      </c>
      <c r="I703" s="729"/>
      <c r="J703" s="214">
        <v>0</v>
      </c>
      <c r="K703" s="465"/>
      <c r="L703" s="465"/>
      <c r="M703" s="189"/>
      <c r="N703" s="730"/>
      <c r="O703" s="465"/>
      <c r="P703" s="465"/>
      <c r="Q703" s="541"/>
      <c r="R703" s="541"/>
      <c r="S703" s="541"/>
      <c r="T703" s="541"/>
      <c r="U703" s="541"/>
      <c r="V703" s="541"/>
      <c r="W703" s="541"/>
      <c r="X703" s="541"/>
      <c r="Y703" s="541"/>
      <c r="Z703" s="541"/>
    </row>
    <row r="704" spans="1:26" ht="18.75">
      <c r="A704" s="708"/>
      <c r="B704" s="727"/>
      <c r="C704" s="727"/>
      <c r="D704" s="727"/>
      <c r="E704" s="727"/>
      <c r="F704" s="727"/>
      <c r="G704" s="189"/>
      <c r="H704" s="728" t="s">
        <v>46</v>
      </c>
      <c r="I704" s="729">
        <f ca="1">IFERROR(__xludf.DUMMYFUNCTION("IMPORTRANGE(""https://docs.google.com/spreadsheets/d/1QqKyyYR6Q21VydFLVH3TRQUabQu_ym0Zz7PgGX0-kHA/edit?usp=sharing"",""แผน!IF16"")"),0)</f>
        <v>0</v>
      </c>
      <c r="J704" s="214">
        <v>0</v>
      </c>
      <c r="K704" s="465"/>
      <c r="L704" s="465"/>
      <c r="M704" s="189"/>
      <c r="N704" s="730"/>
      <c r="O704" s="465"/>
      <c r="P704" s="465"/>
      <c r="Q704" s="541"/>
      <c r="R704" s="541"/>
      <c r="S704" s="541"/>
      <c r="T704" s="541"/>
      <c r="U704" s="541"/>
      <c r="V704" s="541"/>
      <c r="W704" s="541"/>
      <c r="X704" s="541"/>
      <c r="Y704" s="541"/>
      <c r="Z704" s="541"/>
    </row>
    <row r="705" spans="1:26" ht="18.75">
      <c r="A705" s="708"/>
      <c r="B705" s="727"/>
      <c r="C705" s="727"/>
      <c r="D705" s="727"/>
      <c r="E705" s="727" t="s">
        <v>298</v>
      </c>
      <c r="F705" s="727"/>
      <c r="G705" s="189"/>
      <c r="H705" s="728" t="s">
        <v>35</v>
      </c>
      <c r="I705" s="729"/>
      <c r="J705" s="214">
        <v>0</v>
      </c>
      <c r="K705" s="465"/>
      <c r="L705" s="465"/>
      <c r="M705" s="189"/>
      <c r="N705" s="730"/>
      <c r="O705" s="465"/>
      <c r="P705" s="465"/>
      <c r="Q705" s="541"/>
      <c r="R705" s="541"/>
      <c r="S705" s="541"/>
      <c r="T705" s="541"/>
      <c r="U705" s="541"/>
      <c r="V705" s="541"/>
      <c r="W705" s="541"/>
      <c r="X705" s="541"/>
      <c r="Y705" s="541"/>
      <c r="Z705" s="541"/>
    </row>
    <row r="706" spans="1:26" ht="18.75">
      <c r="A706" s="708"/>
      <c r="B706" s="727"/>
      <c r="C706" s="727"/>
      <c r="D706" s="727"/>
      <c r="E706" s="727"/>
      <c r="F706" s="727"/>
      <c r="G706" s="189"/>
      <c r="H706" s="728" t="s">
        <v>34</v>
      </c>
      <c r="I706" s="729"/>
      <c r="J706" s="214">
        <v>0</v>
      </c>
      <c r="K706" s="465"/>
      <c r="L706" s="465"/>
      <c r="M706" s="189"/>
      <c r="N706" s="730"/>
      <c r="O706" s="465"/>
      <c r="P706" s="465"/>
      <c r="Q706" s="541"/>
      <c r="R706" s="541"/>
      <c r="S706" s="541"/>
      <c r="T706" s="541"/>
      <c r="U706" s="541"/>
      <c r="V706" s="541"/>
      <c r="W706" s="541"/>
      <c r="X706" s="541"/>
      <c r="Y706" s="541"/>
      <c r="Z706" s="541"/>
    </row>
    <row r="707" spans="1:26" ht="18.75">
      <c r="A707" s="708"/>
      <c r="B707" s="727"/>
      <c r="C707" s="727"/>
      <c r="D707" s="727"/>
      <c r="E707" s="727"/>
      <c r="F707" s="727"/>
      <c r="G707" s="189"/>
      <c r="H707" s="728" t="s">
        <v>46</v>
      </c>
      <c r="I707" s="729">
        <f ca="1">IFERROR(__xludf.DUMMYFUNCTION("IMPORTRANGE(""https://docs.google.com/spreadsheets/d/1QqKyyYR6Q21VydFLVH3TRQUabQu_ym0Zz7PgGX0-kHA/edit?usp=sharing"",""แผน!IG16"")"),0)</f>
        <v>0</v>
      </c>
      <c r="J707" s="214">
        <v>0</v>
      </c>
      <c r="K707" s="465"/>
      <c r="L707" s="465"/>
      <c r="M707" s="189"/>
      <c r="N707" s="730"/>
      <c r="O707" s="465"/>
      <c r="P707" s="465"/>
      <c r="Q707" s="541"/>
      <c r="R707" s="541"/>
      <c r="S707" s="541"/>
      <c r="T707" s="541"/>
      <c r="U707" s="541"/>
      <c r="V707" s="541"/>
      <c r="W707" s="541"/>
      <c r="X707" s="541"/>
      <c r="Y707" s="541"/>
      <c r="Z707" s="541"/>
    </row>
    <row r="708" spans="1:26" ht="19.5">
      <c r="A708" s="708"/>
      <c r="B708" s="727"/>
      <c r="C708" s="727"/>
      <c r="D708" s="733" t="s">
        <v>299</v>
      </c>
      <c r="E708" s="727"/>
      <c r="F708" s="727"/>
      <c r="G708" s="189"/>
      <c r="H708" s="731" t="s">
        <v>46</v>
      </c>
      <c r="I708" s="732">
        <f ca="1">IFERROR(__xludf.DUMMYFUNCTION("IMPORTRANGE(""https://docs.google.com/spreadsheets/d/1QqKyyYR6Q21VydFLVH3TRQUabQu_ym0Zz7PgGX0-kHA/edit?usp=sharing"",""แผน!IH16"")"),0)</f>
        <v>0</v>
      </c>
      <c r="J708" s="647">
        <f>J714+J717</f>
        <v>0</v>
      </c>
      <c r="K708" s="195">
        <f ca="1">IF(I708&gt;0,J708*100/I708,0)</f>
        <v>0</v>
      </c>
      <c r="L708" s="465"/>
      <c r="M708" s="189"/>
      <c r="N708" s="730"/>
      <c r="O708" s="465"/>
      <c r="P708" s="465"/>
      <c r="Q708" s="541"/>
      <c r="R708" s="541"/>
      <c r="S708" s="541"/>
      <c r="T708" s="541"/>
      <c r="U708" s="541"/>
      <c r="V708" s="541"/>
      <c r="W708" s="541"/>
      <c r="X708" s="541"/>
      <c r="Y708" s="541"/>
      <c r="Z708" s="541"/>
    </row>
    <row r="709" spans="1:26" ht="18.75">
      <c r="A709" s="708"/>
      <c r="B709" s="727"/>
      <c r="C709" s="727"/>
      <c r="D709" s="727"/>
      <c r="E709" s="727" t="s">
        <v>300</v>
      </c>
      <c r="F709" s="727"/>
      <c r="G709" s="189"/>
      <c r="H709" s="728" t="s">
        <v>34</v>
      </c>
      <c r="I709" s="729"/>
      <c r="J709" s="214">
        <v>0</v>
      </c>
      <c r="K709" s="465"/>
      <c r="L709" s="730"/>
      <c r="M709" s="189"/>
      <c r="N709" s="730"/>
      <c r="O709" s="465"/>
      <c r="P709" s="465"/>
      <c r="Q709" s="541"/>
      <c r="R709" s="541"/>
      <c r="S709" s="541"/>
      <c r="T709" s="541"/>
      <c r="U709" s="541"/>
      <c r="V709" s="541"/>
      <c r="W709" s="541"/>
      <c r="X709" s="541"/>
      <c r="Y709" s="541"/>
      <c r="Z709" s="541"/>
    </row>
    <row r="710" spans="1:26" ht="18.75">
      <c r="A710" s="708"/>
      <c r="B710" s="727"/>
      <c r="C710" s="727"/>
      <c r="D710" s="727"/>
      <c r="E710" s="727"/>
      <c r="F710" s="727"/>
      <c r="G710" s="189"/>
      <c r="H710" s="728" t="s">
        <v>46</v>
      </c>
      <c r="I710" s="729"/>
      <c r="J710" s="214">
        <v>0</v>
      </c>
      <c r="K710" s="465"/>
      <c r="L710" s="730"/>
      <c r="M710" s="189"/>
      <c r="N710" s="730"/>
      <c r="O710" s="465"/>
      <c r="P710" s="465"/>
      <c r="Q710" s="541"/>
      <c r="R710" s="541"/>
      <c r="S710" s="541"/>
      <c r="T710" s="541"/>
      <c r="U710" s="541"/>
      <c r="V710" s="541"/>
      <c r="W710" s="541"/>
      <c r="X710" s="541"/>
      <c r="Y710" s="541"/>
      <c r="Z710" s="541"/>
    </row>
    <row r="711" spans="1:26" ht="18.75">
      <c r="A711" s="708"/>
      <c r="B711" s="727"/>
      <c r="C711" s="727"/>
      <c r="D711" s="727"/>
      <c r="E711" s="727" t="s">
        <v>301</v>
      </c>
      <c r="F711" s="727"/>
      <c r="G711" s="189"/>
      <c r="H711" s="726"/>
      <c r="I711" s="729"/>
      <c r="J711" s="269"/>
      <c r="K711" s="465"/>
      <c r="L711" s="730"/>
      <c r="M711" s="189"/>
      <c r="N711" s="730"/>
      <c r="O711" s="465"/>
      <c r="P711" s="465"/>
      <c r="Q711" s="541"/>
      <c r="R711" s="541"/>
      <c r="S711" s="541"/>
      <c r="T711" s="541"/>
      <c r="U711" s="541"/>
      <c r="V711" s="541"/>
      <c r="W711" s="541"/>
      <c r="X711" s="541"/>
      <c r="Y711" s="541"/>
      <c r="Z711" s="541"/>
    </row>
    <row r="712" spans="1:26" ht="18.75">
      <c r="A712" s="708"/>
      <c r="B712" s="727"/>
      <c r="C712" s="727"/>
      <c r="D712" s="727"/>
      <c r="E712" s="727"/>
      <c r="F712" s="727" t="s">
        <v>302</v>
      </c>
      <c r="G712" s="189"/>
      <c r="H712" s="728" t="s">
        <v>35</v>
      </c>
      <c r="I712" s="729"/>
      <c r="J712" s="214">
        <v>0</v>
      </c>
      <c r="K712" s="465"/>
      <c r="L712" s="730"/>
      <c r="M712" s="189"/>
      <c r="N712" s="730"/>
      <c r="O712" s="465"/>
      <c r="P712" s="465"/>
      <c r="Q712" s="541"/>
      <c r="R712" s="541"/>
      <c r="S712" s="541"/>
      <c r="T712" s="541"/>
      <c r="U712" s="541"/>
      <c r="V712" s="541"/>
      <c r="W712" s="541"/>
      <c r="X712" s="541"/>
      <c r="Y712" s="541"/>
      <c r="Z712" s="541"/>
    </row>
    <row r="713" spans="1:26" ht="18.75">
      <c r="A713" s="708"/>
      <c r="B713" s="727"/>
      <c r="C713" s="727"/>
      <c r="D713" s="727"/>
      <c r="E713" s="727"/>
      <c r="F713" s="727"/>
      <c r="G713" s="189"/>
      <c r="H713" s="728" t="s">
        <v>34</v>
      </c>
      <c r="I713" s="729"/>
      <c r="J713" s="214">
        <v>0</v>
      </c>
      <c r="K713" s="465"/>
      <c r="L713" s="730"/>
      <c r="M713" s="189"/>
      <c r="N713" s="730"/>
      <c r="O713" s="465"/>
      <c r="P713" s="465"/>
      <c r="Q713" s="541"/>
      <c r="R713" s="541"/>
      <c r="S713" s="541"/>
      <c r="T713" s="541"/>
      <c r="U713" s="541"/>
      <c r="V713" s="541"/>
      <c r="W713" s="541"/>
      <c r="X713" s="541"/>
      <c r="Y713" s="541"/>
      <c r="Z713" s="541"/>
    </row>
    <row r="714" spans="1:26" ht="18.75">
      <c r="A714" s="708"/>
      <c r="B714" s="727"/>
      <c r="C714" s="727"/>
      <c r="D714" s="727"/>
      <c r="E714" s="727"/>
      <c r="F714" s="727"/>
      <c r="G714" s="189"/>
      <c r="H714" s="728" t="s">
        <v>46</v>
      </c>
      <c r="I714" s="729"/>
      <c r="J714" s="214">
        <v>0</v>
      </c>
      <c r="K714" s="465"/>
      <c r="L714" s="730"/>
      <c r="M714" s="189"/>
      <c r="N714" s="730"/>
      <c r="O714" s="465"/>
      <c r="P714" s="465"/>
      <c r="Q714" s="541"/>
      <c r="R714" s="541"/>
      <c r="S714" s="541"/>
      <c r="T714" s="541"/>
      <c r="U714" s="541"/>
      <c r="V714" s="541"/>
      <c r="W714" s="541"/>
      <c r="X714" s="541"/>
      <c r="Y714" s="541"/>
      <c r="Z714" s="541"/>
    </row>
    <row r="715" spans="1:26" ht="18.75">
      <c r="A715" s="708"/>
      <c r="B715" s="727"/>
      <c r="C715" s="727"/>
      <c r="D715" s="727"/>
      <c r="E715" s="727"/>
      <c r="F715" s="727" t="s">
        <v>303</v>
      </c>
      <c r="G715" s="189"/>
      <c r="H715" s="728" t="s">
        <v>35</v>
      </c>
      <c r="I715" s="729"/>
      <c r="J715" s="214">
        <v>0</v>
      </c>
      <c r="K715" s="465"/>
      <c r="L715" s="730"/>
      <c r="M715" s="189"/>
      <c r="N715" s="730"/>
      <c r="O715" s="465"/>
      <c r="P715" s="465"/>
      <c r="Q715" s="541"/>
      <c r="R715" s="541"/>
      <c r="S715" s="541"/>
      <c r="T715" s="541"/>
      <c r="U715" s="541"/>
      <c r="V715" s="541"/>
      <c r="W715" s="541"/>
      <c r="X715" s="541"/>
      <c r="Y715" s="541"/>
      <c r="Z715" s="541"/>
    </row>
    <row r="716" spans="1:26" ht="18.75">
      <c r="A716" s="708"/>
      <c r="B716" s="727"/>
      <c r="C716" s="727"/>
      <c r="D716" s="727"/>
      <c r="E716" s="727"/>
      <c r="F716" s="727"/>
      <c r="G716" s="189"/>
      <c r="H716" s="728" t="s">
        <v>34</v>
      </c>
      <c r="I716" s="729"/>
      <c r="J716" s="214">
        <v>0</v>
      </c>
      <c r="K716" s="465"/>
      <c r="L716" s="730"/>
      <c r="M716" s="189"/>
      <c r="N716" s="730"/>
      <c r="O716" s="465"/>
      <c r="P716" s="465"/>
      <c r="Q716" s="541"/>
      <c r="R716" s="541"/>
      <c r="S716" s="541"/>
      <c r="T716" s="541"/>
      <c r="U716" s="541"/>
      <c r="V716" s="541"/>
      <c r="W716" s="541"/>
      <c r="X716" s="541"/>
      <c r="Y716" s="541"/>
      <c r="Z716" s="541"/>
    </row>
    <row r="717" spans="1:26" ht="18.75">
      <c r="A717" s="708"/>
      <c r="B717" s="727"/>
      <c r="C717" s="727"/>
      <c r="D717" s="727"/>
      <c r="E717" s="727"/>
      <c r="F717" s="727"/>
      <c r="G717" s="189"/>
      <c r="H717" s="728" t="s">
        <v>46</v>
      </c>
      <c r="I717" s="729"/>
      <c r="J717" s="214">
        <v>0</v>
      </c>
      <c r="K717" s="465"/>
      <c r="L717" s="730"/>
      <c r="M717" s="189"/>
      <c r="N717" s="730"/>
      <c r="O717" s="465"/>
      <c r="P717" s="465"/>
      <c r="Q717" s="541"/>
      <c r="R717" s="541"/>
      <c r="S717" s="541"/>
      <c r="T717" s="541"/>
      <c r="U717" s="541"/>
      <c r="V717" s="541"/>
      <c r="W717" s="541"/>
      <c r="X717" s="541"/>
      <c r="Y717" s="541"/>
      <c r="Z717" s="541"/>
    </row>
    <row r="718" spans="1:26" ht="18.75">
      <c r="A718" s="708"/>
      <c r="B718" s="727"/>
      <c r="C718" s="727"/>
      <c r="D718" s="727" t="s">
        <v>304</v>
      </c>
      <c r="E718" s="727"/>
      <c r="F718" s="727"/>
      <c r="G718" s="189"/>
      <c r="H718" s="728" t="s">
        <v>35</v>
      </c>
      <c r="I718" s="729"/>
      <c r="J718" s="269">
        <f ca="1">IFERROR(__xludf.DUMMYFUNCTION("IMPORTRANGE(""https://docs.google.com/spreadsheets/d/1XWAQStnk-4SwqDmLtmXYiTMKHgktTP8We1SCoS47DrQ/edit?usp=sharing"",""จัดที่ดิน!BF16"")"),0)</f>
        <v>0</v>
      </c>
      <c r="K718" s="465"/>
      <c r="L718" s="465"/>
      <c r="M718" s="189"/>
      <c r="N718" s="730"/>
      <c r="O718" s="465"/>
      <c r="P718" s="465"/>
      <c r="Q718" s="541"/>
      <c r="R718" s="541"/>
      <c r="S718" s="541"/>
      <c r="T718" s="541"/>
      <c r="U718" s="541"/>
      <c r="V718" s="541"/>
      <c r="W718" s="541"/>
      <c r="X718" s="541"/>
      <c r="Y718" s="541"/>
      <c r="Z718" s="541"/>
    </row>
    <row r="719" spans="1:26" ht="18.75">
      <c r="A719" s="708"/>
      <c r="B719" s="727"/>
      <c r="C719" s="727"/>
      <c r="D719" s="727"/>
      <c r="E719" s="727"/>
      <c r="F719" s="727"/>
      <c r="G719" s="189"/>
      <c r="H719" s="728" t="s">
        <v>34</v>
      </c>
      <c r="I719" s="729"/>
      <c r="J719" s="269">
        <f ca="1">IFERROR(__xludf.DUMMYFUNCTION("IMPORTRANGE(""https://docs.google.com/spreadsheets/d/1XWAQStnk-4SwqDmLtmXYiTMKHgktTP8We1SCoS47DrQ/edit?usp=sharing"",""จัดที่ดิน!BG16"")"),0)</f>
        <v>0</v>
      </c>
      <c r="K719" s="465"/>
      <c r="L719" s="730"/>
      <c r="M719" s="189"/>
      <c r="N719" s="730"/>
      <c r="O719" s="465"/>
      <c r="P719" s="465"/>
      <c r="Q719" s="541"/>
      <c r="R719" s="541"/>
      <c r="S719" s="541"/>
      <c r="T719" s="541"/>
      <c r="U719" s="541"/>
      <c r="V719" s="541"/>
      <c r="W719" s="541"/>
      <c r="X719" s="541"/>
      <c r="Y719" s="541"/>
      <c r="Z719" s="541"/>
    </row>
    <row r="720" spans="1:26" ht="18.75">
      <c r="A720" s="708"/>
      <c r="B720" s="727"/>
      <c r="C720" s="727"/>
      <c r="D720" s="727"/>
      <c r="E720" s="727"/>
      <c r="F720" s="727"/>
      <c r="G720" s="189"/>
      <c r="H720" s="728" t="s">
        <v>46</v>
      </c>
      <c r="I720" s="729">
        <f ca="1">IFERROR(__xludf.DUMMYFUNCTION("IMPORTRANGE(""https://docs.google.com/spreadsheets/d/1QqKyyYR6Q21VydFLVH3TRQUabQu_ym0Zz7PgGX0-kHA/edit?usp=sharing"",""แผน!II16"")"),9)</f>
        <v>9</v>
      </c>
      <c r="J720" s="269">
        <f ca="1">IFERROR(__xludf.DUMMYFUNCTION("IMPORTRANGE(""https://docs.google.com/spreadsheets/d/1XWAQStnk-4SwqDmLtmXYiTMKHgktTP8We1SCoS47DrQ/edit?usp=sharing"",""จัดที่ดิน!BH16"")"),0)</f>
        <v>0</v>
      </c>
      <c r="K720" s="465">
        <f t="shared" ref="K720:K723" ca="1" si="290">IF(I720&gt;0,J720*100/I720,0)</f>
        <v>0</v>
      </c>
      <c r="L720" s="730"/>
      <c r="M720" s="189"/>
      <c r="N720" s="730"/>
      <c r="O720" s="465"/>
      <c r="P720" s="465"/>
      <c r="Q720" s="541"/>
      <c r="R720" s="541"/>
      <c r="S720" s="541"/>
      <c r="T720" s="541"/>
      <c r="U720" s="541"/>
      <c r="V720" s="541"/>
      <c r="W720" s="541"/>
      <c r="X720" s="541"/>
      <c r="Y720" s="541"/>
      <c r="Z720" s="541"/>
    </row>
    <row r="721" spans="1:26" ht="19.5">
      <c r="A721" s="708"/>
      <c r="B721" s="727"/>
      <c r="C721" s="727"/>
      <c r="D721" s="727" t="s">
        <v>305</v>
      </c>
      <c r="E721" s="727"/>
      <c r="F721" s="727"/>
      <c r="G721" s="189"/>
      <c r="H721" s="731" t="s">
        <v>35</v>
      </c>
      <c r="I721" s="732">
        <f ca="1">IFERROR(__xludf.DUMMYFUNCTION("IMPORTRANGE(""https://docs.google.com/spreadsheets/d/1QqKyyYR6Q21VydFLVH3TRQUabQu_ym0Zz7PgGX0-kHA/edit?usp=sharing"",""แผน!IJ16"")"),0)</f>
        <v>0</v>
      </c>
      <c r="J721" s="647">
        <f ca="1">J723+J726</f>
        <v>0</v>
      </c>
      <c r="K721" s="195">
        <f t="shared" ca="1" si="290"/>
        <v>0</v>
      </c>
      <c r="L721" s="730"/>
      <c r="M721" s="189"/>
      <c r="N721" s="730"/>
      <c r="O721" s="465"/>
      <c r="P721" s="465"/>
      <c r="Q721" s="541"/>
      <c r="R721" s="541"/>
      <c r="S721" s="541"/>
      <c r="T721" s="541"/>
      <c r="U721" s="541"/>
      <c r="V721" s="541"/>
      <c r="W721" s="541"/>
      <c r="X721" s="541"/>
      <c r="Y721" s="541"/>
      <c r="Z721" s="541"/>
    </row>
    <row r="722" spans="1:26" ht="19.5">
      <c r="A722" s="708"/>
      <c r="B722" s="727"/>
      <c r="C722" s="727"/>
      <c r="D722" s="727"/>
      <c r="E722" s="727"/>
      <c r="F722" s="727"/>
      <c r="G722" s="189"/>
      <c r="H722" s="731" t="s">
        <v>46</v>
      </c>
      <c r="I722" s="732">
        <f ca="1">IFERROR(__xludf.DUMMYFUNCTION("IMPORTRANGE(""https://docs.google.com/spreadsheets/d/1QqKyyYR6Q21VydFLVH3TRQUabQu_ym0Zz7PgGX0-kHA/edit?usp=sharing"",""แผน!IK16"")"),0)</f>
        <v>0</v>
      </c>
      <c r="J722" s="647">
        <f ca="1">J725+J728</f>
        <v>0</v>
      </c>
      <c r="K722" s="195">
        <f t="shared" ca="1" si="290"/>
        <v>0</v>
      </c>
      <c r="L722" s="465"/>
      <c r="M722" s="189"/>
      <c r="N722" s="730"/>
      <c r="O722" s="465"/>
      <c r="P722" s="465"/>
      <c r="Q722" s="541"/>
      <c r="R722" s="541"/>
      <c r="S722" s="541"/>
      <c r="T722" s="541"/>
      <c r="U722" s="541"/>
      <c r="V722" s="541"/>
      <c r="W722" s="541"/>
      <c r="X722" s="541"/>
      <c r="Y722" s="541"/>
      <c r="Z722" s="541"/>
    </row>
    <row r="723" spans="1:26" ht="18.75">
      <c r="A723" s="708"/>
      <c r="B723" s="727"/>
      <c r="C723" s="727"/>
      <c r="D723" s="727"/>
      <c r="E723" s="727" t="s">
        <v>306</v>
      </c>
      <c r="F723" s="727"/>
      <c r="G723" s="189"/>
      <c r="H723" s="728" t="s">
        <v>35</v>
      </c>
      <c r="I723" s="729">
        <f ca="1">IFERROR(__xludf.DUMMYFUNCTION("IMPORTRANGE(""https://docs.google.com/spreadsheets/d/1QqKyyYR6Q21VydFLVH3TRQUabQu_ym0Zz7PgGX0-kHA/edit?usp=sharing"",""แผน!IL16"")"),0)</f>
        <v>0</v>
      </c>
      <c r="J723" s="269">
        <f ca="1">IFERROR(__xludf.DUMMYFUNCTION("IMPORTRANGE(""https://docs.google.com/spreadsheets/d/1XWAQStnk-4SwqDmLtmXYiTMKHgktTP8We1SCoS47DrQ/edit?usp=sharing"",""จัดที่ดิน!BM16"")"),0)</f>
        <v>0</v>
      </c>
      <c r="K723" s="465">
        <f t="shared" ca="1" si="290"/>
        <v>0</v>
      </c>
      <c r="L723" s="465"/>
      <c r="M723" s="189"/>
      <c r="N723" s="730"/>
      <c r="O723" s="465"/>
      <c r="P723" s="465"/>
      <c r="Q723" s="541"/>
      <c r="R723" s="541"/>
      <c r="S723" s="541"/>
      <c r="T723" s="541"/>
      <c r="U723" s="541"/>
      <c r="V723" s="541"/>
      <c r="W723" s="541"/>
      <c r="X723" s="541"/>
      <c r="Y723" s="541"/>
      <c r="Z723" s="541"/>
    </row>
    <row r="724" spans="1:26" ht="18.75">
      <c r="A724" s="708"/>
      <c r="B724" s="727"/>
      <c r="C724" s="727"/>
      <c r="D724" s="727"/>
      <c r="E724" s="727"/>
      <c r="F724" s="727"/>
      <c r="G724" s="189"/>
      <c r="H724" s="728" t="s">
        <v>34</v>
      </c>
      <c r="I724" s="729"/>
      <c r="J724" s="269">
        <f ca="1">IFERROR(__xludf.DUMMYFUNCTION("IMPORTRANGE(""https://docs.google.com/spreadsheets/d/1XWAQStnk-4SwqDmLtmXYiTMKHgktTP8We1SCoS47DrQ/edit?usp=sharing"",""จัดที่ดิน!BN16"")"),0)</f>
        <v>0</v>
      </c>
      <c r="K724" s="465"/>
      <c r="L724" s="730"/>
      <c r="M724" s="189"/>
      <c r="N724" s="730"/>
      <c r="O724" s="465"/>
      <c r="P724" s="465"/>
      <c r="Q724" s="541"/>
      <c r="R724" s="541"/>
      <c r="S724" s="541"/>
      <c r="T724" s="541"/>
      <c r="U724" s="541"/>
      <c r="V724" s="541"/>
      <c r="W724" s="541"/>
      <c r="X724" s="541"/>
      <c r="Y724" s="541"/>
      <c r="Z724" s="541"/>
    </row>
    <row r="725" spans="1:26" ht="18.75">
      <c r="A725" s="708"/>
      <c r="B725" s="727"/>
      <c r="C725" s="727"/>
      <c r="D725" s="727"/>
      <c r="E725" s="727"/>
      <c r="F725" s="727"/>
      <c r="G725" s="189"/>
      <c r="H725" s="728" t="s">
        <v>46</v>
      </c>
      <c r="I725" s="729">
        <f ca="1">IFERROR(__xludf.DUMMYFUNCTION("IMPORTRANGE(""https://docs.google.com/spreadsheets/d/1QqKyyYR6Q21VydFLVH3TRQUabQu_ym0Zz7PgGX0-kHA/edit?usp=sharing"",""แผน!IM16"")"),0)</f>
        <v>0</v>
      </c>
      <c r="J725" s="269">
        <f ca="1">IFERROR(__xludf.DUMMYFUNCTION("IMPORTRANGE(""https://docs.google.com/spreadsheets/d/1XWAQStnk-4SwqDmLtmXYiTMKHgktTP8We1SCoS47DrQ/edit?usp=sharing"",""จัดที่ดิน!BO16"")"),0)</f>
        <v>0</v>
      </c>
      <c r="K725" s="465">
        <f t="shared" ref="K725:K726" ca="1" si="291">IF(I725&gt;0,J725*100/I725,0)</f>
        <v>0</v>
      </c>
      <c r="L725" s="730"/>
      <c r="M725" s="189"/>
      <c r="N725" s="730"/>
      <c r="O725" s="465"/>
      <c r="P725" s="465"/>
      <c r="Q725" s="541"/>
      <c r="R725" s="541"/>
      <c r="S725" s="541"/>
      <c r="T725" s="541"/>
      <c r="U725" s="541"/>
      <c r="V725" s="541"/>
      <c r="W725" s="541"/>
      <c r="X725" s="541"/>
      <c r="Y725" s="541"/>
      <c r="Z725" s="541"/>
    </row>
    <row r="726" spans="1:26" ht="18.75">
      <c r="A726" s="708"/>
      <c r="B726" s="727"/>
      <c r="C726" s="727"/>
      <c r="D726" s="727"/>
      <c r="E726" s="727" t="s">
        <v>307</v>
      </c>
      <c r="F726" s="727"/>
      <c r="G726" s="189"/>
      <c r="H726" s="728" t="s">
        <v>35</v>
      </c>
      <c r="I726" s="729">
        <f ca="1">IFERROR(__xludf.DUMMYFUNCTION("IMPORTRANGE(""https://docs.google.com/spreadsheets/d/1QqKyyYR6Q21VydFLVH3TRQUabQu_ym0Zz7PgGX0-kHA/edit?usp=sharing"",""แผน!IN16"")"),0)</f>
        <v>0</v>
      </c>
      <c r="J726" s="269">
        <f ca="1">IFERROR(__xludf.DUMMYFUNCTION("IMPORTRANGE(""https://docs.google.com/spreadsheets/d/1XWAQStnk-4SwqDmLtmXYiTMKHgktTP8We1SCoS47DrQ/edit?usp=sharing"",""จัดที่ดิน!BR16"")"),0)</f>
        <v>0</v>
      </c>
      <c r="K726" s="465">
        <f t="shared" ca="1" si="291"/>
        <v>0</v>
      </c>
      <c r="L726" s="465"/>
      <c r="M726" s="189"/>
      <c r="N726" s="730"/>
      <c r="O726" s="465"/>
      <c r="P726" s="465"/>
      <c r="Q726" s="541"/>
      <c r="R726" s="541"/>
      <c r="S726" s="541"/>
      <c r="T726" s="541"/>
      <c r="U726" s="541"/>
      <c r="V726" s="541"/>
      <c r="W726" s="541"/>
      <c r="X726" s="541"/>
      <c r="Y726" s="541"/>
      <c r="Z726" s="541"/>
    </row>
    <row r="727" spans="1:26" ht="18.75">
      <c r="A727" s="708"/>
      <c r="B727" s="727"/>
      <c r="C727" s="727"/>
      <c r="D727" s="727"/>
      <c r="E727" s="727"/>
      <c r="F727" s="727"/>
      <c r="G727" s="189"/>
      <c r="H727" s="728" t="s">
        <v>34</v>
      </c>
      <c r="I727" s="729"/>
      <c r="J727" s="269">
        <f ca="1">IFERROR(__xludf.DUMMYFUNCTION("IMPORTRANGE(""https://docs.google.com/spreadsheets/d/1XWAQStnk-4SwqDmLtmXYiTMKHgktTP8We1SCoS47DrQ/edit?usp=sharing"",""จัดที่ดิน!BS16"")"),0)</f>
        <v>0</v>
      </c>
      <c r="K727" s="465"/>
      <c r="L727" s="730"/>
      <c r="M727" s="189"/>
      <c r="N727" s="730"/>
      <c r="O727" s="465"/>
      <c r="P727" s="465"/>
      <c r="Q727" s="541"/>
      <c r="R727" s="541"/>
      <c r="S727" s="541"/>
      <c r="T727" s="541"/>
      <c r="U727" s="541"/>
      <c r="V727" s="541"/>
      <c r="W727" s="541"/>
      <c r="X727" s="541"/>
      <c r="Y727" s="541"/>
      <c r="Z727" s="541"/>
    </row>
    <row r="728" spans="1:26" ht="18.75">
      <c r="A728" s="708"/>
      <c r="B728" s="727"/>
      <c r="C728" s="727"/>
      <c r="D728" s="727"/>
      <c r="E728" s="727"/>
      <c r="F728" s="727"/>
      <c r="G728" s="189"/>
      <c r="H728" s="728" t="s">
        <v>46</v>
      </c>
      <c r="I728" s="729">
        <f ca="1">IFERROR(__xludf.DUMMYFUNCTION("IMPORTRANGE(""https://docs.google.com/spreadsheets/d/1QqKyyYR6Q21VydFLVH3TRQUabQu_ym0Zz7PgGX0-kHA/edit?usp=sharing"",""แผน!IO16"")"),0)</f>
        <v>0</v>
      </c>
      <c r="J728" s="269">
        <f ca="1">IFERROR(__xludf.DUMMYFUNCTION("IMPORTRANGE(""https://docs.google.com/spreadsheets/d/1XWAQStnk-4SwqDmLtmXYiTMKHgktTP8We1SCoS47DrQ/edit?usp=sharing"",""จัดที่ดิน!BT16"")"),0)</f>
        <v>0</v>
      </c>
      <c r="K728" s="465">
        <f t="shared" ref="K728:K729" ca="1" si="292">IF(I728&gt;0,J728*100/I728,0)</f>
        <v>0</v>
      </c>
      <c r="L728" s="730"/>
      <c r="M728" s="189"/>
      <c r="N728" s="730"/>
      <c r="O728" s="465"/>
      <c r="P728" s="465"/>
      <c r="Q728" s="541"/>
      <c r="R728" s="541"/>
      <c r="S728" s="541"/>
      <c r="T728" s="541"/>
      <c r="U728" s="541"/>
      <c r="V728" s="541"/>
      <c r="W728" s="541"/>
      <c r="X728" s="541"/>
      <c r="Y728" s="541"/>
      <c r="Z728" s="541"/>
    </row>
    <row r="729" spans="1:26" ht="19.5">
      <c r="A729" s="708"/>
      <c r="B729" s="727"/>
      <c r="C729" s="727"/>
      <c r="D729" s="727" t="s">
        <v>308</v>
      </c>
      <c r="E729" s="727"/>
      <c r="F729" s="727"/>
      <c r="G729" s="189"/>
      <c r="H729" s="731" t="s">
        <v>46</v>
      </c>
      <c r="I729" s="732">
        <f ca="1">IFERROR(__xludf.DUMMYFUNCTION("IMPORTRANGE(""https://docs.google.com/spreadsheets/d/1QqKyyYR6Q21VydFLVH3TRQUabQu_ym0Zz7PgGX0-kHA/edit?usp=sharing"",""แผน!IP16"")"),0)</f>
        <v>0</v>
      </c>
      <c r="J729" s="647">
        <f>J732+J735</f>
        <v>0</v>
      </c>
      <c r="K729" s="195">
        <f t="shared" ca="1" si="292"/>
        <v>0</v>
      </c>
      <c r="L729" s="465"/>
      <c r="M729" s="189"/>
      <c r="N729" s="730"/>
      <c r="O729" s="465"/>
      <c r="P729" s="465"/>
      <c r="Q729" s="541"/>
      <c r="R729" s="541"/>
      <c r="S729" s="541"/>
      <c r="T729" s="541"/>
      <c r="U729" s="541"/>
      <c r="V729" s="541"/>
      <c r="W729" s="541"/>
      <c r="X729" s="541"/>
      <c r="Y729" s="541"/>
      <c r="Z729" s="541"/>
    </row>
    <row r="730" spans="1:26" ht="18.75">
      <c r="A730" s="708"/>
      <c r="B730" s="727"/>
      <c r="C730" s="727"/>
      <c r="D730" s="727"/>
      <c r="E730" s="727" t="s">
        <v>309</v>
      </c>
      <c r="F730" s="727"/>
      <c r="G730" s="189"/>
      <c r="H730" s="728" t="s">
        <v>35</v>
      </c>
      <c r="I730" s="729"/>
      <c r="J730" s="214">
        <v>0</v>
      </c>
      <c r="K730" s="465"/>
      <c r="L730" s="730"/>
      <c r="M730" s="465"/>
      <c r="N730" s="730"/>
      <c r="O730" s="465"/>
      <c r="P730" s="465"/>
      <c r="Q730" s="541"/>
      <c r="R730" s="541"/>
      <c r="S730" s="541"/>
      <c r="T730" s="541"/>
      <c r="U730" s="541"/>
      <c r="V730" s="541"/>
      <c r="W730" s="541"/>
      <c r="X730" s="541"/>
      <c r="Y730" s="541"/>
      <c r="Z730" s="541"/>
    </row>
    <row r="731" spans="1:26" ht="18.75">
      <c r="A731" s="708"/>
      <c r="B731" s="727"/>
      <c r="C731" s="727"/>
      <c r="D731" s="727"/>
      <c r="E731" s="727"/>
      <c r="F731" s="727"/>
      <c r="G731" s="189"/>
      <c r="H731" s="728" t="s">
        <v>34</v>
      </c>
      <c r="I731" s="729"/>
      <c r="J731" s="214">
        <v>0</v>
      </c>
      <c r="K731" s="465"/>
      <c r="L731" s="730"/>
      <c r="M731" s="465"/>
      <c r="N731" s="730"/>
      <c r="O731" s="465"/>
      <c r="P731" s="465"/>
      <c r="Q731" s="541"/>
      <c r="R731" s="541"/>
      <c r="S731" s="541"/>
      <c r="T731" s="541"/>
      <c r="U731" s="541"/>
      <c r="V731" s="541"/>
      <c r="W731" s="541"/>
      <c r="X731" s="541"/>
      <c r="Y731" s="541"/>
      <c r="Z731" s="541"/>
    </row>
    <row r="732" spans="1:26" ht="18.75">
      <c r="A732" s="708"/>
      <c r="B732" s="727"/>
      <c r="C732" s="727"/>
      <c r="D732" s="727"/>
      <c r="E732" s="727"/>
      <c r="F732" s="727"/>
      <c r="G732" s="189"/>
      <c r="H732" s="728" t="s">
        <v>46</v>
      </c>
      <c r="I732" s="729"/>
      <c r="J732" s="214">
        <v>0</v>
      </c>
      <c r="K732" s="465"/>
      <c r="L732" s="730"/>
      <c r="M732" s="465"/>
      <c r="N732" s="730"/>
      <c r="O732" s="465"/>
      <c r="P732" s="465"/>
      <c r="Q732" s="541"/>
      <c r="R732" s="541"/>
      <c r="S732" s="541"/>
      <c r="T732" s="541"/>
      <c r="U732" s="541"/>
      <c r="V732" s="541"/>
      <c r="W732" s="541"/>
      <c r="X732" s="541"/>
      <c r="Y732" s="541"/>
      <c r="Z732" s="541"/>
    </row>
    <row r="733" spans="1:26" ht="18.75">
      <c r="A733" s="708"/>
      <c r="B733" s="727"/>
      <c r="C733" s="727"/>
      <c r="D733" s="727"/>
      <c r="E733" s="727" t="s">
        <v>310</v>
      </c>
      <c r="F733" s="727"/>
      <c r="G733" s="189"/>
      <c r="H733" s="728" t="s">
        <v>35</v>
      </c>
      <c r="I733" s="729"/>
      <c r="J733" s="214">
        <v>0</v>
      </c>
      <c r="K733" s="465"/>
      <c r="L733" s="730"/>
      <c r="M733" s="465"/>
      <c r="N733" s="730"/>
      <c r="O733" s="465"/>
      <c r="P733" s="465"/>
      <c r="Q733" s="541"/>
      <c r="R733" s="541"/>
      <c r="S733" s="541"/>
      <c r="T733" s="541"/>
      <c r="U733" s="541"/>
      <c r="V733" s="541"/>
      <c r="W733" s="541"/>
      <c r="X733" s="541"/>
      <c r="Y733" s="541"/>
      <c r="Z733" s="541"/>
    </row>
    <row r="734" spans="1:26" ht="18.75">
      <c r="A734" s="708"/>
      <c r="B734" s="727"/>
      <c r="C734" s="727"/>
      <c r="D734" s="727"/>
      <c r="E734" s="727"/>
      <c r="F734" s="727"/>
      <c r="G734" s="189"/>
      <c r="H734" s="728" t="s">
        <v>34</v>
      </c>
      <c r="I734" s="729"/>
      <c r="J734" s="214">
        <v>0</v>
      </c>
      <c r="K734" s="465"/>
      <c r="L734" s="730"/>
      <c r="M734" s="465"/>
      <c r="N734" s="730"/>
      <c r="O734" s="465"/>
      <c r="P734" s="465"/>
      <c r="Q734" s="541"/>
      <c r="R734" s="541"/>
      <c r="S734" s="541"/>
      <c r="T734" s="541"/>
      <c r="U734" s="541"/>
      <c r="V734" s="541"/>
      <c r="W734" s="541"/>
      <c r="X734" s="541"/>
      <c r="Y734" s="541"/>
      <c r="Z734" s="541"/>
    </row>
    <row r="735" spans="1:26" ht="19.5">
      <c r="A735" s="734"/>
      <c r="B735" s="735" t="s">
        <v>311</v>
      </c>
      <c r="C735" s="698"/>
      <c r="D735" s="698"/>
      <c r="E735" s="698"/>
      <c r="F735" s="698"/>
      <c r="G735" s="699"/>
      <c r="H735" s="390" t="s">
        <v>46</v>
      </c>
      <c r="I735" s="736"/>
      <c r="J735" s="392">
        <v>0</v>
      </c>
      <c r="K735" s="469"/>
      <c r="L735" s="737"/>
      <c r="M735" s="469"/>
      <c r="N735" s="737"/>
      <c r="O735" s="469"/>
      <c r="P735" s="469"/>
      <c r="Q735" s="541"/>
      <c r="R735" s="541"/>
      <c r="S735" s="541"/>
      <c r="T735" s="541"/>
      <c r="U735" s="541"/>
      <c r="V735" s="541"/>
      <c r="W735" s="541"/>
      <c r="X735" s="541"/>
      <c r="Y735" s="541"/>
      <c r="Z735" s="541"/>
    </row>
    <row r="736" spans="1:26" ht="19.5" hidden="1">
      <c r="A736" s="738">
        <v>9</v>
      </c>
      <c r="B736" s="739" t="s">
        <v>312</v>
      </c>
      <c r="C736" s="740"/>
      <c r="D736" s="740"/>
      <c r="E736" s="740"/>
      <c r="F736" s="740"/>
      <c r="G736" s="741"/>
      <c r="H736" s="742" t="s">
        <v>46</v>
      </c>
      <c r="I736" s="743"/>
      <c r="J736" s="743">
        <f>J751</f>
        <v>0</v>
      </c>
      <c r="K736" s="744">
        <f>IF(I736&gt;0,J736*100/I736,0)</f>
        <v>0</v>
      </c>
      <c r="L736" s="745"/>
      <c r="M736" s="745"/>
      <c r="N736" s="745"/>
      <c r="O736" s="745"/>
      <c r="P736" s="745"/>
      <c r="Q736" s="568"/>
      <c r="R736" s="568"/>
      <c r="S736" s="568"/>
      <c r="T736" s="568"/>
      <c r="U736" s="568"/>
      <c r="V736" s="568"/>
      <c r="W736" s="568"/>
      <c r="X736" s="568"/>
      <c r="Y736" s="568"/>
      <c r="Z736" s="568"/>
    </row>
    <row r="737" spans="1:26" ht="19.5" hidden="1">
      <c r="A737" s="563"/>
      <c r="B737" s="723"/>
      <c r="C737" s="723" t="s">
        <v>16</v>
      </c>
      <c r="D737" s="812" t="s">
        <v>17</v>
      </c>
      <c r="E737" s="805"/>
      <c r="F737" s="805"/>
      <c r="G737" s="567"/>
      <c r="H737" s="612" t="s">
        <v>12</v>
      </c>
      <c r="I737" s="583"/>
      <c r="J737" s="583"/>
      <c r="K737" s="93"/>
      <c r="L737" s="613">
        <f t="shared" ref="L737:N737" si="293">L738+L739</f>
        <v>0</v>
      </c>
      <c r="M737" s="613">
        <f t="shared" si="293"/>
        <v>0</v>
      </c>
      <c r="N737" s="613">
        <f t="shared" si="293"/>
        <v>0</v>
      </c>
      <c r="O737" s="613">
        <f t="shared" ref="O737:O742" si="294">IF(L737&gt;0,N737*100/L737,0)</f>
        <v>0</v>
      </c>
      <c r="P737" s="613">
        <f t="shared" ref="P737:P742" si="295">IF(M737&gt;0,N737*100/M737,0)</f>
        <v>0</v>
      </c>
      <c r="Q737" s="568"/>
      <c r="R737" s="568"/>
      <c r="S737" s="568"/>
      <c r="T737" s="568"/>
      <c r="U737" s="568"/>
      <c r="V737" s="568"/>
      <c r="W737" s="568"/>
      <c r="X737" s="568"/>
      <c r="Y737" s="568"/>
      <c r="Z737" s="568"/>
    </row>
    <row r="738" spans="1:26" ht="18.75" hidden="1">
      <c r="A738" s="563"/>
      <c r="B738" s="723"/>
      <c r="C738" s="723"/>
      <c r="D738" s="684"/>
      <c r="E738" s="723" t="s">
        <v>184</v>
      </c>
      <c r="F738" s="723"/>
      <c r="G738" s="567"/>
      <c r="H738" s="165" t="s">
        <v>12</v>
      </c>
      <c r="I738" s="583"/>
      <c r="J738" s="583"/>
      <c r="K738" s="93"/>
      <c r="L738" s="93">
        <f t="shared" ref="L738:N739" si="296">L741+L748</f>
        <v>0</v>
      </c>
      <c r="M738" s="93">
        <f t="shared" si="296"/>
        <v>0</v>
      </c>
      <c r="N738" s="93">
        <f t="shared" si="296"/>
        <v>0</v>
      </c>
      <c r="O738" s="93">
        <f t="shared" si="294"/>
        <v>0</v>
      </c>
      <c r="P738" s="93">
        <f t="shared" si="295"/>
        <v>0</v>
      </c>
      <c r="Q738" s="568"/>
      <c r="R738" s="568"/>
      <c r="S738" s="568"/>
      <c r="T738" s="568"/>
      <c r="U738" s="568"/>
      <c r="V738" s="568"/>
      <c r="W738" s="568"/>
      <c r="X738" s="568"/>
      <c r="Y738" s="568"/>
      <c r="Z738" s="568"/>
    </row>
    <row r="739" spans="1:26" ht="18.75" hidden="1">
      <c r="A739" s="563"/>
      <c r="B739" s="571"/>
      <c r="C739" s="723"/>
      <c r="D739" s="684"/>
      <c r="E739" s="723" t="s">
        <v>185</v>
      </c>
      <c r="F739" s="723"/>
      <c r="G739" s="567"/>
      <c r="H739" s="165" t="s">
        <v>12</v>
      </c>
      <c r="I739" s="583"/>
      <c r="J739" s="583"/>
      <c r="K739" s="93"/>
      <c r="L739" s="93">
        <f t="shared" si="296"/>
        <v>0</v>
      </c>
      <c r="M739" s="93">
        <f t="shared" si="296"/>
        <v>0</v>
      </c>
      <c r="N739" s="93">
        <f t="shared" si="296"/>
        <v>0</v>
      </c>
      <c r="O739" s="93">
        <f t="shared" si="294"/>
        <v>0</v>
      </c>
      <c r="P739" s="93">
        <f t="shared" si="295"/>
        <v>0</v>
      </c>
      <c r="Q739" s="568"/>
      <c r="R739" s="568"/>
      <c r="S739" s="568"/>
      <c r="T739" s="568"/>
      <c r="U739" s="568"/>
      <c r="V739" s="568"/>
      <c r="W739" s="568"/>
      <c r="X739" s="568"/>
      <c r="Y739" s="568"/>
      <c r="Z739" s="568"/>
    </row>
    <row r="740" spans="1:26" ht="19.5" hidden="1">
      <c r="A740" s="563"/>
      <c r="B740" s="571"/>
      <c r="C740" s="723"/>
      <c r="D740" s="611" t="s">
        <v>20</v>
      </c>
      <c r="E740" s="723"/>
      <c r="F740" s="723"/>
      <c r="G740" s="567"/>
      <c r="H740" s="612" t="s">
        <v>12</v>
      </c>
      <c r="I740" s="166"/>
      <c r="J740" s="166"/>
      <c r="K740" s="167"/>
      <c r="L740" s="613">
        <f t="shared" ref="L740:N740" si="297">L741+L742</f>
        <v>0</v>
      </c>
      <c r="M740" s="613">
        <f t="shared" si="297"/>
        <v>0</v>
      </c>
      <c r="N740" s="613">
        <f t="shared" si="297"/>
        <v>0</v>
      </c>
      <c r="O740" s="613">
        <f t="shared" si="294"/>
        <v>0</v>
      </c>
      <c r="P740" s="613">
        <f t="shared" si="295"/>
        <v>0</v>
      </c>
      <c r="Q740" s="568"/>
      <c r="R740" s="568"/>
      <c r="S740" s="568"/>
      <c r="T740" s="568"/>
      <c r="U740" s="568"/>
      <c r="V740" s="568"/>
      <c r="W740" s="568"/>
      <c r="X740" s="568"/>
      <c r="Y740" s="568"/>
      <c r="Z740" s="568"/>
    </row>
    <row r="741" spans="1:26" ht="18.75" hidden="1">
      <c r="A741" s="563"/>
      <c r="B741" s="571"/>
      <c r="C741" s="723"/>
      <c r="D741" s="684"/>
      <c r="E741" s="723" t="s">
        <v>184</v>
      </c>
      <c r="F741" s="723"/>
      <c r="G741" s="567"/>
      <c r="H741" s="165" t="s">
        <v>12</v>
      </c>
      <c r="I741" s="583"/>
      <c r="J741" s="583"/>
      <c r="K741" s="93"/>
      <c r="L741" s="93">
        <v>0</v>
      </c>
      <c r="M741" s="93">
        <v>0</v>
      </c>
      <c r="N741" s="93">
        <v>0</v>
      </c>
      <c r="O741" s="93">
        <f t="shared" si="294"/>
        <v>0</v>
      </c>
      <c r="P741" s="93">
        <f t="shared" si="295"/>
        <v>0</v>
      </c>
      <c r="Q741" s="568"/>
      <c r="R741" s="568"/>
      <c r="S741" s="568"/>
      <c r="T741" s="568"/>
      <c r="U741" s="568"/>
      <c r="V741" s="568"/>
      <c r="W741" s="568"/>
      <c r="X741" s="568"/>
      <c r="Y741" s="568"/>
      <c r="Z741" s="568"/>
    </row>
    <row r="742" spans="1:26" ht="18.75" hidden="1">
      <c r="A742" s="563"/>
      <c r="B742" s="571"/>
      <c r="C742" s="723"/>
      <c r="D742" s="684"/>
      <c r="E742" s="723" t="s">
        <v>185</v>
      </c>
      <c r="F742" s="723"/>
      <c r="G742" s="567"/>
      <c r="H742" s="165" t="s">
        <v>12</v>
      </c>
      <c r="I742" s="583"/>
      <c r="J742" s="583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4"/>
        <v>0</v>
      </c>
      <c r="P742" s="93">
        <f t="shared" si="295"/>
        <v>0</v>
      </c>
      <c r="Q742" s="568"/>
      <c r="R742" s="568"/>
      <c r="S742" s="568"/>
      <c r="T742" s="568"/>
      <c r="U742" s="568"/>
      <c r="V742" s="568"/>
      <c r="W742" s="568"/>
      <c r="X742" s="568"/>
      <c r="Y742" s="568"/>
      <c r="Z742" s="568"/>
    </row>
    <row r="743" spans="1:26" ht="18.75" hidden="1">
      <c r="A743" s="615"/>
      <c r="B743" s="571"/>
      <c r="C743" s="723"/>
      <c r="D743" s="723"/>
      <c r="E743" s="723"/>
      <c r="F743" s="723" t="s">
        <v>186</v>
      </c>
      <c r="G743" s="567"/>
      <c r="H743" s="165" t="s">
        <v>12</v>
      </c>
      <c r="I743" s="583"/>
      <c r="J743" s="583"/>
      <c r="K743" s="93"/>
      <c r="L743" s="93"/>
      <c r="M743" s="93"/>
      <c r="N743" s="93"/>
      <c r="O743" s="93"/>
      <c r="P743" s="93"/>
      <c r="Q743" s="568"/>
      <c r="R743" s="568"/>
      <c r="S743" s="568"/>
      <c r="T743" s="568"/>
      <c r="U743" s="568"/>
      <c r="V743" s="568"/>
      <c r="W743" s="568"/>
      <c r="X743" s="568"/>
      <c r="Y743" s="568"/>
      <c r="Z743" s="568"/>
    </row>
    <row r="744" spans="1:26" ht="18.75" hidden="1">
      <c r="A744" s="615"/>
      <c r="B744" s="571"/>
      <c r="C744" s="723"/>
      <c r="D744" s="723"/>
      <c r="E744" s="723"/>
      <c r="F744" s="723" t="s">
        <v>187</v>
      </c>
      <c r="G744" s="567"/>
      <c r="H744" s="165" t="s">
        <v>12</v>
      </c>
      <c r="I744" s="583"/>
      <c r="J744" s="583"/>
      <c r="K744" s="93"/>
      <c r="L744" s="93"/>
      <c r="M744" s="93"/>
      <c r="N744" s="93"/>
      <c r="O744" s="93"/>
      <c r="P744" s="93"/>
      <c r="Q744" s="568"/>
      <c r="R744" s="568"/>
      <c r="S744" s="568"/>
      <c r="T744" s="568"/>
      <c r="U744" s="568"/>
      <c r="V744" s="568"/>
      <c r="W744" s="568"/>
      <c r="X744" s="568"/>
      <c r="Y744" s="568"/>
      <c r="Z744" s="568"/>
    </row>
    <row r="745" spans="1:26" ht="18.75" hidden="1">
      <c r="A745" s="615"/>
      <c r="B745" s="571"/>
      <c r="C745" s="723"/>
      <c r="D745" s="723"/>
      <c r="E745" s="723"/>
      <c r="F745" s="723" t="s">
        <v>188</v>
      </c>
      <c r="G745" s="567"/>
      <c r="H745" s="165" t="s">
        <v>12</v>
      </c>
      <c r="I745" s="583"/>
      <c r="J745" s="583"/>
      <c r="K745" s="93"/>
      <c r="L745" s="93"/>
      <c r="M745" s="93"/>
      <c r="N745" s="93"/>
      <c r="O745" s="93"/>
      <c r="P745" s="93"/>
      <c r="Q745" s="568"/>
      <c r="R745" s="568"/>
      <c r="S745" s="568"/>
      <c r="T745" s="568"/>
      <c r="U745" s="568"/>
      <c r="V745" s="568"/>
      <c r="W745" s="568"/>
      <c r="X745" s="568"/>
      <c r="Y745" s="568"/>
      <c r="Z745" s="568"/>
    </row>
    <row r="746" spans="1:26" ht="18.75" hidden="1">
      <c r="A746" s="615"/>
      <c r="B746" s="571"/>
      <c r="C746" s="723"/>
      <c r="D746" s="723"/>
      <c r="E746" s="723"/>
      <c r="F746" s="723" t="s">
        <v>189</v>
      </c>
      <c r="G746" s="567"/>
      <c r="H746" s="165" t="s">
        <v>12</v>
      </c>
      <c r="I746" s="583"/>
      <c r="J746" s="583"/>
      <c r="K746" s="93"/>
      <c r="L746" s="93"/>
      <c r="M746" s="93"/>
      <c r="N746" s="93"/>
      <c r="O746" s="93"/>
      <c r="P746" s="93"/>
      <c r="Q746" s="568"/>
      <c r="R746" s="568"/>
      <c r="S746" s="568"/>
      <c r="T746" s="568"/>
      <c r="U746" s="568"/>
      <c r="V746" s="568"/>
      <c r="W746" s="568"/>
      <c r="X746" s="568"/>
      <c r="Y746" s="568"/>
      <c r="Z746" s="568"/>
    </row>
    <row r="747" spans="1:26" ht="19.5" hidden="1">
      <c r="A747" s="563"/>
      <c r="B747" s="571"/>
      <c r="C747" s="723"/>
      <c r="D747" s="611" t="s">
        <v>21</v>
      </c>
      <c r="E747" s="723"/>
      <c r="F747" s="723"/>
      <c r="G747" s="567"/>
      <c r="H747" s="747" t="s">
        <v>12</v>
      </c>
      <c r="I747" s="166"/>
      <c r="J747" s="166"/>
      <c r="K747" s="167"/>
      <c r="L747" s="613">
        <f t="shared" ref="L747:N747" si="298">L748+L749</f>
        <v>0</v>
      </c>
      <c r="M747" s="613">
        <f t="shared" si="298"/>
        <v>0</v>
      </c>
      <c r="N747" s="613">
        <f t="shared" si="298"/>
        <v>0</v>
      </c>
      <c r="O747" s="613">
        <f t="shared" ref="O747:O749" si="299">IF(L747&gt;0,N747*100/L747,0)</f>
        <v>0</v>
      </c>
      <c r="P747" s="613">
        <f t="shared" ref="P747:P749" si="300">IF(M747&gt;0,N747*100/M747,0)</f>
        <v>0</v>
      </c>
      <c r="Q747" s="568"/>
      <c r="R747" s="568"/>
      <c r="S747" s="568"/>
      <c r="T747" s="568"/>
      <c r="U747" s="568"/>
      <c r="V747" s="568"/>
      <c r="W747" s="568"/>
      <c r="X747" s="568"/>
      <c r="Y747" s="568"/>
      <c r="Z747" s="568"/>
    </row>
    <row r="748" spans="1:26" ht="18.75" hidden="1">
      <c r="A748" s="563"/>
      <c r="B748" s="571"/>
      <c r="C748" s="723"/>
      <c r="D748" s="723"/>
      <c r="E748" s="723" t="s">
        <v>18</v>
      </c>
      <c r="F748" s="723"/>
      <c r="G748" s="567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299"/>
        <v>0</v>
      </c>
      <c r="P748" s="93">
        <f t="shared" si="300"/>
        <v>0</v>
      </c>
      <c r="Q748" s="568"/>
      <c r="R748" s="568"/>
      <c r="S748" s="568"/>
      <c r="T748" s="568"/>
      <c r="U748" s="568"/>
      <c r="V748" s="568"/>
      <c r="W748" s="568"/>
      <c r="X748" s="568"/>
      <c r="Y748" s="568"/>
      <c r="Z748" s="568"/>
    </row>
    <row r="749" spans="1:26" ht="18.75" hidden="1">
      <c r="A749" s="563"/>
      <c r="B749" s="571"/>
      <c r="C749" s="723"/>
      <c r="D749" s="723"/>
      <c r="E749" s="723" t="s">
        <v>19</v>
      </c>
      <c r="F749" s="723"/>
      <c r="G749" s="567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299"/>
        <v>0</v>
      </c>
      <c r="P749" s="93">
        <f t="shared" si="300"/>
        <v>0</v>
      </c>
      <c r="Q749" s="568"/>
      <c r="R749" s="568"/>
      <c r="S749" s="568"/>
      <c r="T749" s="568"/>
      <c r="U749" s="568"/>
      <c r="V749" s="568"/>
      <c r="W749" s="568"/>
      <c r="X749" s="568"/>
      <c r="Y749" s="568"/>
      <c r="Z749" s="568"/>
    </row>
    <row r="750" spans="1:26" ht="19.5" hidden="1">
      <c r="A750" s="578"/>
      <c r="B750" s="580"/>
      <c r="C750" s="723" t="s">
        <v>16</v>
      </c>
      <c r="D750" s="856" t="s">
        <v>38</v>
      </c>
      <c r="E750" s="617"/>
      <c r="F750" s="617"/>
      <c r="G750" s="618"/>
      <c r="H750" s="581"/>
      <c r="I750" s="166"/>
      <c r="J750" s="166"/>
      <c r="K750" s="167"/>
      <c r="L750" s="167"/>
      <c r="M750" s="167"/>
      <c r="N750" s="167"/>
      <c r="O750" s="167"/>
      <c r="P750" s="167"/>
      <c r="Q750" s="568"/>
      <c r="R750" s="568"/>
      <c r="S750" s="568"/>
      <c r="T750" s="568"/>
      <c r="U750" s="568"/>
      <c r="V750" s="568"/>
      <c r="W750" s="568"/>
      <c r="X750" s="568"/>
      <c r="Y750" s="568"/>
      <c r="Z750" s="568"/>
    </row>
    <row r="751" spans="1:26" ht="18.75" hidden="1">
      <c r="A751" s="615"/>
      <c r="B751" s="571"/>
      <c r="C751" s="723"/>
      <c r="D751" s="723"/>
      <c r="E751" s="723" t="s">
        <v>313</v>
      </c>
      <c r="F751" s="723"/>
      <c r="G751" s="567"/>
      <c r="H751" s="165" t="s">
        <v>46</v>
      </c>
      <c r="I751" s="583"/>
      <c r="J751" s="583"/>
      <c r="K751" s="93"/>
      <c r="L751" s="93"/>
      <c r="M751" s="93"/>
      <c r="N751" s="93"/>
      <c r="O751" s="93"/>
      <c r="P751" s="93"/>
      <c r="Q751" s="568"/>
      <c r="R751" s="568"/>
      <c r="S751" s="568"/>
      <c r="T751" s="568"/>
      <c r="U751" s="568"/>
      <c r="V751" s="568"/>
      <c r="W751" s="568"/>
      <c r="X751" s="568"/>
      <c r="Y751" s="568"/>
      <c r="Z751" s="568"/>
    </row>
    <row r="752" spans="1:26" ht="18.75" hidden="1">
      <c r="A752" s="615"/>
      <c r="B752" s="571"/>
      <c r="C752" s="723"/>
      <c r="D752" s="723"/>
      <c r="E752" s="723"/>
      <c r="F752" s="723"/>
      <c r="G752" s="567"/>
      <c r="H752" s="165" t="s">
        <v>314</v>
      </c>
      <c r="I752" s="583"/>
      <c r="J752" s="583"/>
      <c r="K752" s="93"/>
      <c r="L752" s="93"/>
      <c r="M752" s="93"/>
      <c r="N752" s="93"/>
      <c r="O752" s="93"/>
      <c r="P752" s="93"/>
      <c r="Q752" s="568"/>
      <c r="R752" s="568"/>
      <c r="S752" s="568"/>
      <c r="T752" s="568"/>
      <c r="U752" s="568"/>
      <c r="V752" s="568"/>
      <c r="W752" s="568"/>
      <c r="X752" s="568"/>
      <c r="Y752" s="568"/>
      <c r="Z752" s="568"/>
    </row>
    <row r="753" spans="1:26" ht="19.5" hidden="1">
      <c r="A753" s="749">
        <v>10</v>
      </c>
      <c r="B753" s="750" t="s">
        <v>315</v>
      </c>
      <c r="C753" s="751"/>
      <c r="D753" s="751"/>
      <c r="E753" s="751"/>
      <c r="F753" s="751"/>
      <c r="G753" s="752"/>
      <c r="H753" s="753" t="s">
        <v>46</v>
      </c>
      <c r="I753" s="754"/>
      <c r="J753" s="754">
        <f>J768</f>
        <v>0</v>
      </c>
      <c r="K753" s="755">
        <f>IF(I753&gt;0,J753*100/I753,0)</f>
        <v>0</v>
      </c>
      <c r="L753" s="756"/>
      <c r="M753" s="756"/>
      <c r="N753" s="756"/>
      <c r="O753" s="756"/>
      <c r="P753" s="756"/>
      <c r="Q753" s="568"/>
      <c r="R753" s="568"/>
      <c r="S753" s="568"/>
      <c r="T753" s="568"/>
      <c r="U753" s="568"/>
      <c r="V753" s="568"/>
      <c r="W753" s="568"/>
      <c r="X753" s="568"/>
      <c r="Y753" s="568"/>
      <c r="Z753" s="568"/>
    </row>
    <row r="754" spans="1:26" ht="19.5" hidden="1">
      <c r="A754" s="563"/>
      <c r="B754" s="723"/>
      <c r="C754" s="723" t="s">
        <v>16</v>
      </c>
      <c r="D754" s="812" t="s">
        <v>17</v>
      </c>
      <c r="E754" s="805"/>
      <c r="F754" s="805"/>
      <c r="G754" s="567"/>
      <c r="H754" s="612" t="s">
        <v>12</v>
      </c>
      <c r="I754" s="583"/>
      <c r="J754" s="583"/>
      <c r="K754" s="93"/>
      <c r="L754" s="613">
        <f t="shared" ref="L754:N754" si="301">L755+L756</f>
        <v>0</v>
      </c>
      <c r="M754" s="613">
        <f t="shared" si="301"/>
        <v>0</v>
      </c>
      <c r="N754" s="613">
        <f t="shared" si="301"/>
        <v>0</v>
      </c>
      <c r="O754" s="613">
        <f t="shared" ref="O754:O759" si="302">IF(L754&gt;0,N754*100/L754,0)</f>
        <v>0</v>
      </c>
      <c r="P754" s="613">
        <f t="shared" ref="P754:P759" si="303">IF(M754&gt;0,N754*100/M754,0)</f>
        <v>0</v>
      </c>
      <c r="Q754" s="568"/>
      <c r="R754" s="568"/>
      <c r="S754" s="568"/>
      <c r="T754" s="568"/>
      <c r="U754" s="568"/>
      <c r="V754" s="568"/>
      <c r="W754" s="568"/>
      <c r="X754" s="568"/>
      <c r="Y754" s="568"/>
      <c r="Z754" s="568"/>
    </row>
    <row r="755" spans="1:26" ht="18.75" hidden="1">
      <c r="A755" s="563"/>
      <c r="B755" s="723"/>
      <c r="C755" s="723"/>
      <c r="D755" s="684"/>
      <c r="E755" s="723" t="s">
        <v>184</v>
      </c>
      <c r="F755" s="723"/>
      <c r="G755" s="567"/>
      <c r="H755" s="165" t="s">
        <v>12</v>
      </c>
      <c r="I755" s="583"/>
      <c r="J755" s="583"/>
      <c r="K755" s="93"/>
      <c r="L755" s="93">
        <f t="shared" ref="L755:N756" si="304">L758+L765</f>
        <v>0</v>
      </c>
      <c r="M755" s="93">
        <f t="shared" si="304"/>
        <v>0</v>
      </c>
      <c r="N755" s="93">
        <f t="shared" si="304"/>
        <v>0</v>
      </c>
      <c r="O755" s="93">
        <f t="shared" si="302"/>
        <v>0</v>
      </c>
      <c r="P755" s="93">
        <f t="shared" si="303"/>
        <v>0</v>
      </c>
      <c r="Q755" s="568"/>
      <c r="R755" s="568"/>
      <c r="S755" s="568"/>
      <c r="T755" s="568"/>
      <c r="U755" s="568"/>
      <c r="V755" s="568"/>
      <c r="W755" s="568"/>
      <c r="X755" s="568"/>
      <c r="Y755" s="568"/>
      <c r="Z755" s="568"/>
    </row>
    <row r="756" spans="1:26" ht="18.75" hidden="1">
      <c r="A756" s="563"/>
      <c r="B756" s="571"/>
      <c r="C756" s="723"/>
      <c r="D756" s="684"/>
      <c r="E756" s="723" t="s">
        <v>185</v>
      </c>
      <c r="F756" s="723"/>
      <c r="G756" s="567"/>
      <c r="H756" s="165" t="s">
        <v>12</v>
      </c>
      <c r="I756" s="583"/>
      <c r="J756" s="583"/>
      <c r="K756" s="93"/>
      <c r="L756" s="93">
        <f t="shared" si="304"/>
        <v>0</v>
      </c>
      <c r="M756" s="93">
        <f t="shared" si="304"/>
        <v>0</v>
      </c>
      <c r="N756" s="93">
        <f t="shared" si="304"/>
        <v>0</v>
      </c>
      <c r="O756" s="93">
        <f t="shared" si="302"/>
        <v>0</v>
      </c>
      <c r="P756" s="93">
        <f t="shared" si="303"/>
        <v>0</v>
      </c>
      <c r="Q756" s="568"/>
      <c r="R756" s="568"/>
      <c r="S756" s="568"/>
      <c r="T756" s="568"/>
      <c r="U756" s="568"/>
      <c r="V756" s="568"/>
      <c r="W756" s="568"/>
      <c r="X756" s="568"/>
      <c r="Y756" s="568"/>
      <c r="Z756" s="568"/>
    </row>
    <row r="757" spans="1:26" ht="19.5" hidden="1">
      <c r="A757" s="563"/>
      <c r="B757" s="571"/>
      <c r="C757" s="723"/>
      <c r="D757" s="611" t="s">
        <v>20</v>
      </c>
      <c r="E757" s="723"/>
      <c r="F757" s="723"/>
      <c r="G757" s="567"/>
      <c r="H757" s="612" t="s">
        <v>12</v>
      </c>
      <c r="I757" s="166"/>
      <c r="J757" s="166"/>
      <c r="K757" s="167"/>
      <c r="L757" s="613">
        <f t="shared" ref="L757:N757" si="305">L758+L759</f>
        <v>0</v>
      </c>
      <c r="M757" s="613">
        <f t="shared" si="305"/>
        <v>0</v>
      </c>
      <c r="N757" s="613">
        <f t="shared" si="305"/>
        <v>0</v>
      </c>
      <c r="O757" s="613">
        <f t="shared" si="302"/>
        <v>0</v>
      </c>
      <c r="P757" s="613">
        <f t="shared" si="303"/>
        <v>0</v>
      </c>
      <c r="Q757" s="568"/>
      <c r="R757" s="568"/>
      <c r="S757" s="568"/>
      <c r="T757" s="568"/>
      <c r="U757" s="568"/>
      <c r="V757" s="568"/>
      <c r="W757" s="568"/>
      <c r="X757" s="568"/>
      <c r="Y757" s="568"/>
      <c r="Z757" s="568"/>
    </row>
    <row r="758" spans="1:26" ht="18.75" hidden="1">
      <c r="A758" s="563"/>
      <c r="B758" s="571"/>
      <c r="C758" s="723"/>
      <c r="D758" s="684"/>
      <c r="E758" s="723" t="s">
        <v>184</v>
      </c>
      <c r="F758" s="723"/>
      <c r="G758" s="567"/>
      <c r="H758" s="165" t="s">
        <v>12</v>
      </c>
      <c r="I758" s="583"/>
      <c r="J758" s="583"/>
      <c r="K758" s="93"/>
      <c r="L758" s="93">
        <v>0</v>
      </c>
      <c r="M758" s="93">
        <v>0</v>
      </c>
      <c r="N758" s="93">
        <v>0</v>
      </c>
      <c r="O758" s="93">
        <f t="shared" si="302"/>
        <v>0</v>
      </c>
      <c r="P758" s="93">
        <f t="shared" si="303"/>
        <v>0</v>
      </c>
      <c r="Q758" s="568"/>
      <c r="R758" s="568"/>
      <c r="S758" s="568"/>
      <c r="T758" s="568"/>
      <c r="U758" s="568"/>
      <c r="V758" s="568"/>
      <c r="W758" s="568"/>
      <c r="X758" s="568"/>
      <c r="Y758" s="568"/>
      <c r="Z758" s="568"/>
    </row>
    <row r="759" spans="1:26" ht="18.75" hidden="1">
      <c r="A759" s="563"/>
      <c r="B759" s="571"/>
      <c r="C759" s="723"/>
      <c r="D759" s="684"/>
      <c r="E759" s="723" t="s">
        <v>185</v>
      </c>
      <c r="F759" s="723"/>
      <c r="G759" s="567"/>
      <c r="H759" s="165" t="s">
        <v>12</v>
      </c>
      <c r="I759" s="583"/>
      <c r="J759" s="583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2"/>
        <v>0</v>
      </c>
      <c r="P759" s="93">
        <f t="shared" si="303"/>
        <v>0</v>
      </c>
      <c r="Q759" s="568"/>
      <c r="R759" s="568"/>
      <c r="S759" s="568"/>
      <c r="T759" s="568"/>
      <c r="U759" s="568"/>
      <c r="V759" s="568"/>
      <c r="W759" s="568"/>
      <c r="X759" s="568"/>
      <c r="Y759" s="568"/>
      <c r="Z759" s="568"/>
    </row>
    <row r="760" spans="1:26" ht="18.75" hidden="1">
      <c r="A760" s="615"/>
      <c r="B760" s="571"/>
      <c r="C760" s="723"/>
      <c r="D760" s="723"/>
      <c r="E760" s="723"/>
      <c r="F760" s="723" t="s">
        <v>186</v>
      </c>
      <c r="G760" s="567"/>
      <c r="H760" s="165" t="s">
        <v>12</v>
      </c>
      <c r="I760" s="583"/>
      <c r="J760" s="583"/>
      <c r="K760" s="93"/>
      <c r="L760" s="93"/>
      <c r="M760" s="93"/>
      <c r="N760" s="93"/>
      <c r="O760" s="93"/>
      <c r="P760" s="93"/>
      <c r="Q760" s="568"/>
      <c r="R760" s="568"/>
      <c r="S760" s="568"/>
      <c r="T760" s="568"/>
      <c r="U760" s="568"/>
      <c r="V760" s="568"/>
      <c r="W760" s="568"/>
      <c r="X760" s="568"/>
      <c r="Y760" s="568"/>
      <c r="Z760" s="568"/>
    </row>
    <row r="761" spans="1:26" ht="18.75" hidden="1">
      <c r="A761" s="615"/>
      <c r="B761" s="571"/>
      <c r="C761" s="723"/>
      <c r="D761" s="723"/>
      <c r="E761" s="723"/>
      <c r="F761" s="723" t="s">
        <v>187</v>
      </c>
      <c r="G761" s="567"/>
      <c r="H761" s="165" t="s">
        <v>12</v>
      </c>
      <c r="I761" s="583"/>
      <c r="J761" s="583"/>
      <c r="K761" s="93"/>
      <c r="L761" s="93"/>
      <c r="M761" s="93"/>
      <c r="N761" s="93"/>
      <c r="O761" s="93"/>
      <c r="P761" s="93"/>
      <c r="Q761" s="568"/>
      <c r="R761" s="568"/>
      <c r="S761" s="568"/>
      <c r="T761" s="568"/>
      <c r="U761" s="568"/>
      <c r="V761" s="568"/>
      <c r="W761" s="568"/>
      <c r="X761" s="568"/>
      <c r="Y761" s="568"/>
      <c r="Z761" s="568"/>
    </row>
    <row r="762" spans="1:26" ht="18.75" hidden="1">
      <c r="A762" s="615"/>
      <c r="B762" s="571"/>
      <c r="C762" s="723"/>
      <c r="D762" s="723"/>
      <c r="E762" s="723"/>
      <c r="F762" s="723" t="s">
        <v>188</v>
      </c>
      <c r="G762" s="567"/>
      <c r="H762" s="165" t="s">
        <v>12</v>
      </c>
      <c r="I762" s="583"/>
      <c r="J762" s="583"/>
      <c r="K762" s="93"/>
      <c r="L762" s="93"/>
      <c r="M762" s="93"/>
      <c r="N762" s="93"/>
      <c r="O762" s="93"/>
      <c r="P762" s="93"/>
      <c r="Q762" s="568"/>
      <c r="R762" s="568"/>
      <c r="S762" s="568"/>
      <c r="T762" s="568"/>
      <c r="U762" s="568"/>
      <c r="V762" s="568"/>
      <c r="W762" s="568"/>
      <c r="X762" s="568"/>
      <c r="Y762" s="568"/>
      <c r="Z762" s="568"/>
    </row>
    <row r="763" spans="1:26" ht="18.75" hidden="1">
      <c r="A763" s="615"/>
      <c r="B763" s="571"/>
      <c r="C763" s="723"/>
      <c r="D763" s="723"/>
      <c r="E763" s="723"/>
      <c r="F763" s="723" t="s">
        <v>189</v>
      </c>
      <c r="G763" s="567"/>
      <c r="H763" s="165" t="s">
        <v>12</v>
      </c>
      <c r="I763" s="583"/>
      <c r="J763" s="583"/>
      <c r="K763" s="93"/>
      <c r="L763" s="93"/>
      <c r="M763" s="93"/>
      <c r="N763" s="93"/>
      <c r="O763" s="93"/>
      <c r="P763" s="93"/>
      <c r="Q763" s="568"/>
      <c r="R763" s="568"/>
      <c r="S763" s="568"/>
      <c r="T763" s="568"/>
      <c r="U763" s="568"/>
      <c r="V763" s="568"/>
      <c r="W763" s="568"/>
      <c r="X763" s="568"/>
      <c r="Y763" s="568"/>
      <c r="Z763" s="568"/>
    </row>
    <row r="764" spans="1:26" ht="19.5" hidden="1">
      <c r="A764" s="563"/>
      <c r="B764" s="571"/>
      <c r="C764" s="723"/>
      <c r="D764" s="611" t="s">
        <v>21</v>
      </c>
      <c r="E764" s="723"/>
      <c r="F764" s="723"/>
      <c r="G764" s="567"/>
      <c r="H764" s="747" t="s">
        <v>12</v>
      </c>
      <c r="I764" s="166"/>
      <c r="J764" s="166"/>
      <c r="K764" s="167"/>
      <c r="L764" s="613">
        <f t="shared" ref="L764:N764" si="306">L765+L766</f>
        <v>0</v>
      </c>
      <c r="M764" s="613">
        <f t="shared" si="306"/>
        <v>0</v>
      </c>
      <c r="N764" s="613">
        <f t="shared" si="306"/>
        <v>0</v>
      </c>
      <c r="O764" s="613">
        <f t="shared" ref="O764:O766" si="307">IF(L764&gt;0,N764*100/L764,0)</f>
        <v>0</v>
      </c>
      <c r="P764" s="613">
        <f t="shared" ref="P764:P766" si="308">IF(M764&gt;0,N764*100/M764,0)</f>
        <v>0</v>
      </c>
      <c r="Q764" s="568"/>
      <c r="R764" s="568"/>
      <c r="S764" s="568"/>
      <c r="T764" s="568"/>
      <c r="U764" s="568"/>
      <c r="V764" s="568"/>
      <c r="W764" s="568"/>
      <c r="X764" s="568"/>
      <c r="Y764" s="568"/>
      <c r="Z764" s="568"/>
    </row>
    <row r="765" spans="1:26" ht="18.75" hidden="1">
      <c r="A765" s="563"/>
      <c r="B765" s="571"/>
      <c r="C765" s="723"/>
      <c r="D765" s="723"/>
      <c r="E765" s="723" t="s">
        <v>18</v>
      </c>
      <c r="F765" s="723"/>
      <c r="G765" s="567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7"/>
        <v>0</v>
      </c>
      <c r="P765" s="93">
        <f t="shared" si="308"/>
        <v>0</v>
      </c>
      <c r="Q765" s="568"/>
      <c r="R765" s="568"/>
      <c r="S765" s="568"/>
      <c r="T765" s="568"/>
      <c r="U765" s="568"/>
      <c r="V765" s="568"/>
      <c r="W765" s="568"/>
      <c r="X765" s="568"/>
      <c r="Y765" s="568"/>
      <c r="Z765" s="568"/>
    </row>
    <row r="766" spans="1:26" ht="18.75" hidden="1">
      <c r="A766" s="563"/>
      <c r="B766" s="571"/>
      <c r="C766" s="723"/>
      <c r="D766" s="723"/>
      <c r="E766" s="723" t="s">
        <v>19</v>
      </c>
      <c r="F766" s="723"/>
      <c r="G766" s="567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7"/>
        <v>0</v>
      </c>
      <c r="P766" s="93">
        <f t="shared" si="308"/>
        <v>0</v>
      </c>
      <c r="Q766" s="568"/>
      <c r="R766" s="568"/>
      <c r="S766" s="568"/>
      <c r="T766" s="568"/>
      <c r="U766" s="568"/>
      <c r="V766" s="568"/>
      <c r="W766" s="568"/>
      <c r="X766" s="568"/>
      <c r="Y766" s="568"/>
      <c r="Z766" s="568"/>
    </row>
    <row r="767" spans="1:26" ht="19.5" hidden="1">
      <c r="A767" s="578"/>
      <c r="B767" s="580"/>
      <c r="C767" s="723" t="s">
        <v>16</v>
      </c>
      <c r="D767" s="856" t="s">
        <v>38</v>
      </c>
      <c r="E767" s="617"/>
      <c r="F767" s="617"/>
      <c r="G767" s="618"/>
      <c r="H767" s="581"/>
      <c r="I767" s="166"/>
      <c r="J767" s="166"/>
      <c r="K767" s="167"/>
      <c r="L767" s="167"/>
      <c r="M767" s="167"/>
      <c r="N767" s="167"/>
      <c r="O767" s="167"/>
      <c r="P767" s="167"/>
      <c r="Q767" s="568"/>
      <c r="R767" s="568"/>
      <c r="S767" s="568"/>
      <c r="T767" s="568"/>
      <c r="U767" s="568"/>
      <c r="V767" s="568"/>
      <c r="W767" s="568"/>
      <c r="X767" s="568"/>
      <c r="Y767" s="568"/>
      <c r="Z767" s="568"/>
    </row>
    <row r="768" spans="1:26" ht="18.75" hidden="1">
      <c r="A768" s="615"/>
      <c r="B768" s="571"/>
      <c r="C768" s="723"/>
      <c r="D768" s="723"/>
      <c r="E768" s="723" t="s">
        <v>316</v>
      </c>
      <c r="F768" s="723"/>
      <c r="G768" s="567"/>
      <c r="H768" s="165" t="s">
        <v>46</v>
      </c>
      <c r="I768" s="583"/>
      <c r="J768" s="583"/>
      <c r="K768" s="93"/>
      <c r="L768" s="93"/>
      <c r="M768" s="93"/>
      <c r="N768" s="93"/>
      <c r="O768" s="93"/>
      <c r="P768" s="93"/>
      <c r="Q768" s="568"/>
      <c r="R768" s="568"/>
      <c r="S768" s="568"/>
      <c r="T768" s="568"/>
      <c r="U768" s="568"/>
      <c r="V768" s="568"/>
      <c r="W768" s="568"/>
      <c r="X768" s="568"/>
      <c r="Y768" s="568"/>
      <c r="Z768" s="568"/>
    </row>
    <row r="769" spans="1:26" ht="19.5" hidden="1">
      <c r="A769" s="757">
        <v>11</v>
      </c>
      <c r="B769" s="758" t="s">
        <v>317</v>
      </c>
      <c r="C769" s="759"/>
      <c r="D769" s="759"/>
      <c r="E769" s="759"/>
      <c r="F769" s="759"/>
      <c r="G769" s="760"/>
      <c r="H769" s="761" t="s">
        <v>46</v>
      </c>
      <c r="I769" s="762"/>
      <c r="J769" s="762">
        <f>J784</f>
        <v>0</v>
      </c>
      <c r="K769" s="763">
        <f>IF(I769&gt;0,J769*100/I769,0)</f>
        <v>0</v>
      </c>
      <c r="L769" s="764"/>
      <c r="M769" s="764"/>
      <c r="N769" s="764"/>
      <c r="O769" s="764"/>
      <c r="P769" s="764"/>
      <c r="Q769" s="568"/>
      <c r="R769" s="568"/>
      <c r="S769" s="568"/>
      <c r="T769" s="568"/>
      <c r="U769" s="568"/>
      <c r="V769" s="568"/>
      <c r="W769" s="568"/>
      <c r="X769" s="568"/>
      <c r="Y769" s="568"/>
      <c r="Z769" s="568"/>
    </row>
    <row r="770" spans="1:26" ht="19.5" hidden="1">
      <c r="A770" s="563"/>
      <c r="B770" s="723"/>
      <c r="C770" s="723" t="s">
        <v>16</v>
      </c>
      <c r="D770" s="812" t="s">
        <v>17</v>
      </c>
      <c r="E770" s="805"/>
      <c r="F770" s="805"/>
      <c r="G770" s="567"/>
      <c r="H770" s="612" t="s">
        <v>12</v>
      </c>
      <c r="I770" s="583"/>
      <c r="J770" s="583"/>
      <c r="K770" s="93"/>
      <c r="L770" s="613">
        <f t="shared" ref="L770:N770" si="309">L771+L772</f>
        <v>0</v>
      </c>
      <c r="M770" s="613">
        <f t="shared" si="309"/>
        <v>0</v>
      </c>
      <c r="N770" s="613">
        <f t="shared" si="309"/>
        <v>0</v>
      </c>
      <c r="O770" s="613">
        <f t="shared" ref="O770:O775" si="310">IF(L770&gt;0,N770*100/L770,0)</f>
        <v>0</v>
      </c>
      <c r="P770" s="613">
        <f t="shared" ref="P770:P775" si="311">IF(M770&gt;0,N770*100/M770,0)</f>
        <v>0</v>
      </c>
      <c r="Q770" s="568"/>
      <c r="R770" s="568"/>
      <c r="S770" s="568"/>
      <c r="T770" s="568"/>
      <c r="U770" s="568"/>
      <c r="V770" s="568"/>
      <c r="W770" s="568"/>
      <c r="X770" s="568"/>
      <c r="Y770" s="568"/>
      <c r="Z770" s="568"/>
    </row>
    <row r="771" spans="1:26" ht="18.75" hidden="1">
      <c r="A771" s="563"/>
      <c r="B771" s="723"/>
      <c r="C771" s="723"/>
      <c r="D771" s="684"/>
      <c r="E771" s="723" t="s">
        <v>184</v>
      </c>
      <c r="F771" s="723"/>
      <c r="G771" s="567"/>
      <c r="H771" s="165" t="s">
        <v>12</v>
      </c>
      <c r="I771" s="583"/>
      <c r="J771" s="583"/>
      <c r="K771" s="93"/>
      <c r="L771" s="93">
        <f t="shared" ref="L771:N772" si="312">L774+L781</f>
        <v>0</v>
      </c>
      <c r="M771" s="93">
        <f t="shared" si="312"/>
        <v>0</v>
      </c>
      <c r="N771" s="93">
        <f t="shared" si="312"/>
        <v>0</v>
      </c>
      <c r="O771" s="93">
        <f t="shared" si="310"/>
        <v>0</v>
      </c>
      <c r="P771" s="93">
        <f t="shared" si="311"/>
        <v>0</v>
      </c>
      <c r="Q771" s="568"/>
      <c r="R771" s="568"/>
      <c r="S771" s="568"/>
      <c r="T771" s="568"/>
      <c r="U771" s="568"/>
      <c r="V771" s="568"/>
      <c r="W771" s="568"/>
      <c r="X771" s="568"/>
      <c r="Y771" s="568"/>
      <c r="Z771" s="568"/>
    </row>
    <row r="772" spans="1:26" ht="18.75" hidden="1">
      <c r="A772" s="563"/>
      <c r="B772" s="571"/>
      <c r="C772" s="723"/>
      <c r="D772" s="684"/>
      <c r="E772" s="723" t="s">
        <v>185</v>
      </c>
      <c r="F772" s="723"/>
      <c r="G772" s="567"/>
      <c r="H772" s="165" t="s">
        <v>12</v>
      </c>
      <c r="I772" s="583"/>
      <c r="J772" s="583"/>
      <c r="K772" s="93"/>
      <c r="L772" s="93">
        <f t="shared" si="312"/>
        <v>0</v>
      </c>
      <c r="M772" s="93">
        <f t="shared" si="312"/>
        <v>0</v>
      </c>
      <c r="N772" s="93">
        <f t="shared" si="312"/>
        <v>0</v>
      </c>
      <c r="O772" s="93">
        <f t="shared" si="310"/>
        <v>0</v>
      </c>
      <c r="P772" s="93">
        <f t="shared" si="311"/>
        <v>0</v>
      </c>
      <c r="Q772" s="568"/>
      <c r="R772" s="568"/>
      <c r="S772" s="568"/>
      <c r="T772" s="568"/>
      <c r="U772" s="568"/>
      <c r="V772" s="568"/>
      <c r="W772" s="568"/>
      <c r="X772" s="568"/>
      <c r="Y772" s="568"/>
      <c r="Z772" s="568"/>
    </row>
    <row r="773" spans="1:26" ht="19.5" hidden="1">
      <c r="A773" s="563"/>
      <c r="B773" s="571"/>
      <c r="C773" s="723"/>
      <c r="D773" s="611" t="s">
        <v>20</v>
      </c>
      <c r="E773" s="723"/>
      <c r="F773" s="723"/>
      <c r="G773" s="567"/>
      <c r="H773" s="612" t="s">
        <v>12</v>
      </c>
      <c r="I773" s="166"/>
      <c r="J773" s="166"/>
      <c r="K773" s="167"/>
      <c r="L773" s="613">
        <f t="shared" ref="L773:N773" si="313">L774+L775</f>
        <v>0</v>
      </c>
      <c r="M773" s="613">
        <f t="shared" si="313"/>
        <v>0</v>
      </c>
      <c r="N773" s="613">
        <f t="shared" si="313"/>
        <v>0</v>
      </c>
      <c r="O773" s="613">
        <f t="shared" si="310"/>
        <v>0</v>
      </c>
      <c r="P773" s="613">
        <f t="shared" si="311"/>
        <v>0</v>
      </c>
      <c r="Q773" s="568"/>
      <c r="R773" s="568"/>
      <c r="S773" s="568"/>
      <c r="T773" s="568"/>
      <c r="U773" s="568"/>
      <c r="V773" s="568"/>
      <c r="W773" s="568"/>
      <c r="X773" s="568"/>
      <c r="Y773" s="568"/>
      <c r="Z773" s="568"/>
    </row>
    <row r="774" spans="1:26" ht="18.75" hidden="1">
      <c r="A774" s="563"/>
      <c r="B774" s="571"/>
      <c r="C774" s="723"/>
      <c r="D774" s="684"/>
      <c r="E774" s="723" t="s">
        <v>184</v>
      </c>
      <c r="F774" s="723"/>
      <c r="G774" s="567"/>
      <c r="H774" s="165" t="s">
        <v>12</v>
      </c>
      <c r="I774" s="583"/>
      <c r="J774" s="583"/>
      <c r="K774" s="93"/>
      <c r="L774" s="93">
        <v>0</v>
      </c>
      <c r="M774" s="93">
        <v>0</v>
      </c>
      <c r="N774" s="93">
        <v>0</v>
      </c>
      <c r="O774" s="93">
        <f t="shared" si="310"/>
        <v>0</v>
      </c>
      <c r="P774" s="93">
        <f t="shared" si="311"/>
        <v>0</v>
      </c>
      <c r="Q774" s="568"/>
      <c r="R774" s="568"/>
      <c r="S774" s="568"/>
      <c r="T774" s="568"/>
      <c r="U774" s="568"/>
      <c r="V774" s="568"/>
      <c r="W774" s="568"/>
      <c r="X774" s="568"/>
      <c r="Y774" s="568"/>
      <c r="Z774" s="568"/>
    </row>
    <row r="775" spans="1:26" ht="18.75" hidden="1">
      <c r="A775" s="563"/>
      <c r="B775" s="571"/>
      <c r="C775" s="723"/>
      <c r="D775" s="684"/>
      <c r="E775" s="723" t="s">
        <v>185</v>
      </c>
      <c r="F775" s="723"/>
      <c r="G775" s="567"/>
      <c r="H775" s="165" t="s">
        <v>12</v>
      </c>
      <c r="I775" s="583"/>
      <c r="J775" s="583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0"/>
        <v>0</v>
      </c>
      <c r="P775" s="93">
        <f t="shared" si="311"/>
        <v>0</v>
      </c>
      <c r="Q775" s="568"/>
      <c r="R775" s="568"/>
      <c r="S775" s="568"/>
      <c r="T775" s="568"/>
      <c r="U775" s="568"/>
      <c r="V775" s="568"/>
      <c r="W775" s="568"/>
      <c r="X775" s="568"/>
      <c r="Y775" s="568"/>
      <c r="Z775" s="568"/>
    </row>
    <row r="776" spans="1:26" ht="18.75" hidden="1">
      <c r="A776" s="615"/>
      <c r="B776" s="571"/>
      <c r="C776" s="723"/>
      <c r="D776" s="723"/>
      <c r="E776" s="723"/>
      <c r="F776" s="723" t="s">
        <v>186</v>
      </c>
      <c r="G776" s="567"/>
      <c r="H776" s="165" t="s">
        <v>12</v>
      </c>
      <c r="I776" s="583"/>
      <c r="J776" s="583"/>
      <c r="K776" s="93"/>
      <c r="L776" s="93"/>
      <c r="M776" s="93"/>
      <c r="N776" s="93"/>
      <c r="O776" s="93"/>
      <c r="P776" s="93"/>
      <c r="Q776" s="568"/>
      <c r="R776" s="568"/>
      <c r="S776" s="568"/>
      <c r="T776" s="568"/>
      <c r="U776" s="568"/>
      <c r="V776" s="568"/>
      <c r="W776" s="568"/>
      <c r="X776" s="568"/>
      <c r="Y776" s="568"/>
      <c r="Z776" s="568"/>
    </row>
    <row r="777" spans="1:26" ht="18.75" hidden="1">
      <c r="A777" s="615"/>
      <c r="B777" s="571"/>
      <c r="C777" s="723"/>
      <c r="D777" s="723"/>
      <c r="E777" s="723"/>
      <c r="F777" s="723" t="s">
        <v>187</v>
      </c>
      <c r="G777" s="567"/>
      <c r="H777" s="165" t="s">
        <v>12</v>
      </c>
      <c r="I777" s="583"/>
      <c r="J777" s="583"/>
      <c r="K777" s="93"/>
      <c r="L777" s="93"/>
      <c r="M777" s="93"/>
      <c r="N777" s="93"/>
      <c r="O777" s="93"/>
      <c r="P777" s="93"/>
      <c r="Q777" s="568"/>
      <c r="R777" s="568"/>
      <c r="S777" s="568"/>
      <c r="T777" s="568"/>
      <c r="U777" s="568"/>
      <c r="V777" s="568"/>
      <c r="W777" s="568"/>
      <c r="X777" s="568"/>
      <c r="Y777" s="568"/>
      <c r="Z777" s="568"/>
    </row>
    <row r="778" spans="1:26" ht="18.75" hidden="1">
      <c r="A778" s="615"/>
      <c r="B778" s="571"/>
      <c r="C778" s="723"/>
      <c r="D778" s="723"/>
      <c r="E778" s="723"/>
      <c r="F778" s="723" t="s">
        <v>188</v>
      </c>
      <c r="G778" s="567"/>
      <c r="H778" s="165" t="s">
        <v>12</v>
      </c>
      <c r="I778" s="583"/>
      <c r="J778" s="583"/>
      <c r="K778" s="93"/>
      <c r="L778" s="93"/>
      <c r="M778" s="93"/>
      <c r="N778" s="93"/>
      <c r="O778" s="93"/>
      <c r="P778" s="93"/>
      <c r="Q778" s="568"/>
      <c r="R778" s="568"/>
      <c r="S778" s="568"/>
      <c r="T778" s="568"/>
      <c r="U778" s="568"/>
      <c r="V778" s="568"/>
      <c r="W778" s="568"/>
      <c r="X778" s="568"/>
      <c r="Y778" s="568"/>
      <c r="Z778" s="568"/>
    </row>
    <row r="779" spans="1:26" ht="18.75" hidden="1">
      <c r="A779" s="615"/>
      <c r="B779" s="571"/>
      <c r="C779" s="723"/>
      <c r="D779" s="723"/>
      <c r="E779" s="723"/>
      <c r="F779" s="723" t="s">
        <v>189</v>
      </c>
      <c r="G779" s="567"/>
      <c r="H779" s="165" t="s">
        <v>12</v>
      </c>
      <c r="I779" s="583"/>
      <c r="J779" s="583"/>
      <c r="K779" s="93"/>
      <c r="L779" s="93"/>
      <c r="M779" s="93"/>
      <c r="N779" s="93"/>
      <c r="O779" s="93"/>
      <c r="P779" s="93"/>
      <c r="Q779" s="568"/>
      <c r="R779" s="568"/>
      <c r="S779" s="568"/>
      <c r="T779" s="568"/>
      <c r="U779" s="568"/>
      <c r="V779" s="568"/>
      <c r="W779" s="568"/>
      <c r="X779" s="568"/>
      <c r="Y779" s="568"/>
      <c r="Z779" s="568"/>
    </row>
    <row r="780" spans="1:26" ht="19.5" hidden="1">
      <c r="A780" s="563"/>
      <c r="B780" s="571"/>
      <c r="C780" s="723"/>
      <c r="D780" s="611" t="s">
        <v>21</v>
      </c>
      <c r="E780" s="723"/>
      <c r="F780" s="723"/>
      <c r="G780" s="567"/>
      <c r="H780" s="747" t="s">
        <v>12</v>
      </c>
      <c r="I780" s="166"/>
      <c r="J780" s="166"/>
      <c r="K780" s="167"/>
      <c r="L780" s="613">
        <f t="shared" ref="L780:N780" si="314">L781+L782</f>
        <v>0</v>
      </c>
      <c r="M780" s="613">
        <f t="shared" si="314"/>
        <v>0</v>
      </c>
      <c r="N780" s="613">
        <f t="shared" si="314"/>
        <v>0</v>
      </c>
      <c r="O780" s="613">
        <f t="shared" ref="O780:O782" si="315">IF(L780&gt;0,N780*100/L780,0)</f>
        <v>0</v>
      </c>
      <c r="P780" s="613">
        <f t="shared" ref="P780:P782" si="316">IF(M780&gt;0,N780*100/M780,0)</f>
        <v>0</v>
      </c>
      <c r="Q780" s="568"/>
      <c r="R780" s="568"/>
      <c r="S780" s="568"/>
      <c r="T780" s="568"/>
      <c r="U780" s="568"/>
      <c r="V780" s="568"/>
      <c r="W780" s="568"/>
      <c r="X780" s="568"/>
      <c r="Y780" s="568"/>
      <c r="Z780" s="568"/>
    </row>
    <row r="781" spans="1:26" ht="18.75" hidden="1">
      <c r="A781" s="563"/>
      <c r="B781" s="571"/>
      <c r="C781" s="723"/>
      <c r="D781" s="723"/>
      <c r="E781" s="723" t="s">
        <v>18</v>
      </c>
      <c r="F781" s="723"/>
      <c r="G781" s="567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5"/>
        <v>0</v>
      </c>
      <c r="P781" s="93">
        <f t="shared" si="316"/>
        <v>0</v>
      </c>
      <c r="Q781" s="568"/>
      <c r="R781" s="568"/>
      <c r="S781" s="568"/>
      <c r="T781" s="568"/>
      <c r="U781" s="568"/>
      <c r="V781" s="568"/>
      <c r="W781" s="568"/>
      <c r="X781" s="568"/>
      <c r="Y781" s="568"/>
      <c r="Z781" s="568"/>
    </row>
    <row r="782" spans="1:26" ht="18.75" hidden="1">
      <c r="A782" s="563"/>
      <c r="B782" s="571"/>
      <c r="C782" s="723"/>
      <c r="D782" s="723"/>
      <c r="E782" s="723" t="s">
        <v>19</v>
      </c>
      <c r="F782" s="723"/>
      <c r="G782" s="567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5"/>
        <v>0</v>
      </c>
      <c r="P782" s="93">
        <f t="shared" si="316"/>
        <v>0</v>
      </c>
      <c r="Q782" s="568"/>
      <c r="R782" s="568"/>
      <c r="S782" s="568"/>
      <c r="T782" s="568"/>
      <c r="U782" s="568"/>
      <c r="V782" s="568"/>
      <c r="W782" s="568"/>
      <c r="X782" s="568"/>
      <c r="Y782" s="568"/>
      <c r="Z782" s="568"/>
    </row>
    <row r="783" spans="1:26" ht="19.5" hidden="1">
      <c r="A783" s="578"/>
      <c r="B783" s="580"/>
      <c r="C783" s="723" t="s">
        <v>16</v>
      </c>
      <c r="D783" s="856" t="s">
        <v>38</v>
      </c>
      <c r="E783" s="617"/>
      <c r="F783" s="617"/>
      <c r="G783" s="618"/>
      <c r="H783" s="765"/>
      <c r="I783" s="166"/>
      <c r="J783" s="166"/>
      <c r="K783" s="167"/>
      <c r="L783" s="167"/>
      <c r="M783" s="167"/>
      <c r="N783" s="167"/>
      <c r="O783" s="167"/>
      <c r="P783" s="167"/>
      <c r="Q783" s="568"/>
      <c r="R783" s="568"/>
      <c r="S783" s="568"/>
      <c r="T783" s="568"/>
      <c r="U783" s="568"/>
      <c r="V783" s="568"/>
      <c r="W783" s="568"/>
      <c r="X783" s="568"/>
      <c r="Y783" s="568"/>
      <c r="Z783" s="568"/>
    </row>
    <row r="784" spans="1:26" ht="18.75" hidden="1">
      <c r="A784" s="615"/>
      <c r="B784" s="571"/>
      <c r="C784" s="723"/>
      <c r="D784" s="723"/>
      <c r="E784" s="723" t="s">
        <v>318</v>
      </c>
      <c r="F784" s="723"/>
      <c r="G784" s="567"/>
      <c r="H784" s="165" t="s">
        <v>46</v>
      </c>
      <c r="I784" s="583"/>
      <c r="J784" s="583"/>
      <c r="K784" s="93"/>
      <c r="L784" s="93"/>
      <c r="M784" s="93"/>
      <c r="N784" s="93"/>
      <c r="O784" s="93"/>
      <c r="P784" s="93"/>
      <c r="Q784" s="568"/>
      <c r="R784" s="568"/>
      <c r="S784" s="568"/>
      <c r="T784" s="568"/>
      <c r="U784" s="568"/>
      <c r="V784" s="568"/>
      <c r="W784" s="568"/>
      <c r="X784" s="568"/>
      <c r="Y784" s="568"/>
      <c r="Z784" s="568"/>
    </row>
    <row r="785" spans="1:26" ht="19.5">
      <c r="A785" s="766">
        <v>12</v>
      </c>
      <c r="B785" s="767" t="s">
        <v>319</v>
      </c>
      <c r="C785" s="768"/>
      <c r="D785" s="768"/>
      <c r="E785" s="768"/>
      <c r="F785" s="768"/>
      <c r="G785" s="769"/>
      <c r="H785" s="770" t="s">
        <v>46</v>
      </c>
      <c r="I785" s="771">
        <f t="shared" ref="I785:J785" ca="1" si="317">I800</f>
        <v>2000</v>
      </c>
      <c r="J785" s="771">
        <f t="shared" ca="1" si="317"/>
        <v>0</v>
      </c>
      <c r="K785" s="772">
        <f ca="1">IF(I785&gt;0,J785*100/I785,0)</f>
        <v>0</v>
      </c>
      <c r="L785" s="773"/>
      <c r="M785" s="773"/>
      <c r="N785" s="773"/>
      <c r="O785" s="773"/>
      <c r="P785" s="773"/>
      <c r="Q785" s="541"/>
      <c r="R785" s="541"/>
      <c r="S785" s="541"/>
      <c r="T785" s="541"/>
      <c r="U785" s="541"/>
      <c r="V785" s="541"/>
      <c r="W785" s="541"/>
      <c r="X785" s="541"/>
      <c r="Y785" s="541"/>
      <c r="Z785" s="541"/>
    </row>
    <row r="786" spans="1:26" ht="19.5">
      <c r="A786" s="561"/>
      <c r="B786" s="538"/>
      <c r="C786" s="727" t="s">
        <v>16</v>
      </c>
      <c r="D786" s="811" t="s">
        <v>17</v>
      </c>
      <c r="E786" s="805"/>
      <c r="F786" s="805"/>
      <c r="G786" s="189"/>
      <c r="H786" s="562" t="s">
        <v>12</v>
      </c>
      <c r="I786" s="269"/>
      <c r="J786" s="269"/>
      <c r="K786" s="465"/>
      <c r="L786" s="195">
        <f t="shared" ref="L786:N786" ca="1" si="318">L787+L788</f>
        <v>137280</v>
      </c>
      <c r="M786" s="195">
        <f t="shared" si="318"/>
        <v>0</v>
      </c>
      <c r="N786" s="195">
        <f t="shared" si="318"/>
        <v>0</v>
      </c>
      <c r="O786" s="195">
        <f t="shared" ref="O786:O791" ca="1" si="319">IF(L786&gt;0,N786*100/L786,0)</f>
        <v>0</v>
      </c>
      <c r="P786" s="195">
        <f t="shared" ref="P786:P791" si="320">IF(M786&gt;0,N786*100/M786,0)</f>
        <v>0</v>
      </c>
      <c r="Q786" s="541"/>
      <c r="R786" s="541"/>
      <c r="S786" s="541"/>
      <c r="T786" s="541"/>
      <c r="U786" s="541"/>
      <c r="V786" s="541"/>
      <c r="W786" s="541"/>
      <c r="X786" s="541"/>
      <c r="Y786" s="541"/>
      <c r="Z786" s="541"/>
    </row>
    <row r="787" spans="1:26" ht="18.75" hidden="1">
      <c r="A787" s="563"/>
      <c r="B787" s="571"/>
      <c r="C787" s="723"/>
      <c r="D787" s="684"/>
      <c r="E787" s="723" t="s">
        <v>184</v>
      </c>
      <c r="F787" s="723"/>
      <c r="G787" s="567"/>
      <c r="H787" s="165" t="s">
        <v>12</v>
      </c>
      <c r="I787" s="583"/>
      <c r="J787" s="583"/>
      <c r="K787" s="93"/>
      <c r="L787" s="93">
        <f t="shared" ref="L787:N788" si="321">L790+L797</f>
        <v>0</v>
      </c>
      <c r="M787" s="93">
        <f t="shared" si="321"/>
        <v>0</v>
      </c>
      <c r="N787" s="93">
        <f t="shared" si="321"/>
        <v>0</v>
      </c>
      <c r="O787" s="93">
        <f t="shared" si="319"/>
        <v>0</v>
      </c>
      <c r="P787" s="93">
        <f t="shared" si="320"/>
        <v>0</v>
      </c>
      <c r="Q787" s="568"/>
      <c r="R787" s="568"/>
      <c r="S787" s="568"/>
      <c r="T787" s="568"/>
      <c r="U787" s="568"/>
      <c r="V787" s="568"/>
      <c r="W787" s="568"/>
      <c r="X787" s="568"/>
      <c r="Y787" s="568"/>
      <c r="Z787" s="568"/>
    </row>
    <row r="788" spans="1:26" ht="18.75" hidden="1">
      <c r="A788" s="563"/>
      <c r="B788" s="571"/>
      <c r="C788" s="571"/>
      <c r="D788" s="580"/>
      <c r="E788" s="723" t="s">
        <v>185</v>
      </c>
      <c r="F788" s="723"/>
      <c r="G788" s="567"/>
      <c r="H788" s="165" t="s">
        <v>12</v>
      </c>
      <c r="I788" s="583"/>
      <c r="J788" s="583"/>
      <c r="K788" s="93"/>
      <c r="L788" s="93">
        <f t="shared" ca="1" si="321"/>
        <v>137280</v>
      </c>
      <c r="M788" s="93">
        <f t="shared" si="321"/>
        <v>0</v>
      </c>
      <c r="N788" s="93">
        <f t="shared" si="321"/>
        <v>0</v>
      </c>
      <c r="O788" s="93">
        <f t="shared" ca="1" si="319"/>
        <v>0</v>
      </c>
      <c r="P788" s="93">
        <f t="shared" si="320"/>
        <v>0</v>
      </c>
      <c r="Q788" s="568"/>
      <c r="R788" s="568"/>
      <c r="S788" s="568"/>
      <c r="T788" s="568"/>
      <c r="U788" s="568"/>
      <c r="V788" s="568"/>
      <c r="W788" s="568"/>
      <c r="X788" s="568"/>
      <c r="Y788" s="568"/>
      <c r="Z788" s="568"/>
    </row>
    <row r="789" spans="1:26" ht="18.75">
      <c r="A789" s="561"/>
      <c r="B789" s="538"/>
      <c r="C789" s="538"/>
      <c r="D789" s="570" t="s">
        <v>20</v>
      </c>
      <c r="E789" s="727"/>
      <c r="F789" s="727"/>
      <c r="G789" s="189"/>
      <c r="H789" s="161" t="s">
        <v>12</v>
      </c>
      <c r="I789" s="184"/>
      <c r="J789" s="184"/>
      <c r="K789" s="163"/>
      <c r="L789" s="465">
        <f t="shared" ref="L789:N789" ca="1" si="322">L790+L791</f>
        <v>137280</v>
      </c>
      <c r="M789" s="465">
        <f t="shared" si="322"/>
        <v>0</v>
      </c>
      <c r="N789" s="465">
        <f t="shared" si="322"/>
        <v>0</v>
      </c>
      <c r="O789" s="465">
        <f t="shared" ca="1" si="319"/>
        <v>0</v>
      </c>
      <c r="P789" s="465">
        <f t="shared" si="320"/>
        <v>0</v>
      </c>
      <c r="Q789" s="541"/>
      <c r="R789" s="541"/>
      <c r="S789" s="541"/>
      <c r="T789" s="541"/>
      <c r="U789" s="541"/>
      <c r="V789" s="541"/>
      <c r="W789" s="541"/>
      <c r="X789" s="541"/>
      <c r="Y789" s="541"/>
      <c r="Z789" s="541"/>
    </row>
    <row r="790" spans="1:26" ht="18.75" hidden="1">
      <c r="A790" s="563"/>
      <c r="B790" s="571"/>
      <c r="C790" s="571"/>
      <c r="D790" s="580"/>
      <c r="E790" s="723" t="s">
        <v>184</v>
      </c>
      <c r="F790" s="723"/>
      <c r="G790" s="567"/>
      <c r="H790" s="165" t="s">
        <v>12</v>
      </c>
      <c r="I790" s="583"/>
      <c r="J790" s="583"/>
      <c r="K790" s="93"/>
      <c r="L790" s="93">
        <v>0</v>
      </c>
      <c r="M790" s="93">
        <v>0</v>
      </c>
      <c r="N790" s="93">
        <v>0</v>
      </c>
      <c r="O790" s="93">
        <f t="shared" si="319"/>
        <v>0</v>
      </c>
      <c r="P790" s="93">
        <f t="shared" si="320"/>
        <v>0</v>
      </c>
      <c r="Q790" s="568"/>
      <c r="R790" s="568"/>
      <c r="S790" s="568"/>
      <c r="T790" s="568"/>
      <c r="U790" s="568"/>
      <c r="V790" s="568"/>
      <c r="W790" s="568"/>
      <c r="X790" s="568"/>
      <c r="Y790" s="568"/>
      <c r="Z790" s="568"/>
    </row>
    <row r="791" spans="1:26" ht="18.75" hidden="1">
      <c r="A791" s="563"/>
      <c r="B791" s="571"/>
      <c r="C791" s="571"/>
      <c r="D791" s="580"/>
      <c r="E791" s="723" t="s">
        <v>185</v>
      </c>
      <c r="F791" s="723"/>
      <c r="G791" s="567"/>
      <c r="H791" s="165" t="s">
        <v>12</v>
      </c>
      <c r="I791" s="583"/>
      <c r="J791" s="583"/>
      <c r="K791" s="93"/>
      <c r="L791" s="93">
        <f ca="1">IFERROR(__xludf.DUMMYFUNCTION("IMPORTRANGE(""https://docs.google.com/spreadsheets/d/1QqKyyYR6Q21VydFLVH3TRQUabQu_ym0Zz7PgGX0-kHA/edit?usp=sharing"",""แผน!JJ16"")"),137280)</f>
        <v>137280</v>
      </c>
      <c r="M791" s="93">
        <v>0</v>
      </c>
      <c r="N791" s="93">
        <f>N792+N793+N794+N795</f>
        <v>0</v>
      </c>
      <c r="O791" s="93">
        <f t="shared" ca="1" si="319"/>
        <v>0</v>
      </c>
      <c r="P791" s="93">
        <f t="shared" si="320"/>
        <v>0</v>
      </c>
      <c r="Q791" s="568"/>
      <c r="R791" s="568"/>
      <c r="S791" s="568"/>
      <c r="T791" s="568"/>
      <c r="U791" s="568"/>
      <c r="V791" s="568"/>
      <c r="W791" s="568"/>
      <c r="X791" s="568"/>
      <c r="Y791" s="568"/>
      <c r="Z791" s="568"/>
    </row>
    <row r="792" spans="1:26" ht="18.75">
      <c r="A792" s="537"/>
      <c r="B792" s="538"/>
      <c r="C792" s="727"/>
      <c r="D792" s="727"/>
      <c r="E792" s="727"/>
      <c r="F792" s="727" t="s">
        <v>186</v>
      </c>
      <c r="G792" s="189"/>
      <c r="H792" s="161" t="s">
        <v>12</v>
      </c>
      <c r="I792" s="269"/>
      <c r="J792" s="269"/>
      <c r="K792" s="465"/>
      <c r="L792" s="465"/>
      <c r="M792" s="465"/>
      <c r="N792" s="789">
        <v>0</v>
      </c>
      <c r="O792" s="465"/>
      <c r="P792" s="465"/>
      <c r="Q792" s="541"/>
      <c r="R792" s="541"/>
      <c r="S792" s="541"/>
      <c r="T792" s="541"/>
      <c r="U792" s="541"/>
      <c r="V792" s="541"/>
      <c r="W792" s="541"/>
      <c r="X792" s="541"/>
      <c r="Y792" s="541"/>
      <c r="Z792" s="541"/>
    </row>
    <row r="793" spans="1:26" ht="18.75">
      <c r="A793" s="537"/>
      <c r="B793" s="538"/>
      <c r="C793" s="727"/>
      <c r="D793" s="727"/>
      <c r="E793" s="727"/>
      <c r="F793" s="727" t="s">
        <v>187</v>
      </c>
      <c r="G793" s="189"/>
      <c r="H793" s="161" t="s">
        <v>12</v>
      </c>
      <c r="I793" s="269"/>
      <c r="J793" s="269"/>
      <c r="K793" s="465"/>
      <c r="L793" s="465"/>
      <c r="M793" s="465"/>
      <c r="N793" s="789">
        <v>0</v>
      </c>
      <c r="O793" s="465"/>
      <c r="P793" s="465"/>
      <c r="Q793" s="541"/>
      <c r="R793" s="541"/>
      <c r="S793" s="541"/>
      <c r="T793" s="541"/>
      <c r="U793" s="541"/>
      <c r="V793" s="541"/>
      <c r="W793" s="541"/>
      <c r="X793" s="541"/>
      <c r="Y793" s="541"/>
      <c r="Z793" s="541"/>
    </row>
    <row r="794" spans="1:26" ht="18.75">
      <c r="A794" s="537"/>
      <c r="B794" s="538"/>
      <c r="C794" s="727"/>
      <c r="D794" s="727"/>
      <c r="E794" s="727"/>
      <c r="F794" s="727" t="s">
        <v>188</v>
      </c>
      <c r="G794" s="189"/>
      <c r="H794" s="161" t="s">
        <v>12</v>
      </c>
      <c r="I794" s="269"/>
      <c r="J794" s="269"/>
      <c r="K794" s="465"/>
      <c r="L794" s="465"/>
      <c r="M794" s="465"/>
      <c r="N794" s="789">
        <v>0</v>
      </c>
      <c r="O794" s="465"/>
      <c r="P794" s="465"/>
      <c r="Q794" s="541"/>
      <c r="R794" s="541"/>
      <c r="S794" s="541"/>
      <c r="T794" s="541"/>
      <c r="U794" s="541"/>
      <c r="V794" s="541"/>
      <c r="W794" s="541"/>
      <c r="X794" s="541"/>
      <c r="Y794" s="541"/>
      <c r="Z794" s="541"/>
    </row>
    <row r="795" spans="1:26" ht="18.75">
      <c r="A795" s="537"/>
      <c r="B795" s="538"/>
      <c r="C795" s="727"/>
      <c r="D795" s="727"/>
      <c r="E795" s="727"/>
      <c r="F795" s="727" t="s">
        <v>189</v>
      </c>
      <c r="G795" s="189"/>
      <c r="H795" s="161" t="s">
        <v>12</v>
      </c>
      <c r="I795" s="269"/>
      <c r="J795" s="269"/>
      <c r="K795" s="465"/>
      <c r="L795" s="465"/>
      <c r="M795" s="465"/>
      <c r="N795" s="789">
        <v>0</v>
      </c>
      <c r="O795" s="465"/>
      <c r="P795" s="465"/>
      <c r="Q795" s="541"/>
      <c r="R795" s="541"/>
      <c r="S795" s="541"/>
      <c r="T795" s="541"/>
      <c r="U795" s="541"/>
      <c r="V795" s="541"/>
      <c r="W795" s="541"/>
      <c r="X795" s="541"/>
      <c r="Y795" s="541"/>
      <c r="Z795" s="541"/>
    </row>
    <row r="796" spans="1:26" ht="18.75">
      <c r="A796" s="561"/>
      <c r="B796" s="538"/>
      <c r="C796" s="727"/>
      <c r="D796" s="570" t="s">
        <v>21</v>
      </c>
      <c r="E796" s="727"/>
      <c r="F796" s="727"/>
      <c r="G796" s="189"/>
      <c r="H796" s="168" t="s">
        <v>12</v>
      </c>
      <c r="I796" s="184"/>
      <c r="J796" s="184"/>
      <c r="K796" s="163"/>
      <c r="L796" s="465">
        <f t="shared" ref="L796:N796" si="323">L797+L798</f>
        <v>0</v>
      </c>
      <c r="M796" s="465">
        <f t="shared" si="323"/>
        <v>0</v>
      </c>
      <c r="N796" s="465">
        <f t="shared" si="323"/>
        <v>0</v>
      </c>
      <c r="O796" s="465">
        <f t="shared" ref="O796:O798" si="324">IF(L796&gt;0,N796*100/L796,0)</f>
        <v>0</v>
      </c>
      <c r="P796" s="465">
        <f t="shared" ref="P796:P798" si="325">IF(M796&gt;0,N796*100/M796,0)</f>
        <v>0</v>
      </c>
      <c r="Q796" s="541"/>
      <c r="R796" s="541"/>
      <c r="S796" s="541"/>
      <c r="T796" s="541"/>
      <c r="U796" s="541"/>
      <c r="V796" s="541"/>
      <c r="W796" s="541"/>
      <c r="X796" s="541"/>
      <c r="Y796" s="541"/>
      <c r="Z796" s="541"/>
    </row>
    <row r="797" spans="1:26" ht="18.75" hidden="1">
      <c r="A797" s="563"/>
      <c r="B797" s="571"/>
      <c r="C797" s="723"/>
      <c r="D797" s="723"/>
      <c r="E797" s="723" t="s">
        <v>18</v>
      </c>
      <c r="F797" s="723"/>
      <c r="G797" s="567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4"/>
        <v>0</v>
      </c>
      <c r="P797" s="93">
        <f t="shared" si="325"/>
        <v>0</v>
      </c>
      <c r="Q797" s="568"/>
      <c r="R797" s="568"/>
      <c r="S797" s="568"/>
      <c r="T797" s="568"/>
      <c r="U797" s="568"/>
      <c r="V797" s="568"/>
      <c r="W797" s="568"/>
      <c r="X797" s="568"/>
      <c r="Y797" s="568"/>
      <c r="Z797" s="568"/>
    </row>
    <row r="798" spans="1:26" ht="18.75" hidden="1">
      <c r="A798" s="563"/>
      <c r="B798" s="571"/>
      <c r="C798" s="723"/>
      <c r="D798" s="723"/>
      <c r="E798" s="723" t="s">
        <v>19</v>
      </c>
      <c r="F798" s="723"/>
      <c r="G798" s="567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4"/>
        <v>0</v>
      </c>
      <c r="P798" s="93">
        <f t="shared" si="325"/>
        <v>0</v>
      </c>
      <c r="Q798" s="568"/>
      <c r="R798" s="568"/>
      <c r="S798" s="568"/>
      <c r="T798" s="568"/>
      <c r="U798" s="568"/>
      <c r="V798" s="568"/>
      <c r="W798" s="568"/>
      <c r="X798" s="568"/>
      <c r="Y798" s="568"/>
      <c r="Z798" s="568"/>
    </row>
    <row r="799" spans="1:26" ht="19.5">
      <c r="A799" s="572"/>
      <c r="B799" s="584"/>
      <c r="C799" s="727" t="s">
        <v>16</v>
      </c>
      <c r="D799" s="855" t="s">
        <v>38</v>
      </c>
      <c r="E799" s="725"/>
      <c r="F799" s="725"/>
      <c r="G799" s="577"/>
      <c r="H799" s="774"/>
      <c r="I799" s="184"/>
      <c r="J799" s="184"/>
      <c r="K799" s="163"/>
      <c r="L799" s="163"/>
      <c r="M799" s="163"/>
      <c r="N799" s="163"/>
      <c r="O799" s="163"/>
      <c r="P799" s="163"/>
      <c r="Q799" s="541"/>
      <c r="R799" s="541"/>
      <c r="S799" s="541"/>
      <c r="T799" s="541"/>
      <c r="U799" s="541"/>
      <c r="V799" s="541"/>
      <c r="W799" s="541"/>
      <c r="X799" s="541"/>
      <c r="Y799" s="541"/>
      <c r="Z799" s="541"/>
    </row>
    <row r="800" spans="1:26" ht="18.75">
      <c r="A800" s="572"/>
      <c r="B800" s="584"/>
      <c r="C800" s="584"/>
      <c r="D800" s="584"/>
      <c r="E800" s="592"/>
      <c r="F800" s="592" t="s">
        <v>320</v>
      </c>
      <c r="G800" s="726"/>
      <c r="H800" s="185" t="s">
        <v>46</v>
      </c>
      <c r="I800" s="184">
        <f ca="1">IFERROR(__xludf.DUMMYFUNCTION("IMPORTRANGE(""https://docs.google.com/spreadsheets/d/1QqKyyYR6Q21VydFLVH3TRQUabQu_ym0Zz7PgGX0-kHA/edit?usp=sharing"",""แผน!JN16"")"),2000)</f>
        <v>2000</v>
      </c>
      <c r="J800" s="184">
        <f ca="1">IFERROR(__xludf.DUMMYFUNCTION("IMPORTRANGE(""https://docs.google.com/spreadsheets/d/1MaWodYyGHDf7siQLGxnXhG4mBNTNIuy296niS2xXulU/edit?usp=sharing"",""RTK!H16"")"),0)</f>
        <v>0</v>
      </c>
      <c r="K800" s="465">
        <f ca="1">IF(I800&gt;0,J800*100/I800,0)</f>
        <v>0</v>
      </c>
      <c r="L800" s="465"/>
      <c r="M800" s="465"/>
      <c r="N800" s="465"/>
      <c r="O800" s="163"/>
      <c r="P800" s="163"/>
      <c r="Q800" s="541"/>
      <c r="R800" s="541"/>
      <c r="S800" s="541"/>
      <c r="T800" s="541"/>
      <c r="U800" s="541"/>
      <c r="V800" s="541"/>
      <c r="W800" s="541"/>
      <c r="X800" s="541"/>
      <c r="Y800" s="541"/>
      <c r="Z800" s="541"/>
    </row>
    <row r="801" spans="1:26" ht="18.75">
      <c r="A801" s="572"/>
      <c r="B801" s="584"/>
      <c r="C801" s="584"/>
      <c r="D801" s="584"/>
      <c r="E801" s="592"/>
      <c r="F801" s="592"/>
      <c r="G801" s="726"/>
      <c r="H801" s="161" t="s">
        <v>34</v>
      </c>
      <c r="I801" s="184"/>
      <c r="J801" s="269">
        <f ca="1">IFERROR(__xludf.DUMMYFUNCTION("IMPORTRANGE(""https://docs.google.com/spreadsheets/d/1MaWodYyGHDf7siQLGxnXhG4mBNTNIuy296niS2xXulU/edit?usp=sharing"",""RTK!I16"")"),0)</f>
        <v>0</v>
      </c>
      <c r="K801" s="465"/>
      <c r="L801" s="465"/>
      <c r="M801" s="465"/>
      <c r="N801" s="465"/>
      <c r="O801" s="163"/>
      <c r="P801" s="163"/>
      <c r="Q801" s="541"/>
      <c r="R801" s="541"/>
      <c r="S801" s="541"/>
      <c r="T801" s="541"/>
      <c r="U801" s="541"/>
      <c r="V801" s="541"/>
      <c r="W801" s="541"/>
      <c r="X801" s="541"/>
      <c r="Y801" s="541"/>
      <c r="Z801" s="541"/>
    </row>
    <row r="802" spans="1:26" ht="18.75" hidden="1">
      <c r="A802" s="578"/>
      <c r="B802" s="580"/>
      <c r="C802" s="580"/>
      <c r="D802" s="580"/>
      <c r="E802" s="684"/>
      <c r="F802" s="684" t="s">
        <v>321</v>
      </c>
      <c r="G802" s="581"/>
      <c r="H802" s="619" t="s">
        <v>46</v>
      </c>
      <c r="I802" s="166"/>
      <c r="J802" s="583"/>
      <c r="K802" s="167">
        <f>IF(I802&gt;0,J802*100/I802,0)</f>
        <v>0</v>
      </c>
      <c r="L802" s="167"/>
      <c r="M802" s="167"/>
      <c r="N802" s="167"/>
      <c r="O802" s="167"/>
      <c r="P802" s="167"/>
      <c r="Q802" s="568"/>
      <c r="R802" s="568"/>
      <c r="S802" s="568"/>
      <c r="T802" s="568"/>
      <c r="U802" s="568"/>
      <c r="V802" s="568"/>
      <c r="W802" s="568"/>
      <c r="X802" s="568"/>
      <c r="Y802" s="568"/>
      <c r="Z802" s="568"/>
    </row>
    <row r="803" spans="1:26" ht="18.75" hidden="1">
      <c r="A803" s="578"/>
      <c r="B803" s="580"/>
      <c r="C803" s="580"/>
      <c r="D803" s="580"/>
      <c r="E803" s="684"/>
      <c r="F803" s="684"/>
      <c r="G803" s="581"/>
      <c r="H803" s="619" t="s">
        <v>34</v>
      </c>
      <c r="I803" s="166"/>
      <c r="J803" s="583"/>
      <c r="K803" s="167"/>
      <c r="L803" s="167"/>
      <c r="M803" s="167"/>
      <c r="N803" s="167"/>
      <c r="O803" s="167"/>
      <c r="P803" s="167"/>
      <c r="Q803" s="568"/>
      <c r="R803" s="568"/>
      <c r="S803" s="568"/>
      <c r="T803" s="568"/>
      <c r="U803" s="568"/>
      <c r="V803" s="568"/>
      <c r="W803" s="568"/>
      <c r="X803" s="568"/>
      <c r="Y803" s="568"/>
      <c r="Z803" s="568"/>
    </row>
    <row r="804" spans="1:26" ht="19.5" hidden="1">
      <c r="A804" s="757">
        <v>13</v>
      </c>
      <c r="B804" s="758" t="s">
        <v>322</v>
      </c>
      <c r="C804" s="759"/>
      <c r="D804" s="775"/>
      <c r="E804" s="759"/>
      <c r="F804" s="759"/>
      <c r="G804" s="760"/>
      <c r="H804" s="761" t="s">
        <v>46</v>
      </c>
      <c r="I804" s="762"/>
      <c r="J804" s="762">
        <f>J819</f>
        <v>0</v>
      </c>
      <c r="K804" s="763">
        <f>IF(I804&gt;0,J804*100/I804,0)</f>
        <v>0</v>
      </c>
      <c r="L804" s="764"/>
      <c r="M804" s="764"/>
      <c r="N804" s="764"/>
      <c r="O804" s="764"/>
      <c r="P804" s="764"/>
      <c r="Q804" s="568"/>
      <c r="R804" s="568"/>
      <c r="S804" s="568"/>
      <c r="T804" s="568"/>
      <c r="U804" s="568"/>
      <c r="V804" s="568"/>
      <c r="W804" s="568"/>
      <c r="X804" s="568"/>
      <c r="Y804" s="568"/>
      <c r="Z804" s="568"/>
    </row>
    <row r="805" spans="1:26" ht="19.5" hidden="1">
      <c r="A805" s="563"/>
      <c r="B805" s="723"/>
      <c r="C805" s="723" t="s">
        <v>16</v>
      </c>
      <c r="D805" s="812" t="s">
        <v>17</v>
      </c>
      <c r="E805" s="805"/>
      <c r="F805" s="805"/>
      <c r="G805" s="567"/>
      <c r="H805" s="612" t="s">
        <v>12</v>
      </c>
      <c r="I805" s="583"/>
      <c r="J805" s="583"/>
      <c r="K805" s="93"/>
      <c r="L805" s="613">
        <f t="shared" ref="L805:N805" si="326">L806+L807</f>
        <v>0</v>
      </c>
      <c r="M805" s="613">
        <f t="shared" si="326"/>
        <v>0</v>
      </c>
      <c r="N805" s="613">
        <f t="shared" si="326"/>
        <v>0</v>
      </c>
      <c r="O805" s="613">
        <f t="shared" ref="O805:O810" si="327">IF(L805&gt;0,N805*100/L805,0)</f>
        <v>0</v>
      </c>
      <c r="P805" s="613">
        <f t="shared" ref="P805:P810" si="328">IF(M805&gt;0,N805*100/M805,0)</f>
        <v>0</v>
      </c>
      <c r="Q805" s="568"/>
      <c r="R805" s="568"/>
      <c r="S805" s="568"/>
      <c r="T805" s="568"/>
      <c r="U805" s="568"/>
      <c r="V805" s="568"/>
      <c r="W805" s="568"/>
      <c r="X805" s="568"/>
      <c r="Y805" s="568"/>
      <c r="Z805" s="568"/>
    </row>
    <row r="806" spans="1:26" ht="18.75" hidden="1">
      <c r="A806" s="563"/>
      <c r="B806" s="723"/>
      <c r="C806" s="723"/>
      <c r="D806" s="580"/>
      <c r="E806" s="723" t="s">
        <v>184</v>
      </c>
      <c r="F806" s="723"/>
      <c r="G806" s="567"/>
      <c r="H806" s="165" t="s">
        <v>12</v>
      </c>
      <c r="I806" s="583"/>
      <c r="J806" s="583"/>
      <c r="K806" s="93"/>
      <c r="L806" s="93">
        <f t="shared" ref="L806:N807" si="329">L809+L816</f>
        <v>0</v>
      </c>
      <c r="M806" s="93">
        <f t="shared" si="329"/>
        <v>0</v>
      </c>
      <c r="N806" s="93">
        <f t="shared" si="329"/>
        <v>0</v>
      </c>
      <c r="O806" s="93">
        <f t="shared" si="327"/>
        <v>0</v>
      </c>
      <c r="P806" s="93">
        <f t="shared" si="328"/>
        <v>0</v>
      </c>
      <c r="Q806" s="568"/>
      <c r="R806" s="568"/>
      <c r="S806" s="568"/>
      <c r="T806" s="568"/>
      <c r="U806" s="568"/>
      <c r="V806" s="568"/>
      <c r="W806" s="568"/>
      <c r="X806" s="568"/>
      <c r="Y806" s="568"/>
      <c r="Z806" s="568"/>
    </row>
    <row r="807" spans="1:26" ht="18.75" hidden="1">
      <c r="A807" s="563"/>
      <c r="B807" s="723"/>
      <c r="C807" s="723"/>
      <c r="D807" s="580"/>
      <c r="E807" s="723" t="s">
        <v>185</v>
      </c>
      <c r="F807" s="723"/>
      <c r="G807" s="567"/>
      <c r="H807" s="165" t="s">
        <v>12</v>
      </c>
      <c r="I807" s="583"/>
      <c r="J807" s="583"/>
      <c r="K807" s="93"/>
      <c r="L807" s="93">
        <f t="shared" si="329"/>
        <v>0</v>
      </c>
      <c r="M807" s="93">
        <f t="shared" si="329"/>
        <v>0</v>
      </c>
      <c r="N807" s="93">
        <f t="shared" si="329"/>
        <v>0</v>
      </c>
      <c r="O807" s="93">
        <f t="shared" si="327"/>
        <v>0</v>
      </c>
      <c r="P807" s="93">
        <f t="shared" si="328"/>
        <v>0</v>
      </c>
      <c r="Q807" s="568"/>
      <c r="R807" s="568"/>
      <c r="S807" s="568"/>
      <c r="T807" s="568"/>
      <c r="U807" s="568"/>
      <c r="V807" s="568"/>
      <c r="W807" s="568"/>
      <c r="X807" s="568"/>
      <c r="Y807" s="568"/>
      <c r="Z807" s="568"/>
    </row>
    <row r="808" spans="1:26" ht="19.5" hidden="1">
      <c r="A808" s="563"/>
      <c r="B808" s="571"/>
      <c r="C808" s="723"/>
      <c r="D808" s="857" t="s">
        <v>20</v>
      </c>
      <c r="E808" s="805"/>
      <c r="F808" s="805"/>
      <c r="G808" s="567"/>
      <c r="H808" s="612" t="s">
        <v>12</v>
      </c>
      <c r="I808" s="166"/>
      <c r="J808" s="166"/>
      <c r="K808" s="167"/>
      <c r="L808" s="613">
        <f t="shared" ref="L808:N808" si="330">L809+L810</f>
        <v>0</v>
      </c>
      <c r="M808" s="613">
        <f t="shared" si="330"/>
        <v>0</v>
      </c>
      <c r="N808" s="613">
        <f t="shared" si="330"/>
        <v>0</v>
      </c>
      <c r="O808" s="613">
        <f t="shared" si="327"/>
        <v>0</v>
      </c>
      <c r="P808" s="613">
        <f t="shared" si="328"/>
        <v>0</v>
      </c>
      <c r="Q808" s="568"/>
      <c r="R808" s="568"/>
      <c r="S808" s="568"/>
      <c r="T808" s="568"/>
      <c r="U808" s="568"/>
      <c r="V808" s="568"/>
      <c r="W808" s="568"/>
      <c r="X808" s="568"/>
      <c r="Y808" s="568"/>
      <c r="Z808" s="568"/>
    </row>
    <row r="809" spans="1:26" ht="18.75" hidden="1">
      <c r="A809" s="563"/>
      <c r="B809" s="723"/>
      <c r="C809" s="723"/>
      <c r="D809" s="580"/>
      <c r="E809" s="723" t="s">
        <v>184</v>
      </c>
      <c r="F809" s="723"/>
      <c r="G809" s="567"/>
      <c r="H809" s="165" t="s">
        <v>12</v>
      </c>
      <c r="I809" s="583"/>
      <c r="J809" s="583"/>
      <c r="K809" s="93"/>
      <c r="L809" s="93">
        <v>0</v>
      </c>
      <c r="M809" s="93">
        <v>0</v>
      </c>
      <c r="N809" s="93">
        <v>0</v>
      </c>
      <c r="O809" s="93">
        <f t="shared" si="327"/>
        <v>0</v>
      </c>
      <c r="P809" s="93">
        <f t="shared" si="328"/>
        <v>0</v>
      </c>
      <c r="Q809" s="568"/>
      <c r="R809" s="568"/>
      <c r="S809" s="568"/>
      <c r="T809" s="568"/>
      <c r="U809" s="568"/>
      <c r="V809" s="568"/>
      <c r="W809" s="568"/>
      <c r="X809" s="568"/>
      <c r="Y809" s="568"/>
      <c r="Z809" s="568"/>
    </row>
    <row r="810" spans="1:26" ht="18.75" hidden="1">
      <c r="A810" s="563"/>
      <c r="B810" s="723"/>
      <c r="C810" s="723"/>
      <c r="D810" s="580"/>
      <c r="E810" s="723" t="s">
        <v>185</v>
      </c>
      <c r="F810" s="723"/>
      <c r="G810" s="567"/>
      <c r="H810" s="165" t="s">
        <v>12</v>
      </c>
      <c r="I810" s="583"/>
      <c r="J810" s="583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7"/>
        <v>0</v>
      </c>
      <c r="P810" s="93">
        <f t="shared" si="328"/>
        <v>0</v>
      </c>
      <c r="Q810" s="568"/>
      <c r="R810" s="568"/>
      <c r="S810" s="568"/>
      <c r="T810" s="568"/>
      <c r="U810" s="568"/>
      <c r="V810" s="568"/>
      <c r="W810" s="568"/>
      <c r="X810" s="568"/>
      <c r="Y810" s="568"/>
      <c r="Z810" s="568"/>
    </row>
    <row r="811" spans="1:26" ht="18.75" hidden="1">
      <c r="A811" s="615"/>
      <c r="B811" s="571"/>
      <c r="C811" s="723"/>
      <c r="D811" s="571"/>
      <c r="E811" s="723"/>
      <c r="F811" s="723" t="s">
        <v>186</v>
      </c>
      <c r="G811" s="567"/>
      <c r="H811" s="165" t="s">
        <v>12</v>
      </c>
      <c r="I811" s="583"/>
      <c r="J811" s="583"/>
      <c r="K811" s="93"/>
      <c r="L811" s="93"/>
      <c r="M811" s="93"/>
      <c r="N811" s="93"/>
      <c r="O811" s="93"/>
      <c r="P811" s="93"/>
      <c r="Q811" s="568"/>
      <c r="R811" s="568"/>
      <c r="S811" s="568"/>
      <c r="T811" s="568"/>
      <c r="U811" s="568"/>
      <c r="V811" s="568"/>
      <c r="W811" s="568"/>
      <c r="X811" s="568"/>
      <c r="Y811" s="568"/>
      <c r="Z811" s="568"/>
    </row>
    <row r="812" spans="1:26" ht="18.75" hidden="1">
      <c r="A812" s="615"/>
      <c r="B812" s="571"/>
      <c r="C812" s="723"/>
      <c r="D812" s="571"/>
      <c r="E812" s="723"/>
      <c r="F812" s="723" t="s">
        <v>187</v>
      </c>
      <c r="G812" s="567"/>
      <c r="H812" s="165" t="s">
        <v>12</v>
      </c>
      <c r="I812" s="583"/>
      <c r="J812" s="583"/>
      <c r="K812" s="93"/>
      <c r="L812" s="93"/>
      <c r="M812" s="93"/>
      <c r="N812" s="93"/>
      <c r="O812" s="93"/>
      <c r="P812" s="93"/>
      <c r="Q812" s="568"/>
      <c r="R812" s="568"/>
      <c r="S812" s="568"/>
      <c r="T812" s="568"/>
      <c r="U812" s="568"/>
      <c r="V812" s="568"/>
      <c r="W812" s="568"/>
      <c r="X812" s="568"/>
      <c r="Y812" s="568"/>
      <c r="Z812" s="568"/>
    </row>
    <row r="813" spans="1:26" ht="18.75" hidden="1">
      <c r="A813" s="615"/>
      <c r="B813" s="571"/>
      <c r="C813" s="723"/>
      <c r="D813" s="571"/>
      <c r="E813" s="723"/>
      <c r="F813" s="723" t="s">
        <v>188</v>
      </c>
      <c r="G813" s="567"/>
      <c r="H813" s="165" t="s">
        <v>12</v>
      </c>
      <c r="I813" s="583"/>
      <c r="J813" s="583"/>
      <c r="K813" s="93"/>
      <c r="L813" s="93"/>
      <c r="M813" s="93"/>
      <c r="N813" s="93"/>
      <c r="O813" s="93"/>
      <c r="P813" s="93"/>
      <c r="Q813" s="568"/>
      <c r="R813" s="568"/>
      <c r="S813" s="568"/>
      <c r="T813" s="568"/>
      <c r="U813" s="568"/>
      <c r="V813" s="568"/>
      <c r="W813" s="568"/>
      <c r="X813" s="568"/>
      <c r="Y813" s="568"/>
      <c r="Z813" s="568"/>
    </row>
    <row r="814" spans="1:26" ht="18.75" hidden="1">
      <c r="A814" s="615"/>
      <c r="B814" s="571"/>
      <c r="C814" s="723"/>
      <c r="D814" s="571"/>
      <c r="E814" s="723"/>
      <c r="F814" s="723" t="s">
        <v>189</v>
      </c>
      <c r="G814" s="567"/>
      <c r="H814" s="165" t="s">
        <v>12</v>
      </c>
      <c r="I814" s="583"/>
      <c r="J814" s="583"/>
      <c r="K814" s="93"/>
      <c r="L814" s="93"/>
      <c r="M814" s="93"/>
      <c r="N814" s="93"/>
      <c r="O814" s="93"/>
      <c r="P814" s="93"/>
      <c r="Q814" s="568"/>
      <c r="R814" s="568"/>
      <c r="S814" s="568"/>
      <c r="T814" s="568"/>
      <c r="U814" s="568"/>
      <c r="V814" s="568"/>
      <c r="W814" s="568"/>
      <c r="X814" s="568"/>
      <c r="Y814" s="568"/>
      <c r="Z814" s="568"/>
    </row>
    <row r="815" spans="1:26" ht="19.5" hidden="1">
      <c r="A815" s="563"/>
      <c r="B815" s="571"/>
      <c r="C815" s="723"/>
      <c r="D815" s="857" t="s">
        <v>21</v>
      </c>
      <c r="E815" s="805"/>
      <c r="F815" s="805"/>
      <c r="G815" s="567"/>
      <c r="H815" s="747" t="s">
        <v>12</v>
      </c>
      <c r="I815" s="166"/>
      <c r="J815" s="166"/>
      <c r="K815" s="167"/>
      <c r="L815" s="613">
        <f t="shared" ref="L815:N815" si="331">L816+L817</f>
        <v>0</v>
      </c>
      <c r="M815" s="613">
        <f t="shared" si="331"/>
        <v>0</v>
      </c>
      <c r="N815" s="613">
        <f t="shared" si="331"/>
        <v>0</v>
      </c>
      <c r="O815" s="613">
        <f t="shared" ref="O815:O817" si="332">IF(L815&gt;0,N815*100/L815,0)</f>
        <v>0</v>
      </c>
      <c r="P815" s="613">
        <f t="shared" ref="P815:P817" si="333">IF(M815&gt;0,N815*100/M815,0)</f>
        <v>0</v>
      </c>
      <c r="Q815" s="568"/>
      <c r="R815" s="568"/>
      <c r="S815" s="568"/>
      <c r="T815" s="568"/>
      <c r="U815" s="568"/>
      <c r="V815" s="568"/>
      <c r="W815" s="568"/>
      <c r="X815" s="568"/>
      <c r="Y815" s="568"/>
      <c r="Z815" s="568"/>
    </row>
    <row r="816" spans="1:26" ht="18.75" hidden="1">
      <c r="A816" s="563"/>
      <c r="B816" s="571"/>
      <c r="C816" s="723"/>
      <c r="D816" s="571"/>
      <c r="E816" s="723" t="s">
        <v>18</v>
      </c>
      <c r="F816" s="723"/>
      <c r="G816" s="567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2"/>
        <v>0</v>
      </c>
      <c r="P816" s="93">
        <f t="shared" si="333"/>
        <v>0</v>
      </c>
      <c r="Q816" s="568"/>
      <c r="R816" s="568"/>
      <c r="S816" s="568"/>
      <c r="T816" s="568"/>
      <c r="U816" s="568"/>
      <c r="V816" s="568"/>
      <c r="W816" s="568"/>
      <c r="X816" s="568"/>
      <c r="Y816" s="568"/>
      <c r="Z816" s="568"/>
    </row>
    <row r="817" spans="1:26" ht="18.75" hidden="1">
      <c r="A817" s="563"/>
      <c r="B817" s="571"/>
      <c r="C817" s="723"/>
      <c r="D817" s="571"/>
      <c r="E817" s="723" t="s">
        <v>19</v>
      </c>
      <c r="F817" s="723"/>
      <c r="G817" s="567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2"/>
        <v>0</v>
      </c>
      <c r="P817" s="93">
        <f t="shared" si="333"/>
        <v>0</v>
      </c>
      <c r="Q817" s="568"/>
      <c r="R817" s="568"/>
      <c r="S817" s="568"/>
      <c r="T817" s="568"/>
      <c r="U817" s="568"/>
      <c r="V817" s="568"/>
      <c r="W817" s="568"/>
      <c r="X817" s="568"/>
      <c r="Y817" s="568"/>
      <c r="Z817" s="568"/>
    </row>
    <row r="818" spans="1:26" ht="19.5" hidden="1">
      <c r="A818" s="578"/>
      <c r="B818" s="580"/>
      <c r="C818" s="723" t="s">
        <v>16</v>
      </c>
      <c r="D818" s="858" t="s">
        <v>38</v>
      </c>
      <c r="E818" s="617"/>
      <c r="F818" s="617"/>
      <c r="G818" s="618"/>
      <c r="H818" s="581"/>
      <c r="I818" s="166"/>
      <c r="J818" s="166"/>
      <c r="K818" s="167"/>
      <c r="L818" s="167"/>
      <c r="M818" s="167"/>
      <c r="N818" s="167"/>
      <c r="O818" s="167"/>
      <c r="P818" s="167"/>
      <c r="Q818" s="568"/>
      <c r="R818" s="568"/>
      <c r="S818" s="568"/>
      <c r="T818" s="568"/>
      <c r="U818" s="568"/>
      <c r="V818" s="568"/>
      <c r="W818" s="568"/>
      <c r="X818" s="568"/>
      <c r="Y818" s="568"/>
      <c r="Z818" s="568"/>
    </row>
    <row r="819" spans="1:26" ht="19.5" hidden="1" thickBot="1">
      <c r="A819" s="777"/>
      <c r="B819" s="778"/>
      <c r="C819" s="780"/>
      <c r="D819" s="778"/>
      <c r="E819" s="780" t="s">
        <v>323</v>
      </c>
      <c r="F819" s="780"/>
      <c r="G819" s="781"/>
      <c r="H819" s="782" t="s">
        <v>46</v>
      </c>
      <c r="I819" s="783"/>
      <c r="J819" s="783"/>
      <c r="K819" s="784"/>
      <c r="L819" s="784"/>
      <c r="M819" s="784"/>
      <c r="N819" s="784"/>
      <c r="O819" s="784"/>
      <c r="P819" s="784"/>
      <c r="Q819" s="568"/>
      <c r="R819" s="568"/>
      <c r="S819" s="568"/>
      <c r="T819" s="568"/>
      <c r="U819" s="568"/>
      <c r="V819" s="568"/>
      <c r="W819" s="568"/>
      <c r="X819" s="568"/>
      <c r="Y819" s="568"/>
      <c r="Z819" s="568"/>
    </row>
    <row r="820" spans="1:26" ht="19.5">
      <c r="A820" s="785" t="s">
        <v>332</v>
      </c>
      <c r="B820" s="786"/>
      <c r="C820" s="786"/>
      <c r="D820" s="787"/>
      <c r="E820" s="786"/>
      <c r="F820" s="786"/>
      <c r="G820" s="788"/>
      <c r="H820" s="788"/>
      <c r="I820" s="214"/>
      <c r="J820" s="214"/>
      <c r="K820" s="789"/>
      <c r="L820" s="789"/>
      <c r="M820" s="789"/>
      <c r="N820" s="789"/>
      <c r="O820" s="789"/>
      <c r="P820" s="789"/>
      <c r="Q820" s="541"/>
      <c r="R820" s="541"/>
      <c r="S820" s="541"/>
      <c r="T820" s="541"/>
      <c r="U820" s="541"/>
      <c r="V820" s="541"/>
      <c r="W820" s="541"/>
      <c r="X820" s="541"/>
      <c r="Y820" s="541"/>
      <c r="Z820" s="541"/>
    </row>
    <row r="821" spans="1:26" ht="18.75">
      <c r="A821" s="708"/>
      <c r="B821" s="727" t="s">
        <v>325</v>
      </c>
      <c r="C821" s="727"/>
      <c r="D821" s="538"/>
      <c r="E821" s="727"/>
      <c r="F821" s="727"/>
      <c r="G821" s="189"/>
      <c r="H821" s="589" t="s">
        <v>12</v>
      </c>
      <c r="I821" s="269">
        <f ca="1">IFERROR(__xludf.DUMMYFUNCTION("IMPORTRANGE(""https://docs.google.com/spreadsheets/d/19vJNZY_5yjcGF2XGBMNZRCAIB0Kwfpjp8YEOfu-bneM/edit?usp=sharing"",""งานกองทุน!D16"")"),2333245.96)</f>
        <v>2333245.96</v>
      </c>
      <c r="J821" s="269">
        <f ca="1">IFERROR(__xludf.DUMMYFUNCTION("IMPORTRANGE(""https://docs.google.com/spreadsheets/d/19vJNZY_5yjcGF2XGBMNZRCAIB0Kwfpjp8YEOfu-bneM/edit?usp=sharing"",""งานกองทุน!F16"")"),49573.21)</f>
        <v>49573.21</v>
      </c>
      <c r="K821" s="465">
        <f t="shared" ref="K821:K828" ca="1" si="334">IF(I821&gt;0,J821*100/I821,0)</f>
        <v>2.1246457017330482</v>
      </c>
      <c r="L821" s="465"/>
      <c r="M821" s="465"/>
      <c r="N821" s="465"/>
      <c r="O821" s="465"/>
      <c r="P821" s="465"/>
      <c r="Q821" s="541"/>
      <c r="R821" s="541"/>
      <c r="S821" s="541"/>
      <c r="T821" s="541"/>
      <c r="U821" s="541"/>
      <c r="V821" s="541"/>
      <c r="W821" s="541"/>
      <c r="X821" s="541"/>
      <c r="Y821" s="541"/>
      <c r="Z821" s="541"/>
    </row>
    <row r="822" spans="1:26" ht="18.75">
      <c r="A822" s="708"/>
      <c r="B822" s="727"/>
      <c r="C822" s="727"/>
      <c r="D822" s="538"/>
      <c r="E822" s="727"/>
      <c r="F822" s="727"/>
      <c r="G822" s="189"/>
      <c r="H822" s="589" t="s">
        <v>35</v>
      </c>
      <c r="I822" s="269">
        <f ca="1">IFERROR(__xludf.DUMMYFUNCTION("IMPORTRANGE(""https://docs.google.com/spreadsheets/d/19vJNZY_5yjcGF2XGBMNZRCAIB0Kwfpjp8YEOfu-bneM/edit?usp=sharing"",""งานกองทุน!C16"")"),129)</f>
        <v>129</v>
      </c>
      <c r="J822" s="269">
        <f ca="1">IFERROR(__xludf.DUMMYFUNCTION("IMPORTRANGE(""https://docs.google.com/spreadsheets/d/19vJNZY_5yjcGF2XGBMNZRCAIB0Kwfpjp8YEOfu-bneM/edit?usp=sharing"",""งานกองทุน!E16"")"),5)</f>
        <v>5</v>
      </c>
      <c r="K822" s="465">
        <f t="shared" ca="1" si="334"/>
        <v>3.8759689922480618</v>
      </c>
      <c r="L822" s="465"/>
      <c r="M822" s="465"/>
      <c r="N822" s="465"/>
      <c r="O822" s="465"/>
      <c r="P822" s="465"/>
      <c r="Q822" s="541"/>
      <c r="R822" s="541"/>
      <c r="S822" s="541"/>
      <c r="T822" s="541"/>
      <c r="U822" s="541"/>
      <c r="V822" s="541"/>
      <c r="W822" s="541"/>
      <c r="X822" s="541"/>
      <c r="Y822" s="541"/>
      <c r="Z822" s="541"/>
    </row>
    <row r="823" spans="1:26" ht="18.75">
      <c r="A823" s="708"/>
      <c r="B823" s="727" t="s">
        <v>326</v>
      </c>
      <c r="C823" s="727"/>
      <c r="D823" s="538"/>
      <c r="E823" s="727"/>
      <c r="F823" s="727"/>
      <c r="G823" s="189"/>
      <c r="H823" s="589" t="s">
        <v>12</v>
      </c>
      <c r="I823" s="269">
        <f ca="1">IFERROR(__xludf.DUMMYFUNCTION("IMPORTRANGE(""https://docs.google.com/spreadsheets/d/19vJNZY_5yjcGF2XGBMNZRCAIB0Kwfpjp8YEOfu-bneM/edit?usp=sharing"",""งานกองทุน!I16"")"),635752.33)</f>
        <v>635752.32999999996</v>
      </c>
      <c r="J823" s="269">
        <f ca="1">IFERROR(__xludf.DUMMYFUNCTION("IMPORTRANGE(""https://docs.google.com/spreadsheets/d/19vJNZY_5yjcGF2XGBMNZRCAIB0Kwfpjp8YEOfu-bneM/edit?usp=sharing"",""งานกองทุน!K16"")"),4071.78)</f>
        <v>4071.78</v>
      </c>
      <c r="K823" s="465">
        <f t="shared" ca="1" si="334"/>
        <v>0.64046639042596987</v>
      </c>
      <c r="L823" s="465"/>
      <c r="M823" s="465"/>
      <c r="N823" s="465"/>
      <c r="O823" s="465"/>
      <c r="P823" s="465"/>
      <c r="Q823" s="541"/>
      <c r="R823" s="541"/>
      <c r="S823" s="541"/>
      <c r="T823" s="541"/>
      <c r="U823" s="541"/>
      <c r="V823" s="541"/>
      <c r="W823" s="541"/>
      <c r="X823" s="541"/>
      <c r="Y823" s="541"/>
      <c r="Z823" s="541"/>
    </row>
    <row r="824" spans="1:26" ht="18.75">
      <c r="A824" s="708"/>
      <c r="B824" s="727"/>
      <c r="C824" s="727"/>
      <c r="D824" s="538"/>
      <c r="E824" s="727"/>
      <c r="F824" s="727"/>
      <c r="G824" s="189"/>
      <c r="H824" s="589" t="s">
        <v>35</v>
      </c>
      <c r="I824" s="269">
        <f ca="1">IFERROR(__xludf.DUMMYFUNCTION("IMPORTRANGE(""https://docs.google.com/spreadsheets/d/19vJNZY_5yjcGF2XGBMNZRCAIB0Kwfpjp8YEOfu-bneM/edit?usp=sharing"",""งานกองทุน!H16"")"),39)</f>
        <v>39</v>
      </c>
      <c r="J824" s="269">
        <f ca="1">IFERROR(__xludf.DUMMYFUNCTION("IMPORTRANGE(""https://docs.google.com/spreadsheets/d/19vJNZY_5yjcGF2XGBMNZRCAIB0Kwfpjp8YEOfu-bneM/edit?usp=sharing"",""งานกองทุน!J16"")"),5)</f>
        <v>5</v>
      </c>
      <c r="K824" s="465">
        <f t="shared" ca="1" si="334"/>
        <v>12.820512820512821</v>
      </c>
      <c r="L824" s="465"/>
      <c r="M824" s="465"/>
      <c r="N824" s="465"/>
      <c r="O824" s="465"/>
      <c r="P824" s="465"/>
      <c r="Q824" s="541"/>
      <c r="R824" s="541"/>
      <c r="S824" s="541"/>
      <c r="T824" s="541"/>
      <c r="U824" s="541"/>
      <c r="V824" s="541"/>
      <c r="W824" s="541"/>
      <c r="X824" s="541"/>
      <c r="Y824" s="541"/>
      <c r="Z824" s="541"/>
    </row>
    <row r="825" spans="1:26" ht="18.75">
      <c r="A825" s="708"/>
      <c r="B825" s="727" t="s">
        <v>327</v>
      </c>
      <c r="C825" s="727"/>
      <c r="D825" s="538"/>
      <c r="E825" s="727"/>
      <c r="F825" s="727"/>
      <c r="G825" s="189"/>
      <c r="H825" s="589" t="s">
        <v>12</v>
      </c>
      <c r="I825" s="269">
        <f ca="1">IFERROR(__xludf.DUMMYFUNCTION("IMPORTRANGE(""https://docs.google.com/spreadsheets/d/19vJNZY_5yjcGF2XGBMNZRCAIB0Kwfpjp8YEOfu-bneM/edit?usp=sharing"",""งานกองทุน!N16"")"),66562.43)</f>
        <v>66562.429999999993</v>
      </c>
      <c r="J825" s="269">
        <f ca="1">IFERROR(__xludf.DUMMYFUNCTION("IMPORTRANGE(""https://docs.google.com/spreadsheets/d/19vJNZY_5yjcGF2XGBMNZRCAIB0Kwfpjp8YEOfu-bneM/edit?usp=sharing"",""งานกองทุน!P16"")"),0)</f>
        <v>0</v>
      </c>
      <c r="K825" s="465">
        <f t="shared" ca="1" si="334"/>
        <v>0</v>
      </c>
      <c r="L825" s="465"/>
      <c r="M825" s="465"/>
      <c r="N825" s="465"/>
      <c r="O825" s="465"/>
      <c r="P825" s="465"/>
      <c r="Q825" s="541"/>
      <c r="R825" s="541"/>
      <c r="S825" s="541"/>
      <c r="T825" s="541"/>
      <c r="U825" s="541"/>
      <c r="V825" s="541"/>
      <c r="W825" s="541"/>
      <c r="X825" s="541"/>
      <c r="Y825" s="541"/>
      <c r="Z825" s="541"/>
    </row>
    <row r="826" spans="1:26" ht="18.75">
      <c r="A826" s="708"/>
      <c r="B826" s="727"/>
      <c r="C826" s="727"/>
      <c r="D826" s="538"/>
      <c r="E826" s="727"/>
      <c r="F826" s="727"/>
      <c r="G826" s="189"/>
      <c r="H826" s="589" t="s">
        <v>35</v>
      </c>
      <c r="I826" s="269">
        <f ca="1">IFERROR(__xludf.DUMMYFUNCTION("IMPORTRANGE(""https://docs.google.com/spreadsheets/d/19vJNZY_5yjcGF2XGBMNZRCAIB0Kwfpjp8YEOfu-bneM/edit?usp=sharing"",""งานกองทุน!M16"")"),6)</f>
        <v>6</v>
      </c>
      <c r="J826" s="269">
        <f ca="1">IFERROR(__xludf.DUMMYFUNCTION("IMPORTRANGE(""https://docs.google.com/spreadsheets/d/19vJNZY_5yjcGF2XGBMNZRCAIB0Kwfpjp8YEOfu-bneM/edit?usp=sharing"",""งานกองทุน!O16"")"),0)</f>
        <v>0</v>
      </c>
      <c r="K826" s="465">
        <f t="shared" ca="1" si="334"/>
        <v>0</v>
      </c>
      <c r="L826" s="465"/>
      <c r="M826" s="465"/>
      <c r="N826" s="465"/>
      <c r="O826" s="465"/>
      <c r="P826" s="465"/>
      <c r="Q826" s="541"/>
      <c r="R826" s="541"/>
      <c r="S826" s="541"/>
      <c r="T826" s="541"/>
      <c r="U826" s="541"/>
      <c r="V826" s="541"/>
      <c r="W826" s="541"/>
      <c r="X826" s="541"/>
      <c r="Y826" s="541"/>
      <c r="Z826" s="541"/>
    </row>
    <row r="827" spans="1:26" ht="18.75">
      <c r="A827" s="708"/>
      <c r="B827" s="727" t="s">
        <v>328</v>
      </c>
      <c r="C827" s="727"/>
      <c r="D827" s="538"/>
      <c r="E827" s="727"/>
      <c r="F827" s="727"/>
      <c r="G827" s="189"/>
      <c r="H827" s="589" t="s">
        <v>12</v>
      </c>
      <c r="I827" s="269">
        <f ca="1">IFERROR(__xludf.DUMMYFUNCTION("IMPORTRANGE(""https://docs.google.com/spreadsheets/d/19vJNZY_5yjcGF2XGBMNZRCAIB0Kwfpjp8YEOfu-bneM/edit?usp=sharing"",""งานกองทุน!S16"")"),2330000)</f>
        <v>2330000</v>
      </c>
      <c r="J827" s="269">
        <f ca="1">IFERROR(__xludf.DUMMYFUNCTION("IMPORTRANGE(""https://docs.google.com/spreadsheets/d/19vJNZY_5yjcGF2XGBMNZRCAIB0Kwfpjp8YEOfu-bneM/edit?usp=sharing"",""งานกองทุน!U16"")"),0)</f>
        <v>0</v>
      </c>
      <c r="K827" s="465">
        <f t="shared" ca="1" si="334"/>
        <v>0</v>
      </c>
      <c r="L827" s="465"/>
      <c r="M827" s="465"/>
      <c r="N827" s="465"/>
      <c r="O827" s="465"/>
      <c r="P827" s="465"/>
      <c r="Q827" s="541"/>
      <c r="R827" s="541"/>
      <c r="S827" s="541"/>
      <c r="T827" s="541"/>
      <c r="U827" s="541"/>
      <c r="V827" s="541"/>
      <c r="W827" s="541"/>
      <c r="X827" s="541"/>
      <c r="Y827" s="541"/>
      <c r="Z827" s="541"/>
    </row>
    <row r="828" spans="1:26" ht="18.75">
      <c r="A828" s="711"/>
      <c r="B828" s="713"/>
      <c r="C828" s="713"/>
      <c r="D828" s="712"/>
      <c r="E828" s="713"/>
      <c r="F828" s="713"/>
      <c r="G828" s="790"/>
      <c r="H828" s="791" t="s">
        <v>35</v>
      </c>
      <c r="I828" s="468">
        <f ca="1">IFERROR(__xludf.DUMMYFUNCTION("IMPORTRANGE(""https://docs.google.com/spreadsheets/d/19vJNZY_5yjcGF2XGBMNZRCAIB0Kwfpjp8YEOfu-bneM/edit?usp=sharing"",""งานกองทุน!R16"")"),93)</f>
        <v>93</v>
      </c>
      <c r="J828" s="468">
        <f ca="1">IFERROR(__xludf.DUMMYFUNCTION("IMPORTRANGE(""https://docs.google.com/spreadsheets/d/19vJNZY_5yjcGF2XGBMNZRCAIB0Kwfpjp8YEOfu-bneM/edit?usp=sharing"",""งานกองทุน!T16"")"),3)</f>
        <v>3</v>
      </c>
      <c r="K828" s="469">
        <f t="shared" ca="1" si="334"/>
        <v>3.225806451612903</v>
      </c>
      <c r="L828" s="469"/>
      <c r="M828" s="469"/>
      <c r="N828" s="469"/>
      <c r="O828" s="469"/>
      <c r="P828" s="469"/>
      <c r="Q828" s="541"/>
      <c r="R828" s="541"/>
      <c r="S828" s="541"/>
      <c r="T828" s="541"/>
      <c r="U828" s="541"/>
      <c r="V828" s="541"/>
      <c r="W828" s="541"/>
      <c r="X828" s="541"/>
      <c r="Y828" s="541"/>
      <c r="Z828" s="541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2" fitToHeight="0" pageOrder="overThenDown" orientation="portrait" cellComments="atEnd" r:id="rId1"/>
  <headerFooter>
    <oddFooter>&amp;Cหน้า &amp;P/&amp;N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A0F2CC-E76F-479C-8112-17901E25A73E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activeCell="S28" sqref="S28"/>
      <selection pane="bottomLeft" sqref="A1:P1"/>
    </sheetView>
  </sheetViews>
  <sheetFormatPr defaultColWidth="12.5703125" defaultRowHeight="15.75" customHeight="1"/>
  <cols>
    <col min="1" max="1" width="5" customWidth="1"/>
    <col min="2" max="3" width="3.28515625" customWidth="1"/>
    <col min="4" max="6" width="5.85546875" customWidth="1"/>
    <col min="7" max="7" width="56.42578125" customWidth="1"/>
    <col min="8" max="8" width="9.42578125" customWidth="1"/>
    <col min="9" max="9" width="16.85546875" bestFit="1" customWidth="1"/>
    <col min="10" max="10" width="12.5703125" bestFit="1" customWidth="1"/>
    <col min="11" max="11" width="12.5703125" customWidth="1"/>
    <col min="12" max="13" width="21.28515625" bestFit="1" customWidth="1"/>
    <col min="14" max="14" width="18.7109375" bestFit="1" customWidth="1"/>
    <col min="15" max="15" width="20.140625" bestFit="1" customWidth="1"/>
    <col min="16" max="16" width="22" bestFit="1" customWidth="1"/>
  </cols>
  <sheetData>
    <row r="1" spans="1:26" ht="19.5">
      <c r="A1" s="792" t="s">
        <v>0</v>
      </c>
      <c r="B1" s="793"/>
      <c r="C1" s="793"/>
      <c r="D1" s="793"/>
      <c r="E1" s="793"/>
      <c r="F1" s="793"/>
      <c r="G1" s="793"/>
      <c r="H1" s="793"/>
      <c r="I1" s="793"/>
      <c r="J1" s="793"/>
      <c r="K1" s="793"/>
      <c r="L1" s="793"/>
      <c r="M1" s="793"/>
      <c r="N1" s="793"/>
      <c r="O1" s="793"/>
      <c r="P1" s="793"/>
    </row>
    <row r="2" spans="1:26" ht="19.5">
      <c r="A2" s="792" t="s">
        <v>336</v>
      </c>
      <c r="B2" s="793"/>
      <c r="C2" s="793"/>
      <c r="D2" s="793"/>
      <c r="E2" s="793"/>
      <c r="F2" s="793"/>
      <c r="G2" s="793"/>
      <c r="H2" s="793"/>
      <c r="I2" s="793"/>
      <c r="J2" s="793"/>
      <c r="K2" s="793"/>
      <c r="L2" s="793"/>
      <c r="M2" s="793"/>
      <c r="N2" s="793"/>
      <c r="O2" s="793"/>
      <c r="P2" s="793"/>
    </row>
    <row r="3" spans="1:26" ht="19.5">
      <c r="A3" s="792" t="s">
        <v>355</v>
      </c>
      <c r="B3" s="793"/>
      <c r="C3" s="793"/>
      <c r="D3" s="793"/>
      <c r="E3" s="793"/>
      <c r="F3" s="793"/>
      <c r="G3" s="793"/>
      <c r="H3" s="793"/>
      <c r="I3" s="793"/>
      <c r="J3" s="793"/>
      <c r="K3" s="793"/>
      <c r="L3" s="793"/>
      <c r="M3" s="793"/>
      <c r="N3" s="793"/>
      <c r="O3" s="793"/>
      <c r="P3" s="793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00" t="s">
        <v>2</v>
      </c>
      <c r="B5" s="793"/>
      <c r="C5" s="793"/>
      <c r="D5" s="793"/>
      <c r="E5" s="793"/>
      <c r="F5" s="793"/>
      <c r="G5" s="801"/>
      <c r="H5" s="794" t="s">
        <v>3</v>
      </c>
      <c r="I5" s="796" t="s">
        <v>4</v>
      </c>
      <c r="J5" s="797"/>
      <c r="K5" s="795"/>
      <c r="L5" s="798" t="s">
        <v>5</v>
      </c>
      <c r="M5" s="795"/>
      <c r="N5" s="799" t="s">
        <v>6</v>
      </c>
      <c r="O5" s="797"/>
      <c r="P5" s="795"/>
    </row>
    <row r="6" spans="1:26" ht="19.5">
      <c r="A6" s="802"/>
      <c r="B6" s="797"/>
      <c r="C6" s="797"/>
      <c r="D6" s="797"/>
      <c r="E6" s="797"/>
      <c r="F6" s="797"/>
      <c r="G6" s="795"/>
      <c r="H6" s="795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03" t="s">
        <v>15</v>
      </c>
      <c r="B7" s="797"/>
      <c r="C7" s="797"/>
      <c r="D7" s="797"/>
      <c r="E7" s="797"/>
      <c r="F7" s="797"/>
      <c r="G7" s="795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4368128</v>
      </c>
      <c r="M8" s="22">
        <f t="shared" ca="1" si="0"/>
        <v>1697315</v>
      </c>
      <c r="N8" s="22">
        <f t="shared" ca="1" si="0"/>
        <v>709604.94</v>
      </c>
      <c r="O8" s="22">
        <f t="shared" ref="O8:O16" ca="1" si="1">IF(L8&gt;0,N8*100/L8,0)</f>
        <v>16.245058294995019</v>
      </c>
      <c r="P8" s="22">
        <f t="shared" ref="P8:P16" ca="1" si="2">IF(M8&gt;0,N8*100/M8,0)</f>
        <v>41.807498313512816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4368128</v>
      </c>
      <c r="M10" s="30">
        <f t="shared" ca="1" si="3"/>
        <v>1697315</v>
      </c>
      <c r="N10" s="30">
        <f t="shared" ca="1" si="3"/>
        <v>709604.94</v>
      </c>
      <c r="O10" s="30">
        <f t="shared" ca="1" si="1"/>
        <v>16.245058294995019</v>
      </c>
      <c r="P10" s="30">
        <f t="shared" ca="1" si="2"/>
        <v>41.807498313512816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589" t="s">
        <v>12</v>
      </c>
      <c r="I11" s="269"/>
      <c r="J11" s="269"/>
      <c r="K11" s="465"/>
      <c r="L11" s="465">
        <f t="shared" ref="L11:N11" ca="1" si="4">L12+L13</f>
        <v>4164628</v>
      </c>
      <c r="M11" s="465">
        <f t="shared" ca="1" si="4"/>
        <v>1493815</v>
      </c>
      <c r="N11" s="465">
        <f t="shared" ca="1" si="4"/>
        <v>615124.93999999994</v>
      </c>
      <c r="O11" s="465">
        <f t="shared" ca="1" si="1"/>
        <v>14.770225335852324</v>
      </c>
      <c r="P11" s="465">
        <f t="shared" ca="1" si="2"/>
        <v>41.178120449988782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2" t="s">
        <v>18</v>
      </c>
      <c r="F12" s="40"/>
      <c r="G12" s="42"/>
      <c r="H12" s="43" t="s">
        <v>12</v>
      </c>
      <c r="I12" s="583"/>
      <c r="J12" s="583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2" t="s">
        <v>19</v>
      </c>
      <c r="F13" s="40"/>
      <c r="G13" s="42"/>
      <c r="H13" s="43" t="s">
        <v>12</v>
      </c>
      <c r="I13" s="583"/>
      <c r="J13" s="583"/>
      <c r="K13" s="93"/>
      <c r="L13" s="93">
        <f t="shared" ca="1" si="5"/>
        <v>4164628</v>
      </c>
      <c r="M13" s="93">
        <f t="shared" ca="1" si="5"/>
        <v>1493815</v>
      </c>
      <c r="N13" s="93">
        <f t="shared" ca="1" si="5"/>
        <v>615124.93999999994</v>
      </c>
      <c r="O13" s="93">
        <f t="shared" ca="1" si="1"/>
        <v>14.770225335852324</v>
      </c>
      <c r="P13" s="93">
        <f t="shared" ca="1" si="2"/>
        <v>41.178120449988782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589" t="s">
        <v>12</v>
      </c>
      <c r="I14" s="269"/>
      <c r="J14" s="269"/>
      <c r="K14" s="465"/>
      <c r="L14" s="465">
        <f t="shared" ref="L14:N14" ca="1" si="6">L15+L16</f>
        <v>203500</v>
      </c>
      <c r="M14" s="465">
        <f t="shared" ca="1" si="6"/>
        <v>203500</v>
      </c>
      <c r="N14" s="465">
        <f t="shared" ca="1" si="6"/>
        <v>94480</v>
      </c>
      <c r="O14" s="465">
        <f t="shared" ca="1" si="1"/>
        <v>46.427518427518429</v>
      </c>
      <c r="P14" s="465">
        <f t="shared" ca="1" si="2"/>
        <v>46.427518427518429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2" t="s">
        <v>18</v>
      </c>
      <c r="F15" s="40"/>
      <c r="G15" s="42"/>
      <c r="H15" s="43" t="s">
        <v>12</v>
      </c>
      <c r="I15" s="583"/>
      <c r="J15" s="583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203500</v>
      </c>
      <c r="M16" s="52">
        <f t="shared" ca="1" si="7"/>
        <v>203500</v>
      </c>
      <c r="N16" s="52">
        <f t="shared" ca="1" si="7"/>
        <v>94480</v>
      </c>
      <c r="O16" s="52">
        <f t="shared" ca="1" si="1"/>
        <v>46.427518427518429</v>
      </c>
      <c r="P16" s="52">
        <f t="shared" ca="1" si="2"/>
        <v>46.427518427518429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03" t="s">
        <v>22</v>
      </c>
      <c r="B17" s="797"/>
      <c r="C17" s="797"/>
      <c r="D17" s="797"/>
      <c r="E17" s="797"/>
      <c r="F17" s="797"/>
      <c r="G17" s="795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3106670</v>
      </c>
      <c r="M18" s="22">
        <f t="shared" ca="1" si="8"/>
        <v>1697315</v>
      </c>
      <c r="N18" s="22">
        <f t="shared" ca="1" si="8"/>
        <v>601814.74</v>
      </c>
      <c r="O18" s="22">
        <f t="shared" ref="O18:O26" ca="1" si="9">IF(L18&gt;0,N18*100/L18,0)</f>
        <v>19.371698313628418</v>
      </c>
      <c r="P18" s="22">
        <f t="shared" ref="P18:P26" ca="1" si="10">IF(M18&gt;0,N18*100/M18,0)</f>
        <v>35.456868053366641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3106670</v>
      </c>
      <c r="M20" s="30">
        <f t="shared" ca="1" si="11"/>
        <v>1697315</v>
      </c>
      <c r="N20" s="30">
        <f t="shared" ca="1" si="11"/>
        <v>601814.74</v>
      </c>
      <c r="O20" s="30">
        <f t="shared" ca="1" si="9"/>
        <v>19.371698313628418</v>
      </c>
      <c r="P20" s="30">
        <f t="shared" ca="1" si="10"/>
        <v>35.456868053366641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589" t="s">
        <v>12</v>
      </c>
      <c r="I21" s="269"/>
      <c r="J21" s="269"/>
      <c r="K21" s="465"/>
      <c r="L21" s="465">
        <f t="shared" ref="L21:N21" ca="1" si="12">L22+L23</f>
        <v>2903170</v>
      </c>
      <c r="M21" s="465">
        <f t="shared" ca="1" si="12"/>
        <v>1493815</v>
      </c>
      <c r="N21" s="465">
        <f t="shared" ca="1" si="12"/>
        <v>507334.74</v>
      </c>
      <c r="O21" s="465">
        <f t="shared" ca="1" si="9"/>
        <v>17.47519917882866</v>
      </c>
      <c r="P21" s="465">
        <f t="shared" ca="1" si="10"/>
        <v>33.962354106766902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2" t="s">
        <v>18</v>
      </c>
      <c r="F22" s="40"/>
      <c r="G22" s="42"/>
      <c r="H22" s="43" t="s">
        <v>12</v>
      </c>
      <c r="I22" s="583"/>
      <c r="J22" s="583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2" t="s">
        <v>19</v>
      </c>
      <c r="F23" s="40"/>
      <c r="G23" s="42"/>
      <c r="H23" s="43" t="s">
        <v>12</v>
      </c>
      <c r="I23" s="583"/>
      <c r="J23" s="583"/>
      <c r="K23" s="93"/>
      <c r="L23" s="93">
        <f t="shared" ca="1" si="13"/>
        <v>2903170</v>
      </c>
      <c r="M23" s="93">
        <f t="shared" ca="1" si="13"/>
        <v>1493815</v>
      </c>
      <c r="N23" s="93">
        <f t="shared" ca="1" si="13"/>
        <v>507334.74</v>
      </c>
      <c r="O23" s="93">
        <f t="shared" ca="1" si="9"/>
        <v>17.47519917882866</v>
      </c>
      <c r="P23" s="93">
        <f t="shared" ca="1" si="10"/>
        <v>33.962354106766902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589" t="s">
        <v>12</v>
      </c>
      <c r="I24" s="269"/>
      <c r="J24" s="269"/>
      <c r="K24" s="465"/>
      <c r="L24" s="465">
        <f t="shared" ref="L24:N24" ca="1" si="14">L25+L26</f>
        <v>203500</v>
      </c>
      <c r="M24" s="465">
        <f t="shared" ca="1" si="14"/>
        <v>203500</v>
      </c>
      <c r="N24" s="465">
        <f t="shared" ca="1" si="14"/>
        <v>94480</v>
      </c>
      <c r="O24" s="465">
        <f t="shared" ca="1" si="9"/>
        <v>46.427518427518429</v>
      </c>
      <c r="P24" s="465">
        <f t="shared" ca="1" si="10"/>
        <v>46.427518427518429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2" t="s">
        <v>18</v>
      </c>
      <c r="F25" s="40"/>
      <c r="G25" s="42"/>
      <c r="H25" s="43" t="s">
        <v>12</v>
      </c>
      <c r="I25" s="583"/>
      <c r="J25" s="583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203500</v>
      </c>
      <c r="M26" s="52">
        <f t="shared" ca="1" si="15"/>
        <v>203500</v>
      </c>
      <c r="N26" s="52">
        <f t="shared" ca="1" si="15"/>
        <v>94480</v>
      </c>
      <c r="O26" s="52">
        <f t="shared" ca="1" si="9"/>
        <v>46.427518427518429</v>
      </c>
      <c r="P26" s="52">
        <f t="shared" ca="1" si="10"/>
        <v>46.427518427518429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03" t="s">
        <v>23</v>
      </c>
      <c r="B27" s="797"/>
      <c r="C27" s="797"/>
      <c r="D27" s="797"/>
      <c r="E27" s="797"/>
      <c r="F27" s="797"/>
      <c r="G27" s="795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1261458</v>
      </c>
      <c r="M28" s="22">
        <f t="shared" si="16"/>
        <v>0</v>
      </c>
      <c r="N28" s="22">
        <f t="shared" si="16"/>
        <v>107790.2</v>
      </c>
      <c r="O28" s="22">
        <f t="shared" ref="O28:O37" ca="1" si="17">IF(L28&gt;0,N28*100/L28,0)</f>
        <v>8.5448901192112618</v>
      </c>
      <c r="P28" s="22">
        <f t="shared" ref="P28:P37" si="18">IF(M28&gt;0,N28*100/M28,0)</f>
        <v>0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1261458</v>
      </c>
      <c r="M30" s="30">
        <f t="shared" si="19"/>
        <v>0</v>
      </c>
      <c r="N30" s="30">
        <f t="shared" si="19"/>
        <v>107790.2</v>
      </c>
      <c r="O30" s="30">
        <f t="shared" ca="1" si="17"/>
        <v>8.5448901192112618</v>
      </c>
      <c r="P30" s="30">
        <f t="shared" si="18"/>
        <v>0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589" t="s">
        <v>12</v>
      </c>
      <c r="I31" s="269"/>
      <c r="J31" s="269"/>
      <c r="K31" s="465"/>
      <c r="L31" s="465">
        <f t="shared" ref="L31:N31" ca="1" si="20">L32+L33</f>
        <v>1261458</v>
      </c>
      <c r="M31" s="465">
        <f t="shared" si="20"/>
        <v>0</v>
      </c>
      <c r="N31" s="465">
        <f t="shared" si="20"/>
        <v>107790.2</v>
      </c>
      <c r="O31" s="465">
        <f t="shared" ca="1" si="17"/>
        <v>8.5448901192112618</v>
      </c>
      <c r="P31" s="465">
        <f t="shared" si="18"/>
        <v>0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2" t="s">
        <v>18</v>
      </c>
      <c r="F32" s="40"/>
      <c r="G32" s="42"/>
      <c r="H32" s="43" t="s">
        <v>12</v>
      </c>
      <c r="I32" s="583"/>
      <c r="J32" s="583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2" t="s">
        <v>19</v>
      </c>
      <c r="F33" s="40"/>
      <c r="G33" s="42"/>
      <c r="H33" s="43" t="s">
        <v>12</v>
      </c>
      <c r="I33" s="583"/>
      <c r="J33" s="583"/>
      <c r="K33" s="93"/>
      <c r="L33" s="93">
        <f t="shared" ca="1" si="21"/>
        <v>1261458</v>
      </c>
      <c r="M33" s="93">
        <f t="shared" si="21"/>
        <v>0</v>
      </c>
      <c r="N33" s="93">
        <f t="shared" si="21"/>
        <v>107790.2</v>
      </c>
      <c r="O33" s="93">
        <f t="shared" ca="1" si="17"/>
        <v>8.5448901192112618</v>
      </c>
      <c r="P33" s="93">
        <f t="shared" si="18"/>
        <v>0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589" t="s">
        <v>12</v>
      </c>
      <c r="I34" s="269"/>
      <c r="J34" s="269"/>
      <c r="K34" s="465"/>
      <c r="L34" s="465">
        <f t="shared" ref="L34:N34" ca="1" si="22">L35+L36</f>
        <v>0</v>
      </c>
      <c r="M34" s="465">
        <f t="shared" si="22"/>
        <v>0</v>
      </c>
      <c r="N34" s="465">
        <f t="shared" si="22"/>
        <v>0</v>
      </c>
      <c r="O34" s="465">
        <f t="shared" ca="1" si="17"/>
        <v>0</v>
      </c>
      <c r="P34" s="465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2" t="s">
        <v>18</v>
      </c>
      <c r="F35" s="40"/>
      <c r="G35" s="42"/>
      <c r="H35" s="43" t="s">
        <v>12</v>
      </c>
      <c r="I35" s="583"/>
      <c r="J35" s="583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53" t="s">
        <v>24</v>
      </c>
      <c r="B37" s="54"/>
      <c r="C37" s="54"/>
      <c r="D37" s="54"/>
      <c r="E37" s="54"/>
      <c r="F37" s="54"/>
      <c r="G37" s="55"/>
      <c r="H37" s="56"/>
      <c r="I37" s="392"/>
      <c r="J37" s="392"/>
      <c r="K37" s="58"/>
      <c r="L37" s="59">
        <f t="shared" ref="L37:N37" ca="1" si="24">L41+L53+L66+L88+L119+L132+L149+L165+L181+L261+L277+L298+L315+L328+L345+L389+L402</f>
        <v>3106670</v>
      </c>
      <c r="M37" s="59">
        <f t="shared" ca="1" si="24"/>
        <v>1697315</v>
      </c>
      <c r="N37" s="59">
        <f t="shared" ca="1" si="24"/>
        <v>601814.74</v>
      </c>
      <c r="O37" s="59">
        <f t="shared" ca="1" si="17"/>
        <v>19.371698313628418</v>
      </c>
      <c r="P37" s="59">
        <f t="shared" ca="1" si="18"/>
        <v>35.456868053366641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04" t="s">
        <v>27</v>
      </c>
      <c r="C40" s="805"/>
      <c r="D40" s="805"/>
      <c r="E40" s="805"/>
      <c r="F40" s="805"/>
      <c r="G40" s="806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15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405400</v>
      </c>
      <c r="M41" s="85">
        <f t="shared" ca="1" si="25"/>
        <v>205400</v>
      </c>
      <c r="N41" s="85">
        <f t="shared" ca="1" si="25"/>
        <v>67000</v>
      </c>
      <c r="O41" s="85">
        <f t="shared" ref="O41:O49" ca="1" si="26">IF(L41&gt;0,N41*100/L41,0)</f>
        <v>16.526887025160335</v>
      </c>
      <c r="P41" s="85">
        <f t="shared" ref="P41:P49" ca="1" si="27">IF(M41&gt;0,N41*100/M41,0)</f>
        <v>32.619279454722495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405400</v>
      </c>
      <c r="M43" s="92">
        <f t="shared" ca="1" si="28"/>
        <v>205400</v>
      </c>
      <c r="N43" s="92">
        <f t="shared" ca="1" si="28"/>
        <v>67000</v>
      </c>
      <c r="O43" s="92">
        <f t="shared" ca="1" si="26"/>
        <v>16.526887025160335</v>
      </c>
      <c r="P43" s="92">
        <f t="shared" ca="1" si="27"/>
        <v>32.619279454722495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589" t="s">
        <v>12</v>
      </c>
      <c r="I44" s="269"/>
      <c r="J44" s="269"/>
      <c r="K44" s="465"/>
      <c r="L44" s="465">
        <f t="shared" ref="L44:N44" ca="1" si="29">L45+L46</f>
        <v>405400</v>
      </c>
      <c r="M44" s="465">
        <f t="shared" ca="1" si="29"/>
        <v>205400</v>
      </c>
      <c r="N44" s="465">
        <f t="shared" ca="1" si="29"/>
        <v>67000</v>
      </c>
      <c r="O44" s="465">
        <f t="shared" ca="1" si="26"/>
        <v>16.526887025160335</v>
      </c>
      <c r="P44" s="465">
        <f t="shared" ca="1" si="27"/>
        <v>32.619279454722495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2" t="s">
        <v>18</v>
      </c>
      <c r="F45" s="40"/>
      <c r="G45" s="42"/>
      <c r="H45" s="43" t="s">
        <v>12</v>
      </c>
      <c r="I45" s="583"/>
      <c r="J45" s="583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2" t="s">
        <v>19</v>
      </c>
      <c r="F46" s="40"/>
      <c r="G46" s="42"/>
      <c r="H46" s="43" t="s">
        <v>12</v>
      </c>
      <c r="I46" s="583"/>
      <c r="J46" s="583"/>
      <c r="K46" s="93"/>
      <c r="L46" s="93">
        <f ca="1">IFERROR(__xludf.DUMMYFUNCTION("IMPORTRANGE(""https://docs.google.com/spreadsheets/d/1MeEWN-I1oV_STSDYn1IFDPWt_1FKiwhDph83XaGc0o0/edit?usp=sharing"",""งบพรบ!M17"")"),405400)</f>
        <v>405400</v>
      </c>
      <c r="M46" s="93">
        <f ca="1">IFERROR(__xludf.DUMMYFUNCTION("IMPORTRANGE(""https://docs.google.com/spreadsheets/d/1MeEWN-I1oV_STSDYn1IFDPWt_1FKiwhDph83XaGc0o0/edit?usp=sharing"",""งบพรบ!R17"")"),205400)</f>
        <v>205400</v>
      </c>
      <c r="N46" s="93">
        <f ca="1">IFERROR(__xludf.DUMMYFUNCTION("IMPORTRANGE(""https://docs.google.com/spreadsheets/d/1MeEWN-I1oV_STSDYn1IFDPWt_1FKiwhDph83XaGc0o0/edit?usp=sharing"",""งบพรบ!T17"")"),67000)</f>
        <v>67000</v>
      </c>
      <c r="O46" s="93">
        <f t="shared" ca="1" si="26"/>
        <v>16.526887025160335</v>
      </c>
      <c r="P46" s="93">
        <f t="shared" ca="1" si="27"/>
        <v>32.619279454722495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589" t="s">
        <v>12</v>
      </c>
      <c r="I47" s="269"/>
      <c r="J47" s="269"/>
      <c r="K47" s="465"/>
      <c r="L47" s="465">
        <f t="shared" ref="L47:N47" ca="1" si="30">L48+L49</f>
        <v>0</v>
      </c>
      <c r="M47" s="465">
        <f t="shared" ca="1" si="30"/>
        <v>0</v>
      </c>
      <c r="N47" s="465">
        <f t="shared" ca="1" si="30"/>
        <v>0</v>
      </c>
      <c r="O47" s="465">
        <f t="shared" ca="1" si="26"/>
        <v>0</v>
      </c>
      <c r="P47" s="465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2" t="s">
        <v>18</v>
      </c>
      <c r="F48" s="40"/>
      <c r="G48" s="42"/>
      <c r="H48" s="43" t="s">
        <v>12</v>
      </c>
      <c r="I48" s="583"/>
      <c r="J48" s="583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IFERROR(__xludf.DUMMYFUNCTION("IMPORTRANGE(""https://docs.google.com/spreadsheets/d/1MeEWN-I1oV_STSDYn1IFDPWt_1FKiwhDph83XaGc0o0/edit?usp=sharing"",""งบพรบ!P17"")"),0)</f>
        <v>0</v>
      </c>
      <c r="M49" s="52">
        <f ca="1">IFERROR(__xludf.DUMMYFUNCTION("IMPORTRANGE(""https://docs.google.com/spreadsheets/d/1MeEWN-I1oV_STSDYn1IFDPWt_1FKiwhDph83XaGc0o0/edit?usp=sharing"",""งบพรบ!S17"")"),0)</f>
        <v>0</v>
      </c>
      <c r="N49" s="52">
        <f ca="1">IFERROR(__xludf.DUMMYFUNCTION("IMPORTRANGE(""https://docs.google.com/spreadsheets/d/1MeEWN-I1oV_STSDYn1IFDPWt_1FKiwhDph83XaGc0o0/edit?usp=sharing"",""งบพรบ!U17"")"),0)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07" t="s">
        <v>28</v>
      </c>
      <c r="B50" s="797"/>
      <c r="C50" s="797"/>
      <c r="D50" s="797"/>
      <c r="E50" s="797"/>
      <c r="F50" s="797"/>
      <c r="G50" s="795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08" t="s">
        <v>29</v>
      </c>
      <c r="C51" s="805"/>
      <c r="D51" s="805"/>
      <c r="E51" s="805"/>
      <c r="F51" s="805"/>
      <c r="G51" s="806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16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724500</v>
      </c>
      <c r="M53" s="116">
        <f t="shared" ca="1" si="31"/>
        <v>376200</v>
      </c>
      <c r="N53" s="116">
        <f t="shared" ca="1" si="31"/>
        <v>189612.74</v>
      </c>
      <c r="O53" s="116">
        <f t="shared" ref="O53:O61" ca="1" si="32">IF(L53&gt;0,N53*100/L53,0)</f>
        <v>26.171530710835057</v>
      </c>
      <c r="P53" s="116">
        <f t="shared" ref="P53:P61" ca="1" si="33">IF(M53&gt;0,N53*100/M53,0)</f>
        <v>50.402110579479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724500</v>
      </c>
      <c r="M55" s="123">
        <f t="shared" ca="1" si="34"/>
        <v>376200</v>
      </c>
      <c r="N55" s="123">
        <f t="shared" ca="1" si="34"/>
        <v>189612.74</v>
      </c>
      <c r="O55" s="123">
        <f t="shared" ca="1" si="32"/>
        <v>26.171530710835057</v>
      </c>
      <c r="P55" s="123">
        <f t="shared" ca="1" si="33"/>
        <v>50.402110579479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589" t="s">
        <v>12</v>
      </c>
      <c r="I56" s="269"/>
      <c r="J56" s="269"/>
      <c r="K56" s="465"/>
      <c r="L56" s="465">
        <f t="shared" ref="L56:N56" ca="1" si="35">L57+L58</f>
        <v>696600</v>
      </c>
      <c r="M56" s="465">
        <f t="shared" ca="1" si="35"/>
        <v>348300</v>
      </c>
      <c r="N56" s="465">
        <f t="shared" ca="1" si="35"/>
        <v>166712.74</v>
      </c>
      <c r="O56" s="465">
        <f t="shared" ca="1" si="32"/>
        <v>23.932348550100489</v>
      </c>
      <c r="P56" s="465">
        <f t="shared" ca="1" si="33"/>
        <v>47.864697100200978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2" t="s">
        <v>18</v>
      </c>
      <c r="F57" s="40"/>
      <c r="G57" s="42"/>
      <c r="H57" s="43" t="s">
        <v>12</v>
      </c>
      <c r="I57" s="583"/>
      <c r="J57" s="583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2" t="s">
        <v>19</v>
      </c>
      <c r="F58" s="40"/>
      <c r="G58" s="42"/>
      <c r="H58" s="43" t="s">
        <v>12</v>
      </c>
      <c r="I58" s="583"/>
      <c r="J58" s="583"/>
      <c r="K58" s="93"/>
      <c r="L58" s="93">
        <f ca="1">IFERROR(__xludf.DUMMYFUNCTION("IMPORTRANGE(""https://docs.google.com/spreadsheets/d/1MeEWN-I1oV_STSDYn1IFDPWt_1FKiwhDph83XaGc0o0/edit?usp=sharing"",""งบพรบ!W17"")"),696600)</f>
        <v>696600</v>
      </c>
      <c r="M58" s="93">
        <f ca="1">IFERROR(__xludf.DUMMYFUNCTION("IMPORTRANGE(""https://docs.google.com/spreadsheets/d/1MeEWN-I1oV_STSDYn1IFDPWt_1FKiwhDph83XaGc0o0/edit?usp=sharing"",""งบพรบ!AB17"")"),348300)</f>
        <v>348300</v>
      </c>
      <c r="N58" s="93">
        <f ca="1">IFERROR(__xludf.DUMMYFUNCTION("IMPORTRANGE(""https://docs.google.com/spreadsheets/d/1MeEWN-I1oV_STSDYn1IFDPWt_1FKiwhDph83XaGc0o0/edit?usp=sharing"",""งบพรบ!AD17"")"),166712.74)</f>
        <v>166712.74</v>
      </c>
      <c r="O58" s="93">
        <f t="shared" ca="1" si="32"/>
        <v>23.932348550100489</v>
      </c>
      <c r="P58" s="93">
        <f t="shared" ca="1" si="33"/>
        <v>47.864697100200978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589" t="s">
        <v>12</v>
      </c>
      <c r="I59" s="269"/>
      <c r="J59" s="269"/>
      <c r="K59" s="465"/>
      <c r="L59" s="465">
        <f t="shared" ref="L59:N59" ca="1" si="36">L60+L61</f>
        <v>27900</v>
      </c>
      <c r="M59" s="465">
        <f t="shared" ca="1" si="36"/>
        <v>27900</v>
      </c>
      <c r="N59" s="465">
        <f t="shared" ca="1" si="36"/>
        <v>22900</v>
      </c>
      <c r="O59" s="465">
        <f t="shared" ca="1" si="32"/>
        <v>82.078853046594986</v>
      </c>
      <c r="P59" s="465">
        <f t="shared" ca="1" si="33"/>
        <v>82.078853046594986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2" t="s">
        <v>18</v>
      </c>
      <c r="F60" s="40"/>
      <c r="G60" s="42"/>
      <c r="H60" s="43" t="s">
        <v>12</v>
      </c>
      <c r="I60" s="583"/>
      <c r="J60" s="583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IFERROR(__xludf.DUMMYFUNCTION("IMPORTRANGE(""https://docs.google.com/spreadsheets/d/1MeEWN-I1oV_STSDYn1IFDPWt_1FKiwhDph83XaGc0o0/edit?usp=sharing"",""งบพรบ!Z17"")"),27900)</f>
        <v>27900</v>
      </c>
      <c r="M61" s="52">
        <f ca="1">IFERROR(__xludf.DUMMYFUNCTION("IMPORTRANGE(""https://docs.google.com/spreadsheets/d/1MeEWN-I1oV_STSDYn1IFDPWt_1FKiwhDph83XaGc0o0/edit?usp=sharing"",""งบพรบ!AC17"")"),27900)</f>
        <v>27900</v>
      </c>
      <c r="N61" s="52">
        <f ca="1">IFERROR(__xludf.DUMMYFUNCTION("IMPORTRANGE(""https://docs.google.com/spreadsheets/d/1MeEWN-I1oV_STSDYn1IFDPWt_1FKiwhDph83XaGc0o0/edit?usp=sharing"",""งบพรบ!AE17"")"),22900)</f>
        <v>22900</v>
      </c>
      <c r="O61" s="52">
        <f t="shared" ca="1" si="32"/>
        <v>82.078853046594986</v>
      </c>
      <c r="P61" s="52">
        <f t="shared" ca="1" si="33"/>
        <v>82.078853046594986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 hidden="1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 hidden="1">
      <c r="A64" s="138"/>
      <c r="B64" s="208" t="s">
        <v>33</v>
      </c>
      <c r="C64" s="140"/>
      <c r="D64" s="141"/>
      <c r="E64" s="140"/>
      <c r="F64" s="140"/>
      <c r="G64" s="142"/>
      <c r="H64" s="143" t="s">
        <v>34</v>
      </c>
      <c r="I64" s="144">
        <f t="shared" ref="I64:J65" ca="1" si="37">I76</f>
        <v>0</v>
      </c>
      <c r="J64" s="144">
        <f t="shared" si="37"/>
        <v>0</v>
      </c>
      <c r="K64" s="145">
        <f t="shared" ref="K64:K65" ca="1" si="38">IF(I64&gt;0,J64*100/I64,0)</f>
        <v>0</v>
      </c>
      <c r="L64" s="146"/>
      <c r="M64" s="146"/>
      <c r="N64" s="146"/>
      <c r="O64" s="146"/>
      <c r="P64" s="146"/>
    </row>
    <row r="65" spans="1:26" ht="19.5" hidden="1">
      <c r="A65" s="138"/>
      <c r="B65" s="140"/>
      <c r="C65" s="140"/>
      <c r="D65" s="141"/>
      <c r="E65" s="140"/>
      <c r="F65" s="140"/>
      <c r="G65" s="142"/>
      <c r="H65" s="143" t="s">
        <v>35</v>
      </c>
      <c r="I65" s="144">
        <f t="shared" ca="1" si="37"/>
        <v>0</v>
      </c>
      <c r="J65" s="144">
        <f t="shared" si="37"/>
        <v>0</v>
      </c>
      <c r="K65" s="145">
        <f t="shared" ca="1" si="38"/>
        <v>0</v>
      </c>
      <c r="L65" s="146"/>
      <c r="M65" s="146"/>
      <c r="N65" s="146"/>
      <c r="O65" s="146"/>
      <c r="P65" s="146"/>
    </row>
    <row r="66" spans="1:26" ht="19.5" hidden="1">
      <c r="A66" s="147"/>
      <c r="B66" s="148"/>
      <c r="C66" s="149" t="s">
        <v>16</v>
      </c>
      <c r="D66" s="817" t="s">
        <v>17</v>
      </c>
      <c r="E66" s="148"/>
      <c r="F66" s="148"/>
      <c r="G66" s="151"/>
      <c r="H66" s="152" t="s">
        <v>12</v>
      </c>
      <c r="I66" s="388"/>
      <c r="J66" s="388"/>
      <c r="K66" s="154"/>
      <c r="L66" s="155">
        <f t="shared" ref="L66:N66" ca="1" si="39">L67+L68</f>
        <v>0</v>
      </c>
      <c r="M66" s="155">
        <f t="shared" ca="1" si="39"/>
        <v>0</v>
      </c>
      <c r="N66" s="155">
        <f t="shared" ca="1" si="39"/>
        <v>0</v>
      </c>
      <c r="O66" s="155">
        <f t="shared" ref="O66:O74" ca="1" si="40">IF(L66&gt;0,N66*100/L66,0)</f>
        <v>0</v>
      </c>
      <c r="P66" s="155">
        <f t="shared" ref="P66:P74" ca="1" si="41">IF(M66&gt;0,N66*100/M66,0)</f>
        <v>0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2" t="s">
        <v>18</v>
      </c>
      <c r="F67" s="40"/>
      <c r="G67" s="157"/>
      <c r="H67" s="158" t="s">
        <v>12</v>
      </c>
      <c r="I67" s="583"/>
      <c r="J67" s="583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2" t="s">
        <v>19</v>
      </c>
      <c r="F68" s="40"/>
      <c r="G68" s="157"/>
      <c r="H68" s="158" t="s">
        <v>12</v>
      </c>
      <c r="I68" s="583"/>
      <c r="J68" s="583"/>
      <c r="K68" s="93"/>
      <c r="L68" s="93">
        <f t="shared" ca="1" si="42"/>
        <v>0</v>
      </c>
      <c r="M68" s="93">
        <f t="shared" ca="1" si="42"/>
        <v>0</v>
      </c>
      <c r="N68" s="93">
        <f t="shared" ca="1" si="42"/>
        <v>0</v>
      </c>
      <c r="O68" s="93">
        <f t="shared" ca="1" si="40"/>
        <v>0</v>
      </c>
      <c r="P68" s="93">
        <f t="shared" ca="1" si="41"/>
        <v>0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 hidden="1">
      <c r="A69" s="159"/>
      <c r="B69" s="33"/>
      <c r="C69" s="281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65">
        <f t="shared" ref="L69:N69" ca="1" si="43">L70+L71</f>
        <v>0</v>
      </c>
      <c r="M69" s="465">
        <f t="shared" ca="1" si="43"/>
        <v>0</v>
      </c>
      <c r="N69" s="465">
        <f t="shared" ca="1" si="43"/>
        <v>0</v>
      </c>
      <c r="O69" s="465">
        <f t="shared" ca="1" si="40"/>
        <v>0</v>
      </c>
      <c r="P69" s="465">
        <f t="shared" ca="1" si="41"/>
        <v>0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2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2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IFERROR(__xludf.DUMMYFUNCTION("IMPORTRANGE(""https://docs.google.com/spreadsheets/d/1MeEWN-I1oV_STSDYn1IFDPWt_1FKiwhDph83XaGc0o0/edit?usp=sharing"",""งบพรบ!AG17"")"),0)</f>
        <v>0</v>
      </c>
      <c r="M71" s="93">
        <f ca="1">IFERROR(__xludf.DUMMYFUNCTION("IMPORTRANGE(""https://docs.google.com/spreadsheets/d/1MeEWN-I1oV_STSDYn1IFDPWt_1FKiwhDph83XaGc0o0/edit?usp=sharing"",""งบพรบ!AL17"")"),0)</f>
        <v>0</v>
      </c>
      <c r="N71" s="93">
        <f ca="1">IFERROR(__xludf.DUMMYFUNCTION("IMPORTRANGE(""https://docs.google.com/spreadsheets/d/1MeEWN-I1oV_STSDYn1IFDPWt_1FKiwhDph83XaGc0o0/edit?usp=sharing"",""งบพรบ!AN17"")"),0)</f>
        <v>0</v>
      </c>
      <c r="O71" s="93">
        <f t="shared" ca="1" si="40"/>
        <v>0</v>
      </c>
      <c r="P71" s="93">
        <f t="shared" ca="1" si="41"/>
        <v>0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 hidden="1">
      <c r="A72" s="159"/>
      <c r="B72" s="33"/>
      <c r="C72" s="281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65">
        <f t="shared" ref="L72:N72" ca="1" si="44">L73+L74</f>
        <v>0</v>
      </c>
      <c r="M72" s="465">
        <f t="shared" ca="1" si="44"/>
        <v>0</v>
      </c>
      <c r="N72" s="465">
        <f t="shared" ca="1" si="44"/>
        <v>0</v>
      </c>
      <c r="O72" s="465">
        <f t="shared" ca="1" si="40"/>
        <v>0</v>
      </c>
      <c r="P72" s="465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2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2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IFERROR(__xludf.DUMMYFUNCTION("IMPORTRANGE(""https://docs.google.com/spreadsheets/d/1MeEWN-I1oV_STSDYn1IFDPWt_1FKiwhDph83XaGc0o0/edit?usp=sharing"",""งบพรบ!AJ17"")"),0)</f>
        <v>0</v>
      </c>
      <c r="M74" s="93">
        <f ca="1">IFERROR(__xludf.DUMMYFUNCTION("IMPORTRANGE(""https://docs.google.com/spreadsheets/d/1MeEWN-I1oV_STSDYn1IFDPWt_1FKiwhDph83XaGc0o0/edit?usp=sharing"",""งบพรบ!AM17"")"),0)</f>
        <v>0</v>
      </c>
      <c r="N74" s="93">
        <f ca="1">IFERROR(__xludf.DUMMYFUNCTION("IMPORTRANGE(""https://docs.google.com/spreadsheets/d/1MeEWN-I1oV_STSDYn1IFDPWt_1FKiwhDph83XaGc0o0/edit?usp=sharing"",""งบพรบ!AO17"")"),0)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 hidden="1">
      <c r="A75" s="170"/>
      <c r="B75" s="171"/>
      <c r="C75" s="164" t="s">
        <v>16</v>
      </c>
      <c r="D75" s="818" t="s">
        <v>38</v>
      </c>
      <c r="E75" s="173"/>
      <c r="F75" s="173"/>
      <c r="G75" s="174"/>
      <c r="H75" s="726"/>
      <c r="I75" s="184"/>
      <c r="J75" s="184"/>
      <c r="K75" s="163"/>
      <c r="L75" s="163"/>
      <c r="M75" s="163"/>
      <c r="N75" s="163"/>
      <c r="O75" s="163"/>
      <c r="P75" s="163"/>
    </row>
    <row r="76" spans="1:26" ht="19.5" hidden="1">
      <c r="A76" s="170"/>
      <c r="B76" s="171"/>
      <c r="C76" s="171"/>
      <c r="D76" s="343" t="s">
        <v>39</v>
      </c>
      <c r="E76" s="415"/>
      <c r="F76" s="342"/>
      <c r="G76" s="179"/>
      <c r="H76" s="180" t="s">
        <v>34</v>
      </c>
      <c r="I76" s="269">
        <f t="shared" ref="I76:J77" ca="1" si="45">I78+I80+I82</f>
        <v>0</v>
      </c>
      <c r="J76" s="269">
        <f t="shared" si="45"/>
        <v>0</v>
      </c>
      <c r="K76" s="163">
        <f t="shared" ref="K76:K84" ca="1" si="46">IF(I76&gt;0,J76*100/I76,0)</f>
        <v>0</v>
      </c>
      <c r="L76" s="163"/>
      <c r="M76" s="163"/>
      <c r="N76" s="163"/>
      <c r="O76" s="163"/>
      <c r="P76" s="163"/>
    </row>
    <row r="77" spans="1:26" ht="19.5" hidden="1">
      <c r="A77" s="170"/>
      <c r="B77" s="171"/>
      <c r="C77" s="171"/>
      <c r="D77" s="171"/>
      <c r="E77" s="342"/>
      <c r="F77" s="342"/>
      <c r="G77" s="179"/>
      <c r="H77" s="180" t="s">
        <v>35</v>
      </c>
      <c r="I77" s="269">
        <f t="shared" ca="1" si="45"/>
        <v>0</v>
      </c>
      <c r="J77" s="269">
        <f t="shared" si="45"/>
        <v>0</v>
      </c>
      <c r="K77" s="163">
        <f t="shared" ca="1" si="46"/>
        <v>0</v>
      </c>
      <c r="L77" s="163"/>
      <c r="M77" s="163"/>
      <c r="N77" s="163"/>
      <c r="O77" s="163"/>
      <c r="P77" s="163"/>
    </row>
    <row r="78" spans="1:26" ht="18.75" hidden="1">
      <c r="A78" s="170"/>
      <c r="B78" s="171"/>
      <c r="C78" s="171"/>
      <c r="D78" s="171"/>
      <c r="E78" s="415" t="s">
        <v>40</v>
      </c>
      <c r="F78" s="415"/>
      <c r="G78" s="179"/>
      <c r="H78" s="728" t="s">
        <v>34</v>
      </c>
      <c r="I78" s="184">
        <f ca="1">IFERROR(__xludf.DUMMYFUNCTION("IMPORTRANGE(""https://docs.google.com/spreadsheets/d/1QqKyyYR6Q21VydFLVH3TRQUabQu_ym0Zz7PgGX0-kHA/edit?usp=sharing"",""แผน!H17"")"),0)</f>
        <v>0</v>
      </c>
      <c r="J78" s="214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 hidden="1">
      <c r="A79" s="170"/>
      <c r="B79" s="171"/>
      <c r="C79" s="171"/>
      <c r="D79" s="171"/>
      <c r="E79" s="342"/>
      <c r="F79" s="342"/>
      <c r="G79" s="179"/>
      <c r="H79" s="728" t="s">
        <v>35</v>
      </c>
      <c r="I79" s="184">
        <f ca="1">IFERROR(__xludf.DUMMYFUNCTION("IMPORTRANGE(""https://docs.google.com/spreadsheets/d/1QqKyyYR6Q21VydFLVH3TRQUabQu_ym0Zz7PgGX0-kHA/edit?usp=sharing"",""แผน!I17"")"),0)</f>
        <v>0</v>
      </c>
      <c r="J79" s="214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 hidden="1">
      <c r="A80" s="170"/>
      <c r="B80" s="171"/>
      <c r="C80" s="171"/>
      <c r="D80" s="171"/>
      <c r="E80" s="415" t="s">
        <v>41</v>
      </c>
      <c r="F80" s="415"/>
      <c r="G80" s="179"/>
      <c r="H80" s="728" t="s">
        <v>34</v>
      </c>
      <c r="I80" s="184">
        <f ca="1">IFERROR(__xludf.DUMMYFUNCTION("IMPORTRANGE(""https://docs.google.com/spreadsheets/d/1QqKyyYR6Q21VydFLVH3TRQUabQu_ym0Zz7PgGX0-kHA/edit?usp=sharing"",""แผน!F17"")"),0)</f>
        <v>0</v>
      </c>
      <c r="J80" s="214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 hidden="1">
      <c r="A81" s="170"/>
      <c r="B81" s="171"/>
      <c r="C81" s="171"/>
      <c r="D81" s="171"/>
      <c r="E81" s="342"/>
      <c r="F81" s="342"/>
      <c r="G81" s="179"/>
      <c r="H81" s="728" t="s">
        <v>35</v>
      </c>
      <c r="I81" s="184">
        <f ca="1">IFERROR(__xludf.DUMMYFUNCTION("IMPORTRANGE(""https://docs.google.com/spreadsheets/d/1QqKyyYR6Q21VydFLVH3TRQUabQu_ym0Zz7PgGX0-kHA/edit?usp=sharing"",""แผน!G17"")"),0)</f>
        <v>0</v>
      </c>
      <c r="J81" s="214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 hidden="1">
      <c r="A82" s="170"/>
      <c r="B82" s="171"/>
      <c r="C82" s="171"/>
      <c r="D82" s="171"/>
      <c r="E82" s="415" t="s">
        <v>42</v>
      </c>
      <c r="F82" s="415"/>
      <c r="G82" s="179"/>
      <c r="H82" s="728" t="s">
        <v>34</v>
      </c>
      <c r="I82" s="184">
        <f ca="1">IFERROR(__xludf.DUMMYFUNCTION("IMPORTRANGE(""https://docs.google.com/spreadsheets/d/1QqKyyYR6Q21VydFLVH3TRQUabQu_ym0Zz7PgGX0-kHA/edit?usp=sharing"",""แผน!D17"")"),0)</f>
        <v>0</v>
      </c>
      <c r="J82" s="214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 hidden="1">
      <c r="A83" s="170"/>
      <c r="B83" s="171"/>
      <c r="C83" s="171"/>
      <c r="D83" s="171"/>
      <c r="E83" s="342"/>
      <c r="F83" s="342"/>
      <c r="G83" s="179"/>
      <c r="H83" s="728" t="s">
        <v>35</v>
      </c>
      <c r="I83" s="184">
        <f ca="1">IFERROR(__xludf.DUMMYFUNCTION("IMPORTRANGE(""https://docs.google.com/spreadsheets/d/1QqKyyYR6Q21VydFLVH3TRQUabQu_ym0Zz7PgGX0-kHA/edit?usp=sharing"",""แผน!E17"")"),0)</f>
        <v>0</v>
      </c>
      <c r="J83" s="214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 hidden="1">
      <c r="A84" s="170"/>
      <c r="B84" s="171"/>
      <c r="C84" s="171"/>
      <c r="D84" s="343" t="s">
        <v>43</v>
      </c>
      <c r="E84" s="415"/>
      <c r="F84" s="342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IFERROR(__xludf.DUMMYFUNCTION("IMPORTRANGE(""https://docs.google.com/spreadsheets/d/1QqKyyYR6Q21VydFLVH3TRQUabQu_ym0Zz7PgGX0-kHA/edit?usp=sharing"",""แผน!J17"")"),0)</f>
        <v>0</v>
      </c>
      <c r="J84" s="214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8" t="s">
        <v>45</v>
      </c>
      <c r="C86" s="140"/>
      <c r="D86" s="141"/>
      <c r="E86" s="140"/>
      <c r="F86" s="140"/>
      <c r="G86" s="142"/>
      <c r="H86" s="143" t="s">
        <v>46</v>
      </c>
      <c r="I86" s="144">
        <f t="shared" ref="I86:J87" ca="1" si="47">I98</f>
        <v>30</v>
      </c>
      <c r="J86" s="144">
        <f t="shared" si="47"/>
        <v>0</v>
      </c>
      <c r="K86" s="145">
        <f t="shared" ref="K86:K87" ca="1" si="48">IF(I86&gt;0,J86*100/I86,0)</f>
        <v>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143" t="s">
        <v>35</v>
      </c>
      <c r="I87" s="144">
        <f t="shared" ca="1" si="47"/>
        <v>10</v>
      </c>
      <c r="J87" s="144">
        <f t="shared" si="47"/>
        <v>0</v>
      </c>
      <c r="K87" s="145">
        <f t="shared" ca="1" si="48"/>
        <v>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17" t="s">
        <v>17</v>
      </c>
      <c r="E88" s="148"/>
      <c r="F88" s="148"/>
      <c r="G88" s="151"/>
      <c r="H88" s="152" t="s">
        <v>12</v>
      </c>
      <c r="I88" s="388"/>
      <c r="J88" s="388"/>
      <c r="K88" s="154"/>
      <c r="L88" s="155">
        <f t="shared" ref="L88:N88" ca="1" si="49">L89+L90</f>
        <v>56040</v>
      </c>
      <c r="M88" s="155">
        <f t="shared" ca="1" si="49"/>
        <v>49590</v>
      </c>
      <c r="N88" s="155">
        <f t="shared" ca="1" si="49"/>
        <v>0</v>
      </c>
      <c r="O88" s="155">
        <f t="shared" ref="O88:O96" ca="1" si="50">IF(L88&gt;0,N88*100/L88,0)</f>
        <v>0</v>
      </c>
      <c r="P88" s="155">
        <f t="shared" ref="P88:P96" ca="1" si="51">IF(M88&gt;0,N88*100/M88,0)</f>
        <v>0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2" t="s">
        <v>18</v>
      </c>
      <c r="F89" s="40"/>
      <c r="G89" s="157"/>
      <c r="H89" s="158" t="s">
        <v>12</v>
      </c>
      <c r="I89" s="583"/>
      <c r="J89" s="583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2" t="s">
        <v>19</v>
      </c>
      <c r="F90" s="40"/>
      <c r="G90" s="157"/>
      <c r="H90" s="158" t="s">
        <v>12</v>
      </c>
      <c r="I90" s="583"/>
      <c r="J90" s="583"/>
      <c r="K90" s="93"/>
      <c r="L90" s="93">
        <f t="shared" ca="1" si="52"/>
        <v>56040</v>
      </c>
      <c r="M90" s="93">
        <f t="shared" ca="1" si="52"/>
        <v>49590</v>
      </c>
      <c r="N90" s="93">
        <f t="shared" ca="1" si="52"/>
        <v>0</v>
      </c>
      <c r="O90" s="93">
        <f t="shared" ca="1" si="50"/>
        <v>0</v>
      </c>
      <c r="P90" s="93">
        <f t="shared" ca="1" si="51"/>
        <v>0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1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65">
        <f t="shared" ref="L91:N91" ca="1" si="53">L92+L93</f>
        <v>56040</v>
      </c>
      <c r="M91" s="465">
        <f t="shared" ca="1" si="53"/>
        <v>49590</v>
      </c>
      <c r="N91" s="465">
        <f t="shared" ca="1" si="53"/>
        <v>0</v>
      </c>
      <c r="O91" s="465">
        <f t="shared" ca="1" si="50"/>
        <v>0</v>
      </c>
      <c r="P91" s="465">
        <f t="shared" ca="1" si="51"/>
        <v>0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2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2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IFERROR(__xludf.DUMMYFUNCTION("IMPORTRANGE(""https://docs.google.com/spreadsheets/d/1MeEWN-I1oV_STSDYn1IFDPWt_1FKiwhDph83XaGc0o0/edit?usp=sharing"",""งบพรบ!AQ17"")"),56040)</f>
        <v>56040</v>
      </c>
      <c r="M93" s="93">
        <f ca="1">IFERROR(__xludf.DUMMYFUNCTION("IMPORTRANGE(""https://docs.google.com/spreadsheets/d/1MeEWN-I1oV_STSDYn1IFDPWt_1FKiwhDph83XaGc0o0/edit?usp=sharing"",""งบพรบ!AV17"")"),49590)</f>
        <v>49590</v>
      </c>
      <c r="N93" s="93">
        <f ca="1">IFERROR(__xludf.DUMMYFUNCTION("IMPORTRANGE(""https://docs.google.com/spreadsheets/d/1MeEWN-I1oV_STSDYn1IFDPWt_1FKiwhDph83XaGc0o0/edit?usp=sharing"",""งบพรบ!AX17"")"),0)</f>
        <v>0</v>
      </c>
      <c r="O93" s="93">
        <f t="shared" ca="1" si="50"/>
        <v>0</v>
      </c>
      <c r="P93" s="93">
        <f t="shared" ca="1" si="51"/>
        <v>0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1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65">
        <f t="shared" ref="L94:N94" ca="1" si="54">L95+L96</f>
        <v>0</v>
      </c>
      <c r="M94" s="465">
        <f t="shared" ca="1" si="54"/>
        <v>0</v>
      </c>
      <c r="N94" s="465">
        <f t="shared" ca="1" si="54"/>
        <v>0</v>
      </c>
      <c r="O94" s="465">
        <f t="shared" ca="1" si="50"/>
        <v>0</v>
      </c>
      <c r="P94" s="465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2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2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IFERROR(__xludf.DUMMYFUNCTION("IMPORTRANGE(""https://docs.google.com/spreadsheets/d/1MeEWN-I1oV_STSDYn1IFDPWt_1FKiwhDph83XaGc0o0/edit?usp=sharing"",""งบพรบ!AT17"")"),0)</f>
        <v>0</v>
      </c>
      <c r="M96" s="93">
        <f ca="1">IFERROR(__xludf.DUMMYFUNCTION("IMPORTRANGE(""https://docs.google.com/spreadsheets/d/1MeEWN-I1oV_STSDYn1IFDPWt_1FKiwhDph83XaGc0o0/edit?usp=sharing"",""งบพรบ!AW17"")"),0)</f>
        <v>0</v>
      </c>
      <c r="N96" s="93">
        <f ca="1">IFERROR(__xludf.DUMMYFUNCTION("IMPORTRANGE(""https://docs.google.com/spreadsheets/d/1MeEWN-I1oV_STSDYn1IFDPWt_1FKiwhDph83XaGc0o0/edit?usp=sharing"",""งบพรบ!AY17"")"),0)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18" t="s">
        <v>38</v>
      </c>
      <c r="E97" s="173"/>
      <c r="F97" s="173"/>
      <c r="G97" s="174"/>
      <c r="H97" s="726"/>
      <c r="I97" s="184"/>
      <c r="J97" s="269"/>
      <c r="K97" s="465"/>
      <c r="L97" s="465"/>
      <c r="M97" s="465"/>
      <c r="N97" s="465"/>
      <c r="O97" s="163"/>
      <c r="P97" s="163"/>
    </row>
    <row r="98" spans="1:16" ht="18.75">
      <c r="A98" s="170"/>
      <c r="B98" s="171"/>
      <c r="C98" s="171"/>
      <c r="D98" s="415" t="s">
        <v>47</v>
      </c>
      <c r="E98" s="415"/>
      <c r="F98" s="342"/>
      <c r="G98" s="179"/>
      <c r="H98" s="589" t="s">
        <v>46</v>
      </c>
      <c r="I98" s="269">
        <f ca="1">IFERROR(__xludf.DUMMYFUNCTION("IMPORTRANGE(""https://docs.google.com/spreadsheets/d/1QqKyyYR6Q21VydFLVH3TRQUabQu_ym0Zz7PgGX0-kHA/edit?usp=sharing"",""แผน!K17"")"),30)</f>
        <v>30</v>
      </c>
      <c r="J98" s="269">
        <f>J102</f>
        <v>0</v>
      </c>
      <c r="K98" s="465">
        <f t="shared" ref="K98:K100" ca="1" si="55">IF(I98&gt;0,J98*100/I98,0)</f>
        <v>0</v>
      </c>
      <c r="L98" s="465"/>
      <c r="M98" s="465"/>
      <c r="N98" s="465"/>
      <c r="O98" s="163"/>
      <c r="P98" s="163"/>
    </row>
    <row r="99" spans="1:16" ht="18.75">
      <c r="A99" s="170"/>
      <c r="B99" s="171"/>
      <c r="C99" s="171"/>
      <c r="D99" s="415" t="s">
        <v>48</v>
      </c>
      <c r="E99" s="415"/>
      <c r="F99" s="342"/>
      <c r="G99" s="179"/>
      <c r="H99" s="589" t="s">
        <v>35</v>
      </c>
      <c r="I99" s="269">
        <f ca="1">IFERROR(__xludf.DUMMYFUNCTION("IMPORTRANGE(""https://docs.google.com/spreadsheets/d/1QqKyyYR6Q21VydFLVH3TRQUabQu_ym0Zz7PgGX0-kHA/edit?usp=sharing"",""แผน!L17"")"),10)</f>
        <v>10</v>
      </c>
      <c r="J99" s="269">
        <f>J104</f>
        <v>0</v>
      </c>
      <c r="K99" s="465">
        <f t="shared" ca="1" si="55"/>
        <v>0</v>
      </c>
      <c r="L99" s="465"/>
      <c r="M99" s="465"/>
      <c r="N99" s="465"/>
      <c r="O99" s="163"/>
      <c r="P99" s="163"/>
    </row>
    <row r="100" spans="1:16" ht="18.75">
      <c r="A100" s="170"/>
      <c r="B100" s="171"/>
      <c r="C100" s="171"/>
      <c r="D100" s="171"/>
      <c r="E100" s="342"/>
      <c r="F100" s="342"/>
      <c r="G100" s="179"/>
      <c r="H100" s="589" t="s">
        <v>49</v>
      </c>
      <c r="I100" s="269">
        <f ca="1">IFERROR(__xludf.DUMMYFUNCTION("IMPORTRANGE(""https://docs.google.com/spreadsheets/d/1QqKyyYR6Q21VydFLVH3TRQUabQu_ym0Zz7PgGX0-kHA/edit?usp=sharing"",""แผน!M17"")"),1)</f>
        <v>1</v>
      </c>
      <c r="J100" s="269">
        <f>J107+J110</f>
        <v>0</v>
      </c>
      <c r="K100" s="465">
        <f t="shared" ca="1" si="55"/>
        <v>0</v>
      </c>
      <c r="L100" s="465"/>
      <c r="M100" s="465"/>
      <c r="N100" s="465"/>
      <c r="O100" s="163"/>
      <c r="P100" s="163"/>
    </row>
    <row r="101" spans="1:16" ht="19.5">
      <c r="A101" s="170"/>
      <c r="B101" s="171"/>
      <c r="C101" s="171"/>
      <c r="D101" s="342"/>
      <c r="E101" s="191" t="s">
        <v>50</v>
      </c>
      <c r="F101" s="342"/>
      <c r="G101" s="179"/>
      <c r="H101" s="589"/>
      <c r="I101" s="269"/>
      <c r="J101" s="269"/>
      <c r="K101" s="465"/>
      <c r="L101" s="465"/>
      <c r="M101" s="465"/>
      <c r="N101" s="465"/>
      <c r="O101" s="163"/>
      <c r="P101" s="163"/>
    </row>
    <row r="102" spans="1:16" ht="18.75">
      <c r="A102" s="170"/>
      <c r="B102" s="171"/>
      <c r="C102" s="171"/>
      <c r="D102" s="342"/>
      <c r="E102" s="592" t="s">
        <v>47</v>
      </c>
      <c r="F102" s="342"/>
      <c r="G102" s="179"/>
      <c r="H102" s="589" t="s">
        <v>46</v>
      </c>
      <c r="I102" s="269">
        <f ca="1">IFERROR(__xludf.DUMMYFUNCTION("IMPORTRANGE(""https://docs.google.com/spreadsheets/d/1QqKyyYR6Q21VydFLVH3TRQUabQu_ym0Zz7PgGX0-kHA/edit?usp=sharing"",""แผน!N17"")"),30)</f>
        <v>30</v>
      </c>
      <c r="J102" s="214">
        <v>0</v>
      </c>
      <c r="K102" s="465">
        <f t="shared" ref="K102:K104" ca="1" si="56">IF(I102&gt;0,J102*100/I102,0)</f>
        <v>0</v>
      </c>
      <c r="L102" s="465"/>
      <c r="M102" s="465"/>
      <c r="N102" s="465"/>
      <c r="O102" s="163"/>
      <c r="P102" s="163"/>
    </row>
    <row r="103" spans="1:16" ht="19.5">
      <c r="A103" s="170"/>
      <c r="B103" s="171"/>
      <c r="C103" s="171"/>
      <c r="D103" s="342"/>
      <c r="E103" s="415" t="s">
        <v>51</v>
      </c>
      <c r="F103" s="342"/>
      <c r="G103" s="179"/>
      <c r="H103" s="589" t="s">
        <v>35</v>
      </c>
      <c r="I103" s="269">
        <f ca="1">IFERROR(__xludf.DUMMYFUNCTION("IMPORTRANGE(""https://docs.google.com/spreadsheets/d/1QqKyyYR6Q21VydFLVH3TRQUabQu_ym0Zz7PgGX0-kHA/edit?usp=sharing"",""แผน!O17"")"),10)</f>
        <v>10</v>
      </c>
      <c r="J103" s="214">
        <v>0</v>
      </c>
      <c r="K103" s="465">
        <f t="shared" ca="1" si="56"/>
        <v>0</v>
      </c>
      <c r="L103" s="465"/>
      <c r="M103" s="465"/>
      <c r="N103" s="465"/>
      <c r="O103" s="163"/>
      <c r="P103" s="163"/>
    </row>
    <row r="104" spans="1:16" ht="18.75">
      <c r="A104" s="170"/>
      <c r="B104" s="171"/>
      <c r="C104" s="171"/>
      <c r="D104" s="342"/>
      <c r="E104" s="188" t="s">
        <v>52</v>
      </c>
      <c r="F104" s="342"/>
      <c r="G104" s="179"/>
      <c r="H104" s="589" t="s">
        <v>35</v>
      </c>
      <c r="I104" s="269">
        <f ca="1">IFERROR(__xludf.DUMMYFUNCTION("IMPORTRANGE(""https://docs.google.com/spreadsheets/d/1QqKyyYR6Q21VydFLVH3TRQUabQu_ym0Zz7PgGX0-kHA/edit?usp=sharing"",""แผน!O17"")"),10)</f>
        <v>10</v>
      </c>
      <c r="J104" s="214">
        <v>0</v>
      </c>
      <c r="K104" s="465">
        <f t="shared" ca="1" si="56"/>
        <v>0</v>
      </c>
      <c r="L104" s="465"/>
      <c r="M104" s="465"/>
      <c r="N104" s="465"/>
      <c r="O104" s="163"/>
      <c r="P104" s="163"/>
    </row>
    <row r="105" spans="1:16" ht="19.5">
      <c r="A105" s="170"/>
      <c r="B105" s="171"/>
      <c r="C105" s="171"/>
      <c r="D105" s="342"/>
      <c r="E105" s="191" t="s">
        <v>53</v>
      </c>
      <c r="F105" s="342"/>
      <c r="G105" s="179"/>
      <c r="H105" s="189"/>
      <c r="I105" s="269"/>
      <c r="J105" s="269"/>
      <c r="K105" s="465"/>
      <c r="L105" s="465"/>
      <c r="M105" s="465"/>
      <c r="N105" s="465"/>
      <c r="O105" s="163"/>
      <c r="P105" s="163"/>
    </row>
    <row r="106" spans="1:16" ht="19.5">
      <c r="A106" s="170"/>
      <c r="B106" s="171"/>
      <c r="C106" s="171"/>
      <c r="D106" s="342"/>
      <c r="E106" s="415" t="s">
        <v>54</v>
      </c>
      <c r="F106" s="342"/>
      <c r="G106" s="179"/>
      <c r="H106" s="589" t="s">
        <v>49</v>
      </c>
      <c r="I106" s="269">
        <f ca="1">IFERROR(__xludf.DUMMYFUNCTION("IMPORTRANGE(""https://docs.google.com/spreadsheets/d/1QqKyyYR6Q21VydFLVH3TRQUabQu_ym0Zz7PgGX0-kHA/edit?usp=sharing"",""แผน!P17"")"),0)</f>
        <v>0</v>
      </c>
      <c r="J106" s="214">
        <v>0</v>
      </c>
      <c r="K106" s="465">
        <f t="shared" ref="K106:K107" ca="1" si="57">IF(I106&gt;0,J106*100/I106,0)</f>
        <v>0</v>
      </c>
      <c r="L106" s="465"/>
      <c r="M106" s="465"/>
      <c r="N106" s="465"/>
      <c r="O106" s="163"/>
      <c r="P106" s="163"/>
    </row>
    <row r="107" spans="1:16" ht="18.75">
      <c r="A107" s="170"/>
      <c r="B107" s="171"/>
      <c r="C107" s="171"/>
      <c r="D107" s="342"/>
      <c r="E107" s="188" t="s">
        <v>55</v>
      </c>
      <c r="F107" s="342"/>
      <c r="G107" s="179"/>
      <c r="H107" s="589" t="s">
        <v>49</v>
      </c>
      <c r="I107" s="269">
        <f ca="1">IFERROR(__xludf.DUMMYFUNCTION("IMPORTRANGE(""https://docs.google.com/spreadsheets/d/1QqKyyYR6Q21VydFLVH3TRQUabQu_ym0Zz7PgGX0-kHA/edit?usp=sharing"",""แผน!P17"")"),0)</f>
        <v>0</v>
      </c>
      <c r="J107" s="214">
        <v>0</v>
      </c>
      <c r="K107" s="465">
        <f t="shared" ca="1" si="57"/>
        <v>0</v>
      </c>
      <c r="L107" s="465"/>
      <c r="M107" s="465"/>
      <c r="N107" s="465"/>
      <c r="O107" s="163"/>
      <c r="P107" s="163"/>
    </row>
    <row r="108" spans="1:16" ht="19.5">
      <c r="A108" s="170"/>
      <c r="B108" s="171"/>
      <c r="C108" s="171"/>
      <c r="D108" s="342"/>
      <c r="E108" s="191" t="s">
        <v>56</v>
      </c>
      <c r="F108" s="342"/>
      <c r="G108" s="179"/>
      <c r="H108" s="189"/>
      <c r="I108" s="269"/>
      <c r="J108" s="269"/>
      <c r="K108" s="465"/>
      <c r="L108" s="465"/>
      <c r="M108" s="465"/>
      <c r="N108" s="465"/>
      <c r="O108" s="163"/>
      <c r="P108" s="163"/>
    </row>
    <row r="109" spans="1:16" ht="19.5">
      <c r="A109" s="170"/>
      <c r="B109" s="171"/>
      <c r="C109" s="171"/>
      <c r="D109" s="342"/>
      <c r="E109" s="415" t="s">
        <v>57</v>
      </c>
      <c r="F109" s="342"/>
      <c r="G109" s="179"/>
      <c r="H109" s="589" t="s">
        <v>49</v>
      </c>
      <c r="I109" s="269">
        <f ca="1">IFERROR(__xludf.DUMMYFUNCTION("IMPORTRANGE(""https://docs.google.com/spreadsheets/d/1QqKyyYR6Q21VydFLVH3TRQUabQu_ym0Zz7PgGX0-kHA/edit?usp=sharing"",""แผน!Q17"")"),1)</f>
        <v>1</v>
      </c>
      <c r="J109" s="214">
        <v>0</v>
      </c>
      <c r="K109" s="465">
        <f t="shared" ref="K109:K116" ca="1" si="58">IF(I109&gt;0,J109*100/I109,0)</f>
        <v>0</v>
      </c>
      <c r="L109" s="465"/>
      <c r="M109" s="465"/>
      <c r="N109" s="465"/>
      <c r="O109" s="163"/>
      <c r="P109" s="163"/>
    </row>
    <row r="110" spans="1:16" ht="18.75">
      <c r="A110" s="170"/>
      <c r="B110" s="171"/>
      <c r="C110" s="171"/>
      <c r="D110" s="342"/>
      <c r="E110" s="190" t="s">
        <v>58</v>
      </c>
      <c r="F110" s="342"/>
      <c r="G110" s="179"/>
      <c r="H110" s="589" t="s">
        <v>49</v>
      </c>
      <c r="I110" s="269">
        <f ca="1">IFERROR(__xludf.DUMMYFUNCTION("IMPORTRANGE(""https://docs.google.com/spreadsheets/d/1QqKyyYR6Q21VydFLVH3TRQUabQu_ym0Zz7PgGX0-kHA/edit?usp=sharing"",""แผน!Q17"")"),1)</f>
        <v>1</v>
      </c>
      <c r="J110" s="214">
        <v>0</v>
      </c>
      <c r="K110" s="465">
        <f t="shared" ca="1" si="58"/>
        <v>0</v>
      </c>
      <c r="L110" s="465"/>
      <c r="M110" s="465"/>
      <c r="N110" s="465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342"/>
      <c r="G111" s="179"/>
      <c r="H111" s="731" t="s">
        <v>35</v>
      </c>
      <c r="I111" s="193">
        <f ca="1">IFERROR(__xludf.DUMMYFUNCTION("IMPORTRANGE(""https://docs.google.com/spreadsheets/d/1QqKyyYR6Q21VydFLVH3TRQUabQu_ym0Zz7PgGX0-kHA/edit?usp=sharing"",""แผน!R17"")"),10)</f>
        <v>10</v>
      </c>
      <c r="J111" s="647">
        <f>J114</f>
        <v>0</v>
      </c>
      <c r="K111" s="195">
        <f t="shared" ca="1" si="58"/>
        <v>0</v>
      </c>
      <c r="L111" s="465"/>
      <c r="M111" s="465"/>
      <c r="N111" s="465"/>
      <c r="O111" s="163"/>
      <c r="P111" s="163"/>
    </row>
    <row r="112" spans="1:16" ht="19.5">
      <c r="A112" s="170"/>
      <c r="B112" s="171"/>
      <c r="C112" s="171"/>
      <c r="D112" s="171"/>
      <c r="E112" s="342"/>
      <c r="F112" s="342"/>
      <c r="G112" s="179"/>
      <c r="H112" s="196" t="s">
        <v>49</v>
      </c>
      <c r="I112" s="193">
        <f t="shared" ref="I112:J112" ca="1" si="59">I115+I116</f>
        <v>1</v>
      </c>
      <c r="J112" s="647">
        <f t="shared" si="59"/>
        <v>0</v>
      </c>
      <c r="K112" s="195">
        <f t="shared" ca="1" si="58"/>
        <v>0</v>
      </c>
      <c r="L112" s="465"/>
      <c r="M112" s="465"/>
      <c r="N112" s="465"/>
      <c r="O112" s="163"/>
      <c r="P112" s="163"/>
    </row>
    <row r="113" spans="1:26" ht="19.5">
      <c r="A113" s="170"/>
      <c r="B113" s="171"/>
      <c r="C113" s="171"/>
      <c r="D113" s="171"/>
      <c r="E113" s="494" t="s">
        <v>60</v>
      </c>
      <c r="F113" s="342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IFERROR(__xludf.DUMMYFUNCTION("IMPORTRANGE(""https://docs.google.com/spreadsheets/d/1QqKyyYR6Q21VydFLVH3TRQUabQu_ym0Zz7PgGX0-kHA/edit?usp=sharing"",""แผน!R17"")"),10)</f>
        <v>10</v>
      </c>
      <c r="J113" s="214">
        <v>0</v>
      </c>
      <c r="K113" s="465">
        <f t="shared" ca="1" si="58"/>
        <v>0</v>
      </c>
      <c r="L113" s="465"/>
      <c r="M113" s="465"/>
      <c r="N113" s="465"/>
      <c r="O113" s="163"/>
      <c r="P113" s="163"/>
    </row>
    <row r="114" spans="1:26" ht="19.5">
      <c r="A114" s="170"/>
      <c r="B114" s="171"/>
      <c r="C114" s="171"/>
      <c r="D114" s="171"/>
      <c r="E114" s="415" t="s">
        <v>61</v>
      </c>
      <c r="F114" s="342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IFERROR(__xludf.DUMMYFUNCTION("IMPORTRANGE(""https://docs.google.com/spreadsheets/d/1QqKyyYR6Q21VydFLVH3TRQUabQu_ym0Zz7PgGX0-kHA/edit?usp=sharing"",""แผน!R17"")"),10)</f>
        <v>10</v>
      </c>
      <c r="J114" s="214">
        <v>0</v>
      </c>
      <c r="K114" s="465">
        <f t="shared" ca="1" si="58"/>
        <v>0</v>
      </c>
      <c r="L114" s="465"/>
      <c r="M114" s="465"/>
      <c r="N114" s="465"/>
      <c r="O114" s="163"/>
      <c r="P114" s="163"/>
    </row>
    <row r="115" spans="1:26" ht="18.75">
      <c r="A115" s="170"/>
      <c r="B115" s="171"/>
      <c r="C115" s="171"/>
      <c r="D115" s="171"/>
      <c r="E115" s="415" t="s">
        <v>62</v>
      </c>
      <c r="F115" s="342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IFERROR(__xludf.DUMMYFUNCTION("IMPORTRANGE(""https://docs.google.com/spreadsheets/d/1QqKyyYR6Q21VydFLVH3TRQUabQu_ym0Zz7PgGX0-kHA/edit?usp=sharing"",""แผน!S17"")"),0)</f>
        <v>0</v>
      </c>
      <c r="J115" s="214">
        <v>0</v>
      </c>
      <c r="K115" s="465">
        <f t="shared" ca="1" si="58"/>
        <v>0</v>
      </c>
      <c r="L115" s="465"/>
      <c r="M115" s="465"/>
      <c r="N115" s="465"/>
      <c r="O115" s="163"/>
      <c r="P115" s="163"/>
    </row>
    <row r="116" spans="1:26" ht="18.75">
      <c r="A116" s="170"/>
      <c r="B116" s="171"/>
      <c r="C116" s="171"/>
      <c r="D116" s="171"/>
      <c r="E116" s="415" t="s">
        <v>63</v>
      </c>
      <c r="F116" s="342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IFERROR(__xludf.DUMMYFUNCTION("IMPORTRANGE(""https://docs.google.com/spreadsheets/d/1QqKyyYR6Q21VydFLVH3TRQUabQu_ym0Zz7PgGX0-kHA/edit?usp=sharing"",""แผน!T17"")"),1)</f>
        <v>1</v>
      </c>
      <c r="J116" s="214">
        <v>0</v>
      </c>
      <c r="K116" s="465">
        <f t="shared" ca="1" si="58"/>
        <v>0</v>
      </c>
      <c r="L116" s="465"/>
      <c r="M116" s="465"/>
      <c r="N116" s="465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8" t="s">
        <v>65</v>
      </c>
      <c r="C118" s="204"/>
      <c r="D118" s="141"/>
      <c r="E118" s="140"/>
      <c r="F118" s="140"/>
      <c r="G118" s="142"/>
      <c r="H118" s="143"/>
      <c r="I118" s="205"/>
      <c r="J118" s="205"/>
      <c r="K118" s="146"/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17" t="s">
        <v>17</v>
      </c>
      <c r="E119" s="148"/>
      <c r="F119" s="148"/>
      <c r="G119" s="151"/>
      <c r="H119" s="152" t="s">
        <v>12</v>
      </c>
      <c r="I119" s="388"/>
      <c r="J119" s="388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2" t="s">
        <v>18</v>
      </c>
      <c r="F120" s="40"/>
      <c r="G120" s="157"/>
      <c r="H120" s="158" t="s">
        <v>12</v>
      </c>
      <c r="I120" s="583"/>
      <c r="J120" s="583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2" t="s">
        <v>19</v>
      </c>
      <c r="F121" s="40"/>
      <c r="G121" s="157"/>
      <c r="H121" s="158" t="s">
        <v>12</v>
      </c>
      <c r="I121" s="583"/>
      <c r="J121" s="583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1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65">
        <f t="shared" ref="L122:N122" ca="1" si="64">L123+L124</f>
        <v>0</v>
      </c>
      <c r="M122" s="465">
        <f t="shared" ca="1" si="64"/>
        <v>0</v>
      </c>
      <c r="N122" s="465">
        <f t="shared" ca="1" si="64"/>
        <v>0</v>
      </c>
      <c r="O122" s="465">
        <f t="shared" ca="1" si="61"/>
        <v>0</v>
      </c>
      <c r="P122" s="465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2"/>
      <c r="D123" s="40"/>
      <c r="E123" s="222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2"/>
      <c r="D124" s="40"/>
      <c r="E124" s="222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IFERROR(__xludf.DUMMYFUNCTION("IMPORTRANGE(""https://docs.google.com/spreadsheets/d/1MeEWN-I1oV_STSDYn1IFDPWt_1FKiwhDph83XaGc0o0/edit?usp=sharing"",""งบพรบ!BA17"")"),0)</f>
        <v>0</v>
      </c>
      <c r="M124" s="93">
        <f ca="1">IFERROR(__xludf.DUMMYFUNCTION("IMPORTRANGE(""https://docs.google.com/spreadsheets/d/1MeEWN-I1oV_STSDYn1IFDPWt_1FKiwhDph83XaGc0o0/edit?usp=sharing"",""งบพรบ!BF17"")"),0)</f>
        <v>0</v>
      </c>
      <c r="N124" s="93">
        <f ca="1">IFERROR(__xludf.DUMMYFUNCTION("IMPORTRANGE(""https://docs.google.com/spreadsheets/d/1MeEWN-I1oV_STSDYn1IFDPWt_1FKiwhDph83XaGc0o0/edit?usp=sharing"",""งบพรบ!BH17"")"),0)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1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65">
        <f t="shared" ref="L125:N125" ca="1" si="65">L126+L127</f>
        <v>0</v>
      </c>
      <c r="M125" s="465">
        <f t="shared" ca="1" si="65"/>
        <v>0</v>
      </c>
      <c r="N125" s="465">
        <f t="shared" ca="1" si="65"/>
        <v>0</v>
      </c>
      <c r="O125" s="465">
        <f t="shared" ca="1" si="61"/>
        <v>0</v>
      </c>
      <c r="P125" s="465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2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2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IFERROR(__xludf.DUMMYFUNCTION("IMPORTRANGE(""https://docs.google.com/spreadsheets/d/1MeEWN-I1oV_STSDYn1IFDPWt_1FKiwhDph83XaGc0o0/edit?usp=sharing"",""งบพรบ!BD17"")"),0)</f>
        <v>0</v>
      </c>
      <c r="M127" s="93">
        <f ca="1">IFERROR(__xludf.DUMMYFUNCTION("IMPORTRANGE(""https://docs.google.com/spreadsheets/d/1MeEWN-I1oV_STSDYn1IFDPWt_1FKiwhDph83XaGc0o0/edit?usp=sharing"",""งบพรบ!BG17"")"),0)</f>
        <v>0</v>
      </c>
      <c r="N127" s="93">
        <f ca="1">IFERROR(__xludf.DUMMYFUNCTION("IMPORTRANGE(""https://docs.google.com/spreadsheets/d/1MeEWN-I1oV_STSDYn1IFDPWt_1FKiwhDph83XaGc0o0/edit?usp=sharing"",""งบพรบ!BI17"")"),0)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>
      <c r="A128" s="131" t="s">
        <v>66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>
      <c r="A129" s="138"/>
      <c r="B129" s="208" t="s">
        <v>67</v>
      </c>
      <c r="C129" s="204"/>
      <c r="D129" s="141"/>
      <c r="E129" s="140"/>
      <c r="F129" s="140"/>
      <c r="G129" s="140"/>
      <c r="H129" s="207"/>
      <c r="I129" s="205"/>
      <c r="J129" s="205"/>
      <c r="K129" s="146"/>
      <c r="L129" s="146"/>
      <c r="M129" s="146"/>
      <c r="N129" s="146"/>
      <c r="O129" s="146"/>
      <c r="P129" s="146"/>
    </row>
    <row r="130" spans="1:26" ht="19.5">
      <c r="A130" s="138"/>
      <c r="B130" s="208"/>
      <c r="C130" s="209" t="s">
        <v>68</v>
      </c>
      <c r="D130" s="141"/>
      <c r="E130" s="140"/>
      <c r="F130" s="140"/>
      <c r="G130" s="142"/>
      <c r="H130" s="143" t="s">
        <v>69</v>
      </c>
      <c r="I130" s="144">
        <f t="shared" ref="I130:J130" ca="1" si="66">I146</f>
        <v>1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>
      <c r="A131" s="138"/>
      <c r="B131" s="208"/>
      <c r="C131" s="209" t="s">
        <v>70</v>
      </c>
      <c r="D131" s="141"/>
      <c r="E131" s="140"/>
      <c r="F131" s="140"/>
      <c r="G131" s="142"/>
      <c r="H131" s="143" t="s">
        <v>35</v>
      </c>
      <c r="I131" s="144">
        <f t="shared" ref="I131:J131" ca="1" si="68">I143</f>
        <v>10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>
      <c r="A132" s="147"/>
      <c r="B132" s="148"/>
      <c r="C132" s="149" t="s">
        <v>16</v>
      </c>
      <c r="D132" s="817" t="s">
        <v>17</v>
      </c>
      <c r="E132" s="148"/>
      <c r="F132" s="148"/>
      <c r="G132" s="151"/>
      <c r="H132" s="152" t="s">
        <v>12</v>
      </c>
      <c r="I132" s="388"/>
      <c r="J132" s="388"/>
      <c r="K132" s="154"/>
      <c r="L132" s="155">
        <f t="shared" ref="L132:N132" ca="1" si="69">L133+L134</f>
        <v>239255</v>
      </c>
      <c r="M132" s="155">
        <f t="shared" ca="1" si="69"/>
        <v>177400</v>
      </c>
      <c r="N132" s="155">
        <f t="shared" ca="1" si="69"/>
        <v>14129</v>
      </c>
      <c r="O132" s="155">
        <f t="shared" ref="O132:O140" ca="1" si="70">IF(L132&gt;0,N132*100/L132,0)</f>
        <v>5.9054147248751336</v>
      </c>
      <c r="P132" s="155">
        <f t="shared" ref="P132:P140" ca="1" si="71">IF(M132&gt;0,N132*100/M132,0)</f>
        <v>7.9644870349492676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2" t="s">
        <v>18</v>
      </c>
      <c r="F133" s="40"/>
      <c r="G133" s="157"/>
      <c r="H133" s="158" t="s">
        <v>12</v>
      </c>
      <c r="I133" s="583"/>
      <c r="J133" s="583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2" t="s">
        <v>19</v>
      </c>
      <c r="F134" s="40"/>
      <c r="G134" s="157"/>
      <c r="H134" s="158" t="s">
        <v>12</v>
      </c>
      <c r="I134" s="583"/>
      <c r="J134" s="583"/>
      <c r="K134" s="93"/>
      <c r="L134" s="93">
        <f t="shared" ca="1" si="72"/>
        <v>239255</v>
      </c>
      <c r="M134" s="93">
        <f t="shared" ca="1" si="72"/>
        <v>177400</v>
      </c>
      <c r="N134" s="93">
        <f t="shared" ca="1" si="72"/>
        <v>14129</v>
      </c>
      <c r="O134" s="93">
        <f t="shared" ca="1" si="70"/>
        <v>5.9054147248751336</v>
      </c>
      <c r="P134" s="93">
        <f t="shared" ca="1" si="71"/>
        <v>7.9644870349492676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>
      <c r="A135" s="159"/>
      <c r="B135" s="33"/>
      <c r="C135" s="281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65">
        <f t="shared" ref="L135:N135" ca="1" si="73">L136+L137</f>
        <v>136255</v>
      </c>
      <c r="M135" s="465">
        <f t="shared" ca="1" si="73"/>
        <v>74400</v>
      </c>
      <c r="N135" s="465">
        <f t="shared" ca="1" si="73"/>
        <v>14129</v>
      </c>
      <c r="O135" s="465">
        <f t="shared" ca="1" si="70"/>
        <v>10.369527723753256</v>
      </c>
      <c r="P135" s="465">
        <f t="shared" ca="1" si="71"/>
        <v>18.990591397849464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2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2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IFERROR(__xludf.DUMMYFUNCTION("IMPORTRANGE(""https://docs.google.com/spreadsheets/d/1MeEWN-I1oV_STSDYn1IFDPWt_1FKiwhDph83XaGc0o0/edit?usp=sharing"",""งบพรบ!BK17"")"),136255)</f>
        <v>136255</v>
      </c>
      <c r="M137" s="93">
        <f ca="1">IFERROR(__xludf.DUMMYFUNCTION("IMPORTRANGE(""https://docs.google.com/spreadsheets/d/1MeEWN-I1oV_STSDYn1IFDPWt_1FKiwhDph83XaGc0o0/edit?usp=sharing"",""งบพรบ!BP17"")"),74400)</f>
        <v>74400</v>
      </c>
      <c r="N137" s="93">
        <f ca="1">IFERROR(__xludf.DUMMYFUNCTION("IMPORTRANGE(""https://docs.google.com/spreadsheets/d/1MeEWN-I1oV_STSDYn1IFDPWt_1FKiwhDph83XaGc0o0/edit?usp=sharing"",""งบพรบ!BR17"")"),14129)</f>
        <v>14129</v>
      </c>
      <c r="O137" s="93">
        <f t="shared" ca="1" si="70"/>
        <v>10.369527723753256</v>
      </c>
      <c r="P137" s="93">
        <f t="shared" ca="1" si="71"/>
        <v>18.990591397849464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>
      <c r="A138" s="159"/>
      <c r="B138" s="33"/>
      <c r="C138" s="281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65">
        <f t="shared" ref="L138:N138" ca="1" si="74">L139+L140</f>
        <v>103000</v>
      </c>
      <c r="M138" s="465">
        <f t="shared" ca="1" si="74"/>
        <v>103000</v>
      </c>
      <c r="N138" s="465">
        <f t="shared" ca="1" si="74"/>
        <v>0</v>
      </c>
      <c r="O138" s="465">
        <f t="shared" ca="1" si="70"/>
        <v>0</v>
      </c>
      <c r="P138" s="465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2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2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IFERROR(__xludf.DUMMYFUNCTION("IMPORTRANGE(""https://docs.google.com/spreadsheets/d/1MeEWN-I1oV_STSDYn1IFDPWt_1FKiwhDph83XaGc0o0/edit?usp=sharing"",""งบพรบ!BN17"")"),103000)</f>
        <v>103000</v>
      </c>
      <c r="M140" s="93">
        <f ca="1">IFERROR(__xludf.DUMMYFUNCTION("IMPORTRANGE(""https://docs.google.com/spreadsheets/d/1MeEWN-I1oV_STSDYn1IFDPWt_1FKiwhDph83XaGc0o0/edit?usp=sharing"",""งบพรบ!BQ17"")"),103000)</f>
        <v>103000</v>
      </c>
      <c r="N140" s="93">
        <f ca="1">IFERROR(__xludf.DUMMYFUNCTION("IMPORTRANGE(""https://docs.google.com/spreadsheets/d/1MeEWN-I1oV_STSDYn1IFDPWt_1FKiwhDph83XaGc0o0/edit?usp=sharing"",""งบพรบ!BS17"")"),0)</f>
        <v>0</v>
      </c>
      <c r="O140" s="93">
        <f t="shared" ca="1" si="70"/>
        <v>0</v>
      </c>
      <c r="P140" s="93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>
      <c r="A141" s="170"/>
      <c r="B141" s="171"/>
      <c r="C141" s="149" t="s">
        <v>16</v>
      </c>
      <c r="D141" s="818" t="s">
        <v>38</v>
      </c>
      <c r="E141" s="173"/>
      <c r="F141" s="173"/>
      <c r="G141" s="174"/>
      <c r="H141" s="168"/>
      <c r="I141" s="269"/>
      <c r="J141" s="269"/>
      <c r="K141" s="465"/>
      <c r="L141" s="465"/>
      <c r="M141" s="465"/>
      <c r="N141" s="465"/>
      <c r="O141" s="465"/>
      <c r="P141" s="465"/>
    </row>
    <row r="142" spans="1:26" ht="19.5">
      <c r="A142" s="159"/>
      <c r="B142" s="33"/>
      <c r="C142" s="210"/>
      <c r="D142" s="281" t="s">
        <v>71</v>
      </c>
      <c r="E142" s="34"/>
      <c r="F142" s="33"/>
      <c r="G142" s="213"/>
      <c r="H142" s="168"/>
      <c r="I142" s="269"/>
      <c r="J142" s="214">
        <v>0</v>
      </c>
      <c r="K142" s="465"/>
      <c r="L142" s="465"/>
      <c r="M142" s="465"/>
      <c r="N142" s="465"/>
      <c r="O142" s="465"/>
      <c r="P142" s="465"/>
    </row>
    <row r="143" spans="1:26" ht="19.5">
      <c r="A143" s="159"/>
      <c r="B143" s="33"/>
      <c r="C143" s="210"/>
      <c r="D143" s="281" t="s">
        <v>72</v>
      </c>
      <c r="E143" s="34"/>
      <c r="F143" s="33"/>
      <c r="G143" s="213"/>
      <c r="H143" s="168" t="s">
        <v>35</v>
      </c>
      <c r="I143" s="269">
        <f ca="1">I145</f>
        <v>10</v>
      </c>
      <c r="J143" s="269">
        <f ca="1">IF(AND(J144&gt;=I144,J145&gt;=I145),J145,0)</f>
        <v>0</v>
      </c>
      <c r="K143" s="465">
        <f t="shared" ref="K143:K146" ca="1" si="75">IF(I143&gt;0,J143*100/I143,0)</f>
        <v>0</v>
      </c>
      <c r="L143" s="465"/>
      <c r="M143" s="465"/>
      <c r="N143" s="465"/>
      <c r="O143" s="465"/>
      <c r="P143" s="465"/>
    </row>
    <row r="144" spans="1:26" ht="19.5">
      <c r="A144" s="159"/>
      <c r="B144" s="33"/>
      <c r="C144" s="210"/>
      <c r="D144" s="342"/>
      <c r="E144" s="281" t="s">
        <v>73</v>
      </c>
      <c r="F144" s="33"/>
      <c r="G144" s="213"/>
      <c r="H144" s="168" t="s">
        <v>35</v>
      </c>
      <c r="I144" s="269">
        <f ca="1">IFERROR(__xludf.DUMMYFUNCTION("IMPORTRANGE(""https://docs.google.com/spreadsheets/d/1QqKyyYR6Q21VydFLVH3TRQUabQu_ym0Zz7PgGX0-kHA/edit?usp=sharing"",""แผน!U17"")"),5)</f>
        <v>5</v>
      </c>
      <c r="J144" s="214">
        <v>0</v>
      </c>
      <c r="K144" s="465">
        <f t="shared" ca="1" si="75"/>
        <v>0</v>
      </c>
      <c r="L144" s="465"/>
      <c r="M144" s="465"/>
      <c r="N144" s="465"/>
      <c r="O144" s="465"/>
      <c r="P144" s="465"/>
    </row>
    <row r="145" spans="1:26" ht="19.5">
      <c r="A145" s="159"/>
      <c r="B145" s="33"/>
      <c r="C145" s="210"/>
      <c r="D145" s="342"/>
      <c r="E145" s="281" t="s">
        <v>74</v>
      </c>
      <c r="F145" s="33"/>
      <c r="G145" s="213"/>
      <c r="H145" s="168" t="s">
        <v>35</v>
      </c>
      <c r="I145" s="269">
        <f ca="1">IFERROR(__xludf.DUMMYFUNCTION("IMPORTRANGE(""https://docs.google.com/spreadsheets/d/1QqKyyYR6Q21VydFLVH3TRQUabQu_ym0Zz7PgGX0-kHA/edit?usp=sharing"",""แผน!V17"")"),10)</f>
        <v>10</v>
      </c>
      <c r="J145" s="214">
        <v>0</v>
      </c>
      <c r="K145" s="465">
        <f t="shared" ca="1" si="75"/>
        <v>0</v>
      </c>
      <c r="L145" s="465"/>
      <c r="M145" s="465"/>
      <c r="N145" s="465"/>
      <c r="O145" s="465"/>
      <c r="P145" s="465"/>
    </row>
    <row r="146" spans="1:26" ht="19.5">
      <c r="A146" s="159"/>
      <c r="B146" s="33"/>
      <c r="C146" s="210"/>
      <c r="D146" s="281" t="s">
        <v>75</v>
      </c>
      <c r="E146" s="34"/>
      <c r="F146" s="33"/>
      <c r="G146" s="213"/>
      <c r="H146" s="168" t="s">
        <v>69</v>
      </c>
      <c r="I146" s="269">
        <f ca="1">IFERROR(__xludf.DUMMYFUNCTION("IMPORTRANGE(""https://docs.google.com/spreadsheets/d/1QqKyyYR6Q21VydFLVH3TRQUabQu_ym0Zz7PgGX0-kHA/edit?usp=sharing"",""แผน!W17"")"),1)</f>
        <v>1</v>
      </c>
      <c r="J146" s="214">
        <v>0</v>
      </c>
      <c r="K146" s="465">
        <f t="shared" ca="1" si="75"/>
        <v>0</v>
      </c>
      <c r="L146" s="465"/>
      <c r="M146" s="465"/>
      <c r="N146" s="465"/>
      <c r="O146" s="465"/>
      <c r="P146" s="465"/>
    </row>
    <row r="147" spans="1:26" ht="19.5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>
      <c r="A148" s="216"/>
      <c r="B148" s="208" t="s">
        <v>77</v>
      </c>
      <c r="C148" s="208"/>
      <c r="D148" s="208"/>
      <c r="E148" s="819"/>
      <c r="F148" s="218"/>
      <c r="G148" s="219"/>
      <c r="H148" s="220" t="s">
        <v>35</v>
      </c>
      <c r="I148" s="144">
        <f t="shared" ref="I148:J148" ca="1" si="76">I159</f>
        <v>20</v>
      </c>
      <c r="J148" s="144">
        <f t="shared" si="76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1"/>
      <c r="R148" s="221"/>
      <c r="S148" s="221"/>
      <c r="T148" s="221"/>
      <c r="U148" s="221"/>
      <c r="V148" s="221"/>
      <c r="W148" s="221"/>
      <c r="X148" s="221"/>
      <c r="Y148" s="221"/>
      <c r="Z148" s="221"/>
    </row>
    <row r="149" spans="1:26" ht="19.5">
      <c r="A149" s="147"/>
      <c r="B149" s="148"/>
      <c r="C149" s="149" t="s">
        <v>16</v>
      </c>
      <c r="D149" s="817" t="s">
        <v>17</v>
      </c>
      <c r="E149" s="148"/>
      <c r="F149" s="148"/>
      <c r="G149" s="151"/>
      <c r="H149" s="152" t="s">
        <v>12</v>
      </c>
      <c r="I149" s="388"/>
      <c r="J149" s="388"/>
      <c r="K149" s="154"/>
      <c r="L149" s="155">
        <f t="shared" ref="L149:N149" ca="1" si="77">L150+L151</f>
        <v>10000</v>
      </c>
      <c r="M149" s="155">
        <f t="shared" ca="1" si="77"/>
        <v>10000</v>
      </c>
      <c r="N149" s="155">
        <f t="shared" ca="1" si="77"/>
        <v>0</v>
      </c>
      <c r="O149" s="155">
        <f t="shared" ref="O149:O157" ca="1" si="78">IF(L149&gt;0,N149*100/L149,0)</f>
        <v>0</v>
      </c>
      <c r="P149" s="155">
        <f t="shared" ref="P149:P157" ca="1" si="79">IF(M149&gt;0,N149*100/M149,0)</f>
        <v>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2" t="s">
        <v>18</v>
      </c>
      <c r="F150" s="40"/>
      <c r="G150" s="157"/>
      <c r="H150" s="158" t="s">
        <v>12</v>
      </c>
      <c r="I150" s="583"/>
      <c r="J150" s="583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2" t="s">
        <v>19</v>
      </c>
      <c r="F151" s="40"/>
      <c r="G151" s="157"/>
      <c r="H151" s="158" t="s">
        <v>12</v>
      </c>
      <c r="I151" s="583"/>
      <c r="J151" s="583"/>
      <c r="K151" s="93"/>
      <c r="L151" s="93">
        <f t="shared" ca="1" si="80"/>
        <v>10000</v>
      </c>
      <c r="M151" s="93">
        <f t="shared" ca="1" si="80"/>
        <v>10000</v>
      </c>
      <c r="N151" s="93">
        <f t="shared" ca="1" si="80"/>
        <v>0</v>
      </c>
      <c r="O151" s="93">
        <f t="shared" ca="1" si="78"/>
        <v>0</v>
      </c>
      <c r="P151" s="93">
        <f t="shared" ca="1" si="79"/>
        <v>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>
      <c r="A152" s="159"/>
      <c r="B152" s="33"/>
      <c r="C152" s="281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65">
        <f t="shared" ref="L152:N152" ca="1" si="81">L153+L154</f>
        <v>10000</v>
      </c>
      <c r="M152" s="465">
        <f t="shared" ca="1" si="81"/>
        <v>10000</v>
      </c>
      <c r="N152" s="465">
        <f t="shared" ca="1" si="81"/>
        <v>0</v>
      </c>
      <c r="O152" s="465">
        <f t="shared" ca="1" si="78"/>
        <v>0</v>
      </c>
      <c r="P152" s="465">
        <f t="shared" ca="1" si="79"/>
        <v>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2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2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IFERROR(__xludf.DUMMYFUNCTION("IMPORTRANGE(""https://docs.google.com/spreadsheets/d/1MeEWN-I1oV_STSDYn1IFDPWt_1FKiwhDph83XaGc0o0/edit?usp=sharing"",""งบพรบ!BU17"")"),10000)</f>
        <v>10000</v>
      </c>
      <c r="M154" s="93">
        <f ca="1">IFERROR(__xludf.DUMMYFUNCTION("IMPORTRANGE(""https://docs.google.com/spreadsheets/d/1MeEWN-I1oV_STSDYn1IFDPWt_1FKiwhDph83XaGc0o0/edit?usp=sharing"",""งบพรบ!BZ17"")"),10000)</f>
        <v>10000</v>
      </c>
      <c r="N154" s="93">
        <f ca="1">IFERROR(__xludf.DUMMYFUNCTION("IMPORTRANGE(""https://docs.google.com/spreadsheets/d/1MeEWN-I1oV_STSDYn1IFDPWt_1FKiwhDph83XaGc0o0/edit?usp=sharing"",""งบพรบ!CB17"")"),0)</f>
        <v>0</v>
      </c>
      <c r="O154" s="93">
        <f t="shared" ca="1" si="78"/>
        <v>0</v>
      </c>
      <c r="P154" s="93">
        <f t="shared" ca="1" si="79"/>
        <v>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>
      <c r="A155" s="159"/>
      <c r="B155" s="33"/>
      <c r="C155" s="281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65">
        <f t="shared" ref="L155:N155" ca="1" si="82">L156+L157</f>
        <v>0</v>
      </c>
      <c r="M155" s="465">
        <f t="shared" ca="1" si="82"/>
        <v>0</v>
      </c>
      <c r="N155" s="465">
        <f t="shared" ca="1" si="82"/>
        <v>0</v>
      </c>
      <c r="O155" s="465">
        <f t="shared" ca="1" si="78"/>
        <v>0</v>
      </c>
      <c r="P155" s="465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2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2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IFERROR(__xludf.DUMMYFUNCTION("IMPORTRANGE(""https://docs.google.com/spreadsheets/d/1MeEWN-I1oV_STSDYn1IFDPWt_1FKiwhDph83XaGc0o0/edit?usp=sharing"",""งบพรบ!BX17"")"),0)</f>
        <v>0</v>
      </c>
      <c r="M157" s="93">
        <f ca="1">IFERROR(__xludf.DUMMYFUNCTION("IMPORTRANGE(""https://docs.google.com/spreadsheets/d/1MeEWN-I1oV_STSDYn1IFDPWt_1FKiwhDph83XaGc0o0/edit?usp=sharing"",""งบพรบ!CA17"")"),0)</f>
        <v>0</v>
      </c>
      <c r="N157" s="93">
        <f ca="1">IFERROR(__xludf.DUMMYFUNCTION("IMPORTRANGE(""https://docs.google.com/spreadsheets/d/1MeEWN-I1oV_STSDYn1IFDPWt_1FKiwhDph83XaGc0o0/edit?usp=sharing"",""งบพรบ!CC17"")"),0)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>
      <c r="A158" s="170"/>
      <c r="B158" s="171"/>
      <c r="C158" s="164" t="s">
        <v>16</v>
      </c>
      <c r="D158" s="818" t="s">
        <v>38</v>
      </c>
      <c r="E158" s="173"/>
      <c r="F158" s="173"/>
      <c r="G158" s="174"/>
      <c r="H158" s="168"/>
      <c r="I158" s="269"/>
      <c r="J158" s="269"/>
      <c r="K158" s="465"/>
      <c r="L158" s="465"/>
      <c r="M158" s="465"/>
      <c r="N158" s="465"/>
      <c r="O158" s="465"/>
      <c r="P158" s="465"/>
    </row>
    <row r="159" spans="1:26" ht="19.5">
      <c r="A159" s="159"/>
      <c r="B159" s="33"/>
      <c r="C159" s="210"/>
      <c r="D159" s="281" t="s">
        <v>78</v>
      </c>
      <c r="E159" s="34"/>
      <c r="F159" s="33"/>
      <c r="G159" s="213"/>
      <c r="H159" s="168" t="s">
        <v>35</v>
      </c>
      <c r="I159" s="269">
        <f ca="1">IFERROR(__xludf.DUMMYFUNCTION("IMPORTRANGE(""https://docs.google.com/spreadsheets/d/1QqKyyYR6Q21VydFLVH3TRQUabQu_ym0Zz7PgGX0-kHA/edit?usp=sharing"",""แผน!X17"")"),20)</f>
        <v>20</v>
      </c>
      <c r="J159" s="214">
        <v>0</v>
      </c>
      <c r="K159" s="465">
        <f ca="1">IF(I159&gt;0,J159*100/I159,0)</f>
        <v>0</v>
      </c>
      <c r="L159" s="465"/>
      <c r="M159" s="465"/>
      <c r="N159" s="465"/>
      <c r="O159" s="465"/>
      <c r="P159" s="465"/>
    </row>
    <row r="160" spans="1:26" ht="19.5" hidden="1">
      <c r="A160" s="156"/>
      <c r="B160" s="40"/>
      <c r="C160" s="164"/>
      <c r="D160" s="222" t="s">
        <v>79</v>
      </c>
      <c r="E160" s="223"/>
      <c r="F160" s="40"/>
      <c r="G160" s="157"/>
      <c r="H160" s="169" t="s">
        <v>35</v>
      </c>
      <c r="I160" s="583"/>
      <c r="J160" s="583"/>
      <c r="K160" s="93"/>
      <c r="L160" s="93"/>
      <c r="M160" s="93"/>
      <c r="N160" s="93"/>
      <c r="O160" s="93"/>
      <c r="P160" s="93"/>
      <c r="Q160" s="224"/>
      <c r="R160" s="224"/>
      <c r="S160" s="224"/>
      <c r="T160" s="224"/>
      <c r="U160" s="224"/>
      <c r="V160" s="224"/>
      <c r="W160" s="224"/>
      <c r="X160" s="224"/>
      <c r="Y160" s="224"/>
      <c r="Z160" s="224"/>
    </row>
    <row r="161" spans="1:26" ht="19.5" hidden="1">
      <c r="A161" s="225"/>
      <c r="B161" s="226"/>
      <c r="C161" s="227"/>
      <c r="D161" s="228" t="s">
        <v>80</v>
      </c>
      <c r="E161" s="820"/>
      <c r="F161" s="226"/>
      <c r="G161" s="230"/>
      <c r="H161" s="231" t="s">
        <v>35</v>
      </c>
      <c r="I161" s="232"/>
      <c r="J161" s="232"/>
      <c r="K161" s="233"/>
      <c r="L161" s="233"/>
      <c r="M161" s="233"/>
      <c r="N161" s="233"/>
      <c r="O161" s="233"/>
      <c r="P161" s="233"/>
      <c r="Q161" s="224"/>
      <c r="R161" s="224"/>
      <c r="S161" s="224"/>
      <c r="T161" s="224"/>
      <c r="U161" s="224"/>
      <c r="V161" s="224"/>
      <c r="W161" s="224"/>
      <c r="X161" s="224"/>
      <c r="Y161" s="224"/>
      <c r="Z161" s="224"/>
    </row>
    <row r="162" spans="1:26" ht="19.5">
      <c r="A162" s="234" t="s">
        <v>81</v>
      </c>
      <c r="B162" s="235"/>
      <c r="C162" s="235"/>
      <c r="D162" s="235"/>
      <c r="E162" s="236"/>
      <c r="F162" s="236"/>
      <c r="G162" s="237"/>
      <c r="H162" s="238"/>
      <c r="I162" s="239"/>
      <c r="J162" s="239"/>
      <c r="K162" s="240"/>
      <c r="L162" s="240"/>
      <c r="M162" s="240"/>
      <c r="N162" s="240"/>
      <c r="O162" s="240"/>
      <c r="P162" s="240"/>
    </row>
    <row r="163" spans="1:26" ht="19.5">
      <c r="A163" s="241" t="s">
        <v>82</v>
      </c>
      <c r="B163" s="242"/>
      <c r="C163" s="242"/>
      <c r="D163" s="243"/>
      <c r="E163" s="243"/>
      <c r="F163" s="243"/>
      <c r="G163" s="244"/>
      <c r="H163" s="245"/>
      <c r="I163" s="246"/>
      <c r="J163" s="246"/>
      <c r="K163" s="247"/>
      <c r="L163" s="247"/>
      <c r="M163" s="247"/>
      <c r="N163" s="247"/>
      <c r="O163" s="247"/>
      <c r="P163" s="247"/>
    </row>
    <row r="164" spans="1:26" ht="19.5">
      <c r="A164" s="248"/>
      <c r="B164" s="249" t="s">
        <v>83</v>
      </c>
      <c r="C164" s="250"/>
      <c r="D164" s="173"/>
      <c r="E164" s="173"/>
      <c r="F164" s="173"/>
      <c r="G164" s="174"/>
      <c r="H164" s="251" t="s">
        <v>35</v>
      </c>
      <c r="I164" s="252">
        <f t="shared" ref="I164:J164" ca="1" si="83">I174+I177</f>
        <v>11</v>
      </c>
      <c r="J164" s="252">
        <f t="shared" si="83"/>
        <v>11</v>
      </c>
      <c r="K164" s="253">
        <f ca="1">IF(I164&gt;0,J164*100/I164,0)</f>
        <v>100</v>
      </c>
      <c r="L164" s="254"/>
      <c r="M164" s="254"/>
      <c r="N164" s="254"/>
      <c r="O164" s="254"/>
      <c r="P164" s="254"/>
    </row>
    <row r="165" spans="1:26" ht="19.5">
      <c r="A165" s="147"/>
      <c r="B165" s="148"/>
      <c r="C165" s="149" t="s">
        <v>16</v>
      </c>
      <c r="D165" s="817" t="s">
        <v>17</v>
      </c>
      <c r="E165" s="148"/>
      <c r="F165" s="148"/>
      <c r="G165" s="151"/>
      <c r="H165" s="152" t="s">
        <v>12</v>
      </c>
      <c r="I165" s="388"/>
      <c r="J165" s="388"/>
      <c r="K165" s="154"/>
      <c r="L165" s="155">
        <f t="shared" ref="L165:N165" ca="1" si="84">L166+L167</f>
        <v>22055</v>
      </c>
      <c r="M165" s="155">
        <f t="shared" ca="1" si="84"/>
        <v>22055</v>
      </c>
      <c r="N165" s="155">
        <f t="shared" ca="1" si="84"/>
        <v>22055</v>
      </c>
      <c r="O165" s="155">
        <f t="shared" ref="O165:O173" ca="1" si="85">IF(L165&gt;0,N165*100/L165,0)</f>
        <v>100</v>
      </c>
      <c r="P165" s="155">
        <f t="shared" ref="P165:P173" ca="1" si="86">IF(M165&gt;0,N165*100/M165,0)</f>
        <v>100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2" t="s">
        <v>18</v>
      </c>
      <c r="F166" s="40"/>
      <c r="G166" s="157"/>
      <c r="H166" s="158" t="s">
        <v>12</v>
      </c>
      <c r="I166" s="583"/>
      <c r="J166" s="583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2" t="s">
        <v>19</v>
      </c>
      <c r="F167" s="40"/>
      <c r="G167" s="157"/>
      <c r="H167" s="158" t="s">
        <v>12</v>
      </c>
      <c r="I167" s="583"/>
      <c r="J167" s="583"/>
      <c r="K167" s="93"/>
      <c r="L167" s="93">
        <f t="shared" ca="1" si="87"/>
        <v>22055</v>
      </c>
      <c r="M167" s="93">
        <f t="shared" ca="1" si="87"/>
        <v>22055</v>
      </c>
      <c r="N167" s="93">
        <f t="shared" ca="1" si="87"/>
        <v>22055</v>
      </c>
      <c r="O167" s="93">
        <f t="shared" ca="1" si="85"/>
        <v>100</v>
      </c>
      <c r="P167" s="93">
        <f t="shared" ca="1" si="86"/>
        <v>100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1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65">
        <f t="shared" ref="L168:N168" ca="1" si="88">L169+L170</f>
        <v>22055</v>
      </c>
      <c r="M168" s="465">
        <f t="shared" ca="1" si="88"/>
        <v>22055</v>
      </c>
      <c r="N168" s="465">
        <f t="shared" ca="1" si="88"/>
        <v>22055</v>
      </c>
      <c r="O168" s="465">
        <f t="shared" ca="1" si="85"/>
        <v>100</v>
      </c>
      <c r="P168" s="465">
        <f t="shared" ca="1" si="86"/>
        <v>100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2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2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IFERROR(__xludf.DUMMYFUNCTION("IMPORTRANGE(""https://docs.google.com/spreadsheets/d/1MeEWN-I1oV_STSDYn1IFDPWt_1FKiwhDph83XaGc0o0/edit?usp=sharing"",""งบพรบ!CE17"")"),22055)</f>
        <v>22055</v>
      </c>
      <c r="M170" s="93">
        <f ca="1">IFERROR(__xludf.DUMMYFUNCTION("IMPORTRANGE(""https://docs.google.com/spreadsheets/d/1MeEWN-I1oV_STSDYn1IFDPWt_1FKiwhDph83XaGc0o0/edit?usp=sharing"",""งบพรบ!CJ17"")"),22055)</f>
        <v>22055</v>
      </c>
      <c r="N170" s="93">
        <f ca="1">IFERROR(__xludf.DUMMYFUNCTION("IMPORTRANGE(""https://docs.google.com/spreadsheets/d/1MeEWN-I1oV_STSDYn1IFDPWt_1FKiwhDph83XaGc0o0/edit?usp=sharing"",""งบพรบ!CL17"")"),22055)</f>
        <v>22055</v>
      </c>
      <c r="O170" s="93">
        <f t="shared" ca="1" si="85"/>
        <v>100</v>
      </c>
      <c r="P170" s="93">
        <f t="shared" ca="1" si="86"/>
        <v>100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1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65">
        <f t="shared" ref="L171:N171" ca="1" si="89">L172+L173</f>
        <v>0</v>
      </c>
      <c r="M171" s="465">
        <f t="shared" ca="1" si="89"/>
        <v>0</v>
      </c>
      <c r="N171" s="465">
        <f t="shared" ca="1" si="89"/>
        <v>0</v>
      </c>
      <c r="O171" s="465">
        <f t="shared" ca="1" si="85"/>
        <v>0</v>
      </c>
      <c r="P171" s="465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2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2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IFERROR(__xludf.DUMMYFUNCTION("IMPORTRANGE(""https://docs.google.com/spreadsheets/d/1MeEWN-I1oV_STSDYn1IFDPWt_1FKiwhDph83XaGc0o0/edit?usp=sharing"",""งบพรบ!CH17"")"),0)</f>
        <v>0</v>
      </c>
      <c r="M173" s="93">
        <f ca="1">IFERROR(__xludf.DUMMYFUNCTION("IMPORTRANGE(""https://docs.google.com/spreadsheets/d/1MeEWN-I1oV_STSDYn1IFDPWt_1FKiwhDph83XaGc0o0/edit?usp=sharing"",""งบพรบ!CK17"")"),0)</f>
        <v>0</v>
      </c>
      <c r="N173" s="93">
        <f ca="1">IFERROR(__xludf.DUMMYFUNCTION("IMPORTRANGE(""https://docs.google.com/spreadsheets/d/1MeEWN-I1oV_STSDYn1IFDPWt_1FKiwhDph83XaGc0o0/edit?usp=sharing"",""งบพรบ!CM17"")"),0)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5"/>
      <c r="B174" s="256"/>
      <c r="C174" s="257" t="s">
        <v>84</v>
      </c>
      <c r="D174" s="256"/>
      <c r="E174" s="256"/>
      <c r="F174" s="256"/>
      <c r="G174" s="258"/>
      <c r="H174" s="259" t="s">
        <v>35</v>
      </c>
      <c r="I174" s="260">
        <f t="shared" ref="I174:J174" ca="1" si="90">I176</f>
        <v>11</v>
      </c>
      <c r="J174" s="260">
        <f t="shared" si="90"/>
        <v>11</v>
      </c>
      <c r="K174" s="261">
        <f ca="1">IF(I174&gt;0,J174*100/I174,0)</f>
        <v>100</v>
      </c>
      <c r="L174" s="261"/>
      <c r="M174" s="261"/>
      <c r="N174" s="261"/>
      <c r="O174" s="261"/>
      <c r="P174" s="261"/>
    </row>
    <row r="175" spans="1:26" ht="19.5">
      <c r="A175" s="170"/>
      <c r="B175" s="171"/>
      <c r="C175" s="164" t="s">
        <v>16</v>
      </c>
      <c r="D175" s="818" t="s">
        <v>38</v>
      </c>
      <c r="E175" s="173"/>
      <c r="F175" s="173"/>
      <c r="G175" s="174"/>
      <c r="H175" s="726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10" t="s">
        <v>85</v>
      </c>
      <c r="E176" s="342"/>
      <c r="F176" s="342"/>
      <c r="G176" s="179"/>
      <c r="H176" s="589" t="s">
        <v>35</v>
      </c>
      <c r="I176" s="269">
        <f ca="1">IFERROR(__xludf.DUMMYFUNCTION("IMPORTRANGE(""https://docs.google.com/spreadsheets/d/1QqKyyYR6Q21VydFLVH3TRQUabQu_ym0Zz7PgGX0-kHA/edit?usp=sharing"",""แผน!Y17"")"),11)</f>
        <v>11</v>
      </c>
      <c r="J176" s="214">
        <v>11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5"/>
      <c r="B177" s="263"/>
      <c r="C177" s="264" t="s">
        <v>86</v>
      </c>
      <c r="D177" s="263"/>
      <c r="E177" s="256"/>
      <c r="F177" s="256"/>
      <c r="G177" s="258"/>
      <c r="H177" s="265" t="s">
        <v>35</v>
      </c>
      <c r="I177" s="260"/>
      <c r="J177" s="260">
        <f>J179</f>
        <v>0</v>
      </c>
      <c r="K177" s="261"/>
      <c r="L177" s="261"/>
      <c r="M177" s="261"/>
      <c r="N177" s="261"/>
      <c r="O177" s="261"/>
      <c r="P177" s="261"/>
    </row>
    <row r="178" spans="1:26" ht="19.5" hidden="1">
      <c r="A178" s="170"/>
      <c r="B178" s="171"/>
      <c r="C178" s="164" t="s">
        <v>16</v>
      </c>
      <c r="D178" s="266" t="s">
        <v>38</v>
      </c>
      <c r="E178" s="173"/>
      <c r="F178" s="173"/>
      <c r="G178" s="174"/>
      <c r="H178" s="726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267" t="s">
        <v>87</v>
      </c>
      <c r="E179" s="342"/>
      <c r="F179" s="268"/>
      <c r="G179" s="179"/>
      <c r="H179" s="43" t="s">
        <v>35</v>
      </c>
      <c r="I179" s="269"/>
      <c r="J179" s="269"/>
      <c r="K179" s="163"/>
      <c r="L179" s="163"/>
      <c r="M179" s="163"/>
      <c r="N179" s="163"/>
      <c r="O179" s="163"/>
      <c r="P179" s="163"/>
    </row>
    <row r="180" spans="1:26" ht="19.5">
      <c r="A180" s="248"/>
      <c r="B180" s="249" t="s">
        <v>88</v>
      </c>
      <c r="C180" s="250"/>
      <c r="D180" s="173"/>
      <c r="E180" s="173"/>
      <c r="F180" s="173"/>
      <c r="G180" s="174"/>
      <c r="H180" s="251" t="s">
        <v>35</v>
      </c>
      <c r="I180" s="252"/>
      <c r="J180" s="252">
        <f>J225+J226</f>
        <v>0</v>
      </c>
      <c r="K180" s="253">
        <f>IF(I180&gt;0,J180*100/I180,0)</f>
        <v>0</v>
      </c>
      <c r="L180" s="254"/>
      <c r="M180" s="254"/>
      <c r="N180" s="254"/>
      <c r="O180" s="254"/>
      <c r="P180" s="254"/>
    </row>
    <row r="181" spans="1:26" ht="19.5">
      <c r="A181" s="147"/>
      <c r="B181" s="148"/>
      <c r="C181" s="149" t="s">
        <v>16</v>
      </c>
      <c r="D181" s="817" t="s">
        <v>17</v>
      </c>
      <c r="E181" s="148"/>
      <c r="F181" s="148"/>
      <c r="G181" s="151"/>
      <c r="H181" s="152" t="s">
        <v>12</v>
      </c>
      <c r="I181" s="388"/>
      <c r="J181" s="388"/>
      <c r="K181" s="154"/>
      <c r="L181" s="155">
        <f t="shared" ref="L181:N181" ca="1" si="91">L182+L183</f>
        <v>63500</v>
      </c>
      <c r="M181" s="155">
        <f t="shared" ca="1" si="91"/>
        <v>30000</v>
      </c>
      <c r="N181" s="155">
        <f t="shared" ca="1" si="91"/>
        <v>8000</v>
      </c>
      <c r="O181" s="155">
        <f t="shared" ref="O181:O189" ca="1" si="92">IF(L181&gt;0,N181*100/L181,0)</f>
        <v>12.598425196850394</v>
      </c>
      <c r="P181" s="155">
        <f t="shared" ref="P181:P189" ca="1" si="93">IF(M181&gt;0,N181*100/M181,0)</f>
        <v>26.666666666666668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2" t="s">
        <v>18</v>
      </c>
      <c r="F182" s="40"/>
      <c r="G182" s="157"/>
      <c r="H182" s="158" t="s">
        <v>12</v>
      </c>
      <c r="I182" s="583"/>
      <c r="J182" s="583"/>
      <c r="K182" s="93"/>
      <c r="L182" s="93">
        <f t="shared" ref="L182:N183" si="94">L185+L188</f>
        <v>0</v>
      </c>
      <c r="M182" s="93">
        <f t="shared" si="94"/>
        <v>0</v>
      </c>
      <c r="N182" s="93">
        <f t="shared" si="94"/>
        <v>0</v>
      </c>
      <c r="O182" s="93">
        <f t="shared" si="92"/>
        <v>0</v>
      </c>
      <c r="P182" s="93">
        <f t="shared" si="93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2" t="s">
        <v>19</v>
      </c>
      <c r="F183" s="40"/>
      <c r="G183" s="157"/>
      <c r="H183" s="158" t="s">
        <v>12</v>
      </c>
      <c r="I183" s="583"/>
      <c r="J183" s="583"/>
      <c r="K183" s="93"/>
      <c r="L183" s="93">
        <f t="shared" ca="1" si="94"/>
        <v>63500</v>
      </c>
      <c r="M183" s="93">
        <f t="shared" ca="1" si="94"/>
        <v>30000</v>
      </c>
      <c r="N183" s="93">
        <f t="shared" ca="1" si="94"/>
        <v>8000</v>
      </c>
      <c r="O183" s="93">
        <f t="shared" ca="1" si="92"/>
        <v>12.598425196850394</v>
      </c>
      <c r="P183" s="93">
        <f t="shared" ca="1" si="93"/>
        <v>26.666666666666668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1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65">
        <f t="shared" ref="L184:N184" ca="1" si="95">L185+L186</f>
        <v>63500</v>
      </c>
      <c r="M184" s="465">
        <f t="shared" ca="1" si="95"/>
        <v>30000</v>
      </c>
      <c r="N184" s="465">
        <f t="shared" ca="1" si="95"/>
        <v>8000</v>
      </c>
      <c r="O184" s="465">
        <f t="shared" ca="1" si="92"/>
        <v>12.598425196850394</v>
      </c>
      <c r="P184" s="465">
        <f t="shared" ca="1" si="93"/>
        <v>26.666666666666668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2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2"/>
        <v>0</v>
      </c>
      <c r="P185" s="93">
        <f t="shared" si="93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2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IFERROR(__xludf.DUMMYFUNCTION("IMPORTRANGE(""https://docs.google.com/spreadsheets/d/1MeEWN-I1oV_STSDYn1IFDPWt_1FKiwhDph83XaGc0o0/edit?usp=sharing"",""งบพรบ!CO17"")"),63500)</f>
        <v>63500</v>
      </c>
      <c r="M186" s="93">
        <f ca="1">IFERROR(__xludf.DUMMYFUNCTION("IMPORTRANGE(""https://docs.google.com/spreadsheets/d/1MeEWN-I1oV_STSDYn1IFDPWt_1FKiwhDph83XaGc0o0/edit?usp=sharing"",""งบพรบ!CT17"")"),30000)</f>
        <v>30000</v>
      </c>
      <c r="N186" s="93">
        <f ca="1">IFERROR(__xludf.DUMMYFUNCTION("IMPORTRANGE(""https://docs.google.com/spreadsheets/d/1MeEWN-I1oV_STSDYn1IFDPWt_1FKiwhDph83XaGc0o0/edit?usp=sharing"",""งบพรบ!CV17"")"),8000)</f>
        <v>8000</v>
      </c>
      <c r="O186" s="93">
        <f t="shared" ca="1" si="92"/>
        <v>12.598425196850394</v>
      </c>
      <c r="P186" s="93">
        <f t="shared" ca="1" si="93"/>
        <v>26.666666666666668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1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65">
        <f t="shared" ref="L187:N187" ca="1" si="96">L188+L189</f>
        <v>0</v>
      </c>
      <c r="M187" s="465">
        <f t="shared" ca="1" si="96"/>
        <v>0</v>
      </c>
      <c r="N187" s="465">
        <f t="shared" ca="1" si="96"/>
        <v>0</v>
      </c>
      <c r="O187" s="465">
        <f t="shared" ca="1" si="92"/>
        <v>0</v>
      </c>
      <c r="P187" s="465">
        <f t="shared" ca="1" si="93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2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2"/>
        <v>0</v>
      </c>
      <c r="P188" s="93">
        <f t="shared" si="93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2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IFERROR(__xludf.DUMMYFUNCTION("IMPORTRANGE(""https://docs.google.com/spreadsheets/d/1MeEWN-I1oV_STSDYn1IFDPWt_1FKiwhDph83XaGc0o0/edit?usp=sharing"",""งบพรบ!CR17"")"),0)</f>
        <v>0</v>
      </c>
      <c r="M189" s="93">
        <f ca="1">IFERROR(__xludf.DUMMYFUNCTION("IMPORTRANGE(""https://docs.google.com/spreadsheets/d/1MeEWN-I1oV_STSDYn1IFDPWt_1FKiwhDph83XaGc0o0/edit?usp=sharing"",""งบพรบ!CU17"")"),0)</f>
        <v>0</v>
      </c>
      <c r="N189" s="93">
        <f ca="1">IFERROR(__xludf.DUMMYFUNCTION("IMPORTRANGE(""https://docs.google.com/spreadsheets/d/1MeEWN-I1oV_STSDYn1IFDPWt_1FKiwhDph83XaGc0o0/edit?usp=sharing"",""งบพรบ!CW17"")"),0)</f>
        <v>0</v>
      </c>
      <c r="O189" s="93">
        <f t="shared" ca="1" si="92"/>
        <v>0</v>
      </c>
      <c r="P189" s="93">
        <f t="shared" ca="1" si="93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5"/>
      <c r="B190" s="263"/>
      <c r="C190" s="339" t="s">
        <v>89</v>
      </c>
      <c r="D190" s="256"/>
      <c r="E190" s="256"/>
      <c r="F190" s="256"/>
      <c r="G190" s="258"/>
      <c r="H190" s="259" t="s">
        <v>90</v>
      </c>
      <c r="I190" s="271">
        <f t="shared" ref="I190:J190" ca="1" si="97">I193</f>
        <v>4</v>
      </c>
      <c r="J190" s="271">
        <f t="shared" si="97"/>
        <v>0</v>
      </c>
      <c r="K190" s="272">
        <f ca="1">IF(I190&gt;0,J190*100/I190,0)</f>
        <v>0</v>
      </c>
      <c r="L190" s="261"/>
      <c r="M190" s="261"/>
      <c r="N190" s="261"/>
      <c r="O190" s="261"/>
      <c r="P190" s="261"/>
    </row>
    <row r="191" spans="1:26" ht="19.5">
      <c r="A191" s="147"/>
      <c r="B191" s="148"/>
      <c r="C191" s="149" t="s">
        <v>16</v>
      </c>
      <c r="D191" s="822" t="s">
        <v>17</v>
      </c>
      <c r="E191" s="148"/>
      <c r="F191" s="148"/>
      <c r="G191" s="151"/>
      <c r="H191" s="274" t="s">
        <v>12</v>
      </c>
      <c r="I191" s="388"/>
      <c r="J191" s="388"/>
      <c r="K191" s="154"/>
      <c r="L191" s="155">
        <f ca="1">IFERROR(__xludf.DUMMYFUNCTION("IMPORTRANGE(""https://docs.google.com/spreadsheets/d/1QqKyyYR6Q21VydFLVH3TRQUabQu_ym0Zz7PgGX0-kHA/edit?usp=sharing"",""แผน!Z17"")"),6000)</f>
        <v>6000</v>
      </c>
      <c r="M191" s="155"/>
      <c r="N191" s="275">
        <v>0</v>
      </c>
      <c r="O191" s="155">
        <f ca="1">IF(L191&gt;0,N191*100/L191,0)</f>
        <v>0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0" t="s">
        <v>16</v>
      </c>
      <c r="D192" s="818" t="s">
        <v>38</v>
      </c>
      <c r="E192" s="173"/>
      <c r="F192" s="173"/>
      <c r="G192" s="174"/>
      <c r="H192" s="726"/>
      <c r="I192" s="269"/>
      <c r="J192" s="269"/>
      <c r="K192" s="465"/>
      <c r="L192" s="465"/>
      <c r="M192" s="465"/>
      <c r="N192" s="465"/>
      <c r="O192" s="465"/>
      <c r="P192" s="465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15" t="s">
        <v>91</v>
      </c>
      <c r="E193" s="342"/>
      <c r="F193" s="342"/>
      <c r="G193" s="179"/>
      <c r="H193" s="728" t="s">
        <v>90</v>
      </c>
      <c r="I193" s="269">
        <f ca="1">IFERROR(__xludf.DUMMYFUNCTION("IMPORTRANGE(""https://docs.google.com/spreadsheets/d/1QqKyyYR6Q21VydFLVH3TRQUabQu_ym0Zz7PgGX0-kHA/edit?usp=sharing"",""แผน!AC17"")"),4)</f>
        <v>4</v>
      </c>
      <c r="J193" s="214">
        <v>0</v>
      </c>
      <c r="K193" s="465">
        <f ca="1">IF(I193&gt;0,J193*100/I193,0)</f>
        <v>0</v>
      </c>
      <c r="L193" s="465"/>
      <c r="M193" s="465"/>
      <c r="N193" s="465"/>
      <c r="O193" s="465"/>
      <c r="P193" s="465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15" t="s">
        <v>92</v>
      </c>
      <c r="E194" s="342"/>
      <c r="F194" s="342"/>
      <c r="G194" s="179"/>
      <c r="H194" s="276" t="s">
        <v>35</v>
      </c>
      <c r="I194" s="269"/>
      <c r="J194" s="269">
        <f>J195+J196</f>
        <v>0</v>
      </c>
      <c r="K194" s="465"/>
      <c r="L194" s="465"/>
      <c r="M194" s="465"/>
      <c r="N194" s="465"/>
      <c r="O194" s="465"/>
      <c r="P194" s="465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15" t="s">
        <v>93</v>
      </c>
      <c r="F195" s="342"/>
      <c r="G195" s="179"/>
      <c r="H195" s="276" t="s">
        <v>35</v>
      </c>
      <c r="I195" s="269"/>
      <c r="J195" s="214">
        <v>0</v>
      </c>
      <c r="K195" s="465"/>
      <c r="L195" s="465"/>
      <c r="M195" s="465"/>
      <c r="N195" s="465"/>
      <c r="O195" s="465"/>
      <c r="P195" s="465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15" t="s">
        <v>94</v>
      </c>
      <c r="F196" s="342"/>
      <c r="G196" s="179"/>
      <c r="H196" s="276" t="s">
        <v>35</v>
      </c>
      <c r="I196" s="269"/>
      <c r="J196" s="214">
        <v>0</v>
      </c>
      <c r="K196" s="465"/>
      <c r="L196" s="465"/>
      <c r="M196" s="465"/>
      <c r="N196" s="465"/>
      <c r="O196" s="465"/>
      <c r="P196" s="465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5"/>
      <c r="B197" s="263"/>
      <c r="C197" s="339" t="s">
        <v>95</v>
      </c>
      <c r="D197" s="256"/>
      <c r="E197" s="256"/>
      <c r="F197" s="256"/>
      <c r="G197" s="258"/>
      <c r="H197" s="277" t="s">
        <v>96</v>
      </c>
      <c r="I197" s="271">
        <f t="shared" ref="I197:J197" ca="1" si="98">I204</f>
        <v>3</v>
      </c>
      <c r="J197" s="271">
        <f t="shared" si="98"/>
        <v>1</v>
      </c>
      <c r="K197" s="272">
        <f ca="1">IF(I197&gt;0,J197*100/I197,0)</f>
        <v>33.333333333333336</v>
      </c>
      <c r="L197" s="261"/>
      <c r="M197" s="261"/>
      <c r="N197" s="261"/>
      <c r="O197" s="261"/>
      <c r="P197" s="261"/>
    </row>
    <row r="198" spans="1:26" ht="19.5">
      <c r="A198" s="147"/>
      <c r="B198" s="148"/>
      <c r="C198" s="149" t="s">
        <v>16</v>
      </c>
      <c r="D198" s="822" t="s">
        <v>17</v>
      </c>
      <c r="E198" s="148"/>
      <c r="F198" s="148"/>
      <c r="G198" s="151"/>
      <c r="H198" s="274" t="s">
        <v>12</v>
      </c>
      <c r="I198" s="387"/>
      <c r="J198" s="387"/>
      <c r="K198" s="279"/>
      <c r="L198" s="155">
        <f ca="1">L199+L200+L201+L202</f>
        <v>39000</v>
      </c>
      <c r="M198" s="155"/>
      <c r="N198" s="155">
        <f>N199+N200+N201+N202</f>
        <v>0</v>
      </c>
      <c r="O198" s="155">
        <f ca="1">IF(L198&gt;0,N198*100/L198,0)</f>
        <v>0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0"/>
      <c r="C199" s="33"/>
      <c r="D199" s="281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65">
        <f ca="1">IFERROR(__xludf.DUMMYFUNCTION("IMPORTRANGE(""https://docs.google.com/spreadsheets/d/1QqKyyYR6Q21VydFLVH3TRQUabQu_ym0Zz7PgGX0-kHA/edit?usp=sharing"",""แผน!AE17"")"),3000)</f>
        <v>3000</v>
      </c>
      <c r="M199" s="465"/>
      <c r="N199" s="789">
        <v>0</v>
      </c>
      <c r="O199" s="465"/>
      <c r="P199" s="465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3"/>
      <c r="B200" s="280"/>
      <c r="C200" s="210"/>
      <c r="D200" s="281" t="s">
        <v>98</v>
      </c>
      <c r="E200" s="33"/>
      <c r="F200" s="33"/>
      <c r="G200" s="35"/>
      <c r="H200" s="589" t="s">
        <v>12</v>
      </c>
      <c r="I200" s="269"/>
      <c r="J200" s="269"/>
      <c r="K200" s="465"/>
      <c r="L200" s="465">
        <f ca="1">IFERROR(__xludf.DUMMYFUNCTION("IMPORTRANGE(""https://docs.google.com/spreadsheets/d/1QqKyyYR6Q21VydFLVH3TRQUabQu_ym0Zz7PgGX0-kHA/edit?usp=sharing"",""แผน!AF17"")"),24000)</f>
        <v>24000</v>
      </c>
      <c r="M200" s="465"/>
      <c r="N200" s="789">
        <v>0</v>
      </c>
      <c r="O200" s="465"/>
      <c r="P200" s="465"/>
      <c r="Q200" s="285"/>
      <c r="R200" s="285"/>
      <c r="S200" s="285"/>
      <c r="T200" s="285"/>
      <c r="U200" s="285"/>
      <c r="V200" s="285"/>
      <c r="W200" s="285"/>
      <c r="X200" s="285"/>
      <c r="Y200" s="285"/>
      <c r="Z200" s="285"/>
    </row>
    <row r="201" spans="1:26" ht="19.5">
      <c r="A201" s="283"/>
      <c r="B201" s="280"/>
      <c r="C201" s="210"/>
      <c r="D201" s="281" t="s">
        <v>99</v>
      </c>
      <c r="E201" s="33"/>
      <c r="F201" s="33"/>
      <c r="G201" s="35"/>
      <c r="H201" s="589" t="s">
        <v>12</v>
      </c>
      <c r="I201" s="269"/>
      <c r="J201" s="269"/>
      <c r="K201" s="465"/>
      <c r="L201" s="465">
        <f ca="1">IFERROR(__xludf.DUMMYFUNCTION("IMPORTRANGE(""https://docs.google.com/spreadsheets/d/1QqKyyYR6Q21VydFLVH3TRQUabQu_ym0Zz7PgGX0-kHA/edit?usp=sharing"",""แผน!AG17"")"),12000)</f>
        <v>12000</v>
      </c>
      <c r="M201" s="465"/>
      <c r="N201" s="789">
        <v>0</v>
      </c>
      <c r="O201" s="465"/>
      <c r="P201" s="465"/>
      <c r="Q201" s="285"/>
      <c r="R201" s="285"/>
      <c r="S201" s="285"/>
      <c r="T201" s="285"/>
      <c r="U201" s="285"/>
      <c r="V201" s="285"/>
      <c r="W201" s="285"/>
      <c r="X201" s="285"/>
      <c r="Y201" s="285"/>
      <c r="Z201" s="285"/>
    </row>
    <row r="202" spans="1:26" ht="19.5">
      <c r="A202" s="283"/>
      <c r="B202" s="280"/>
      <c r="C202" s="210"/>
      <c r="D202" s="281" t="s">
        <v>100</v>
      </c>
      <c r="E202" s="33"/>
      <c r="F202" s="33"/>
      <c r="G202" s="35"/>
      <c r="H202" s="589" t="s">
        <v>12</v>
      </c>
      <c r="I202" s="269"/>
      <c r="J202" s="269"/>
      <c r="K202" s="465"/>
      <c r="L202" s="465">
        <f ca="1">IFERROR(__xludf.DUMMYFUNCTION("IMPORTRANGE(""https://docs.google.com/spreadsheets/d/1QqKyyYR6Q21VydFLVH3TRQUabQu_ym0Zz7PgGX0-kHA/edit?usp=sharing"",""แผน!AH17"")"),0)</f>
        <v>0</v>
      </c>
      <c r="M202" s="465"/>
      <c r="N202" s="789">
        <v>0</v>
      </c>
      <c r="O202" s="465"/>
      <c r="P202" s="465"/>
      <c r="Q202" s="285"/>
      <c r="R202" s="285"/>
      <c r="S202" s="285"/>
      <c r="T202" s="285"/>
      <c r="U202" s="285"/>
      <c r="V202" s="285"/>
      <c r="W202" s="285"/>
      <c r="X202" s="285"/>
      <c r="Y202" s="285"/>
      <c r="Z202" s="285"/>
    </row>
    <row r="203" spans="1:26" ht="19.5">
      <c r="A203" s="170"/>
      <c r="B203" s="171"/>
      <c r="C203" s="210" t="s">
        <v>16</v>
      </c>
      <c r="D203" s="818" t="s">
        <v>38</v>
      </c>
      <c r="E203" s="173"/>
      <c r="F203" s="173"/>
      <c r="G203" s="174"/>
      <c r="H203" s="726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343" t="s">
        <v>101</v>
      </c>
      <c r="E204" s="342"/>
      <c r="F204" s="342"/>
      <c r="G204" s="179"/>
      <c r="H204" s="726" t="s">
        <v>96</v>
      </c>
      <c r="I204" s="269">
        <f ca="1">IFERROR(__xludf.DUMMYFUNCTION("IMPORTRANGE(""https://docs.google.com/spreadsheets/d/1QqKyyYR6Q21VydFLVH3TRQUabQu_ym0Zz7PgGX0-kHA/edit?usp=sharing"",""แผน!AI17"")"),3)</f>
        <v>3</v>
      </c>
      <c r="J204" s="214">
        <v>1</v>
      </c>
      <c r="K204" s="163">
        <f ca="1">IF(I204&gt;0,J204*100/I204,0)</f>
        <v>33.333333333333336</v>
      </c>
      <c r="L204" s="465"/>
      <c r="M204" s="465"/>
      <c r="N204" s="465"/>
      <c r="O204" s="465"/>
      <c r="P204" s="465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15" t="s">
        <v>59</v>
      </c>
      <c r="E205" s="342"/>
      <c r="F205" s="342"/>
      <c r="G205" s="179"/>
      <c r="H205" s="726"/>
      <c r="I205" s="269"/>
      <c r="J205" s="269"/>
      <c r="K205" s="163"/>
      <c r="L205" s="465"/>
      <c r="M205" s="465"/>
      <c r="N205" s="465"/>
      <c r="O205" s="465"/>
      <c r="P205" s="465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342"/>
      <c r="E206" s="494" t="s">
        <v>102</v>
      </c>
      <c r="F206" s="286"/>
      <c r="G206" s="287"/>
      <c r="H206" s="288" t="s">
        <v>96</v>
      </c>
      <c r="I206" s="269">
        <v>3</v>
      </c>
      <c r="J206" s="214">
        <v>0</v>
      </c>
      <c r="K206" s="163">
        <f t="shared" ref="K206:K208" si="99">IF(I206&gt;0,J206*100/I206,0)</f>
        <v>0</v>
      </c>
      <c r="L206" s="465"/>
      <c r="M206" s="465"/>
      <c r="N206" s="465"/>
      <c r="O206" s="465"/>
      <c r="P206" s="465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15"/>
      <c r="E207" s="415" t="s">
        <v>103</v>
      </c>
      <c r="F207" s="342"/>
      <c r="G207" s="342"/>
      <c r="H207" s="289" t="s">
        <v>104</v>
      </c>
      <c r="I207" s="269">
        <v>0</v>
      </c>
      <c r="J207" s="214">
        <v>0</v>
      </c>
      <c r="K207" s="163">
        <f t="shared" si="99"/>
        <v>0</v>
      </c>
      <c r="L207" s="465"/>
      <c r="M207" s="465"/>
      <c r="N207" s="465"/>
      <c r="O207" s="465"/>
      <c r="P207" s="465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 hidden="1">
      <c r="A208" s="255"/>
      <c r="B208" s="263"/>
      <c r="C208" s="339" t="s">
        <v>105</v>
      </c>
      <c r="D208" s="256"/>
      <c r="E208" s="256"/>
      <c r="F208" s="290"/>
      <c r="G208" s="258"/>
      <c r="H208" s="277" t="s">
        <v>96</v>
      </c>
      <c r="I208" s="271">
        <f t="shared" ref="I208:J208" ca="1" si="100">I215</f>
        <v>0</v>
      </c>
      <c r="J208" s="271">
        <f t="shared" si="100"/>
        <v>0</v>
      </c>
      <c r="K208" s="272">
        <f t="shared" ca="1" si="99"/>
        <v>0</v>
      </c>
      <c r="L208" s="261"/>
      <c r="M208" s="261"/>
      <c r="N208" s="261"/>
      <c r="O208" s="261"/>
      <c r="P208" s="261"/>
    </row>
    <row r="209" spans="1:26" ht="19.5" hidden="1">
      <c r="A209" s="147"/>
      <c r="B209" s="148"/>
      <c r="C209" s="149" t="s">
        <v>16</v>
      </c>
      <c r="D209" s="822" t="s">
        <v>17</v>
      </c>
      <c r="E209" s="148"/>
      <c r="F209" s="148"/>
      <c r="G209" s="151"/>
      <c r="H209" s="274" t="s">
        <v>12</v>
      </c>
      <c r="I209" s="387"/>
      <c r="J209" s="387"/>
      <c r="K209" s="279"/>
      <c r="L209" s="155">
        <f ca="1">L210+L211+L212</f>
        <v>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 hidden="1">
      <c r="A210" s="159"/>
      <c r="B210" s="280"/>
      <c r="C210" s="33"/>
      <c r="D210" s="281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65">
        <f ca="1">IFERROR(__xludf.DUMMYFUNCTION("IMPORTRANGE(""https://docs.google.com/spreadsheets/d/1QqKyyYR6Q21VydFLVH3TRQUabQu_ym0Zz7PgGX0-kHA/edit?usp=sharing"",""แผน!AK17"")"),0)</f>
        <v>0</v>
      </c>
      <c r="M210" s="465"/>
      <c r="N210" s="789">
        <v>0</v>
      </c>
      <c r="O210" s="465"/>
      <c r="P210" s="465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 hidden="1">
      <c r="A211" s="283"/>
      <c r="B211" s="280"/>
      <c r="C211" s="291"/>
      <c r="D211" s="281" t="s">
        <v>99</v>
      </c>
      <c r="E211" s="33"/>
      <c r="F211" s="33"/>
      <c r="G211" s="35"/>
      <c r="H211" s="161" t="s">
        <v>12</v>
      </c>
      <c r="I211" s="269"/>
      <c r="J211" s="269"/>
      <c r="K211" s="465"/>
      <c r="L211" s="465">
        <f ca="1">IFERROR(__xludf.DUMMYFUNCTION("IMPORTRANGE(""https://docs.google.com/spreadsheets/d/1QqKyyYR6Q21VydFLVH3TRQUabQu_ym0Zz7PgGX0-kHA/edit?usp=sharing"",""แผน!AL17"")"),0)</f>
        <v>0</v>
      </c>
      <c r="M211" s="465"/>
      <c r="N211" s="789">
        <v>0</v>
      </c>
      <c r="O211" s="465"/>
      <c r="P211" s="465"/>
      <c r="Q211" s="285"/>
      <c r="R211" s="285"/>
      <c r="S211" s="285"/>
      <c r="T211" s="285"/>
      <c r="U211" s="285"/>
      <c r="V211" s="285"/>
      <c r="W211" s="285"/>
      <c r="X211" s="285"/>
      <c r="Y211" s="285"/>
      <c r="Z211" s="285"/>
    </row>
    <row r="212" spans="1:26" ht="19.5" hidden="1">
      <c r="A212" s="283"/>
      <c r="B212" s="280"/>
      <c r="C212" s="291"/>
      <c r="D212" s="281" t="s">
        <v>98</v>
      </c>
      <c r="E212" s="33"/>
      <c r="F212" s="33"/>
      <c r="G212" s="35"/>
      <c r="H212" s="161" t="s">
        <v>12</v>
      </c>
      <c r="I212" s="269"/>
      <c r="J212" s="269"/>
      <c r="K212" s="465"/>
      <c r="L212" s="465">
        <f ca="1">IFERROR(__xludf.DUMMYFUNCTION("IMPORTRANGE(""https://docs.google.com/spreadsheets/d/1QqKyyYR6Q21VydFLVH3TRQUabQu_ym0Zz7PgGX0-kHA/edit?usp=sharing"",""แผน!AM17"")"),0)</f>
        <v>0</v>
      </c>
      <c r="M212" s="465"/>
      <c r="N212" s="789">
        <v>0</v>
      </c>
      <c r="O212" s="465"/>
      <c r="P212" s="465"/>
      <c r="Q212" s="285"/>
      <c r="R212" s="285"/>
      <c r="S212" s="285"/>
      <c r="T212" s="285"/>
      <c r="U212" s="285"/>
      <c r="V212" s="285"/>
      <c r="W212" s="285"/>
      <c r="X212" s="285"/>
      <c r="Y212" s="285"/>
      <c r="Z212" s="285"/>
    </row>
    <row r="213" spans="1:26" ht="19.5" hidden="1">
      <c r="A213" s="170"/>
      <c r="B213" s="171"/>
      <c r="C213" s="291" t="s">
        <v>16</v>
      </c>
      <c r="D213" s="818" t="s">
        <v>38</v>
      </c>
      <c r="E213" s="173"/>
      <c r="F213" s="173"/>
      <c r="G213" s="174"/>
      <c r="H213" s="726"/>
      <c r="I213" s="184"/>
      <c r="J213" s="269"/>
      <c r="K213" s="465"/>
      <c r="L213" s="465"/>
      <c r="M213" s="465"/>
      <c r="N213" s="465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 hidden="1">
      <c r="A214" s="170"/>
      <c r="B214" s="171"/>
      <c r="C214" s="171"/>
      <c r="D214" s="343" t="s">
        <v>106</v>
      </c>
      <c r="E214" s="342"/>
      <c r="F214" s="342"/>
      <c r="G214" s="179"/>
      <c r="H214" s="726" t="s">
        <v>96</v>
      </c>
      <c r="I214" s="269">
        <f ca="1">IFERROR(__xludf.DUMMYFUNCTION("IMPORTRANGE(""https://docs.google.com/spreadsheets/d/1QqKyyYR6Q21VydFLVH3TRQUabQu_ym0Zz7PgGX0-kHA/edit?usp=sharing"",""แผน!AN17"")"),0)</f>
        <v>0</v>
      </c>
      <c r="J214" s="214">
        <v>0</v>
      </c>
      <c r="K214" s="465">
        <f t="shared" ref="K214:K216" ca="1" si="101">IF(I214&gt;0,J214*100/I214,0)</f>
        <v>0</v>
      </c>
      <c r="L214" s="465"/>
      <c r="M214" s="465"/>
      <c r="N214" s="465"/>
      <c r="O214" s="465"/>
      <c r="P214" s="465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 hidden="1">
      <c r="A215" s="170"/>
      <c r="B215" s="171"/>
      <c r="C215" s="171"/>
      <c r="D215" s="343" t="s">
        <v>107</v>
      </c>
      <c r="E215" s="342"/>
      <c r="F215" s="342"/>
      <c r="G215" s="179"/>
      <c r="H215" s="726" t="s">
        <v>96</v>
      </c>
      <c r="I215" s="269">
        <f ca="1">IFERROR(__xludf.DUMMYFUNCTION("IMPORTRANGE(""https://docs.google.com/spreadsheets/d/1QqKyyYR6Q21VydFLVH3TRQUabQu_ym0Zz7PgGX0-kHA/edit?usp=sharing"",""แผน!AN17"")"),0)</f>
        <v>0</v>
      </c>
      <c r="J215" s="214">
        <v>0</v>
      </c>
      <c r="K215" s="465">
        <f t="shared" ca="1" si="101"/>
        <v>0</v>
      </c>
      <c r="L215" s="465"/>
      <c r="M215" s="465"/>
      <c r="N215" s="465"/>
      <c r="O215" s="465"/>
      <c r="P215" s="465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5"/>
      <c r="B216" s="263"/>
      <c r="C216" s="339" t="s">
        <v>108</v>
      </c>
      <c r="D216" s="256"/>
      <c r="E216" s="256"/>
      <c r="F216" s="290"/>
      <c r="G216" s="258"/>
      <c r="H216" s="259" t="s">
        <v>109</v>
      </c>
      <c r="I216" s="271">
        <f t="shared" ref="I216:J216" ca="1" si="102">I224</f>
        <v>50000</v>
      </c>
      <c r="J216" s="271">
        <f t="shared" si="102"/>
        <v>0</v>
      </c>
      <c r="K216" s="272">
        <f t="shared" ca="1" si="101"/>
        <v>0</v>
      </c>
      <c r="L216" s="261"/>
      <c r="M216" s="261"/>
      <c r="N216" s="261"/>
      <c r="O216" s="261"/>
      <c r="P216" s="261"/>
    </row>
    <row r="217" spans="1:26" ht="19.5">
      <c r="A217" s="147"/>
      <c r="B217" s="148"/>
      <c r="C217" s="149" t="s">
        <v>16</v>
      </c>
      <c r="D217" s="822" t="s">
        <v>17</v>
      </c>
      <c r="E217" s="148"/>
      <c r="F217" s="148"/>
      <c r="G217" s="151"/>
      <c r="H217" s="274" t="s">
        <v>12</v>
      </c>
      <c r="I217" s="387"/>
      <c r="J217" s="387"/>
      <c r="K217" s="279"/>
      <c r="L217" s="155">
        <f ca="1">L218+L219+L220</f>
        <v>18500</v>
      </c>
      <c r="M217" s="155"/>
      <c r="N217" s="155">
        <f>N218+N219+N220</f>
        <v>0</v>
      </c>
      <c r="O217" s="155">
        <f ca="1">IF(L217&gt;0,N217*100/L217,0)</f>
        <v>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0"/>
      <c r="C218" s="33"/>
      <c r="D218" s="281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65">
        <f ca="1">IFERROR(__xludf.DUMMYFUNCTION("IMPORTRANGE(""https://docs.google.com/spreadsheets/d/1QqKyyYR6Q21VydFLVH3TRQUabQu_ym0Zz7PgGX0-kHA/edit?usp=sharing"",""แผน!AP17"")"),5000)</f>
        <v>5000</v>
      </c>
      <c r="M218" s="465"/>
      <c r="N218" s="789">
        <v>0</v>
      </c>
      <c r="O218" s="465"/>
      <c r="P218" s="465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3"/>
      <c r="B219" s="280"/>
      <c r="C219" s="291"/>
      <c r="D219" s="281" t="s">
        <v>110</v>
      </c>
      <c r="E219" s="33"/>
      <c r="F219" s="33"/>
      <c r="G219" s="35"/>
      <c r="H219" s="161" t="s">
        <v>12</v>
      </c>
      <c r="I219" s="269"/>
      <c r="J219" s="269"/>
      <c r="K219" s="465"/>
      <c r="L219" s="465">
        <f ca="1">IFERROR(__xludf.DUMMYFUNCTION("IMPORTRANGE(""https://docs.google.com/spreadsheets/d/1QqKyyYR6Q21VydFLVH3TRQUabQu_ym0Zz7PgGX0-kHA/edit?usp=sharing"",""แผน!AQ17"")"),13500)</f>
        <v>13500</v>
      </c>
      <c r="M219" s="465"/>
      <c r="N219" s="789">
        <v>0</v>
      </c>
      <c r="O219" s="465"/>
      <c r="P219" s="465"/>
      <c r="Q219" s="285"/>
      <c r="R219" s="285"/>
      <c r="S219" s="285"/>
      <c r="T219" s="285"/>
      <c r="U219" s="285"/>
      <c r="V219" s="285"/>
      <c r="W219" s="285"/>
      <c r="X219" s="285"/>
      <c r="Y219" s="285"/>
      <c r="Z219" s="285"/>
    </row>
    <row r="220" spans="1:26" ht="19.5">
      <c r="A220" s="283"/>
      <c r="B220" s="280"/>
      <c r="C220" s="291"/>
      <c r="D220" s="281" t="s">
        <v>98</v>
      </c>
      <c r="E220" s="33"/>
      <c r="F220" s="33"/>
      <c r="G220" s="35"/>
      <c r="H220" s="161" t="s">
        <v>12</v>
      </c>
      <c r="I220" s="269"/>
      <c r="J220" s="269"/>
      <c r="K220" s="465"/>
      <c r="L220" s="465">
        <f ca="1">IFERROR(__xludf.DUMMYFUNCTION("IMPORTRANGE(""https://docs.google.com/spreadsheets/d/1QqKyyYR6Q21VydFLVH3TRQUabQu_ym0Zz7PgGX0-kHA/edit?usp=sharing"",""แผน!AR17"")"),0)</f>
        <v>0</v>
      </c>
      <c r="M220" s="465"/>
      <c r="N220" s="789">
        <v>0</v>
      </c>
      <c r="O220" s="465"/>
      <c r="P220" s="465"/>
      <c r="Q220" s="285"/>
      <c r="R220" s="285"/>
      <c r="S220" s="285"/>
      <c r="T220" s="285"/>
      <c r="U220" s="285"/>
      <c r="V220" s="285"/>
      <c r="W220" s="285"/>
      <c r="X220" s="285"/>
      <c r="Y220" s="285"/>
      <c r="Z220" s="285"/>
    </row>
    <row r="221" spans="1:26" ht="19.5">
      <c r="A221" s="170"/>
      <c r="B221" s="171"/>
      <c r="C221" s="291" t="s">
        <v>16</v>
      </c>
      <c r="D221" s="818" t="s">
        <v>38</v>
      </c>
      <c r="E221" s="173"/>
      <c r="F221" s="173"/>
      <c r="G221" s="174"/>
      <c r="H221" s="726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1" t="s">
        <v>111</v>
      </c>
      <c r="E222" s="342"/>
      <c r="F222" s="342"/>
      <c r="G222" s="179"/>
      <c r="H222" s="726"/>
      <c r="I222" s="269"/>
      <c r="J222" s="269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343" t="s">
        <v>112</v>
      </c>
      <c r="F223" s="342"/>
      <c r="G223" s="179"/>
      <c r="H223" s="728" t="s">
        <v>109</v>
      </c>
      <c r="I223" s="269">
        <f ca="1">IFERROR(__xludf.DUMMYFUNCTION("IMPORTRANGE(""https://docs.google.com/spreadsheets/d/1QqKyyYR6Q21VydFLVH3TRQUabQu_ym0Zz7PgGX0-kHA/edit?usp=sharing"",""แผน!AT17"")"),50000)</f>
        <v>50000</v>
      </c>
      <c r="J223" s="214">
        <v>0</v>
      </c>
      <c r="K223" s="163">
        <f t="shared" ref="K223:K226" ca="1" si="103">IF(I223&gt;0,J223*100/I223,0)</f>
        <v>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343" t="s">
        <v>113</v>
      </c>
      <c r="F224" s="342"/>
      <c r="G224" s="179"/>
      <c r="H224" s="728" t="s">
        <v>109</v>
      </c>
      <c r="I224" s="269">
        <f ca="1">IFERROR(__xludf.DUMMYFUNCTION("IMPORTRANGE(""https://docs.google.com/spreadsheets/d/1QqKyyYR6Q21VydFLVH3TRQUabQu_ym0Zz7PgGX0-kHA/edit?usp=sharing"",""แผน!AT17"")"),50000)</f>
        <v>50000</v>
      </c>
      <c r="J224" s="214">
        <v>0</v>
      </c>
      <c r="K224" s="163">
        <f t="shared" ca="1" si="103"/>
        <v>0</v>
      </c>
      <c r="L224" s="465"/>
      <c r="M224" s="465"/>
      <c r="N224" s="465"/>
      <c r="O224" s="465"/>
      <c r="P224" s="465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1" t="s">
        <v>114</v>
      </c>
      <c r="E225" s="342"/>
      <c r="F225" s="342"/>
      <c r="G225" s="179"/>
      <c r="H225" s="728" t="s">
        <v>35</v>
      </c>
      <c r="I225" s="269">
        <f ca="1">IFERROR(__xludf.DUMMYFUNCTION("IMPORTRANGE(""https://docs.google.com/spreadsheets/d/1QqKyyYR6Q21VydFLVH3TRQUabQu_ym0Zz7PgGX0-kHA/edit?usp=sharing"",""แผน!AS17"")"),0)</f>
        <v>0</v>
      </c>
      <c r="J225" s="214">
        <v>0</v>
      </c>
      <c r="K225" s="163">
        <f t="shared" ca="1" si="103"/>
        <v>0</v>
      </c>
      <c r="L225" s="465"/>
      <c r="M225" s="465"/>
      <c r="N225" s="465"/>
      <c r="O225" s="465"/>
      <c r="P225" s="465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5"/>
      <c r="B226" s="263"/>
      <c r="C226" s="823" t="s">
        <v>115</v>
      </c>
      <c r="D226" s="256"/>
      <c r="E226" s="256"/>
      <c r="F226" s="256"/>
      <c r="G226" s="258"/>
      <c r="H226" s="265" t="s">
        <v>35</v>
      </c>
      <c r="I226" s="824">
        <f t="shared" ref="I226:J226" ca="1" si="104">I237+I248</f>
        <v>0</v>
      </c>
      <c r="J226" s="824">
        <f t="shared" si="104"/>
        <v>0</v>
      </c>
      <c r="K226" s="825">
        <f t="shared" ca="1" si="103"/>
        <v>0</v>
      </c>
      <c r="L226" s="261"/>
      <c r="M226" s="261"/>
      <c r="N226" s="261"/>
      <c r="O226" s="261"/>
      <c r="P226" s="261"/>
    </row>
    <row r="227" spans="1:26" ht="19.5" hidden="1">
      <c r="A227" s="826"/>
      <c r="B227" s="827"/>
      <c r="C227" s="828" t="s">
        <v>16</v>
      </c>
      <c r="D227" s="829" t="s">
        <v>17</v>
      </c>
      <c r="E227" s="827"/>
      <c r="F227" s="827"/>
      <c r="G227" s="830"/>
      <c r="H227" s="831" t="s">
        <v>12</v>
      </c>
      <c r="I227" s="832"/>
      <c r="J227" s="832"/>
      <c r="K227" s="833"/>
      <c r="L227" s="834">
        <f t="shared" ref="L227:L231" ca="1" si="105">L238+L249</f>
        <v>0</v>
      </c>
      <c r="M227" s="834"/>
      <c r="N227" s="834">
        <f t="shared" ref="N227:N231" si="106">N238+N249</f>
        <v>0</v>
      </c>
      <c r="O227" s="835"/>
      <c r="P227" s="835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542"/>
      <c r="C228" s="40"/>
      <c r="D228" s="222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5"/>
        <v>0</v>
      </c>
      <c r="M228" s="93"/>
      <c r="N228" s="93">
        <f t="shared" si="106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836"/>
      <c r="B229" s="542"/>
      <c r="C229" s="837"/>
      <c r="D229" s="222" t="s">
        <v>98</v>
      </c>
      <c r="E229" s="40"/>
      <c r="F229" s="40"/>
      <c r="G229" s="42"/>
      <c r="H229" s="165" t="s">
        <v>12</v>
      </c>
      <c r="I229" s="583"/>
      <c r="J229" s="583"/>
      <c r="K229" s="93"/>
      <c r="L229" s="93">
        <f t="shared" ca="1" si="105"/>
        <v>0</v>
      </c>
      <c r="M229" s="93"/>
      <c r="N229" s="93">
        <f t="shared" si="106"/>
        <v>0</v>
      </c>
      <c r="O229" s="93"/>
      <c r="P229" s="93"/>
      <c r="Q229" s="838"/>
      <c r="R229" s="838"/>
      <c r="S229" s="838"/>
      <c r="T229" s="838"/>
      <c r="U229" s="838"/>
      <c r="V229" s="838"/>
      <c r="W229" s="838"/>
      <c r="X229" s="838"/>
      <c r="Y229" s="838"/>
      <c r="Z229" s="838"/>
    </row>
    <row r="230" spans="1:26" ht="19.5" hidden="1">
      <c r="A230" s="836"/>
      <c r="B230" s="542"/>
      <c r="C230" s="837"/>
      <c r="D230" s="222" t="s">
        <v>116</v>
      </c>
      <c r="E230" s="40"/>
      <c r="F230" s="40"/>
      <c r="G230" s="42"/>
      <c r="H230" s="165" t="s">
        <v>12</v>
      </c>
      <c r="I230" s="583"/>
      <c r="J230" s="583"/>
      <c r="K230" s="93"/>
      <c r="L230" s="93">
        <f t="shared" ca="1" si="105"/>
        <v>0</v>
      </c>
      <c r="M230" s="93"/>
      <c r="N230" s="93">
        <f t="shared" si="106"/>
        <v>0</v>
      </c>
      <c r="O230" s="93"/>
      <c r="P230" s="93"/>
      <c r="Q230" s="838"/>
      <c r="R230" s="838"/>
      <c r="S230" s="838"/>
      <c r="T230" s="838"/>
      <c r="U230" s="838"/>
      <c r="V230" s="838"/>
      <c r="W230" s="838"/>
      <c r="X230" s="838"/>
      <c r="Y230" s="838"/>
      <c r="Z230" s="838"/>
    </row>
    <row r="231" spans="1:26" ht="19.5" hidden="1">
      <c r="A231" s="836"/>
      <c r="B231" s="542"/>
      <c r="C231" s="837"/>
      <c r="D231" s="222" t="s">
        <v>100</v>
      </c>
      <c r="E231" s="40"/>
      <c r="F231" s="40"/>
      <c r="G231" s="42"/>
      <c r="H231" s="165" t="s">
        <v>12</v>
      </c>
      <c r="I231" s="583"/>
      <c r="J231" s="583"/>
      <c r="K231" s="93"/>
      <c r="L231" s="93">
        <f t="shared" ca="1" si="105"/>
        <v>0</v>
      </c>
      <c r="M231" s="93"/>
      <c r="N231" s="93">
        <f t="shared" si="106"/>
        <v>0</v>
      </c>
      <c r="O231" s="93"/>
      <c r="P231" s="93"/>
      <c r="Q231" s="838"/>
      <c r="R231" s="838"/>
      <c r="S231" s="838"/>
      <c r="T231" s="838"/>
      <c r="U231" s="838"/>
      <c r="V231" s="838"/>
      <c r="W231" s="838"/>
      <c r="X231" s="838"/>
      <c r="Y231" s="838"/>
      <c r="Z231" s="838"/>
    </row>
    <row r="232" spans="1:26" ht="19.5" hidden="1">
      <c r="A232" s="839"/>
      <c r="B232" s="840"/>
      <c r="C232" s="837" t="s">
        <v>16</v>
      </c>
      <c r="D232" s="266" t="s">
        <v>38</v>
      </c>
      <c r="E232" s="841"/>
      <c r="F232" s="841"/>
      <c r="G232" s="842"/>
      <c r="H232" s="581"/>
      <c r="I232" s="166"/>
      <c r="J232" s="583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839"/>
      <c r="B233" s="840"/>
      <c r="C233" s="840"/>
      <c r="D233" s="268" t="s">
        <v>117</v>
      </c>
      <c r="E233" s="536"/>
      <c r="F233" s="536"/>
      <c r="G233" s="843"/>
      <c r="H233" s="582" t="s">
        <v>35</v>
      </c>
      <c r="I233" s="583">
        <f t="shared" ref="I233:J233" ca="1" si="107">I244+I255</f>
        <v>0</v>
      </c>
      <c r="J233" s="583">
        <f t="shared" si="107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839"/>
      <c r="B234" s="840"/>
      <c r="C234" s="840"/>
      <c r="D234" s="844" t="s">
        <v>43</v>
      </c>
      <c r="E234" s="536"/>
      <c r="F234" s="536"/>
      <c r="G234" s="843"/>
      <c r="H234" s="582"/>
      <c r="I234" s="583"/>
      <c r="J234" s="583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839"/>
      <c r="B235" s="840"/>
      <c r="C235" s="840"/>
      <c r="D235" s="840"/>
      <c r="E235" s="267" t="s">
        <v>118</v>
      </c>
      <c r="F235" s="536"/>
      <c r="G235" s="843"/>
      <c r="H235" s="582" t="s">
        <v>35</v>
      </c>
      <c r="I235" s="583">
        <f t="shared" ref="I235:J236" si="108">I246+I257</f>
        <v>0</v>
      </c>
      <c r="J235" s="583">
        <f t="shared" si="108"/>
        <v>0</v>
      </c>
      <c r="K235" s="93">
        <f t="shared" ref="K235:K237" si="109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839"/>
      <c r="B236" s="840"/>
      <c r="C236" s="840"/>
      <c r="D236" s="840"/>
      <c r="E236" s="267" t="s">
        <v>119</v>
      </c>
      <c r="F236" s="536"/>
      <c r="G236" s="843"/>
      <c r="H236" s="582" t="s">
        <v>69</v>
      </c>
      <c r="I236" s="583">
        <f t="shared" si="108"/>
        <v>0</v>
      </c>
      <c r="J236" s="583">
        <f t="shared" si="108"/>
        <v>0</v>
      </c>
      <c r="K236" s="93">
        <f t="shared" si="109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5"/>
      <c r="B237" s="263"/>
      <c r="C237" s="339" t="s">
        <v>330</v>
      </c>
      <c r="D237" s="256"/>
      <c r="E237" s="256"/>
      <c r="F237" s="256"/>
      <c r="G237" s="258"/>
      <c r="H237" s="259" t="s">
        <v>35</v>
      </c>
      <c r="I237" s="271">
        <f t="shared" ref="I237:J237" ca="1" si="110">I244</f>
        <v>0</v>
      </c>
      <c r="J237" s="271">
        <f t="shared" si="110"/>
        <v>0</v>
      </c>
      <c r="K237" s="272">
        <f t="shared" ca="1" si="109"/>
        <v>0</v>
      </c>
      <c r="L237" s="261"/>
      <c r="M237" s="261"/>
      <c r="N237" s="261"/>
      <c r="O237" s="261"/>
      <c r="P237" s="261"/>
    </row>
    <row r="238" spans="1:26" ht="19.5" hidden="1">
      <c r="A238" s="147"/>
      <c r="B238" s="148"/>
      <c r="C238" s="149" t="s">
        <v>16</v>
      </c>
      <c r="D238" s="817" t="s">
        <v>17</v>
      </c>
      <c r="E238" s="148"/>
      <c r="F238" s="148"/>
      <c r="G238" s="151"/>
      <c r="H238" s="274" t="s">
        <v>12</v>
      </c>
      <c r="I238" s="387"/>
      <c r="J238" s="387"/>
      <c r="K238" s="279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3"/>
      <c r="B239" s="314"/>
      <c r="C239" s="315"/>
      <c r="D239" s="324" t="s">
        <v>97</v>
      </c>
      <c r="E239" s="315"/>
      <c r="F239" s="315"/>
      <c r="G239" s="317"/>
      <c r="H239" s="318" t="s">
        <v>12</v>
      </c>
      <c r="I239" s="319"/>
      <c r="J239" s="319"/>
      <c r="K239" s="320"/>
      <c r="L239" s="321">
        <f ca="1">IFERROR(__xludf.DUMMYFUNCTION("IMPORTRANGE(""https://docs.google.com/spreadsheets/d/1QqKyyYR6Q21VydFLVH3TRQUabQu_ym0Zz7PgGX0-kHA/edit?usp=sharing"",""แผน!AV17"")"),0)</f>
        <v>0</v>
      </c>
      <c r="M239" s="321"/>
      <c r="N239" s="340">
        <v>0</v>
      </c>
      <c r="O239" s="321"/>
      <c r="P239" s="321"/>
      <c r="Q239" s="312"/>
      <c r="R239" s="312"/>
      <c r="S239" s="312"/>
      <c r="T239" s="312"/>
      <c r="U239" s="312"/>
      <c r="V239" s="312"/>
      <c r="W239" s="312"/>
      <c r="X239" s="312"/>
      <c r="Y239" s="312"/>
      <c r="Z239" s="312"/>
    </row>
    <row r="240" spans="1:26" ht="19.5" hidden="1">
      <c r="A240" s="322"/>
      <c r="B240" s="314"/>
      <c r="C240" s="323"/>
      <c r="D240" s="324" t="s">
        <v>98</v>
      </c>
      <c r="E240" s="315"/>
      <c r="F240" s="315"/>
      <c r="G240" s="317"/>
      <c r="H240" s="318" t="s">
        <v>12</v>
      </c>
      <c r="I240" s="325"/>
      <c r="J240" s="325"/>
      <c r="K240" s="321"/>
      <c r="L240" s="321">
        <f ca="1">IFERROR(__xludf.DUMMYFUNCTION("IMPORTRANGE(""https://docs.google.com/spreadsheets/d/1QqKyyYR6Q21VydFLVH3TRQUabQu_ym0Zz7PgGX0-kHA/edit?usp=sharing"",""แผน!AW17"")"),0)</f>
        <v>0</v>
      </c>
      <c r="M240" s="321"/>
      <c r="N240" s="340">
        <v>0</v>
      </c>
      <c r="O240" s="321"/>
      <c r="P240" s="321"/>
      <c r="Q240" s="326"/>
      <c r="R240" s="326"/>
      <c r="S240" s="326"/>
      <c r="T240" s="326"/>
      <c r="U240" s="326"/>
      <c r="V240" s="326"/>
      <c r="W240" s="326"/>
      <c r="X240" s="326"/>
      <c r="Y240" s="326"/>
      <c r="Z240" s="326"/>
    </row>
    <row r="241" spans="1:26" ht="19.5" hidden="1">
      <c r="A241" s="322"/>
      <c r="B241" s="314"/>
      <c r="C241" s="323"/>
      <c r="D241" s="324" t="s">
        <v>116</v>
      </c>
      <c r="E241" s="315"/>
      <c r="F241" s="315"/>
      <c r="G241" s="317"/>
      <c r="H241" s="318" t="s">
        <v>12</v>
      </c>
      <c r="I241" s="325"/>
      <c r="J241" s="325"/>
      <c r="K241" s="321"/>
      <c r="L241" s="321">
        <f ca="1">IFERROR(__xludf.DUMMYFUNCTION("IMPORTRANGE(""https://docs.google.com/spreadsheets/d/1QqKyyYR6Q21VydFLVH3TRQUabQu_ym0Zz7PgGX0-kHA/edit?usp=sharing"",""แผน!AX17"")"),0)</f>
        <v>0</v>
      </c>
      <c r="M241" s="321"/>
      <c r="N241" s="340">
        <v>0</v>
      </c>
      <c r="O241" s="321"/>
      <c r="P241" s="321"/>
      <c r="Q241" s="326"/>
      <c r="R241" s="326"/>
      <c r="S241" s="326"/>
      <c r="T241" s="326"/>
      <c r="U241" s="326"/>
      <c r="V241" s="326"/>
      <c r="W241" s="326"/>
      <c r="X241" s="326"/>
      <c r="Y241" s="326"/>
      <c r="Z241" s="326"/>
    </row>
    <row r="242" spans="1:26" ht="19.5" hidden="1">
      <c r="A242" s="322"/>
      <c r="B242" s="314"/>
      <c r="C242" s="323"/>
      <c r="D242" s="324" t="s">
        <v>100</v>
      </c>
      <c r="E242" s="315"/>
      <c r="F242" s="315"/>
      <c r="G242" s="317"/>
      <c r="H242" s="318" t="s">
        <v>12</v>
      </c>
      <c r="I242" s="325"/>
      <c r="J242" s="325"/>
      <c r="K242" s="321"/>
      <c r="L242" s="321">
        <f ca="1">IFERROR(__xludf.DUMMYFUNCTION("IMPORTRANGE(""https://docs.google.com/spreadsheets/d/1QqKyyYR6Q21VydFLVH3TRQUabQu_ym0Zz7PgGX0-kHA/edit?usp=sharing"",""แผน!AY17"")"),0)</f>
        <v>0</v>
      </c>
      <c r="M242" s="321"/>
      <c r="N242" s="340">
        <v>0</v>
      </c>
      <c r="O242" s="321"/>
      <c r="P242" s="321"/>
      <c r="Q242" s="326"/>
      <c r="R242" s="326"/>
      <c r="S242" s="326"/>
      <c r="T242" s="326"/>
      <c r="U242" s="326"/>
      <c r="V242" s="326"/>
      <c r="W242" s="326"/>
      <c r="X242" s="326"/>
      <c r="Y242" s="326"/>
      <c r="Z242" s="326"/>
    </row>
    <row r="243" spans="1:26" ht="19.5" hidden="1">
      <c r="A243" s="170"/>
      <c r="B243" s="171"/>
      <c r="C243" s="291" t="s">
        <v>16</v>
      </c>
      <c r="D243" s="818" t="s">
        <v>38</v>
      </c>
      <c r="E243" s="173"/>
      <c r="F243" s="173"/>
      <c r="G243" s="174"/>
      <c r="H243" s="726"/>
      <c r="I243" s="184"/>
      <c r="J243" s="269"/>
      <c r="K243" s="465"/>
      <c r="L243" s="465"/>
      <c r="M243" s="465"/>
      <c r="N243" s="465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15" t="s">
        <v>117</v>
      </c>
      <c r="E244" s="342"/>
      <c r="F244" s="342"/>
      <c r="G244" s="179"/>
      <c r="H244" s="728" t="s">
        <v>35</v>
      </c>
      <c r="I244" s="269">
        <f ca="1">IFERROR(__xludf.DUMMYFUNCTION("IMPORTRANGE(""https://docs.google.com/spreadsheets/d/1QqKyyYR6Q21VydFLVH3TRQUabQu_ym0Zz7PgGX0-kHA/edit?usp=sharing"",""แผน!BE17"")"),0)</f>
        <v>0</v>
      </c>
      <c r="J244" s="214">
        <v>0</v>
      </c>
      <c r="K244" s="465">
        <f ca="1">IF(I244&gt;0,J244*100/I244,0)</f>
        <v>0</v>
      </c>
      <c r="L244" s="465"/>
      <c r="M244" s="465"/>
      <c r="N244" s="465"/>
      <c r="O244" s="465"/>
      <c r="P244" s="465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341" t="s">
        <v>43</v>
      </c>
      <c r="E245" s="342"/>
      <c r="F245" s="342"/>
      <c r="G245" s="179"/>
      <c r="H245" s="728"/>
      <c r="I245" s="269"/>
      <c r="J245" s="269"/>
      <c r="K245" s="465"/>
      <c r="L245" s="465"/>
      <c r="M245" s="465"/>
      <c r="N245" s="465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343" t="s">
        <v>118</v>
      </c>
      <c r="F246" s="342"/>
      <c r="G246" s="179"/>
      <c r="H246" s="728" t="s">
        <v>35</v>
      </c>
      <c r="I246" s="269"/>
      <c r="J246" s="214">
        <v>0</v>
      </c>
      <c r="K246" s="465">
        <f t="shared" ref="K246:K248" si="111">IF(I246&gt;0,J246*100/I246,0)</f>
        <v>0</v>
      </c>
      <c r="L246" s="465"/>
      <c r="M246" s="465"/>
      <c r="N246" s="465"/>
      <c r="O246" s="465"/>
      <c r="P246" s="465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343" t="s">
        <v>119</v>
      </c>
      <c r="F247" s="342"/>
      <c r="G247" s="179"/>
      <c r="H247" s="728" t="s">
        <v>69</v>
      </c>
      <c r="I247" s="269"/>
      <c r="J247" s="214">
        <v>0</v>
      </c>
      <c r="K247" s="465">
        <f t="shared" si="111"/>
        <v>0</v>
      </c>
      <c r="L247" s="465"/>
      <c r="M247" s="465"/>
      <c r="N247" s="465"/>
      <c r="O247" s="465"/>
      <c r="P247" s="465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5"/>
      <c r="B248" s="263"/>
      <c r="C248" s="339" t="s">
        <v>331</v>
      </c>
      <c r="D248" s="256"/>
      <c r="E248" s="256"/>
      <c r="F248" s="256"/>
      <c r="G248" s="258"/>
      <c r="H248" s="259" t="s">
        <v>35</v>
      </c>
      <c r="I248" s="271">
        <f t="shared" ref="I248:J248" ca="1" si="112">I255</f>
        <v>0</v>
      </c>
      <c r="J248" s="271">
        <f t="shared" si="112"/>
        <v>0</v>
      </c>
      <c r="K248" s="272">
        <f t="shared" ca="1" si="111"/>
        <v>0</v>
      </c>
      <c r="L248" s="261"/>
      <c r="M248" s="261"/>
      <c r="N248" s="261"/>
      <c r="O248" s="261"/>
      <c r="P248" s="261"/>
    </row>
    <row r="249" spans="1:26" ht="19.5" hidden="1">
      <c r="A249" s="147"/>
      <c r="B249" s="148"/>
      <c r="C249" s="149" t="s">
        <v>16</v>
      </c>
      <c r="D249" s="822" t="s">
        <v>17</v>
      </c>
      <c r="E249" s="148"/>
      <c r="F249" s="148"/>
      <c r="G249" s="151"/>
      <c r="H249" s="274" t="s">
        <v>12</v>
      </c>
      <c r="I249" s="387"/>
      <c r="J249" s="387"/>
      <c r="K249" s="279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3"/>
      <c r="B250" s="314"/>
      <c r="C250" s="315"/>
      <c r="D250" s="324" t="s">
        <v>97</v>
      </c>
      <c r="E250" s="315"/>
      <c r="F250" s="315"/>
      <c r="G250" s="317"/>
      <c r="H250" s="318" t="s">
        <v>12</v>
      </c>
      <c r="I250" s="319"/>
      <c r="J250" s="319"/>
      <c r="K250" s="320"/>
      <c r="L250" s="321">
        <f ca="1">IFERROR(__xludf.DUMMYFUNCTION("IMPORTRANGE(""https://docs.google.com/spreadsheets/d/1QqKyyYR6Q21VydFLVH3TRQUabQu_ym0Zz7PgGX0-kHA/edit?usp=sharing"",""แผน!AZ17"")"),0)</f>
        <v>0</v>
      </c>
      <c r="M250" s="321"/>
      <c r="N250" s="340">
        <v>0</v>
      </c>
      <c r="O250" s="321"/>
      <c r="P250" s="321"/>
      <c r="Q250" s="312"/>
      <c r="R250" s="312"/>
      <c r="S250" s="312"/>
      <c r="T250" s="312"/>
      <c r="U250" s="312"/>
      <c r="V250" s="312"/>
      <c r="W250" s="312"/>
      <c r="X250" s="312"/>
      <c r="Y250" s="312"/>
      <c r="Z250" s="312"/>
    </row>
    <row r="251" spans="1:26" ht="19.5" hidden="1">
      <c r="A251" s="322"/>
      <c r="B251" s="314"/>
      <c r="C251" s="323"/>
      <c r="D251" s="324" t="s">
        <v>98</v>
      </c>
      <c r="E251" s="315"/>
      <c r="F251" s="315"/>
      <c r="G251" s="317"/>
      <c r="H251" s="318" t="s">
        <v>12</v>
      </c>
      <c r="I251" s="325"/>
      <c r="J251" s="325"/>
      <c r="K251" s="321"/>
      <c r="L251" s="321">
        <f ca="1">IFERROR(__xludf.DUMMYFUNCTION("IMPORTRANGE(""https://docs.google.com/spreadsheets/d/1QqKyyYR6Q21VydFLVH3TRQUabQu_ym0Zz7PgGX0-kHA/edit?usp=sharing"",""แผน!BA17"")"),0)</f>
        <v>0</v>
      </c>
      <c r="M251" s="321"/>
      <c r="N251" s="340">
        <v>0</v>
      </c>
      <c r="O251" s="321"/>
      <c r="P251" s="321"/>
      <c r="Q251" s="326"/>
      <c r="R251" s="326"/>
      <c r="S251" s="326"/>
      <c r="T251" s="326"/>
      <c r="U251" s="326"/>
      <c r="V251" s="326"/>
      <c r="W251" s="326"/>
      <c r="X251" s="326"/>
      <c r="Y251" s="326"/>
      <c r="Z251" s="326"/>
    </row>
    <row r="252" spans="1:26" ht="19.5" hidden="1">
      <c r="A252" s="322"/>
      <c r="B252" s="314"/>
      <c r="C252" s="323"/>
      <c r="D252" s="324" t="s">
        <v>116</v>
      </c>
      <c r="E252" s="315"/>
      <c r="F252" s="315"/>
      <c r="G252" s="317"/>
      <c r="H252" s="318" t="s">
        <v>12</v>
      </c>
      <c r="I252" s="325"/>
      <c r="J252" s="325"/>
      <c r="K252" s="321"/>
      <c r="L252" s="321">
        <f ca="1">IFERROR(__xludf.DUMMYFUNCTION("IMPORTRANGE(""https://docs.google.com/spreadsheets/d/1QqKyyYR6Q21VydFLVH3TRQUabQu_ym0Zz7PgGX0-kHA/edit?usp=sharing"",""แผน!BB17"")"),0)</f>
        <v>0</v>
      </c>
      <c r="M252" s="321"/>
      <c r="N252" s="340">
        <v>0</v>
      </c>
      <c r="O252" s="321"/>
      <c r="P252" s="321"/>
      <c r="Q252" s="326"/>
      <c r="R252" s="326"/>
      <c r="S252" s="326"/>
      <c r="T252" s="326"/>
      <c r="U252" s="326"/>
      <c r="V252" s="326"/>
      <c r="W252" s="326"/>
      <c r="X252" s="326"/>
      <c r="Y252" s="326"/>
      <c r="Z252" s="326"/>
    </row>
    <row r="253" spans="1:26" ht="19.5" hidden="1">
      <c r="A253" s="322"/>
      <c r="B253" s="314"/>
      <c r="C253" s="323"/>
      <c r="D253" s="324" t="s">
        <v>100</v>
      </c>
      <c r="E253" s="315"/>
      <c r="F253" s="315"/>
      <c r="G253" s="317"/>
      <c r="H253" s="318" t="s">
        <v>12</v>
      </c>
      <c r="I253" s="325"/>
      <c r="J253" s="325"/>
      <c r="K253" s="321"/>
      <c r="L253" s="321">
        <f ca="1">IFERROR(__xludf.DUMMYFUNCTION("IMPORTRANGE(""https://docs.google.com/spreadsheets/d/1QqKyyYR6Q21VydFLVH3TRQUabQu_ym0Zz7PgGX0-kHA/edit?usp=sharing"",""แผน!BC17"")"),0)</f>
        <v>0</v>
      </c>
      <c r="M253" s="321"/>
      <c r="N253" s="340">
        <v>0</v>
      </c>
      <c r="O253" s="321"/>
      <c r="P253" s="321"/>
      <c r="Q253" s="326"/>
      <c r="R253" s="326"/>
      <c r="S253" s="326"/>
      <c r="T253" s="326"/>
      <c r="U253" s="326"/>
      <c r="V253" s="326"/>
      <c r="W253" s="326"/>
      <c r="X253" s="326"/>
      <c r="Y253" s="326"/>
      <c r="Z253" s="326"/>
    </row>
    <row r="254" spans="1:26" ht="19.5" hidden="1">
      <c r="A254" s="170"/>
      <c r="B254" s="171"/>
      <c r="C254" s="291" t="s">
        <v>16</v>
      </c>
      <c r="D254" s="818" t="s">
        <v>38</v>
      </c>
      <c r="E254" s="173"/>
      <c r="F254" s="173"/>
      <c r="G254" s="174"/>
      <c r="H254" s="726"/>
      <c r="I254" s="184"/>
      <c r="J254" s="269"/>
      <c r="K254" s="465"/>
      <c r="L254" s="465"/>
      <c r="M254" s="465"/>
      <c r="N254" s="465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15" t="s">
        <v>117</v>
      </c>
      <c r="E255" s="342"/>
      <c r="F255" s="342"/>
      <c r="G255" s="179"/>
      <c r="H255" s="728" t="s">
        <v>35</v>
      </c>
      <c r="I255" s="269">
        <f ca="1">IFERROR(__xludf.DUMMYFUNCTION("IMPORTRANGE(""https://docs.google.com/spreadsheets/d/1QqKyyYR6Q21VydFLVH3TRQUabQu_ym0Zz7PgGX0-kHA/edit?usp=sharing"",""แผน!BF17"")"),0)</f>
        <v>0</v>
      </c>
      <c r="J255" s="214">
        <v>0</v>
      </c>
      <c r="K255" s="465">
        <f ca="1">IF(I255&gt;0,J255*100/I255,0)</f>
        <v>0</v>
      </c>
      <c r="L255" s="465"/>
      <c r="M255" s="465"/>
      <c r="N255" s="465"/>
      <c r="O255" s="465"/>
      <c r="P255" s="465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341" t="s">
        <v>43</v>
      </c>
      <c r="E256" s="342"/>
      <c r="F256" s="342"/>
      <c r="G256" s="179"/>
      <c r="H256" s="728"/>
      <c r="I256" s="269"/>
      <c r="J256" s="269"/>
      <c r="K256" s="465"/>
      <c r="L256" s="465"/>
      <c r="M256" s="465"/>
      <c r="N256" s="465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343" t="s">
        <v>118</v>
      </c>
      <c r="F257" s="342"/>
      <c r="G257" s="179"/>
      <c r="H257" s="728" t="s">
        <v>35</v>
      </c>
      <c r="I257" s="269"/>
      <c r="J257" s="214">
        <v>0</v>
      </c>
      <c r="K257" s="465">
        <f t="shared" ref="K257:K258" si="113">IF(I257&gt;0,J257*100/I257,0)</f>
        <v>0</v>
      </c>
      <c r="L257" s="465"/>
      <c r="M257" s="465"/>
      <c r="N257" s="465"/>
      <c r="O257" s="465"/>
      <c r="P257" s="465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343" t="s">
        <v>119</v>
      </c>
      <c r="F258" s="342"/>
      <c r="G258" s="179"/>
      <c r="H258" s="728" t="s">
        <v>69</v>
      </c>
      <c r="I258" s="269"/>
      <c r="J258" s="214">
        <v>0</v>
      </c>
      <c r="K258" s="465">
        <f t="shared" si="113"/>
        <v>0</v>
      </c>
      <c r="L258" s="465"/>
      <c r="M258" s="465"/>
      <c r="N258" s="465"/>
      <c r="O258" s="465"/>
      <c r="P258" s="465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1" t="s">
        <v>122</v>
      </c>
      <c r="B259" s="242"/>
      <c r="C259" s="242"/>
      <c r="D259" s="243"/>
      <c r="E259" s="243"/>
      <c r="F259" s="243"/>
      <c r="G259" s="244"/>
      <c r="H259" s="245"/>
      <c r="I259" s="246"/>
      <c r="J259" s="246"/>
      <c r="K259" s="247"/>
      <c r="L259" s="247"/>
      <c r="M259" s="247"/>
      <c r="N259" s="247"/>
      <c r="O259" s="247"/>
      <c r="P259" s="247"/>
    </row>
    <row r="260" spans="1:26" ht="19.5">
      <c r="A260" s="248"/>
      <c r="B260" s="249" t="s">
        <v>123</v>
      </c>
      <c r="C260" s="250"/>
      <c r="D260" s="173"/>
      <c r="E260" s="173"/>
      <c r="F260" s="173"/>
      <c r="G260" s="174"/>
      <c r="H260" s="251" t="s">
        <v>35</v>
      </c>
      <c r="I260" s="252">
        <f t="shared" ref="I260:J260" ca="1" si="114">I271</f>
        <v>22</v>
      </c>
      <c r="J260" s="252">
        <f t="shared" si="114"/>
        <v>22</v>
      </c>
      <c r="K260" s="253">
        <f ca="1">IF(I260&gt;0,J260*100/I260,0)</f>
        <v>100</v>
      </c>
      <c r="L260" s="254"/>
      <c r="M260" s="254"/>
      <c r="N260" s="254"/>
      <c r="O260" s="254"/>
      <c r="P260" s="254"/>
    </row>
    <row r="261" spans="1:26" ht="19.5">
      <c r="A261" s="147"/>
      <c r="B261" s="148"/>
      <c r="C261" s="149" t="s">
        <v>16</v>
      </c>
      <c r="D261" s="817" t="s">
        <v>17</v>
      </c>
      <c r="E261" s="148"/>
      <c r="F261" s="148"/>
      <c r="G261" s="151"/>
      <c r="H261" s="152" t="s">
        <v>12</v>
      </c>
      <c r="I261" s="388"/>
      <c r="J261" s="388"/>
      <c r="K261" s="154"/>
      <c r="L261" s="155">
        <f t="shared" ref="L261:N261" ca="1" si="115">L262+L263</f>
        <v>26900</v>
      </c>
      <c r="M261" s="155">
        <f t="shared" ca="1" si="115"/>
        <v>23900</v>
      </c>
      <c r="N261" s="155">
        <f t="shared" ca="1" si="115"/>
        <v>19050</v>
      </c>
      <c r="O261" s="155">
        <f t="shared" ref="O261:O269" ca="1" si="116">IF(L261&gt;0,N261*100/L261,0)</f>
        <v>70.817843866171003</v>
      </c>
      <c r="P261" s="155">
        <f t="shared" ref="P261:P269" ca="1" si="117">IF(M261&gt;0,N261*100/M261,0)</f>
        <v>79.707112970711293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2" t="s">
        <v>18</v>
      </c>
      <c r="F262" s="40"/>
      <c r="G262" s="157"/>
      <c r="H262" s="158" t="s">
        <v>12</v>
      </c>
      <c r="I262" s="583"/>
      <c r="J262" s="583"/>
      <c r="K262" s="93"/>
      <c r="L262" s="93">
        <f t="shared" ref="L262:N263" si="118">L265+L268</f>
        <v>0</v>
      </c>
      <c r="M262" s="93">
        <f t="shared" si="118"/>
        <v>0</v>
      </c>
      <c r="N262" s="93">
        <f t="shared" si="118"/>
        <v>0</v>
      </c>
      <c r="O262" s="93">
        <f t="shared" si="116"/>
        <v>0</v>
      </c>
      <c r="P262" s="93">
        <f t="shared" si="117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2" t="s">
        <v>19</v>
      </c>
      <c r="F263" s="40"/>
      <c r="G263" s="157"/>
      <c r="H263" s="158" t="s">
        <v>12</v>
      </c>
      <c r="I263" s="583"/>
      <c r="J263" s="583"/>
      <c r="K263" s="93"/>
      <c r="L263" s="93">
        <f t="shared" ca="1" si="118"/>
        <v>26900</v>
      </c>
      <c r="M263" s="93">
        <f t="shared" ca="1" si="118"/>
        <v>23900</v>
      </c>
      <c r="N263" s="93">
        <f t="shared" ca="1" si="118"/>
        <v>19050</v>
      </c>
      <c r="O263" s="93">
        <f t="shared" ca="1" si="116"/>
        <v>70.817843866171003</v>
      </c>
      <c r="P263" s="93">
        <f t="shared" ca="1" si="117"/>
        <v>79.707112970711293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1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65">
        <f t="shared" ref="L264:N264" ca="1" si="119">L265+L266</f>
        <v>26900</v>
      </c>
      <c r="M264" s="465">
        <f t="shared" ca="1" si="119"/>
        <v>23900</v>
      </c>
      <c r="N264" s="465">
        <f t="shared" ca="1" si="119"/>
        <v>19050</v>
      </c>
      <c r="O264" s="465">
        <f t="shared" ca="1" si="116"/>
        <v>70.817843866171003</v>
      </c>
      <c r="P264" s="465">
        <f t="shared" ca="1" si="117"/>
        <v>79.707112970711293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2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6"/>
        <v>0</v>
      </c>
      <c r="P265" s="93">
        <f t="shared" si="117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2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IFERROR(__xludf.DUMMYFUNCTION("IMPORTRANGE(""https://docs.google.com/spreadsheets/d/1MeEWN-I1oV_STSDYn1IFDPWt_1FKiwhDph83XaGc0o0/edit?usp=sharing"",""งบพรบ!CY17"")"),26900)</f>
        <v>26900</v>
      </c>
      <c r="M266" s="93">
        <f ca="1">IFERROR(__xludf.DUMMYFUNCTION("IMPORTRANGE(""https://docs.google.com/spreadsheets/d/1MeEWN-I1oV_STSDYn1IFDPWt_1FKiwhDph83XaGc0o0/edit?usp=sharing"",""งบพรบ!DD17"")"),23900)</f>
        <v>23900</v>
      </c>
      <c r="N266" s="93">
        <f ca="1">IFERROR(__xludf.DUMMYFUNCTION("IMPORTRANGE(""https://docs.google.com/spreadsheets/d/1MeEWN-I1oV_STSDYn1IFDPWt_1FKiwhDph83XaGc0o0/edit?usp=sharing"",""งบพรบ!DF17"")"),19050)</f>
        <v>19050</v>
      </c>
      <c r="O266" s="93">
        <f t="shared" ca="1" si="116"/>
        <v>70.817843866171003</v>
      </c>
      <c r="P266" s="93">
        <f t="shared" ca="1" si="117"/>
        <v>79.707112970711293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1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65">
        <f t="shared" ref="L267:N267" ca="1" si="120">L268+L269</f>
        <v>0</v>
      </c>
      <c r="M267" s="465">
        <f t="shared" ca="1" si="120"/>
        <v>0</v>
      </c>
      <c r="N267" s="465">
        <f t="shared" ca="1" si="120"/>
        <v>0</v>
      </c>
      <c r="O267" s="465">
        <f t="shared" ca="1" si="116"/>
        <v>0</v>
      </c>
      <c r="P267" s="465">
        <f t="shared" ca="1" si="117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2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6"/>
        <v>0</v>
      </c>
      <c r="P268" s="93">
        <f t="shared" si="117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2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IFERROR(__xludf.DUMMYFUNCTION("IMPORTRANGE(""https://docs.google.com/spreadsheets/d/1MeEWN-I1oV_STSDYn1IFDPWt_1FKiwhDph83XaGc0o0/edit?usp=sharing"",""งบพรบ!DB17"")"),0)</f>
        <v>0</v>
      </c>
      <c r="M269" s="93">
        <f ca="1">IFERROR(__xludf.DUMMYFUNCTION("IMPORTRANGE(""https://docs.google.com/spreadsheets/d/1MeEWN-I1oV_STSDYn1IFDPWt_1FKiwhDph83XaGc0o0/edit?usp=sharing"",""งบพรบ!DE17"")"),0)</f>
        <v>0</v>
      </c>
      <c r="N269" s="93">
        <f ca="1">IFERROR(__xludf.DUMMYFUNCTION("IMPORTRANGE(""https://docs.google.com/spreadsheets/d/1MeEWN-I1oV_STSDYn1IFDPWt_1FKiwhDph83XaGc0o0/edit?usp=sharing"",""งบพรบ!DG17"")"),0)</f>
        <v>0</v>
      </c>
      <c r="O269" s="93">
        <f t="shared" ca="1" si="116"/>
        <v>0</v>
      </c>
      <c r="P269" s="93">
        <f t="shared" ca="1" si="117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1" t="s">
        <v>16</v>
      </c>
      <c r="D270" s="818" t="s">
        <v>38</v>
      </c>
      <c r="E270" s="173"/>
      <c r="F270" s="173"/>
      <c r="G270" s="174"/>
      <c r="H270" s="726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44" t="s">
        <v>124</v>
      </c>
      <c r="E271" s="342"/>
      <c r="F271" s="268"/>
      <c r="G271" s="179"/>
      <c r="H271" s="345" t="s">
        <v>35</v>
      </c>
      <c r="I271" s="269">
        <f ca="1">IFERROR(__xludf.DUMMYFUNCTION("IMPORTRANGE(""https://docs.google.com/spreadsheets/d/1QqKyyYR6Q21VydFLVH3TRQUabQu_ym0Zz7PgGX0-kHA/edit?usp=sharing"",""แผน!EA17"")"),22)</f>
        <v>22</v>
      </c>
      <c r="J271" s="214">
        <v>22</v>
      </c>
      <c r="K271" s="163">
        <f ca="1">IF(I271&gt;0,J271*100/I271,0)</f>
        <v>100</v>
      </c>
      <c r="L271" s="163"/>
      <c r="M271" s="163"/>
      <c r="N271" s="163"/>
      <c r="O271" s="163"/>
      <c r="P271" s="163"/>
    </row>
    <row r="272" spans="1:26" ht="18.75" hidden="1">
      <c r="A272" s="346"/>
      <c r="B272" s="347"/>
      <c r="C272" s="347"/>
      <c r="D272" s="348" t="s">
        <v>125</v>
      </c>
      <c r="E272" s="349"/>
      <c r="F272" s="349"/>
      <c r="G272" s="350"/>
      <c r="H272" s="50" t="s">
        <v>35</v>
      </c>
      <c r="I272" s="468">
        <v>0</v>
      </c>
      <c r="J272" s="468">
        <v>0</v>
      </c>
      <c r="K272" s="353">
        <v>0</v>
      </c>
      <c r="L272" s="353"/>
      <c r="M272" s="353"/>
      <c r="N272" s="353"/>
      <c r="O272" s="353"/>
      <c r="P272" s="353"/>
    </row>
    <row r="273" spans="1:26" ht="19.5">
      <c r="A273" s="354" t="s">
        <v>126</v>
      </c>
      <c r="B273" s="355"/>
      <c r="C273" s="355"/>
      <c r="D273" s="355"/>
      <c r="E273" s="356"/>
      <c r="F273" s="356"/>
      <c r="G273" s="357"/>
      <c r="H273" s="358"/>
      <c r="I273" s="359"/>
      <c r="J273" s="359"/>
      <c r="K273" s="360"/>
      <c r="L273" s="360"/>
      <c r="M273" s="360"/>
      <c r="N273" s="360"/>
      <c r="O273" s="360"/>
      <c r="P273" s="360"/>
    </row>
    <row r="274" spans="1:26" ht="19.5">
      <c r="A274" s="361" t="s">
        <v>127</v>
      </c>
      <c r="B274" s="362"/>
      <c r="C274" s="363"/>
      <c r="D274" s="362"/>
      <c r="E274" s="362"/>
      <c r="F274" s="362"/>
      <c r="G274" s="362"/>
      <c r="H274" s="364"/>
      <c r="I274" s="365"/>
      <c r="J274" s="366"/>
      <c r="K274" s="367"/>
      <c r="L274" s="367"/>
      <c r="M274" s="367"/>
      <c r="N274" s="367"/>
      <c r="O274" s="367"/>
      <c r="P274" s="367"/>
    </row>
    <row r="275" spans="1:26" ht="19.5">
      <c r="A275" s="368"/>
      <c r="B275" s="377" t="s">
        <v>128</v>
      </c>
      <c r="C275" s="370"/>
      <c r="D275" s="371"/>
      <c r="E275" s="370"/>
      <c r="F275" s="370"/>
      <c r="G275" s="372"/>
      <c r="H275" s="373" t="s">
        <v>35</v>
      </c>
      <c r="I275" s="374">
        <f t="shared" ref="I275:J275" ca="1" si="121">I288</f>
        <v>25</v>
      </c>
      <c r="J275" s="374">
        <f t="shared" ca="1" si="121"/>
        <v>0</v>
      </c>
      <c r="K275" s="375">
        <f t="shared" ref="K275:K276" ca="1" si="122">IF(I275&gt;0,J275*100/I275,0)</f>
        <v>0</v>
      </c>
      <c r="L275" s="376"/>
      <c r="M275" s="376"/>
      <c r="N275" s="376"/>
      <c r="O275" s="376"/>
      <c r="P275" s="376"/>
    </row>
    <row r="276" spans="1:26" ht="19.5">
      <c r="A276" s="368"/>
      <c r="B276" s="377"/>
      <c r="C276" s="370"/>
      <c r="D276" s="371"/>
      <c r="E276" s="370"/>
      <c r="F276" s="370"/>
      <c r="G276" s="372"/>
      <c r="H276" s="373" t="s">
        <v>46</v>
      </c>
      <c r="I276" s="374">
        <f t="shared" ref="I276:J276" ca="1" si="123">I287</f>
        <v>250</v>
      </c>
      <c r="J276" s="374">
        <f t="shared" si="123"/>
        <v>0</v>
      </c>
      <c r="K276" s="375">
        <f t="shared" ca="1" si="122"/>
        <v>0</v>
      </c>
      <c r="L276" s="376"/>
      <c r="M276" s="376"/>
      <c r="N276" s="376"/>
      <c r="O276" s="376"/>
      <c r="P276" s="376"/>
    </row>
    <row r="277" spans="1:26" ht="19.5">
      <c r="A277" s="147"/>
      <c r="B277" s="148"/>
      <c r="C277" s="149" t="s">
        <v>16</v>
      </c>
      <c r="D277" s="817" t="s">
        <v>17</v>
      </c>
      <c r="E277" s="148"/>
      <c r="F277" s="148"/>
      <c r="G277" s="151"/>
      <c r="H277" s="152" t="s">
        <v>12</v>
      </c>
      <c r="I277" s="388"/>
      <c r="J277" s="388"/>
      <c r="K277" s="154"/>
      <c r="L277" s="155">
        <f t="shared" ref="L277:N277" ca="1" si="124">L278+L279</f>
        <v>257420</v>
      </c>
      <c r="M277" s="155">
        <f t="shared" ca="1" si="124"/>
        <v>120750</v>
      </c>
      <c r="N277" s="155">
        <f t="shared" ca="1" si="124"/>
        <v>31484</v>
      </c>
      <c r="O277" s="155">
        <f t="shared" ref="O277:O285" ca="1" si="125">IF(L277&gt;0,N277*100/L277,0)</f>
        <v>12.230595913293451</v>
      </c>
      <c r="P277" s="155">
        <f t="shared" ref="P277:P285" ca="1" si="126">IF(M277&gt;0,N277*100/M277,0)</f>
        <v>26.073706004140785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2" t="s">
        <v>18</v>
      </c>
      <c r="F278" s="40"/>
      <c r="G278" s="157"/>
      <c r="H278" s="158" t="s">
        <v>12</v>
      </c>
      <c r="I278" s="583"/>
      <c r="J278" s="583"/>
      <c r="K278" s="93"/>
      <c r="L278" s="93">
        <f t="shared" ref="L278:N279" si="127">L281+L284</f>
        <v>0</v>
      </c>
      <c r="M278" s="93">
        <f t="shared" si="127"/>
        <v>0</v>
      </c>
      <c r="N278" s="93">
        <f t="shared" si="127"/>
        <v>0</v>
      </c>
      <c r="O278" s="93">
        <f t="shared" si="125"/>
        <v>0</v>
      </c>
      <c r="P278" s="93">
        <f t="shared" si="126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2" t="s">
        <v>19</v>
      </c>
      <c r="F279" s="40"/>
      <c r="G279" s="157"/>
      <c r="H279" s="158" t="s">
        <v>12</v>
      </c>
      <c r="I279" s="583"/>
      <c r="J279" s="583"/>
      <c r="K279" s="93"/>
      <c r="L279" s="93">
        <f t="shared" ca="1" si="127"/>
        <v>257420</v>
      </c>
      <c r="M279" s="93">
        <f t="shared" ca="1" si="127"/>
        <v>120750</v>
      </c>
      <c r="N279" s="93">
        <f t="shared" ca="1" si="127"/>
        <v>31484</v>
      </c>
      <c r="O279" s="93">
        <f t="shared" ca="1" si="125"/>
        <v>12.230595913293451</v>
      </c>
      <c r="P279" s="93">
        <f t="shared" ca="1" si="126"/>
        <v>26.073706004140785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>
      <c r="A280" s="159"/>
      <c r="B280" s="33"/>
      <c r="C280" s="281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65">
        <f t="shared" ref="L280:N280" ca="1" si="128">L281+L282</f>
        <v>257420</v>
      </c>
      <c r="M280" s="465">
        <f t="shared" ca="1" si="128"/>
        <v>120750</v>
      </c>
      <c r="N280" s="465">
        <f t="shared" ca="1" si="128"/>
        <v>31484</v>
      </c>
      <c r="O280" s="465">
        <f t="shared" ca="1" si="125"/>
        <v>12.230595913293451</v>
      </c>
      <c r="P280" s="465">
        <f t="shared" ca="1" si="126"/>
        <v>26.073706004140785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2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5"/>
        <v>0</v>
      </c>
      <c r="P281" s="93">
        <f t="shared" si="126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2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IFERROR(__xludf.DUMMYFUNCTION("IMPORTRANGE(""https://docs.google.com/spreadsheets/d/1MeEWN-I1oV_STSDYn1IFDPWt_1FKiwhDph83XaGc0o0/edit?usp=sharing"",""งบพรบ!DI17"")"),257420)</f>
        <v>257420</v>
      </c>
      <c r="M282" s="93">
        <f ca="1">IFERROR(__xludf.DUMMYFUNCTION("IMPORTRANGE(""https://docs.google.com/spreadsheets/d/1MeEWN-I1oV_STSDYn1IFDPWt_1FKiwhDph83XaGc0o0/edit?usp=sharing"",""งบพรบ!DN17"")"),120750)</f>
        <v>120750</v>
      </c>
      <c r="N282" s="93">
        <f ca="1">IFERROR(__xludf.DUMMYFUNCTION("IMPORTRANGE(""https://docs.google.com/spreadsheets/d/1MeEWN-I1oV_STSDYn1IFDPWt_1FKiwhDph83XaGc0o0/edit?usp=sharing"",""งบพรบ!DP17"")"),31484)</f>
        <v>31484</v>
      </c>
      <c r="O282" s="93">
        <f t="shared" ca="1" si="125"/>
        <v>12.230595913293451</v>
      </c>
      <c r="P282" s="93">
        <f t="shared" ca="1" si="126"/>
        <v>26.073706004140785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>
      <c r="A283" s="159"/>
      <c r="B283" s="33"/>
      <c r="C283" s="281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65">
        <f t="shared" ref="L283:N283" ca="1" si="129">L284+L285</f>
        <v>0</v>
      </c>
      <c r="M283" s="465">
        <f t="shared" ca="1" si="129"/>
        <v>0</v>
      </c>
      <c r="N283" s="465">
        <f t="shared" ca="1" si="129"/>
        <v>0</v>
      </c>
      <c r="O283" s="465">
        <f t="shared" ca="1" si="125"/>
        <v>0</v>
      </c>
      <c r="P283" s="465">
        <f t="shared" ca="1" si="126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2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5"/>
        <v>0</v>
      </c>
      <c r="P284" s="93">
        <f t="shared" si="126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2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IFERROR(__xludf.DUMMYFUNCTION("IMPORTRANGE(""https://docs.google.com/spreadsheets/d/1MeEWN-I1oV_STSDYn1IFDPWt_1FKiwhDph83XaGc0o0/edit?usp=sharing"",""งบพรบ!DL17"")"),0)</f>
        <v>0</v>
      </c>
      <c r="M285" s="93">
        <f ca="1">IFERROR(__xludf.DUMMYFUNCTION("IMPORTRANGE(""https://docs.google.com/spreadsheets/d/1MeEWN-I1oV_STSDYn1IFDPWt_1FKiwhDph83XaGc0o0/edit?usp=sharing"",""งบพรบ!DO17"")"),0)</f>
        <v>0</v>
      </c>
      <c r="N285" s="93">
        <f ca="1">IFERROR(__xludf.DUMMYFUNCTION("IMPORTRANGE(""https://docs.google.com/spreadsheets/d/1MeEWN-I1oV_STSDYn1IFDPWt_1FKiwhDph83XaGc0o0/edit?usp=sharing"",""งบพรบ!DQ17"")"),0)</f>
        <v>0</v>
      </c>
      <c r="O285" s="93">
        <f t="shared" ca="1" si="125"/>
        <v>0</v>
      </c>
      <c r="P285" s="93">
        <f t="shared" ca="1" si="126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>
      <c r="A286" s="170"/>
      <c r="B286" s="171"/>
      <c r="C286" s="164" t="s">
        <v>16</v>
      </c>
      <c r="D286" s="818" t="s">
        <v>38</v>
      </c>
      <c r="E286" s="173"/>
      <c r="F286" s="173"/>
      <c r="G286" s="174"/>
      <c r="H286" s="726"/>
      <c r="I286" s="184"/>
      <c r="J286" s="184"/>
      <c r="K286" s="163"/>
      <c r="L286" s="163"/>
      <c r="M286" s="163"/>
      <c r="N286" s="163"/>
      <c r="O286" s="163"/>
      <c r="P286" s="163"/>
    </row>
    <row r="287" spans="1:26" ht="18.75">
      <c r="A287" s="170"/>
      <c r="B287" s="171"/>
      <c r="C287" s="171"/>
      <c r="D287" s="592" t="s">
        <v>129</v>
      </c>
      <c r="E287" s="171"/>
      <c r="F287" s="342"/>
      <c r="G287" s="179"/>
      <c r="H287" s="185" t="s">
        <v>46</v>
      </c>
      <c r="I287" s="269">
        <f ca="1">IFERROR(__xludf.DUMMYFUNCTION("IMPORTRANGE(""https://docs.google.com/spreadsheets/d/1QqKyyYR6Q21VydFLVH3TRQUabQu_ym0Zz7PgGX0-kHA/edit?usp=sharing"",""แผน!EC17"")"),250)</f>
        <v>250</v>
      </c>
      <c r="J287" s="214">
        <v>0</v>
      </c>
      <c r="K287" s="163">
        <f t="shared" ref="K287:K288" ca="1" si="130">IF(I287&gt;0,J287*100/I287,0)</f>
        <v>0</v>
      </c>
      <c r="L287" s="163"/>
      <c r="M287" s="163"/>
      <c r="N287" s="163"/>
      <c r="O287" s="163"/>
      <c r="P287" s="163"/>
    </row>
    <row r="288" spans="1:26" ht="19.5">
      <c r="A288" s="170"/>
      <c r="B288" s="171"/>
      <c r="C288" s="171"/>
      <c r="D288" s="592" t="s">
        <v>130</v>
      </c>
      <c r="E288" s="171"/>
      <c r="F288" s="342"/>
      <c r="G288" s="179"/>
      <c r="H288" s="180" t="s">
        <v>35</v>
      </c>
      <c r="I288" s="647">
        <f ca="1">IFERROR(__xludf.DUMMYFUNCTION("IMPORTRANGE(""https://docs.google.com/spreadsheets/d/1QqKyyYR6Q21VydFLVH3TRQUabQu_ym0Zz7PgGX0-kHA/edit?usp=sharing"",""แผน!EB17"")"),25)</f>
        <v>25</v>
      </c>
      <c r="J288" s="647">
        <f ca="1">IF(AND(J291&gt;=I288,J294&gt;=I288),J294,0)</f>
        <v>0</v>
      </c>
      <c r="K288" s="379">
        <f t="shared" ca="1" si="130"/>
        <v>0</v>
      </c>
      <c r="L288" s="163"/>
      <c r="M288" s="163"/>
      <c r="N288" s="163"/>
      <c r="O288" s="163"/>
      <c r="P288" s="163"/>
    </row>
    <row r="289" spans="1:26" ht="19.5">
      <c r="A289" s="170"/>
      <c r="B289" s="171"/>
      <c r="C289" s="171"/>
      <c r="D289" s="380"/>
      <c r="E289" s="381" t="s">
        <v>131</v>
      </c>
      <c r="F289" s="342"/>
      <c r="G289" s="179"/>
      <c r="H289" s="728"/>
      <c r="I289" s="184"/>
      <c r="J289" s="269"/>
      <c r="K289" s="163"/>
      <c r="L289" s="163"/>
      <c r="M289" s="163"/>
      <c r="N289" s="163"/>
      <c r="O289" s="163"/>
      <c r="P289" s="163"/>
    </row>
    <row r="290" spans="1:26" ht="19.5">
      <c r="A290" s="170"/>
      <c r="B290" s="171"/>
      <c r="C290" s="171"/>
      <c r="D290" s="380"/>
      <c r="E290" s="592" t="s">
        <v>132</v>
      </c>
      <c r="F290" s="342"/>
      <c r="G290" s="179"/>
      <c r="H290" s="728" t="s">
        <v>35</v>
      </c>
      <c r="I290" s="184">
        <f ca="1">IFERROR(__xludf.DUMMYFUNCTION("IMPORTRANGE(""https://docs.google.com/spreadsheets/d/1QqKyyYR6Q21VydFLVH3TRQUabQu_ym0Zz7PgGX0-kHA/edit?usp=sharing"",""แผน!EB17"")"),25)</f>
        <v>25</v>
      </c>
      <c r="J290" s="214">
        <v>0</v>
      </c>
      <c r="K290" s="163">
        <f t="shared" ref="K290:K291" ca="1" si="131">IF(I290&gt;0,J290*100/I290,0)</f>
        <v>0</v>
      </c>
      <c r="L290" s="163"/>
      <c r="M290" s="163"/>
      <c r="N290" s="163"/>
      <c r="O290" s="163"/>
      <c r="P290" s="163"/>
    </row>
    <row r="291" spans="1:26" ht="19.5">
      <c r="A291" s="170"/>
      <c r="B291" s="171"/>
      <c r="C291" s="171"/>
      <c r="D291" s="342"/>
      <c r="E291" s="592" t="s">
        <v>133</v>
      </c>
      <c r="F291" s="342"/>
      <c r="G291" s="179"/>
      <c r="H291" s="728" t="s">
        <v>35</v>
      </c>
      <c r="I291" s="184">
        <f ca="1">IFERROR(__xludf.DUMMYFUNCTION("IMPORTRANGE(""https://docs.google.com/spreadsheets/d/1QqKyyYR6Q21VydFLVH3TRQUabQu_ym0Zz7PgGX0-kHA/edit?usp=sharing"",""แผน!EB17"")"),25)</f>
        <v>25</v>
      </c>
      <c r="J291" s="214">
        <v>0</v>
      </c>
      <c r="K291" s="163">
        <f t="shared" ca="1" si="131"/>
        <v>0</v>
      </c>
      <c r="L291" s="163"/>
      <c r="M291" s="163"/>
      <c r="N291" s="163"/>
      <c r="O291" s="163"/>
      <c r="P291" s="163"/>
    </row>
    <row r="292" spans="1:26" ht="19.5">
      <c r="A292" s="382"/>
      <c r="B292" s="383"/>
      <c r="C292" s="383"/>
      <c r="D292" s="384"/>
      <c r="E292" s="385" t="s">
        <v>134</v>
      </c>
      <c r="F292" s="286"/>
      <c r="G292" s="287"/>
      <c r="H292" s="386"/>
      <c r="I292" s="387"/>
      <c r="J292" s="388"/>
      <c r="K292" s="279"/>
      <c r="L292" s="279"/>
      <c r="M292" s="279"/>
      <c r="N292" s="279"/>
      <c r="O292" s="279"/>
      <c r="P292" s="279"/>
    </row>
    <row r="293" spans="1:26" ht="19.5">
      <c r="A293" s="170"/>
      <c r="B293" s="171"/>
      <c r="C293" s="171"/>
      <c r="D293" s="380"/>
      <c r="E293" s="592" t="s">
        <v>132</v>
      </c>
      <c r="F293" s="342"/>
      <c r="G293" s="179"/>
      <c r="H293" s="728" t="s">
        <v>35</v>
      </c>
      <c r="I293" s="184">
        <f ca="1">IFERROR(__xludf.DUMMYFUNCTION("IMPORTRANGE(""https://docs.google.com/spreadsheets/d/1QqKyyYR6Q21VydFLVH3TRQUabQu_ym0Zz7PgGX0-kHA/edit?usp=sharing"",""แผน!EB17"")"),25)</f>
        <v>25</v>
      </c>
      <c r="J293" s="214">
        <v>0</v>
      </c>
      <c r="K293" s="163">
        <f t="shared" ref="K293:K294" ca="1" si="132">IF(I293&gt;0,J293*100/I293,0)</f>
        <v>0</v>
      </c>
      <c r="L293" s="163"/>
      <c r="M293" s="163"/>
      <c r="N293" s="163"/>
      <c r="O293" s="163"/>
      <c r="P293" s="163"/>
    </row>
    <row r="294" spans="1:26" ht="19.5">
      <c r="A294" s="346"/>
      <c r="B294" s="347"/>
      <c r="C294" s="347"/>
      <c r="D294" s="349"/>
      <c r="E294" s="698" t="s">
        <v>136</v>
      </c>
      <c r="F294" s="349"/>
      <c r="G294" s="350"/>
      <c r="H294" s="390" t="s">
        <v>35</v>
      </c>
      <c r="I294" s="391">
        <f ca="1">IFERROR(__xludf.DUMMYFUNCTION("IMPORTRANGE(""https://docs.google.com/spreadsheets/d/1QqKyyYR6Q21VydFLVH3TRQUabQu_ym0Zz7PgGX0-kHA/edit?usp=sharing"",""แผน!EB17"")"),25)</f>
        <v>25</v>
      </c>
      <c r="J294" s="392">
        <v>0</v>
      </c>
      <c r="K294" s="353">
        <f t="shared" ca="1" si="132"/>
        <v>0</v>
      </c>
      <c r="L294" s="353"/>
      <c r="M294" s="353"/>
      <c r="N294" s="353"/>
      <c r="O294" s="353"/>
      <c r="P294" s="353"/>
    </row>
    <row r="295" spans="1:26" ht="19.5">
      <c r="A295" s="393" t="s">
        <v>137</v>
      </c>
      <c r="B295" s="394"/>
      <c r="C295" s="394"/>
      <c r="D295" s="394"/>
      <c r="E295" s="395"/>
      <c r="F295" s="395"/>
      <c r="G295" s="396"/>
      <c r="H295" s="397"/>
      <c r="I295" s="398"/>
      <c r="J295" s="398"/>
      <c r="K295" s="399"/>
      <c r="L295" s="399"/>
      <c r="M295" s="399"/>
      <c r="N295" s="399"/>
      <c r="O295" s="399"/>
      <c r="P295" s="399"/>
    </row>
    <row r="296" spans="1:26" ht="19.5">
      <c r="A296" s="400" t="s">
        <v>138</v>
      </c>
      <c r="B296" s="401"/>
      <c r="C296" s="401"/>
      <c r="D296" s="402"/>
      <c r="E296" s="402"/>
      <c r="F296" s="402"/>
      <c r="G296" s="403"/>
      <c r="H296" s="404"/>
      <c r="I296" s="405"/>
      <c r="J296" s="405"/>
      <c r="K296" s="406"/>
      <c r="L296" s="406"/>
      <c r="M296" s="406"/>
      <c r="N296" s="406"/>
      <c r="O296" s="406"/>
      <c r="P296" s="406"/>
    </row>
    <row r="297" spans="1:26" ht="19.5">
      <c r="A297" s="407"/>
      <c r="B297" s="408" t="s">
        <v>139</v>
      </c>
      <c r="C297" s="409"/>
      <c r="D297" s="409"/>
      <c r="E297" s="409"/>
      <c r="F297" s="409"/>
      <c r="G297" s="410"/>
      <c r="H297" s="411" t="s">
        <v>35</v>
      </c>
      <c r="I297" s="412">
        <f t="shared" ref="I297:J297" ca="1" si="133">I309</f>
        <v>20</v>
      </c>
      <c r="J297" s="412">
        <f t="shared" si="133"/>
        <v>0</v>
      </c>
      <c r="K297" s="413">
        <f ca="1">IF(I297&gt;0,J297*100/I297,0)</f>
        <v>0</v>
      </c>
      <c r="L297" s="414"/>
      <c r="M297" s="414"/>
      <c r="N297" s="414"/>
      <c r="O297" s="414"/>
      <c r="P297" s="414"/>
    </row>
    <row r="298" spans="1:26" ht="19.5">
      <c r="A298" s="147"/>
      <c r="B298" s="148"/>
      <c r="C298" s="149" t="s">
        <v>16</v>
      </c>
      <c r="D298" s="817" t="s">
        <v>17</v>
      </c>
      <c r="E298" s="148"/>
      <c r="F298" s="148"/>
      <c r="G298" s="151"/>
      <c r="H298" s="152" t="s">
        <v>12</v>
      </c>
      <c r="I298" s="388"/>
      <c r="J298" s="388"/>
      <c r="K298" s="154"/>
      <c r="L298" s="155">
        <f t="shared" ref="L298:N298" ca="1" si="134">L299+L300</f>
        <v>368400</v>
      </c>
      <c r="M298" s="155">
        <f t="shared" ca="1" si="134"/>
        <v>179120</v>
      </c>
      <c r="N298" s="155">
        <f t="shared" ca="1" si="134"/>
        <v>27975</v>
      </c>
      <c r="O298" s="155">
        <f t="shared" ref="O298:O306" ca="1" si="135">IF(L298&gt;0,N298*100/L298,0)</f>
        <v>7.5936482084690553</v>
      </c>
      <c r="P298" s="155">
        <f t="shared" ref="P298:P306" ca="1" si="136">IF(M298&gt;0,N298*100/M298,0)</f>
        <v>15.618021438142028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2" t="s">
        <v>18</v>
      </c>
      <c r="F299" s="40"/>
      <c r="G299" s="157"/>
      <c r="H299" s="158" t="s">
        <v>12</v>
      </c>
      <c r="I299" s="583"/>
      <c r="J299" s="583"/>
      <c r="K299" s="93"/>
      <c r="L299" s="93">
        <f t="shared" ref="L299:N300" si="137">L302+L305</f>
        <v>0</v>
      </c>
      <c r="M299" s="93">
        <f t="shared" si="137"/>
        <v>0</v>
      </c>
      <c r="N299" s="93">
        <f t="shared" si="137"/>
        <v>0</v>
      </c>
      <c r="O299" s="93">
        <f t="shared" si="135"/>
        <v>0</v>
      </c>
      <c r="P299" s="93">
        <f t="shared" si="136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2" t="s">
        <v>19</v>
      </c>
      <c r="F300" s="40"/>
      <c r="G300" s="157"/>
      <c r="H300" s="158" t="s">
        <v>12</v>
      </c>
      <c r="I300" s="583"/>
      <c r="J300" s="583"/>
      <c r="K300" s="93"/>
      <c r="L300" s="93">
        <f t="shared" ca="1" si="137"/>
        <v>368400</v>
      </c>
      <c r="M300" s="93">
        <f t="shared" ca="1" si="137"/>
        <v>179120</v>
      </c>
      <c r="N300" s="93">
        <f t="shared" ca="1" si="137"/>
        <v>27975</v>
      </c>
      <c r="O300" s="93">
        <f t="shared" ca="1" si="135"/>
        <v>7.5936482084690553</v>
      </c>
      <c r="P300" s="93">
        <f t="shared" ca="1" si="136"/>
        <v>15.618021438142028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>
      <c r="A301" s="159"/>
      <c r="B301" s="33"/>
      <c r="C301" s="281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65">
        <f t="shared" ref="L301:N301" ca="1" si="138">L302+L303</f>
        <v>368400</v>
      </c>
      <c r="M301" s="465">
        <f t="shared" ca="1" si="138"/>
        <v>179120</v>
      </c>
      <c r="N301" s="465">
        <f t="shared" ca="1" si="138"/>
        <v>27975</v>
      </c>
      <c r="O301" s="465">
        <f t="shared" ca="1" si="135"/>
        <v>7.5936482084690553</v>
      </c>
      <c r="P301" s="465">
        <f t="shared" ca="1" si="136"/>
        <v>15.618021438142028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2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5"/>
        <v>0</v>
      </c>
      <c r="P302" s="93">
        <f t="shared" si="136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2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IFERROR(__xludf.DUMMYFUNCTION("IMPORTRANGE(""https://docs.google.com/spreadsheets/d/1MeEWN-I1oV_STSDYn1IFDPWt_1FKiwhDph83XaGc0o0/edit?usp=sharing"",""งบพรบ!DS17"")"),368400)</f>
        <v>368400</v>
      </c>
      <c r="M303" s="93">
        <f ca="1">IFERROR(__xludf.DUMMYFUNCTION("IMPORTRANGE(""https://docs.google.com/spreadsheets/d/1MeEWN-I1oV_STSDYn1IFDPWt_1FKiwhDph83XaGc0o0/edit?usp=sharing"",""งบพรบ!DX17"")"),179120)</f>
        <v>179120</v>
      </c>
      <c r="N303" s="93">
        <f ca="1">IFERROR(__xludf.DUMMYFUNCTION("IMPORTRANGE(""https://docs.google.com/spreadsheets/d/1MeEWN-I1oV_STSDYn1IFDPWt_1FKiwhDph83XaGc0o0/edit?usp=sharing"",""งบพรบ!DZ17"")"),27975)</f>
        <v>27975</v>
      </c>
      <c r="O303" s="93">
        <f t="shared" ca="1" si="135"/>
        <v>7.5936482084690553</v>
      </c>
      <c r="P303" s="93">
        <f t="shared" ca="1" si="136"/>
        <v>15.618021438142028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>
      <c r="A304" s="159"/>
      <c r="B304" s="33"/>
      <c r="C304" s="281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65">
        <f t="shared" ref="L304:N304" ca="1" si="139">L305+L306</f>
        <v>0</v>
      </c>
      <c r="M304" s="465">
        <f t="shared" ca="1" si="139"/>
        <v>0</v>
      </c>
      <c r="N304" s="465">
        <f t="shared" ca="1" si="139"/>
        <v>0</v>
      </c>
      <c r="O304" s="465">
        <f t="shared" ca="1" si="135"/>
        <v>0</v>
      </c>
      <c r="P304" s="465">
        <f t="shared" ca="1" si="136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2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5"/>
        <v>0</v>
      </c>
      <c r="P305" s="93">
        <f t="shared" si="136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2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IFERROR(__xludf.DUMMYFUNCTION("IMPORTRANGE(""https://docs.google.com/spreadsheets/d/1MeEWN-I1oV_STSDYn1IFDPWt_1FKiwhDph83XaGc0o0/edit?usp=sharing"",""งบพรบ!DV17"")"),0)</f>
        <v>0</v>
      </c>
      <c r="M306" s="93">
        <f ca="1">IFERROR(__xludf.DUMMYFUNCTION("IMPORTRANGE(""https://docs.google.com/spreadsheets/d/1MeEWN-I1oV_STSDYn1IFDPWt_1FKiwhDph83XaGc0o0/edit?usp=sharing"",""งบพรบ!DY17"")"),0)</f>
        <v>0</v>
      </c>
      <c r="N306" s="93">
        <f ca="1">IFERROR(__xludf.DUMMYFUNCTION("IMPORTRANGE(""https://docs.google.com/spreadsheets/d/1MeEWN-I1oV_STSDYn1IFDPWt_1FKiwhDph83XaGc0o0/edit?usp=sharing"",""งบพรบ!EA17"")"),0)</f>
        <v>0</v>
      </c>
      <c r="O306" s="93">
        <f t="shared" ca="1" si="135"/>
        <v>0</v>
      </c>
      <c r="P306" s="93">
        <f t="shared" ca="1" si="136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>
      <c r="A307" s="170"/>
      <c r="B307" s="171"/>
      <c r="C307" s="164" t="s">
        <v>16</v>
      </c>
      <c r="D307" s="818" t="s">
        <v>38</v>
      </c>
      <c r="E307" s="173"/>
      <c r="F307" s="173"/>
      <c r="G307" s="174"/>
      <c r="H307" s="726"/>
      <c r="I307" s="269"/>
      <c r="J307" s="269"/>
      <c r="K307" s="465"/>
      <c r="L307" s="465"/>
      <c r="M307" s="465"/>
      <c r="N307" s="465"/>
      <c r="O307" s="465"/>
      <c r="P307" s="465"/>
    </row>
    <row r="308" spans="1:26" ht="18.75">
      <c r="A308" s="170"/>
      <c r="B308" s="171"/>
      <c r="C308" s="171"/>
      <c r="D308" s="415" t="s">
        <v>140</v>
      </c>
      <c r="E308" s="415"/>
      <c r="F308" s="415"/>
      <c r="G308" s="179"/>
      <c r="H308" s="728"/>
      <c r="I308" s="269"/>
      <c r="J308" s="214">
        <v>0</v>
      </c>
      <c r="K308" s="465"/>
      <c r="L308" s="465"/>
      <c r="M308" s="465"/>
      <c r="N308" s="465"/>
      <c r="O308" s="465"/>
      <c r="P308" s="465"/>
    </row>
    <row r="309" spans="1:26" ht="18.75">
      <c r="A309" s="170"/>
      <c r="B309" s="171"/>
      <c r="C309" s="171"/>
      <c r="D309" s="415" t="s">
        <v>141</v>
      </c>
      <c r="E309" s="415"/>
      <c r="F309" s="415"/>
      <c r="G309" s="179"/>
      <c r="H309" s="728" t="s">
        <v>35</v>
      </c>
      <c r="I309" s="269">
        <f ca="1">IFERROR(__xludf.DUMMYFUNCTION("IMPORTRANGE(""https://docs.google.com/spreadsheets/d/1QqKyyYR6Q21VydFLVH3TRQUabQu_ym0Zz7PgGX0-kHA/edit?usp=sharing"",""แผน!ED17"")"),20)</f>
        <v>20</v>
      </c>
      <c r="J309" s="214">
        <v>0</v>
      </c>
      <c r="K309" s="465">
        <f t="shared" ref="K309:K312" ca="1" si="140">IF(I309&gt;0,J309*100/I309,0)</f>
        <v>0</v>
      </c>
      <c r="L309" s="465"/>
      <c r="M309" s="465"/>
      <c r="N309" s="465"/>
      <c r="O309" s="465"/>
      <c r="P309" s="465"/>
    </row>
    <row r="310" spans="1:26" ht="18.75">
      <c r="A310" s="170"/>
      <c r="B310" s="171"/>
      <c r="C310" s="171"/>
      <c r="D310" s="415" t="s">
        <v>142</v>
      </c>
      <c r="E310" s="415"/>
      <c r="F310" s="415"/>
      <c r="G310" s="179"/>
      <c r="H310" s="728" t="s">
        <v>35</v>
      </c>
      <c r="I310" s="269">
        <f ca="1">IFERROR(__xludf.DUMMYFUNCTION("IMPORTRANGE(""https://docs.google.com/spreadsheets/d/1QqKyyYR6Q21VydFLVH3TRQUabQu_ym0Zz7PgGX0-kHA/edit?usp=sharing"",""แผน!ED17"")"),20)</f>
        <v>20</v>
      </c>
      <c r="J310" s="214">
        <v>0</v>
      </c>
      <c r="K310" s="465">
        <f t="shared" ca="1" si="140"/>
        <v>0</v>
      </c>
      <c r="L310" s="465"/>
      <c r="M310" s="465"/>
      <c r="N310" s="465"/>
      <c r="O310" s="465"/>
      <c r="P310" s="465"/>
    </row>
    <row r="311" spans="1:26" ht="18.75">
      <c r="A311" s="170"/>
      <c r="B311" s="171"/>
      <c r="C311" s="171"/>
      <c r="D311" s="415" t="s">
        <v>59</v>
      </c>
      <c r="E311" s="415"/>
      <c r="F311" s="415"/>
      <c r="G311" s="179"/>
      <c r="H311" s="728" t="s">
        <v>35</v>
      </c>
      <c r="I311" s="269">
        <f ca="1">IFERROR(__xludf.DUMMYFUNCTION("IMPORTRANGE(""https://docs.google.com/spreadsheets/d/1QqKyyYR6Q21VydFLVH3TRQUabQu_ym0Zz7PgGX0-kHA/edit?usp=sharing"",""แผน!ED17"")"),20)</f>
        <v>20</v>
      </c>
      <c r="J311" s="214">
        <v>0</v>
      </c>
      <c r="K311" s="465">
        <f t="shared" ca="1" si="140"/>
        <v>0</v>
      </c>
      <c r="L311" s="465"/>
      <c r="M311" s="465"/>
      <c r="N311" s="465"/>
      <c r="O311" s="465"/>
      <c r="P311" s="465"/>
    </row>
    <row r="312" spans="1:26" ht="18.75">
      <c r="A312" s="170"/>
      <c r="B312" s="171"/>
      <c r="C312" s="171"/>
      <c r="D312" s="415" t="s">
        <v>143</v>
      </c>
      <c r="E312" s="415"/>
      <c r="F312" s="415"/>
      <c r="G312" s="179"/>
      <c r="H312" s="728" t="s">
        <v>35</v>
      </c>
      <c r="I312" s="269">
        <f ca="1">IFERROR(__xludf.DUMMYFUNCTION("IMPORTRANGE(""https://docs.google.com/spreadsheets/d/1QqKyyYR6Q21VydFLVH3TRQUabQu_ym0Zz7PgGX0-kHA/edit?usp=sharing"",""แผน!EE17"")"),4)</f>
        <v>4</v>
      </c>
      <c r="J312" s="214">
        <v>0</v>
      </c>
      <c r="K312" s="465">
        <f t="shared" ca="1" si="140"/>
        <v>0</v>
      </c>
      <c r="L312" s="465"/>
      <c r="M312" s="465"/>
      <c r="N312" s="465"/>
      <c r="O312" s="465"/>
      <c r="P312" s="465"/>
    </row>
    <row r="313" spans="1:26" ht="19.5" hidden="1">
      <c r="A313" s="400" t="s">
        <v>144</v>
      </c>
      <c r="B313" s="401"/>
      <c r="C313" s="401"/>
      <c r="D313" s="402"/>
      <c r="E313" s="401"/>
      <c r="F313" s="401"/>
      <c r="G313" s="401"/>
      <c r="H313" s="417"/>
      <c r="I313" s="405"/>
      <c r="J313" s="405"/>
      <c r="K313" s="406"/>
      <c r="L313" s="406"/>
      <c r="M313" s="406"/>
      <c r="N313" s="406"/>
      <c r="O313" s="406"/>
      <c r="P313" s="406"/>
    </row>
    <row r="314" spans="1:26" ht="19.5" hidden="1">
      <c r="A314" s="418"/>
      <c r="B314" s="408" t="s">
        <v>145</v>
      </c>
      <c r="C314" s="419"/>
      <c r="D314" s="420"/>
      <c r="E314" s="409"/>
      <c r="F314" s="409"/>
      <c r="G314" s="410"/>
      <c r="H314" s="411" t="s">
        <v>146</v>
      </c>
      <c r="I314" s="412">
        <f t="shared" ref="I314:J314" ca="1" si="141">I325</f>
        <v>0</v>
      </c>
      <c r="J314" s="412">
        <f t="shared" si="141"/>
        <v>0</v>
      </c>
      <c r="K314" s="413">
        <f ca="1">IF(I314&gt;0,J314*100/I314,0)</f>
        <v>0</v>
      </c>
      <c r="L314" s="414"/>
      <c r="M314" s="414"/>
      <c r="N314" s="414"/>
      <c r="O314" s="414"/>
      <c r="P314" s="414"/>
    </row>
    <row r="315" spans="1:26" ht="19.5" hidden="1">
      <c r="A315" s="147"/>
      <c r="B315" s="148"/>
      <c r="C315" s="149" t="s">
        <v>16</v>
      </c>
      <c r="D315" s="817" t="s">
        <v>17</v>
      </c>
      <c r="E315" s="148"/>
      <c r="F315" s="148"/>
      <c r="G315" s="151"/>
      <c r="H315" s="152" t="s">
        <v>12</v>
      </c>
      <c r="I315" s="388"/>
      <c r="J315" s="388"/>
      <c r="K315" s="154"/>
      <c r="L315" s="155">
        <f t="shared" ref="L315:N315" ca="1" si="142">L316+L317</f>
        <v>0</v>
      </c>
      <c r="M315" s="155">
        <f t="shared" ca="1" si="142"/>
        <v>0</v>
      </c>
      <c r="N315" s="155">
        <f t="shared" ca="1" si="142"/>
        <v>0</v>
      </c>
      <c r="O315" s="155">
        <f t="shared" ref="O315:O323" ca="1" si="143">IF(L315&gt;0,N315*100/L315,0)</f>
        <v>0</v>
      </c>
      <c r="P315" s="155">
        <f t="shared" ref="P315:P323" ca="1" si="144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2" t="s">
        <v>18</v>
      </c>
      <c r="F316" s="40"/>
      <c r="G316" s="157"/>
      <c r="H316" s="158" t="s">
        <v>12</v>
      </c>
      <c r="I316" s="583"/>
      <c r="J316" s="583"/>
      <c r="K316" s="93"/>
      <c r="L316" s="93">
        <f t="shared" ref="L316:N317" si="145">L319+L322</f>
        <v>0</v>
      </c>
      <c r="M316" s="93">
        <f t="shared" si="145"/>
        <v>0</v>
      </c>
      <c r="N316" s="93">
        <f t="shared" si="145"/>
        <v>0</v>
      </c>
      <c r="O316" s="93">
        <f t="shared" si="143"/>
        <v>0</v>
      </c>
      <c r="P316" s="93">
        <f t="shared" si="144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2" t="s">
        <v>19</v>
      </c>
      <c r="F317" s="40"/>
      <c r="G317" s="157"/>
      <c r="H317" s="158" t="s">
        <v>12</v>
      </c>
      <c r="I317" s="583"/>
      <c r="J317" s="583"/>
      <c r="K317" s="93"/>
      <c r="L317" s="93">
        <f t="shared" ca="1" si="145"/>
        <v>0</v>
      </c>
      <c r="M317" s="93">
        <f t="shared" ca="1" si="145"/>
        <v>0</v>
      </c>
      <c r="N317" s="93">
        <f t="shared" ca="1" si="145"/>
        <v>0</v>
      </c>
      <c r="O317" s="93">
        <f t="shared" ca="1" si="143"/>
        <v>0</v>
      </c>
      <c r="P317" s="93">
        <f t="shared" ca="1" si="144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1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65">
        <f t="shared" ref="L318:N318" ca="1" si="146">L319+L320</f>
        <v>0</v>
      </c>
      <c r="M318" s="465">
        <f t="shared" ca="1" si="146"/>
        <v>0</v>
      </c>
      <c r="N318" s="465">
        <f t="shared" ca="1" si="146"/>
        <v>0</v>
      </c>
      <c r="O318" s="465">
        <f t="shared" ca="1" si="143"/>
        <v>0</v>
      </c>
      <c r="P318" s="465">
        <f t="shared" ca="1" si="144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2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3"/>
        <v>0</v>
      </c>
      <c r="P319" s="93">
        <f t="shared" si="144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2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IFERROR(__xludf.DUMMYFUNCTION("IMPORTRANGE(""https://docs.google.com/spreadsheets/d/1MeEWN-I1oV_STSDYn1IFDPWt_1FKiwhDph83XaGc0o0/edit?usp=sharing"",""งบพรบ!EC17"")"),0)</f>
        <v>0</v>
      </c>
      <c r="M320" s="93">
        <f ca="1">IFERROR(__xludf.DUMMYFUNCTION("IMPORTRANGE(""https://docs.google.com/spreadsheets/d/1MeEWN-I1oV_STSDYn1IFDPWt_1FKiwhDph83XaGc0o0/edit?usp=sharing"",""งบพรบ!EH17"")"),0)</f>
        <v>0</v>
      </c>
      <c r="N320" s="93">
        <f ca="1">IFERROR(__xludf.DUMMYFUNCTION("IMPORTRANGE(""https://docs.google.com/spreadsheets/d/1MeEWN-I1oV_STSDYn1IFDPWt_1FKiwhDph83XaGc0o0/edit?usp=sharing"",""งบพรบ!EJ17"")"),0)</f>
        <v>0</v>
      </c>
      <c r="O320" s="93">
        <f t="shared" ca="1" si="143"/>
        <v>0</v>
      </c>
      <c r="P320" s="93">
        <f t="shared" ca="1" si="144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1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65">
        <f t="shared" ref="L321:N321" ca="1" si="147">L322+L323</f>
        <v>0</v>
      </c>
      <c r="M321" s="465">
        <f t="shared" ca="1" si="147"/>
        <v>0</v>
      </c>
      <c r="N321" s="465">
        <f t="shared" ca="1" si="147"/>
        <v>0</v>
      </c>
      <c r="O321" s="465">
        <f t="shared" ca="1" si="143"/>
        <v>0</v>
      </c>
      <c r="P321" s="465">
        <f t="shared" ca="1" si="144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2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3"/>
        <v>0</v>
      </c>
      <c r="P322" s="93">
        <f t="shared" si="144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2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IFERROR(__xludf.DUMMYFUNCTION("IMPORTRANGE(""https://docs.google.com/spreadsheets/d/1MeEWN-I1oV_STSDYn1IFDPWt_1FKiwhDph83XaGc0o0/edit?usp=sharing"",""งบพรบ!EF17"")"),0)</f>
        <v>0</v>
      </c>
      <c r="M323" s="93">
        <f ca="1">IFERROR(__xludf.DUMMYFUNCTION("IMPORTRANGE(""https://docs.google.com/spreadsheets/d/1MeEWN-I1oV_STSDYn1IFDPWt_1FKiwhDph83XaGc0o0/edit?usp=sharing"",""งบพรบ!EI17"")"),0)</f>
        <v>0</v>
      </c>
      <c r="N323" s="93">
        <f ca="1">IFERROR(__xludf.DUMMYFUNCTION("IMPORTRANGE(""https://docs.google.com/spreadsheets/d/1MeEWN-I1oV_STSDYn1IFDPWt_1FKiwhDph83XaGc0o0/edit?usp=sharing"",""งบพรบ!EK17"")"),0)</f>
        <v>0</v>
      </c>
      <c r="O323" s="93">
        <f t="shared" ca="1" si="143"/>
        <v>0</v>
      </c>
      <c r="P323" s="93">
        <f t="shared" ca="1" si="144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18" t="s">
        <v>38</v>
      </c>
      <c r="E324" s="173"/>
      <c r="F324" s="173"/>
      <c r="G324" s="174"/>
      <c r="H324" s="726"/>
      <c r="I324" s="184"/>
      <c r="J324" s="269"/>
      <c r="K324" s="465"/>
      <c r="L324" s="465"/>
      <c r="M324" s="465"/>
      <c r="N324" s="465"/>
      <c r="O324" s="163"/>
      <c r="P324" s="163"/>
    </row>
    <row r="325" spans="1:26" ht="18.75" hidden="1">
      <c r="A325" s="170"/>
      <c r="B325" s="171"/>
      <c r="C325" s="171"/>
      <c r="D325" s="343" t="s">
        <v>147</v>
      </c>
      <c r="E325" s="342"/>
      <c r="F325" s="415"/>
      <c r="G325" s="179"/>
      <c r="H325" s="589" t="s">
        <v>146</v>
      </c>
      <c r="I325" s="269">
        <f ca="1">IFERROR(__xludf.DUMMYFUNCTION("IMPORTRANGE(""https://docs.google.com/spreadsheets/d/1QqKyyYR6Q21VydFLVH3TRQUabQu_ym0Zz7PgGX0-kHA/edit?usp=sharing"",""แผน!EF17"")"),0)</f>
        <v>0</v>
      </c>
      <c r="J325" s="214">
        <v>0</v>
      </c>
      <c r="K325" s="465">
        <f ca="1">IF(I325&gt;0,J325*100/I325,0)</f>
        <v>0</v>
      </c>
      <c r="L325" s="465"/>
      <c r="M325" s="465"/>
      <c r="N325" s="465"/>
      <c r="O325" s="163"/>
      <c r="P325" s="163"/>
    </row>
    <row r="326" spans="1:26" ht="19.5">
      <c r="A326" s="400" t="s">
        <v>148</v>
      </c>
      <c r="B326" s="401"/>
      <c r="C326" s="401"/>
      <c r="D326" s="402"/>
      <c r="E326" s="401"/>
      <c r="F326" s="401"/>
      <c r="G326" s="401"/>
      <c r="H326" s="417"/>
      <c r="I326" s="405"/>
      <c r="J326" s="405"/>
      <c r="K326" s="406"/>
      <c r="L326" s="406"/>
      <c r="M326" s="406"/>
      <c r="N326" s="406"/>
      <c r="O326" s="406"/>
      <c r="P326" s="406"/>
    </row>
    <row r="327" spans="1:26" ht="19.5">
      <c r="A327" s="407"/>
      <c r="B327" s="408" t="s">
        <v>149</v>
      </c>
      <c r="C327" s="420"/>
      <c r="D327" s="409"/>
      <c r="E327" s="409"/>
      <c r="F327" s="409"/>
      <c r="G327" s="410"/>
      <c r="H327" s="411" t="s">
        <v>35</v>
      </c>
      <c r="I327" s="412">
        <f ca="1">IFERROR(__xludf.DUMMYFUNCTION("IMPORTRANGE(""https://docs.google.com/spreadsheets/d/1QqKyyYR6Q21VydFLVH3TRQUabQu_ym0Zz7PgGX0-kHA/edit?usp=sharing"",""แผน!EG17"")"),900)</f>
        <v>900</v>
      </c>
      <c r="J327" s="412">
        <f ca="1">J338+J341+J342+J343</f>
        <v>338</v>
      </c>
      <c r="K327" s="413">
        <f ca="1">IF(I327&gt;0,J327*100/I327,0)</f>
        <v>37.555555555555557</v>
      </c>
      <c r="L327" s="414"/>
      <c r="M327" s="414"/>
      <c r="N327" s="414"/>
      <c r="O327" s="414"/>
      <c r="P327" s="414"/>
    </row>
    <row r="328" spans="1:26" ht="19.5">
      <c r="A328" s="147"/>
      <c r="B328" s="148"/>
      <c r="C328" s="149" t="s">
        <v>16</v>
      </c>
      <c r="D328" s="817" t="s">
        <v>17</v>
      </c>
      <c r="E328" s="148"/>
      <c r="F328" s="148"/>
      <c r="G328" s="151"/>
      <c r="H328" s="152" t="s">
        <v>12</v>
      </c>
      <c r="I328" s="388"/>
      <c r="J328" s="388"/>
      <c r="K328" s="154"/>
      <c r="L328" s="155">
        <f t="shared" ref="L328:N328" ca="1" si="148">L329+L330</f>
        <v>165000</v>
      </c>
      <c r="M328" s="155">
        <f t="shared" ca="1" si="148"/>
        <v>82500</v>
      </c>
      <c r="N328" s="155">
        <f t="shared" ca="1" si="148"/>
        <v>16685</v>
      </c>
      <c r="O328" s="155">
        <f t="shared" ref="O328:O336" ca="1" si="149">IF(L328&gt;0,N328*100/L328,0)</f>
        <v>10.112121212121211</v>
      </c>
      <c r="P328" s="155">
        <f t="shared" ref="P328:P336" ca="1" si="150">IF(M328&gt;0,N328*100/M328,0)</f>
        <v>20.224242424242423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2" t="s">
        <v>18</v>
      </c>
      <c r="F329" s="40"/>
      <c r="G329" s="157"/>
      <c r="H329" s="158" t="s">
        <v>12</v>
      </c>
      <c r="I329" s="583"/>
      <c r="J329" s="583"/>
      <c r="K329" s="93"/>
      <c r="L329" s="93">
        <f t="shared" ref="L329:N330" si="151">L332+L335</f>
        <v>0</v>
      </c>
      <c r="M329" s="93">
        <f t="shared" si="151"/>
        <v>0</v>
      </c>
      <c r="N329" s="93">
        <f t="shared" si="151"/>
        <v>0</v>
      </c>
      <c r="O329" s="93">
        <f t="shared" si="149"/>
        <v>0</v>
      </c>
      <c r="P329" s="93">
        <f t="shared" si="150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2" t="s">
        <v>19</v>
      </c>
      <c r="F330" s="40"/>
      <c r="G330" s="157"/>
      <c r="H330" s="158" t="s">
        <v>12</v>
      </c>
      <c r="I330" s="583"/>
      <c r="J330" s="583"/>
      <c r="K330" s="93"/>
      <c r="L330" s="93">
        <f t="shared" ca="1" si="151"/>
        <v>165000</v>
      </c>
      <c r="M330" s="93">
        <f t="shared" ca="1" si="151"/>
        <v>82500</v>
      </c>
      <c r="N330" s="93">
        <f t="shared" ca="1" si="151"/>
        <v>16685</v>
      </c>
      <c r="O330" s="93">
        <f t="shared" ca="1" si="149"/>
        <v>10.112121212121211</v>
      </c>
      <c r="P330" s="93">
        <f t="shared" ca="1" si="150"/>
        <v>20.224242424242423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1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65">
        <f t="shared" ref="L331:N331" ca="1" si="152">L332+L333</f>
        <v>165000</v>
      </c>
      <c r="M331" s="465">
        <f t="shared" ca="1" si="152"/>
        <v>82500</v>
      </c>
      <c r="N331" s="465">
        <f t="shared" ca="1" si="152"/>
        <v>16685</v>
      </c>
      <c r="O331" s="465">
        <f t="shared" ca="1" si="149"/>
        <v>10.112121212121211</v>
      </c>
      <c r="P331" s="465">
        <f t="shared" ca="1" si="150"/>
        <v>20.224242424242423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2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49"/>
        <v>0</v>
      </c>
      <c r="P332" s="93">
        <f t="shared" si="150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2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IFERROR(__xludf.DUMMYFUNCTION("IMPORTRANGE(""https://docs.google.com/spreadsheets/d/1MeEWN-I1oV_STSDYn1IFDPWt_1FKiwhDph83XaGc0o0/edit?usp=sharing"",""งบพรบ!EM17"")"),165000)</f>
        <v>165000</v>
      </c>
      <c r="M333" s="93">
        <f ca="1">IFERROR(__xludf.DUMMYFUNCTION("IMPORTRANGE(""https://docs.google.com/spreadsheets/d/1MeEWN-I1oV_STSDYn1IFDPWt_1FKiwhDph83XaGc0o0/edit?usp=sharing"",""งบพรบ!ER17"")"),82500)</f>
        <v>82500</v>
      </c>
      <c r="N333" s="93">
        <f ca="1">IFERROR(__xludf.DUMMYFUNCTION("IMPORTRANGE(""https://docs.google.com/spreadsheets/d/1MeEWN-I1oV_STSDYn1IFDPWt_1FKiwhDph83XaGc0o0/edit?usp=sharing"",""งบพรบ!ET17"")"),16685)</f>
        <v>16685</v>
      </c>
      <c r="O333" s="93">
        <f t="shared" ca="1" si="149"/>
        <v>10.112121212121211</v>
      </c>
      <c r="P333" s="93">
        <f t="shared" ca="1" si="150"/>
        <v>20.224242424242423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1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65">
        <f t="shared" ref="L334:N334" ca="1" si="153">L335+L336</f>
        <v>0</v>
      </c>
      <c r="M334" s="465">
        <f t="shared" ca="1" si="153"/>
        <v>0</v>
      </c>
      <c r="N334" s="465">
        <f t="shared" ca="1" si="153"/>
        <v>0</v>
      </c>
      <c r="O334" s="465">
        <f t="shared" ca="1" si="149"/>
        <v>0</v>
      </c>
      <c r="P334" s="465">
        <f t="shared" ca="1" si="150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2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49"/>
        <v>0</v>
      </c>
      <c r="P335" s="93">
        <f t="shared" si="150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2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IFERROR(__xludf.DUMMYFUNCTION("IMPORTRANGE(""https://docs.google.com/spreadsheets/d/1MeEWN-I1oV_STSDYn1IFDPWt_1FKiwhDph83XaGc0o0/edit?usp=sharing"",""งบพรบ!EP17"")"),0)</f>
        <v>0</v>
      </c>
      <c r="M336" s="93">
        <f ca="1">IFERROR(__xludf.DUMMYFUNCTION("IMPORTRANGE(""https://docs.google.com/spreadsheets/d/1MeEWN-I1oV_STSDYn1IFDPWt_1FKiwhDph83XaGc0o0/edit?usp=sharing"",""งบพรบ!ES17"")"),0)</f>
        <v>0</v>
      </c>
      <c r="N336" s="93">
        <f ca="1">IFERROR(__xludf.DUMMYFUNCTION("IMPORTRANGE(""https://docs.google.com/spreadsheets/d/1MeEWN-I1oV_STSDYn1IFDPWt_1FKiwhDph83XaGc0o0/edit?usp=sharing"",""งบพรบ!EU17"")"),0)</f>
        <v>0</v>
      </c>
      <c r="O336" s="93">
        <f t="shared" ca="1" si="149"/>
        <v>0</v>
      </c>
      <c r="P336" s="93">
        <f t="shared" ca="1" si="150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18" t="s">
        <v>38</v>
      </c>
      <c r="E337" s="173"/>
      <c r="F337" s="173"/>
      <c r="G337" s="174"/>
      <c r="H337" s="726"/>
      <c r="I337" s="184"/>
      <c r="J337" s="269"/>
      <c r="K337" s="465"/>
      <c r="L337" s="465"/>
      <c r="M337" s="465"/>
      <c r="N337" s="465"/>
      <c r="O337" s="163"/>
      <c r="P337" s="163"/>
    </row>
    <row r="338" spans="1:26" ht="18.75">
      <c r="A338" s="283"/>
      <c r="B338" s="33"/>
      <c r="C338" s="280"/>
      <c r="D338" s="415" t="s">
        <v>150</v>
      </c>
      <c r="E338" s="171"/>
      <c r="F338" s="33"/>
      <c r="G338" s="35"/>
      <c r="H338" s="276" t="s">
        <v>35</v>
      </c>
      <c r="I338" s="269">
        <f ca="1">IFERROR(__xludf.DUMMYFUNCTION("IMPORTRANGE(""https://docs.google.com/spreadsheets/d/1QqKyyYR6Q21VydFLVH3TRQUabQu_ym0Zz7PgGX0-kHA/edit?usp=sharing"",""แผน!EG17"")"),900)</f>
        <v>900</v>
      </c>
      <c r="J338" s="269">
        <f ca="1">IFERROR(__xludf.DUMMYFUNCTION("IMPORTRANGE(""https://docs.google.com/spreadsheets/d/1kVcqe37tkHyjCSG3S0O1AXqVkqjo8mSIZil3BcpIysc/edit?usp=sharing"",""ศูนย์!D17"")"),287)</f>
        <v>287</v>
      </c>
      <c r="K338" s="465">
        <f ca="1">IF(I338&gt;0,J338*100/I338,0)</f>
        <v>31.888888888888889</v>
      </c>
      <c r="L338" s="465"/>
      <c r="M338" s="465"/>
      <c r="N338" s="465"/>
      <c r="O338" s="465"/>
      <c r="P338" s="465"/>
    </row>
    <row r="339" spans="1:26" ht="18.75">
      <c r="A339" s="283"/>
      <c r="B339" s="33"/>
      <c r="C339" s="280"/>
      <c r="D339" s="415" t="s">
        <v>151</v>
      </c>
      <c r="E339" s="171"/>
      <c r="F339" s="33"/>
      <c r="G339" s="35"/>
      <c r="H339" s="276"/>
      <c r="I339" s="269"/>
      <c r="J339" s="269"/>
      <c r="K339" s="465"/>
      <c r="L339" s="465"/>
      <c r="M339" s="465"/>
      <c r="N339" s="465"/>
      <c r="O339" s="465"/>
      <c r="P339" s="465"/>
    </row>
    <row r="340" spans="1:26" ht="18.75">
      <c r="A340" s="283"/>
      <c r="B340" s="33"/>
      <c r="C340" s="280"/>
      <c r="D340" s="342"/>
      <c r="E340" s="415" t="s">
        <v>152</v>
      </c>
      <c r="F340" s="33"/>
      <c r="G340" s="35"/>
      <c r="H340" s="276" t="s">
        <v>153</v>
      </c>
      <c r="I340" s="269">
        <f ca="1">IFERROR(__xludf.DUMMYFUNCTION("IMPORTRANGE(""https://docs.google.com/spreadsheets/d/1QqKyyYR6Q21VydFLVH3TRQUabQu_ym0Zz7PgGX0-kHA/edit?usp=sharing"",""แผน!EH17"")"),6)</f>
        <v>6</v>
      </c>
      <c r="J340" s="269">
        <f ca="1">IFERROR(__xludf.DUMMYFUNCTION("IMPORTRANGE(""https://docs.google.com/spreadsheets/d/1kVcqe37tkHyjCSG3S0O1AXqVkqjo8mSIZil3BcpIysc/edit?usp=sharing"",""ศูนย์!E17"")"),1)</f>
        <v>1</v>
      </c>
      <c r="K340" s="465">
        <f ca="1">IF(I340&gt;0,J340*100/I340,0)</f>
        <v>16.666666666666668</v>
      </c>
      <c r="L340" s="465"/>
      <c r="M340" s="465"/>
      <c r="N340" s="465"/>
      <c r="O340" s="465"/>
      <c r="P340" s="465"/>
    </row>
    <row r="341" spans="1:26" ht="18.75">
      <c r="A341" s="283"/>
      <c r="B341" s="33"/>
      <c r="C341" s="280"/>
      <c r="D341" s="342"/>
      <c r="E341" s="415" t="s">
        <v>154</v>
      </c>
      <c r="F341" s="33"/>
      <c r="G341" s="35"/>
      <c r="H341" s="276" t="s">
        <v>35</v>
      </c>
      <c r="I341" s="269"/>
      <c r="J341" s="269">
        <f ca="1">IFERROR(__xludf.DUMMYFUNCTION("IMPORTRANGE(""https://docs.google.com/spreadsheets/d/1kVcqe37tkHyjCSG3S0O1AXqVkqjo8mSIZil3BcpIysc/edit?usp=sharing"",""ศูนย์!F17"")"),51)</f>
        <v>51</v>
      </c>
      <c r="K341" s="465"/>
      <c r="L341" s="465"/>
      <c r="M341" s="465"/>
      <c r="N341" s="465"/>
      <c r="O341" s="465"/>
      <c r="P341" s="465"/>
    </row>
    <row r="342" spans="1:26" ht="18.75">
      <c r="A342" s="283"/>
      <c r="B342" s="33"/>
      <c r="C342" s="280"/>
      <c r="D342" s="415" t="s">
        <v>155</v>
      </c>
      <c r="E342" s="342"/>
      <c r="F342" s="342"/>
      <c r="G342" s="35"/>
      <c r="H342" s="276" t="s">
        <v>35</v>
      </c>
      <c r="I342" s="269"/>
      <c r="J342" s="269">
        <f ca="1">IFERROR(__xludf.DUMMYFUNCTION("IMPORTRANGE(""https://docs.google.com/spreadsheets/d/1kVcqe37tkHyjCSG3S0O1AXqVkqjo8mSIZil3BcpIysc/edit?usp=sharing"",""ศูนย์!G17"")"),0)</f>
        <v>0</v>
      </c>
      <c r="K342" s="465"/>
      <c r="L342" s="465"/>
      <c r="M342" s="465"/>
      <c r="N342" s="465"/>
      <c r="O342" s="465"/>
      <c r="P342" s="465"/>
    </row>
    <row r="343" spans="1:26" ht="18.75">
      <c r="A343" s="283"/>
      <c r="B343" s="33"/>
      <c r="C343" s="280"/>
      <c r="D343" s="415" t="s">
        <v>156</v>
      </c>
      <c r="E343" s="342"/>
      <c r="F343" s="342"/>
      <c r="G343" s="35"/>
      <c r="H343" s="276" t="s">
        <v>35</v>
      </c>
      <c r="I343" s="269"/>
      <c r="J343" s="269">
        <f ca="1">IFERROR(__xludf.DUMMYFUNCTION("IMPORTRANGE(""https://docs.google.com/spreadsheets/d/1kVcqe37tkHyjCSG3S0O1AXqVkqjo8mSIZil3BcpIysc/edit?usp=sharing"",""ศูนย์!H17"")"),0)</f>
        <v>0</v>
      </c>
      <c r="K343" s="465"/>
      <c r="L343" s="465"/>
      <c r="M343" s="465"/>
      <c r="N343" s="465"/>
      <c r="O343" s="465"/>
      <c r="P343" s="465"/>
    </row>
    <row r="344" spans="1:26" ht="19.5">
      <c r="A344" s="407"/>
      <c r="B344" s="408" t="s">
        <v>157</v>
      </c>
      <c r="C344" s="420"/>
      <c r="D344" s="409"/>
      <c r="E344" s="409"/>
      <c r="F344" s="409"/>
      <c r="G344" s="410"/>
      <c r="H344" s="411"/>
      <c r="I344" s="421"/>
      <c r="J344" s="421"/>
      <c r="K344" s="414"/>
      <c r="L344" s="414"/>
      <c r="M344" s="414"/>
      <c r="N344" s="414"/>
      <c r="O344" s="414"/>
      <c r="P344" s="414"/>
    </row>
    <row r="345" spans="1:26" ht="19.5">
      <c r="A345" s="147"/>
      <c r="B345" s="148"/>
      <c r="C345" s="149" t="s">
        <v>16</v>
      </c>
      <c r="D345" s="817" t="s">
        <v>17</v>
      </c>
      <c r="E345" s="148"/>
      <c r="F345" s="148"/>
      <c r="G345" s="151"/>
      <c r="H345" s="152" t="s">
        <v>12</v>
      </c>
      <c r="I345" s="388"/>
      <c r="J345" s="388"/>
      <c r="K345" s="154"/>
      <c r="L345" s="155">
        <f t="shared" ref="L345:N345" ca="1" si="154">L346+L347</f>
        <v>768200</v>
      </c>
      <c r="M345" s="155">
        <f t="shared" ca="1" si="154"/>
        <v>420400</v>
      </c>
      <c r="N345" s="155">
        <f t="shared" ca="1" si="154"/>
        <v>205824</v>
      </c>
      <c r="O345" s="155">
        <f t="shared" ref="O345:O353" ca="1" si="155">IF(L345&gt;0,N345*100/L345,0)</f>
        <v>26.793022650351471</v>
      </c>
      <c r="P345" s="155">
        <f t="shared" ref="P345:P353" ca="1" si="156">IF(M345&gt;0,N345*100/M345,0)</f>
        <v>48.959086584205515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2" t="s">
        <v>18</v>
      </c>
      <c r="F346" s="40"/>
      <c r="G346" s="157"/>
      <c r="H346" s="158" t="s">
        <v>12</v>
      </c>
      <c r="I346" s="583"/>
      <c r="J346" s="583"/>
      <c r="K346" s="93"/>
      <c r="L346" s="93">
        <f t="shared" ref="L346:N347" si="157">L349+L352</f>
        <v>0</v>
      </c>
      <c r="M346" s="93">
        <f t="shared" si="157"/>
        <v>0</v>
      </c>
      <c r="N346" s="93">
        <f t="shared" si="157"/>
        <v>0</v>
      </c>
      <c r="O346" s="93">
        <f t="shared" si="155"/>
        <v>0</v>
      </c>
      <c r="P346" s="93">
        <f t="shared" si="156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2" t="s">
        <v>19</v>
      </c>
      <c r="F347" s="40"/>
      <c r="G347" s="157"/>
      <c r="H347" s="158" t="s">
        <v>12</v>
      </c>
      <c r="I347" s="583"/>
      <c r="J347" s="583"/>
      <c r="K347" s="93"/>
      <c r="L347" s="93">
        <f t="shared" ca="1" si="157"/>
        <v>768200</v>
      </c>
      <c r="M347" s="93">
        <f t="shared" ca="1" si="157"/>
        <v>420400</v>
      </c>
      <c r="N347" s="93">
        <f t="shared" ca="1" si="157"/>
        <v>205824</v>
      </c>
      <c r="O347" s="93">
        <f t="shared" ca="1" si="155"/>
        <v>26.793022650351471</v>
      </c>
      <c r="P347" s="93">
        <f t="shared" ca="1" si="156"/>
        <v>48.959086584205515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1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65">
        <f t="shared" ref="L348:N348" ca="1" si="158">L349+L350</f>
        <v>695600</v>
      </c>
      <c r="M348" s="465">
        <f t="shared" ca="1" si="158"/>
        <v>347800</v>
      </c>
      <c r="N348" s="465">
        <f t="shared" ca="1" si="158"/>
        <v>134244</v>
      </c>
      <c r="O348" s="465">
        <f t="shared" ca="1" si="155"/>
        <v>19.299022426682001</v>
      </c>
      <c r="P348" s="465">
        <f t="shared" ca="1" si="156"/>
        <v>38.598044853364001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2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5"/>
        <v>0</v>
      </c>
      <c r="P349" s="93">
        <f t="shared" si="156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2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IFERROR(__xludf.DUMMYFUNCTION("IMPORTRANGE(""https://docs.google.com/spreadsheets/d/1MeEWN-I1oV_STSDYn1IFDPWt_1FKiwhDph83XaGc0o0/edit?usp=sharing"",""งบพรบ!EW17"")"),695600)</f>
        <v>695600</v>
      </c>
      <c r="M350" s="93">
        <f ca="1">IFERROR(__xludf.DUMMYFUNCTION("IMPORTRANGE(""https://docs.google.com/spreadsheets/d/1MeEWN-I1oV_STSDYn1IFDPWt_1FKiwhDph83XaGc0o0/edit?usp=sharing"",""งบพรบ!FB17"")"),347800)</f>
        <v>347800</v>
      </c>
      <c r="N350" s="93">
        <f ca="1">IFERROR(__xludf.DUMMYFUNCTION("IMPORTRANGE(""https://docs.google.com/spreadsheets/d/1MeEWN-I1oV_STSDYn1IFDPWt_1FKiwhDph83XaGc0o0/edit?usp=sharing"",""งบพรบ!FD17"")"),134244)</f>
        <v>134244</v>
      </c>
      <c r="O350" s="93">
        <f t="shared" ca="1" si="155"/>
        <v>19.299022426682001</v>
      </c>
      <c r="P350" s="93">
        <f t="shared" ca="1" si="156"/>
        <v>38.598044853364001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1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65">
        <f t="shared" ref="L351:N351" ca="1" si="159">L352+L353</f>
        <v>72600</v>
      </c>
      <c r="M351" s="465">
        <f t="shared" ca="1" si="159"/>
        <v>72600</v>
      </c>
      <c r="N351" s="465">
        <f t="shared" ca="1" si="159"/>
        <v>71580</v>
      </c>
      <c r="O351" s="465">
        <f t="shared" ca="1" si="155"/>
        <v>98.595041322314046</v>
      </c>
      <c r="P351" s="465">
        <f t="shared" ca="1" si="156"/>
        <v>98.595041322314046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2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5"/>
        <v>0</v>
      </c>
      <c r="P352" s="93">
        <f t="shared" si="156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2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IFERROR(__xludf.DUMMYFUNCTION("IMPORTRANGE(""https://docs.google.com/spreadsheets/d/1MeEWN-I1oV_STSDYn1IFDPWt_1FKiwhDph83XaGc0o0/edit?usp=sharing"",""งบพรบ!EZ17"")"),72600)</f>
        <v>72600</v>
      </c>
      <c r="M353" s="93">
        <f ca="1">IFERROR(__xludf.DUMMYFUNCTION("IMPORTRANGE(""https://docs.google.com/spreadsheets/d/1MeEWN-I1oV_STSDYn1IFDPWt_1FKiwhDph83XaGc0o0/edit?usp=sharing"",""งบพรบ!FC17"")"),72600)</f>
        <v>72600</v>
      </c>
      <c r="N353" s="93">
        <f ca="1">IFERROR(__xludf.DUMMYFUNCTION("IMPORTRANGE(""https://docs.google.com/spreadsheets/d/1MeEWN-I1oV_STSDYn1IFDPWt_1FKiwhDph83XaGc0o0/edit?usp=sharing"",""งบพรบ!FE17"")"),71580)</f>
        <v>71580</v>
      </c>
      <c r="O353" s="93">
        <f t="shared" ca="1" si="155"/>
        <v>98.595041322314046</v>
      </c>
      <c r="P353" s="93">
        <f t="shared" ca="1" si="156"/>
        <v>98.595041322314046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5"/>
      <c r="B354" s="263"/>
      <c r="C354" s="256"/>
      <c r="D354" s="845" t="s">
        <v>158</v>
      </c>
      <c r="E354" s="256"/>
      <c r="F354" s="256"/>
      <c r="G354" s="258"/>
      <c r="H354" s="423"/>
      <c r="I354" s="260"/>
      <c r="J354" s="260"/>
      <c r="K354" s="261"/>
      <c r="L354" s="261"/>
      <c r="M354" s="261"/>
      <c r="N354" s="261"/>
      <c r="O354" s="261"/>
      <c r="P354" s="261"/>
    </row>
    <row r="355" spans="1:26" ht="19.5">
      <c r="A355" s="424"/>
      <c r="B355" s="425"/>
      <c r="C355" s="426"/>
      <c r="D355" s="846" t="s">
        <v>159</v>
      </c>
      <c r="E355" s="428"/>
      <c r="F355" s="428"/>
      <c r="G355" s="429"/>
      <c r="H355" s="430" t="s">
        <v>35</v>
      </c>
      <c r="I355" s="432">
        <f ca="1">IFERROR(__xludf.DUMMYFUNCTION("IMPORTRANGE(""https://docs.google.com/spreadsheets/d/1QqKyyYR6Q21VydFLVH3TRQUabQu_ym0Zz7PgGX0-kHA/edit?usp=sharing"",""แผน!EP17"")"),250)</f>
        <v>250</v>
      </c>
      <c r="J355" s="432">
        <f ca="1">J362</f>
        <v>0</v>
      </c>
      <c r="K355" s="433">
        <f ca="1">IF(I355&gt;0,J355*100/I355,0)</f>
        <v>0</v>
      </c>
      <c r="L355" s="434"/>
      <c r="M355" s="434"/>
      <c r="N355" s="434"/>
      <c r="O355" s="434"/>
      <c r="P355" s="434"/>
    </row>
    <row r="356" spans="1:26" ht="19.5">
      <c r="A356" s="424"/>
      <c r="B356" s="425"/>
      <c r="C356" s="426"/>
      <c r="D356" s="435" t="s">
        <v>160</v>
      </c>
      <c r="E356" s="428"/>
      <c r="F356" s="428"/>
      <c r="G356" s="429"/>
      <c r="H356" s="436"/>
      <c r="I356" s="437"/>
      <c r="J356" s="437"/>
      <c r="K356" s="434"/>
      <c r="L356" s="434"/>
      <c r="M356" s="434"/>
      <c r="N356" s="434"/>
      <c r="O356" s="434"/>
      <c r="P356" s="434"/>
    </row>
    <row r="357" spans="1:26" ht="19.5">
      <c r="A357" s="170"/>
      <c r="B357" s="171"/>
      <c r="C357" s="164" t="s">
        <v>16</v>
      </c>
      <c r="D357" s="818" t="s">
        <v>38</v>
      </c>
      <c r="E357" s="173"/>
      <c r="F357" s="173"/>
      <c r="G357" s="174"/>
      <c r="H357" s="726"/>
      <c r="I357" s="269"/>
      <c r="J357" s="269"/>
      <c r="K357" s="465"/>
      <c r="L357" s="163"/>
      <c r="M357" s="163"/>
      <c r="N357" s="163"/>
      <c r="O357" s="163"/>
      <c r="P357" s="163"/>
    </row>
    <row r="358" spans="1:26" ht="18.75">
      <c r="A358" s="170"/>
      <c r="B358" s="342"/>
      <c r="C358" s="171"/>
      <c r="D358" s="342"/>
      <c r="E358" s="343" t="s">
        <v>161</v>
      </c>
      <c r="F358" s="342"/>
      <c r="G358" s="179"/>
      <c r="H358" s="185" t="s">
        <v>35</v>
      </c>
      <c r="I358" s="269">
        <v>0</v>
      </c>
      <c r="J358" s="269">
        <f ca="1">IFERROR(__xludf.DUMMYFUNCTION("IMPORTRANGE(""https://docs.google.com/spreadsheets/d/1XWAQStnk-4SwqDmLtmXYiTMKHgktTP8We1SCoS47DrQ/edit?usp=sharing"",""จัดที่ดิน!W17"")"),0)</f>
        <v>0</v>
      </c>
      <c r="K358" s="465">
        <f t="shared" ref="K358:K365" si="160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342"/>
      <c r="C359" s="171"/>
      <c r="D359" s="342"/>
      <c r="E359" s="342"/>
      <c r="F359" s="342"/>
      <c r="G359" s="179"/>
      <c r="H359" s="185" t="s">
        <v>46</v>
      </c>
      <c r="I359" s="269">
        <f ca="1">IFERROR(__xludf.DUMMYFUNCTION("IMPORTRANGE(""https://docs.google.com/spreadsheets/d/1QqKyyYR6Q21VydFLVH3TRQUabQu_ym0Zz7PgGX0-kHA/edit?usp=sharing"",""แผน!EO17"")"),2500)</f>
        <v>2500</v>
      </c>
      <c r="J359" s="269">
        <f ca="1">IFERROR(__xludf.DUMMYFUNCTION("IMPORTRANGE(""https://docs.google.com/spreadsheets/d/1XWAQStnk-4SwqDmLtmXYiTMKHgktTP8We1SCoS47DrQ/edit?usp=sharing"",""จัดที่ดิน!X17"")"),0)</f>
        <v>0</v>
      </c>
      <c r="K359" s="465">
        <f t="shared" ca="1" si="160"/>
        <v>0</v>
      </c>
      <c r="L359" s="163"/>
      <c r="M359" s="163"/>
      <c r="N359" s="163"/>
      <c r="O359" s="163"/>
      <c r="P359" s="163"/>
    </row>
    <row r="360" spans="1:26" ht="18.75">
      <c r="A360" s="170"/>
      <c r="B360" s="342"/>
      <c r="C360" s="171"/>
      <c r="D360" s="342"/>
      <c r="E360" s="343" t="s">
        <v>162</v>
      </c>
      <c r="F360" s="342"/>
      <c r="G360" s="179"/>
      <c r="H360" s="728" t="s">
        <v>35</v>
      </c>
      <c r="I360" s="269">
        <f ca="1">IFERROR(__xludf.DUMMYFUNCTION("IMPORTRANGE(""https://docs.google.com/spreadsheets/d/1QqKyyYR6Q21VydFLVH3TRQUabQu_ym0Zz7PgGX0-kHA/edit?usp=sharing"",""แผน!EP17"")"),250)</f>
        <v>250</v>
      </c>
      <c r="J360" s="269">
        <f ca="1">IFERROR(__xludf.DUMMYFUNCTION("IMPORTRANGE(""https://docs.google.com/spreadsheets/d/1XWAQStnk-4SwqDmLtmXYiTMKHgktTP8We1SCoS47DrQ/edit?usp=sharing"",""จัดที่ดิน!Y17"")"),0)</f>
        <v>0</v>
      </c>
      <c r="K360" s="465">
        <f t="shared" ca="1" si="160"/>
        <v>0</v>
      </c>
      <c r="L360" s="163"/>
      <c r="M360" s="163"/>
      <c r="N360" s="163"/>
      <c r="O360" s="163"/>
      <c r="P360" s="163"/>
    </row>
    <row r="361" spans="1:26" ht="18.75">
      <c r="A361" s="170"/>
      <c r="B361" s="342"/>
      <c r="C361" s="171"/>
      <c r="D361" s="342"/>
      <c r="E361" s="342"/>
      <c r="F361" s="342"/>
      <c r="G361" s="179"/>
      <c r="H361" s="728" t="s">
        <v>46</v>
      </c>
      <c r="I361" s="269">
        <v>0</v>
      </c>
      <c r="J361" s="269">
        <f ca="1">IFERROR(__xludf.DUMMYFUNCTION("IMPORTRANGE(""https://docs.google.com/spreadsheets/d/1XWAQStnk-4SwqDmLtmXYiTMKHgktTP8We1SCoS47DrQ/edit?usp=sharing"",""จัดที่ดิน!Z17"")"),0)</f>
        <v>0</v>
      </c>
      <c r="K361" s="465">
        <f t="shared" si="160"/>
        <v>0</v>
      </c>
      <c r="L361" s="163"/>
      <c r="M361" s="163"/>
      <c r="N361" s="163"/>
      <c r="O361" s="163"/>
      <c r="P361" s="163"/>
    </row>
    <row r="362" spans="1:26" ht="18.75">
      <c r="A362" s="170"/>
      <c r="B362" s="342"/>
      <c r="C362" s="171"/>
      <c r="D362" s="342"/>
      <c r="E362" s="343" t="s">
        <v>163</v>
      </c>
      <c r="F362" s="342"/>
      <c r="G362" s="179"/>
      <c r="H362" s="728" t="s">
        <v>35</v>
      </c>
      <c r="I362" s="269">
        <f ca="1">IFERROR(__xludf.DUMMYFUNCTION("IMPORTRANGE(""https://docs.google.com/spreadsheets/d/1QqKyyYR6Q21VydFLVH3TRQUabQu_ym0Zz7PgGX0-kHA/edit?usp=sharing"",""แผน!EP17"")"),250)</f>
        <v>250</v>
      </c>
      <c r="J362" s="269">
        <f ca="1">IFERROR(__xludf.DUMMYFUNCTION("IMPORTRANGE(""https://docs.google.com/spreadsheets/d/1XWAQStnk-4SwqDmLtmXYiTMKHgktTP8We1SCoS47DrQ/edit?usp=sharing"",""จัดที่ดิน!AA17"")"),0)</f>
        <v>0</v>
      </c>
      <c r="K362" s="465">
        <f t="shared" ca="1" si="160"/>
        <v>0</v>
      </c>
      <c r="L362" s="163"/>
      <c r="M362" s="163"/>
      <c r="N362" s="163"/>
      <c r="O362" s="163"/>
      <c r="P362" s="163"/>
    </row>
    <row r="363" spans="1:26" ht="18.75">
      <c r="A363" s="438" t="s">
        <v>164</v>
      </c>
      <c r="B363" s="342"/>
      <c r="C363" s="171"/>
      <c r="D363" s="342"/>
      <c r="E363" s="415"/>
      <c r="F363" s="342"/>
      <c r="G363" s="179"/>
      <c r="H363" s="728" t="s">
        <v>46</v>
      </c>
      <c r="I363" s="269">
        <v>0</v>
      </c>
      <c r="J363" s="269">
        <f ca="1">IFERROR(__xludf.DUMMYFUNCTION("IMPORTRANGE(""https://docs.google.com/spreadsheets/d/1XWAQStnk-4SwqDmLtmXYiTMKHgktTP8We1SCoS47DrQ/edit?usp=sharing"",""จัดที่ดิน!AB17"")"),0)</f>
        <v>0</v>
      </c>
      <c r="K363" s="465">
        <f t="shared" si="160"/>
        <v>0</v>
      </c>
      <c r="L363" s="163"/>
      <c r="M363" s="163"/>
      <c r="N363" s="163"/>
      <c r="O363" s="163"/>
      <c r="P363" s="163"/>
    </row>
    <row r="364" spans="1:26" ht="19.5">
      <c r="A364" s="439"/>
      <c r="B364" s="440"/>
      <c r="C364" s="441"/>
      <c r="D364" s="442" t="s">
        <v>165</v>
      </c>
      <c r="E364" s="443"/>
      <c r="F364" s="443"/>
      <c r="G364" s="444"/>
      <c r="H364" s="445" t="s">
        <v>35</v>
      </c>
      <c r="I364" s="446">
        <f t="shared" ref="I364:J364" ca="1" si="161">I365+I374</f>
        <v>370</v>
      </c>
      <c r="J364" s="446">
        <f t="shared" ca="1" si="161"/>
        <v>0</v>
      </c>
      <c r="K364" s="447">
        <f t="shared" ca="1" si="160"/>
        <v>0</v>
      </c>
      <c r="L364" s="448"/>
      <c r="M364" s="448"/>
      <c r="N364" s="448"/>
      <c r="O364" s="448"/>
      <c r="P364" s="448"/>
      <c r="Q364" s="449"/>
      <c r="R364" s="449"/>
      <c r="S364" s="449"/>
      <c r="T364" s="449"/>
      <c r="U364" s="449"/>
      <c r="V364" s="449"/>
      <c r="W364" s="449"/>
      <c r="X364" s="449"/>
      <c r="Y364" s="449"/>
      <c r="Z364" s="449"/>
    </row>
    <row r="365" spans="1:26" ht="19.5">
      <c r="A365" s="450"/>
      <c r="B365" s="451"/>
      <c r="C365" s="453"/>
      <c r="D365" s="453" t="s">
        <v>166</v>
      </c>
      <c r="E365" s="454"/>
      <c r="F365" s="454"/>
      <c r="G365" s="455"/>
      <c r="H365" s="456" t="s">
        <v>35</v>
      </c>
      <c r="I365" s="458">
        <f ca="1">IFERROR(__xludf.DUMMYFUNCTION("IMPORTRANGE(""https://docs.google.com/spreadsheets/d/1QqKyyYR6Q21VydFLVH3TRQUabQu_ym0Zz7PgGX0-kHA/edit?usp=sharing"",""แผน!EJ17"")"),100)</f>
        <v>100</v>
      </c>
      <c r="J365" s="458">
        <f ca="1">J372</f>
        <v>0</v>
      </c>
      <c r="K365" s="459">
        <f t="shared" ca="1" si="160"/>
        <v>0</v>
      </c>
      <c r="L365" s="460"/>
      <c r="M365" s="460"/>
      <c r="N365" s="460"/>
      <c r="O365" s="460"/>
      <c r="P365" s="460"/>
      <c r="Q365" s="449"/>
      <c r="R365" s="449"/>
      <c r="S365" s="449"/>
      <c r="T365" s="449"/>
      <c r="U365" s="449"/>
      <c r="V365" s="449"/>
      <c r="W365" s="449"/>
      <c r="X365" s="449"/>
      <c r="Y365" s="449"/>
      <c r="Z365" s="449"/>
    </row>
    <row r="366" spans="1:26" ht="19.5">
      <c r="A366" s="450"/>
      <c r="B366" s="451"/>
      <c r="C366" s="453"/>
      <c r="D366" s="461" t="s">
        <v>167</v>
      </c>
      <c r="E366" s="454"/>
      <c r="F366" s="454"/>
      <c r="G366" s="455"/>
      <c r="H366" s="462"/>
      <c r="I366" s="463"/>
      <c r="J366" s="463"/>
      <c r="K366" s="460"/>
      <c r="L366" s="460"/>
      <c r="M366" s="460"/>
      <c r="N366" s="460"/>
      <c r="O366" s="460"/>
      <c r="P366" s="460"/>
      <c r="Q366" s="449"/>
      <c r="R366" s="449"/>
      <c r="S366" s="449"/>
      <c r="T366" s="449"/>
      <c r="U366" s="449"/>
      <c r="V366" s="449"/>
      <c r="W366" s="449"/>
      <c r="X366" s="449"/>
      <c r="Y366" s="449"/>
      <c r="Z366" s="449"/>
    </row>
    <row r="367" spans="1:26" ht="19.5">
      <c r="A367" s="170"/>
      <c r="B367" s="171"/>
      <c r="C367" s="164" t="s">
        <v>16</v>
      </c>
      <c r="D367" s="818" t="s">
        <v>38</v>
      </c>
      <c r="E367" s="173"/>
      <c r="F367" s="173"/>
      <c r="G367" s="174"/>
      <c r="H367" s="726"/>
      <c r="I367" s="269"/>
      <c r="J367" s="269"/>
      <c r="K367" s="465"/>
      <c r="L367" s="163"/>
      <c r="M367" s="163"/>
      <c r="N367" s="163"/>
      <c r="O367" s="163"/>
      <c r="P367" s="163"/>
    </row>
    <row r="368" spans="1:26" ht="18.75">
      <c r="A368" s="170"/>
      <c r="B368" s="342"/>
      <c r="C368" s="171"/>
      <c r="D368" s="342"/>
      <c r="E368" s="343" t="s">
        <v>161</v>
      </c>
      <c r="F368" s="342"/>
      <c r="G368" s="179"/>
      <c r="H368" s="185" t="s">
        <v>35</v>
      </c>
      <c r="I368" s="269">
        <v>0</v>
      </c>
      <c r="J368" s="269">
        <f ca="1">IFERROR(__xludf.DUMMYFUNCTION("IMPORTRANGE(""https://docs.google.com/spreadsheets/d/1XWAQStnk-4SwqDmLtmXYiTMKHgktTP8We1SCoS47DrQ/edit?usp=sharing"",""จัดที่ดิน!E17"")"),0)</f>
        <v>0</v>
      </c>
      <c r="K368" s="465">
        <f t="shared" ref="K368:K374" si="162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342"/>
      <c r="C369" s="171"/>
      <c r="D369" s="342"/>
      <c r="E369" s="342"/>
      <c r="F369" s="342"/>
      <c r="G369" s="179"/>
      <c r="H369" s="185" t="s">
        <v>46</v>
      </c>
      <c r="I369" s="269">
        <f ca="1">IFERROR(__xludf.DUMMYFUNCTION("IMPORTRANGE(""https://docs.google.com/spreadsheets/d/1QqKyyYR6Q21VydFLVH3TRQUabQu_ym0Zz7PgGX0-kHA/edit?usp=sharing"",""แผน!EI17"")"),1000)</f>
        <v>1000</v>
      </c>
      <c r="J369" s="269">
        <f ca="1">IFERROR(__xludf.DUMMYFUNCTION("IMPORTRANGE(""https://docs.google.com/spreadsheets/d/1XWAQStnk-4SwqDmLtmXYiTMKHgktTP8We1SCoS47DrQ/edit?usp=sharing"",""จัดที่ดิน!F17"")"),0)</f>
        <v>0</v>
      </c>
      <c r="K369" s="465">
        <f t="shared" ca="1" si="162"/>
        <v>0</v>
      </c>
      <c r="L369" s="163"/>
      <c r="M369" s="163"/>
      <c r="N369" s="163"/>
      <c r="O369" s="163"/>
      <c r="P369" s="163"/>
    </row>
    <row r="370" spans="1:26" ht="18.75">
      <c r="A370" s="170"/>
      <c r="B370" s="342"/>
      <c r="C370" s="171"/>
      <c r="D370" s="342"/>
      <c r="E370" s="343" t="s">
        <v>162</v>
      </c>
      <c r="F370" s="342"/>
      <c r="G370" s="179"/>
      <c r="H370" s="728" t="s">
        <v>35</v>
      </c>
      <c r="I370" s="269">
        <f ca="1">IFERROR(__xludf.DUMMYFUNCTION("IMPORTRANGE(""https://docs.google.com/spreadsheets/d/1QqKyyYR6Q21VydFLVH3TRQUabQu_ym0Zz7PgGX0-kHA/edit?usp=sharing"",""แผน!EJ17"")"),100)</f>
        <v>100</v>
      </c>
      <c r="J370" s="269">
        <f ca="1">IFERROR(__xludf.DUMMYFUNCTION("IMPORTRANGE(""https://docs.google.com/spreadsheets/d/1XWAQStnk-4SwqDmLtmXYiTMKHgktTP8We1SCoS47DrQ/edit?usp=sharing"",""จัดที่ดิน!G17"")"),0)</f>
        <v>0</v>
      </c>
      <c r="K370" s="465">
        <f t="shared" ca="1" si="162"/>
        <v>0</v>
      </c>
      <c r="L370" s="163"/>
      <c r="M370" s="163"/>
      <c r="N370" s="163"/>
      <c r="O370" s="163"/>
      <c r="P370" s="163"/>
    </row>
    <row r="371" spans="1:26" ht="18.75">
      <c r="A371" s="170"/>
      <c r="B371" s="342"/>
      <c r="C371" s="171"/>
      <c r="D371" s="342"/>
      <c r="E371" s="342"/>
      <c r="F371" s="342"/>
      <c r="G371" s="179"/>
      <c r="H371" s="728" t="s">
        <v>46</v>
      </c>
      <c r="I371" s="269">
        <v>0</v>
      </c>
      <c r="J371" s="269">
        <f ca="1">IFERROR(__xludf.DUMMYFUNCTION("IMPORTRANGE(""https://docs.google.com/spreadsheets/d/1XWAQStnk-4SwqDmLtmXYiTMKHgktTP8We1SCoS47DrQ/edit?usp=sharing"",""จัดที่ดิน!H17"")"),0)</f>
        <v>0</v>
      </c>
      <c r="K371" s="465">
        <f t="shared" si="162"/>
        <v>0</v>
      </c>
      <c r="L371" s="163"/>
      <c r="M371" s="163"/>
      <c r="N371" s="163"/>
      <c r="O371" s="163"/>
      <c r="P371" s="163"/>
    </row>
    <row r="372" spans="1:26" ht="18.75">
      <c r="A372" s="170"/>
      <c r="B372" s="342"/>
      <c r="C372" s="171"/>
      <c r="D372" s="342"/>
      <c r="E372" s="343" t="s">
        <v>163</v>
      </c>
      <c r="F372" s="342"/>
      <c r="G372" s="179"/>
      <c r="H372" s="728" t="s">
        <v>35</v>
      </c>
      <c r="I372" s="269">
        <f ca="1">IFERROR(__xludf.DUMMYFUNCTION("IMPORTRANGE(""https://docs.google.com/spreadsheets/d/1QqKyyYR6Q21VydFLVH3TRQUabQu_ym0Zz7PgGX0-kHA/edit?usp=sharing"",""แผน!EJ17"")"),100)</f>
        <v>100</v>
      </c>
      <c r="J372" s="269">
        <f ca="1">IFERROR(__xludf.DUMMYFUNCTION("IMPORTRANGE(""https://docs.google.com/spreadsheets/d/1XWAQStnk-4SwqDmLtmXYiTMKHgktTP8We1SCoS47DrQ/edit?usp=sharing"",""จัดที่ดิน!I17"")"),0)</f>
        <v>0</v>
      </c>
      <c r="K372" s="465">
        <f t="shared" ca="1" si="162"/>
        <v>0</v>
      </c>
      <c r="L372" s="163"/>
      <c r="M372" s="163"/>
      <c r="N372" s="163"/>
      <c r="O372" s="163"/>
      <c r="P372" s="163"/>
    </row>
    <row r="373" spans="1:26" ht="18.75">
      <c r="A373" s="438" t="s">
        <v>164</v>
      </c>
      <c r="B373" s="342"/>
      <c r="C373" s="171"/>
      <c r="D373" s="342"/>
      <c r="E373" s="415"/>
      <c r="F373" s="342"/>
      <c r="G373" s="179"/>
      <c r="H373" s="728" t="s">
        <v>46</v>
      </c>
      <c r="I373" s="269">
        <v>0</v>
      </c>
      <c r="J373" s="269">
        <f ca="1">IFERROR(__xludf.DUMMYFUNCTION("IMPORTRANGE(""https://docs.google.com/spreadsheets/d/1XWAQStnk-4SwqDmLtmXYiTMKHgktTP8We1SCoS47DrQ/edit?usp=sharing"",""จัดที่ดิน!J17"")"),0)</f>
        <v>0</v>
      </c>
      <c r="K373" s="465">
        <f t="shared" si="162"/>
        <v>0</v>
      </c>
      <c r="L373" s="163"/>
      <c r="M373" s="163"/>
      <c r="N373" s="163"/>
      <c r="O373" s="163"/>
      <c r="P373" s="163"/>
    </row>
    <row r="374" spans="1:26" ht="19.5">
      <c r="A374" s="450"/>
      <c r="B374" s="451"/>
      <c r="C374" s="453"/>
      <c r="D374" s="453" t="s">
        <v>168</v>
      </c>
      <c r="E374" s="454"/>
      <c r="F374" s="454"/>
      <c r="G374" s="455"/>
      <c r="H374" s="456" t="s">
        <v>35</v>
      </c>
      <c r="I374" s="464">
        <f ca="1">IFERROR(__xludf.DUMMYFUNCTION("IMPORTRANGE(""https://docs.google.com/spreadsheets/d/1QqKyyYR6Q21VydFLVH3TRQUabQu_ym0Zz7PgGX0-kHA/edit?usp=sharing"",""แผน!EU17"")"),270)</f>
        <v>270</v>
      </c>
      <c r="J374" s="458">
        <f ca="1">J381</f>
        <v>0</v>
      </c>
      <c r="K374" s="459">
        <f t="shared" ca="1" si="162"/>
        <v>0</v>
      </c>
      <c r="L374" s="460"/>
      <c r="M374" s="460"/>
      <c r="N374" s="460"/>
      <c r="O374" s="460"/>
      <c r="P374" s="460"/>
      <c r="Q374" s="449"/>
      <c r="R374" s="449"/>
      <c r="S374" s="449"/>
      <c r="T374" s="449"/>
      <c r="U374" s="449"/>
      <c r="V374" s="449"/>
      <c r="W374" s="449"/>
      <c r="X374" s="449"/>
      <c r="Y374" s="449"/>
      <c r="Z374" s="449"/>
    </row>
    <row r="375" spans="1:26" ht="19.5">
      <c r="A375" s="450"/>
      <c r="B375" s="451"/>
      <c r="C375" s="453"/>
      <c r="D375" s="461" t="s">
        <v>169</v>
      </c>
      <c r="E375" s="454"/>
      <c r="F375" s="454"/>
      <c r="G375" s="455"/>
      <c r="H375" s="462"/>
      <c r="I375" s="463"/>
      <c r="J375" s="463"/>
      <c r="K375" s="460"/>
      <c r="L375" s="460"/>
      <c r="M375" s="460"/>
      <c r="N375" s="460"/>
      <c r="O375" s="460"/>
      <c r="P375" s="460"/>
      <c r="Q375" s="449"/>
      <c r="R375" s="449"/>
      <c r="S375" s="449"/>
      <c r="T375" s="449"/>
      <c r="U375" s="449"/>
      <c r="V375" s="449"/>
      <c r="W375" s="449"/>
      <c r="X375" s="449"/>
      <c r="Y375" s="449"/>
      <c r="Z375" s="449"/>
    </row>
    <row r="376" spans="1:26" ht="19.5">
      <c r="A376" s="170"/>
      <c r="B376" s="171"/>
      <c r="C376" s="164" t="s">
        <v>16</v>
      </c>
      <c r="D376" s="818" t="s">
        <v>38</v>
      </c>
      <c r="E376" s="173"/>
      <c r="F376" s="173"/>
      <c r="G376" s="174"/>
      <c r="H376" s="726"/>
      <c r="I376" s="269"/>
      <c r="J376" s="269"/>
      <c r="K376" s="465"/>
      <c r="L376" s="163"/>
      <c r="M376" s="163"/>
      <c r="N376" s="163"/>
      <c r="O376" s="163"/>
      <c r="P376" s="163"/>
    </row>
    <row r="377" spans="1:26" ht="18.75">
      <c r="A377" s="170"/>
      <c r="B377" s="342"/>
      <c r="C377" s="171"/>
      <c r="D377" s="342"/>
      <c r="E377" s="343" t="s">
        <v>161</v>
      </c>
      <c r="F377" s="342"/>
      <c r="G377" s="179"/>
      <c r="H377" s="185" t="s">
        <v>35</v>
      </c>
      <c r="I377" s="269">
        <v>0</v>
      </c>
      <c r="J377" s="269">
        <f ca="1">IFERROR(__xludf.DUMMYFUNCTION("IMPORTRANGE(""https://docs.google.com/spreadsheets/d/1XWAQStnk-4SwqDmLtmXYiTMKHgktTP8We1SCoS47DrQ/edit?usp=sharing"",""จัดที่ดิน!AH17"")"),0)</f>
        <v>0</v>
      </c>
      <c r="K377" s="465">
        <f t="shared" ref="K377:K382" si="163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342"/>
      <c r="C378" s="171"/>
      <c r="D378" s="342"/>
      <c r="E378" s="342"/>
      <c r="F378" s="342"/>
      <c r="G378" s="179"/>
      <c r="H378" s="185" t="s">
        <v>46</v>
      </c>
      <c r="I378" s="269">
        <f ca="1">IFERROR(__xludf.DUMMYFUNCTION("IMPORTRANGE(""https://docs.google.com/spreadsheets/d/1QqKyyYR6Q21VydFLVH3TRQUabQu_ym0Zz7PgGX0-kHA/edit?usp=sharing"",""แผน!ET17"")"),1500)</f>
        <v>1500</v>
      </c>
      <c r="J378" s="269">
        <f ca="1">IFERROR(__xludf.DUMMYFUNCTION("IMPORTRANGE(""https://docs.google.com/spreadsheets/d/1XWAQStnk-4SwqDmLtmXYiTMKHgktTP8We1SCoS47DrQ/edit?usp=sharing"",""จัดที่ดิน!AI17"")"),0)</f>
        <v>0</v>
      </c>
      <c r="K378" s="465">
        <f t="shared" ca="1" si="163"/>
        <v>0</v>
      </c>
      <c r="L378" s="163"/>
      <c r="M378" s="163"/>
      <c r="N378" s="163"/>
      <c r="O378" s="163"/>
      <c r="P378" s="163"/>
    </row>
    <row r="379" spans="1:26" ht="18.75">
      <c r="A379" s="170"/>
      <c r="B379" s="342"/>
      <c r="C379" s="171"/>
      <c r="D379" s="342"/>
      <c r="E379" s="343" t="s">
        <v>162</v>
      </c>
      <c r="F379" s="342"/>
      <c r="G379" s="179"/>
      <c r="H379" s="728" t="s">
        <v>35</v>
      </c>
      <c r="I379" s="269">
        <f ca="1">IFERROR(__xludf.DUMMYFUNCTION("IMPORTRANGE(""https://docs.google.com/spreadsheets/d/1QqKyyYR6Q21VydFLVH3TRQUabQu_ym0Zz7PgGX0-kHA/edit?usp=sharing"",""แผน!EU17"")"),270)</f>
        <v>270</v>
      </c>
      <c r="J379" s="269">
        <f ca="1">IFERROR(__xludf.DUMMYFUNCTION("IMPORTRANGE(""https://docs.google.com/spreadsheets/d/1XWAQStnk-4SwqDmLtmXYiTMKHgktTP8We1SCoS47DrQ/edit?usp=sharing"",""จัดที่ดิน!AJ17"")"),17)</f>
        <v>17</v>
      </c>
      <c r="K379" s="465">
        <f t="shared" ca="1" si="163"/>
        <v>6.2962962962962967</v>
      </c>
      <c r="L379" s="163"/>
      <c r="M379" s="163"/>
      <c r="N379" s="163"/>
      <c r="O379" s="163"/>
      <c r="P379" s="163"/>
    </row>
    <row r="380" spans="1:26" ht="18.75">
      <c r="A380" s="170"/>
      <c r="B380" s="342"/>
      <c r="C380" s="171"/>
      <c r="D380" s="342"/>
      <c r="E380" s="342"/>
      <c r="F380" s="342"/>
      <c r="G380" s="179"/>
      <c r="H380" s="728" t="s">
        <v>46</v>
      </c>
      <c r="I380" s="269">
        <v>0</v>
      </c>
      <c r="J380" s="269">
        <f ca="1">IFERROR(__xludf.DUMMYFUNCTION("IMPORTRANGE(""https://docs.google.com/spreadsheets/d/1XWAQStnk-4SwqDmLtmXYiTMKHgktTP8We1SCoS47DrQ/edit?usp=sharing"",""จัดที่ดิน!AK17"")"),269.17)</f>
        <v>269.17</v>
      </c>
      <c r="K380" s="465">
        <f t="shared" si="163"/>
        <v>0</v>
      </c>
      <c r="L380" s="163"/>
      <c r="M380" s="163"/>
      <c r="N380" s="163"/>
      <c r="O380" s="163"/>
      <c r="P380" s="163"/>
    </row>
    <row r="381" spans="1:26" ht="18.75">
      <c r="A381" s="170"/>
      <c r="B381" s="342"/>
      <c r="C381" s="171"/>
      <c r="D381" s="342"/>
      <c r="E381" s="343" t="s">
        <v>163</v>
      </c>
      <c r="F381" s="342"/>
      <c r="G381" s="179"/>
      <c r="H381" s="728" t="s">
        <v>35</v>
      </c>
      <c r="I381" s="269">
        <f ca="1">IFERROR(__xludf.DUMMYFUNCTION("IMPORTRANGE(""https://docs.google.com/spreadsheets/d/1QqKyyYR6Q21VydFLVH3TRQUabQu_ym0Zz7PgGX0-kHA/edit?usp=sharing"",""แผน!EU17"")"),270)</f>
        <v>270</v>
      </c>
      <c r="J381" s="269">
        <f ca="1">IFERROR(__xludf.DUMMYFUNCTION("IMPORTRANGE(""https://docs.google.com/spreadsheets/d/1XWAQStnk-4SwqDmLtmXYiTMKHgktTP8We1SCoS47DrQ/edit?usp=sharing"",""จัดที่ดิน!AL17"")"),0)</f>
        <v>0</v>
      </c>
      <c r="K381" s="465">
        <f t="shared" ca="1" si="163"/>
        <v>0</v>
      </c>
      <c r="L381" s="163"/>
      <c r="M381" s="163"/>
      <c r="N381" s="163"/>
      <c r="O381" s="163"/>
      <c r="P381" s="163"/>
    </row>
    <row r="382" spans="1:26" ht="18.75">
      <c r="A382" s="438" t="s">
        <v>164</v>
      </c>
      <c r="B382" s="342"/>
      <c r="C382" s="171"/>
      <c r="D382" s="342"/>
      <c r="E382" s="415"/>
      <c r="F382" s="342"/>
      <c r="G382" s="179"/>
      <c r="H382" s="728" t="s">
        <v>46</v>
      </c>
      <c r="I382" s="269">
        <v>0</v>
      </c>
      <c r="J382" s="269">
        <f ca="1">IFERROR(__xludf.DUMMYFUNCTION("IMPORTRANGE(""https://docs.google.com/spreadsheets/d/1XWAQStnk-4SwqDmLtmXYiTMKHgktTP8We1SCoS47DrQ/edit?usp=sharing"",""จัดที่ดิน!AM17"")"),0)</f>
        <v>0</v>
      </c>
      <c r="K382" s="465">
        <f t="shared" si="163"/>
        <v>0</v>
      </c>
      <c r="L382" s="163"/>
      <c r="M382" s="163"/>
      <c r="N382" s="163"/>
      <c r="O382" s="163"/>
      <c r="P382" s="163"/>
    </row>
    <row r="383" spans="1:26" ht="19.5">
      <c r="A383" s="255"/>
      <c r="B383" s="263"/>
      <c r="C383" s="256"/>
      <c r="D383" s="845" t="s">
        <v>170</v>
      </c>
      <c r="E383" s="256"/>
      <c r="F383" s="256"/>
      <c r="G383" s="258"/>
      <c r="H383" s="423"/>
      <c r="I383" s="260"/>
      <c r="J383" s="260"/>
      <c r="K383" s="261"/>
      <c r="L383" s="261"/>
      <c r="M383" s="261"/>
      <c r="N383" s="261"/>
      <c r="O383" s="261"/>
      <c r="P383" s="261"/>
    </row>
    <row r="384" spans="1:26" ht="19.5">
      <c r="A384" s="170"/>
      <c r="B384" s="171"/>
      <c r="C384" s="33" t="s">
        <v>16</v>
      </c>
      <c r="D384" s="818" t="s">
        <v>38</v>
      </c>
      <c r="E384" s="173"/>
      <c r="F384" s="173"/>
      <c r="G384" s="174"/>
      <c r="H384" s="726"/>
      <c r="I384" s="269"/>
      <c r="J384" s="269"/>
      <c r="K384" s="465"/>
      <c r="L384" s="163"/>
      <c r="M384" s="163"/>
      <c r="N384" s="163"/>
      <c r="O384" s="163"/>
      <c r="P384" s="163"/>
    </row>
    <row r="385" spans="1:26" ht="18.75">
      <c r="A385" s="346"/>
      <c r="B385" s="349"/>
      <c r="C385" s="347"/>
      <c r="D385" s="349"/>
      <c r="E385" s="466" t="s">
        <v>163</v>
      </c>
      <c r="F385" s="349"/>
      <c r="G385" s="350"/>
      <c r="H385" s="467" t="s">
        <v>35</v>
      </c>
      <c r="I385" s="468">
        <f ca="1">IFERROR(__xludf.DUMMYFUNCTION("IMPORTRANGE(""https://docs.google.com/spreadsheets/d/1QqKyyYR6Q21VydFLVH3TRQUabQu_ym0Zz7PgGX0-kHA/edit?usp=sharing"",""แผน!EW17"")"),50)</f>
        <v>50</v>
      </c>
      <c r="J385" s="468">
        <f ca="1">IFERROR(__xludf.DUMMYFUNCTION("IMPORTRANGE(""https://docs.google.com/spreadsheets/d/1XWAQStnk-4SwqDmLtmXYiTMKHgktTP8We1SCoS47DrQ/edit?usp=sharing"",""จัดที่ดิน!AP17"")"),0)</f>
        <v>0</v>
      </c>
      <c r="K385" s="469">
        <f ca="1">IF(I385&gt;0,J385*100/I385,0)</f>
        <v>0</v>
      </c>
      <c r="L385" s="353"/>
      <c r="M385" s="353"/>
      <c r="N385" s="353"/>
      <c r="O385" s="353"/>
      <c r="P385" s="353"/>
    </row>
    <row r="386" spans="1:26" ht="19.5" hidden="1">
      <c r="A386" s="470" t="s">
        <v>171</v>
      </c>
      <c r="B386" s="471"/>
      <c r="C386" s="471"/>
      <c r="D386" s="471"/>
      <c r="E386" s="472"/>
      <c r="F386" s="472"/>
      <c r="G386" s="473"/>
      <c r="H386" s="474"/>
      <c r="I386" s="475"/>
      <c r="J386" s="475"/>
      <c r="K386" s="476"/>
      <c r="L386" s="476"/>
      <c r="M386" s="476"/>
      <c r="N386" s="476"/>
      <c r="O386" s="476"/>
      <c r="P386" s="476"/>
    </row>
    <row r="387" spans="1:26" ht="19.5" hidden="1">
      <c r="A387" s="477" t="s">
        <v>172</v>
      </c>
      <c r="B387" s="478"/>
      <c r="C387" s="478"/>
      <c r="D387" s="479"/>
      <c r="E387" s="478"/>
      <c r="F387" s="478"/>
      <c r="G387" s="478"/>
      <c r="H387" s="480"/>
      <c r="I387" s="481"/>
      <c r="J387" s="481"/>
      <c r="K387" s="482"/>
      <c r="L387" s="482"/>
      <c r="M387" s="482"/>
      <c r="N387" s="482"/>
      <c r="O387" s="482"/>
      <c r="P387" s="482"/>
    </row>
    <row r="388" spans="1:26" ht="19.5" hidden="1">
      <c r="A388" s="483"/>
      <c r="B388" s="484" t="s">
        <v>173</v>
      </c>
      <c r="C388" s="485"/>
      <c r="D388" s="486"/>
      <c r="E388" s="486"/>
      <c r="F388" s="486"/>
      <c r="G388" s="487"/>
      <c r="H388" s="488" t="s">
        <v>69</v>
      </c>
      <c r="I388" s="489">
        <f t="shared" ref="I388:J388" si="164">I400</f>
        <v>0</v>
      </c>
      <c r="J388" s="489">
        <f t="shared" si="164"/>
        <v>0</v>
      </c>
      <c r="K388" s="490">
        <f>IF(I388&gt;0,J388*100/I388,0)</f>
        <v>0</v>
      </c>
      <c r="L388" s="491"/>
      <c r="M388" s="491"/>
      <c r="N388" s="491"/>
      <c r="O388" s="491"/>
      <c r="P388" s="491"/>
    </row>
    <row r="389" spans="1:26" ht="19.5" hidden="1">
      <c r="A389" s="147"/>
      <c r="B389" s="148"/>
      <c r="C389" s="149" t="s">
        <v>16</v>
      </c>
      <c r="D389" s="817" t="s">
        <v>17</v>
      </c>
      <c r="E389" s="148"/>
      <c r="F389" s="148"/>
      <c r="G389" s="151"/>
      <c r="H389" s="152" t="s">
        <v>12</v>
      </c>
      <c r="I389" s="388"/>
      <c r="J389" s="388"/>
      <c r="K389" s="154"/>
      <c r="L389" s="155">
        <f t="shared" ref="L389:N389" ca="1" si="165">L390+L391</f>
        <v>0</v>
      </c>
      <c r="M389" s="155">
        <f t="shared" ca="1" si="165"/>
        <v>0</v>
      </c>
      <c r="N389" s="155">
        <f t="shared" ca="1" si="165"/>
        <v>0</v>
      </c>
      <c r="O389" s="155">
        <f t="shared" ref="O389:O397" ca="1" si="166">IF(L389&gt;0,N389*100/L389,0)</f>
        <v>0</v>
      </c>
      <c r="P389" s="155">
        <f t="shared" ref="P389:P397" ca="1" si="167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2" t="s">
        <v>18</v>
      </c>
      <c r="F390" s="40"/>
      <c r="G390" s="157"/>
      <c r="H390" s="158" t="s">
        <v>12</v>
      </c>
      <c r="I390" s="583"/>
      <c r="J390" s="583"/>
      <c r="K390" s="93"/>
      <c r="L390" s="93">
        <f t="shared" ref="L390:N391" si="168">L393+L396</f>
        <v>0</v>
      </c>
      <c r="M390" s="93">
        <f t="shared" si="168"/>
        <v>0</v>
      </c>
      <c r="N390" s="93">
        <f t="shared" si="168"/>
        <v>0</v>
      </c>
      <c r="O390" s="93">
        <f t="shared" si="166"/>
        <v>0</v>
      </c>
      <c r="P390" s="93">
        <f t="shared" si="167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2" t="s">
        <v>19</v>
      </c>
      <c r="F391" s="40"/>
      <c r="G391" s="157"/>
      <c r="H391" s="158" t="s">
        <v>12</v>
      </c>
      <c r="I391" s="583"/>
      <c r="J391" s="583"/>
      <c r="K391" s="93"/>
      <c r="L391" s="93">
        <f t="shared" ca="1" si="168"/>
        <v>0</v>
      </c>
      <c r="M391" s="93">
        <f t="shared" ca="1" si="168"/>
        <v>0</v>
      </c>
      <c r="N391" s="93">
        <f t="shared" ca="1" si="168"/>
        <v>0</v>
      </c>
      <c r="O391" s="93">
        <f t="shared" ca="1" si="166"/>
        <v>0</v>
      </c>
      <c r="P391" s="93">
        <f t="shared" ca="1" si="167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1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65">
        <f t="shared" ref="L392:N392" ca="1" si="169">L393+L394</f>
        <v>0</v>
      </c>
      <c r="M392" s="465">
        <f t="shared" ca="1" si="169"/>
        <v>0</v>
      </c>
      <c r="N392" s="465">
        <f t="shared" ca="1" si="169"/>
        <v>0</v>
      </c>
      <c r="O392" s="465">
        <f t="shared" ca="1" si="166"/>
        <v>0</v>
      </c>
      <c r="P392" s="465">
        <f t="shared" ca="1" si="167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2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6"/>
        <v>0</v>
      </c>
      <c r="P393" s="93">
        <f t="shared" si="167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2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IFERROR(__xludf.DUMMYFUNCTION("IMPORTRANGE(""https://docs.google.com/spreadsheets/d/1MeEWN-I1oV_STSDYn1IFDPWt_1FKiwhDph83XaGc0o0/edit?usp=sharing"",""งบพรบ!FG17"")"),0)</f>
        <v>0</v>
      </c>
      <c r="M394" s="93">
        <f ca="1">IFERROR(__xludf.DUMMYFUNCTION("IMPORTRANGE(""https://docs.google.com/spreadsheets/d/1MeEWN-I1oV_STSDYn1IFDPWt_1FKiwhDph83XaGc0o0/edit?usp=sharing"",""งบพรบ!FL17"")"),0)</f>
        <v>0</v>
      </c>
      <c r="N394" s="93">
        <f ca="1">IFERROR(__xludf.DUMMYFUNCTION("IMPORTRANGE(""https://docs.google.com/spreadsheets/d/1MeEWN-I1oV_STSDYn1IFDPWt_1FKiwhDph83XaGc0o0/edit?usp=sharing"",""งบพรบ!FN17"")"),0)</f>
        <v>0</v>
      </c>
      <c r="O394" s="93">
        <f t="shared" ca="1" si="166"/>
        <v>0</v>
      </c>
      <c r="P394" s="93">
        <f t="shared" ca="1" si="167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1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65">
        <f t="shared" ref="L395:N395" ca="1" si="170">L396+L397</f>
        <v>0</v>
      </c>
      <c r="M395" s="465">
        <f t="shared" ca="1" si="170"/>
        <v>0</v>
      </c>
      <c r="N395" s="465">
        <f t="shared" ca="1" si="170"/>
        <v>0</v>
      </c>
      <c r="O395" s="465">
        <f t="shared" ca="1" si="166"/>
        <v>0</v>
      </c>
      <c r="P395" s="465">
        <f t="shared" ca="1" si="167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2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6"/>
        <v>0</v>
      </c>
      <c r="P396" s="93">
        <f t="shared" si="167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2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IFERROR(__xludf.DUMMYFUNCTION("IMPORTRANGE(""https://docs.google.com/spreadsheets/d/1MeEWN-I1oV_STSDYn1IFDPWt_1FKiwhDph83XaGc0o0/edit?usp=sharing"",""งบพรบ!FJ17"")"),0)</f>
        <v>0</v>
      </c>
      <c r="M397" s="93">
        <f ca="1">IFERROR(__xludf.DUMMYFUNCTION("IMPORTRANGE(""https://docs.google.com/spreadsheets/d/1MeEWN-I1oV_STSDYn1IFDPWt_1FKiwhDph83XaGc0o0/edit?usp=sharing"",""งบพรบ!FM17"")"),0)</f>
        <v>0</v>
      </c>
      <c r="N397" s="93">
        <f ca="1">IFERROR(__xludf.DUMMYFUNCTION("IMPORTRANGE(""https://docs.google.com/spreadsheets/d/1MeEWN-I1oV_STSDYn1IFDPWt_1FKiwhDph83XaGc0o0/edit?usp=sharing"",""งบพรบ!FO17"")"),0)</f>
        <v>0</v>
      </c>
      <c r="O397" s="93">
        <f t="shared" ca="1" si="166"/>
        <v>0</v>
      </c>
      <c r="P397" s="93">
        <f t="shared" ca="1" si="167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18" t="s">
        <v>38</v>
      </c>
      <c r="E398" s="173"/>
      <c r="F398" s="173"/>
      <c r="G398" s="174"/>
      <c r="H398" s="726"/>
      <c r="I398" s="184"/>
      <c r="J398" s="269"/>
      <c r="K398" s="465"/>
      <c r="L398" s="465"/>
      <c r="M398" s="465"/>
      <c r="N398" s="465"/>
      <c r="O398" s="163"/>
      <c r="P398" s="163"/>
    </row>
    <row r="399" spans="1:26" ht="18.75" hidden="1">
      <c r="A399" s="492"/>
      <c r="B399" s="148"/>
      <c r="C399" s="493"/>
      <c r="D399" s="494" t="s">
        <v>174</v>
      </c>
      <c r="E399" s="383"/>
      <c r="F399" s="148"/>
      <c r="G399" s="151"/>
      <c r="H399" s="495" t="s">
        <v>9</v>
      </c>
      <c r="I399" s="269">
        <v>0</v>
      </c>
      <c r="J399" s="214">
        <v>0</v>
      </c>
      <c r="K399" s="465">
        <f t="shared" ref="K399:K401" si="171">IF(I399&gt;0,J399*100/I399,0)</f>
        <v>0</v>
      </c>
      <c r="L399" s="496"/>
      <c r="M399" s="496"/>
      <c r="N399" s="496"/>
      <c r="O399" s="496"/>
      <c r="P399" s="496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3"/>
      <c r="B400" s="33"/>
      <c r="C400" s="280"/>
      <c r="D400" s="415" t="s">
        <v>175</v>
      </c>
      <c r="E400" s="171"/>
      <c r="F400" s="33"/>
      <c r="G400" s="35"/>
      <c r="H400" s="276" t="s">
        <v>69</v>
      </c>
      <c r="I400" s="269">
        <v>0</v>
      </c>
      <c r="J400" s="214">
        <v>0</v>
      </c>
      <c r="K400" s="465">
        <f t="shared" si="171"/>
        <v>0</v>
      </c>
      <c r="L400" s="465"/>
      <c r="M400" s="465"/>
      <c r="N400" s="465"/>
      <c r="O400" s="465"/>
      <c r="P400" s="465"/>
    </row>
    <row r="401" spans="1:26" ht="19.5" hidden="1">
      <c r="A401" s="483"/>
      <c r="B401" s="484" t="s">
        <v>176</v>
      </c>
      <c r="C401" s="485"/>
      <c r="D401" s="486"/>
      <c r="E401" s="486"/>
      <c r="F401" s="486"/>
      <c r="G401" s="487"/>
      <c r="H401" s="488" t="s">
        <v>69</v>
      </c>
      <c r="I401" s="489">
        <f t="shared" ref="I401:J401" si="172">I412</f>
        <v>0</v>
      </c>
      <c r="J401" s="489">
        <f t="shared" si="172"/>
        <v>0</v>
      </c>
      <c r="K401" s="490">
        <f t="shared" si="171"/>
        <v>0</v>
      </c>
      <c r="L401" s="491"/>
      <c r="M401" s="491"/>
      <c r="N401" s="491"/>
      <c r="O401" s="491"/>
      <c r="P401" s="491"/>
    </row>
    <row r="402" spans="1:26" ht="19.5" hidden="1">
      <c r="A402" s="147"/>
      <c r="B402" s="148"/>
      <c r="C402" s="149" t="s">
        <v>16</v>
      </c>
      <c r="D402" s="817" t="s">
        <v>17</v>
      </c>
      <c r="E402" s="148"/>
      <c r="F402" s="148"/>
      <c r="G402" s="151"/>
      <c r="H402" s="152" t="s">
        <v>12</v>
      </c>
      <c r="I402" s="388"/>
      <c r="J402" s="388"/>
      <c r="K402" s="154"/>
      <c r="L402" s="155">
        <f t="shared" ref="L402:N402" ca="1" si="173">L403+L404</f>
        <v>0</v>
      </c>
      <c r="M402" s="155">
        <f t="shared" ca="1" si="173"/>
        <v>0</v>
      </c>
      <c r="N402" s="155">
        <f t="shared" ca="1" si="173"/>
        <v>0</v>
      </c>
      <c r="O402" s="155">
        <f t="shared" ref="O402:O410" ca="1" si="174">IF(L402&gt;0,N402*100/L402,0)</f>
        <v>0</v>
      </c>
      <c r="P402" s="155">
        <f t="shared" ref="P402:P410" ca="1" si="175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2" t="s">
        <v>18</v>
      </c>
      <c r="F403" s="40"/>
      <c r="G403" s="157"/>
      <c r="H403" s="158" t="s">
        <v>12</v>
      </c>
      <c r="I403" s="583"/>
      <c r="J403" s="583"/>
      <c r="K403" s="93"/>
      <c r="L403" s="93">
        <f t="shared" ref="L403:N404" si="176">L406+L409</f>
        <v>0</v>
      </c>
      <c r="M403" s="93">
        <f t="shared" si="176"/>
        <v>0</v>
      </c>
      <c r="N403" s="93">
        <f t="shared" si="176"/>
        <v>0</v>
      </c>
      <c r="O403" s="93">
        <f t="shared" si="174"/>
        <v>0</v>
      </c>
      <c r="P403" s="93">
        <f t="shared" si="175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2" t="s">
        <v>19</v>
      </c>
      <c r="F404" s="40"/>
      <c r="G404" s="157"/>
      <c r="H404" s="158" t="s">
        <v>12</v>
      </c>
      <c r="I404" s="583"/>
      <c r="J404" s="583"/>
      <c r="K404" s="93"/>
      <c r="L404" s="93">
        <f t="shared" ca="1" si="176"/>
        <v>0</v>
      </c>
      <c r="M404" s="93">
        <f t="shared" ca="1" si="176"/>
        <v>0</v>
      </c>
      <c r="N404" s="93">
        <f t="shared" ca="1" si="176"/>
        <v>0</v>
      </c>
      <c r="O404" s="93">
        <f t="shared" ca="1" si="174"/>
        <v>0</v>
      </c>
      <c r="P404" s="93">
        <f t="shared" ca="1" si="175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1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65">
        <f t="shared" ref="L405:N405" ca="1" si="177">L406+L407</f>
        <v>0</v>
      </c>
      <c r="M405" s="465">
        <f t="shared" ca="1" si="177"/>
        <v>0</v>
      </c>
      <c r="N405" s="465">
        <f t="shared" ca="1" si="177"/>
        <v>0</v>
      </c>
      <c r="O405" s="465">
        <f t="shared" ca="1" si="174"/>
        <v>0</v>
      </c>
      <c r="P405" s="465">
        <f t="shared" ca="1" si="175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2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4"/>
        <v>0</v>
      </c>
      <c r="P406" s="93">
        <f t="shared" si="175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2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IFERROR(__xludf.DUMMYFUNCTION("IMPORTRANGE(""https://docs.google.com/spreadsheets/d/1MeEWN-I1oV_STSDYn1IFDPWt_1FKiwhDph83XaGc0o0/edit?usp=sharing"",""งบพรบ!FQ17"")"),0)</f>
        <v>0</v>
      </c>
      <c r="M407" s="93">
        <f ca="1">IFERROR(__xludf.DUMMYFUNCTION("IMPORTRANGE(""https://docs.google.com/spreadsheets/d/1MeEWN-I1oV_STSDYn1IFDPWt_1FKiwhDph83XaGc0o0/edit?usp=sharing"",""งบพรบ!FV17"")"),0)</f>
        <v>0</v>
      </c>
      <c r="N407" s="93">
        <f ca="1">IFERROR(__xludf.DUMMYFUNCTION("IMPORTRANGE(""https://docs.google.com/spreadsheets/d/1MeEWN-I1oV_STSDYn1IFDPWt_1FKiwhDph83XaGc0o0/edit?usp=sharing"",""งบพรบ!FX17"")"),0)</f>
        <v>0</v>
      </c>
      <c r="O407" s="93">
        <f t="shared" ca="1" si="174"/>
        <v>0</v>
      </c>
      <c r="P407" s="93">
        <f t="shared" ca="1" si="175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1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65">
        <f t="shared" ref="L408:N408" ca="1" si="178">L409+L410</f>
        <v>0</v>
      </c>
      <c r="M408" s="465">
        <f t="shared" ca="1" si="178"/>
        <v>0</v>
      </c>
      <c r="N408" s="465">
        <f t="shared" ca="1" si="178"/>
        <v>0</v>
      </c>
      <c r="O408" s="465">
        <f t="shared" ca="1" si="174"/>
        <v>0</v>
      </c>
      <c r="P408" s="465">
        <f t="shared" ca="1" si="175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2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4"/>
        <v>0</v>
      </c>
      <c r="P409" s="93">
        <f t="shared" si="175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2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IFERROR(__xludf.DUMMYFUNCTION("IMPORTRANGE(""https://docs.google.com/spreadsheets/d/1MeEWN-I1oV_STSDYn1IFDPWt_1FKiwhDph83XaGc0o0/edit?usp=sharing"",""งบพรบ!FT17"")"),0)</f>
        <v>0</v>
      </c>
      <c r="M410" s="93">
        <f ca="1">IFERROR(__xludf.DUMMYFUNCTION("IMPORTRANGE(""https://docs.google.com/spreadsheets/d/1MeEWN-I1oV_STSDYn1IFDPWt_1FKiwhDph83XaGc0o0/edit?usp=sharing"",""งบพรบ!FW17"")"),0)</f>
        <v>0</v>
      </c>
      <c r="N410" s="93">
        <f ca="1">IFERROR(__xludf.DUMMYFUNCTION("IMPORTRANGE(""https://docs.google.com/spreadsheets/d/1MeEWN-I1oV_STSDYn1IFDPWt_1FKiwhDph83XaGc0o0/edit?usp=sharing"",""งบพรบ!FY17"")"),0)</f>
        <v>0</v>
      </c>
      <c r="O410" s="93">
        <f t="shared" ca="1" si="174"/>
        <v>0</v>
      </c>
      <c r="P410" s="93">
        <f t="shared" ca="1" si="175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47" t="s">
        <v>38</v>
      </c>
      <c r="E411" s="498"/>
      <c r="F411" s="498"/>
      <c r="G411" s="499"/>
      <c r="H411" s="726"/>
      <c r="I411" s="269"/>
      <c r="J411" s="269"/>
      <c r="K411" s="465"/>
      <c r="L411" s="163"/>
      <c r="M411" s="163"/>
      <c r="N411" s="163"/>
      <c r="O411" s="163"/>
      <c r="P411" s="163"/>
    </row>
    <row r="412" spans="1:26" ht="18.75" hidden="1">
      <c r="A412" s="170"/>
      <c r="B412" s="342"/>
      <c r="C412" s="342"/>
      <c r="D412" s="415" t="s">
        <v>177</v>
      </c>
      <c r="E412" s="342"/>
      <c r="F412" s="342"/>
      <c r="G412" s="179"/>
      <c r="H412" s="500" t="s">
        <v>69</v>
      </c>
      <c r="I412" s="269">
        <v>0</v>
      </c>
      <c r="J412" s="214">
        <v>0</v>
      </c>
      <c r="K412" s="465">
        <f t="shared" ref="K412:K413" si="179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01"/>
      <c r="B413" s="502"/>
      <c r="C413" s="502"/>
      <c r="D413" s="503" t="s">
        <v>178</v>
      </c>
      <c r="E413" s="502"/>
      <c r="F413" s="502"/>
      <c r="G413" s="504"/>
      <c r="H413" s="505" t="s">
        <v>179</v>
      </c>
      <c r="I413" s="506">
        <v>0</v>
      </c>
      <c r="J413" s="507">
        <v>0</v>
      </c>
      <c r="K413" s="508">
        <f t="shared" si="179"/>
        <v>0</v>
      </c>
      <c r="L413" s="509"/>
      <c r="M413" s="509"/>
      <c r="N413" s="509"/>
      <c r="O413" s="509"/>
      <c r="P413" s="509"/>
    </row>
    <row r="414" spans="1:26" ht="19.5">
      <c r="A414" s="510" t="s">
        <v>180</v>
      </c>
      <c r="B414" s="511"/>
      <c r="C414" s="511"/>
      <c r="D414" s="511"/>
      <c r="E414" s="511"/>
      <c r="F414" s="511"/>
      <c r="G414" s="512"/>
      <c r="H414" s="513"/>
      <c r="I414" s="514"/>
      <c r="J414" s="514"/>
      <c r="K414" s="515"/>
      <c r="L414" s="516">
        <f t="shared" ref="L414:N414" ca="1" si="180">L419+L444+L467+L502+L523+L544+L629+L655+L685+L737+L754+L770+L786+L805</f>
        <v>1261458</v>
      </c>
      <c r="M414" s="516">
        <f t="shared" si="180"/>
        <v>0</v>
      </c>
      <c r="N414" s="516">
        <f t="shared" si="180"/>
        <v>107790.2</v>
      </c>
      <c r="O414" s="516">
        <f ca="1">IF(L414&gt;0,N414*100/L414,0)</f>
        <v>8.5448901192112618</v>
      </c>
      <c r="P414" s="516">
        <f>IF(M414&gt;0,N414*100/M414,0)</f>
        <v>0</v>
      </c>
    </row>
    <row r="415" spans="1:26" ht="19.5">
      <c r="A415" s="517" t="s">
        <v>181</v>
      </c>
      <c r="B415" s="518"/>
      <c r="C415" s="518"/>
      <c r="D415" s="518"/>
      <c r="E415" s="518"/>
      <c r="F415" s="518"/>
      <c r="G415" s="518"/>
      <c r="H415" s="519"/>
      <c r="I415" s="520"/>
      <c r="J415" s="520"/>
      <c r="K415" s="521"/>
      <c r="L415" s="522"/>
      <c r="M415" s="522"/>
      <c r="N415" s="522"/>
      <c r="O415" s="522"/>
      <c r="P415" s="522"/>
    </row>
    <row r="416" spans="1:26" ht="19.5">
      <c r="A416" s="517" t="s">
        <v>182</v>
      </c>
      <c r="B416" s="518"/>
      <c r="C416" s="518"/>
      <c r="D416" s="518"/>
      <c r="E416" s="518"/>
      <c r="F416" s="518"/>
      <c r="G416" s="523"/>
      <c r="H416" s="524"/>
      <c r="I416" s="525"/>
      <c r="J416" s="525"/>
      <c r="K416" s="522"/>
      <c r="L416" s="522"/>
      <c r="M416" s="522"/>
      <c r="N416" s="522"/>
      <c r="O416" s="522"/>
      <c r="P416" s="522"/>
    </row>
    <row r="417" spans="1:26" ht="22.5" customHeight="1">
      <c r="A417" s="526">
        <v>1</v>
      </c>
      <c r="B417" s="528" t="s">
        <v>183</v>
      </c>
      <c r="C417" s="528"/>
      <c r="D417" s="529"/>
      <c r="E417" s="529"/>
      <c r="F417" s="529"/>
      <c r="G417" s="530"/>
      <c r="H417" s="531" t="s">
        <v>35</v>
      </c>
      <c r="I417" s="532">
        <f t="shared" ref="I417:J418" ca="1" si="181">I433</f>
        <v>15</v>
      </c>
      <c r="J417" s="532">
        <f t="shared" ca="1" si="181"/>
        <v>0</v>
      </c>
      <c r="K417" s="533">
        <f t="shared" ref="K417:K418" ca="1" si="182">IF(I417&gt;0,J417*100/I417,0)</f>
        <v>0</v>
      </c>
      <c r="L417" s="534"/>
      <c r="M417" s="534"/>
      <c r="N417" s="534"/>
      <c r="O417" s="534"/>
      <c r="P417" s="534"/>
    </row>
    <row r="418" spans="1:26" ht="19.5">
      <c r="A418" s="535"/>
      <c r="B418" s="526"/>
      <c r="C418" s="528"/>
      <c r="D418" s="529"/>
      <c r="E418" s="529"/>
      <c r="F418" s="529"/>
      <c r="G418" s="530"/>
      <c r="H418" s="531" t="s">
        <v>49</v>
      </c>
      <c r="I418" s="532">
        <f t="shared" ca="1" si="181"/>
        <v>1</v>
      </c>
      <c r="J418" s="532">
        <f t="shared" si="181"/>
        <v>1</v>
      </c>
      <c r="K418" s="533">
        <f t="shared" ca="1" si="182"/>
        <v>100</v>
      </c>
      <c r="L418" s="534"/>
      <c r="M418" s="534"/>
      <c r="N418" s="534"/>
      <c r="O418" s="534"/>
      <c r="P418" s="534"/>
    </row>
    <row r="419" spans="1:26" ht="19.5">
      <c r="A419" s="147"/>
      <c r="B419" s="148"/>
      <c r="C419" s="148" t="s">
        <v>16</v>
      </c>
      <c r="D419" s="848" t="s">
        <v>17</v>
      </c>
      <c r="E419" s="810"/>
      <c r="F419" s="810"/>
      <c r="G419" s="151"/>
      <c r="H419" s="274" t="s">
        <v>12</v>
      </c>
      <c r="I419" s="388"/>
      <c r="J419" s="388"/>
      <c r="K419" s="154"/>
      <c r="L419" s="155">
        <f t="shared" ref="L419:N419" ca="1" si="183">L420+L421</f>
        <v>66760</v>
      </c>
      <c r="M419" s="155">
        <f t="shared" si="183"/>
        <v>0</v>
      </c>
      <c r="N419" s="155">
        <f t="shared" si="183"/>
        <v>29520</v>
      </c>
      <c r="O419" s="155">
        <f t="shared" ref="O419:O424" ca="1" si="184">IF(L419&gt;0,N419*100/L419,0)</f>
        <v>44.21809466746555</v>
      </c>
      <c r="P419" s="155">
        <f t="shared" ref="P419:P424" si="185">IF(M419&gt;0,N419*100/M419,0)</f>
        <v>0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536"/>
      <c r="E420" s="222" t="s">
        <v>184</v>
      </c>
      <c r="F420" s="40"/>
      <c r="G420" s="157"/>
      <c r="H420" s="165" t="s">
        <v>12</v>
      </c>
      <c r="I420" s="583"/>
      <c r="J420" s="583"/>
      <c r="K420" s="93"/>
      <c r="L420" s="93">
        <f t="shared" ref="L420:N421" si="186">L423+L430</f>
        <v>0</v>
      </c>
      <c r="M420" s="93">
        <f t="shared" si="186"/>
        <v>0</v>
      </c>
      <c r="N420" s="93">
        <f t="shared" si="186"/>
        <v>0</v>
      </c>
      <c r="O420" s="93">
        <f t="shared" si="184"/>
        <v>0</v>
      </c>
      <c r="P420" s="93">
        <f t="shared" si="185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536"/>
      <c r="E421" s="222" t="s">
        <v>185</v>
      </c>
      <c r="F421" s="40"/>
      <c r="G421" s="157"/>
      <c r="H421" s="165" t="s">
        <v>12</v>
      </c>
      <c r="I421" s="583"/>
      <c r="J421" s="583"/>
      <c r="K421" s="93"/>
      <c r="L421" s="93">
        <f t="shared" ca="1" si="186"/>
        <v>66760</v>
      </c>
      <c r="M421" s="93">
        <f t="shared" si="186"/>
        <v>0</v>
      </c>
      <c r="N421" s="93">
        <f t="shared" si="186"/>
        <v>29520</v>
      </c>
      <c r="O421" s="93">
        <f t="shared" ca="1" si="184"/>
        <v>44.21809466746555</v>
      </c>
      <c r="P421" s="93">
        <f t="shared" si="185"/>
        <v>0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0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65">
        <f t="shared" ref="L422:N422" ca="1" si="187">L423+L424</f>
        <v>66760</v>
      </c>
      <c r="M422" s="465">
        <f t="shared" si="187"/>
        <v>0</v>
      </c>
      <c r="N422" s="465">
        <f t="shared" si="187"/>
        <v>29520</v>
      </c>
      <c r="O422" s="465">
        <f t="shared" ca="1" si="184"/>
        <v>44.21809466746555</v>
      </c>
      <c r="P422" s="465">
        <f t="shared" si="185"/>
        <v>0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536"/>
      <c r="E423" s="222" t="s">
        <v>184</v>
      </c>
      <c r="F423" s="40"/>
      <c r="G423" s="157"/>
      <c r="H423" s="165" t="s">
        <v>12</v>
      </c>
      <c r="I423" s="583"/>
      <c r="J423" s="583"/>
      <c r="K423" s="93"/>
      <c r="L423" s="93">
        <v>0</v>
      </c>
      <c r="M423" s="93">
        <v>0</v>
      </c>
      <c r="N423" s="93">
        <v>0</v>
      </c>
      <c r="O423" s="93">
        <f t="shared" si="184"/>
        <v>0</v>
      </c>
      <c r="P423" s="93">
        <f t="shared" si="185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536"/>
      <c r="E424" s="222" t="s">
        <v>185</v>
      </c>
      <c r="F424" s="40"/>
      <c r="G424" s="157"/>
      <c r="H424" s="165" t="s">
        <v>12</v>
      </c>
      <c r="I424" s="583"/>
      <c r="J424" s="583"/>
      <c r="K424" s="93"/>
      <c r="L424" s="93">
        <f ca="1">IFERROR(__xludf.DUMMYFUNCTION("IMPORTRANGE(""https://docs.google.com/spreadsheets/d/1QqKyyYR6Q21VydFLVH3TRQUabQu_ym0Zz7PgGX0-kHA/edit?usp=sharing"",""แผน!EY17"")"),66760)</f>
        <v>66760</v>
      </c>
      <c r="M424" s="93">
        <v>0</v>
      </c>
      <c r="N424" s="93">
        <f>N425+N426+N427+N428</f>
        <v>29520</v>
      </c>
      <c r="O424" s="93">
        <f t="shared" ca="1" si="184"/>
        <v>44.21809466746555</v>
      </c>
      <c r="P424" s="93">
        <f t="shared" si="185"/>
        <v>0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37"/>
      <c r="B425" s="538"/>
      <c r="C425" s="727"/>
      <c r="D425" s="727"/>
      <c r="E425" s="727"/>
      <c r="F425" s="727" t="s">
        <v>186</v>
      </c>
      <c r="G425" s="189"/>
      <c r="H425" s="161" t="s">
        <v>12</v>
      </c>
      <c r="I425" s="269"/>
      <c r="J425" s="269"/>
      <c r="K425" s="465"/>
      <c r="L425" s="465"/>
      <c r="M425" s="465"/>
      <c r="N425" s="789">
        <v>17080</v>
      </c>
      <c r="O425" s="465"/>
      <c r="P425" s="465"/>
      <c r="Q425" s="541"/>
      <c r="R425" s="541"/>
      <c r="S425" s="541"/>
      <c r="T425" s="541"/>
      <c r="U425" s="541"/>
      <c r="V425" s="541"/>
      <c r="W425" s="541"/>
      <c r="X425" s="541"/>
      <c r="Y425" s="541"/>
      <c r="Z425" s="541"/>
    </row>
    <row r="426" spans="1:26" ht="18.75">
      <c r="A426" s="537"/>
      <c r="B426" s="538"/>
      <c r="C426" s="727"/>
      <c r="D426" s="727"/>
      <c r="E426" s="727"/>
      <c r="F426" s="727" t="s">
        <v>187</v>
      </c>
      <c r="G426" s="189"/>
      <c r="H426" s="161" t="s">
        <v>12</v>
      </c>
      <c r="I426" s="269"/>
      <c r="J426" s="269"/>
      <c r="K426" s="465"/>
      <c r="L426" s="465"/>
      <c r="M426" s="465"/>
      <c r="N426" s="789">
        <v>0</v>
      </c>
      <c r="O426" s="465"/>
      <c r="P426" s="465"/>
      <c r="Q426" s="541"/>
      <c r="R426" s="541"/>
      <c r="S426" s="541"/>
      <c r="T426" s="541"/>
      <c r="U426" s="541"/>
      <c r="V426" s="541"/>
      <c r="W426" s="541"/>
      <c r="X426" s="541"/>
      <c r="Y426" s="541"/>
      <c r="Z426" s="541"/>
    </row>
    <row r="427" spans="1:26" ht="18.75">
      <c r="A427" s="537"/>
      <c r="B427" s="538"/>
      <c r="C427" s="727"/>
      <c r="D427" s="727"/>
      <c r="E427" s="727"/>
      <c r="F427" s="727" t="s">
        <v>188</v>
      </c>
      <c r="G427" s="189"/>
      <c r="H427" s="161" t="s">
        <v>12</v>
      </c>
      <c r="I427" s="269"/>
      <c r="J427" s="269"/>
      <c r="K427" s="465"/>
      <c r="L427" s="465"/>
      <c r="M427" s="465"/>
      <c r="N427" s="789">
        <v>0</v>
      </c>
      <c r="O427" s="465"/>
      <c r="P427" s="465"/>
      <c r="Q427" s="541"/>
      <c r="R427" s="541"/>
      <c r="S427" s="541"/>
      <c r="T427" s="541"/>
      <c r="U427" s="541"/>
      <c r="V427" s="541"/>
      <c r="W427" s="541"/>
      <c r="X427" s="541"/>
      <c r="Y427" s="541"/>
      <c r="Z427" s="541"/>
    </row>
    <row r="428" spans="1:26" ht="18.75">
      <c r="A428" s="283"/>
      <c r="B428" s="280"/>
      <c r="C428" s="33"/>
      <c r="D428" s="33"/>
      <c r="E428" s="33"/>
      <c r="F428" s="281" t="s">
        <v>189</v>
      </c>
      <c r="G428" s="213"/>
      <c r="H428" s="161" t="s">
        <v>12</v>
      </c>
      <c r="I428" s="269"/>
      <c r="J428" s="269"/>
      <c r="K428" s="465"/>
      <c r="L428" s="465"/>
      <c r="M428" s="465"/>
      <c r="N428" s="789">
        <v>12440</v>
      </c>
      <c r="O428" s="465"/>
      <c r="P428" s="465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0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65">
        <f t="shared" ref="L429:N429" ca="1" si="188">L430+L431</f>
        <v>0</v>
      </c>
      <c r="M429" s="465">
        <f t="shared" si="188"/>
        <v>0</v>
      </c>
      <c r="N429" s="465">
        <f t="shared" si="188"/>
        <v>0</v>
      </c>
      <c r="O429" s="465">
        <f t="shared" ref="O429:O431" ca="1" si="189">IF(L429&gt;0,N429*100/L429,0)</f>
        <v>0</v>
      </c>
      <c r="P429" s="465">
        <f t="shared" ref="P429:P431" si="190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542"/>
      <c r="C430" s="40"/>
      <c r="D430" s="40"/>
      <c r="E430" s="222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89"/>
        <v>0</v>
      </c>
      <c r="P430" s="93">
        <f t="shared" si="190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542"/>
      <c r="C431" s="40"/>
      <c r="D431" s="40"/>
      <c r="E431" s="222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IFERROR(__xludf.DUMMYFUNCTION("IMPORTRANGE(""https://docs.google.com/spreadsheets/d/1QqKyyYR6Q21VydFLVH3TRQUabQu_ym0Zz7PgGX0-kHA/edit?usp=sharing"",""แผน!FB17"")"),0)</f>
        <v>0</v>
      </c>
      <c r="M431" s="93">
        <v>0</v>
      </c>
      <c r="N431" s="93">
        <v>0</v>
      </c>
      <c r="O431" s="93">
        <f t="shared" ca="1" si="189"/>
        <v>0</v>
      </c>
      <c r="P431" s="93">
        <f t="shared" si="190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382"/>
      <c r="B432" s="383"/>
      <c r="C432" s="148" t="s">
        <v>16</v>
      </c>
      <c r="D432" s="849" t="s">
        <v>38</v>
      </c>
      <c r="E432" s="544"/>
      <c r="F432" s="544"/>
      <c r="G432" s="545"/>
      <c r="H432" s="546"/>
      <c r="I432" s="388"/>
      <c r="J432" s="388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190</v>
      </c>
      <c r="E433" s="342"/>
      <c r="F433" s="342"/>
      <c r="G433" s="179"/>
      <c r="H433" s="196" t="s">
        <v>35</v>
      </c>
      <c r="I433" s="647">
        <f ca="1">I435</f>
        <v>15</v>
      </c>
      <c r="J433" s="647">
        <f ca="1">IF(AND(J435=I435,J437=I437,J439=I439),I437+I439,IF(AND(J435=I437,J437=I437),I437,IF(AND(J435=I439,J439=I439),I439,0)))</f>
        <v>0</v>
      </c>
      <c r="K433" s="195">
        <f t="shared" ref="K433:K435" ca="1" si="191">IF(I433&gt;0,J433*100/I433,0)</f>
        <v>0</v>
      </c>
      <c r="L433" s="465"/>
      <c r="M433" s="465"/>
      <c r="N433" s="465"/>
      <c r="O433" s="465"/>
      <c r="P433" s="465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191</v>
      </c>
      <c r="E434" s="342"/>
      <c r="F434" s="342"/>
      <c r="G434" s="179"/>
      <c r="H434" s="196" t="s">
        <v>49</v>
      </c>
      <c r="I434" s="647">
        <f t="shared" ref="I434:J434" ca="1" si="192">I438+I440</f>
        <v>1</v>
      </c>
      <c r="J434" s="647">
        <f t="shared" si="192"/>
        <v>1</v>
      </c>
      <c r="K434" s="195">
        <f t="shared" ca="1" si="191"/>
        <v>100</v>
      </c>
      <c r="L434" s="465"/>
      <c r="M434" s="465"/>
      <c r="N434" s="465"/>
      <c r="O434" s="465"/>
      <c r="P434" s="465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15" t="s">
        <v>192</v>
      </c>
      <c r="E435" s="342"/>
      <c r="F435" s="342"/>
      <c r="G435" s="179"/>
      <c r="H435" s="589" t="s">
        <v>35</v>
      </c>
      <c r="I435" s="547">
        <f ca="1">IFERROR(__xludf.DUMMYFUNCTION("IMPORTRANGE(""https://docs.google.com/spreadsheets/d/1QqKyyYR6Q21VydFLVH3TRQUabQu_ym0Zz7PgGX0-kHA/edit?usp=sharing"",""แผน!FC17"")"),15)</f>
        <v>15</v>
      </c>
      <c r="J435" s="548">
        <v>0</v>
      </c>
      <c r="K435" s="465">
        <f t="shared" ca="1" si="191"/>
        <v>0</v>
      </c>
      <c r="L435" s="465"/>
      <c r="M435" s="465"/>
      <c r="N435" s="465"/>
      <c r="O435" s="465"/>
      <c r="P435" s="465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15" t="s">
        <v>193</v>
      </c>
      <c r="E436" s="342"/>
      <c r="F436" s="342"/>
      <c r="G436" s="179"/>
      <c r="H436" s="589"/>
      <c r="I436" s="269"/>
      <c r="J436" s="269"/>
      <c r="K436" s="465"/>
      <c r="L436" s="465"/>
      <c r="M436" s="465"/>
      <c r="N436" s="465"/>
      <c r="O436" s="465"/>
      <c r="P436" s="465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15" t="s">
        <v>194</v>
      </c>
      <c r="E437" s="342"/>
      <c r="F437" s="342"/>
      <c r="G437" s="179"/>
      <c r="H437" s="589" t="s">
        <v>35</v>
      </c>
      <c r="I437" s="547">
        <f ca="1">IFERROR(__xludf.DUMMYFUNCTION("IMPORTRANGE(""https://docs.google.com/spreadsheets/d/1QqKyyYR6Q21VydFLVH3TRQUabQu_ym0Zz7PgGX0-kHA/edit?usp=sharing"",""แผน!FD17"")"),0)</f>
        <v>0</v>
      </c>
      <c r="J437" s="548">
        <v>0</v>
      </c>
      <c r="K437" s="465">
        <f t="shared" ref="K437:K443" ca="1" si="193">IF(I437&gt;0,J437*100/I437,0)</f>
        <v>0</v>
      </c>
      <c r="L437" s="465"/>
      <c r="M437" s="465"/>
      <c r="N437" s="465"/>
      <c r="O437" s="465"/>
      <c r="P437" s="465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15" t="s">
        <v>195</v>
      </c>
      <c r="E438" s="342"/>
      <c r="F438" s="342"/>
      <c r="G438" s="179"/>
      <c r="H438" s="589" t="s">
        <v>49</v>
      </c>
      <c r="I438" s="269">
        <f ca="1">IFERROR(__xludf.DUMMYFUNCTION("IMPORTRANGE(""https://docs.google.com/spreadsheets/d/1QqKyyYR6Q21VydFLVH3TRQUabQu_ym0Zz7PgGX0-kHA/edit?usp=sharing"",""แผน!FE17"")"),0)</f>
        <v>0</v>
      </c>
      <c r="J438" s="214">
        <v>0</v>
      </c>
      <c r="K438" s="465">
        <f t="shared" ca="1" si="193"/>
        <v>0</v>
      </c>
      <c r="L438" s="465"/>
      <c r="M438" s="465"/>
      <c r="N438" s="465"/>
      <c r="O438" s="465"/>
      <c r="P438" s="465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15" t="s">
        <v>196</v>
      </c>
      <c r="E439" s="342"/>
      <c r="F439" s="342"/>
      <c r="G439" s="179"/>
      <c r="H439" s="589" t="s">
        <v>35</v>
      </c>
      <c r="I439" s="547">
        <f ca="1">IFERROR(__xludf.DUMMYFUNCTION("IMPORTRANGE(""https://docs.google.com/spreadsheets/d/1QqKyyYR6Q21VydFLVH3TRQUabQu_ym0Zz7PgGX0-kHA/edit?usp=sharing"",""แผน!FF17"")"),15)</f>
        <v>15</v>
      </c>
      <c r="J439" s="548">
        <v>15</v>
      </c>
      <c r="K439" s="465">
        <f t="shared" ca="1" si="193"/>
        <v>100</v>
      </c>
      <c r="L439" s="465"/>
      <c r="M439" s="465"/>
      <c r="N439" s="465"/>
      <c r="O439" s="465"/>
      <c r="P439" s="465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15" t="s">
        <v>197</v>
      </c>
      <c r="E440" s="342"/>
      <c r="F440" s="342"/>
      <c r="G440" s="179"/>
      <c r="H440" s="589" t="s">
        <v>49</v>
      </c>
      <c r="I440" s="269">
        <f ca="1">IFERROR(__xludf.DUMMYFUNCTION("IMPORTRANGE(""https://docs.google.com/spreadsheets/d/1QqKyyYR6Q21VydFLVH3TRQUabQu_ym0Zz7PgGX0-kHA/edit?usp=sharing"",""แผน!FG17"")"),1)</f>
        <v>1</v>
      </c>
      <c r="J440" s="214">
        <v>1</v>
      </c>
      <c r="K440" s="465">
        <f t="shared" ca="1" si="193"/>
        <v>100</v>
      </c>
      <c r="L440" s="465"/>
      <c r="M440" s="465"/>
      <c r="N440" s="465"/>
      <c r="O440" s="465"/>
      <c r="P440" s="465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>
      <c r="A441" s="170"/>
      <c r="B441" s="171"/>
      <c r="C441" s="171"/>
      <c r="D441" s="415" t="s">
        <v>198</v>
      </c>
      <c r="E441" s="342"/>
      <c r="F441" s="342"/>
      <c r="G441" s="179"/>
      <c r="H441" s="589" t="s">
        <v>35</v>
      </c>
      <c r="I441" s="269">
        <f ca="1">IFERROR(__xludf.DUMMYFUNCTION("IMPORTRANGE(""https://docs.google.com/spreadsheets/d/1QqKyyYR6Q21VydFLVH3TRQUabQu_ym0Zz7PgGX0-kHA/edit?usp=sharing"",""แผน!FH17"")"),0)</f>
        <v>0</v>
      </c>
      <c r="J441" s="269">
        <v>0</v>
      </c>
      <c r="K441" s="465">
        <f t="shared" ca="1" si="193"/>
        <v>0</v>
      </c>
      <c r="L441" s="465"/>
      <c r="M441" s="465"/>
      <c r="N441" s="465"/>
      <c r="O441" s="465"/>
      <c r="P441" s="465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 hidden="1">
      <c r="A442" s="549">
        <v>2</v>
      </c>
      <c r="B442" s="550" t="s">
        <v>199</v>
      </c>
      <c r="C442" s="551"/>
      <c r="D442" s="551"/>
      <c r="E442" s="551"/>
      <c r="F442" s="551"/>
      <c r="G442" s="552"/>
      <c r="H442" s="553" t="s">
        <v>35</v>
      </c>
      <c r="I442" s="554">
        <f t="shared" ref="I442:J442" ca="1" si="194">I460</f>
        <v>0</v>
      </c>
      <c r="J442" s="554">
        <f t="shared" si="194"/>
        <v>0</v>
      </c>
      <c r="K442" s="555">
        <f t="shared" ca="1" si="193"/>
        <v>0</v>
      </c>
      <c r="L442" s="556"/>
      <c r="M442" s="556"/>
      <c r="N442" s="556"/>
      <c r="O442" s="556"/>
      <c r="P442" s="556"/>
      <c r="Q442" s="541"/>
      <c r="R442" s="541"/>
      <c r="S442" s="541"/>
      <c r="T442" s="541"/>
      <c r="U442" s="541"/>
      <c r="V442" s="541"/>
      <c r="W442" s="541"/>
      <c r="X442" s="541"/>
      <c r="Y442" s="541"/>
      <c r="Z442" s="541"/>
    </row>
    <row r="443" spans="1:26" ht="19.5" hidden="1">
      <c r="A443" s="557"/>
      <c r="B443" s="558"/>
      <c r="C443" s="559"/>
      <c r="D443" s="559"/>
      <c r="E443" s="559"/>
      <c r="F443" s="559"/>
      <c r="G443" s="560"/>
      <c r="H443" s="531" t="s">
        <v>46</v>
      </c>
      <c r="I443" s="532">
        <f t="shared" ref="I443:J443" ca="1" si="195">I462</f>
        <v>0</v>
      </c>
      <c r="J443" s="532">
        <f t="shared" si="195"/>
        <v>0</v>
      </c>
      <c r="K443" s="533">
        <f t="shared" ca="1" si="193"/>
        <v>0</v>
      </c>
      <c r="L443" s="534"/>
      <c r="M443" s="534"/>
      <c r="N443" s="534"/>
      <c r="O443" s="534"/>
      <c r="P443" s="534"/>
      <c r="Q443" s="541"/>
      <c r="R443" s="541"/>
      <c r="S443" s="541"/>
      <c r="T443" s="541"/>
      <c r="U443" s="541"/>
      <c r="V443" s="541"/>
      <c r="W443" s="541"/>
      <c r="X443" s="541"/>
      <c r="Y443" s="541"/>
      <c r="Z443" s="541"/>
    </row>
    <row r="444" spans="1:26" ht="19.5" hidden="1">
      <c r="A444" s="561"/>
      <c r="B444" s="727"/>
      <c r="C444" s="727" t="s">
        <v>16</v>
      </c>
      <c r="D444" s="811" t="s">
        <v>17</v>
      </c>
      <c r="E444" s="805"/>
      <c r="F444" s="805"/>
      <c r="G444" s="189"/>
      <c r="H444" s="562" t="s">
        <v>12</v>
      </c>
      <c r="I444" s="269"/>
      <c r="J444" s="269"/>
      <c r="K444" s="465"/>
      <c r="L444" s="195">
        <f t="shared" ref="L444:N444" ca="1" si="196">L445+L446</f>
        <v>0</v>
      </c>
      <c r="M444" s="195">
        <f t="shared" si="196"/>
        <v>0</v>
      </c>
      <c r="N444" s="195">
        <f t="shared" si="196"/>
        <v>0</v>
      </c>
      <c r="O444" s="195">
        <f t="shared" ref="O444:O449" ca="1" si="197">IF(L444&gt;0,N444*100/L444,0)</f>
        <v>0</v>
      </c>
      <c r="P444" s="195">
        <f t="shared" ref="P444:P449" si="198">IF(M444&gt;0,N444*100/M444,0)</f>
        <v>0</v>
      </c>
      <c r="Q444" s="541"/>
      <c r="R444" s="541"/>
      <c r="S444" s="541"/>
      <c r="T444" s="541"/>
      <c r="U444" s="541"/>
      <c r="V444" s="541"/>
      <c r="W444" s="541"/>
      <c r="X444" s="541"/>
      <c r="Y444" s="541"/>
      <c r="Z444" s="541"/>
    </row>
    <row r="445" spans="1:26" ht="18.75" hidden="1">
      <c r="A445" s="563"/>
      <c r="B445" s="723"/>
      <c r="C445" s="723"/>
      <c r="D445" s="684"/>
      <c r="E445" s="723" t="s">
        <v>184</v>
      </c>
      <c r="F445" s="723"/>
      <c r="G445" s="567"/>
      <c r="H445" s="165" t="s">
        <v>12</v>
      </c>
      <c r="I445" s="583"/>
      <c r="J445" s="583"/>
      <c r="K445" s="93"/>
      <c r="L445" s="93">
        <f t="shared" ref="L445:N446" si="199">L448+L455</f>
        <v>0</v>
      </c>
      <c r="M445" s="93">
        <f t="shared" si="199"/>
        <v>0</v>
      </c>
      <c r="N445" s="93">
        <f t="shared" si="199"/>
        <v>0</v>
      </c>
      <c r="O445" s="93">
        <f t="shared" si="197"/>
        <v>0</v>
      </c>
      <c r="P445" s="93">
        <f t="shared" si="198"/>
        <v>0</v>
      </c>
      <c r="Q445" s="568"/>
      <c r="R445" s="568"/>
      <c r="S445" s="568"/>
      <c r="T445" s="568"/>
      <c r="U445" s="568"/>
      <c r="V445" s="568"/>
      <c r="W445" s="568"/>
      <c r="X445" s="568"/>
      <c r="Y445" s="568"/>
      <c r="Z445" s="568"/>
    </row>
    <row r="446" spans="1:26" ht="18.75" hidden="1">
      <c r="A446" s="563"/>
      <c r="B446" s="571"/>
      <c r="C446" s="723"/>
      <c r="D446" s="684"/>
      <c r="E446" s="723" t="s">
        <v>185</v>
      </c>
      <c r="F446" s="723"/>
      <c r="G446" s="567"/>
      <c r="H446" s="165" t="s">
        <v>12</v>
      </c>
      <c r="I446" s="583"/>
      <c r="J446" s="583"/>
      <c r="K446" s="93"/>
      <c r="L446" s="93">
        <f t="shared" ca="1" si="199"/>
        <v>0</v>
      </c>
      <c r="M446" s="93">
        <f t="shared" si="199"/>
        <v>0</v>
      </c>
      <c r="N446" s="93">
        <f t="shared" si="199"/>
        <v>0</v>
      </c>
      <c r="O446" s="93">
        <f t="shared" ca="1" si="197"/>
        <v>0</v>
      </c>
      <c r="P446" s="93">
        <f t="shared" si="198"/>
        <v>0</v>
      </c>
      <c r="Q446" s="568"/>
      <c r="R446" s="568"/>
      <c r="S446" s="568"/>
      <c r="T446" s="568"/>
      <c r="U446" s="568"/>
      <c r="V446" s="568"/>
      <c r="W446" s="568"/>
      <c r="X446" s="568"/>
      <c r="Y446" s="568"/>
      <c r="Z446" s="568"/>
    </row>
    <row r="447" spans="1:26" ht="18.75" hidden="1">
      <c r="A447" s="561"/>
      <c r="B447" s="538"/>
      <c r="C447" s="727"/>
      <c r="D447" s="570" t="s">
        <v>20</v>
      </c>
      <c r="E447" s="727"/>
      <c r="F447" s="727"/>
      <c r="G447" s="189"/>
      <c r="H447" s="161" t="s">
        <v>12</v>
      </c>
      <c r="I447" s="184"/>
      <c r="J447" s="184"/>
      <c r="K447" s="163"/>
      <c r="L447" s="465">
        <f t="shared" ref="L447:N447" ca="1" si="200">L448+L449</f>
        <v>0</v>
      </c>
      <c r="M447" s="465">
        <f t="shared" si="200"/>
        <v>0</v>
      </c>
      <c r="N447" s="465">
        <f t="shared" si="200"/>
        <v>0</v>
      </c>
      <c r="O447" s="465">
        <f t="shared" ca="1" si="197"/>
        <v>0</v>
      </c>
      <c r="P447" s="465">
        <f t="shared" si="198"/>
        <v>0</v>
      </c>
      <c r="Q447" s="541"/>
      <c r="R447" s="541"/>
      <c r="S447" s="541"/>
      <c r="T447" s="541"/>
      <c r="U447" s="541"/>
      <c r="V447" s="541"/>
      <c r="W447" s="541"/>
      <c r="X447" s="541"/>
      <c r="Y447" s="541"/>
      <c r="Z447" s="541"/>
    </row>
    <row r="448" spans="1:26" ht="18.75" hidden="1">
      <c r="A448" s="563"/>
      <c r="B448" s="571"/>
      <c r="C448" s="723"/>
      <c r="D448" s="684"/>
      <c r="E448" s="723" t="s">
        <v>184</v>
      </c>
      <c r="F448" s="723"/>
      <c r="G448" s="567"/>
      <c r="H448" s="165" t="s">
        <v>12</v>
      </c>
      <c r="I448" s="583"/>
      <c r="J448" s="583"/>
      <c r="K448" s="93"/>
      <c r="L448" s="93">
        <v>0</v>
      </c>
      <c r="M448" s="93">
        <v>0</v>
      </c>
      <c r="N448" s="93">
        <v>0</v>
      </c>
      <c r="O448" s="93">
        <f t="shared" si="197"/>
        <v>0</v>
      </c>
      <c r="P448" s="93">
        <f t="shared" si="198"/>
        <v>0</v>
      </c>
      <c r="Q448" s="568"/>
      <c r="R448" s="568"/>
      <c r="S448" s="568"/>
      <c r="T448" s="568"/>
      <c r="U448" s="568"/>
      <c r="V448" s="568"/>
      <c r="W448" s="568"/>
      <c r="X448" s="568"/>
      <c r="Y448" s="568"/>
      <c r="Z448" s="568"/>
    </row>
    <row r="449" spans="1:26" ht="18.75" hidden="1">
      <c r="A449" s="563"/>
      <c r="B449" s="571"/>
      <c r="C449" s="723"/>
      <c r="D449" s="684"/>
      <c r="E449" s="723" t="s">
        <v>185</v>
      </c>
      <c r="F449" s="723"/>
      <c r="G449" s="567"/>
      <c r="H449" s="165" t="s">
        <v>12</v>
      </c>
      <c r="I449" s="583"/>
      <c r="J449" s="583"/>
      <c r="K449" s="93"/>
      <c r="L449" s="93">
        <f ca="1">IFERROR(__xludf.DUMMYFUNCTION("IMPORTRANGE(""https://docs.google.com/spreadsheets/d/1QqKyyYR6Q21VydFLVH3TRQUabQu_ym0Zz7PgGX0-kHA/edit?usp=sharing"",""แผน!FJ17"")"),0)</f>
        <v>0</v>
      </c>
      <c r="M449" s="93">
        <v>0</v>
      </c>
      <c r="N449" s="93">
        <f>N450+N451+N452+N453</f>
        <v>0</v>
      </c>
      <c r="O449" s="93">
        <f t="shared" ca="1" si="197"/>
        <v>0</v>
      </c>
      <c r="P449" s="93">
        <f t="shared" si="198"/>
        <v>0</v>
      </c>
      <c r="Q449" s="568"/>
      <c r="R449" s="568"/>
      <c r="S449" s="568"/>
      <c r="T449" s="568"/>
      <c r="U449" s="568"/>
      <c r="V449" s="568"/>
      <c r="W449" s="568"/>
      <c r="X449" s="568"/>
      <c r="Y449" s="568"/>
      <c r="Z449" s="568"/>
    </row>
    <row r="450" spans="1:26" ht="18.75" hidden="1">
      <c r="A450" s="537"/>
      <c r="B450" s="538"/>
      <c r="C450" s="727"/>
      <c r="D450" s="727"/>
      <c r="E450" s="727"/>
      <c r="F450" s="727" t="s">
        <v>186</v>
      </c>
      <c r="G450" s="189"/>
      <c r="H450" s="161" t="s">
        <v>12</v>
      </c>
      <c r="I450" s="269"/>
      <c r="J450" s="269"/>
      <c r="K450" s="465"/>
      <c r="L450" s="465"/>
      <c r="M450" s="465"/>
      <c r="N450" s="789">
        <v>0</v>
      </c>
      <c r="O450" s="465"/>
      <c r="P450" s="465"/>
      <c r="Q450" s="541"/>
      <c r="R450" s="541"/>
      <c r="S450" s="541"/>
      <c r="T450" s="541"/>
      <c r="U450" s="541"/>
      <c r="V450" s="541"/>
      <c r="W450" s="541"/>
      <c r="X450" s="541"/>
      <c r="Y450" s="541"/>
      <c r="Z450" s="541"/>
    </row>
    <row r="451" spans="1:26" ht="18.75" hidden="1">
      <c r="A451" s="537"/>
      <c r="B451" s="538"/>
      <c r="C451" s="727"/>
      <c r="D451" s="727"/>
      <c r="E451" s="727"/>
      <c r="F451" s="727" t="s">
        <v>187</v>
      </c>
      <c r="G451" s="189"/>
      <c r="H451" s="161" t="s">
        <v>12</v>
      </c>
      <c r="I451" s="269"/>
      <c r="J451" s="269"/>
      <c r="K451" s="465"/>
      <c r="L451" s="465"/>
      <c r="M451" s="465"/>
      <c r="N451" s="789">
        <v>0</v>
      </c>
      <c r="O451" s="465"/>
      <c r="P451" s="465"/>
      <c r="Q451" s="541"/>
      <c r="R451" s="541"/>
      <c r="S451" s="541"/>
      <c r="T451" s="541"/>
      <c r="U451" s="541"/>
      <c r="V451" s="541"/>
      <c r="W451" s="541"/>
      <c r="X451" s="541"/>
      <c r="Y451" s="541"/>
      <c r="Z451" s="541"/>
    </row>
    <row r="452" spans="1:26" ht="18.75" hidden="1">
      <c r="A452" s="537"/>
      <c r="B452" s="538"/>
      <c r="C452" s="538"/>
      <c r="D452" s="538"/>
      <c r="E452" s="538"/>
      <c r="F452" s="727" t="s">
        <v>188</v>
      </c>
      <c r="G452" s="189"/>
      <c r="H452" s="161" t="s">
        <v>12</v>
      </c>
      <c r="I452" s="269"/>
      <c r="J452" s="269"/>
      <c r="K452" s="465"/>
      <c r="L452" s="465"/>
      <c r="M452" s="465"/>
      <c r="N452" s="789">
        <v>0</v>
      </c>
      <c r="O452" s="465"/>
      <c r="P452" s="465"/>
      <c r="Q452" s="541"/>
      <c r="R452" s="541"/>
      <c r="S452" s="541"/>
      <c r="T452" s="541"/>
      <c r="U452" s="541"/>
      <c r="V452" s="541"/>
      <c r="W452" s="541"/>
      <c r="X452" s="541"/>
      <c r="Y452" s="541"/>
      <c r="Z452" s="541"/>
    </row>
    <row r="453" spans="1:26" ht="18.75" hidden="1">
      <c r="A453" s="537"/>
      <c r="B453" s="538"/>
      <c r="C453" s="538"/>
      <c r="D453" s="538"/>
      <c r="E453" s="538"/>
      <c r="F453" s="727" t="s">
        <v>189</v>
      </c>
      <c r="G453" s="189"/>
      <c r="H453" s="161" t="s">
        <v>12</v>
      </c>
      <c r="I453" s="269"/>
      <c r="J453" s="269"/>
      <c r="K453" s="465"/>
      <c r="L453" s="465"/>
      <c r="M453" s="465"/>
      <c r="N453" s="789">
        <v>0</v>
      </c>
      <c r="O453" s="465"/>
      <c r="P453" s="465"/>
      <c r="Q453" s="541"/>
      <c r="R453" s="541"/>
      <c r="S453" s="541"/>
      <c r="T453" s="541"/>
      <c r="U453" s="541"/>
      <c r="V453" s="541"/>
      <c r="W453" s="541"/>
      <c r="X453" s="541"/>
      <c r="Y453" s="541"/>
      <c r="Z453" s="541"/>
    </row>
    <row r="454" spans="1:26" ht="18.75" hidden="1">
      <c r="A454" s="561"/>
      <c r="B454" s="538"/>
      <c r="C454" s="538"/>
      <c r="D454" s="570" t="s">
        <v>21</v>
      </c>
      <c r="E454" s="538"/>
      <c r="F454" s="727"/>
      <c r="G454" s="189"/>
      <c r="H454" s="168" t="s">
        <v>12</v>
      </c>
      <c r="I454" s="184"/>
      <c r="J454" s="184"/>
      <c r="K454" s="163"/>
      <c r="L454" s="465">
        <f t="shared" ref="L454:N454" ca="1" si="201">L455+L456</f>
        <v>0</v>
      </c>
      <c r="M454" s="465">
        <f t="shared" si="201"/>
        <v>0</v>
      </c>
      <c r="N454" s="465">
        <f t="shared" si="201"/>
        <v>0</v>
      </c>
      <c r="O454" s="465">
        <f t="shared" ref="O454:O456" ca="1" si="202">IF(L454&gt;0,N454*100/L454,0)</f>
        <v>0</v>
      </c>
      <c r="P454" s="465">
        <f t="shared" ref="P454:P456" si="203">IF(M454&gt;0,N454*100/M454,0)</f>
        <v>0</v>
      </c>
      <c r="Q454" s="541"/>
      <c r="R454" s="541"/>
      <c r="S454" s="541"/>
      <c r="T454" s="541"/>
      <c r="U454" s="541"/>
      <c r="V454" s="541"/>
      <c r="W454" s="541"/>
      <c r="X454" s="541"/>
      <c r="Y454" s="541"/>
      <c r="Z454" s="541"/>
    </row>
    <row r="455" spans="1:26" ht="18.75" hidden="1">
      <c r="A455" s="563"/>
      <c r="B455" s="571"/>
      <c r="C455" s="571"/>
      <c r="D455" s="571"/>
      <c r="E455" s="571" t="s">
        <v>18</v>
      </c>
      <c r="F455" s="723"/>
      <c r="G455" s="567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2"/>
        <v>0</v>
      </c>
      <c r="P455" s="93">
        <f t="shared" si="203"/>
        <v>0</v>
      </c>
      <c r="Q455" s="568"/>
      <c r="R455" s="568"/>
      <c r="S455" s="568"/>
      <c r="T455" s="568"/>
      <c r="U455" s="568"/>
      <c r="V455" s="568"/>
      <c r="W455" s="568"/>
      <c r="X455" s="568"/>
      <c r="Y455" s="568"/>
      <c r="Z455" s="568"/>
    </row>
    <row r="456" spans="1:26" ht="18.75" hidden="1">
      <c r="A456" s="563"/>
      <c r="B456" s="571"/>
      <c r="C456" s="571"/>
      <c r="D456" s="571"/>
      <c r="E456" s="571" t="s">
        <v>19</v>
      </c>
      <c r="F456" s="723"/>
      <c r="G456" s="567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IFERROR(__xludf.DUMMYFUNCTION("IMPORTRANGE(""https://docs.google.com/spreadsheets/d/1QqKyyYR6Q21VydFLVH3TRQUabQu_ym0Zz7PgGX0-kHA/edit?usp=sharing"",""แผน!FM17"")"),0)</f>
        <v>0</v>
      </c>
      <c r="M456" s="93">
        <v>0</v>
      </c>
      <c r="N456" s="93">
        <v>0</v>
      </c>
      <c r="O456" s="93">
        <f t="shared" ca="1" si="202"/>
        <v>0</v>
      </c>
      <c r="P456" s="93">
        <f t="shared" si="203"/>
        <v>0</v>
      </c>
      <c r="Q456" s="568"/>
      <c r="R456" s="568"/>
      <c r="S456" s="568"/>
      <c r="T456" s="568"/>
      <c r="U456" s="568"/>
      <c r="V456" s="568"/>
      <c r="W456" s="568"/>
      <c r="X456" s="568"/>
      <c r="Y456" s="568"/>
      <c r="Z456" s="568"/>
    </row>
    <row r="457" spans="1:26" ht="19.5" hidden="1">
      <c r="A457" s="572"/>
      <c r="B457" s="584"/>
      <c r="C457" s="538" t="s">
        <v>16</v>
      </c>
      <c r="D457" s="850" t="s">
        <v>38</v>
      </c>
      <c r="E457" s="575"/>
      <c r="F457" s="725"/>
      <c r="G457" s="577"/>
      <c r="H457" s="726"/>
      <c r="I457" s="269"/>
      <c r="J457" s="269"/>
      <c r="K457" s="465"/>
      <c r="L457" s="465"/>
      <c r="M457" s="465"/>
      <c r="N457" s="465"/>
      <c r="O457" s="465"/>
      <c r="P457" s="465"/>
      <c r="Q457" s="541"/>
      <c r="R457" s="541"/>
      <c r="S457" s="541"/>
      <c r="T457" s="541"/>
      <c r="U457" s="541"/>
      <c r="V457" s="541"/>
      <c r="W457" s="541"/>
      <c r="X457" s="541"/>
      <c r="Y457" s="541"/>
      <c r="Z457" s="541"/>
    </row>
    <row r="458" spans="1:26" ht="18.75" hidden="1">
      <c r="A458" s="578"/>
      <c r="B458" s="580"/>
      <c r="C458" s="580"/>
      <c r="D458" s="580" t="s">
        <v>200</v>
      </c>
      <c r="E458" s="580"/>
      <c r="F458" s="684"/>
      <c r="G458" s="581"/>
      <c r="H458" s="582" t="s">
        <v>35</v>
      </c>
      <c r="I458" s="583">
        <v>0</v>
      </c>
      <c r="J458" s="583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568"/>
      <c r="R458" s="568"/>
      <c r="S458" s="568"/>
      <c r="T458" s="568"/>
      <c r="U458" s="568"/>
      <c r="V458" s="568"/>
      <c r="W458" s="568"/>
      <c r="X458" s="568"/>
      <c r="Y458" s="568"/>
      <c r="Z458" s="568"/>
    </row>
    <row r="459" spans="1:26" ht="18.75" hidden="1">
      <c r="A459" s="578"/>
      <c r="B459" s="580"/>
      <c r="C459" s="580"/>
      <c r="D459" s="580" t="s">
        <v>201</v>
      </c>
      <c r="E459" s="580"/>
      <c r="F459" s="684"/>
      <c r="G459" s="581"/>
      <c r="H459" s="582"/>
      <c r="I459" s="583"/>
      <c r="J459" s="583"/>
      <c r="K459" s="93"/>
      <c r="L459" s="93"/>
      <c r="M459" s="93"/>
      <c r="N459" s="93"/>
      <c r="O459" s="93"/>
      <c r="P459" s="93"/>
      <c r="Q459" s="568"/>
      <c r="R459" s="568"/>
      <c r="S459" s="568"/>
      <c r="T459" s="568"/>
      <c r="U459" s="568"/>
      <c r="V459" s="568"/>
      <c r="W459" s="568"/>
      <c r="X459" s="568"/>
      <c r="Y459" s="568"/>
      <c r="Z459" s="568"/>
    </row>
    <row r="460" spans="1:26" ht="18.75" hidden="1">
      <c r="A460" s="572"/>
      <c r="B460" s="584"/>
      <c r="C460" s="584"/>
      <c r="D460" s="584" t="s">
        <v>202</v>
      </c>
      <c r="E460" s="584"/>
      <c r="F460" s="592"/>
      <c r="G460" s="726"/>
      <c r="H460" s="728" t="s">
        <v>35</v>
      </c>
      <c r="I460" s="269">
        <f ca="1">IFERROR(__xludf.DUMMYFUNCTION("IMPORTRANGE(""https://docs.google.com/spreadsheets/d/1QqKyyYR6Q21VydFLVH3TRQUabQu_ym0Zz7PgGX0-kHA/edit?usp=sharing"",""แผน!FN17"")"),0)</f>
        <v>0</v>
      </c>
      <c r="J460" s="214">
        <v>0</v>
      </c>
      <c r="K460" s="465">
        <f ca="1">IF(I460&gt;0,J460*100/I460,0)</f>
        <v>0</v>
      </c>
      <c r="L460" s="465"/>
      <c r="M460" s="465"/>
      <c r="N460" s="465"/>
      <c r="O460" s="465"/>
      <c r="P460" s="465"/>
      <c r="Q460" s="541"/>
      <c r="R460" s="541"/>
      <c r="S460" s="541"/>
      <c r="T460" s="541"/>
      <c r="U460" s="541"/>
      <c r="V460" s="541"/>
      <c r="W460" s="541"/>
      <c r="X460" s="541"/>
      <c r="Y460" s="541"/>
      <c r="Z460" s="541"/>
    </row>
    <row r="461" spans="1:26" ht="18.75" hidden="1">
      <c r="A461" s="572"/>
      <c r="B461" s="584"/>
      <c r="C461" s="584"/>
      <c r="D461" s="584" t="s">
        <v>203</v>
      </c>
      <c r="E461" s="592"/>
      <c r="F461" s="592"/>
      <c r="G461" s="726"/>
      <c r="H461" s="728"/>
      <c r="I461" s="269"/>
      <c r="J461" s="269"/>
      <c r="K461" s="465"/>
      <c r="L461" s="465"/>
      <c r="M461" s="465"/>
      <c r="N461" s="465"/>
      <c r="O461" s="465"/>
      <c r="P461" s="465"/>
      <c r="Q461" s="541"/>
      <c r="R461" s="541"/>
      <c r="S461" s="541"/>
      <c r="T461" s="541"/>
      <c r="U461" s="541"/>
      <c r="V461" s="541"/>
      <c r="W461" s="541"/>
      <c r="X461" s="541"/>
      <c r="Y461" s="541"/>
      <c r="Z461" s="541"/>
    </row>
    <row r="462" spans="1:26" ht="18.75" hidden="1">
      <c r="A462" s="572"/>
      <c r="B462" s="584"/>
      <c r="C462" s="584"/>
      <c r="D462" s="584" t="s">
        <v>204</v>
      </c>
      <c r="E462" s="592"/>
      <c r="F462" s="592"/>
      <c r="G462" s="726"/>
      <c r="H462" s="728" t="s">
        <v>46</v>
      </c>
      <c r="I462" s="269">
        <f ca="1">IFERROR(__xludf.DUMMYFUNCTION("IMPORTRANGE(""https://docs.google.com/spreadsheets/d/1QqKyyYR6Q21VydFLVH3TRQUabQu_ym0Zz7PgGX0-kHA/edit?usp=sharing"",""แผน!FO17"")"),0)</f>
        <v>0</v>
      </c>
      <c r="J462" s="214">
        <v>0</v>
      </c>
      <c r="K462" s="465">
        <f ca="1">IF(I462&gt;0,J462*100/I462,0)</f>
        <v>0</v>
      </c>
      <c r="L462" s="465"/>
      <c r="M462" s="465"/>
      <c r="N462" s="465"/>
      <c r="O462" s="465"/>
      <c r="P462" s="465"/>
      <c r="Q462" s="541"/>
      <c r="R462" s="541"/>
      <c r="S462" s="541"/>
      <c r="T462" s="541"/>
      <c r="U462" s="541"/>
      <c r="V462" s="541"/>
      <c r="W462" s="541"/>
      <c r="X462" s="541"/>
      <c r="Y462" s="541"/>
      <c r="Z462" s="541"/>
    </row>
    <row r="463" spans="1:26" ht="18.75" hidden="1">
      <c r="A463" s="572"/>
      <c r="B463" s="584"/>
      <c r="C463" s="584"/>
      <c r="D463" s="584" t="s">
        <v>59</v>
      </c>
      <c r="E463" s="592"/>
      <c r="F463" s="727"/>
      <c r="G463" s="189"/>
      <c r="H463" s="728" t="s">
        <v>46</v>
      </c>
      <c r="I463" s="269">
        <f ca="1">IFERROR(__xludf.DUMMYFUNCTION("IMPORTRANGE(""https://docs.google.com/spreadsheets/d/1QqKyyYR6Q21VydFLVH3TRQUabQu_ym0Zz7PgGX0-kHA/edit?usp=sharing"",""แผน!FO17"")"),0)</f>
        <v>0</v>
      </c>
      <c r="J463" s="214">
        <v>0</v>
      </c>
      <c r="K463" s="465"/>
      <c r="L463" s="465"/>
      <c r="M463" s="465"/>
      <c r="N463" s="465"/>
      <c r="O463" s="465"/>
      <c r="P463" s="465"/>
      <c r="Q463" s="541"/>
      <c r="R463" s="541"/>
      <c r="S463" s="541"/>
      <c r="T463" s="541"/>
      <c r="U463" s="541"/>
      <c r="V463" s="541"/>
      <c r="W463" s="541"/>
      <c r="X463" s="541"/>
      <c r="Y463" s="541"/>
      <c r="Z463" s="541"/>
    </row>
    <row r="464" spans="1:26" ht="19.5" hidden="1">
      <c r="A464" s="572"/>
      <c r="B464" s="584"/>
      <c r="C464" s="584"/>
      <c r="D464" s="584"/>
      <c r="E464" s="592"/>
      <c r="F464" s="592"/>
      <c r="G464" s="586"/>
      <c r="H464" s="728" t="s">
        <v>35</v>
      </c>
      <c r="I464" s="269">
        <f ca="1">IFERROR(__xludf.DUMMYFUNCTION("IMPORTRANGE(""https://docs.google.com/spreadsheets/d/1QqKyyYR6Q21VydFLVH3TRQUabQu_ym0Zz7PgGX0-kHA/edit?usp=sharing"",""แผน!FN17"")"),0)</f>
        <v>0</v>
      </c>
      <c r="J464" s="214">
        <v>0</v>
      </c>
      <c r="K464" s="465"/>
      <c r="L464" s="465"/>
      <c r="M464" s="465"/>
      <c r="N464" s="465"/>
      <c r="O464" s="465"/>
      <c r="P464" s="465"/>
      <c r="Q464" s="541"/>
      <c r="R464" s="541"/>
      <c r="S464" s="541"/>
      <c r="T464" s="541"/>
      <c r="U464" s="541"/>
      <c r="V464" s="541"/>
      <c r="W464" s="541"/>
      <c r="X464" s="541"/>
      <c r="Y464" s="541"/>
      <c r="Z464" s="541"/>
    </row>
    <row r="465" spans="1:26" ht="19.5">
      <c r="A465" s="549">
        <v>3</v>
      </c>
      <c r="B465" s="550" t="s">
        <v>205</v>
      </c>
      <c r="C465" s="551"/>
      <c r="D465" s="551"/>
      <c r="E465" s="551"/>
      <c r="F465" s="551"/>
      <c r="G465" s="552"/>
      <c r="H465" s="553" t="s">
        <v>35</v>
      </c>
      <c r="I465" s="554">
        <f ca="1">IFERROR(__xludf.DUMMYFUNCTION("IMPORTRANGE(""https://docs.google.com/spreadsheets/d/1QqKyyYR6Q21VydFLVH3TRQUabQu_ym0Zz7PgGX0-kHA/edit?usp=sharing"",""แผน!FX17"")"),51)</f>
        <v>51</v>
      </c>
      <c r="J465" s="554">
        <f>J485+J489+J492</f>
        <v>0</v>
      </c>
      <c r="K465" s="555">
        <f t="shared" ref="K465:K466" ca="1" si="204">IF(I465&gt;0,J465*100/I465,0)</f>
        <v>0</v>
      </c>
      <c r="L465" s="556"/>
      <c r="M465" s="556"/>
      <c r="N465" s="556"/>
      <c r="O465" s="556"/>
      <c r="P465" s="556"/>
      <c r="Q465" s="541"/>
      <c r="R465" s="541"/>
      <c r="S465" s="541"/>
      <c r="T465" s="541"/>
      <c r="U465" s="541"/>
      <c r="V465" s="541"/>
      <c r="W465" s="541"/>
      <c r="X465" s="541"/>
      <c r="Y465" s="541"/>
      <c r="Z465" s="541"/>
    </row>
    <row r="466" spans="1:26" ht="19.5">
      <c r="A466" s="557"/>
      <c r="B466" s="558"/>
      <c r="C466" s="559"/>
      <c r="D466" s="559"/>
      <c r="E466" s="559"/>
      <c r="F466" s="559"/>
      <c r="G466" s="560"/>
      <c r="H466" s="531" t="s">
        <v>46</v>
      </c>
      <c r="I466" s="532">
        <f ca="1">IFERROR(__xludf.DUMMYFUNCTION("IMPORTRANGE(""https://docs.google.com/spreadsheets/d/1QqKyyYR6Q21VydFLVH3TRQUabQu_ym0Zz7PgGX0-kHA/edit?usp=sharing"",""แผน!FW17"")"),500)</f>
        <v>500</v>
      </c>
      <c r="J466" s="532">
        <f>J483+J487</f>
        <v>0</v>
      </c>
      <c r="K466" s="533">
        <f t="shared" ca="1" si="204"/>
        <v>0</v>
      </c>
      <c r="L466" s="534"/>
      <c r="M466" s="534"/>
      <c r="N466" s="534"/>
      <c r="O466" s="534"/>
      <c r="P466" s="534"/>
      <c r="Q466" s="541"/>
      <c r="R466" s="541"/>
      <c r="S466" s="541"/>
      <c r="T466" s="541"/>
      <c r="U466" s="541"/>
      <c r="V466" s="541"/>
      <c r="W466" s="541"/>
      <c r="X466" s="541"/>
      <c r="Y466" s="541"/>
      <c r="Z466" s="541"/>
    </row>
    <row r="467" spans="1:26" ht="19.5">
      <c r="A467" s="561"/>
      <c r="B467" s="727"/>
      <c r="C467" s="727" t="s">
        <v>16</v>
      </c>
      <c r="D467" s="811" t="s">
        <v>17</v>
      </c>
      <c r="E467" s="805"/>
      <c r="F467" s="805"/>
      <c r="G467" s="189"/>
      <c r="H467" s="562" t="s">
        <v>12</v>
      </c>
      <c r="I467" s="269"/>
      <c r="J467" s="269"/>
      <c r="K467" s="465"/>
      <c r="L467" s="195">
        <f t="shared" ref="L467:N467" ca="1" si="205">L468+L469</f>
        <v>403983</v>
      </c>
      <c r="M467" s="195">
        <f t="shared" si="205"/>
        <v>0</v>
      </c>
      <c r="N467" s="195">
        <f t="shared" si="205"/>
        <v>2705</v>
      </c>
      <c r="O467" s="195">
        <f t="shared" ref="O467:O472" ca="1" si="206">IF(L467&gt;0,N467*100/L467,0)</f>
        <v>0.66958263095229253</v>
      </c>
      <c r="P467" s="195">
        <f t="shared" ref="P467:P472" si="207">IF(M467&gt;0,N467*100/M467,0)</f>
        <v>0</v>
      </c>
      <c r="Q467" s="541"/>
      <c r="R467" s="541"/>
      <c r="S467" s="541"/>
      <c r="T467" s="541"/>
      <c r="U467" s="541"/>
      <c r="V467" s="541"/>
      <c r="W467" s="541"/>
      <c r="X467" s="541"/>
      <c r="Y467" s="541"/>
      <c r="Z467" s="541"/>
    </row>
    <row r="468" spans="1:26" ht="18.75" hidden="1">
      <c r="A468" s="563"/>
      <c r="B468" s="723"/>
      <c r="C468" s="723"/>
      <c r="D468" s="684"/>
      <c r="E468" s="723" t="s">
        <v>184</v>
      </c>
      <c r="F468" s="723"/>
      <c r="G468" s="567"/>
      <c r="H468" s="165" t="s">
        <v>12</v>
      </c>
      <c r="I468" s="583"/>
      <c r="J468" s="583"/>
      <c r="K468" s="93"/>
      <c r="L468" s="93">
        <f t="shared" ref="L468:N469" si="208">L471+L478</f>
        <v>0</v>
      </c>
      <c r="M468" s="93">
        <f t="shared" si="208"/>
        <v>0</v>
      </c>
      <c r="N468" s="93">
        <f t="shared" si="208"/>
        <v>0</v>
      </c>
      <c r="O468" s="93">
        <f t="shared" si="206"/>
        <v>0</v>
      </c>
      <c r="P468" s="93">
        <f t="shared" si="207"/>
        <v>0</v>
      </c>
      <c r="Q468" s="568"/>
      <c r="R468" s="568"/>
      <c r="S468" s="568"/>
      <c r="T468" s="568"/>
      <c r="U468" s="568"/>
      <c r="V468" s="568"/>
      <c r="W468" s="568"/>
      <c r="X468" s="568"/>
      <c r="Y468" s="568"/>
      <c r="Z468" s="568"/>
    </row>
    <row r="469" spans="1:26" ht="18.75" hidden="1">
      <c r="A469" s="563"/>
      <c r="B469" s="571"/>
      <c r="C469" s="723"/>
      <c r="D469" s="684"/>
      <c r="E469" s="723" t="s">
        <v>185</v>
      </c>
      <c r="F469" s="723"/>
      <c r="G469" s="567"/>
      <c r="H469" s="165" t="s">
        <v>12</v>
      </c>
      <c r="I469" s="583"/>
      <c r="J469" s="583"/>
      <c r="K469" s="93"/>
      <c r="L469" s="93">
        <f t="shared" ca="1" si="208"/>
        <v>403983</v>
      </c>
      <c r="M469" s="93">
        <f t="shared" si="208"/>
        <v>0</v>
      </c>
      <c r="N469" s="93">
        <f t="shared" si="208"/>
        <v>2705</v>
      </c>
      <c r="O469" s="93">
        <f t="shared" ca="1" si="206"/>
        <v>0.66958263095229253</v>
      </c>
      <c r="P469" s="93">
        <f t="shared" si="207"/>
        <v>0</v>
      </c>
      <c r="Q469" s="568"/>
      <c r="R469" s="568"/>
      <c r="S469" s="568"/>
      <c r="T469" s="568"/>
      <c r="U469" s="568"/>
      <c r="V469" s="568"/>
      <c r="W469" s="568"/>
      <c r="X469" s="568"/>
      <c r="Y469" s="568"/>
      <c r="Z469" s="568"/>
    </row>
    <row r="470" spans="1:26" ht="18.75">
      <c r="A470" s="561"/>
      <c r="B470" s="538"/>
      <c r="C470" s="727"/>
      <c r="D470" s="570" t="s">
        <v>20</v>
      </c>
      <c r="E470" s="727"/>
      <c r="F470" s="727"/>
      <c r="G470" s="189"/>
      <c r="H470" s="161" t="s">
        <v>12</v>
      </c>
      <c r="I470" s="184"/>
      <c r="J470" s="184"/>
      <c r="K470" s="163"/>
      <c r="L470" s="465">
        <f t="shared" ref="L470:N470" ca="1" si="209">L471+L472</f>
        <v>403983</v>
      </c>
      <c r="M470" s="465">
        <f t="shared" si="209"/>
        <v>0</v>
      </c>
      <c r="N470" s="465">
        <f t="shared" si="209"/>
        <v>2705</v>
      </c>
      <c r="O470" s="465">
        <f t="shared" ca="1" si="206"/>
        <v>0.66958263095229253</v>
      </c>
      <c r="P470" s="465">
        <f t="shared" si="207"/>
        <v>0</v>
      </c>
      <c r="Q470" s="541"/>
      <c r="R470" s="541"/>
      <c r="S470" s="541"/>
      <c r="T470" s="541"/>
      <c r="U470" s="541"/>
      <c r="V470" s="541"/>
      <c r="W470" s="541"/>
      <c r="X470" s="541"/>
      <c r="Y470" s="541"/>
      <c r="Z470" s="541"/>
    </row>
    <row r="471" spans="1:26" ht="18.75" hidden="1">
      <c r="A471" s="563"/>
      <c r="B471" s="571"/>
      <c r="C471" s="723"/>
      <c r="D471" s="684"/>
      <c r="E471" s="723" t="s">
        <v>184</v>
      </c>
      <c r="F471" s="723"/>
      <c r="G471" s="567"/>
      <c r="H471" s="165" t="s">
        <v>12</v>
      </c>
      <c r="I471" s="583"/>
      <c r="J471" s="583"/>
      <c r="K471" s="93"/>
      <c r="L471" s="93">
        <v>0</v>
      </c>
      <c r="M471" s="93">
        <v>0</v>
      </c>
      <c r="N471" s="93">
        <v>0</v>
      </c>
      <c r="O471" s="93">
        <f t="shared" si="206"/>
        <v>0</v>
      </c>
      <c r="P471" s="93">
        <f t="shared" si="207"/>
        <v>0</v>
      </c>
      <c r="Q471" s="568"/>
      <c r="R471" s="568"/>
      <c r="S471" s="568"/>
      <c r="T471" s="568"/>
      <c r="U471" s="568"/>
      <c r="V471" s="568"/>
      <c r="W471" s="568"/>
      <c r="X471" s="568"/>
      <c r="Y471" s="568"/>
      <c r="Z471" s="568"/>
    </row>
    <row r="472" spans="1:26" ht="18.75" hidden="1">
      <c r="A472" s="563"/>
      <c r="B472" s="571"/>
      <c r="C472" s="723"/>
      <c r="D472" s="684"/>
      <c r="E472" s="723" t="s">
        <v>185</v>
      </c>
      <c r="F472" s="723"/>
      <c r="G472" s="567"/>
      <c r="H472" s="165" t="s">
        <v>12</v>
      </c>
      <c r="I472" s="583"/>
      <c r="J472" s="583"/>
      <c r="K472" s="93"/>
      <c r="L472" s="93">
        <f ca="1">IFERROR(__xludf.DUMMYFUNCTION("IMPORTRANGE(""https://docs.google.com/spreadsheets/d/1QqKyyYR6Q21VydFLVH3TRQUabQu_ym0Zz7PgGX0-kHA/edit?usp=sharing"",""แผน!FS17"")"),403983)</f>
        <v>403983</v>
      </c>
      <c r="M472" s="93">
        <v>0</v>
      </c>
      <c r="N472" s="93">
        <f>N473+N474+N475+N476</f>
        <v>2705</v>
      </c>
      <c r="O472" s="93">
        <f t="shared" ca="1" si="206"/>
        <v>0.66958263095229253</v>
      </c>
      <c r="P472" s="93">
        <f t="shared" si="207"/>
        <v>0</v>
      </c>
      <c r="Q472" s="568"/>
      <c r="R472" s="568"/>
      <c r="S472" s="568"/>
      <c r="T472" s="568"/>
      <c r="U472" s="568"/>
      <c r="V472" s="568"/>
      <c r="W472" s="568"/>
      <c r="X472" s="568"/>
      <c r="Y472" s="568"/>
      <c r="Z472" s="568"/>
    </row>
    <row r="473" spans="1:26" ht="18.75">
      <c r="A473" s="537"/>
      <c r="B473" s="538"/>
      <c r="C473" s="727"/>
      <c r="D473" s="727"/>
      <c r="E473" s="727"/>
      <c r="F473" s="727" t="s">
        <v>186</v>
      </c>
      <c r="G473" s="189"/>
      <c r="H473" s="161" t="s">
        <v>12</v>
      </c>
      <c r="I473" s="269"/>
      <c r="J473" s="269"/>
      <c r="K473" s="465"/>
      <c r="L473" s="465"/>
      <c r="M473" s="465"/>
      <c r="N473" s="789">
        <v>0</v>
      </c>
      <c r="O473" s="465"/>
      <c r="P473" s="465"/>
      <c r="Q473" s="541"/>
      <c r="R473" s="541"/>
      <c r="S473" s="541"/>
      <c r="T473" s="541"/>
      <c r="U473" s="541"/>
      <c r="V473" s="541"/>
      <c r="W473" s="541"/>
      <c r="X473" s="541"/>
      <c r="Y473" s="541"/>
      <c r="Z473" s="541"/>
    </row>
    <row r="474" spans="1:26" ht="18.75">
      <c r="A474" s="537"/>
      <c r="B474" s="538"/>
      <c r="C474" s="727"/>
      <c r="D474" s="727"/>
      <c r="E474" s="727"/>
      <c r="F474" s="727" t="s">
        <v>187</v>
      </c>
      <c r="G474" s="189"/>
      <c r="H474" s="161" t="s">
        <v>12</v>
      </c>
      <c r="I474" s="269"/>
      <c r="J474" s="269"/>
      <c r="K474" s="465"/>
      <c r="L474" s="465"/>
      <c r="M474" s="465"/>
      <c r="N474" s="789">
        <v>0</v>
      </c>
      <c r="O474" s="465"/>
      <c r="P474" s="465"/>
      <c r="Q474" s="541"/>
      <c r="R474" s="541"/>
      <c r="S474" s="541"/>
      <c r="T474" s="541"/>
      <c r="U474" s="541"/>
      <c r="V474" s="541"/>
      <c r="W474" s="541"/>
      <c r="X474" s="541"/>
      <c r="Y474" s="541"/>
      <c r="Z474" s="541"/>
    </row>
    <row r="475" spans="1:26" ht="18.75">
      <c r="A475" s="537"/>
      <c r="B475" s="538"/>
      <c r="C475" s="538"/>
      <c r="D475" s="538"/>
      <c r="E475" s="538"/>
      <c r="F475" s="727" t="s">
        <v>188</v>
      </c>
      <c r="G475" s="189"/>
      <c r="H475" s="161" t="s">
        <v>12</v>
      </c>
      <c r="I475" s="269"/>
      <c r="J475" s="269"/>
      <c r="K475" s="465"/>
      <c r="L475" s="465"/>
      <c r="M475" s="465"/>
      <c r="N475" s="789">
        <v>0</v>
      </c>
      <c r="O475" s="465"/>
      <c r="P475" s="465"/>
      <c r="Q475" s="541"/>
      <c r="R475" s="541"/>
      <c r="S475" s="541"/>
      <c r="T475" s="541"/>
      <c r="U475" s="541"/>
      <c r="V475" s="541"/>
      <c r="W475" s="541"/>
      <c r="X475" s="541"/>
      <c r="Y475" s="541"/>
      <c r="Z475" s="541"/>
    </row>
    <row r="476" spans="1:26" ht="18.75">
      <c r="A476" s="537"/>
      <c r="B476" s="538"/>
      <c r="C476" s="538"/>
      <c r="D476" s="538"/>
      <c r="E476" s="538"/>
      <c r="F476" s="727" t="s">
        <v>189</v>
      </c>
      <c r="G476" s="189"/>
      <c r="H476" s="161" t="s">
        <v>12</v>
      </c>
      <c r="I476" s="269"/>
      <c r="J476" s="269"/>
      <c r="K476" s="465"/>
      <c r="L476" s="465"/>
      <c r="M476" s="465"/>
      <c r="N476" s="789">
        <v>2705</v>
      </c>
      <c r="O476" s="465"/>
      <c r="P476" s="465"/>
      <c r="Q476" s="541"/>
      <c r="R476" s="541"/>
      <c r="S476" s="541"/>
      <c r="T476" s="541"/>
      <c r="U476" s="541"/>
      <c r="V476" s="541"/>
      <c r="W476" s="541"/>
      <c r="X476" s="541"/>
      <c r="Y476" s="541"/>
      <c r="Z476" s="541"/>
    </row>
    <row r="477" spans="1:26" ht="18.75">
      <c r="A477" s="561"/>
      <c r="B477" s="538"/>
      <c r="C477" s="538"/>
      <c r="D477" s="570" t="s">
        <v>21</v>
      </c>
      <c r="E477" s="538"/>
      <c r="F477" s="538"/>
      <c r="G477" s="189"/>
      <c r="H477" s="168" t="s">
        <v>12</v>
      </c>
      <c r="I477" s="184"/>
      <c r="J477" s="184"/>
      <c r="K477" s="163"/>
      <c r="L477" s="465">
        <f t="shared" ref="L477:N477" ca="1" si="210">L478+L479</f>
        <v>0</v>
      </c>
      <c r="M477" s="465">
        <f t="shared" si="210"/>
        <v>0</v>
      </c>
      <c r="N477" s="465">
        <f t="shared" si="210"/>
        <v>0</v>
      </c>
      <c r="O477" s="465">
        <f t="shared" ref="O477:O479" ca="1" si="211">IF(L477&gt;0,N477*100/L477,0)</f>
        <v>0</v>
      </c>
      <c r="P477" s="465">
        <f t="shared" ref="P477:P479" si="212">IF(M477&gt;0,N477*100/M477,0)</f>
        <v>0</v>
      </c>
      <c r="Q477" s="541"/>
      <c r="R477" s="541"/>
      <c r="S477" s="541"/>
      <c r="T477" s="541"/>
      <c r="U477" s="541"/>
      <c r="V477" s="541"/>
      <c r="W477" s="541"/>
      <c r="X477" s="541"/>
      <c r="Y477" s="541"/>
      <c r="Z477" s="541"/>
    </row>
    <row r="478" spans="1:26" ht="18.75" hidden="1">
      <c r="A478" s="563"/>
      <c r="B478" s="571"/>
      <c r="C478" s="571"/>
      <c r="D478" s="571"/>
      <c r="E478" s="571" t="s">
        <v>18</v>
      </c>
      <c r="F478" s="571"/>
      <c r="G478" s="567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1"/>
        <v>0</v>
      </c>
      <c r="P478" s="93">
        <f t="shared" si="212"/>
        <v>0</v>
      </c>
      <c r="Q478" s="568"/>
      <c r="R478" s="568"/>
      <c r="S478" s="568"/>
      <c r="T478" s="568"/>
      <c r="U478" s="568"/>
      <c r="V478" s="568"/>
      <c r="W478" s="568"/>
      <c r="X478" s="568"/>
      <c r="Y478" s="568"/>
      <c r="Z478" s="568"/>
    </row>
    <row r="479" spans="1:26" ht="18.75" hidden="1">
      <c r="A479" s="563"/>
      <c r="B479" s="571"/>
      <c r="C479" s="571"/>
      <c r="D479" s="571"/>
      <c r="E479" s="571" t="s">
        <v>19</v>
      </c>
      <c r="F479" s="571"/>
      <c r="G479" s="567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IFERROR(__xludf.DUMMYFUNCTION("IMPORTRANGE(""https://docs.google.com/spreadsheets/d/1QqKyyYR6Q21VydFLVH3TRQUabQu_ym0Zz7PgGX0-kHA/edit?usp=sharing"",""แผน!FV17"")"),0)</f>
        <v>0</v>
      </c>
      <c r="M479" s="93">
        <v>0</v>
      </c>
      <c r="N479" s="93">
        <v>0</v>
      </c>
      <c r="O479" s="93">
        <f t="shared" ca="1" si="211"/>
        <v>0</v>
      </c>
      <c r="P479" s="93">
        <f t="shared" si="212"/>
        <v>0</v>
      </c>
      <c r="Q479" s="568"/>
      <c r="R479" s="568"/>
      <c r="S479" s="568"/>
      <c r="T479" s="568"/>
      <c r="U479" s="568"/>
      <c r="V479" s="568"/>
      <c r="W479" s="568"/>
      <c r="X479" s="568"/>
      <c r="Y479" s="568"/>
      <c r="Z479" s="568"/>
    </row>
    <row r="480" spans="1:26" ht="19.5">
      <c r="A480" s="572"/>
      <c r="B480" s="584"/>
      <c r="C480" s="538" t="s">
        <v>16</v>
      </c>
      <c r="D480" s="851" t="s">
        <v>38</v>
      </c>
      <c r="E480" s="575"/>
      <c r="F480" s="725"/>
      <c r="G480" s="577"/>
      <c r="H480" s="726"/>
      <c r="I480" s="269"/>
      <c r="J480" s="269"/>
      <c r="K480" s="465"/>
      <c r="L480" s="465"/>
      <c r="M480" s="465"/>
      <c r="N480" s="465"/>
      <c r="O480" s="465"/>
      <c r="P480" s="465"/>
      <c r="Q480" s="541"/>
      <c r="R480" s="541"/>
      <c r="S480" s="541"/>
      <c r="T480" s="541"/>
      <c r="U480" s="541"/>
      <c r="V480" s="541"/>
      <c r="W480" s="541"/>
      <c r="X480" s="541"/>
      <c r="Y480" s="541"/>
      <c r="Z480" s="541"/>
    </row>
    <row r="481" spans="1:26" ht="19.5">
      <c r="A481" s="572"/>
      <c r="B481" s="584"/>
      <c r="C481" s="584"/>
      <c r="D481" s="591" t="s">
        <v>206</v>
      </c>
      <c r="E481" s="584"/>
      <c r="F481" s="584"/>
      <c r="G481" s="726"/>
      <c r="H481" s="189"/>
      <c r="I481" s="269"/>
      <c r="J481" s="269"/>
      <c r="K481" s="465"/>
      <c r="L481" s="465"/>
      <c r="M481" s="465"/>
      <c r="N481" s="465"/>
      <c r="O481" s="465"/>
      <c r="P481" s="465"/>
      <c r="Q481" s="541"/>
      <c r="R481" s="541"/>
      <c r="S481" s="541"/>
      <c r="T481" s="541"/>
      <c r="U481" s="541"/>
      <c r="V481" s="541"/>
      <c r="W481" s="541"/>
      <c r="X481" s="541"/>
      <c r="Y481" s="541"/>
      <c r="Z481" s="541"/>
    </row>
    <row r="482" spans="1:26" ht="18.75">
      <c r="A482" s="572"/>
      <c r="B482" s="584"/>
      <c r="C482" s="584"/>
      <c r="D482" s="584"/>
      <c r="E482" s="584" t="s">
        <v>207</v>
      </c>
      <c r="F482" s="584"/>
      <c r="G482" s="726"/>
      <c r="H482" s="189"/>
      <c r="I482" s="269"/>
      <c r="J482" s="269"/>
      <c r="K482" s="465"/>
      <c r="L482" s="465"/>
      <c r="M482" s="465"/>
      <c r="N482" s="465"/>
      <c r="O482" s="465"/>
      <c r="P482" s="465"/>
      <c r="Q482" s="541"/>
      <c r="R482" s="541"/>
      <c r="S482" s="541"/>
      <c r="T482" s="541"/>
      <c r="U482" s="541"/>
      <c r="V482" s="541"/>
      <c r="W482" s="541"/>
      <c r="X482" s="541"/>
      <c r="Y482" s="541"/>
      <c r="Z482" s="541"/>
    </row>
    <row r="483" spans="1:26" ht="18.75">
      <c r="A483" s="572"/>
      <c r="B483" s="584"/>
      <c r="C483" s="584"/>
      <c r="D483" s="584"/>
      <c r="E483" s="584"/>
      <c r="F483" s="584" t="s">
        <v>208</v>
      </c>
      <c r="G483" s="726"/>
      <c r="H483" s="589" t="s">
        <v>46</v>
      </c>
      <c r="I483" s="269">
        <f ca="1">IFERROR(__xludf.DUMMYFUNCTION("IMPORTRANGE(""https://docs.google.com/spreadsheets/d/1QqKyyYR6Q21VydFLVH3TRQUabQu_ym0Zz7PgGX0-kHA/edit?usp=sharing"",""แผน!FY17"")"),450)</f>
        <v>450</v>
      </c>
      <c r="J483" s="214">
        <v>0</v>
      </c>
      <c r="K483" s="465">
        <f ca="1">IF(I483&gt;0,J483*100/I483,0)</f>
        <v>0</v>
      </c>
      <c r="L483" s="465"/>
      <c r="M483" s="465"/>
      <c r="N483" s="465"/>
      <c r="O483" s="465"/>
      <c r="P483" s="465"/>
      <c r="Q483" s="541"/>
      <c r="R483" s="541"/>
      <c r="S483" s="541"/>
      <c r="T483" s="541"/>
      <c r="U483" s="541"/>
      <c r="V483" s="541"/>
      <c r="W483" s="541"/>
      <c r="X483" s="541"/>
      <c r="Y483" s="541"/>
      <c r="Z483" s="541"/>
    </row>
    <row r="484" spans="1:26" ht="18.75">
      <c r="A484" s="572"/>
      <c r="B484" s="584"/>
      <c r="C484" s="584"/>
      <c r="D484" s="584"/>
      <c r="E484" s="584"/>
      <c r="F484" s="584" t="s">
        <v>209</v>
      </c>
      <c r="G484" s="726"/>
      <c r="H484" s="589" t="s">
        <v>35</v>
      </c>
      <c r="I484" s="269"/>
      <c r="J484" s="214">
        <v>0</v>
      </c>
      <c r="K484" s="465"/>
      <c r="L484" s="465"/>
      <c r="M484" s="465"/>
      <c r="N484" s="465"/>
      <c r="O484" s="465"/>
      <c r="P484" s="465"/>
      <c r="Q484" s="541"/>
      <c r="R484" s="541"/>
      <c r="S484" s="541"/>
      <c r="T484" s="541"/>
      <c r="U484" s="541"/>
      <c r="V484" s="541"/>
      <c r="W484" s="541"/>
      <c r="X484" s="541"/>
      <c r="Y484" s="541"/>
      <c r="Z484" s="541"/>
    </row>
    <row r="485" spans="1:26" ht="18.75">
      <c r="A485" s="572"/>
      <c r="B485" s="584"/>
      <c r="C485" s="584"/>
      <c r="D485" s="584"/>
      <c r="E485" s="584"/>
      <c r="F485" s="584" t="s">
        <v>210</v>
      </c>
      <c r="G485" s="726"/>
      <c r="H485" s="589" t="s">
        <v>35</v>
      </c>
      <c r="I485" s="269">
        <f ca="1">IFERROR(__xludf.DUMMYFUNCTION("IMPORTRANGE(""https://docs.google.com/spreadsheets/d/1QqKyyYR6Q21VydFLVH3TRQUabQu_ym0Zz7PgGX0-kHA/edit?usp=sharing"",""แผน!FZ17"")"),45)</f>
        <v>45</v>
      </c>
      <c r="J485" s="214">
        <v>0</v>
      </c>
      <c r="K485" s="465">
        <f ca="1">IF(I485&gt;0,J485*100/I485,0)</f>
        <v>0</v>
      </c>
      <c r="L485" s="465"/>
      <c r="M485" s="465"/>
      <c r="N485" s="465"/>
      <c r="O485" s="465"/>
      <c r="P485" s="465"/>
      <c r="Q485" s="541"/>
      <c r="R485" s="541"/>
      <c r="S485" s="541"/>
      <c r="T485" s="541"/>
      <c r="U485" s="541"/>
      <c r="V485" s="541"/>
      <c r="W485" s="541"/>
      <c r="X485" s="541"/>
      <c r="Y485" s="541"/>
      <c r="Z485" s="541"/>
    </row>
    <row r="486" spans="1:26" ht="18.75">
      <c r="A486" s="572"/>
      <c r="B486" s="584"/>
      <c r="C486" s="584"/>
      <c r="D486" s="584"/>
      <c r="E486" s="584" t="s">
        <v>62</v>
      </c>
      <c r="F486" s="584"/>
      <c r="G486" s="726"/>
      <c r="H486" s="589"/>
      <c r="I486" s="269"/>
      <c r="J486" s="269"/>
      <c r="K486" s="465"/>
      <c r="L486" s="465"/>
      <c r="M486" s="465"/>
      <c r="N486" s="465"/>
      <c r="O486" s="465"/>
      <c r="P486" s="465"/>
      <c r="Q486" s="541"/>
      <c r="R486" s="541"/>
      <c r="S486" s="541"/>
      <c r="T486" s="541"/>
      <c r="U486" s="541"/>
      <c r="V486" s="541"/>
      <c r="W486" s="541"/>
      <c r="X486" s="541"/>
      <c r="Y486" s="541"/>
      <c r="Z486" s="541"/>
    </row>
    <row r="487" spans="1:26" ht="18.75">
      <c r="A487" s="572"/>
      <c r="B487" s="584"/>
      <c r="C487" s="584"/>
      <c r="D487" s="584"/>
      <c r="E487" s="584"/>
      <c r="F487" s="584" t="s">
        <v>208</v>
      </c>
      <c r="G487" s="726"/>
      <c r="H487" s="589" t="s">
        <v>46</v>
      </c>
      <c r="I487" s="269">
        <f ca="1">IFERROR(__xludf.DUMMYFUNCTION("IMPORTRANGE(""https://docs.google.com/spreadsheets/d/1QqKyyYR6Q21VydFLVH3TRQUabQu_ym0Zz7PgGX0-kHA/edit?usp=sharing"",""แผน!GA17"")"),50)</f>
        <v>50</v>
      </c>
      <c r="J487" s="214">
        <v>0</v>
      </c>
      <c r="K487" s="465">
        <f ca="1">IF(I487&gt;0,J487*100/I487,0)</f>
        <v>0</v>
      </c>
      <c r="L487" s="465"/>
      <c r="M487" s="465"/>
      <c r="N487" s="465"/>
      <c r="O487" s="465"/>
      <c r="P487" s="465"/>
      <c r="Q487" s="541"/>
      <c r="R487" s="541"/>
      <c r="S487" s="541"/>
      <c r="T487" s="541"/>
      <c r="U487" s="541"/>
      <c r="V487" s="541"/>
      <c r="W487" s="541"/>
      <c r="X487" s="541"/>
      <c r="Y487" s="541"/>
      <c r="Z487" s="541"/>
    </row>
    <row r="488" spans="1:26" ht="18.75">
      <c r="A488" s="572"/>
      <c r="B488" s="584"/>
      <c r="C488" s="584"/>
      <c r="D488" s="584"/>
      <c r="E488" s="584"/>
      <c r="F488" s="584" t="s">
        <v>211</v>
      </c>
      <c r="G488" s="726"/>
      <c r="H488" s="589" t="s">
        <v>35</v>
      </c>
      <c r="I488" s="269"/>
      <c r="J488" s="214">
        <v>0</v>
      </c>
      <c r="K488" s="465"/>
      <c r="L488" s="465"/>
      <c r="M488" s="465"/>
      <c r="N488" s="465"/>
      <c r="O488" s="465"/>
      <c r="P488" s="465"/>
      <c r="Q488" s="541"/>
      <c r="R488" s="541"/>
      <c r="S488" s="541"/>
      <c r="T488" s="541"/>
      <c r="U488" s="541"/>
      <c r="V488" s="541"/>
      <c r="W488" s="541"/>
      <c r="X488" s="541"/>
      <c r="Y488" s="541"/>
      <c r="Z488" s="541"/>
    </row>
    <row r="489" spans="1:26" ht="18.75">
      <c r="A489" s="572"/>
      <c r="B489" s="584"/>
      <c r="C489" s="584"/>
      <c r="D489" s="584"/>
      <c r="E489" s="584"/>
      <c r="F489" s="584" t="s">
        <v>212</v>
      </c>
      <c r="G489" s="726"/>
      <c r="H489" s="589" t="s">
        <v>35</v>
      </c>
      <c r="I489" s="269">
        <f ca="1">IFERROR(__xludf.DUMMYFUNCTION("IMPORTRANGE(""https://docs.google.com/spreadsheets/d/1QqKyyYR6Q21VydFLVH3TRQUabQu_ym0Zz7PgGX0-kHA/edit?usp=sharing"",""แผน!GB17"")"),5)</f>
        <v>5</v>
      </c>
      <c r="J489" s="214">
        <v>0</v>
      </c>
      <c r="K489" s="465">
        <f ca="1">IF(I489&gt;0,J489*100/I489,0)</f>
        <v>0</v>
      </c>
      <c r="L489" s="465"/>
      <c r="M489" s="465"/>
      <c r="N489" s="465"/>
      <c r="O489" s="465"/>
      <c r="P489" s="465"/>
      <c r="Q489" s="541"/>
      <c r="R489" s="541"/>
      <c r="S489" s="541"/>
      <c r="T489" s="541"/>
      <c r="U489" s="541"/>
      <c r="V489" s="541"/>
      <c r="W489" s="541"/>
      <c r="X489" s="541"/>
      <c r="Y489" s="541"/>
      <c r="Z489" s="541"/>
    </row>
    <row r="490" spans="1:26" ht="18.75">
      <c r="A490" s="572"/>
      <c r="B490" s="584"/>
      <c r="C490" s="584"/>
      <c r="D490" s="584"/>
      <c r="E490" s="584" t="s">
        <v>63</v>
      </c>
      <c r="F490" s="592"/>
      <c r="G490" s="726"/>
      <c r="H490" s="589"/>
      <c r="I490" s="269"/>
      <c r="J490" s="269"/>
      <c r="K490" s="465"/>
      <c r="L490" s="465"/>
      <c r="M490" s="465"/>
      <c r="N490" s="465"/>
      <c r="O490" s="465"/>
      <c r="P490" s="465"/>
      <c r="Q490" s="541"/>
      <c r="R490" s="541"/>
      <c r="S490" s="541"/>
      <c r="T490" s="541"/>
      <c r="U490" s="541"/>
      <c r="V490" s="541"/>
      <c r="W490" s="541"/>
      <c r="X490" s="541"/>
      <c r="Y490" s="541"/>
      <c r="Z490" s="541"/>
    </row>
    <row r="491" spans="1:26" ht="18.75">
      <c r="A491" s="572"/>
      <c r="B491" s="584"/>
      <c r="C491" s="584"/>
      <c r="D491" s="584"/>
      <c r="E491" s="584"/>
      <c r="F491" s="584" t="s">
        <v>213</v>
      </c>
      <c r="G491" s="726"/>
      <c r="H491" s="589" t="s">
        <v>35</v>
      </c>
      <c r="I491" s="269"/>
      <c r="J491" s="214">
        <v>0</v>
      </c>
      <c r="K491" s="465"/>
      <c r="L491" s="465"/>
      <c r="M491" s="465"/>
      <c r="N491" s="465"/>
      <c r="O491" s="465"/>
      <c r="P491" s="465"/>
      <c r="Q491" s="541"/>
      <c r="R491" s="541"/>
      <c r="S491" s="541"/>
      <c r="T491" s="541"/>
      <c r="U491" s="541"/>
      <c r="V491" s="541"/>
      <c r="W491" s="541"/>
      <c r="X491" s="541"/>
      <c r="Y491" s="541"/>
      <c r="Z491" s="541"/>
    </row>
    <row r="492" spans="1:26" ht="18.75">
      <c r="A492" s="572"/>
      <c r="B492" s="584"/>
      <c r="C492" s="584"/>
      <c r="D492" s="584"/>
      <c r="E492" s="584"/>
      <c r="F492" s="584" t="s">
        <v>214</v>
      </c>
      <c r="G492" s="726"/>
      <c r="H492" s="589" t="s">
        <v>35</v>
      </c>
      <c r="I492" s="269">
        <f ca="1">IFERROR(__xludf.DUMMYFUNCTION("IMPORTRANGE(""https://docs.google.com/spreadsheets/d/1QqKyyYR6Q21VydFLVH3TRQUabQu_ym0Zz7PgGX0-kHA/edit?usp=sharing"",""แผน!GC17"")"),1)</f>
        <v>1</v>
      </c>
      <c r="J492" s="214">
        <v>0</v>
      </c>
      <c r="K492" s="465">
        <f ca="1">IF(I492&gt;0,J492*100/I492,0)</f>
        <v>0</v>
      </c>
      <c r="L492" s="465"/>
      <c r="M492" s="465"/>
      <c r="N492" s="465"/>
      <c r="O492" s="465"/>
      <c r="P492" s="465"/>
      <c r="Q492" s="541"/>
      <c r="R492" s="541"/>
      <c r="S492" s="541"/>
      <c r="T492" s="541"/>
      <c r="U492" s="541"/>
      <c r="V492" s="541"/>
      <c r="W492" s="541"/>
      <c r="X492" s="541"/>
      <c r="Y492" s="541"/>
      <c r="Z492" s="541"/>
    </row>
    <row r="493" spans="1:26" ht="19.5">
      <c r="A493" s="572"/>
      <c r="B493" s="584"/>
      <c r="C493" s="584"/>
      <c r="D493" s="591" t="s">
        <v>59</v>
      </c>
      <c r="E493" s="584"/>
      <c r="F493" s="592"/>
      <c r="G493" s="726"/>
      <c r="H493" s="189"/>
      <c r="I493" s="269"/>
      <c r="J493" s="269"/>
      <c r="K493" s="465"/>
      <c r="L493" s="465"/>
      <c r="M493" s="465"/>
      <c r="N493" s="465"/>
      <c r="O493" s="465"/>
      <c r="P493" s="465"/>
      <c r="Q493" s="541"/>
      <c r="R493" s="541"/>
      <c r="S493" s="541"/>
      <c r="T493" s="541"/>
      <c r="U493" s="541"/>
      <c r="V493" s="541"/>
      <c r="W493" s="541"/>
      <c r="X493" s="541"/>
      <c r="Y493" s="541"/>
      <c r="Z493" s="541"/>
    </row>
    <row r="494" spans="1:26" ht="18.75">
      <c r="A494" s="572"/>
      <c r="B494" s="584"/>
      <c r="C494" s="584"/>
      <c r="D494" s="584"/>
      <c r="E494" s="584" t="s">
        <v>207</v>
      </c>
      <c r="F494" s="592"/>
      <c r="G494" s="726"/>
      <c r="H494" s="189"/>
      <c r="I494" s="269"/>
      <c r="J494" s="269"/>
      <c r="K494" s="465"/>
      <c r="L494" s="465"/>
      <c r="M494" s="465"/>
      <c r="N494" s="465"/>
      <c r="O494" s="465"/>
      <c r="P494" s="465"/>
      <c r="Q494" s="541"/>
      <c r="R494" s="541"/>
      <c r="S494" s="541"/>
      <c r="T494" s="541"/>
      <c r="U494" s="541"/>
      <c r="V494" s="541"/>
      <c r="W494" s="541"/>
      <c r="X494" s="541"/>
      <c r="Y494" s="541"/>
      <c r="Z494" s="541"/>
    </row>
    <row r="495" spans="1:26" ht="18.75">
      <c r="A495" s="572"/>
      <c r="B495" s="584"/>
      <c r="C495" s="584"/>
      <c r="D495" s="584"/>
      <c r="E495" s="584"/>
      <c r="F495" s="592" t="s">
        <v>215</v>
      </c>
      <c r="G495" s="726"/>
      <c r="H495" s="589" t="s">
        <v>46</v>
      </c>
      <c r="I495" s="269">
        <f ca="1">IFERROR(__xludf.DUMMYFUNCTION("IMPORTRANGE(""https://docs.google.com/spreadsheets/d/1QqKyyYR6Q21VydFLVH3TRQUabQu_ym0Zz7PgGX0-kHA/edit?usp=sharing"",""แผน!FY17"")"),450)</f>
        <v>450</v>
      </c>
      <c r="J495" s="214">
        <v>0</v>
      </c>
      <c r="K495" s="465">
        <f ca="1">IF(I495&gt;0,J495*100/I495,0)</f>
        <v>0</v>
      </c>
      <c r="L495" s="465"/>
      <c r="M495" s="465"/>
      <c r="N495" s="465"/>
      <c r="O495" s="465"/>
      <c r="P495" s="465"/>
      <c r="Q495" s="541"/>
      <c r="R495" s="541"/>
      <c r="S495" s="541"/>
      <c r="T495" s="541"/>
      <c r="U495" s="541"/>
      <c r="V495" s="541"/>
      <c r="W495" s="541"/>
      <c r="X495" s="541"/>
      <c r="Y495" s="541"/>
      <c r="Z495" s="541"/>
    </row>
    <row r="496" spans="1:26" ht="18.75">
      <c r="A496" s="572"/>
      <c r="B496" s="584"/>
      <c r="C496" s="584"/>
      <c r="D496" s="584"/>
      <c r="E496" s="584"/>
      <c r="F496" s="592" t="s">
        <v>216</v>
      </c>
      <c r="G496" s="726"/>
      <c r="H496" s="589" t="s">
        <v>46</v>
      </c>
      <c r="I496" s="269"/>
      <c r="J496" s="214">
        <v>0</v>
      </c>
      <c r="K496" s="465"/>
      <c r="L496" s="465"/>
      <c r="M496" s="465"/>
      <c r="N496" s="465"/>
      <c r="O496" s="465"/>
      <c r="P496" s="465"/>
      <c r="Q496" s="541"/>
      <c r="R496" s="541"/>
      <c r="S496" s="541"/>
      <c r="T496" s="541"/>
      <c r="U496" s="541"/>
      <c r="V496" s="541"/>
      <c r="W496" s="541"/>
      <c r="X496" s="541"/>
      <c r="Y496" s="541"/>
      <c r="Z496" s="541"/>
    </row>
    <row r="497" spans="1:26" ht="18.75">
      <c r="A497" s="572"/>
      <c r="B497" s="584"/>
      <c r="C497" s="584"/>
      <c r="D497" s="584"/>
      <c r="E497" s="584" t="s">
        <v>62</v>
      </c>
      <c r="F497" s="592"/>
      <c r="G497" s="726"/>
      <c r="H497" s="189"/>
      <c r="I497" s="269"/>
      <c r="J497" s="269"/>
      <c r="K497" s="465"/>
      <c r="L497" s="465"/>
      <c r="M497" s="465"/>
      <c r="N497" s="465"/>
      <c r="O497" s="465"/>
      <c r="P497" s="465"/>
      <c r="Q497" s="541"/>
      <c r="R497" s="541"/>
      <c r="S497" s="541"/>
      <c r="T497" s="541"/>
      <c r="U497" s="541"/>
      <c r="V497" s="541"/>
      <c r="W497" s="541"/>
      <c r="X497" s="541"/>
      <c r="Y497" s="541"/>
      <c r="Z497" s="541"/>
    </row>
    <row r="498" spans="1:26" ht="18.75">
      <c r="A498" s="572"/>
      <c r="B498" s="584"/>
      <c r="C498" s="584"/>
      <c r="D498" s="584"/>
      <c r="E498" s="592"/>
      <c r="F498" s="592" t="s">
        <v>217</v>
      </c>
      <c r="G498" s="726"/>
      <c r="H498" s="589" t="s">
        <v>46</v>
      </c>
      <c r="I498" s="269">
        <f ca="1">IFERROR(__xludf.DUMMYFUNCTION("IMPORTRANGE(""https://docs.google.com/spreadsheets/d/1QqKyyYR6Q21VydFLVH3TRQUabQu_ym0Zz7PgGX0-kHA/edit?usp=sharing"",""แผน!GA17"")"),50)</f>
        <v>50</v>
      </c>
      <c r="J498" s="214">
        <v>0</v>
      </c>
      <c r="K498" s="465">
        <f ca="1">IF(I498&gt;0,J498*100/I498,0)</f>
        <v>0</v>
      </c>
      <c r="L498" s="465"/>
      <c r="M498" s="465"/>
      <c r="N498" s="465"/>
      <c r="O498" s="465"/>
      <c r="P498" s="465"/>
      <c r="Q498" s="541"/>
      <c r="R498" s="541"/>
      <c r="S498" s="541"/>
      <c r="T498" s="541"/>
      <c r="U498" s="541"/>
      <c r="V498" s="541"/>
      <c r="W498" s="541"/>
      <c r="X498" s="541"/>
      <c r="Y498" s="541"/>
      <c r="Z498" s="541"/>
    </row>
    <row r="499" spans="1:26" ht="18.75">
      <c r="A499" s="572"/>
      <c r="B499" s="584"/>
      <c r="C499" s="584"/>
      <c r="D499" s="584"/>
      <c r="E499" s="592"/>
      <c r="F499" s="592" t="s">
        <v>218</v>
      </c>
      <c r="G499" s="726"/>
      <c r="H499" s="589" t="s">
        <v>46</v>
      </c>
      <c r="I499" s="269"/>
      <c r="J499" s="214">
        <v>0</v>
      </c>
      <c r="K499" s="465"/>
      <c r="L499" s="465"/>
      <c r="M499" s="465"/>
      <c r="N499" s="465"/>
      <c r="O499" s="465"/>
      <c r="P499" s="465"/>
      <c r="Q499" s="541"/>
      <c r="R499" s="541"/>
      <c r="S499" s="541"/>
      <c r="T499" s="541"/>
      <c r="U499" s="541"/>
      <c r="V499" s="541"/>
      <c r="W499" s="541"/>
      <c r="X499" s="541"/>
      <c r="Y499" s="541"/>
      <c r="Z499" s="541"/>
    </row>
    <row r="500" spans="1:26" ht="19.5" hidden="1">
      <c r="A500" s="593">
        <v>4</v>
      </c>
      <c r="B500" s="594" t="s">
        <v>219</v>
      </c>
      <c r="C500" s="595"/>
      <c r="D500" s="596"/>
      <c r="E500" s="596"/>
      <c r="F500" s="596"/>
      <c r="G500" s="597"/>
      <c r="H500" s="598" t="s">
        <v>109</v>
      </c>
      <c r="I500" s="599"/>
      <c r="J500" s="599">
        <f t="shared" ref="J500:J501" si="213">J516</f>
        <v>0</v>
      </c>
      <c r="K500" s="600">
        <f t="shared" ref="K500:K501" si="214">IF(I500&gt;0,J500*100/I500,0)</f>
        <v>0</v>
      </c>
      <c r="L500" s="601"/>
      <c r="M500" s="601"/>
      <c r="N500" s="601"/>
      <c r="O500" s="601"/>
      <c r="P500" s="601"/>
      <c r="Q500" s="568"/>
      <c r="R500" s="568"/>
      <c r="S500" s="568"/>
      <c r="T500" s="568"/>
      <c r="U500" s="568"/>
      <c r="V500" s="568"/>
      <c r="W500" s="568"/>
      <c r="X500" s="568"/>
      <c r="Y500" s="568"/>
      <c r="Z500" s="568"/>
    </row>
    <row r="501" spans="1:26" ht="19.5" hidden="1">
      <c r="A501" s="602"/>
      <c r="B501" s="604" t="s">
        <v>220</v>
      </c>
      <c r="C501" s="604"/>
      <c r="D501" s="605"/>
      <c r="E501" s="605"/>
      <c r="F501" s="605"/>
      <c r="G501" s="606"/>
      <c r="H501" s="607" t="s">
        <v>35</v>
      </c>
      <c r="I501" s="608"/>
      <c r="J501" s="608">
        <f t="shared" si="213"/>
        <v>0</v>
      </c>
      <c r="K501" s="609">
        <f t="shared" si="214"/>
        <v>0</v>
      </c>
      <c r="L501" s="610"/>
      <c r="M501" s="610"/>
      <c r="N501" s="610"/>
      <c r="O501" s="610"/>
      <c r="P501" s="610"/>
      <c r="Q501" s="568"/>
      <c r="R501" s="568"/>
      <c r="S501" s="568"/>
      <c r="T501" s="568"/>
      <c r="U501" s="568"/>
      <c r="V501" s="568"/>
      <c r="W501" s="568"/>
      <c r="X501" s="568"/>
      <c r="Y501" s="568"/>
      <c r="Z501" s="568"/>
    </row>
    <row r="502" spans="1:26" ht="19.5" hidden="1">
      <c r="A502" s="563"/>
      <c r="B502" s="723"/>
      <c r="C502" s="723" t="s">
        <v>16</v>
      </c>
      <c r="D502" s="812" t="s">
        <v>17</v>
      </c>
      <c r="E502" s="805"/>
      <c r="F502" s="805"/>
      <c r="G502" s="567"/>
      <c r="H502" s="612" t="s">
        <v>12</v>
      </c>
      <c r="I502" s="583"/>
      <c r="J502" s="583"/>
      <c r="K502" s="93"/>
      <c r="L502" s="613">
        <f t="shared" ref="L502:N502" si="215">L503+L504</f>
        <v>0</v>
      </c>
      <c r="M502" s="613">
        <f t="shared" si="215"/>
        <v>0</v>
      </c>
      <c r="N502" s="613">
        <f t="shared" si="215"/>
        <v>0</v>
      </c>
      <c r="O502" s="613">
        <f t="shared" ref="O502:O507" si="216">IF(L502&gt;0,N502*100/L502,0)</f>
        <v>0</v>
      </c>
      <c r="P502" s="613">
        <f t="shared" ref="P502:P507" si="217">IF(M502&gt;0,N502*100/M502,0)</f>
        <v>0</v>
      </c>
      <c r="Q502" s="568"/>
      <c r="R502" s="568"/>
      <c r="S502" s="568"/>
      <c r="T502" s="568"/>
      <c r="U502" s="568"/>
      <c r="V502" s="568"/>
      <c r="W502" s="568"/>
      <c r="X502" s="568"/>
      <c r="Y502" s="568"/>
      <c r="Z502" s="568"/>
    </row>
    <row r="503" spans="1:26" ht="18.75" hidden="1">
      <c r="A503" s="563"/>
      <c r="B503" s="723"/>
      <c r="C503" s="723"/>
      <c r="D503" s="684"/>
      <c r="E503" s="723" t="s">
        <v>184</v>
      </c>
      <c r="F503" s="723"/>
      <c r="G503" s="567"/>
      <c r="H503" s="165" t="s">
        <v>12</v>
      </c>
      <c r="I503" s="583"/>
      <c r="J503" s="583"/>
      <c r="K503" s="93"/>
      <c r="L503" s="93">
        <f t="shared" ref="L503:N504" si="218">L506+L513</f>
        <v>0</v>
      </c>
      <c r="M503" s="93">
        <f t="shared" si="218"/>
        <v>0</v>
      </c>
      <c r="N503" s="93">
        <f t="shared" si="218"/>
        <v>0</v>
      </c>
      <c r="O503" s="93">
        <f t="shared" si="216"/>
        <v>0</v>
      </c>
      <c r="P503" s="93">
        <f t="shared" si="217"/>
        <v>0</v>
      </c>
      <c r="Q503" s="568"/>
      <c r="R503" s="568"/>
      <c r="S503" s="568"/>
      <c r="T503" s="568"/>
      <c r="U503" s="568"/>
      <c r="V503" s="568"/>
      <c r="W503" s="568"/>
      <c r="X503" s="568"/>
      <c r="Y503" s="568"/>
      <c r="Z503" s="568"/>
    </row>
    <row r="504" spans="1:26" ht="18.75" hidden="1">
      <c r="A504" s="563"/>
      <c r="B504" s="571"/>
      <c r="C504" s="723"/>
      <c r="D504" s="684"/>
      <c r="E504" s="723" t="s">
        <v>185</v>
      </c>
      <c r="F504" s="723"/>
      <c r="G504" s="567"/>
      <c r="H504" s="165" t="s">
        <v>12</v>
      </c>
      <c r="I504" s="583"/>
      <c r="J504" s="583"/>
      <c r="K504" s="93"/>
      <c r="L504" s="93">
        <f t="shared" si="218"/>
        <v>0</v>
      </c>
      <c r="M504" s="93">
        <f t="shared" si="218"/>
        <v>0</v>
      </c>
      <c r="N504" s="93">
        <f t="shared" si="218"/>
        <v>0</v>
      </c>
      <c r="O504" s="93">
        <f t="shared" si="216"/>
        <v>0</v>
      </c>
      <c r="P504" s="93">
        <f t="shared" si="217"/>
        <v>0</v>
      </c>
      <c r="Q504" s="568"/>
      <c r="R504" s="568"/>
      <c r="S504" s="568"/>
      <c r="T504" s="568"/>
      <c r="U504" s="568"/>
      <c r="V504" s="568"/>
      <c r="W504" s="568"/>
      <c r="X504" s="568"/>
      <c r="Y504" s="568"/>
      <c r="Z504" s="568"/>
    </row>
    <row r="505" spans="1:26" ht="18.75" hidden="1">
      <c r="A505" s="563"/>
      <c r="B505" s="571"/>
      <c r="C505" s="723"/>
      <c r="D505" s="614" t="s">
        <v>20</v>
      </c>
      <c r="E505" s="723"/>
      <c r="F505" s="723"/>
      <c r="G505" s="567"/>
      <c r="H505" s="165" t="s">
        <v>12</v>
      </c>
      <c r="I505" s="166"/>
      <c r="J505" s="166"/>
      <c r="K505" s="167"/>
      <c r="L505" s="93">
        <f t="shared" ref="L505:N505" si="219">L506+L507</f>
        <v>0</v>
      </c>
      <c r="M505" s="93">
        <f t="shared" si="219"/>
        <v>0</v>
      </c>
      <c r="N505" s="93">
        <f t="shared" si="219"/>
        <v>0</v>
      </c>
      <c r="O505" s="93">
        <f t="shared" si="216"/>
        <v>0</v>
      </c>
      <c r="P505" s="93">
        <f t="shared" si="217"/>
        <v>0</v>
      </c>
      <c r="Q505" s="568"/>
      <c r="R505" s="568"/>
      <c r="S505" s="568"/>
      <c r="T505" s="568"/>
      <c r="U505" s="568"/>
      <c r="V505" s="568"/>
      <c r="W505" s="568"/>
      <c r="X505" s="568"/>
      <c r="Y505" s="568"/>
      <c r="Z505" s="568"/>
    </row>
    <row r="506" spans="1:26" ht="18.75" hidden="1">
      <c r="A506" s="563"/>
      <c r="B506" s="571"/>
      <c r="C506" s="723"/>
      <c r="D506" s="684"/>
      <c r="E506" s="723" t="s">
        <v>184</v>
      </c>
      <c r="F506" s="723"/>
      <c r="G506" s="567"/>
      <c r="H506" s="165" t="s">
        <v>12</v>
      </c>
      <c r="I506" s="583"/>
      <c r="J506" s="583"/>
      <c r="K506" s="93"/>
      <c r="L506" s="93">
        <v>0</v>
      </c>
      <c r="M506" s="93">
        <v>0</v>
      </c>
      <c r="N506" s="93">
        <v>0</v>
      </c>
      <c r="O506" s="93">
        <f t="shared" si="216"/>
        <v>0</v>
      </c>
      <c r="P506" s="93">
        <f t="shared" si="217"/>
        <v>0</v>
      </c>
      <c r="Q506" s="568"/>
      <c r="R506" s="568"/>
      <c r="S506" s="568"/>
      <c r="T506" s="568"/>
      <c r="U506" s="568"/>
      <c r="V506" s="568"/>
      <c r="W506" s="568"/>
      <c r="X506" s="568"/>
      <c r="Y506" s="568"/>
      <c r="Z506" s="568"/>
    </row>
    <row r="507" spans="1:26" ht="18.75" hidden="1">
      <c r="A507" s="563"/>
      <c r="B507" s="571"/>
      <c r="C507" s="723"/>
      <c r="D507" s="684"/>
      <c r="E507" s="723" t="s">
        <v>185</v>
      </c>
      <c r="F507" s="723"/>
      <c r="G507" s="567"/>
      <c r="H507" s="165" t="s">
        <v>12</v>
      </c>
      <c r="I507" s="583"/>
      <c r="J507" s="583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6"/>
        <v>0</v>
      </c>
      <c r="P507" s="93">
        <f t="shared" si="217"/>
        <v>0</v>
      </c>
      <c r="Q507" s="568"/>
      <c r="R507" s="568"/>
      <c r="S507" s="568"/>
      <c r="T507" s="568"/>
      <c r="U507" s="568"/>
      <c r="V507" s="568"/>
      <c r="W507" s="568"/>
      <c r="X507" s="568"/>
      <c r="Y507" s="568"/>
      <c r="Z507" s="568"/>
    </row>
    <row r="508" spans="1:26" ht="18.75" hidden="1">
      <c r="A508" s="615"/>
      <c r="B508" s="571"/>
      <c r="C508" s="723"/>
      <c r="D508" s="723"/>
      <c r="E508" s="723"/>
      <c r="F508" s="723" t="s">
        <v>186</v>
      </c>
      <c r="G508" s="567"/>
      <c r="H508" s="165" t="s">
        <v>12</v>
      </c>
      <c r="I508" s="583"/>
      <c r="J508" s="583"/>
      <c r="K508" s="93"/>
      <c r="L508" s="93"/>
      <c r="M508" s="93"/>
      <c r="N508" s="93">
        <v>0</v>
      </c>
      <c r="O508" s="93"/>
      <c r="P508" s="93"/>
      <c r="Q508" s="568"/>
      <c r="R508" s="568"/>
      <c r="S508" s="568"/>
      <c r="T508" s="568"/>
      <c r="U508" s="568"/>
      <c r="V508" s="568"/>
      <c r="W508" s="568"/>
      <c r="X508" s="568"/>
      <c r="Y508" s="568"/>
      <c r="Z508" s="568"/>
    </row>
    <row r="509" spans="1:26" ht="18.75" hidden="1">
      <c r="A509" s="615"/>
      <c r="B509" s="571"/>
      <c r="C509" s="723"/>
      <c r="D509" s="723"/>
      <c r="E509" s="723"/>
      <c r="F509" s="723" t="s">
        <v>187</v>
      </c>
      <c r="G509" s="567"/>
      <c r="H509" s="165" t="s">
        <v>12</v>
      </c>
      <c r="I509" s="583"/>
      <c r="J509" s="583"/>
      <c r="K509" s="93"/>
      <c r="L509" s="93"/>
      <c r="M509" s="93"/>
      <c r="N509" s="93">
        <v>0</v>
      </c>
      <c r="O509" s="93"/>
      <c r="P509" s="93"/>
      <c r="Q509" s="568"/>
      <c r="R509" s="568"/>
      <c r="S509" s="568"/>
      <c r="T509" s="568"/>
      <c r="U509" s="568"/>
      <c r="V509" s="568"/>
      <c r="W509" s="568"/>
      <c r="X509" s="568"/>
      <c r="Y509" s="568"/>
      <c r="Z509" s="568"/>
    </row>
    <row r="510" spans="1:26" ht="18.75" hidden="1">
      <c r="A510" s="615"/>
      <c r="B510" s="571"/>
      <c r="C510" s="571"/>
      <c r="D510" s="571"/>
      <c r="E510" s="723"/>
      <c r="F510" s="723" t="s">
        <v>188</v>
      </c>
      <c r="G510" s="567"/>
      <c r="H510" s="165" t="s">
        <v>12</v>
      </c>
      <c r="I510" s="583"/>
      <c r="J510" s="583"/>
      <c r="K510" s="93"/>
      <c r="L510" s="93"/>
      <c r="M510" s="93"/>
      <c r="N510" s="93">
        <v>0</v>
      </c>
      <c r="O510" s="93"/>
      <c r="P510" s="93"/>
      <c r="Q510" s="568"/>
      <c r="R510" s="568"/>
      <c r="S510" s="568"/>
      <c r="T510" s="568"/>
      <c r="U510" s="568"/>
      <c r="V510" s="568"/>
      <c r="W510" s="568"/>
      <c r="X510" s="568"/>
      <c r="Y510" s="568"/>
      <c r="Z510" s="568"/>
    </row>
    <row r="511" spans="1:26" ht="18.75" hidden="1">
      <c r="A511" s="615"/>
      <c r="B511" s="571"/>
      <c r="C511" s="571"/>
      <c r="D511" s="571"/>
      <c r="E511" s="723"/>
      <c r="F511" s="723" t="s">
        <v>189</v>
      </c>
      <c r="G511" s="567"/>
      <c r="H511" s="165" t="s">
        <v>12</v>
      </c>
      <c r="I511" s="583"/>
      <c r="J511" s="583"/>
      <c r="K511" s="93"/>
      <c r="L511" s="93"/>
      <c r="M511" s="93"/>
      <c r="N511" s="93">
        <v>0</v>
      </c>
      <c r="O511" s="93"/>
      <c r="P511" s="93"/>
      <c r="Q511" s="568"/>
      <c r="R511" s="568"/>
      <c r="S511" s="568"/>
      <c r="T511" s="568"/>
      <c r="U511" s="568"/>
      <c r="V511" s="568"/>
      <c r="W511" s="568"/>
      <c r="X511" s="568"/>
      <c r="Y511" s="568"/>
      <c r="Z511" s="568"/>
    </row>
    <row r="512" spans="1:26" ht="18.75" hidden="1">
      <c r="A512" s="563"/>
      <c r="B512" s="571"/>
      <c r="C512" s="571"/>
      <c r="D512" s="614" t="s">
        <v>21</v>
      </c>
      <c r="E512" s="571"/>
      <c r="F512" s="723"/>
      <c r="G512" s="567"/>
      <c r="H512" s="169" t="s">
        <v>12</v>
      </c>
      <c r="I512" s="166"/>
      <c r="J512" s="166"/>
      <c r="K512" s="167"/>
      <c r="L512" s="93">
        <f t="shared" ref="L512:N512" si="220">L513+L514</f>
        <v>0</v>
      </c>
      <c r="M512" s="93">
        <f t="shared" si="220"/>
        <v>0</v>
      </c>
      <c r="N512" s="93">
        <f t="shared" si="220"/>
        <v>0</v>
      </c>
      <c r="O512" s="93">
        <f t="shared" ref="O512:O514" si="221">IF(L512&gt;0,N512*100/L512,0)</f>
        <v>0</v>
      </c>
      <c r="P512" s="93">
        <f t="shared" ref="P512:P514" si="222">IF(M512&gt;0,N512*100/M512,0)</f>
        <v>0</v>
      </c>
      <c r="Q512" s="568"/>
      <c r="R512" s="568"/>
      <c r="S512" s="568"/>
      <c r="T512" s="568"/>
      <c r="U512" s="568"/>
      <c r="V512" s="568"/>
      <c r="W512" s="568"/>
      <c r="X512" s="568"/>
      <c r="Y512" s="568"/>
      <c r="Z512" s="568"/>
    </row>
    <row r="513" spans="1:26" ht="18.75" hidden="1">
      <c r="A513" s="563"/>
      <c r="B513" s="571"/>
      <c r="C513" s="571"/>
      <c r="D513" s="571"/>
      <c r="E513" s="571" t="s">
        <v>18</v>
      </c>
      <c r="F513" s="723"/>
      <c r="G513" s="567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1"/>
        <v>0</v>
      </c>
      <c r="P513" s="93">
        <f t="shared" si="222"/>
        <v>0</v>
      </c>
      <c r="Q513" s="568"/>
      <c r="R513" s="568"/>
      <c r="S513" s="568"/>
      <c r="T513" s="568"/>
      <c r="U513" s="568"/>
      <c r="V513" s="568"/>
      <c r="W513" s="568"/>
      <c r="X513" s="568"/>
      <c r="Y513" s="568"/>
      <c r="Z513" s="568"/>
    </row>
    <row r="514" spans="1:26" ht="18.75" hidden="1">
      <c r="A514" s="563"/>
      <c r="B514" s="571"/>
      <c r="C514" s="571"/>
      <c r="D514" s="723"/>
      <c r="E514" s="571" t="s">
        <v>19</v>
      </c>
      <c r="F514" s="723"/>
      <c r="G514" s="567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1"/>
        <v>0</v>
      </c>
      <c r="P514" s="93">
        <f t="shared" si="222"/>
        <v>0</v>
      </c>
      <c r="Q514" s="568"/>
      <c r="R514" s="568"/>
      <c r="S514" s="568"/>
      <c r="T514" s="568"/>
      <c r="U514" s="568"/>
      <c r="V514" s="568"/>
      <c r="W514" s="568"/>
      <c r="X514" s="568"/>
      <c r="Y514" s="568"/>
      <c r="Z514" s="568"/>
    </row>
    <row r="515" spans="1:26" ht="19.5" hidden="1">
      <c r="A515" s="578"/>
      <c r="B515" s="580"/>
      <c r="C515" s="571" t="s">
        <v>16</v>
      </c>
      <c r="D515" s="852" t="s">
        <v>38</v>
      </c>
      <c r="E515" s="617"/>
      <c r="F515" s="617"/>
      <c r="G515" s="618"/>
      <c r="H515" s="581"/>
      <c r="I515" s="166"/>
      <c r="J515" s="166"/>
      <c r="K515" s="167"/>
      <c r="L515" s="167"/>
      <c r="M515" s="167"/>
      <c r="N515" s="167"/>
      <c r="O515" s="167"/>
      <c r="P515" s="167"/>
      <c r="Q515" s="568"/>
      <c r="R515" s="568"/>
      <c r="S515" s="568"/>
      <c r="T515" s="568"/>
      <c r="U515" s="568"/>
      <c r="V515" s="568"/>
      <c r="W515" s="568"/>
      <c r="X515" s="568"/>
      <c r="Y515" s="568"/>
      <c r="Z515" s="568"/>
    </row>
    <row r="516" spans="1:26" ht="18.75" hidden="1">
      <c r="A516" s="578"/>
      <c r="B516" s="580"/>
      <c r="C516" s="580"/>
      <c r="D516" s="580" t="s">
        <v>221</v>
      </c>
      <c r="E516" s="684"/>
      <c r="F516" s="684"/>
      <c r="G516" s="581"/>
      <c r="H516" s="619" t="s">
        <v>109</v>
      </c>
      <c r="I516" s="583"/>
      <c r="J516" s="583">
        <v>0</v>
      </c>
      <c r="K516" s="167">
        <f t="shared" ref="K516:K517" si="223">IF(I516&gt;0,J516*100/I516,0)</f>
        <v>0</v>
      </c>
      <c r="L516" s="167"/>
      <c r="M516" s="167"/>
      <c r="N516" s="167"/>
      <c r="O516" s="167"/>
      <c r="P516" s="167"/>
      <c r="Q516" s="568"/>
      <c r="R516" s="568"/>
      <c r="S516" s="568"/>
      <c r="T516" s="568"/>
      <c r="U516" s="568"/>
      <c r="V516" s="568"/>
      <c r="W516" s="568"/>
      <c r="X516" s="568"/>
      <c r="Y516" s="568"/>
      <c r="Z516" s="568"/>
    </row>
    <row r="517" spans="1:26" ht="19.5" hidden="1">
      <c r="A517" s="578"/>
      <c r="B517" s="580"/>
      <c r="C517" s="580"/>
      <c r="D517" s="580" t="s">
        <v>222</v>
      </c>
      <c r="E517" s="684"/>
      <c r="F517" s="684"/>
      <c r="G517" s="581"/>
      <c r="H517" s="620" t="s">
        <v>35</v>
      </c>
      <c r="I517" s="621"/>
      <c r="J517" s="621">
        <f>J518+J519</f>
        <v>0</v>
      </c>
      <c r="K517" s="622">
        <f t="shared" si="223"/>
        <v>0</v>
      </c>
      <c r="L517" s="167"/>
      <c r="M517" s="167"/>
      <c r="N517" s="167"/>
      <c r="O517" s="167"/>
      <c r="P517" s="167"/>
      <c r="Q517" s="568"/>
      <c r="R517" s="568"/>
      <c r="S517" s="568"/>
      <c r="T517" s="568"/>
      <c r="U517" s="568"/>
      <c r="V517" s="568"/>
      <c r="W517" s="568"/>
      <c r="X517" s="568"/>
      <c r="Y517" s="568"/>
      <c r="Z517" s="568"/>
    </row>
    <row r="518" spans="1:26" ht="18.75" hidden="1">
      <c r="A518" s="578"/>
      <c r="B518" s="580"/>
      <c r="C518" s="580"/>
      <c r="D518" s="580"/>
      <c r="E518" s="580" t="s">
        <v>223</v>
      </c>
      <c r="F518" s="684"/>
      <c r="G518" s="581"/>
      <c r="H518" s="582" t="s">
        <v>35</v>
      </c>
      <c r="I518" s="583"/>
      <c r="J518" s="583"/>
      <c r="K518" s="167"/>
      <c r="L518" s="167"/>
      <c r="M518" s="167"/>
      <c r="N518" s="167"/>
      <c r="O518" s="167"/>
      <c r="P518" s="167"/>
      <c r="Q518" s="568"/>
      <c r="R518" s="568"/>
      <c r="S518" s="568"/>
      <c r="T518" s="568"/>
      <c r="U518" s="568"/>
      <c r="V518" s="568"/>
      <c r="W518" s="568"/>
      <c r="X518" s="568"/>
      <c r="Y518" s="568"/>
      <c r="Z518" s="568"/>
    </row>
    <row r="519" spans="1:26" ht="18.75" hidden="1">
      <c r="A519" s="578"/>
      <c r="B519" s="580"/>
      <c r="C519" s="580"/>
      <c r="D519" s="580"/>
      <c r="E519" s="580" t="s">
        <v>224</v>
      </c>
      <c r="F519" s="684"/>
      <c r="G519" s="581"/>
      <c r="H519" s="619" t="s">
        <v>35</v>
      </c>
      <c r="I519" s="583"/>
      <c r="J519" s="583"/>
      <c r="K519" s="167"/>
      <c r="L519" s="167"/>
      <c r="M519" s="167"/>
      <c r="N519" s="167"/>
      <c r="O519" s="167"/>
      <c r="P519" s="167"/>
      <c r="Q519" s="568"/>
      <c r="R519" s="568"/>
      <c r="S519" s="568"/>
      <c r="T519" s="568"/>
      <c r="U519" s="568"/>
      <c r="V519" s="568"/>
      <c r="W519" s="568"/>
      <c r="X519" s="568"/>
      <c r="Y519" s="568"/>
      <c r="Z519" s="568"/>
    </row>
    <row r="520" spans="1:26" ht="19.5">
      <c r="A520" s="623" t="s">
        <v>137</v>
      </c>
      <c r="B520" s="624"/>
      <c r="C520" s="624"/>
      <c r="D520" s="625"/>
      <c r="E520" s="625"/>
      <c r="F520" s="625"/>
      <c r="G520" s="626"/>
      <c r="H520" s="627"/>
      <c r="I520" s="628"/>
      <c r="J520" s="628"/>
      <c r="K520" s="629"/>
      <c r="L520" s="629"/>
      <c r="M520" s="629"/>
      <c r="N520" s="629"/>
      <c r="O520" s="629"/>
      <c r="P520" s="629"/>
    </row>
    <row r="521" spans="1:26" ht="19.5" hidden="1">
      <c r="A521" s="630">
        <v>5</v>
      </c>
      <c r="B521" s="631" t="s">
        <v>225</v>
      </c>
      <c r="C521" s="632"/>
      <c r="D521" s="633"/>
      <c r="E521" s="633"/>
      <c r="F521" s="633"/>
      <c r="G521" s="633"/>
      <c r="H521" s="634"/>
      <c r="I521" s="635"/>
      <c r="J521" s="635"/>
      <c r="K521" s="636"/>
      <c r="L521" s="636"/>
      <c r="M521" s="636"/>
      <c r="N521" s="636"/>
      <c r="O521" s="636"/>
      <c r="P521" s="636"/>
      <c r="Q521" s="541"/>
      <c r="R521" s="541"/>
      <c r="S521" s="541"/>
      <c r="T521" s="541"/>
      <c r="U521" s="541"/>
      <c r="V521" s="541"/>
      <c r="W521" s="541"/>
      <c r="X521" s="541"/>
      <c r="Y521" s="541"/>
      <c r="Z521" s="541"/>
    </row>
    <row r="522" spans="1:26" ht="19.5" hidden="1">
      <c r="A522" s="637"/>
      <c r="B522" s="638" t="s">
        <v>226</v>
      </c>
      <c r="C522" s="639"/>
      <c r="D522" s="639"/>
      <c r="E522" s="639"/>
      <c r="F522" s="639"/>
      <c r="G522" s="640"/>
      <c r="H522" s="641" t="s">
        <v>35</v>
      </c>
      <c r="I522" s="672">
        <f t="shared" ref="I522:J522" ca="1" si="224">I537</f>
        <v>0</v>
      </c>
      <c r="J522" s="672">
        <f t="shared" ca="1" si="224"/>
        <v>0</v>
      </c>
      <c r="K522" s="643">
        <f ca="1">IF(I522&gt;0,J522*100/I522,0)</f>
        <v>0</v>
      </c>
      <c r="L522" s="644"/>
      <c r="M522" s="644"/>
      <c r="N522" s="644"/>
      <c r="O522" s="644"/>
      <c r="P522" s="644"/>
      <c r="Q522" s="541"/>
      <c r="R522" s="541"/>
      <c r="S522" s="541"/>
      <c r="T522" s="541"/>
      <c r="U522" s="541"/>
      <c r="V522" s="541"/>
      <c r="W522" s="541"/>
      <c r="X522" s="541"/>
      <c r="Y522" s="541"/>
      <c r="Z522" s="541"/>
    </row>
    <row r="523" spans="1:26" ht="19.5" hidden="1">
      <c r="A523" s="561"/>
      <c r="B523" s="727"/>
      <c r="C523" s="727" t="s">
        <v>16</v>
      </c>
      <c r="D523" s="811" t="s">
        <v>17</v>
      </c>
      <c r="E523" s="805"/>
      <c r="F523" s="805"/>
      <c r="G523" s="189"/>
      <c r="H523" s="562" t="s">
        <v>12</v>
      </c>
      <c r="I523" s="269"/>
      <c r="J523" s="269"/>
      <c r="K523" s="465"/>
      <c r="L523" s="195">
        <f t="shared" ref="L523:N523" ca="1" si="225">L524+L525</f>
        <v>0</v>
      </c>
      <c r="M523" s="195">
        <f t="shared" si="225"/>
        <v>0</v>
      </c>
      <c r="N523" s="195">
        <f t="shared" si="225"/>
        <v>0</v>
      </c>
      <c r="O523" s="195">
        <f t="shared" ref="O523:O528" ca="1" si="226">IF(L523&gt;0,N523*100/L523,0)</f>
        <v>0</v>
      </c>
      <c r="P523" s="195">
        <f t="shared" ref="P523:P528" si="227">IF(M523&gt;0,N523*100/M523,0)</f>
        <v>0</v>
      </c>
      <c r="Q523" s="541"/>
      <c r="R523" s="541"/>
      <c r="S523" s="541"/>
      <c r="T523" s="541"/>
      <c r="U523" s="541"/>
      <c r="V523" s="541"/>
      <c r="W523" s="541"/>
      <c r="X523" s="541"/>
      <c r="Y523" s="541"/>
      <c r="Z523" s="541"/>
    </row>
    <row r="524" spans="1:26" ht="18.75" hidden="1">
      <c r="A524" s="563"/>
      <c r="B524" s="723"/>
      <c r="C524" s="723"/>
      <c r="D524" s="684"/>
      <c r="E524" s="723" t="s">
        <v>184</v>
      </c>
      <c r="F524" s="723"/>
      <c r="G524" s="567"/>
      <c r="H524" s="165" t="s">
        <v>12</v>
      </c>
      <c r="I524" s="583"/>
      <c r="J524" s="583"/>
      <c r="K524" s="93"/>
      <c r="L524" s="93">
        <f t="shared" ref="L524:N525" si="228">L527+L534</f>
        <v>0</v>
      </c>
      <c r="M524" s="93">
        <f t="shared" si="228"/>
        <v>0</v>
      </c>
      <c r="N524" s="93">
        <f t="shared" si="228"/>
        <v>0</v>
      </c>
      <c r="O524" s="93">
        <f t="shared" si="226"/>
        <v>0</v>
      </c>
      <c r="P524" s="93">
        <f t="shared" si="227"/>
        <v>0</v>
      </c>
      <c r="Q524" s="568"/>
      <c r="R524" s="568"/>
      <c r="S524" s="568"/>
      <c r="T524" s="568"/>
      <c r="U524" s="568"/>
      <c r="V524" s="568"/>
      <c r="W524" s="568"/>
      <c r="X524" s="568"/>
      <c r="Y524" s="568"/>
      <c r="Z524" s="568"/>
    </row>
    <row r="525" spans="1:26" ht="18.75" hidden="1">
      <c r="A525" s="563"/>
      <c r="B525" s="571"/>
      <c r="C525" s="723"/>
      <c r="D525" s="684"/>
      <c r="E525" s="723" t="s">
        <v>185</v>
      </c>
      <c r="F525" s="723"/>
      <c r="G525" s="567"/>
      <c r="H525" s="165" t="s">
        <v>12</v>
      </c>
      <c r="I525" s="583"/>
      <c r="J525" s="583"/>
      <c r="K525" s="93"/>
      <c r="L525" s="93">
        <f t="shared" ca="1" si="228"/>
        <v>0</v>
      </c>
      <c r="M525" s="93">
        <f t="shared" si="228"/>
        <v>0</v>
      </c>
      <c r="N525" s="93">
        <f t="shared" si="228"/>
        <v>0</v>
      </c>
      <c r="O525" s="93">
        <f t="shared" ca="1" si="226"/>
        <v>0</v>
      </c>
      <c r="P525" s="93">
        <f t="shared" si="227"/>
        <v>0</v>
      </c>
      <c r="Q525" s="568"/>
      <c r="R525" s="568"/>
      <c r="S525" s="568"/>
      <c r="T525" s="568"/>
      <c r="U525" s="568"/>
      <c r="V525" s="568"/>
      <c r="W525" s="568"/>
      <c r="X525" s="568"/>
      <c r="Y525" s="568"/>
      <c r="Z525" s="568"/>
    </row>
    <row r="526" spans="1:26" ht="18.75" hidden="1">
      <c r="A526" s="561"/>
      <c r="B526" s="538"/>
      <c r="C526" s="727"/>
      <c r="D526" s="570" t="s">
        <v>20</v>
      </c>
      <c r="E526" s="727"/>
      <c r="F526" s="727"/>
      <c r="G526" s="189"/>
      <c r="H526" s="161" t="s">
        <v>12</v>
      </c>
      <c r="I526" s="184"/>
      <c r="J526" s="184"/>
      <c r="K526" s="163"/>
      <c r="L526" s="465">
        <f t="shared" ref="L526:N526" ca="1" si="229">L527+L528</f>
        <v>0</v>
      </c>
      <c r="M526" s="465">
        <f t="shared" si="229"/>
        <v>0</v>
      </c>
      <c r="N526" s="465">
        <f t="shared" si="229"/>
        <v>0</v>
      </c>
      <c r="O526" s="465">
        <f t="shared" ca="1" si="226"/>
        <v>0</v>
      </c>
      <c r="P526" s="465">
        <f t="shared" si="227"/>
        <v>0</v>
      </c>
      <c r="Q526" s="541"/>
      <c r="R526" s="541"/>
      <c r="S526" s="541"/>
      <c r="T526" s="541"/>
      <c r="U526" s="541"/>
      <c r="V526" s="541"/>
      <c r="W526" s="541"/>
      <c r="X526" s="541"/>
      <c r="Y526" s="541"/>
      <c r="Z526" s="541"/>
    </row>
    <row r="527" spans="1:26" ht="18.75" hidden="1">
      <c r="A527" s="563"/>
      <c r="B527" s="571"/>
      <c r="C527" s="723"/>
      <c r="D527" s="684"/>
      <c r="E527" s="723" t="s">
        <v>184</v>
      </c>
      <c r="F527" s="723"/>
      <c r="G527" s="567"/>
      <c r="H527" s="165" t="s">
        <v>12</v>
      </c>
      <c r="I527" s="583"/>
      <c r="J527" s="583"/>
      <c r="K527" s="93"/>
      <c r="L527" s="93">
        <v>0</v>
      </c>
      <c r="M527" s="93">
        <v>0</v>
      </c>
      <c r="N527" s="93">
        <v>0</v>
      </c>
      <c r="O527" s="93">
        <f t="shared" si="226"/>
        <v>0</v>
      </c>
      <c r="P527" s="93">
        <f t="shared" si="227"/>
        <v>0</v>
      </c>
      <c r="Q527" s="568"/>
      <c r="R527" s="568"/>
      <c r="S527" s="568"/>
      <c r="T527" s="568"/>
      <c r="U527" s="568"/>
      <c r="V527" s="568"/>
      <c r="W527" s="568"/>
      <c r="X527" s="568"/>
      <c r="Y527" s="568"/>
      <c r="Z527" s="568"/>
    </row>
    <row r="528" spans="1:26" ht="18.75" hidden="1">
      <c r="A528" s="563"/>
      <c r="B528" s="571"/>
      <c r="C528" s="723"/>
      <c r="D528" s="684"/>
      <c r="E528" s="723" t="s">
        <v>185</v>
      </c>
      <c r="F528" s="723"/>
      <c r="G528" s="567"/>
      <c r="H528" s="165" t="s">
        <v>12</v>
      </c>
      <c r="I528" s="583"/>
      <c r="J528" s="583"/>
      <c r="K528" s="93"/>
      <c r="L528" s="93">
        <f ca="1">IFERROR(__xludf.DUMMYFUNCTION("IMPORTRANGE(""https://docs.google.com/spreadsheets/d/1QqKyyYR6Q21VydFLVH3TRQUabQu_ym0Zz7PgGX0-kHA/edit?usp=sharing"",""แผน!GQ17"")"),0)</f>
        <v>0</v>
      </c>
      <c r="M528" s="93">
        <v>0</v>
      </c>
      <c r="N528" s="93">
        <f>N529+N530+N531+N532</f>
        <v>0</v>
      </c>
      <c r="O528" s="93">
        <f t="shared" ca="1" si="226"/>
        <v>0</v>
      </c>
      <c r="P528" s="93">
        <f t="shared" si="227"/>
        <v>0</v>
      </c>
      <c r="Q528" s="568"/>
      <c r="R528" s="568"/>
      <c r="S528" s="568"/>
      <c r="T528" s="568"/>
      <c r="U528" s="568"/>
      <c r="V528" s="568"/>
      <c r="W528" s="568"/>
      <c r="X528" s="568"/>
      <c r="Y528" s="568"/>
      <c r="Z528" s="568"/>
    </row>
    <row r="529" spans="1:26" ht="18.75" hidden="1">
      <c r="A529" s="537"/>
      <c r="B529" s="538"/>
      <c r="C529" s="727"/>
      <c r="D529" s="727"/>
      <c r="E529" s="727"/>
      <c r="F529" s="727" t="s">
        <v>186</v>
      </c>
      <c r="G529" s="189"/>
      <c r="H529" s="161" t="s">
        <v>12</v>
      </c>
      <c r="I529" s="269"/>
      <c r="J529" s="269"/>
      <c r="K529" s="465"/>
      <c r="L529" s="465"/>
      <c r="M529" s="465"/>
      <c r="N529" s="789">
        <v>0</v>
      </c>
      <c r="O529" s="465"/>
      <c r="P529" s="465"/>
      <c r="Q529" s="541"/>
      <c r="R529" s="541"/>
      <c r="S529" s="541"/>
      <c r="T529" s="541"/>
      <c r="U529" s="541"/>
      <c r="V529" s="541"/>
      <c r="W529" s="541"/>
      <c r="X529" s="541"/>
      <c r="Y529" s="541"/>
      <c r="Z529" s="541"/>
    </row>
    <row r="530" spans="1:26" ht="18.75" hidden="1">
      <c r="A530" s="537"/>
      <c r="B530" s="538"/>
      <c r="C530" s="727"/>
      <c r="D530" s="727"/>
      <c r="E530" s="727"/>
      <c r="F530" s="727" t="s">
        <v>187</v>
      </c>
      <c r="G530" s="189"/>
      <c r="H530" s="161" t="s">
        <v>12</v>
      </c>
      <c r="I530" s="269"/>
      <c r="J530" s="269"/>
      <c r="K530" s="465"/>
      <c r="L530" s="465"/>
      <c r="M530" s="465"/>
      <c r="N530" s="789">
        <v>0</v>
      </c>
      <c r="O530" s="465"/>
      <c r="P530" s="465"/>
      <c r="Q530" s="541"/>
      <c r="R530" s="541"/>
      <c r="S530" s="541"/>
      <c r="T530" s="541"/>
      <c r="U530" s="541"/>
      <c r="V530" s="541"/>
      <c r="W530" s="541"/>
      <c r="X530" s="541"/>
      <c r="Y530" s="541"/>
      <c r="Z530" s="541"/>
    </row>
    <row r="531" spans="1:26" ht="18.75" hidden="1">
      <c r="A531" s="537"/>
      <c r="B531" s="538"/>
      <c r="C531" s="727"/>
      <c r="D531" s="727"/>
      <c r="E531" s="727"/>
      <c r="F531" s="727" t="s">
        <v>188</v>
      </c>
      <c r="G531" s="189"/>
      <c r="H531" s="161" t="s">
        <v>12</v>
      </c>
      <c r="I531" s="269"/>
      <c r="J531" s="269"/>
      <c r="K531" s="465"/>
      <c r="L531" s="465"/>
      <c r="M531" s="465"/>
      <c r="N531" s="789">
        <v>0</v>
      </c>
      <c r="O531" s="465"/>
      <c r="P531" s="465"/>
      <c r="Q531" s="541"/>
      <c r="R531" s="541"/>
      <c r="S531" s="541"/>
      <c r="T531" s="541"/>
      <c r="U531" s="541"/>
      <c r="V531" s="541"/>
      <c r="W531" s="541"/>
      <c r="X531" s="541"/>
      <c r="Y531" s="541"/>
      <c r="Z531" s="541"/>
    </row>
    <row r="532" spans="1:26" ht="18.75" hidden="1">
      <c r="A532" s="537"/>
      <c r="B532" s="538"/>
      <c r="C532" s="727"/>
      <c r="D532" s="727"/>
      <c r="E532" s="727"/>
      <c r="F532" s="727" t="s">
        <v>189</v>
      </c>
      <c r="G532" s="189"/>
      <c r="H532" s="161" t="s">
        <v>12</v>
      </c>
      <c r="I532" s="269"/>
      <c r="J532" s="269"/>
      <c r="K532" s="465"/>
      <c r="L532" s="465"/>
      <c r="M532" s="465"/>
      <c r="N532" s="789">
        <v>0</v>
      </c>
      <c r="O532" s="465"/>
      <c r="P532" s="465"/>
      <c r="Q532" s="541"/>
      <c r="R532" s="541"/>
      <c r="S532" s="541"/>
      <c r="T532" s="541"/>
      <c r="U532" s="541"/>
      <c r="V532" s="541"/>
      <c r="W532" s="541"/>
      <c r="X532" s="541"/>
      <c r="Y532" s="541"/>
      <c r="Z532" s="541"/>
    </row>
    <row r="533" spans="1:26" ht="18.75" hidden="1">
      <c r="A533" s="561"/>
      <c r="B533" s="538"/>
      <c r="C533" s="727"/>
      <c r="D533" s="570" t="s">
        <v>21</v>
      </c>
      <c r="E533" s="727"/>
      <c r="F533" s="727"/>
      <c r="G533" s="189"/>
      <c r="H533" s="168" t="s">
        <v>12</v>
      </c>
      <c r="I533" s="184"/>
      <c r="J533" s="184"/>
      <c r="K533" s="163"/>
      <c r="L533" s="465">
        <f t="shared" ref="L533:N533" ca="1" si="230">L534+L535</f>
        <v>0</v>
      </c>
      <c r="M533" s="465">
        <f t="shared" si="230"/>
        <v>0</v>
      </c>
      <c r="N533" s="465">
        <f t="shared" si="230"/>
        <v>0</v>
      </c>
      <c r="O533" s="465">
        <f t="shared" ref="O533:O535" ca="1" si="231">IF(L533&gt;0,N533*100/L533,0)</f>
        <v>0</v>
      </c>
      <c r="P533" s="465">
        <f t="shared" ref="P533:P535" si="232">IF(M533&gt;0,N533*100/M533,0)</f>
        <v>0</v>
      </c>
      <c r="Q533" s="541"/>
      <c r="R533" s="541"/>
      <c r="S533" s="541"/>
      <c r="T533" s="541"/>
      <c r="U533" s="541"/>
      <c r="V533" s="541"/>
      <c r="W533" s="541"/>
      <c r="X533" s="541"/>
      <c r="Y533" s="541"/>
      <c r="Z533" s="541"/>
    </row>
    <row r="534" spans="1:26" ht="18.75" hidden="1">
      <c r="A534" s="563"/>
      <c r="B534" s="571"/>
      <c r="C534" s="723"/>
      <c r="D534" s="723"/>
      <c r="E534" s="723" t="s">
        <v>18</v>
      </c>
      <c r="F534" s="723"/>
      <c r="G534" s="567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1"/>
        <v>0</v>
      </c>
      <c r="P534" s="93">
        <f t="shared" si="232"/>
        <v>0</v>
      </c>
      <c r="Q534" s="568"/>
      <c r="R534" s="568"/>
      <c r="S534" s="568"/>
      <c r="T534" s="568"/>
      <c r="U534" s="568"/>
      <c r="V534" s="568"/>
      <c r="W534" s="568"/>
      <c r="X534" s="568"/>
      <c r="Y534" s="568"/>
      <c r="Z534" s="568"/>
    </row>
    <row r="535" spans="1:26" ht="18.75" hidden="1">
      <c r="A535" s="563"/>
      <c r="B535" s="571"/>
      <c r="C535" s="723"/>
      <c r="D535" s="723"/>
      <c r="E535" s="723" t="s">
        <v>19</v>
      </c>
      <c r="F535" s="723"/>
      <c r="G535" s="567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IFERROR(__xludf.DUMMYFUNCTION("IMPORTRANGE(""https://docs.google.com/spreadsheets/d/1QqKyyYR6Q21VydFLVH3TRQUabQu_ym0Zz7PgGX0-kHA/edit?usp=sharing"",""แผน!GT17"")"),0)</f>
        <v>0</v>
      </c>
      <c r="M535" s="93">
        <v>0</v>
      </c>
      <c r="N535" s="93">
        <v>0</v>
      </c>
      <c r="O535" s="93">
        <f t="shared" ca="1" si="231"/>
        <v>0</v>
      </c>
      <c r="P535" s="93">
        <f t="shared" si="232"/>
        <v>0</v>
      </c>
      <c r="Q535" s="568"/>
      <c r="R535" s="568"/>
      <c r="S535" s="568"/>
      <c r="T535" s="568"/>
      <c r="U535" s="568"/>
      <c r="V535" s="568"/>
      <c r="W535" s="568"/>
      <c r="X535" s="568"/>
      <c r="Y535" s="568"/>
      <c r="Z535" s="568"/>
    </row>
    <row r="536" spans="1:26" ht="19.5" hidden="1">
      <c r="A536" s="572"/>
      <c r="B536" s="584"/>
      <c r="C536" s="727" t="s">
        <v>16</v>
      </c>
      <c r="D536" s="853" t="s">
        <v>38</v>
      </c>
      <c r="E536" s="725"/>
      <c r="F536" s="725"/>
      <c r="G536" s="577"/>
      <c r="H536" s="726"/>
      <c r="I536" s="184"/>
      <c r="J536" s="184"/>
      <c r="K536" s="163"/>
      <c r="L536" s="163"/>
      <c r="M536" s="163"/>
      <c r="N536" s="163"/>
      <c r="O536" s="163"/>
      <c r="P536" s="163"/>
      <c r="Q536" s="541"/>
      <c r="R536" s="541"/>
      <c r="S536" s="541"/>
      <c r="T536" s="541"/>
      <c r="U536" s="541"/>
      <c r="V536" s="541"/>
      <c r="W536" s="541"/>
      <c r="X536" s="541"/>
      <c r="Y536" s="541"/>
      <c r="Z536" s="541"/>
    </row>
    <row r="537" spans="1:26" ht="19.5" hidden="1">
      <c r="A537" s="537"/>
      <c r="B537" s="538"/>
      <c r="C537" s="727"/>
      <c r="D537" s="727" t="s">
        <v>227</v>
      </c>
      <c r="E537" s="727"/>
      <c r="F537" s="727"/>
      <c r="G537" s="189"/>
      <c r="H537" s="589" t="s">
        <v>35</v>
      </c>
      <c r="I537" s="647">
        <f ca="1">IFERROR(__xludf.DUMMYFUNCTION("IMPORTRANGE(""https://docs.google.com/spreadsheets/d/1QqKyyYR6Q21VydFLVH3TRQUabQu_ym0Zz7PgGX0-kHA/edit?usp=sharing"",""แผน!GU17"")"),0)</f>
        <v>0</v>
      </c>
      <c r="J537" s="647">
        <f ca="1">IF(AND(J538=I538,J539=I539,J540=I540,J541=I541),I537,0)</f>
        <v>0</v>
      </c>
      <c r="K537" s="465">
        <f t="shared" ref="K537:K543" ca="1" si="233">IF(I537&gt;0,J537*100/I537,0)</f>
        <v>0</v>
      </c>
      <c r="L537" s="465"/>
      <c r="M537" s="465"/>
      <c r="N537" s="465"/>
      <c r="O537" s="465"/>
      <c r="P537" s="465"/>
      <c r="Q537" s="648"/>
      <c r="R537" s="648"/>
      <c r="S537" s="648"/>
      <c r="T537" s="648"/>
      <c r="U537" s="648"/>
      <c r="V537" s="648"/>
      <c r="W537" s="648"/>
      <c r="X537" s="648"/>
      <c r="Y537" s="648"/>
      <c r="Z537" s="648"/>
    </row>
    <row r="538" spans="1:26" ht="18.75" hidden="1">
      <c r="A538" s="537"/>
      <c r="B538" s="538"/>
      <c r="C538" s="727"/>
      <c r="D538" s="727"/>
      <c r="E538" s="727" t="s">
        <v>228</v>
      </c>
      <c r="F538" s="727"/>
      <c r="G538" s="189"/>
      <c r="H538" s="589" t="s">
        <v>35</v>
      </c>
      <c r="I538" s="269">
        <f ca="1">IFERROR(__xludf.DUMMYFUNCTION("IMPORTRANGE(""https://docs.google.com/spreadsheets/d/1QqKyyYR6Q21VydFLVH3TRQUabQu_ym0Zz7PgGX0-kHA/edit?usp=sharing"",""แผน!GV17"")"),0)</f>
        <v>0</v>
      </c>
      <c r="J538" s="214">
        <v>0</v>
      </c>
      <c r="K538" s="465">
        <f t="shared" ca="1" si="233"/>
        <v>0</v>
      </c>
      <c r="L538" s="465"/>
      <c r="M538" s="465"/>
      <c r="N538" s="465"/>
      <c r="O538" s="465"/>
      <c r="P538" s="465"/>
      <c r="Q538" s="648"/>
      <c r="R538" s="648"/>
      <c r="S538" s="648"/>
      <c r="T538" s="648"/>
      <c r="U538" s="648"/>
      <c r="V538" s="648"/>
      <c r="W538" s="648"/>
      <c r="X538" s="648"/>
      <c r="Y538" s="648"/>
      <c r="Z538" s="648"/>
    </row>
    <row r="539" spans="1:26" ht="18.75" hidden="1">
      <c r="A539" s="537"/>
      <c r="B539" s="538"/>
      <c r="C539" s="727"/>
      <c r="D539" s="727"/>
      <c r="E539" s="727" t="s">
        <v>229</v>
      </c>
      <c r="F539" s="727"/>
      <c r="G539" s="189"/>
      <c r="H539" s="589" t="s">
        <v>35</v>
      </c>
      <c r="I539" s="269">
        <f ca="1">IFERROR(__xludf.DUMMYFUNCTION("IMPORTRANGE(""https://docs.google.com/spreadsheets/d/1QqKyyYR6Q21VydFLVH3TRQUabQu_ym0Zz7PgGX0-kHA/edit?usp=sharing"",""แผน!GW17"")"),0)</f>
        <v>0</v>
      </c>
      <c r="J539" s="214">
        <v>0</v>
      </c>
      <c r="K539" s="465">
        <f t="shared" ca="1" si="233"/>
        <v>0</v>
      </c>
      <c r="L539" s="465"/>
      <c r="M539" s="465"/>
      <c r="N539" s="465"/>
      <c r="O539" s="465"/>
      <c r="P539" s="465"/>
      <c r="Q539" s="648"/>
      <c r="R539" s="648"/>
      <c r="S539" s="648"/>
      <c r="T539" s="648"/>
      <c r="U539" s="648"/>
      <c r="V539" s="648"/>
      <c r="W539" s="648"/>
      <c r="X539" s="648"/>
      <c r="Y539" s="648"/>
      <c r="Z539" s="648"/>
    </row>
    <row r="540" spans="1:26" ht="18.75" hidden="1">
      <c r="A540" s="537"/>
      <c r="B540" s="538"/>
      <c r="C540" s="727"/>
      <c r="D540" s="727"/>
      <c r="E540" s="727" t="s">
        <v>230</v>
      </c>
      <c r="F540" s="727"/>
      <c r="G540" s="189"/>
      <c r="H540" s="589" t="s">
        <v>35</v>
      </c>
      <c r="I540" s="269">
        <f ca="1">IFERROR(__xludf.DUMMYFUNCTION("IMPORTRANGE(""https://docs.google.com/spreadsheets/d/1QqKyyYR6Q21VydFLVH3TRQUabQu_ym0Zz7PgGX0-kHA/edit?usp=sharing"",""แผน!GX17"")"),0)</f>
        <v>0</v>
      </c>
      <c r="J540" s="214">
        <v>0</v>
      </c>
      <c r="K540" s="465">
        <f t="shared" ca="1" si="233"/>
        <v>0</v>
      </c>
      <c r="L540" s="465"/>
      <c r="M540" s="465"/>
      <c r="N540" s="465"/>
      <c r="O540" s="465"/>
      <c r="P540" s="465"/>
      <c r="Q540" s="648"/>
      <c r="R540" s="648"/>
      <c r="S540" s="648"/>
      <c r="T540" s="648"/>
      <c r="U540" s="648"/>
      <c r="V540" s="648"/>
      <c r="W540" s="648"/>
      <c r="X540" s="648"/>
      <c r="Y540" s="648"/>
      <c r="Z540" s="648"/>
    </row>
    <row r="541" spans="1:26" ht="18.75" hidden="1">
      <c r="A541" s="537"/>
      <c r="B541" s="538"/>
      <c r="C541" s="727"/>
      <c r="D541" s="727"/>
      <c r="E541" s="733" t="s">
        <v>231</v>
      </c>
      <c r="F541" s="727"/>
      <c r="G541" s="189"/>
      <c r="H541" s="589" t="s">
        <v>35</v>
      </c>
      <c r="I541" s="269">
        <f ca="1">IFERROR(__xludf.DUMMYFUNCTION("IMPORTRANGE(""https://docs.google.com/spreadsheets/d/1QqKyyYR6Q21VydFLVH3TRQUabQu_ym0Zz7PgGX0-kHA/edit?usp=sharing"",""แผน!GY17"")"),0)</f>
        <v>0</v>
      </c>
      <c r="J541" s="214">
        <v>0</v>
      </c>
      <c r="K541" s="465">
        <f t="shared" ca="1" si="233"/>
        <v>0</v>
      </c>
      <c r="L541" s="465"/>
      <c r="M541" s="465"/>
      <c r="N541" s="465"/>
      <c r="O541" s="465"/>
      <c r="P541" s="465"/>
      <c r="Q541" s="648"/>
      <c r="R541" s="648"/>
      <c r="S541" s="648"/>
      <c r="T541" s="648"/>
      <c r="U541" s="648"/>
      <c r="V541" s="648"/>
      <c r="W541" s="648"/>
      <c r="X541" s="648"/>
      <c r="Y541" s="648"/>
      <c r="Z541" s="648"/>
    </row>
    <row r="542" spans="1:26" ht="18.75" hidden="1">
      <c r="A542" s="537"/>
      <c r="B542" s="538"/>
      <c r="C542" s="727"/>
      <c r="D542" s="727" t="s">
        <v>59</v>
      </c>
      <c r="E542" s="727"/>
      <c r="F542" s="727"/>
      <c r="G542" s="189"/>
      <c r="H542" s="589" t="s">
        <v>35</v>
      </c>
      <c r="I542" s="269">
        <f ca="1">IFERROR(__xludf.DUMMYFUNCTION("IMPORTRANGE(""https://docs.google.com/spreadsheets/d/1QqKyyYR6Q21VydFLVH3TRQUabQu_ym0Zz7PgGX0-kHA/edit?usp=sharing"",""แผน!GZ17"")"),0)</f>
        <v>0</v>
      </c>
      <c r="J542" s="214">
        <v>0</v>
      </c>
      <c r="K542" s="465">
        <f t="shared" ca="1" si="233"/>
        <v>0</v>
      </c>
      <c r="L542" s="465"/>
      <c r="M542" s="465"/>
      <c r="N542" s="465"/>
      <c r="O542" s="465"/>
      <c r="P542" s="465"/>
      <c r="Q542" s="648"/>
      <c r="R542" s="648"/>
      <c r="S542" s="648"/>
      <c r="T542" s="648"/>
      <c r="U542" s="648"/>
      <c r="V542" s="648"/>
      <c r="W542" s="648"/>
      <c r="X542" s="648"/>
      <c r="Y542" s="648"/>
      <c r="Z542" s="648"/>
    </row>
    <row r="543" spans="1:26" ht="19.5">
      <c r="A543" s="630">
        <v>6</v>
      </c>
      <c r="B543" s="651" t="s">
        <v>232</v>
      </c>
      <c r="C543" s="633"/>
      <c r="D543" s="633"/>
      <c r="E543" s="633"/>
      <c r="F543" s="633"/>
      <c r="G543" s="634"/>
      <c r="H543" s="652" t="s">
        <v>46</v>
      </c>
      <c r="I543" s="653">
        <f t="shared" ref="I543:J543" ca="1" si="234">I559</f>
        <v>43092</v>
      </c>
      <c r="J543" s="653">
        <f t="shared" si="234"/>
        <v>0</v>
      </c>
      <c r="K543" s="654">
        <f t="shared" ca="1" si="233"/>
        <v>0</v>
      </c>
      <c r="L543" s="636"/>
      <c r="M543" s="636"/>
      <c r="N543" s="636"/>
      <c r="O543" s="636"/>
      <c r="P543" s="636"/>
      <c r="Q543" s="541"/>
      <c r="R543" s="541"/>
      <c r="S543" s="541"/>
      <c r="T543" s="541"/>
      <c r="U543" s="541"/>
      <c r="V543" s="541"/>
      <c r="W543" s="541"/>
      <c r="X543" s="541"/>
      <c r="Y543" s="541"/>
      <c r="Z543" s="541"/>
    </row>
    <row r="544" spans="1:26" ht="19.5">
      <c r="A544" s="655"/>
      <c r="B544" s="656"/>
      <c r="C544" s="656" t="s">
        <v>16</v>
      </c>
      <c r="D544" s="854" t="s">
        <v>17</v>
      </c>
      <c r="E544" s="810"/>
      <c r="F544" s="810"/>
      <c r="G544" s="657"/>
      <c r="H544" s="274" t="s">
        <v>12</v>
      </c>
      <c r="I544" s="388"/>
      <c r="J544" s="388"/>
      <c r="K544" s="154"/>
      <c r="L544" s="155">
        <f t="shared" ref="L544:N544" ca="1" si="235">L545+L546</f>
        <v>349735</v>
      </c>
      <c r="M544" s="155">
        <f t="shared" si="235"/>
        <v>0</v>
      </c>
      <c r="N544" s="155">
        <f t="shared" si="235"/>
        <v>40225.199999999997</v>
      </c>
      <c r="O544" s="155">
        <f t="shared" ref="O544:O549" ca="1" si="236">IF(L544&gt;0,N544*100/L544,0)</f>
        <v>11.501622657154702</v>
      </c>
      <c r="P544" s="155">
        <f t="shared" ref="P544:P549" si="237">IF(M544&gt;0,N544*100/M544,0)</f>
        <v>0</v>
      </c>
      <c r="Q544" s="541"/>
      <c r="R544" s="541"/>
      <c r="S544" s="541"/>
      <c r="T544" s="541"/>
      <c r="U544" s="541"/>
      <c r="V544" s="541"/>
      <c r="W544" s="541"/>
      <c r="X544" s="541"/>
      <c r="Y544" s="541"/>
      <c r="Z544" s="541"/>
    </row>
    <row r="545" spans="1:26" ht="18.75" hidden="1">
      <c r="A545" s="563"/>
      <c r="B545" s="723"/>
      <c r="C545" s="723"/>
      <c r="D545" s="723"/>
      <c r="E545" s="723" t="s">
        <v>184</v>
      </c>
      <c r="F545" s="723"/>
      <c r="G545" s="567"/>
      <c r="H545" s="165" t="s">
        <v>12</v>
      </c>
      <c r="I545" s="583"/>
      <c r="J545" s="583"/>
      <c r="K545" s="93"/>
      <c r="L545" s="93">
        <f t="shared" ref="L545:L546" si="238">L548+L556</f>
        <v>0</v>
      </c>
      <c r="M545" s="93">
        <f t="shared" ref="M545:N546" si="239">M548+M555</f>
        <v>0</v>
      </c>
      <c r="N545" s="93">
        <f t="shared" si="239"/>
        <v>0</v>
      </c>
      <c r="O545" s="93">
        <f t="shared" si="236"/>
        <v>0</v>
      </c>
      <c r="P545" s="93">
        <f t="shared" si="237"/>
        <v>0</v>
      </c>
      <c r="Q545" s="568"/>
      <c r="R545" s="568"/>
      <c r="S545" s="568"/>
      <c r="T545" s="568"/>
      <c r="U545" s="568"/>
      <c r="V545" s="568"/>
      <c r="W545" s="568"/>
      <c r="X545" s="568"/>
      <c r="Y545" s="568"/>
      <c r="Z545" s="568"/>
    </row>
    <row r="546" spans="1:26" ht="18.75" hidden="1">
      <c r="A546" s="563"/>
      <c r="B546" s="571"/>
      <c r="C546" s="723"/>
      <c r="D546" s="723"/>
      <c r="E546" s="723" t="s">
        <v>185</v>
      </c>
      <c r="F546" s="723"/>
      <c r="G546" s="567"/>
      <c r="H546" s="165" t="s">
        <v>12</v>
      </c>
      <c r="I546" s="583"/>
      <c r="J546" s="583"/>
      <c r="K546" s="93"/>
      <c r="L546" s="93">
        <f t="shared" ca="1" si="238"/>
        <v>349735</v>
      </c>
      <c r="M546" s="93">
        <f t="shared" si="239"/>
        <v>0</v>
      </c>
      <c r="N546" s="93">
        <f t="shared" si="239"/>
        <v>40225.199999999997</v>
      </c>
      <c r="O546" s="93">
        <f t="shared" ca="1" si="236"/>
        <v>11.501622657154702</v>
      </c>
      <c r="P546" s="93">
        <f t="shared" si="237"/>
        <v>0</v>
      </c>
      <c r="Q546" s="568"/>
      <c r="R546" s="568"/>
      <c r="S546" s="568"/>
      <c r="T546" s="568"/>
      <c r="U546" s="568"/>
      <c r="V546" s="568"/>
      <c r="W546" s="568"/>
      <c r="X546" s="568"/>
      <c r="Y546" s="568"/>
      <c r="Z546" s="568"/>
    </row>
    <row r="547" spans="1:26" ht="18.75">
      <c r="A547" s="561"/>
      <c r="B547" s="538"/>
      <c r="C547" s="727"/>
      <c r="D547" s="570" t="s">
        <v>20</v>
      </c>
      <c r="E547" s="727"/>
      <c r="F547" s="727"/>
      <c r="G547" s="189"/>
      <c r="H547" s="161" t="s">
        <v>12</v>
      </c>
      <c r="I547" s="184"/>
      <c r="J547" s="184"/>
      <c r="K547" s="163"/>
      <c r="L547" s="465">
        <f t="shared" ref="L547:N547" ca="1" si="240">L548+L549</f>
        <v>349735</v>
      </c>
      <c r="M547" s="465">
        <f t="shared" si="240"/>
        <v>0</v>
      </c>
      <c r="N547" s="465">
        <f t="shared" si="240"/>
        <v>40225.199999999997</v>
      </c>
      <c r="O547" s="465">
        <f t="shared" ca="1" si="236"/>
        <v>11.501622657154702</v>
      </c>
      <c r="P547" s="465">
        <f t="shared" si="237"/>
        <v>0</v>
      </c>
      <c r="Q547" s="541"/>
      <c r="R547" s="541"/>
      <c r="S547" s="541"/>
      <c r="T547" s="541"/>
      <c r="U547" s="541"/>
      <c r="V547" s="541"/>
      <c r="W547" s="541"/>
      <c r="X547" s="541"/>
      <c r="Y547" s="541"/>
      <c r="Z547" s="541"/>
    </row>
    <row r="548" spans="1:26" ht="18.75" hidden="1">
      <c r="A548" s="563"/>
      <c r="B548" s="571"/>
      <c r="C548" s="723"/>
      <c r="D548" s="684"/>
      <c r="E548" s="723" t="s">
        <v>184</v>
      </c>
      <c r="F548" s="723"/>
      <c r="G548" s="567"/>
      <c r="H548" s="165" t="s">
        <v>12</v>
      </c>
      <c r="I548" s="583"/>
      <c r="J548" s="583"/>
      <c r="K548" s="93"/>
      <c r="L548" s="93">
        <v>0</v>
      </c>
      <c r="M548" s="93">
        <v>0</v>
      </c>
      <c r="N548" s="93">
        <v>0</v>
      </c>
      <c r="O548" s="93">
        <f t="shared" si="236"/>
        <v>0</v>
      </c>
      <c r="P548" s="93">
        <f t="shared" si="237"/>
        <v>0</v>
      </c>
      <c r="Q548" s="568"/>
      <c r="R548" s="568"/>
      <c r="S548" s="568"/>
      <c r="T548" s="568"/>
      <c r="U548" s="568"/>
      <c r="V548" s="568"/>
      <c r="W548" s="568"/>
      <c r="X548" s="568"/>
      <c r="Y548" s="568"/>
      <c r="Z548" s="568"/>
    </row>
    <row r="549" spans="1:26" ht="18.75" hidden="1">
      <c r="A549" s="563"/>
      <c r="B549" s="571"/>
      <c r="C549" s="723"/>
      <c r="D549" s="684"/>
      <c r="E549" s="723" t="s">
        <v>185</v>
      </c>
      <c r="F549" s="723"/>
      <c r="G549" s="567"/>
      <c r="H549" s="165" t="s">
        <v>12</v>
      </c>
      <c r="I549" s="583"/>
      <c r="J549" s="583"/>
      <c r="K549" s="93"/>
      <c r="L549" s="93">
        <f ca="1">IFERROR(__xludf.DUMMYFUNCTION("IMPORTRANGE(""https://docs.google.com/spreadsheets/d/1QqKyyYR6Q21VydFLVH3TRQUabQu_ym0Zz7PgGX0-kHA/edit?usp=sharing"",""แผน!HB17"")"),349735)</f>
        <v>349735</v>
      </c>
      <c r="M549" s="93">
        <v>0</v>
      </c>
      <c r="N549" s="93">
        <f>N550+N551+N552+N553+N554</f>
        <v>40225.199999999997</v>
      </c>
      <c r="O549" s="93">
        <f t="shared" ca="1" si="236"/>
        <v>11.501622657154702</v>
      </c>
      <c r="P549" s="93">
        <f t="shared" si="237"/>
        <v>0</v>
      </c>
      <c r="Q549" s="568"/>
      <c r="R549" s="568"/>
      <c r="S549" s="568"/>
      <c r="T549" s="568"/>
      <c r="U549" s="568"/>
      <c r="V549" s="568"/>
      <c r="W549" s="568"/>
      <c r="X549" s="568"/>
      <c r="Y549" s="568"/>
      <c r="Z549" s="568"/>
    </row>
    <row r="550" spans="1:26" ht="18.75">
      <c r="A550" s="537"/>
      <c r="B550" s="538"/>
      <c r="C550" s="727"/>
      <c r="D550" s="727"/>
      <c r="E550" s="727"/>
      <c r="F550" s="727" t="s">
        <v>186</v>
      </c>
      <c r="G550" s="189"/>
      <c r="H550" s="161" t="s">
        <v>12</v>
      </c>
      <c r="I550" s="269"/>
      <c r="J550" s="269"/>
      <c r="K550" s="465"/>
      <c r="L550" s="465"/>
      <c r="M550" s="465"/>
      <c r="N550" s="789">
        <v>0</v>
      </c>
      <c r="O550" s="465"/>
      <c r="P550" s="465"/>
      <c r="Q550" s="541"/>
      <c r="R550" s="541"/>
      <c r="S550" s="541"/>
      <c r="T550" s="541"/>
      <c r="U550" s="541"/>
      <c r="V550" s="541"/>
      <c r="W550" s="541"/>
      <c r="X550" s="541"/>
      <c r="Y550" s="541"/>
      <c r="Z550" s="541"/>
    </row>
    <row r="551" spans="1:26" ht="18.75">
      <c r="A551" s="537"/>
      <c r="B551" s="538"/>
      <c r="C551" s="538"/>
      <c r="D551" s="538"/>
      <c r="E551" s="727"/>
      <c r="F551" s="727" t="s">
        <v>187</v>
      </c>
      <c r="G551" s="189"/>
      <c r="H551" s="161" t="s">
        <v>12</v>
      </c>
      <c r="I551" s="269"/>
      <c r="J551" s="269"/>
      <c r="K551" s="465"/>
      <c r="L551" s="465"/>
      <c r="M551" s="465"/>
      <c r="N551" s="789">
        <v>0</v>
      </c>
      <c r="O551" s="465"/>
      <c r="P551" s="465"/>
      <c r="Q551" s="541"/>
      <c r="R551" s="541"/>
      <c r="S551" s="541"/>
      <c r="T551" s="541"/>
      <c r="U551" s="541"/>
      <c r="V551" s="541"/>
      <c r="W551" s="541"/>
      <c r="X551" s="541"/>
      <c r="Y551" s="541"/>
      <c r="Z551" s="541"/>
    </row>
    <row r="552" spans="1:26" ht="18.75">
      <c r="A552" s="537"/>
      <c r="B552" s="538"/>
      <c r="C552" s="727"/>
      <c r="D552" s="727"/>
      <c r="E552" s="727"/>
      <c r="F552" s="727" t="s">
        <v>188</v>
      </c>
      <c r="G552" s="189"/>
      <c r="H552" s="161" t="s">
        <v>12</v>
      </c>
      <c r="I552" s="269"/>
      <c r="J552" s="269"/>
      <c r="K552" s="465"/>
      <c r="L552" s="465"/>
      <c r="M552" s="465"/>
      <c r="N552" s="789">
        <v>13000</v>
      </c>
      <c r="O552" s="465"/>
      <c r="P552" s="465"/>
      <c r="Q552" s="541"/>
      <c r="R552" s="541"/>
      <c r="S552" s="541"/>
      <c r="T552" s="541"/>
      <c r="U552" s="541"/>
      <c r="V552" s="541"/>
      <c r="W552" s="541"/>
      <c r="X552" s="541"/>
      <c r="Y552" s="541"/>
      <c r="Z552" s="541"/>
    </row>
    <row r="553" spans="1:26" ht="18.75">
      <c r="A553" s="537"/>
      <c r="B553" s="538"/>
      <c r="C553" s="538"/>
      <c r="D553" s="538"/>
      <c r="E553" s="727"/>
      <c r="F553" s="727" t="s">
        <v>189</v>
      </c>
      <c r="G553" s="189"/>
      <c r="H553" s="161" t="s">
        <v>12</v>
      </c>
      <c r="I553" s="269"/>
      <c r="J553" s="269"/>
      <c r="K553" s="465"/>
      <c r="L553" s="465"/>
      <c r="M553" s="465"/>
      <c r="N553" s="789">
        <v>27225.200000000001</v>
      </c>
      <c r="O553" s="465"/>
      <c r="P553" s="465"/>
      <c r="Q553" s="541"/>
      <c r="R553" s="541"/>
      <c r="S553" s="541"/>
      <c r="T553" s="541"/>
      <c r="U553" s="541"/>
      <c r="V553" s="541"/>
      <c r="W553" s="541"/>
      <c r="X553" s="541"/>
      <c r="Y553" s="541"/>
      <c r="Z553" s="541"/>
    </row>
    <row r="554" spans="1:26" ht="18.75">
      <c r="A554" s="537"/>
      <c r="B554" s="538"/>
      <c r="C554" s="538"/>
      <c r="D554" s="538"/>
      <c r="E554" s="727"/>
      <c r="F554" s="727" t="s">
        <v>233</v>
      </c>
      <c r="G554" s="189"/>
      <c r="H554" s="161" t="s">
        <v>12</v>
      </c>
      <c r="I554" s="269"/>
      <c r="J554" s="269"/>
      <c r="K554" s="465"/>
      <c r="L554" s="465"/>
      <c r="M554" s="465"/>
      <c r="N554" s="789">
        <v>0</v>
      </c>
      <c r="O554" s="465"/>
      <c r="P554" s="465"/>
      <c r="Q554" s="541"/>
      <c r="R554" s="541"/>
      <c r="S554" s="541"/>
      <c r="T554" s="541"/>
      <c r="U554" s="541"/>
      <c r="V554" s="541"/>
      <c r="W554" s="541"/>
      <c r="X554" s="541"/>
      <c r="Y554" s="541"/>
      <c r="Z554" s="541"/>
    </row>
    <row r="555" spans="1:26" ht="18.75">
      <c r="A555" s="561"/>
      <c r="B555" s="538"/>
      <c r="C555" s="538"/>
      <c r="D555" s="570" t="s">
        <v>21</v>
      </c>
      <c r="E555" s="727"/>
      <c r="F555" s="727"/>
      <c r="G555" s="189"/>
      <c r="H555" s="168" t="s">
        <v>12</v>
      </c>
      <c r="I555" s="184"/>
      <c r="J555" s="184"/>
      <c r="K555" s="163"/>
      <c r="L555" s="465">
        <f t="shared" ref="L555:N555" ca="1" si="241">L556+L557</f>
        <v>0</v>
      </c>
      <c r="M555" s="465">
        <f t="shared" si="241"/>
        <v>0</v>
      </c>
      <c r="N555" s="465">
        <f t="shared" si="241"/>
        <v>0</v>
      </c>
      <c r="O555" s="465">
        <f t="shared" ref="O555:O557" ca="1" si="242">IF(L555&gt;0,N555*100/L555,0)</f>
        <v>0</v>
      </c>
      <c r="P555" s="465">
        <f t="shared" ref="P555:P557" si="243">IF(M555&gt;0,N555*100/M555,0)</f>
        <v>0</v>
      </c>
      <c r="Q555" s="541"/>
      <c r="R555" s="541"/>
      <c r="S555" s="541"/>
      <c r="T555" s="541"/>
      <c r="U555" s="541"/>
      <c r="V555" s="541"/>
      <c r="W555" s="541"/>
      <c r="X555" s="541"/>
      <c r="Y555" s="541"/>
      <c r="Z555" s="541"/>
    </row>
    <row r="556" spans="1:26" ht="18.75" hidden="1">
      <c r="A556" s="563"/>
      <c r="B556" s="571"/>
      <c r="C556" s="571"/>
      <c r="D556" s="723"/>
      <c r="E556" s="723" t="s">
        <v>18</v>
      </c>
      <c r="F556" s="723"/>
      <c r="G556" s="567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2"/>
        <v>0</v>
      </c>
      <c r="P556" s="93">
        <f t="shared" si="243"/>
        <v>0</v>
      </c>
      <c r="Q556" s="568"/>
      <c r="R556" s="568"/>
      <c r="S556" s="568"/>
      <c r="T556" s="568"/>
      <c r="U556" s="568"/>
      <c r="V556" s="568"/>
      <c r="W556" s="568"/>
      <c r="X556" s="568"/>
      <c r="Y556" s="568"/>
      <c r="Z556" s="568"/>
    </row>
    <row r="557" spans="1:26" ht="18.75" hidden="1">
      <c r="A557" s="563"/>
      <c r="B557" s="571"/>
      <c r="C557" s="571"/>
      <c r="D557" s="723"/>
      <c r="E557" s="723" t="s">
        <v>19</v>
      </c>
      <c r="F557" s="723"/>
      <c r="G557" s="567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IFERROR(__xludf.DUMMYFUNCTION("IMPORTRANGE(""https://docs.google.com/spreadsheets/d/1QqKyyYR6Q21VydFLVH3TRQUabQu_ym0Zz7PgGX0-kHA/edit?usp=sharing"",""แผน!HF17"")"),0)</f>
        <v>0</v>
      </c>
      <c r="M557" s="93">
        <v>0</v>
      </c>
      <c r="N557" s="93">
        <v>0</v>
      </c>
      <c r="O557" s="93">
        <f t="shared" ca="1" si="242"/>
        <v>0</v>
      </c>
      <c r="P557" s="93">
        <f t="shared" si="243"/>
        <v>0</v>
      </c>
      <c r="Q557" s="568"/>
      <c r="R557" s="568"/>
      <c r="S557" s="568"/>
      <c r="T557" s="568"/>
      <c r="U557" s="568"/>
      <c r="V557" s="568"/>
      <c r="W557" s="568"/>
      <c r="X557" s="568"/>
      <c r="Y557" s="568"/>
      <c r="Z557" s="568"/>
    </row>
    <row r="558" spans="1:26" ht="19.5">
      <c r="A558" s="572"/>
      <c r="B558" s="584"/>
      <c r="C558" s="538" t="s">
        <v>16</v>
      </c>
      <c r="D558" s="853" t="s">
        <v>38</v>
      </c>
      <c r="E558" s="725"/>
      <c r="F558" s="725"/>
      <c r="G558" s="577"/>
      <c r="H558" s="726"/>
      <c r="I558" s="184"/>
      <c r="J558" s="184"/>
      <c r="K558" s="163"/>
      <c r="L558" s="163"/>
      <c r="M558" s="163"/>
      <c r="N558" s="163"/>
      <c r="O558" s="163"/>
      <c r="P558" s="163"/>
      <c r="Q558" s="541"/>
      <c r="R558" s="541"/>
      <c r="S558" s="541"/>
      <c r="T558" s="541"/>
      <c r="U558" s="541"/>
      <c r="V558" s="541"/>
      <c r="W558" s="541"/>
      <c r="X558" s="541"/>
      <c r="Y558" s="541"/>
      <c r="Z558" s="541"/>
    </row>
    <row r="559" spans="1:26" ht="19.5">
      <c r="A559" s="658"/>
      <c r="B559" s="659" t="s">
        <v>234</v>
      </c>
      <c r="C559" s="660"/>
      <c r="D559" s="660"/>
      <c r="E559" s="639"/>
      <c r="F559" s="639"/>
      <c r="G559" s="640"/>
      <c r="H559" s="661" t="s">
        <v>46</v>
      </c>
      <c r="I559" s="672">
        <f t="shared" ref="I559:J559" ca="1" si="244">I576</f>
        <v>43092</v>
      </c>
      <c r="J559" s="672">
        <f t="shared" si="244"/>
        <v>0</v>
      </c>
      <c r="K559" s="643">
        <f t="shared" ref="K559:K561" ca="1" si="245">IF(I559&gt;0,J559*100/I559,0)</f>
        <v>0</v>
      </c>
      <c r="L559" s="644"/>
      <c r="M559" s="644"/>
      <c r="N559" s="644"/>
      <c r="O559" s="644"/>
      <c r="P559" s="644"/>
      <c r="Q559" s="541"/>
      <c r="R559" s="541"/>
      <c r="S559" s="541"/>
      <c r="T559" s="541"/>
      <c r="U559" s="541"/>
      <c r="V559" s="541"/>
      <c r="W559" s="541"/>
      <c r="X559" s="541"/>
      <c r="Y559" s="541"/>
      <c r="Z559" s="541"/>
    </row>
    <row r="560" spans="1:26" ht="19.5">
      <c r="A560" s="572"/>
      <c r="B560" s="584"/>
      <c r="C560" s="591" t="s">
        <v>235</v>
      </c>
      <c r="D560" s="584"/>
      <c r="E560" s="592"/>
      <c r="F560" s="592"/>
      <c r="G560" s="726"/>
      <c r="H560" s="731" t="s">
        <v>46</v>
      </c>
      <c r="I560" s="193">
        <f ca="1">IFERROR(__xludf.DUMMYFUNCTION("IMPORTRANGE(""https://docs.google.com/spreadsheets/d/1QqKyyYR6Q21VydFLVH3TRQUabQu_ym0Zz7PgGX0-kHA/edit?usp=sharing"",""แผน!HH17"")"),43092)</f>
        <v>43092</v>
      </c>
      <c r="J560" s="193">
        <f t="shared" ref="J560:J561" si="246">J562+J564+J566</f>
        <v>7474</v>
      </c>
      <c r="K560" s="379">
        <f t="shared" ca="1" si="245"/>
        <v>17.344286642532257</v>
      </c>
      <c r="L560" s="163"/>
      <c r="M560" s="163"/>
      <c r="N560" s="163"/>
      <c r="O560" s="163"/>
      <c r="P560" s="163"/>
      <c r="Q560" s="541"/>
      <c r="R560" s="541"/>
      <c r="S560" s="541"/>
      <c r="T560" s="541"/>
      <c r="U560" s="541"/>
      <c r="V560" s="541"/>
      <c r="W560" s="541"/>
      <c r="X560" s="541"/>
      <c r="Y560" s="541"/>
      <c r="Z560" s="541"/>
    </row>
    <row r="561" spans="1:26" ht="19.5">
      <c r="A561" s="572"/>
      <c r="B561" s="584"/>
      <c r="C561" s="584"/>
      <c r="D561" s="592"/>
      <c r="E561" s="592"/>
      <c r="F561" s="592"/>
      <c r="G561" s="726"/>
      <c r="H561" s="731" t="s">
        <v>34</v>
      </c>
      <c r="I561" s="193">
        <f ca="1">IFERROR(__xludf.DUMMYFUNCTION("IMPORTRANGE(""https://docs.google.com/spreadsheets/d/1QqKyyYR6Q21VydFLVH3TRQUabQu_ym0Zz7PgGX0-kHA/edit?usp=sharing"",""แผน!HG17"")"),5108)</f>
        <v>5108</v>
      </c>
      <c r="J561" s="193">
        <f t="shared" si="246"/>
        <v>932</v>
      </c>
      <c r="K561" s="379">
        <f t="shared" ca="1" si="245"/>
        <v>18.245888801879406</v>
      </c>
      <c r="L561" s="163"/>
      <c r="M561" s="163"/>
      <c r="N561" s="163"/>
      <c r="O561" s="163"/>
      <c r="P561" s="163"/>
      <c r="Q561" s="541"/>
      <c r="R561" s="541"/>
      <c r="S561" s="541"/>
      <c r="T561" s="541"/>
      <c r="U561" s="541"/>
      <c r="V561" s="541"/>
      <c r="W561" s="541"/>
      <c r="X561" s="541"/>
      <c r="Y561" s="541"/>
      <c r="Z561" s="541"/>
    </row>
    <row r="562" spans="1:26" ht="18.75">
      <c r="A562" s="572"/>
      <c r="B562" s="584"/>
      <c r="C562" s="584"/>
      <c r="D562" s="592" t="s">
        <v>236</v>
      </c>
      <c r="E562" s="592"/>
      <c r="F562" s="592"/>
      <c r="G562" s="726"/>
      <c r="H562" s="728" t="s">
        <v>46</v>
      </c>
      <c r="I562" s="184"/>
      <c r="J562" s="214">
        <v>6418</v>
      </c>
      <c r="K562" s="163"/>
      <c r="L562" s="163"/>
      <c r="M562" s="163"/>
      <c r="N562" s="163"/>
      <c r="O562" s="163"/>
      <c r="P562" s="163"/>
      <c r="Q562" s="541"/>
      <c r="R562" s="541"/>
      <c r="S562" s="541"/>
      <c r="T562" s="541"/>
      <c r="U562" s="541"/>
      <c r="V562" s="541"/>
      <c r="W562" s="541"/>
      <c r="X562" s="541"/>
      <c r="Y562" s="541"/>
      <c r="Z562" s="541"/>
    </row>
    <row r="563" spans="1:26" ht="18.75">
      <c r="A563" s="572"/>
      <c r="B563" s="584"/>
      <c r="C563" s="584"/>
      <c r="D563" s="584"/>
      <c r="E563" s="592"/>
      <c r="F563" s="592"/>
      <c r="G563" s="726"/>
      <c r="H563" s="728" t="s">
        <v>34</v>
      </c>
      <c r="I563" s="184"/>
      <c r="J563" s="214">
        <v>857</v>
      </c>
      <c r="K563" s="163"/>
      <c r="L563" s="163"/>
      <c r="M563" s="163"/>
      <c r="N563" s="163"/>
      <c r="O563" s="163"/>
      <c r="P563" s="163"/>
      <c r="Q563" s="541"/>
      <c r="R563" s="541"/>
      <c r="S563" s="541"/>
      <c r="T563" s="541"/>
      <c r="U563" s="541"/>
      <c r="V563" s="541"/>
      <c r="W563" s="541"/>
      <c r="X563" s="541"/>
      <c r="Y563" s="541"/>
      <c r="Z563" s="541"/>
    </row>
    <row r="564" spans="1:26" ht="18.75">
      <c r="A564" s="572"/>
      <c r="B564" s="584"/>
      <c r="C564" s="584"/>
      <c r="D564" s="592" t="s">
        <v>237</v>
      </c>
      <c r="E564" s="592"/>
      <c r="F564" s="592"/>
      <c r="G564" s="726"/>
      <c r="H564" s="728" t="s">
        <v>46</v>
      </c>
      <c r="I564" s="184"/>
      <c r="J564" s="214">
        <v>833</v>
      </c>
      <c r="K564" s="163"/>
      <c r="L564" s="163"/>
      <c r="M564" s="163"/>
      <c r="N564" s="163"/>
      <c r="O564" s="163"/>
      <c r="P564" s="163"/>
      <c r="Q564" s="541"/>
      <c r="R564" s="541"/>
      <c r="S564" s="541"/>
      <c r="T564" s="541"/>
      <c r="U564" s="541"/>
      <c r="V564" s="541"/>
      <c r="W564" s="541"/>
      <c r="X564" s="541"/>
      <c r="Y564" s="541"/>
      <c r="Z564" s="541"/>
    </row>
    <row r="565" spans="1:26" ht="18.75">
      <c r="A565" s="572"/>
      <c r="B565" s="584"/>
      <c r="C565" s="584"/>
      <c r="D565" s="592"/>
      <c r="E565" s="592"/>
      <c r="F565" s="592"/>
      <c r="G565" s="726"/>
      <c r="H565" s="728" t="s">
        <v>34</v>
      </c>
      <c r="I565" s="184"/>
      <c r="J565" s="214">
        <v>57</v>
      </c>
      <c r="K565" s="163"/>
      <c r="L565" s="163"/>
      <c r="M565" s="163"/>
      <c r="N565" s="163"/>
      <c r="O565" s="163"/>
      <c r="P565" s="163"/>
      <c r="Q565" s="541"/>
      <c r="R565" s="541"/>
      <c r="S565" s="541"/>
      <c r="T565" s="541"/>
      <c r="U565" s="541"/>
      <c r="V565" s="541"/>
      <c r="W565" s="541"/>
      <c r="X565" s="541"/>
      <c r="Y565" s="541"/>
      <c r="Z565" s="541"/>
    </row>
    <row r="566" spans="1:26" ht="18.75">
      <c r="A566" s="572"/>
      <c r="B566" s="584"/>
      <c r="C566" s="584"/>
      <c r="D566" s="592" t="s">
        <v>238</v>
      </c>
      <c r="E566" s="592"/>
      <c r="F566" s="592"/>
      <c r="G566" s="726"/>
      <c r="H566" s="728" t="s">
        <v>46</v>
      </c>
      <c r="I566" s="184"/>
      <c r="J566" s="214">
        <v>223</v>
      </c>
      <c r="K566" s="163"/>
      <c r="L566" s="163"/>
      <c r="M566" s="163"/>
      <c r="N566" s="163"/>
      <c r="O566" s="163"/>
      <c r="P566" s="163"/>
      <c r="Q566" s="541"/>
      <c r="R566" s="541"/>
      <c r="S566" s="541"/>
      <c r="T566" s="541"/>
      <c r="U566" s="541"/>
      <c r="V566" s="541"/>
      <c r="W566" s="541"/>
      <c r="X566" s="541"/>
      <c r="Y566" s="541"/>
      <c r="Z566" s="541"/>
    </row>
    <row r="567" spans="1:26" ht="18.75">
      <c r="A567" s="572"/>
      <c r="B567" s="584"/>
      <c r="C567" s="584"/>
      <c r="D567" s="592"/>
      <c r="E567" s="592"/>
      <c r="F567" s="592"/>
      <c r="G567" s="726"/>
      <c r="H567" s="728" t="s">
        <v>34</v>
      </c>
      <c r="I567" s="184"/>
      <c r="J567" s="214">
        <v>18</v>
      </c>
      <c r="K567" s="163"/>
      <c r="L567" s="163"/>
      <c r="M567" s="163"/>
      <c r="N567" s="163"/>
      <c r="O567" s="163"/>
      <c r="P567" s="163"/>
      <c r="Q567" s="541"/>
      <c r="R567" s="541"/>
      <c r="S567" s="541"/>
      <c r="T567" s="541"/>
      <c r="U567" s="541"/>
      <c r="V567" s="541"/>
      <c r="W567" s="541"/>
      <c r="X567" s="541"/>
      <c r="Y567" s="541"/>
      <c r="Z567" s="541"/>
    </row>
    <row r="568" spans="1:26" ht="19.5">
      <c r="A568" s="572"/>
      <c r="B568" s="584"/>
      <c r="C568" s="591" t="s">
        <v>239</v>
      </c>
      <c r="D568" s="592"/>
      <c r="E568" s="592"/>
      <c r="F568" s="592"/>
      <c r="G568" s="726"/>
      <c r="H568" s="731" t="s">
        <v>46</v>
      </c>
      <c r="I568" s="193">
        <f ca="1">IFERROR(__xludf.DUMMYFUNCTION("IMPORTRANGE(""https://docs.google.com/spreadsheets/d/1QqKyyYR6Q21VydFLVH3TRQUabQu_ym0Zz7PgGX0-kHA/edit?usp=sharing"",""แผน!HH17"")"),43092)</f>
        <v>43092</v>
      </c>
      <c r="J568" s="647">
        <f t="shared" ref="J568:J569" si="247">J570+J572+J574</f>
        <v>0</v>
      </c>
      <c r="K568" s="379">
        <f t="shared" ref="K568:K569" ca="1" si="248">IF(I568&gt;0,J568*100/I568,0)</f>
        <v>0</v>
      </c>
      <c r="L568" s="163"/>
      <c r="M568" s="163"/>
      <c r="N568" s="163"/>
      <c r="O568" s="163"/>
      <c r="P568" s="163"/>
      <c r="Q568" s="541"/>
      <c r="R568" s="541"/>
      <c r="S568" s="541"/>
      <c r="T568" s="541"/>
      <c r="U568" s="541"/>
      <c r="V568" s="541"/>
      <c r="W568" s="541"/>
      <c r="X568" s="541"/>
      <c r="Y568" s="541"/>
      <c r="Z568" s="541"/>
    </row>
    <row r="569" spans="1:26" ht="19.5">
      <c r="A569" s="572"/>
      <c r="B569" s="584"/>
      <c r="C569" s="584"/>
      <c r="D569" s="584"/>
      <c r="E569" s="592"/>
      <c r="F569" s="592"/>
      <c r="G569" s="726"/>
      <c r="H569" s="731" t="s">
        <v>34</v>
      </c>
      <c r="I569" s="193">
        <f ca="1">IFERROR(__xludf.DUMMYFUNCTION("IMPORTRANGE(""https://docs.google.com/spreadsheets/d/1QqKyyYR6Q21VydFLVH3TRQUabQu_ym0Zz7PgGX0-kHA/edit?usp=sharing"",""แผน!HG17"")"),5108)</f>
        <v>5108</v>
      </c>
      <c r="J569" s="647">
        <f t="shared" si="247"/>
        <v>0</v>
      </c>
      <c r="K569" s="379">
        <f t="shared" ca="1" si="248"/>
        <v>0</v>
      </c>
      <c r="L569" s="163"/>
      <c r="M569" s="163"/>
      <c r="N569" s="163"/>
      <c r="O569" s="163"/>
      <c r="P569" s="163"/>
      <c r="Q569" s="541"/>
      <c r="R569" s="541"/>
      <c r="S569" s="541"/>
      <c r="T569" s="541"/>
      <c r="U569" s="541"/>
      <c r="V569" s="541"/>
      <c r="W569" s="541"/>
      <c r="X569" s="541"/>
      <c r="Y569" s="541"/>
      <c r="Z569" s="541"/>
    </row>
    <row r="570" spans="1:26" ht="18.75">
      <c r="A570" s="572"/>
      <c r="B570" s="584"/>
      <c r="C570" s="584"/>
      <c r="D570" s="592" t="s">
        <v>240</v>
      </c>
      <c r="E570" s="584"/>
      <c r="F570" s="592"/>
      <c r="G570" s="726"/>
      <c r="H570" s="728" t="s">
        <v>46</v>
      </c>
      <c r="I570" s="184"/>
      <c r="J570" s="214">
        <v>0</v>
      </c>
      <c r="K570" s="163"/>
      <c r="L570" s="163"/>
      <c r="M570" s="163"/>
      <c r="N570" s="163"/>
      <c r="O570" s="163"/>
      <c r="P570" s="163"/>
      <c r="Q570" s="541"/>
      <c r="R570" s="541"/>
      <c r="S570" s="541"/>
      <c r="T570" s="541"/>
      <c r="U570" s="541"/>
      <c r="V570" s="541"/>
      <c r="W570" s="541"/>
      <c r="X570" s="541"/>
      <c r="Y570" s="541"/>
      <c r="Z570" s="541"/>
    </row>
    <row r="571" spans="1:26" ht="18.75">
      <c r="A571" s="572"/>
      <c r="B571" s="584"/>
      <c r="C571" s="584"/>
      <c r="D571" s="584"/>
      <c r="E571" s="592"/>
      <c r="F571" s="592"/>
      <c r="G571" s="726"/>
      <c r="H571" s="728" t="s">
        <v>34</v>
      </c>
      <c r="I571" s="184"/>
      <c r="J571" s="214">
        <v>0</v>
      </c>
      <c r="K571" s="163"/>
      <c r="L571" s="163"/>
      <c r="M571" s="163"/>
      <c r="N571" s="163"/>
      <c r="O571" s="163"/>
      <c r="P571" s="163"/>
      <c r="Q571" s="541"/>
      <c r="R571" s="541"/>
      <c r="S571" s="541"/>
      <c r="T571" s="541"/>
      <c r="U571" s="541"/>
      <c r="V571" s="541"/>
      <c r="W571" s="541"/>
      <c r="X571" s="541"/>
      <c r="Y571" s="541"/>
      <c r="Z571" s="541"/>
    </row>
    <row r="572" spans="1:26" ht="18.75">
      <c r="A572" s="572"/>
      <c r="B572" s="584"/>
      <c r="C572" s="584"/>
      <c r="D572" s="592" t="s">
        <v>241</v>
      </c>
      <c r="E572" s="592"/>
      <c r="F572" s="592"/>
      <c r="G572" s="726"/>
      <c r="H572" s="728" t="s">
        <v>46</v>
      </c>
      <c r="I572" s="184"/>
      <c r="J572" s="214">
        <v>0</v>
      </c>
      <c r="K572" s="163"/>
      <c r="L572" s="163"/>
      <c r="M572" s="163"/>
      <c r="N572" s="163"/>
      <c r="O572" s="163"/>
      <c r="P572" s="163"/>
      <c r="Q572" s="541"/>
      <c r="R572" s="541"/>
      <c r="S572" s="541"/>
      <c r="T572" s="541"/>
      <c r="U572" s="541"/>
      <c r="V572" s="541"/>
      <c r="W572" s="541"/>
      <c r="X572" s="541"/>
      <c r="Y572" s="541"/>
      <c r="Z572" s="541"/>
    </row>
    <row r="573" spans="1:26" ht="18.75">
      <c r="A573" s="572"/>
      <c r="B573" s="584"/>
      <c r="C573" s="584"/>
      <c r="D573" s="592"/>
      <c r="E573" s="592"/>
      <c r="F573" s="592"/>
      <c r="G573" s="726"/>
      <c r="H573" s="728" t="s">
        <v>34</v>
      </c>
      <c r="I573" s="184"/>
      <c r="J573" s="214">
        <v>0</v>
      </c>
      <c r="K573" s="163"/>
      <c r="L573" s="163"/>
      <c r="M573" s="163"/>
      <c r="N573" s="163"/>
      <c r="O573" s="163"/>
      <c r="P573" s="163"/>
      <c r="Q573" s="541"/>
      <c r="R573" s="541"/>
      <c r="S573" s="541"/>
      <c r="T573" s="541"/>
      <c r="U573" s="541"/>
      <c r="V573" s="541"/>
      <c r="W573" s="541"/>
      <c r="X573" s="541"/>
      <c r="Y573" s="541"/>
      <c r="Z573" s="541"/>
    </row>
    <row r="574" spans="1:26" ht="18.75">
      <c r="A574" s="572"/>
      <c r="B574" s="584"/>
      <c r="C574" s="584"/>
      <c r="D574" s="592" t="s">
        <v>242</v>
      </c>
      <c r="E574" s="592"/>
      <c r="F574" s="592"/>
      <c r="G574" s="726"/>
      <c r="H574" s="728" t="s">
        <v>46</v>
      </c>
      <c r="I574" s="184"/>
      <c r="J574" s="214">
        <v>0</v>
      </c>
      <c r="K574" s="163"/>
      <c r="L574" s="163"/>
      <c r="M574" s="163"/>
      <c r="N574" s="163"/>
      <c r="O574" s="163"/>
      <c r="P574" s="163"/>
      <c r="Q574" s="541"/>
      <c r="R574" s="541"/>
      <c r="S574" s="541"/>
      <c r="T574" s="541"/>
      <c r="U574" s="541"/>
      <c r="V574" s="541"/>
      <c r="W574" s="541"/>
      <c r="X574" s="541"/>
      <c r="Y574" s="541"/>
      <c r="Z574" s="541"/>
    </row>
    <row r="575" spans="1:26" ht="18.75">
      <c r="A575" s="572"/>
      <c r="B575" s="584"/>
      <c r="C575" s="584"/>
      <c r="D575" s="584"/>
      <c r="E575" s="592"/>
      <c r="F575" s="592"/>
      <c r="G575" s="726"/>
      <c r="H575" s="728" t="s">
        <v>34</v>
      </c>
      <c r="I575" s="184"/>
      <c r="J575" s="214">
        <v>0</v>
      </c>
      <c r="K575" s="163"/>
      <c r="L575" s="163"/>
      <c r="M575" s="163"/>
      <c r="N575" s="163"/>
      <c r="O575" s="163"/>
      <c r="P575" s="163"/>
      <c r="Q575" s="541"/>
      <c r="R575" s="541"/>
      <c r="S575" s="541"/>
      <c r="T575" s="541"/>
      <c r="U575" s="541"/>
      <c r="V575" s="541"/>
      <c r="W575" s="541"/>
      <c r="X575" s="541"/>
      <c r="Y575" s="541"/>
      <c r="Z575" s="541"/>
    </row>
    <row r="576" spans="1:26" ht="19.5">
      <c r="A576" s="572"/>
      <c r="B576" s="584"/>
      <c r="C576" s="591" t="s">
        <v>243</v>
      </c>
      <c r="D576" s="584"/>
      <c r="E576" s="584"/>
      <c r="F576" s="592"/>
      <c r="G576" s="726"/>
      <c r="H576" s="731" t="s">
        <v>46</v>
      </c>
      <c r="I576" s="193">
        <f ca="1">IFERROR(__xludf.DUMMYFUNCTION("IMPORTRANGE(""https://docs.google.com/spreadsheets/d/1QqKyyYR6Q21VydFLVH3TRQUabQu_ym0Zz7PgGX0-kHA/edit?usp=sharing"",""แผน!HH17"")"),43092)</f>
        <v>43092</v>
      </c>
      <c r="J576" s="647">
        <f t="shared" ref="J576:J577" si="249">J578+J580+J582+J588+J590</f>
        <v>0</v>
      </c>
      <c r="K576" s="379">
        <f t="shared" ref="K576:K577" ca="1" si="250">IF(I576&gt;0,J576*100/I576,0)</f>
        <v>0</v>
      </c>
      <c r="L576" s="163"/>
      <c r="M576" s="163"/>
      <c r="N576" s="163"/>
      <c r="O576" s="163"/>
      <c r="P576" s="163"/>
      <c r="Q576" s="541"/>
      <c r="R576" s="541"/>
      <c r="S576" s="541"/>
      <c r="T576" s="541"/>
      <c r="U576" s="541"/>
      <c r="V576" s="541"/>
      <c r="W576" s="541"/>
      <c r="X576" s="541"/>
      <c r="Y576" s="541"/>
      <c r="Z576" s="541"/>
    </row>
    <row r="577" spans="1:26" ht="19.5">
      <c r="A577" s="572"/>
      <c r="B577" s="584"/>
      <c r="C577" s="584"/>
      <c r="D577" s="584"/>
      <c r="E577" s="592"/>
      <c r="F577" s="592"/>
      <c r="G577" s="726"/>
      <c r="H577" s="731" t="s">
        <v>34</v>
      </c>
      <c r="I577" s="193">
        <f ca="1">IFERROR(__xludf.DUMMYFUNCTION("IMPORTRANGE(""https://docs.google.com/spreadsheets/d/1QqKyyYR6Q21VydFLVH3TRQUabQu_ym0Zz7PgGX0-kHA/edit?usp=sharing"",""แผน!HG17"")"),5108)</f>
        <v>5108</v>
      </c>
      <c r="J577" s="647">
        <f t="shared" si="249"/>
        <v>0</v>
      </c>
      <c r="K577" s="379">
        <f t="shared" ca="1" si="250"/>
        <v>0</v>
      </c>
      <c r="L577" s="163"/>
      <c r="M577" s="163"/>
      <c r="N577" s="163"/>
      <c r="O577" s="163"/>
      <c r="P577" s="163"/>
      <c r="Q577" s="541"/>
      <c r="R577" s="541"/>
      <c r="S577" s="541"/>
      <c r="T577" s="541"/>
      <c r="U577" s="541"/>
      <c r="V577" s="541"/>
      <c r="W577" s="541"/>
      <c r="X577" s="541"/>
      <c r="Y577" s="541"/>
      <c r="Z577" s="541"/>
    </row>
    <row r="578" spans="1:26" ht="18.75">
      <c r="A578" s="572"/>
      <c r="B578" s="584"/>
      <c r="C578" s="584"/>
      <c r="D578" s="592" t="s">
        <v>244</v>
      </c>
      <c r="E578" s="592"/>
      <c r="F578" s="592"/>
      <c r="G578" s="726"/>
      <c r="H578" s="728" t="s">
        <v>46</v>
      </c>
      <c r="I578" s="184"/>
      <c r="J578" s="214">
        <v>0</v>
      </c>
      <c r="K578" s="163"/>
      <c r="L578" s="163"/>
      <c r="M578" s="163"/>
      <c r="N578" s="163"/>
      <c r="O578" s="163"/>
      <c r="P578" s="163"/>
      <c r="Q578" s="541"/>
      <c r="R578" s="541"/>
      <c r="S578" s="541"/>
      <c r="T578" s="541"/>
      <c r="U578" s="541"/>
      <c r="V578" s="541"/>
      <c r="W578" s="541"/>
      <c r="X578" s="541"/>
      <c r="Y578" s="541"/>
      <c r="Z578" s="541"/>
    </row>
    <row r="579" spans="1:26" ht="18.75">
      <c r="A579" s="572"/>
      <c r="B579" s="584"/>
      <c r="C579" s="584"/>
      <c r="D579" s="584"/>
      <c r="E579" s="592"/>
      <c r="F579" s="592"/>
      <c r="G579" s="726"/>
      <c r="H579" s="728" t="s">
        <v>34</v>
      </c>
      <c r="I579" s="184"/>
      <c r="J579" s="214">
        <v>0</v>
      </c>
      <c r="K579" s="163"/>
      <c r="L579" s="163"/>
      <c r="M579" s="163"/>
      <c r="N579" s="163"/>
      <c r="O579" s="163"/>
      <c r="P579" s="163"/>
      <c r="Q579" s="541"/>
      <c r="R579" s="541"/>
      <c r="S579" s="541"/>
      <c r="T579" s="541"/>
      <c r="U579" s="541"/>
      <c r="V579" s="541"/>
      <c r="W579" s="541"/>
      <c r="X579" s="541"/>
      <c r="Y579" s="541"/>
      <c r="Z579" s="541"/>
    </row>
    <row r="580" spans="1:26" ht="18.75">
      <c r="A580" s="572"/>
      <c r="B580" s="584"/>
      <c r="C580" s="584"/>
      <c r="D580" s="592" t="s">
        <v>245</v>
      </c>
      <c r="E580" s="592"/>
      <c r="F580" s="592"/>
      <c r="G580" s="726"/>
      <c r="H580" s="728" t="s">
        <v>46</v>
      </c>
      <c r="I580" s="184"/>
      <c r="J580" s="214">
        <v>0</v>
      </c>
      <c r="K580" s="163"/>
      <c r="L580" s="163"/>
      <c r="M580" s="163"/>
      <c r="N580" s="163"/>
      <c r="O580" s="163"/>
      <c r="P580" s="163"/>
      <c r="Q580" s="541"/>
      <c r="R580" s="541"/>
      <c r="S580" s="541"/>
      <c r="T580" s="541"/>
      <c r="U580" s="541"/>
      <c r="V580" s="541"/>
      <c r="W580" s="541"/>
      <c r="X580" s="541"/>
      <c r="Y580" s="541"/>
      <c r="Z580" s="541"/>
    </row>
    <row r="581" spans="1:26" ht="18.75">
      <c r="A581" s="572"/>
      <c r="B581" s="584"/>
      <c r="C581" s="584"/>
      <c r="D581" s="584"/>
      <c r="E581" s="592"/>
      <c r="F581" s="592"/>
      <c r="G581" s="726"/>
      <c r="H581" s="728" t="s">
        <v>34</v>
      </c>
      <c r="I581" s="184"/>
      <c r="J581" s="214">
        <v>0</v>
      </c>
      <c r="K581" s="163"/>
      <c r="L581" s="163"/>
      <c r="M581" s="163"/>
      <c r="N581" s="163"/>
      <c r="O581" s="163"/>
      <c r="P581" s="163"/>
      <c r="Q581" s="541"/>
      <c r="R581" s="541"/>
      <c r="S581" s="541"/>
      <c r="T581" s="541"/>
      <c r="U581" s="541"/>
      <c r="V581" s="541"/>
      <c r="W581" s="541"/>
      <c r="X581" s="541"/>
      <c r="Y581" s="541"/>
      <c r="Z581" s="541"/>
    </row>
    <row r="582" spans="1:26" ht="19.5">
      <c r="A582" s="572"/>
      <c r="B582" s="584"/>
      <c r="C582" s="584"/>
      <c r="D582" s="592" t="s">
        <v>246</v>
      </c>
      <c r="E582" s="592"/>
      <c r="F582" s="592"/>
      <c r="G582" s="726"/>
      <c r="H582" s="728" t="s">
        <v>46</v>
      </c>
      <c r="I582" s="184"/>
      <c r="J582" s="647">
        <f t="shared" ref="J582:J583" si="251">J584+J586</f>
        <v>0</v>
      </c>
      <c r="K582" s="379"/>
      <c r="L582" s="163"/>
      <c r="M582" s="163"/>
      <c r="N582" s="163"/>
      <c r="O582" s="163"/>
      <c r="P582" s="163"/>
      <c r="Q582" s="541"/>
      <c r="R582" s="541"/>
      <c r="S582" s="541"/>
      <c r="T582" s="541"/>
      <c r="U582" s="541"/>
      <c r="V582" s="541"/>
      <c r="W582" s="541"/>
      <c r="X582" s="541"/>
      <c r="Y582" s="541"/>
      <c r="Z582" s="541"/>
    </row>
    <row r="583" spans="1:26" ht="19.5">
      <c r="A583" s="572"/>
      <c r="B583" s="584"/>
      <c r="C583" s="584"/>
      <c r="D583" s="584"/>
      <c r="E583" s="592"/>
      <c r="F583" s="592"/>
      <c r="G583" s="726"/>
      <c r="H583" s="728" t="s">
        <v>34</v>
      </c>
      <c r="I583" s="184"/>
      <c r="J583" s="647">
        <f t="shared" si="251"/>
        <v>0</v>
      </c>
      <c r="K583" s="379"/>
      <c r="L583" s="163"/>
      <c r="M583" s="163"/>
      <c r="N583" s="163"/>
      <c r="O583" s="163"/>
      <c r="P583" s="163"/>
      <c r="Q583" s="541"/>
      <c r="R583" s="541"/>
      <c r="S583" s="541"/>
      <c r="T583" s="541"/>
      <c r="U583" s="541"/>
      <c r="V583" s="541"/>
      <c r="W583" s="541"/>
      <c r="X583" s="541"/>
      <c r="Y583" s="541"/>
      <c r="Z583" s="541"/>
    </row>
    <row r="584" spans="1:26" ht="18.75">
      <c r="A584" s="572"/>
      <c r="B584" s="584"/>
      <c r="C584" s="584"/>
      <c r="D584" s="584"/>
      <c r="E584" s="592" t="s">
        <v>247</v>
      </c>
      <c r="F584" s="592"/>
      <c r="G584" s="726"/>
      <c r="H584" s="728" t="s">
        <v>46</v>
      </c>
      <c r="I584" s="184"/>
      <c r="J584" s="214">
        <v>0</v>
      </c>
      <c r="K584" s="163"/>
      <c r="L584" s="163"/>
      <c r="M584" s="163"/>
      <c r="N584" s="163"/>
      <c r="O584" s="163"/>
      <c r="P584" s="163"/>
      <c r="Q584" s="541"/>
      <c r="R584" s="541"/>
      <c r="S584" s="541"/>
      <c r="T584" s="541"/>
      <c r="U584" s="541"/>
      <c r="V584" s="541"/>
      <c r="W584" s="541"/>
      <c r="X584" s="541"/>
      <c r="Y584" s="541"/>
      <c r="Z584" s="541"/>
    </row>
    <row r="585" spans="1:26" ht="18.75">
      <c r="A585" s="572"/>
      <c r="B585" s="584"/>
      <c r="C585" s="584"/>
      <c r="D585" s="584"/>
      <c r="E585" s="592"/>
      <c r="F585" s="592"/>
      <c r="G585" s="726"/>
      <c r="H585" s="728" t="s">
        <v>34</v>
      </c>
      <c r="I585" s="184"/>
      <c r="J585" s="214">
        <v>0</v>
      </c>
      <c r="K585" s="163"/>
      <c r="L585" s="163"/>
      <c r="M585" s="163"/>
      <c r="N585" s="163"/>
      <c r="O585" s="163"/>
      <c r="P585" s="163"/>
      <c r="Q585" s="541"/>
      <c r="R585" s="541"/>
      <c r="S585" s="541"/>
      <c r="T585" s="541"/>
      <c r="U585" s="541"/>
      <c r="V585" s="541"/>
      <c r="W585" s="541"/>
      <c r="X585" s="541"/>
      <c r="Y585" s="541"/>
      <c r="Z585" s="541"/>
    </row>
    <row r="586" spans="1:26" ht="18.75">
      <c r="A586" s="572"/>
      <c r="B586" s="584"/>
      <c r="C586" s="584"/>
      <c r="D586" s="584"/>
      <c r="E586" s="592" t="s">
        <v>248</v>
      </c>
      <c r="F586" s="592"/>
      <c r="G586" s="726"/>
      <c r="H586" s="728" t="s">
        <v>46</v>
      </c>
      <c r="I586" s="184"/>
      <c r="J586" s="214">
        <v>0</v>
      </c>
      <c r="K586" s="163"/>
      <c r="L586" s="163"/>
      <c r="M586" s="163"/>
      <c r="N586" s="163"/>
      <c r="O586" s="163"/>
      <c r="P586" s="163"/>
      <c r="Q586" s="541"/>
      <c r="R586" s="541"/>
      <c r="S586" s="541"/>
      <c r="T586" s="541"/>
      <c r="U586" s="541"/>
      <c r="V586" s="541"/>
      <c r="W586" s="541"/>
      <c r="X586" s="541"/>
      <c r="Y586" s="541"/>
      <c r="Z586" s="541"/>
    </row>
    <row r="587" spans="1:26" ht="18.75">
      <c r="A587" s="572"/>
      <c r="B587" s="584"/>
      <c r="C587" s="584"/>
      <c r="D587" s="584"/>
      <c r="E587" s="584"/>
      <c r="F587" s="592"/>
      <c r="G587" s="726"/>
      <c r="H587" s="728" t="s">
        <v>34</v>
      </c>
      <c r="I587" s="184"/>
      <c r="J587" s="214">
        <v>0</v>
      </c>
      <c r="K587" s="163"/>
      <c r="L587" s="163"/>
      <c r="M587" s="163"/>
      <c r="N587" s="163"/>
      <c r="O587" s="163"/>
      <c r="P587" s="163"/>
      <c r="Q587" s="541"/>
      <c r="R587" s="541"/>
      <c r="S587" s="541"/>
      <c r="T587" s="541"/>
      <c r="U587" s="541"/>
      <c r="V587" s="541"/>
      <c r="W587" s="541"/>
      <c r="X587" s="541"/>
      <c r="Y587" s="541"/>
      <c r="Z587" s="541"/>
    </row>
    <row r="588" spans="1:26" ht="18.75">
      <c r="A588" s="572"/>
      <c r="B588" s="584"/>
      <c r="C588" s="584"/>
      <c r="D588" s="592" t="s">
        <v>249</v>
      </c>
      <c r="E588" s="592"/>
      <c r="F588" s="592"/>
      <c r="G588" s="726"/>
      <c r="H588" s="728" t="s">
        <v>46</v>
      </c>
      <c r="I588" s="184"/>
      <c r="J588" s="214">
        <v>0</v>
      </c>
      <c r="K588" s="163"/>
      <c r="L588" s="163"/>
      <c r="M588" s="163"/>
      <c r="N588" s="163"/>
      <c r="O588" s="163"/>
      <c r="P588" s="163"/>
      <c r="Q588" s="541"/>
      <c r="R588" s="541"/>
      <c r="S588" s="541"/>
      <c r="T588" s="541"/>
      <c r="U588" s="541"/>
      <c r="V588" s="541"/>
      <c r="W588" s="541"/>
      <c r="X588" s="541"/>
      <c r="Y588" s="541"/>
      <c r="Z588" s="541"/>
    </row>
    <row r="589" spans="1:26" ht="18.75">
      <c r="A589" s="572"/>
      <c r="B589" s="584"/>
      <c r="C589" s="584"/>
      <c r="D589" s="584"/>
      <c r="E589" s="584"/>
      <c r="F589" s="592"/>
      <c r="G589" s="726"/>
      <c r="H589" s="728" t="s">
        <v>34</v>
      </c>
      <c r="I589" s="184"/>
      <c r="J589" s="214">
        <v>0</v>
      </c>
      <c r="K589" s="163"/>
      <c r="L589" s="163"/>
      <c r="M589" s="163"/>
      <c r="N589" s="163"/>
      <c r="O589" s="163"/>
      <c r="P589" s="163"/>
      <c r="Q589" s="541"/>
      <c r="R589" s="541"/>
      <c r="S589" s="541"/>
      <c r="T589" s="541"/>
      <c r="U589" s="541"/>
      <c r="V589" s="541"/>
      <c r="W589" s="541"/>
      <c r="X589" s="541"/>
      <c r="Y589" s="541"/>
      <c r="Z589" s="541"/>
    </row>
    <row r="590" spans="1:26" ht="18.75">
      <c r="A590" s="572"/>
      <c r="B590" s="584"/>
      <c r="C590" s="584"/>
      <c r="D590" s="592" t="s">
        <v>250</v>
      </c>
      <c r="E590" s="592"/>
      <c r="F590" s="592"/>
      <c r="G590" s="726"/>
      <c r="H590" s="728" t="s">
        <v>46</v>
      </c>
      <c r="I590" s="184"/>
      <c r="J590" s="214">
        <v>0</v>
      </c>
      <c r="K590" s="163"/>
      <c r="L590" s="163"/>
      <c r="M590" s="163"/>
      <c r="N590" s="163"/>
      <c r="O590" s="163"/>
      <c r="P590" s="163"/>
      <c r="Q590" s="541"/>
      <c r="R590" s="541"/>
      <c r="S590" s="541"/>
      <c r="T590" s="541"/>
      <c r="U590" s="541"/>
      <c r="V590" s="541"/>
      <c r="W590" s="541"/>
      <c r="X590" s="541"/>
      <c r="Y590" s="541"/>
      <c r="Z590" s="541"/>
    </row>
    <row r="591" spans="1:26" ht="18.75">
      <c r="A591" s="662"/>
      <c r="B591" s="663"/>
      <c r="C591" s="663"/>
      <c r="D591" s="663"/>
      <c r="E591" s="541"/>
      <c r="F591" s="541"/>
      <c r="G591" s="664"/>
      <c r="H591" s="665" t="s">
        <v>34</v>
      </c>
      <c r="I591" s="666"/>
      <c r="J591" s="667">
        <v>0</v>
      </c>
      <c r="K591" s="668"/>
      <c r="L591" s="668"/>
      <c r="M591" s="668"/>
      <c r="N591" s="668"/>
      <c r="O591" s="668"/>
      <c r="P591" s="668"/>
      <c r="Q591" s="541"/>
      <c r="R591" s="541"/>
      <c r="S591" s="541"/>
      <c r="T591" s="541"/>
      <c r="U591" s="541"/>
      <c r="V591" s="541"/>
      <c r="W591" s="541"/>
      <c r="X591" s="541"/>
      <c r="Y591" s="541"/>
      <c r="Z591" s="541"/>
    </row>
    <row r="592" spans="1:26" ht="19.5" hidden="1">
      <c r="A592" s="658"/>
      <c r="B592" s="659" t="s">
        <v>251</v>
      </c>
      <c r="C592" s="660"/>
      <c r="D592" s="660"/>
      <c r="E592" s="639"/>
      <c r="F592" s="639"/>
      <c r="G592" s="640"/>
      <c r="H592" s="661" t="s">
        <v>46</v>
      </c>
      <c r="I592" s="672">
        <f t="shared" ref="I592:J592" ca="1" si="252">I593</f>
        <v>0</v>
      </c>
      <c r="J592" s="672">
        <f t="shared" si="252"/>
        <v>0</v>
      </c>
      <c r="K592" s="643">
        <f t="shared" ref="K592:K594" ca="1" si="253">IF(I592&gt;0,J592*100/I592,0)</f>
        <v>0</v>
      </c>
      <c r="L592" s="644"/>
      <c r="M592" s="644"/>
      <c r="N592" s="644"/>
      <c r="O592" s="644"/>
      <c r="P592" s="644"/>
      <c r="Q592" s="541"/>
      <c r="R592" s="541"/>
      <c r="S592" s="541"/>
      <c r="T592" s="541"/>
      <c r="U592" s="541"/>
      <c r="V592" s="541"/>
      <c r="W592" s="541"/>
      <c r="X592" s="541"/>
      <c r="Y592" s="541"/>
      <c r="Z592" s="541"/>
    </row>
    <row r="593" spans="1:26" ht="19.5" hidden="1">
      <c r="A593" s="572"/>
      <c r="B593" s="584"/>
      <c r="C593" s="591" t="s">
        <v>252</v>
      </c>
      <c r="D593" s="584"/>
      <c r="E593" s="584"/>
      <c r="F593" s="592"/>
      <c r="G593" s="726"/>
      <c r="H593" s="731" t="s">
        <v>46</v>
      </c>
      <c r="I593" s="193">
        <f ca="1">IFERROR(__xludf.DUMMYFUNCTION("IMPORTRANGE(""https://docs.google.com/spreadsheets/d/1QqKyyYR6Q21VydFLVH3TRQUabQu_ym0Zz7PgGX0-kHA/edit?usp=sharing"",""แผน!HJ17"")"),0)</f>
        <v>0</v>
      </c>
      <c r="J593" s="193">
        <f t="shared" ref="J593:J594" si="254">J595+J603+J609</f>
        <v>0</v>
      </c>
      <c r="K593" s="379">
        <f t="shared" ca="1" si="253"/>
        <v>0</v>
      </c>
      <c r="L593" s="163"/>
      <c r="M593" s="163"/>
      <c r="N593" s="163"/>
      <c r="O593" s="163"/>
      <c r="P593" s="163"/>
      <c r="Q593" s="541"/>
      <c r="R593" s="541"/>
      <c r="S593" s="541"/>
      <c r="T593" s="541"/>
      <c r="U593" s="541"/>
      <c r="V593" s="541"/>
      <c r="W593" s="541"/>
      <c r="X593" s="541"/>
      <c r="Y593" s="541"/>
      <c r="Z593" s="541"/>
    </row>
    <row r="594" spans="1:26" ht="19.5" hidden="1">
      <c r="A594" s="572"/>
      <c r="B594" s="584"/>
      <c r="C594" s="584"/>
      <c r="D594" s="584"/>
      <c r="E594" s="592"/>
      <c r="F594" s="592"/>
      <c r="G594" s="726"/>
      <c r="H594" s="731" t="s">
        <v>34</v>
      </c>
      <c r="I594" s="193">
        <f ca="1">IFERROR(__xludf.DUMMYFUNCTION("IMPORTRANGE(""https://docs.google.com/spreadsheets/d/1QqKyyYR6Q21VydFLVH3TRQUabQu_ym0Zz7PgGX0-kHA/edit?usp=sharing"",""แผน!HI17"")"),0)</f>
        <v>0</v>
      </c>
      <c r="J594" s="193">
        <f t="shared" si="254"/>
        <v>0</v>
      </c>
      <c r="K594" s="379">
        <f t="shared" ca="1" si="253"/>
        <v>0</v>
      </c>
      <c r="L594" s="163"/>
      <c r="M594" s="163"/>
      <c r="N594" s="163"/>
      <c r="O594" s="163"/>
      <c r="P594" s="163"/>
      <c r="Q594" s="541"/>
      <c r="R594" s="541"/>
      <c r="S594" s="541"/>
      <c r="T594" s="541"/>
      <c r="U594" s="541"/>
      <c r="V594" s="541"/>
      <c r="W594" s="541"/>
      <c r="X594" s="541"/>
      <c r="Y594" s="541"/>
      <c r="Z594" s="541"/>
    </row>
    <row r="595" spans="1:26" ht="18.75" hidden="1">
      <c r="A595" s="572"/>
      <c r="B595" s="584"/>
      <c r="C595" s="584" t="s">
        <v>253</v>
      </c>
      <c r="D595" s="584"/>
      <c r="E595" s="584"/>
      <c r="F595" s="592"/>
      <c r="G595" s="726"/>
      <c r="H595" s="728" t="s">
        <v>46</v>
      </c>
      <c r="I595" s="184"/>
      <c r="J595" s="184">
        <f t="shared" ref="J595:J596" si="255">J597+J599</f>
        <v>0</v>
      </c>
      <c r="K595" s="163"/>
      <c r="L595" s="163"/>
      <c r="M595" s="163"/>
      <c r="N595" s="163"/>
      <c r="O595" s="163"/>
      <c r="P595" s="163"/>
      <c r="Q595" s="541"/>
      <c r="R595" s="541"/>
      <c r="S595" s="541"/>
      <c r="T595" s="541"/>
      <c r="U595" s="541"/>
      <c r="V595" s="541"/>
      <c r="W595" s="541"/>
      <c r="X595" s="541"/>
      <c r="Y595" s="541"/>
      <c r="Z595" s="541"/>
    </row>
    <row r="596" spans="1:26" ht="18.75" hidden="1">
      <c r="A596" s="572"/>
      <c r="B596" s="584"/>
      <c r="C596" s="584"/>
      <c r="D596" s="584"/>
      <c r="E596" s="592"/>
      <c r="F596" s="592"/>
      <c r="G596" s="726"/>
      <c r="H596" s="728" t="s">
        <v>34</v>
      </c>
      <c r="I596" s="184"/>
      <c r="J596" s="184">
        <f t="shared" si="255"/>
        <v>0</v>
      </c>
      <c r="K596" s="163"/>
      <c r="L596" s="163"/>
      <c r="M596" s="163"/>
      <c r="N596" s="163"/>
      <c r="O596" s="163"/>
      <c r="P596" s="163"/>
      <c r="Q596" s="541"/>
      <c r="R596" s="541"/>
      <c r="S596" s="541"/>
      <c r="T596" s="541"/>
      <c r="U596" s="541"/>
      <c r="V596" s="541"/>
      <c r="W596" s="541"/>
      <c r="X596" s="541"/>
      <c r="Y596" s="541"/>
      <c r="Z596" s="541"/>
    </row>
    <row r="597" spans="1:26" ht="18.75" hidden="1">
      <c r="A597" s="572"/>
      <c r="B597" s="584"/>
      <c r="C597" s="584"/>
      <c r="D597" s="710" t="s">
        <v>254</v>
      </c>
      <c r="E597" s="592"/>
      <c r="F597" s="592"/>
      <c r="G597" s="726"/>
      <c r="H597" s="728" t="s">
        <v>46</v>
      </c>
      <c r="I597" s="184"/>
      <c r="J597" s="214">
        <v>0</v>
      </c>
      <c r="K597" s="163"/>
      <c r="L597" s="163"/>
      <c r="M597" s="163"/>
      <c r="N597" s="163"/>
      <c r="O597" s="163"/>
      <c r="P597" s="163"/>
      <c r="Q597" s="541"/>
      <c r="R597" s="541"/>
      <c r="S597" s="541"/>
      <c r="T597" s="541"/>
      <c r="U597" s="541"/>
      <c r="V597" s="541"/>
      <c r="W597" s="541"/>
      <c r="X597" s="541"/>
      <c r="Y597" s="541"/>
      <c r="Z597" s="541"/>
    </row>
    <row r="598" spans="1:26" ht="18.75" hidden="1">
      <c r="A598" s="572"/>
      <c r="B598" s="584"/>
      <c r="C598" s="584"/>
      <c r="D598" s="584"/>
      <c r="E598" s="592"/>
      <c r="F598" s="592"/>
      <c r="G598" s="726"/>
      <c r="H598" s="728" t="s">
        <v>34</v>
      </c>
      <c r="I598" s="269"/>
      <c r="J598" s="214">
        <v>0</v>
      </c>
      <c r="K598" s="163"/>
      <c r="L598" s="163"/>
      <c r="M598" s="163"/>
      <c r="N598" s="163"/>
      <c r="O598" s="163"/>
      <c r="P598" s="163"/>
      <c r="Q598" s="541"/>
      <c r="R598" s="541"/>
      <c r="S598" s="541"/>
      <c r="T598" s="541"/>
      <c r="U598" s="541"/>
      <c r="V598" s="541"/>
      <c r="W598" s="541"/>
      <c r="X598" s="541"/>
      <c r="Y598" s="541"/>
      <c r="Z598" s="541"/>
    </row>
    <row r="599" spans="1:26" ht="18.75" hidden="1">
      <c r="A599" s="572"/>
      <c r="B599" s="584"/>
      <c r="C599" s="584"/>
      <c r="D599" s="710" t="s">
        <v>255</v>
      </c>
      <c r="E599" s="592"/>
      <c r="F599" s="592"/>
      <c r="G599" s="726"/>
      <c r="H599" s="728" t="s">
        <v>46</v>
      </c>
      <c r="I599" s="269"/>
      <c r="J599" s="214">
        <v>0</v>
      </c>
      <c r="K599" s="163"/>
      <c r="L599" s="163"/>
      <c r="M599" s="163"/>
      <c r="N599" s="163"/>
      <c r="O599" s="163"/>
      <c r="P599" s="163"/>
      <c r="Q599" s="541"/>
      <c r="R599" s="541"/>
      <c r="S599" s="541"/>
      <c r="T599" s="541"/>
      <c r="U599" s="541"/>
      <c r="V599" s="541"/>
      <c r="W599" s="541"/>
      <c r="X599" s="541"/>
      <c r="Y599" s="541"/>
      <c r="Z599" s="541"/>
    </row>
    <row r="600" spans="1:26" ht="18.75" hidden="1">
      <c r="A600" s="572"/>
      <c r="B600" s="584"/>
      <c r="C600" s="584"/>
      <c r="D600" s="584"/>
      <c r="E600" s="592"/>
      <c r="F600" s="592"/>
      <c r="G600" s="726"/>
      <c r="H600" s="728" t="s">
        <v>34</v>
      </c>
      <c r="I600" s="269"/>
      <c r="J600" s="214">
        <v>0</v>
      </c>
      <c r="K600" s="163"/>
      <c r="L600" s="163"/>
      <c r="M600" s="163"/>
      <c r="N600" s="163"/>
      <c r="O600" s="163"/>
      <c r="P600" s="163"/>
      <c r="Q600" s="541"/>
      <c r="R600" s="541"/>
      <c r="S600" s="541"/>
      <c r="T600" s="541"/>
      <c r="U600" s="541"/>
      <c r="V600" s="541"/>
      <c r="W600" s="541"/>
      <c r="X600" s="541"/>
      <c r="Y600" s="541"/>
      <c r="Z600" s="541"/>
    </row>
    <row r="601" spans="1:26" ht="18.75" hidden="1">
      <c r="A601" s="572"/>
      <c r="B601" s="584"/>
      <c r="C601" s="584"/>
      <c r="D601" s="710" t="s">
        <v>256</v>
      </c>
      <c r="E601" s="592"/>
      <c r="F601" s="592"/>
      <c r="G601" s="726"/>
      <c r="H601" s="728" t="s">
        <v>46</v>
      </c>
      <c r="I601" s="269"/>
      <c r="J601" s="214">
        <v>0</v>
      </c>
      <c r="K601" s="163"/>
      <c r="L601" s="163"/>
      <c r="M601" s="163"/>
      <c r="N601" s="163"/>
      <c r="O601" s="163"/>
      <c r="P601" s="163"/>
      <c r="Q601" s="541"/>
      <c r="R601" s="541"/>
      <c r="S601" s="541"/>
      <c r="T601" s="541"/>
      <c r="U601" s="541"/>
      <c r="V601" s="541"/>
      <c r="W601" s="541"/>
      <c r="X601" s="541"/>
      <c r="Y601" s="541"/>
      <c r="Z601" s="541"/>
    </row>
    <row r="602" spans="1:26" ht="18.75" hidden="1">
      <c r="A602" s="572"/>
      <c r="B602" s="584"/>
      <c r="C602" s="584"/>
      <c r="D602" s="584"/>
      <c r="E602" s="592"/>
      <c r="F602" s="592"/>
      <c r="G602" s="726"/>
      <c r="H602" s="728" t="s">
        <v>34</v>
      </c>
      <c r="I602" s="269"/>
      <c r="J602" s="214">
        <v>0</v>
      </c>
      <c r="K602" s="163"/>
      <c r="L602" s="163"/>
      <c r="M602" s="163"/>
      <c r="N602" s="163"/>
      <c r="O602" s="163"/>
      <c r="P602" s="163"/>
      <c r="Q602" s="541"/>
      <c r="R602" s="541"/>
      <c r="S602" s="541"/>
      <c r="T602" s="541"/>
      <c r="U602" s="541"/>
      <c r="V602" s="541"/>
      <c r="W602" s="541"/>
      <c r="X602" s="541"/>
      <c r="Y602" s="541"/>
      <c r="Z602" s="541"/>
    </row>
    <row r="603" spans="1:26" ht="18.75" hidden="1">
      <c r="A603" s="572"/>
      <c r="B603" s="584"/>
      <c r="C603" s="669" t="s">
        <v>257</v>
      </c>
      <c r="D603" s="584"/>
      <c r="E603" s="584"/>
      <c r="F603" s="592"/>
      <c r="G603" s="726"/>
      <c r="H603" s="728" t="s">
        <v>46</v>
      </c>
      <c r="I603" s="269"/>
      <c r="J603" s="269">
        <f t="shared" ref="J603:J604" si="256">J605+J607</f>
        <v>0</v>
      </c>
      <c r="K603" s="163"/>
      <c r="L603" s="163"/>
      <c r="M603" s="163"/>
      <c r="N603" s="163"/>
      <c r="O603" s="163"/>
      <c r="P603" s="163"/>
      <c r="Q603" s="541"/>
      <c r="R603" s="541"/>
      <c r="S603" s="541"/>
      <c r="T603" s="541"/>
      <c r="U603" s="541"/>
      <c r="V603" s="541"/>
      <c r="W603" s="541"/>
      <c r="X603" s="541"/>
      <c r="Y603" s="541"/>
      <c r="Z603" s="541"/>
    </row>
    <row r="604" spans="1:26" ht="18.75" hidden="1">
      <c r="A604" s="572"/>
      <c r="B604" s="584"/>
      <c r="C604" s="584"/>
      <c r="D604" s="584"/>
      <c r="E604" s="592"/>
      <c r="F604" s="592"/>
      <c r="G604" s="726"/>
      <c r="H604" s="728" t="s">
        <v>34</v>
      </c>
      <c r="I604" s="269"/>
      <c r="J604" s="269">
        <f t="shared" si="256"/>
        <v>0</v>
      </c>
      <c r="K604" s="163"/>
      <c r="L604" s="163"/>
      <c r="M604" s="163"/>
      <c r="N604" s="163"/>
      <c r="O604" s="163"/>
      <c r="P604" s="163"/>
      <c r="Q604" s="541"/>
      <c r="R604" s="541"/>
      <c r="S604" s="541"/>
      <c r="T604" s="541"/>
      <c r="U604" s="541"/>
      <c r="V604" s="541"/>
      <c r="W604" s="541"/>
      <c r="X604" s="541"/>
      <c r="Y604" s="541"/>
      <c r="Z604" s="541"/>
    </row>
    <row r="605" spans="1:26" ht="18.75" hidden="1">
      <c r="A605" s="572"/>
      <c r="B605" s="584"/>
      <c r="C605" s="584"/>
      <c r="D605" s="669" t="s">
        <v>258</v>
      </c>
      <c r="E605" s="592"/>
      <c r="F605" s="592"/>
      <c r="G605" s="726"/>
      <c r="H605" s="728" t="s">
        <v>46</v>
      </c>
      <c r="I605" s="269"/>
      <c r="J605" s="214">
        <v>0</v>
      </c>
      <c r="K605" s="163"/>
      <c r="L605" s="163"/>
      <c r="M605" s="163"/>
      <c r="N605" s="163"/>
      <c r="O605" s="163"/>
      <c r="P605" s="163"/>
      <c r="Q605" s="541"/>
      <c r="R605" s="541"/>
      <c r="S605" s="541"/>
      <c r="T605" s="541"/>
      <c r="U605" s="541"/>
      <c r="V605" s="541"/>
      <c r="W605" s="541"/>
      <c r="X605" s="541"/>
      <c r="Y605" s="541"/>
      <c r="Z605" s="541"/>
    </row>
    <row r="606" spans="1:26" ht="18.75" hidden="1">
      <c r="A606" s="572"/>
      <c r="B606" s="584"/>
      <c r="C606" s="584"/>
      <c r="D606" s="584"/>
      <c r="E606" s="584"/>
      <c r="F606" s="592"/>
      <c r="G606" s="726"/>
      <c r="H606" s="728" t="s">
        <v>34</v>
      </c>
      <c r="I606" s="269"/>
      <c r="J606" s="214">
        <v>0</v>
      </c>
      <c r="K606" s="163"/>
      <c r="L606" s="163"/>
      <c r="M606" s="163"/>
      <c r="N606" s="163"/>
      <c r="O606" s="163"/>
      <c r="P606" s="163"/>
      <c r="Q606" s="541"/>
      <c r="R606" s="541"/>
      <c r="S606" s="541"/>
      <c r="T606" s="541"/>
      <c r="U606" s="541"/>
      <c r="V606" s="541"/>
      <c r="W606" s="541"/>
      <c r="X606" s="541"/>
      <c r="Y606" s="541"/>
      <c r="Z606" s="541"/>
    </row>
    <row r="607" spans="1:26" ht="18.75" hidden="1">
      <c r="A607" s="572"/>
      <c r="B607" s="584"/>
      <c r="C607" s="584"/>
      <c r="D607" s="669" t="s">
        <v>259</v>
      </c>
      <c r="E607" s="584"/>
      <c r="F607" s="592"/>
      <c r="G607" s="726"/>
      <c r="H607" s="728" t="s">
        <v>46</v>
      </c>
      <c r="I607" s="269"/>
      <c r="J607" s="214">
        <v>0</v>
      </c>
      <c r="K607" s="163"/>
      <c r="L607" s="163"/>
      <c r="M607" s="163"/>
      <c r="N607" s="163"/>
      <c r="O607" s="163"/>
      <c r="P607" s="163"/>
      <c r="Q607" s="541"/>
      <c r="R607" s="541"/>
      <c r="S607" s="541"/>
      <c r="T607" s="541"/>
      <c r="U607" s="541"/>
      <c r="V607" s="541"/>
      <c r="W607" s="541"/>
      <c r="X607" s="541"/>
      <c r="Y607" s="541"/>
      <c r="Z607" s="541"/>
    </row>
    <row r="608" spans="1:26" ht="18.75" hidden="1">
      <c r="A608" s="572"/>
      <c r="B608" s="584"/>
      <c r="C608" s="584"/>
      <c r="D608" s="584"/>
      <c r="E608" s="592"/>
      <c r="F608" s="592"/>
      <c r="G608" s="726"/>
      <c r="H608" s="728" t="s">
        <v>34</v>
      </c>
      <c r="I608" s="269"/>
      <c r="J608" s="214">
        <v>0</v>
      </c>
      <c r="K608" s="163"/>
      <c r="L608" s="163"/>
      <c r="M608" s="163"/>
      <c r="N608" s="163"/>
      <c r="O608" s="163"/>
      <c r="P608" s="163"/>
      <c r="Q608" s="541"/>
      <c r="R608" s="541"/>
      <c r="S608" s="541"/>
      <c r="T608" s="541"/>
      <c r="U608" s="541"/>
      <c r="V608" s="541"/>
      <c r="W608" s="541"/>
      <c r="X608" s="541"/>
      <c r="Y608" s="541"/>
      <c r="Z608" s="541"/>
    </row>
    <row r="609" spans="1:26" ht="18.75" hidden="1">
      <c r="A609" s="572"/>
      <c r="B609" s="584"/>
      <c r="C609" s="584" t="s">
        <v>260</v>
      </c>
      <c r="D609" s="584"/>
      <c r="E609" s="584"/>
      <c r="F609" s="592"/>
      <c r="G609" s="726"/>
      <c r="H609" s="728" t="s">
        <v>46</v>
      </c>
      <c r="I609" s="269"/>
      <c r="J609" s="214">
        <v>0</v>
      </c>
      <c r="K609" s="163"/>
      <c r="L609" s="163"/>
      <c r="M609" s="163"/>
      <c r="N609" s="163"/>
      <c r="O609" s="163"/>
      <c r="P609" s="163"/>
      <c r="Q609" s="541"/>
      <c r="R609" s="541"/>
      <c r="S609" s="541"/>
      <c r="T609" s="541"/>
      <c r="U609" s="541"/>
      <c r="V609" s="541"/>
      <c r="W609" s="541"/>
      <c r="X609" s="541"/>
      <c r="Y609" s="541"/>
      <c r="Z609" s="541"/>
    </row>
    <row r="610" spans="1:26" ht="18.75" hidden="1">
      <c r="A610" s="572"/>
      <c r="B610" s="584"/>
      <c r="C610" s="584"/>
      <c r="D610" s="584"/>
      <c r="E610" s="592"/>
      <c r="F610" s="592"/>
      <c r="G610" s="726"/>
      <c r="H610" s="728" t="s">
        <v>34</v>
      </c>
      <c r="I610" s="269"/>
      <c r="J610" s="214">
        <v>0</v>
      </c>
      <c r="K610" s="163"/>
      <c r="L610" s="163"/>
      <c r="M610" s="163"/>
      <c r="N610" s="163"/>
      <c r="O610" s="163"/>
      <c r="P610" s="163"/>
      <c r="Q610" s="541"/>
      <c r="R610" s="541"/>
      <c r="S610" s="541"/>
      <c r="T610" s="541"/>
      <c r="U610" s="541"/>
      <c r="V610" s="541"/>
      <c r="W610" s="541"/>
      <c r="X610" s="541"/>
      <c r="Y610" s="541"/>
      <c r="Z610" s="541"/>
    </row>
    <row r="611" spans="1:26" ht="19.5">
      <c r="A611" s="658"/>
      <c r="B611" s="670" t="s">
        <v>261</v>
      </c>
      <c r="C611" s="660"/>
      <c r="D611" s="660"/>
      <c r="E611" s="639"/>
      <c r="F611" s="639"/>
      <c r="G611" s="640"/>
      <c r="H611" s="671" t="s">
        <v>46</v>
      </c>
      <c r="I611" s="672">
        <v>0</v>
      </c>
      <c r="J611" s="672">
        <f>J614+J616</f>
        <v>0</v>
      </c>
      <c r="K611" s="643">
        <f t="shared" ref="K611:K613" si="257">IF(I611&gt;0,J611*100/I611,0)</f>
        <v>0</v>
      </c>
      <c r="L611" s="644"/>
      <c r="M611" s="644"/>
      <c r="N611" s="644"/>
      <c r="O611" s="644"/>
      <c r="P611" s="644"/>
      <c r="Q611" s="541"/>
      <c r="R611" s="541"/>
      <c r="S611" s="541"/>
      <c r="T611" s="541"/>
      <c r="U611" s="541"/>
      <c r="V611" s="541"/>
      <c r="W611" s="541"/>
      <c r="X611" s="541"/>
      <c r="Y611" s="541"/>
      <c r="Z611" s="541"/>
    </row>
    <row r="612" spans="1:26" ht="19.5" hidden="1">
      <c r="A612" s="673"/>
      <c r="B612" s="683"/>
      <c r="C612" s="675" t="s">
        <v>262</v>
      </c>
      <c r="D612" s="683"/>
      <c r="E612" s="683"/>
      <c r="F612" s="676"/>
      <c r="G612" s="677"/>
      <c r="H612" s="678" t="s">
        <v>46</v>
      </c>
      <c r="I612" s="680">
        <v>0</v>
      </c>
      <c r="J612" s="680">
        <f t="shared" ref="J612:J613" si="258">J614+J616</f>
        <v>0</v>
      </c>
      <c r="K612" s="681">
        <f t="shared" si="257"/>
        <v>0</v>
      </c>
      <c r="L612" s="682"/>
      <c r="M612" s="682"/>
      <c r="N612" s="682"/>
      <c r="O612" s="682"/>
      <c r="P612" s="682"/>
      <c r="Q612" s="568"/>
      <c r="R612" s="568"/>
      <c r="S612" s="568"/>
      <c r="T612" s="568"/>
      <c r="U612" s="568"/>
      <c r="V612" s="568"/>
      <c r="W612" s="568"/>
      <c r="X612" s="568"/>
      <c r="Y612" s="568"/>
      <c r="Z612" s="568"/>
    </row>
    <row r="613" spans="1:26" ht="19.5" hidden="1">
      <c r="A613" s="673"/>
      <c r="B613" s="683"/>
      <c r="C613" s="683" t="s">
        <v>263</v>
      </c>
      <c r="D613" s="683"/>
      <c r="E613" s="683"/>
      <c r="F613" s="676"/>
      <c r="G613" s="677"/>
      <c r="H613" s="678" t="s">
        <v>34</v>
      </c>
      <c r="I613" s="680">
        <v>0</v>
      </c>
      <c r="J613" s="680">
        <f t="shared" si="258"/>
        <v>0</v>
      </c>
      <c r="K613" s="681">
        <f t="shared" si="257"/>
        <v>0</v>
      </c>
      <c r="L613" s="682"/>
      <c r="M613" s="682"/>
      <c r="N613" s="682"/>
      <c r="O613" s="682"/>
      <c r="P613" s="682"/>
      <c r="Q613" s="568"/>
      <c r="R613" s="568"/>
      <c r="S613" s="568"/>
      <c r="T613" s="568"/>
      <c r="U613" s="568"/>
      <c r="V613" s="568"/>
      <c r="W613" s="568"/>
      <c r="X613" s="568"/>
      <c r="Y613" s="568"/>
      <c r="Z613" s="568"/>
    </row>
    <row r="614" spans="1:26" ht="18.75" hidden="1">
      <c r="A614" s="578"/>
      <c r="B614" s="580"/>
      <c r="C614" s="580"/>
      <c r="D614" s="684" t="s">
        <v>264</v>
      </c>
      <c r="E614" s="580"/>
      <c r="F614" s="684"/>
      <c r="G614" s="581"/>
      <c r="H614" s="582" t="s">
        <v>46</v>
      </c>
      <c r="I614" s="583"/>
      <c r="J614" s="583">
        <v>0</v>
      </c>
      <c r="K614" s="167"/>
      <c r="L614" s="167"/>
      <c r="M614" s="167"/>
      <c r="N614" s="167"/>
      <c r="O614" s="167"/>
      <c r="P614" s="167"/>
      <c r="Q614" s="568"/>
      <c r="R614" s="568"/>
      <c r="S614" s="568"/>
      <c r="T614" s="568"/>
      <c r="U614" s="568"/>
      <c r="V614" s="568"/>
      <c r="W614" s="568"/>
      <c r="X614" s="568"/>
      <c r="Y614" s="568"/>
      <c r="Z614" s="568"/>
    </row>
    <row r="615" spans="1:26" ht="18.75" hidden="1">
      <c r="A615" s="578"/>
      <c r="B615" s="580"/>
      <c r="C615" s="580"/>
      <c r="D615" s="580"/>
      <c r="E615" s="580"/>
      <c r="F615" s="684"/>
      <c r="G615" s="581"/>
      <c r="H615" s="582" t="s">
        <v>34</v>
      </c>
      <c r="I615" s="583"/>
      <c r="J615" s="583">
        <v>0</v>
      </c>
      <c r="K615" s="167"/>
      <c r="L615" s="167"/>
      <c r="M615" s="167"/>
      <c r="N615" s="167"/>
      <c r="O615" s="167"/>
      <c r="P615" s="167"/>
      <c r="Q615" s="568"/>
      <c r="R615" s="568"/>
      <c r="S615" s="568"/>
      <c r="T615" s="568"/>
      <c r="U615" s="568"/>
      <c r="V615" s="568"/>
      <c r="W615" s="568"/>
      <c r="X615" s="568"/>
      <c r="Y615" s="568"/>
      <c r="Z615" s="568"/>
    </row>
    <row r="616" spans="1:26" ht="18.75" hidden="1">
      <c r="A616" s="578"/>
      <c r="B616" s="580"/>
      <c r="C616" s="580"/>
      <c r="D616" s="685" t="s">
        <v>264</v>
      </c>
      <c r="E616" s="684"/>
      <c r="F616" s="684"/>
      <c r="G616" s="581"/>
      <c r="H616" s="582" t="s">
        <v>46</v>
      </c>
      <c r="I616" s="583"/>
      <c r="J616" s="583">
        <v>0</v>
      </c>
      <c r="K616" s="167"/>
      <c r="L616" s="167"/>
      <c r="M616" s="167"/>
      <c r="N616" s="167"/>
      <c r="O616" s="167"/>
      <c r="P616" s="167"/>
      <c r="Q616" s="568"/>
      <c r="R616" s="568"/>
      <c r="S616" s="568"/>
      <c r="T616" s="568"/>
      <c r="U616" s="568"/>
      <c r="V616" s="568"/>
      <c r="W616" s="568"/>
      <c r="X616" s="568"/>
      <c r="Y616" s="568"/>
      <c r="Z616" s="568"/>
    </row>
    <row r="617" spans="1:26" ht="18.75" hidden="1">
      <c r="A617" s="578"/>
      <c r="B617" s="580"/>
      <c r="C617" s="580"/>
      <c r="D617" s="580"/>
      <c r="E617" s="684"/>
      <c r="F617" s="684"/>
      <c r="G617" s="581"/>
      <c r="H617" s="582" t="s">
        <v>34</v>
      </c>
      <c r="I617" s="583"/>
      <c r="J617" s="583">
        <v>0</v>
      </c>
      <c r="K617" s="167"/>
      <c r="L617" s="167"/>
      <c r="M617" s="167"/>
      <c r="N617" s="167"/>
      <c r="O617" s="167"/>
      <c r="P617" s="167"/>
      <c r="Q617" s="568"/>
      <c r="R617" s="568"/>
      <c r="S617" s="568"/>
      <c r="T617" s="568"/>
      <c r="U617" s="568"/>
      <c r="V617" s="568"/>
      <c r="W617" s="568"/>
      <c r="X617" s="568"/>
      <c r="Y617" s="568"/>
      <c r="Z617" s="568"/>
    </row>
    <row r="618" spans="1:26" ht="18.75" hidden="1">
      <c r="A618" s="578"/>
      <c r="B618" s="580"/>
      <c r="C618" s="580"/>
      <c r="D618" s="685" t="s">
        <v>265</v>
      </c>
      <c r="E618" s="684"/>
      <c r="F618" s="684"/>
      <c r="G618" s="581"/>
      <c r="H618" s="582" t="s">
        <v>46</v>
      </c>
      <c r="I618" s="583"/>
      <c r="J618" s="583">
        <v>0</v>
      </c>
      <c r="K618" s="167"/>
      <c r="L618" s="167"/>
      <c r="M618" s="167"/>
      <c r="N618" s="167"/>
      <c r="O618" s="167"/>
      <c r="P618" s="167"/>
      <c r="Q618" s="568"/>
      <c r="R618" s="568"/>
      <c r="S618" s="568"/>
      <c r="T618" s="568"/>
      <c r="U618" s="568"/>
      <c r="V618" s="568"/>
      <c r="W618" s="568"/>
      <c r="X618" s="568"/>
      <c r="Y618" s="568"/>
      <c r="Z618" s="568"/>
    </row>
    <row r="619" spans="1:26" ht="18.75" hidden="1">
      <c r="A619" s="578"/>
      <c r="B619" s="580"/>
      <c r="C619" s="580"/>
      <c r="D619" s="580"/>
      <c r="E619" s="684"/>
      <c r="F619" s="684"/>
      <c r="G619" s="581"/>
      <c r="H619" s="582" t="s">
        <v>34</v>
      </c>
      <c r="I619" s="583"/>
      <c r="J619" s="583">
        <v>0</v>
      </c>
      <c r="K619" s="167"/>
      <c r="L619" s="167"/>
      <c r="M619" s="167"/>
      <c r="N619" s="167"/>
      <c r="O619" s="167"/>
      <c r="P619" s="167"/>
      <c r="Q619" s="568"/>
      <c r="R619" s="568"/>
      <c r="S619" s="568"/>
      <c r="T619" s="568"/>
      <c r="U619" s="568"/>
      <c r="V619" s="568"/>
      <c r="W619" s="568"/>
      <c r="X619" s="568"/>
      <c r="Y619" s="568"/>
      <c r="Z619" s="568"/>
    </row>
    <row r="620" spans="1:26" ht="19.5">
      <c r="A620" s="686"/>
      <c r="B620" s="695"/>
      <c r="C620" s="688" t="s">
        <v>266</v>
      </c>
      <c r="D620" s="695"/>
      <c r="E620" s="695"/>
      <c r="F620" s="689"/>
      <c r="G620" s="690"/>
      <c r="H620" s="691" t="s">
        <v>46</v>
      </c>
      <c r="I620" s="692">
        <f ca="1">IFERROR(__xludf.DUMMYFUNCTION("IMPORTRANGE(""https://docs.google.com/spreadsheets/d/1QqKyyYR6Q21VydFLVH3TRQUabQu_ym0Zz7PgGX0-kHA/edit?usp=sharing"",""แผน!HL17"")"),0)</f>
        <v>0</v>
      </c>
      <c r="J620" s="692">
        <f t="shared" ref="J620:J621" si="259">J622+J624+J626</f>
        <v>0</v>
      </c>
      <c r="K620" s="693">
        <f t="shared" ref="K620:K621" ca="1" si="260">IF(I620&gt;0,J620*100/I620,0)</f>
        <v>0</v>
      </c>
      <c r="L620" s="694"/>
      <c r="M620" s="694"/>
      <c r="N620" s="694"/>
      <c r="O620" s="694"/>
      <c r="P620" s="694"/>
      <c r="Q620" s="541"/>
      <c r="R620" s="541"/>
      <c r="S620" s="541"/>
      <c r="T620" s="541"/>
      <c r="U620" s="541"/>
      <c r="V620" s="541"/>
      <c r="W620" s="541"/>
      <c r="X620" s="541"/>
      <c r="Y620" s="541"/>
      <c r="Z620" s="541"/>
    </row>
    <row r="621" spans="1:26" ht="19.5">
      <c r="A621" s="686"/>
      <c r="B621" s="695"/>
      <c r="C621" s="695" t="s">
        <v>267</v>
      </c>
      <c r="D621" s="695"/>
      <c r="E621" s="695"/>
      <c r="F621" s="689"/>
      <c r="G621" s="690"/>
      <c r="H621" s="691" t="s">
        <v>34</v>
      </c>
      <c r="I621" s="692">
        <f ca="1">IFERROR(__xludf.DUMMYFUNCTION("IMPORTRANGE(""https://docs.google.com/spreadsheets/d/1QqKyyYR6Q21VydFLVH3TRQUabQu_ym0Zz7PgGX0-kHA/edit?usp=sharing"",""แผน!HK17"")"),0)</f>
        <v>0</v>
      </c>
      <c r="J621" s="692">
        <f t="shared" si="259"/>
        <v>0</v>
      </c>
      <c r="K621" s="693">
        <f t="shared" ca="1" si="260"/>
        <v>0</v>
      </c>
      <c r="L621" s="694"/>
      <c r="M621" s="694"/>
      <c r="N621" s="694"/>
      <c r="O621" s="694"/>
      <c r="P621" s="694"/>
      <c r="Q621" s="541"/>
      <c r="R621" s="541"/>
      <c r="S621" s="541"/>
      <c r="T621" s="541"/>
      <c r="U621" s="541"/>
      <c r="V621" s="541"/>
      <c r="W621" s="541"/>
      <c r="X621" s="541"/>
      <c r="Y621" s="541"/>
      <c r="Z621" s="541"/>
    </row>
    <row r="622" spans="1:26" ht="18.75">
      <c r="A622" s="572"/>
      <c r="B622" s="584"/>
      <c r="C622" s="584"/>
      <c r="D622" s="710" t="s">
        <v>268</v>
      </c>
      <c r="E622" s="592"/>
      <c r="F622" s="592"/>
      <c r="G622" s="726"/>
      <c r="H622" s="728" t="s">
        <v>46</v>
      </c>
      <c r="I622" s="269"/>
      <c r="J622" s="214">
        <v>0</v>
      </c>
      <c r="K622" s="163"/>
      <c r="L622" s="163"/>
      <c r="M622" s="163"/>
      <c r="N622" s="163"/>
      <c r="O622" s="163"/>
      <c r="P622" s="163"/>
      <c r="Q622" s="541"/>
      <c r="R622" s="541"/>
      <c r="S622" s="541"/>
      <c r="T622" s="541"/>
      <c r="U622" s="541"/>
      <c r="V622" s="541"/>
      <c r="W622" s="541"/>
      <c r="X622" s="541"/>
      <c r="Y622" s="541"/>
      <c r="Z622" s="541"/>
    </row>
    <row r="623" spans="1:26" ht="18.75">
      <c r="A623" s="572"/>
      <c r="B623" s="584"/>
      <c r="C623" s="584"/>
      <c r="D623" s="584"/>
      <c r="E623" s="592"/>
      <c r="F623" s="592"/>
      <c r="G623" s="726"/>
      <c r="H623" s="728" t="s">
        <v>34</v>
      </c>
      <c r="I623" s="269"/>
      <c r="J623" s="214">
        <v>0</v>
      </c>
      <c r="K623" s="163"/>
      <c r="L623" s="163"/>
      <c r="M623" s="163"/>
      <c r="N623" s="163"/>
      <c r="O623" s="163"/>
      <c r="P623" s="163"/>
      <c r="Q623" s="541"/>
      <c r="R623" s="541"/>
      <c r="S623" s="541"/>
      <c r="T623" s="541"/>
      <c r="U623" s="541"/>
      <c r="V623" s="541"/>
      <c r="W623" s="541"/>
      <c r="X623" s="541"/>
      <c r="Y623" s="541"/>
      <c r="Z623" s="541"/>
    </row>
    <row r="624" spans="1:26" ht="18.75">
      <c r="A624" s="572"/>
      <c r="B624" s="584"/>
      <c r="C624" s="584"/>
      <c r="D624" s="710" t="s">
        <v>264</v>
      </c>
      <c r="E624" s="592"/>
      <c r="F624" s="592"/>
      <c r="G624" s="726"/>
      <c r="H624" s="728" t="s">
        <v>46</v>
      </c>
      <c r="I624" s="269"/>
      <c r="J624" s="214">
        <v>0</v>
      </c>
      <c r="K624" s="163"/>
      <c r="L624" s="163"/>
      <c r="M624" s="163"/>
      <c r="N624" s="163"/>
      <c r="O624" s="163"/>
      <c r="P624" s="163"/>
      <c r="Q624" s="541"/>
      <c r="R624" s="541"/>
      <c r="S624" s="541"/>
      <c r="T624" s="541"/>
      <c r="U624" s="541"/>
      <c r="V624" s="541"/>
      <c r="W624" s="541"/>
      <c r="X624" s="541"/>
      <c r="Y624" s="541"/>
      <c r="Z624" s="541"/>
    </row>
    <row r="625" spans="1:26" ht="18.75">
      <c r="A625" s="572"/>
      <c r="B625" s="584"/>
      <c r="C625" s="584"/>
      <c r="D625" s="584"/>
      <c r="E625" s="592"/>
      <c r="F625" s="592"/>
      <c r="G625" s="726"/>
      <c r="H625" s="728" t="s">
        <v>34</v>
      </c>
      <c r="I625" s="269"/>
      <c r="J625" s="214">
        <v>0</v>
      </c>
      <c r="K625" s="163"/>
      <c r="L625" s="163"/>
      <c r="M625" s="163"/>
      <c r="N625" s="163"/>
      <c r="O625" s="163"/>
      <c r="P625" s="163"/>
      <c r="Q625" s="541"/>
      <c r="R625" s="541"/>
      <c r="S625" s="541"/>
      <c r="T625" s="541"/>
      <c r="U625" s="541"/>
      <c r="V625" s="541"/>
      <c r="W625" s="541"/>
      <c r="X625" s="541"/>
      <c r="Y625" s="541"/>
      <c r="Z625" s="541"/>
    </row>
    <row r="626" spans="1:26" ht="18.75">
      <c r="A626" s="572"/>
      <c r="B626" s="584"/>
      <c r="C626" s="584"/>
      <c r="D626" s="710" t="s">
        <v>269</v>
      </c>
      <c r="E626" s="592"/>
      <c r="F626" s="592"/>
      <c r="G626" s="726"/>
      <c r="H626" s="728" t="s">
        <v>46</v>
      </c>
      <c r="I626" s="269"/>
      <c r="J626" s="214">
        <v>0</v>
      </c>
      <c r="K626" s="163"/>
      <c r="L626" s="163"/>
      <c r="M626" s="163"/>
      <c r="N626" s="163"/>
      <c r="O626" s="163"/>
      <c r="P626" s="163"/>
      <c r="Q626" s="541"/>
      <c r="R626" s="541"/>
      <c r="S626" s="541"/>
      <c r="T626" s="541"/>
      <c r="U626" s="541"/>
      <c r="V626" s="541"/>
      <c r="W626" s="541"/>
      <c r="X626" s="541"/>
      <c r="Y626" s="541"/>
      <c r="Z626" s="541"/>
    </row>
    <row r="627" spans="1:26" ht="18.75">
      <c r="A627" s="696"/>
      <c r="B627" s="697"/>
      <c r="C627" s="697"/>
      <c r="D627" s="697"/>
      <c r="E627" s="698"/>
      <c r="F627" s="698"/>
      <c r="G627" s="699"/>
      <c r="H627" s="390" t="s">
        <v>34</v>
      </c>
      <c r="I627" s="468"/>
      <c r="J627" s="392">
        <v>0</v>
      </c>
      <c r="K627" s="353"/>
      <c r="L627" s="353"/>
      <c r="M627" s="353"/>
      <c r="N627" s="353"/>
      <c r="O627" s="353"/>
      <c r="P627" s="353"/>
      <c r="Q627" s="541"/>
      <c r="R627" s="541"/>
      <c r="S627" s="541"/>
      <c r="T627" s="541"/>
      <c r="U627" s="541"/>
      <c r="V627" s="541"/>
      <c r="W627" s="541"/>
      <c r="X627" s="541"/>
      <c r="Y627" s="541"/>
      <c r="Z627" s="541"/>
    </row>
    <row r="628" spans="1:26" ht="19.5">
      <c r="A628" s="700">
        <v>7</v>
      </c>
      <c r="B628" s="701" t="s">
        <v>270</v>
      </c>
      <c r="C628" s="702"/>
      <c r="D628" s="702"/>
      <c r="E628" s="702"/>
      <c r="F628" s="702"/>
      <c r="G628" s="703"/>
      <c r="H628" s="867" t="s">
        <v>35</v>
      </c>
      <c r="I628" s="705">
        <f t="shared" ref="I628:J628" ca="1" si="261">I651</f>
        <v>250</v>
      </c>
      <c r="J628" s="705">
        <f t="shared" ca="1" si="261"/>
        <v>0</v>
      </c>
      <c r="K628" s="706">
        <f ca="1">IF(I628&gt;0,J628*100/I628,0)</f>
        <v>0</v>
      </c>
      <c r="L628" s="707"/>
      <c r="M628" s="707"/>
      <c r="N628" s="707"/>
      <c r="O628" s="707"/>
      <c r="P628" s="707"/>
      <c r="Q628" s="541"/>
      <c r="R628" s="541"/>
      <c r="S628" s="541"/>
      <c r="T628" s="541"/>
      <c r="U628" s="541"/>
      <c r="V628" s="541"/>
      <c r="W628" s="541"/>
      <c r="X628" s="541"/>
      <c r="Y628" s="541"/>
      <c r="Z628" s="541"/>
    </row>
    <row r="629" spans="1:26" ht="19.5">
      <c r="A629" s="561"/>
      <c r="B629" s="727"/>
      <c r="C629" s="727" t="s">
        <v>16</v>
      </c>
      <c r="D629" s="811" t="s">
        <v>17</v>
      </c>
      <c r="E629" s="805"/>
      <c r="F629" s="805"/>
      <c r="G629" s="189"/>
      <c r="H629" s="562" t="s">
        <v>12</v>
      </c>
      <c r="I629" s="269"/>
      <c r="J629" s="269"/>
      <c r="K629" s="465"/>
      <c r="L629" s="195">
        <f t="shared" ref="L629:N629" ca="1" si="262">L630+L631</f>
        <v>440980</v>
      </c>
      <c r="M629" s="195">
        <f t="shared" si="262"/>
        <v>0</v>
      </c>
      <c r="N629" s="195">
        <f t="shared" si="262"/>
        <v>35340</v>
      </c>
      <c r="O629" s="195">
        <f t="shared" ref="O629:O634" ca="1" si="263">IF(L629&gt;0,N629*100/L629,0)</f>
        <v>8.0139688874778905</v>
      </c>
      <c r="P629" s="195">
        <f t="shared" ref="P629:P634" si="264">IF(M629&gt;0,N629*100/M629,0)</f>
        <v>0</v>
      </c>
      <c r="Q629" s="541"/>
      <c r="R629" s="541"/>
      <c r="S629" s="541"/>
      <c r="T629" s="541"/>
      <c r="U629" s="541"/>
      <c r="V629" s="541"/>
      <c r="W629" s="541"/>
      <c r="X629" s="541"/>
      <c r="Y629" s="541"/>
      <c r="Z629" s="541"/>
    </row>
    <row r="630" spans="1:26" ht="18.75" hidden="1">
      <c r="A630" s="563"/>
      <c r="B630" s="723"/>
      <c r="C630" s="723"/>
      <c r="D630" s="684"/>
      <c r="E630" s="723" t="s">
        <v>184</v>
      </c>
      <c r="F630" s="723"/>
      <c r="G630" s="567"/>
      <c r="H630" s="165" t="s">
        <v>12</v>
      </c>
      <c r="I630" s="583"/>
      <c r="J630" s="583"/>
      <c r="K630" s="93"/>
      <c r="L630" s="93">
        <f t="shared" ref="L630:N631" si="265">L633+L640</f>
        <v>0</v>
      </c>
      <c r="M630" s="93">
        <f t="shared" si="265"/>
        <v>0</v>
      </c>
      <c r="N630" s="93">
        <f t="shared" si="265"/>
        <v>0</v>
      </c>
      <c r="O630" s="93">
        <f t="shared" si="263"/>
        <v>0</v>
      </c>
      <c r="P630" s="93">
        <f t="shared" si="264"/>
        <v>0</v>
      </c>
      <c r="Q630" s="568"/>
      <c r="R630" s="568"/>
      <c r="S630" s="568"/>
      <c r="T630" s="568"/>
      <c r="U630" s="568"/>
      <c r="V630" s="568"/>
      <c r="W630" s="568"/>
      <c r="X630" s="568"/>
      <c r="Y630" s="568"/>
      <c r="Z630" s="568"/>
    </row>
    <row r="631" spans="1:26" ht="18.75" hidden="1">
      <c r="A631" s="563"/>
      <c r="B631" s="571"/>
      <c r="C631" s="723"/>
      <c r="D631" s="684"/>
      <c r="E631" s="723" t="s">
        <v>185</v>
      </c>
      <c r="F631" s="723"/>
      <c r="G631" s="567"/>
      <c r="H631" s="165" t="s">
        <v>12</v>
      </c>
      <c r="I631" s="583"/>
      <c r="J631" s="583"/>
      <c r="K631" s="93"/>
      <c r="L631" s="93">
        <f t="shared" ca="1" si="265"/>
        <v>440980</v>
      </c>
      <c r="M631" s="93">
        <f t="shared" si="265"/>
        <v>0</v>
      </c>
      <c r="N631" s="93">
        <f t="shared" si="265"/>
        <v>35340</v>
      </c>
      <c r="O631" s="93">
        <f t="shared" ca="1" si="263"/>
        <v>8.0139688874778905</v>
      </c>
      <c r="P631" s="93">
        <f t="shared" si="264"/>
        <v>0</v>
      </c>
      <c r="Q631" s="568"/>
      <c r="R631" s="568"/>
      <c r="S631" s="568"/>
      <c r="T631" s="568"/>
      <c r="U631" s="568"/>
      <c r="V631" s="568"/>
      <c r="W631" s="568"/>
      <c r="X631" s="568"/>
      <c r="Y631" s="568"/>
      <c r="Z631" s="568"/>
    </row>
    <row r="632" spans="1:26" ht="18.75">
      <c r="A632" s="561"/>
      <c r="B632" s="538"/>
      <c r="C632" s="727"/>
      <c r="D632" s="570" t="s">
        <v>20</v>
      </c>
      <c r="E632" s="727"/>
      <c r="F632" s="727"/>
      <c r="G632" s="189"/>
      <c r="H632" s="161" t="s">
        <v>12</v>
      </c>
      <c r="I632" s="184"/>
      <c r="J632" s="184"/>
      <c r="K632" s="163"/>
      <c r="L632" s="465">
        <f t="shared" ref="L632:N632" ca="1" si="266">L633+L634</f>
        <v>440980</v>
      </c>
      <c r="M632" s="465">
        <f t="shared" si="266"/>
        <v>0</v>
      </c>
      <c r="N632" s="465">
        <f t="shared" si="266"/>
        <v>35340</v>
      </c>
      <c r="O632" s="465">
        <f t="shared" ca="1" si="263"/>
        <v>8.0139688874778905</v>
      </c>
      <c r="P632" s="465">
        <f t="shared" si="264"/>
        <v>0</v>
      </c>
      <c r="Q632" s="541"/>
      <c r="R632" s="541"/>
      <c r="S632" s="541"/>
      <c r="T632" s="541"/>
      <c r="U632" s="541"/>
      <c r="V632" s="541"/>
      <c r="W632" s="541"/>
      <c r="X632" s="541"/>
      <c r="Y632" s="541"/>
      <c r="Z632" s="541"/>
    </row>
    <row r="633" spans="1:26" ht="18.75" hidden="1">
      <c r="A633" s="563"/>
      <c r="B633" s="571"/>
      <c r="C633" s="723"/>
      <c r="D633" s="684"/>
      <c r="E633" s="723" t="s">
        <v>184</v>
      </c>
      <c r="F633" s="723"/>
      <c r="G633" s="567"/>
      <c r="H633" s="165" t="s">
        <v>12</v>
      </c>
      <c r="I633" s="583"/>
      <c r="J633" s="583"/>
      <c r="K633" s="93"/>
      <c r="L633" s="93">
        <v>0</v>
      </c>
      <c r="M633" s="93">
        <v>0</v>
      </c>
      <c r="N633" s="93">
        <v>0</v>
      </c>
      <c r="O633" s="93">
        <f t="shared" si="263"/>
        <v>0</v>
      </c>
      <c r="P633" s="93">
        <f t="shared" si="264"/>
        <v>0</v>
      </c>
      <c r="Q633" s="568"/>
      <c r="R633" s="568"/>
      <c r="S633" s="568"/>
      <c r="T633" s="568"/>
      <c r="U633" s="568"/>
      <c r="V633" s="568"/>
      <c r="W633" s="568"/>
      <c r="X633" s="568"/>
      <c r="Y633" s="568"/>
      <c r="Z633" s="568"/>
    </row>
    <row r="634" spans="1:26" ht="18.75" hidden="1">
      <c r="A634" s="563"/>
      <c r="B634" s="571"/>
      <c r="C634" s="723"/>
      <c r="D634" s="684"/>
      <c r="E634" s="723" t="s">
        <v>185</v>
      </c>
      <c r="F634" s="723"/>
      <c r="G634" s="567"/>
      <c r="H634" s="165" t="s">
        <v>12</v>
      </c>
      <c r="I634" s="583"/>
      <c r="J634" s="583"/>
      <c r="K634" s="93"/>
      <c r="L634" s="93">
        <f ca="1">IFERROR(__xludf.DUMMYFUNCTION("IMPORTRANGE(""https://docs.google.com/spreadsheets/d/1QqKyyYR6Q21VydFLVH3TRQUabQu_ym0Zz7PgGX0-kHA/edit?usp=sharing"",""แผน!HN17"")"),440980)</f>
        <v>440980</v>
      </c>
      <c r="M634" s="93">
        <v>0</v>
      </c>
      <c r="N634" s="93">
        <f>N635+N636+N637+N638</f>
        <v>35340</v>
      </c>
      <c r="O634" s="93">
        <f t="shared" ca="1" si="263"/>
        <v>8.0139688874778905</v>
      </c>
      <c r="P634" s="93">
        <f t="shared" si="264"/>
        <v>0</v>
      </c>
      <c r="Q634" s="568"/>
      <c r="R634" s="568"/>
      <c r="S634" s="568"/>
      <c r="T634" s="568"/>
      <c r="U634" s="568"/>
      <c r="V634" s="568"/>
      <c r="W634" s="568"/>
      <c r="X634" s="568"/>
      <c r="Y634" s="568"/>
      <c r="Z634" s="568"/>
    </row>
    <row r="635" spans="1:26" ht="18.75">
      <c r="A635" s="537"/>
      <c r="B635" s="538"/>
      <c r="C635" s="727"/>
      <c r="D635" s="727"/>
      <c r="E635" s="727"/>
      <c r="F635" s="727" t="s">
        <v>186</v>
      </c>
      <c r="G635" s="189"/>
      <c r="H635" s="161" t="s">
        <v>12</v>
      </c>
      <c r="I635" s="269"/>
      <c r="J635" s="269"/>
      <c r="K635" s="465"/>
      <c r="L635" s="465"/>
      <c r="M635" s="465"/>
      <c r="N635" s="789">
        <v>0</v>
      </c>
      <c r="O635" s="465"/>
      <c r="P635" s="465"/>
      <c r="Q635" s="541"/>
      <c r="R635" s="541"/>
      <c r="S635" s="541"/>
      <c r="T635" s="541"/>
      <c r="U635" s="541"/>
      <c r="V635" s="541"/>
      <c r="W635" s="541"/>
      <c r="X635" s="541"/>
      <c r="Y635" s="541"/>
      <c r="Z635" s="541"/>
    </row>
    <row r="636" spans="1:26" ht="18.75">
      <c r="A636" s="537"/>
      <c r="B636" s="538"/>
      <c r="C636" s="727"/>
      <c r="D636" s="727"/>
      <c r="E636" s="727"/>
      <c r="F636" s="727" t="s">
        <v>187</v>
      </c>
      <c r="G636" s="189"/>
      <c r="H636" s="161" t="s">
        <v>12</v>
      </c>
      <c r="I636" s="269"/>
      <c r="J636" s="269"/>
      <c r="K636" s="465"/>
      <c r="L636" s="465"/>
      <c r="M636" s="465"/>
      <c r="N636" s="789">
        <v>0</v>
      </c>
      <c r="O636" s="465"/>
      <c r="P636" s="465"/>
      <c r="Q636" s="541"/>
      <c r="R636" s="541"/>
      <c r="S636" s="541"/>
      <c r="T636" s="541"/>
      <c r="U636" s="541"/>
      <c r="V636" s="541"/>
      <c r="W636" s="541"/>
      <c r="X636" s="541"/>
      <c r="Y636" s="541"/>
      <c r="Z636" s="541"/>
    </row>
    <row r="637" spans="1:26" ht="18.75">
      <c r="A637" s="537"/>
      <c r="B637" s="538"/>
      <c r="C637" s="727"/>
      <c r="D637" s="727"/>
      <c r="E637" s="727"/>
      <c r="F637" s="727" t="s">
        <v>188</v>
      </c>
      <c r="G637" s="189"/>
      <c r="H637" s="161" t="s">
        <v>12</v>
      </c>
      <c r="I637" s="269"/>
      <c r="J637" s="269"/>
      <c r="K637" s="465"/>
      <c r="L637" s="465"/>
      <c r="M637" s="465"/>
      <c r="N637" s="789">
        <v>13000</v>
      </c>
      <c r="O637" s="465"/>
      <c r="P637" s="465"/>
      <c r="Q637" s="541"/>
      <c r="R637" s="541"/>
      <c r="S637" s="541"/>
      <c r="T637" s="541"/>
      <c r="U637" s="541"/>
      <c r="V637" s="541"/>
      <c r="W637" s="541"/>
      <c r="X637" s="541"/>
      <c r="Y637" s="541"/>
      <c r="Z637" s="541"/>
    </row>
    <row r="638" spans="1:26" ht="18.75">
      <c r="A638" s="537"/>
      <c r="B638" s="538"/>
      <c r="C638" s="727"/>
      <c r="D638" s="727"/>
      <c r="E638" s="727"/>
      <c r="F638" s="727" t="s">
        <v>189</v>
      </c>
      <c r="G638" s="189"/>
      <c r="H638" s="161" t="s">
        <v>12</v>
      </c>
      <c r="I638" s="269"/>
      <c r="J638" s="269"/>
      <c r="K638" s="465"/>
      <c r="L638" s="465"/>
      <c r="M638" s="465"/>
      <c r="N638" s="789">
        <v>22340</v>
      </c>
      <c r="O638" s="465"/>
      <c r="P638" s="465"/>
      <c r="Q638" s="541"/>
      <c r="R638" s="541"/>
      <c r="S638" s="541"/>
      <c r="T638" s="541"/>
      <c r="U638" s="541"/>
      <c r="V638" s="541"/>
      <c r="W638" s="541"/>
      <c r="X638" s="541"/>
      <c r="Y638" s="541"/>
      <c r="Z638" s="541"/>
    </row>
    <row r="639" spans="1:26" ht="18.75">
      <c r="A639" s="561"/>
      <c r="B639" s="538"/>
      <c r="C639" s="727"/>
      <c r="D639" s="570" t="s">
        <v>21</v>
      </c>
      <c r="E639" s="727"/>
      <c r="F639" s="727"/>
      <c r="G639" s="189"/>
      <c r="H639" s="168" t="s">
        <v>12</v>
      </c>
      <c r="I639" s="184"/>
      <c r="J639" s="184"/>
      <c r="K639" s="163"/>
      <c r="L639" s="465">
        <f t="shared" ref="L639:N639" ca="1" si="267">L640+L641</f>
        <v>0</v>
      </c>
      <c r="M639" s="465">
        <f t="shared" si="267"/>
        <v>0</v>
      </c>
      <c r="N639" s="465">
        <f t="shared" si="267"/>
        <v>0</v>
      </c>
      <c r="O639" s="465">
        <f t="shared" ref="O639:O641" ca="1" si="268">IF(L639&gt;0,N639*100/L639,0)</f>
        <v>0</v>
      </c>
      <c r="P639" s="465">
        <f t="shared" ref="P639:P641" si="269">IF(M639&gt;0,N639*100/M639,0)</f>
        <v>0</v>
      </c>
      <c r="Q639" s="541"/>
      <c r="R639" s="541"/>
      <c r="S639" s="541"/>
      <c r="T639" s="541"/>
      <c r="U639" s="541"/>
      <c r="V639" s="541"/>
      <c r="W639" s="541"/>
      <c r="X639" s="541"/>
      <c r="Y639" s="541"/>
      <c r="Z639" s="541"/>
    </row>
    <row r="640" spans="1:26" ht="18.75" hidden="1">
      <c r="A640" s="563"/>
      <c r="B640" s="571"/>
      <c r="C640" s="723"/>
      <c r="D640" s="723"/>
      <c r="E640" s="723" t="s">
        <v>18</v>
      </c>
      <c r="F640" s="723"/>
      <c r="G640" s="567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8"/>
        <v>0</v>
      </c>
      <c r="P640" s="93">
        <f t="shared" si="269"/>
        <v>0</v>
      </c>
      <c r="Q640" s="568"/>
      <c r="R640" s="568"/>
      <c r="S640" s="568"/>
      <c r="T640" s="568"/>
      <c r="U640" s="568"/>
      <c r="V640" s="568"/>
      <c r="W640" s="568"/>
      <c r="X640" s="568"/>
      <c r="Y640" s="568"/>
      <c r="Z640" s="568"/>
    </row>
    <row r="641" spans="1:26" ht="18.75" hidden="1">
      <c r="A641" s="563"/>
      <c r="B641" s="571"/>
      <c r="C641" s="723"/>
      <c r="D641" s="723"/>
      <c r="E641" s="723" t="s">
        <v>19</v>
      </c>
      <c r="F641" s="723"/>
      <c r="G641" s="567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IFERROR(__xludf.DUMMYFUNCTION("IMPORTRANGE(""https://docs.google.com/spreadsheets/d/1QqKyyYR6Q21VydFLVH3TRQUabQu_ym0Zz7PgGX0-kHA/edit?usp=sharing"",""แผน!HQ17"")"),0)</f>
        <v>0</v>
      </c>
      <c r="M641" s="93">
        <v>0</v>
      </c>
      <c r="N641" s="93">
        <v>0</v>
      </c>
      <c r="O641" s="93">
        <f t="shared" ca="1" si="268"/>
        <v>0</v>
      </c>
      <c r="P641" s="93">
        <f t="shared" si="269"/>
        <v>0</v>
      </c>
      <c r="Q641" s="568"/>
      <c r="R641" s="568"/>
      <c r="S641" s="568"/>
      <c r="T641" s="568"/>
      <c r="U641" s="568"/>
      <c r="V641" s="568"/>
      <c r="W641" s="568"/>
      <c r="X641" s="568"/>
      <c r="Y641" s="568"/>
      <c r="Z641" s="568"/>
    </row>
    <row r="642" spans="1:26" ht="19.5">
      <c r="A642" s="572"/>
      <c r="B642" s="584"/>
      <c r="C642" s="727" t="s">
        <v>16</v>
      </c>
      <c r="D642" s="853" t="s">
        <v>38</v>
      </c>
      <c r="E642" s="725"/>
      <c r="F642" s="725"/>
      <c r="G642" s="577"/>
      <c r="H642" s="726"/>
      <c r="I642" s="184"/>
      <c r="J642" s="184"/>
      <c r="K642" s="163"/>
      <c r="L642" s="163"/>
      <c r="M642" s="163"/>
      <c r="N642" s="163"/>
      <c r="O642" s="163"/>
      <c r="P642" s="163"/>
      <c r="Q642" s="541"/>
      <c r="R642" s="541"/>
      <c r="S642" s="541"/>
      <c r="T642" s="541"/>
      <c r="U642" s="541"/>
      <c r="V642" s="541"/>
      <c r="W642" s="541"/>
      <c r="X642" s="541"/>
      <c r="Y642" s="541"/>
      <c r="Z642" s="541"/>
    </row>
    <row r="643" spans="1:26" ht="18.75">
      <c r="A643" s="708"/>
      <c r="B643" s="538"/>
      <c r="C643" s="727"/>
      <c r="D643" s="592"/>
      <c r="E643" s="710" t="s">
        <v>271</v>
      </c>
      <c r="F643" s="592"/>
      <c r="G643" s="726"/>
      <c r="H643" s="728" t="s">
        <v>272</v>
      </c>
      <c r="I643" s="269">
        <f ca="1">IFERROR(__xludf.DUMMYFUNCTION("IMPORTRANGE(""https://docs.google.com/spreadsheets/d/1QqKyyYR6Q21VydFLVH3TRQUabQu_ym0Zz7PgGX0-kHA/edit?usp=sharing"",""แผน!HR17"")"),0)</f>
        <v>0</v>
      </c>
      <c r="J643" s="214">
        <v>0</v>
      </c>
      <c r="K643" s="163">
        <f t="shared" ref="K643:K652" ca="1" si="270">IF(I643&gt;0,J643*100/I643,0)</f>
        <v>0</v>
      </c>
      <c r="L643" s="163"/>
      <c r="M643" s="163"/>
      <c r="N643" s="465"/>
      <c r="O643" s="163"/>
      <c r="P643" s="163"/>
      <c r="Q643" s="541"/>
      <c r="R643" s="541"/>
      <c r="S643" s="541"/>
      <c r="T643" s="541"/>
      <c r="U643" s="541"/>
      <c r="V643" s="541"/>
      <c r="W643" s="541"/>
      <c r="X643" s="541"/>
      <c r="Y643" s="541"/>
      <c r="Z643" s="541"/>
    </row>
    <row r="644" spans="1:26" ht="18.75">
      <c r="A644" s="708"/>
      <c r="B644" s="538"/>
      <c r="C644" s="727"/>
      <c r="D644" s="592"/>
      <c r="E644" s="710" t="s">
        <v>273</v>
      </c>
      <c r="F644" s="592"/>
      <c r="G644" s="726"/>
      <c r="H644" s="728" t="s">
        <v>274</v>
      </c>
      <c r="I644" s="269">
        <f ca="1">IFERROR(__xludf.DUMMYFUNCTION("IMPORTRANGE(""https://docs.google.com/spreadsheets/d/1QqKyyYR6Q21VydFLVH3TRQUabQu_ym0Zz7PgGX0-kHA/edit?usp=sharing"",""แผน!HR17"")"),0)</f>
        <v>0</v>
      </c>
      <c r="J644" s="214">
        <v>0</v>
      </c>
      <c r="K644" s="163">
        <f t="shared" ca="1" si="270"/>
        <v>0</v>
      </c>
      <c r="L644" s="163"/>
      <c r="M644" s="163"/>
      <c r="N644" s="465"/>
      <c r="O644" s="163"/>
      <c r="P644" s="163"/>
      <c r="Q644" s="541"/>
      <c r="R644" s="541"/>
      <c r="S644" s="541"/>
      <c r="T644" s="541"/>
      <c r="U644" s="541"/>
      <c r="V644" s="541"/>
      <c r="W644" s="541"/>
      <c r="X644" s="541"/>
      <c r="Y644" s="541"/>
      <c r="Z644" s="541"/>
    </row>
    <row r="645" spans="1:26" ht="18.75">
      <c r="A645" s="708"/>
      <c r="B645" s="538"/>
      <c r="C645" s="727"/>
      <c r="D645" s="592"/>
      <c r="E645" s="710" t="s">
        <v>275</v>
      </c>
      <c r="F645" s="592"/>
      <c r="G645" s="726"/>
      <c r="H645" s="728" t="s">
        <v>34</v>
      </c>
      <c r="I645" s="269">
        <v>0</v>
      </c>
      <c r="J645" s="269">
        <f ca="1">IFERROR(__xludf.DUMMYFUNCTION("IMPORTRANGE(""https://docs.google.com/spreadsheets/d/1XWAQStnk-4SwqDmLtmXYiTMKHgktTP8We1SCoS47DrQ/edit?usp=sharing"",""จัดที่ดิน!AS17"")"),0)</f>
        <v>0</v>
      </c>
      <c r="K645" s="163">
        <f t="shared" si="270"/>
        <v>0</v>
      </c>
      <c r="L645" s="163"/>
      <c r="M645" s="163"/>
      <c r="N645" s="465"/>
      <c r="O645" s="163"/>
      <c r="P645" s="163"/>
      <c r="Q645" s="541"/>
      <c r="R645" s="541"/>
      <c r="S645" s="541"/>
      <c r="T645" s="541"/>
      <c r="U645" s="541"/>
      <c r="V645" s="541"/>
      <c r="W645" s="541"/>
      <c r="X645" s="541"/>
      <c r="Y645" s="541"/>
      <c r="Z645" s="541"/>
    </row>
    <row r="646" spans="1:26" ht="18.75">
      <c r="A646" s="708"/>
      <c r="B646" s="538"/>
      <c r="C646" s="727"/>
      <c r="D646" s="592"/>
      <c r="E646" s="592"/>
      <c r="F646" s="592"/>
      <c r="G646" s="726"/>
      <c r="H646" s="728" t="s">
        <v>46</v>
      </c>
      <c r="I646" s="269">
        <v>0</v>
      </c>
      <c r="J646" s="269">
        <f ca="1">IFERROR(__xludf.DUMMYFUNCTION("IMPORTRANGE(""https://docs.google.com/spreadsheets/d/1XWAQStnk-4SwqDmLtmXYiTMKHgktTP8We1SCoS47DrQ/edit?usp=sharing"",""จัดที่ดิน!AT17"")"),0)</f>
        <v>0</v>
      </c>
      <c r="K646" s="465">
        <f t="shared" si="270"/>
        <v>0</v>
      </c>
      <c r="L646" s="163"/>
      <c r="M646" s="163"/>
      <c r="N646" s="465"/>
      <c r="O646" s="163"/>
      <c r="P646" s="163"/>
      <c r="Q646" s="541"/>
      <c r="R646" s="541"/>
      <c r="S646" s="541"/>
      <c r="T646" s="541"/>
      <c r="U646" s="541"/>
      <c r="V646" s="541"/>
      <c r="W646" s="541"/>
      <c r="X646" s="541"/>
      <c r="Y646" s="541"/>
      <c r="Z646" s="541"/>
    </row>
    <row r="647" spans="1:26" ht="18.75">
      <c r="A647" s="708"/>
      <c r="B647" s="538"/>
      <c r="C647" s="727"/>
      <c r="D647" s="592"/>
      <c r="E647" s="710" t="s">
        <v>162</v>
      </c>
      <c r="F647" s="592"/>
      <c r="G647" s="726"/>
      <c r="H647" s="728" t="s">
        <v>35</v>
      </c>
      <c r="I647" s="269">
        <f ca="1">IFERROR(__xludf.DUMMYFUNCTION("IMPORTRANGE(""https://docs.google.com/spreadsheets/d/1QqKyyYR6Q21VydFLVH3TRQUabQu_ym0Zz7PgGX0-kHA/edit?usp=sharing"",""แผน!HS17"")"),250)</f>
        <v>250</v>
      </c>
      <c r="J647" s="269">
        <f ca="1">IFERROR(__xludf.DUMMYFUNCTION("IMPORTRANGE(""https://docs.google.com/spreadsheets/d/1XWAQStnk-4SwqDmLtmXYiTMKHgktTP8We1SCoS47DrQ/edit?usp=sharing"",""จัดที่ดิน!AU17"")"),0)</f>
        <v>0</v>
      </c>
      <c r="K647" s="163">
        <f t="shared" ca="1" si="270"/>
        <v>0</v>
      </c>
      <c r="L647" s="163"/>
      <c r="M647" s="163"/>
      <c r="N647" s="163"/>
      <c r="O647" s="163"/>
      <c r="P647" s="163"/>
      <c r="Q647" s="541"/>
      <c r="R647" s="541"/>
      <c r="S647" s="541"/>
      <c r="T647" s="541"/>
      <c r="U647" s="541"/>
      <c r="V647" s="541"/>
      <c r="W647" s="541"/>
      <c r="X647" s="541"/>
      <c r="Y647" s="541"/>
      <c r="Z647" s="541"/>
    </row>
    <row r="648" spans="1:26" ht="18.75">
      <c r="A648" s="708"/>
      <c r="B648" s="538"/>
      <c r="C648" s="727"/>
      <c r="D648" s="592"/>
      <c r="E648" s="592"/>
      <c r="F648" s="592"/>
      <c r="G648" s="726"/>
      <c r="H648" s="728" t="s">
        <v>46</v>
      </c>
      <c r="I648" s="269">
        <v>0</v>
      </c>
      <c r="J648" s="269">
        <f ca="1">IFERROR(__xludf.DUMMYFUNCTION("IMPORTRANGE(""https://docs.google.com/spreadsheets/d/1XWAQStnk-4SwqDmLtmXYiTMKHgktTP8We1SCoS47DrQ/edit?usp=sharing"",""จัดที่ดิน!AV17"")"),0)</f>
        <v>0</v>
      </c>
      <c r="K648" s="465">
        <f t="shared" si="270"/>
        <v>0</v>
      </c>
      <c r="L648" s="163"/>
      <c r="M648" s="163"/>
      <c r="N648" s="163"/>
      <c r="O648" s="163"/>
      <c r="P648" s="163"/>
      <c r="Q648" s="541"/>
      <c r="R648" s="541"/>
      <c r="S648" s="541"/>
      <c r="T648" s="541"/>
      <c r="U648" s="541"/>
      <c r="V648" s="541"/>
      <c r="W648" s="541"/>
      <c r="X648" s="541"/>
      <c r="Y648" s="541"/>
      <c r="Z648" s="541"/>
    </row>
    <row r="649" spans="1:26" ht="18.75">
      <c r="A649" s="708"/>
      <c r="B649" s="538"/>
      <c r="C649" s="727"/>
      <c r="D649" s="592"/>
      <c r="E649" s="710" t="s">
        <v>276</v>
      </c>
      <c r="F649" s="592"/>
      <c r="G649" s="726"/>
      <c r="H649" s="728" t="s">
        <v>35</v>
      </c>
      <c r="I649" s="269">
        <f ca="1">IFERROR(__xludf.DUMMYFUNCTION("IMPORTRANGE(""https://docs.google.com/spreadsheets/d/1QqKyyYR6Q21VydFLVH3TRQUabQu_ym0Zz7PgGX0-kHA/edit?usp=sharing"",""แผน!HS17"")"),250)</f>
        <v>250</v>
      </c>
      <c r="J649" s="269">
        <f ca="1">IFERROR(__xludf.DUMMYFUNCTION("IMPORTRANGE(""https://docs.google.com/spreadsheets/d/1XWAQStnk-4SwqDmLtmXYiTMKHgktTP8We1SCoS47DrQ/edit?usp=sharing"",""จัดที่ดิน!AW17"")"),0)</f>
        <v>0</v>
      </c>
      <c r="K649" s="163">
        <f t="shared" ca="1" si="270"/>
        <v>0</v>
      </c>
      <c r="L649" s="163"/>
      <c r="M649" s="163"/>
      <c r="N649" s="163"/>
      <c r="O649" s="163"/>
      <c r="P649" s="163"/>
      <c r="Q649" s="541"/>
      <c r="R649" s="541"/>
      <c r="S649" s="541"/>
      <c r="T649" s="541"/>
      <c r="U649" s="541"/>
      <c r="V649" s="541"/>
      <c r="W649" s="541"/>
      <c r="X649" s="541"/>
      <c r="Y649" s="541"/>
      <c r="Z649" s="541"/>
    </row>
    <row r="650" spans="1:26" ht="18.75">
      <c r="A650" s="708"/>
      <c r="B650" s="538"/>
      <c r="C650" s="727"/>
      <c r="D650" s="592"/>
      <c r="E650" s="592"/>
      <c r="F650" s="592"/>
      <c r="G650" s="726"/>
      <c r="H650" s="728" t="s">
        <v>46</v>
      </c>
      <c r="I650" s="269">
        <v>0</v>
      </c>
      <c r="J650" s="269">
        <f ca="1">IFERROR(__xludf.DUMMYFUNCTION("IMPORTRANGE(""https://docs.google.com/spreadsheets/d/1XWAQStnk-4SwqDmLtmXYiTMKHgktTP8We1SCoS47DrQ/edit?usp=sharing"",""จัดที่ดิน!AX17"")"),0)</f>
        <v>0</v>
      </c>
      <c r="K650" s="465">
        <f t="shared" si="270"/>
        <v>0</v>
      </c>
      <c r="L650" s="163"/>
      <c r="M650" s="163"/>
      <c r="N650" s="163"/>
      <c r="O650" s="163"/>
      <c r="P650" s="163"/>
      <c r="Q650" s="541"/>
      <c r="R650" s="541"/>
      <c r="S650" s="541"/>
      <c r="T650" s="541"/>
      <c r="U650" s="541"/>
      <c r="V650" s="541"/>
      <c r="W650" s="541"/>
      <c r="X650" s="541"/>
      <c r="Y650" s="541"/>
      <c r="Z650" s="541"/>
    </row>
    <row r="651" spans="1:26" ht="18.75">
      <c r="A651" s="708"/>
      <c r="B651" s="538"/>
      <c r="C651" s="727"/>
      <c r="D651" s="592"/>
      <c r="E651" s="710" t="s">
        <v>277</v>
      </c>
      <c r="F651" s="592"/>
      <c r="G651" s="726"/>
      <c r="H651" s="728" t="s">
        <v>35</v>
      </c>
      <c r="I651" s="269">
        <f ca="1">IFERROR(__xludf.DUMMYFUNCTION("IMPORTRANGE(""https://docs.google.com/spreadsheets/d/1QqKyyYR6Q21VydFLVH3TRQUabQu_ym0Zz7PgGX0-kHA/edit?usp=sharing"",""แผน!HS17"")"),250)</f>
        <v>250</v>
      </c>
      <c r="J651" s="269">
        <f ca="1">IFERROR(__xludf.DUMMYFUNCTION("IMPORTRANGE(""https://docs.google.com/spreadsheets/d/1XWAQStnk-4SwqDmLtmXYiTMKHgktTP8We1SCoS47DrQ/edit?usp=sharing"",""จัดที่ดิน!AY17"")"),0)</f>
        <v>0</v>
      </c>
      <c r="K651" s="163">
        <f t="shared" ca="1" si="270"/>
        <v>0</v>
      </c>
      <c r="L651" s="163"/>
      <c r="M651" s="163"/>
      <c r="N651" s="163"/>
      <c r="O651" s="163"/>
      <c r="P651" s="163"/>
      <c r="Q651" s="541"/>
      <c r="R651" s="541"/>
      <c r="S651" s="541"/>
      <c r="T651" s="541"/>
      <c r="U651" s="541"/>
      <c r="V651" s="541"/>
      <c r="W651" s="541"/>
      <c r="X651" s="541"/>
      <c r="Y651" s="541"/>
      <c r="Z651" s="541"/>
    </row>
    <row r="652" spans="1:26" ht="18.75">
      <c r="A652" s="711"/>
      <c r="B652" s="712"/>
      <c r="C652" s="713"/>
      <c r="D652" s="698"/>
      <c r="E652" s="698"/>
      <c r="F652" s="698"/>
      <c r="G652" s="699"/>
      <c r="H652" s="467" t="s">
        <v>46</v>
      </c>
      <c r="I652" s="468">
        <v>0</v>
      </c>
      <c r="J652" s="468">
        <f ca="1">IFERROR(__xludf.DUMMYFUNCTION("IMPORTRANGE(""https://docs.google.com/spreadsheets/d/1XWAQStnk-4SwqDmLtmXYiTMKHgktTP8We1SCoS47DrQ/edit?usp=sharing"",""จัดที่ดิน!AZ17"")"),0)</f>
        <v>0</v>
      </c>
      <c r="K652" s="469">
        <f t="shared" si="270"/>
        <v>0</v>
      </c>
      <c r="L652" s="353"/>
      <c r="M652" s="353"/>
      <c r="N652" s="353"/>
      <c r="O652" s="353"/>
      <c r="P652" s="353"/>
      <c r="Q652" s="541"/>
      <c r="R652" s="541"/>
      <c r="S652" s="541"/>
      <c r="T652" s="541"/>
      <c r="U652" s="541"/>
      <c r="V652" s="541"/>
      <c r="W652" s="541"/>
      <c r="X652" s="541"/>
      <c r="Y652" s="541"/>
      <c r="Z652" s="541"/>
    </row>
    <row r="653" spans="1:26" ht="19.5" hidden="1">
      <c r="A653" s="714">
        <v>8</v>
      </c>
      <c r="B653" s="701" t="s">
        <v>278</v>
      </c>
      <c r="C653" s="702"/>
      <c r="D653" s="702"/>
      <c r="E653" s="702"/>
      <c r="F653" s="702"/>
      <c r="G653" s="703"/>
      <c r="H653" s="703"/>
      <c r="I653" s="715"/>
      <c r="J653" s="715"/>
      <c r="K653" s="707"/>
      <c r="L653" s="707"/>
      <c r="M653" s="707"/>
      <c r="N653" s="707"/>
      <c r="O653" s="707"/>
      <c r="P653" s="707"/>
      <c r="Q653" s="541"/>
      <c r="R653" s="541"/>
      <c r="S653" s="541"/>
      <c r="T653" s="541"/>
      <c r="U653" s="541"/>
      <c r="V653" s="541"/>
      <c r="W653" s="541"/>
      <c r="X653" s="541"/>
      <c r="Y653" s="541"/>
      <c r="Z653" s="541"/>
    </row>
    <row r="654" spans="1:26" ht="19.5" hidden="1">
      <c r="A654" s="639"/>
      <c r="B654" s="638" t="s">
        <v>279</v>
      </c>
      <c r="C654" s="639"/>
      <c r="D654" s="639"/>
      <c r="E654" s="639"/>
      <c r="F654" s="639"/>
      <c r="G654" s="640"/>
      <c r="H654" s="671" t="s">
        <v>46</v>
      </c>
      <c r="I654" s="672">
        <f t="shared" ref="I654:J654" ca="1" si="271">I669</f>
        <v>0</v>
      </c>
      <c r="J654" s="672">
        <f t="shared" si="271"/>
        <v>0</v>
      </c>
      <c r="K654" s="643">
        <f ca="1">IF(I654&gt;0,J654*100/I654,0)</f>
        <v>0</v>
      </c>
      <c r="L654" s="644"/>
      <c r="M654" s="644"/>
      <c r="N654" s="644"/>
      <c r="O654" s="644"/>
      <c r="P654" s="644"/>
      <c r="Q654" s="541"/>
      <c r="R654" s="541"/>
      <c r="S654" s="541"/>
      <c r="T654" s="541"/>
      <c r="U654" s="541"/>
      <c r="V654" s="541"/>
      <c r="W654" s="541"/>
      <c r="X654" s="541"/>
      <c r="Y654" s="541"/>
      <c r="Z654" s="541"/>
    </row>
    <row r="655" spans="1:26" ht="19.5" hidden="1">
      <c r="A655" s="561"/>
      <c r="B655" s="727"/>
      <c r="C655" s="727" t="s">
        <v>16</v>
      </c>
      <c r="D655" s="811" t="s">
        <v>17</v>
      </c>
      <c r="E655" s="805"/>
      <c r="F655" s="805"/>
      <c r="G655" s="189"/>
      <c r="H655" s="562" t="s">
        <v>12</v>
      </c>
      <c r="I655" s="269"/>
      <c r="J655" s="269"/>
      <c r="K655" s="465"/>
      <c r="L655" s="195">
        <f t="shared" ref="L655:N655" ca="1" si="272">L656+L657</f>
        <v>0</v>
      </c>
      <c r="M655" s="195">
        <f t="shared" si="272"/>
        <v>0</v>
      </c>
      <c r="N655" s="195">
        <f t="shared" si="272"/>
        <v>0</v>
      </c>
      <c r="O655" s="195">
        <f t="shared" ref="O655:O660" ca="1" si="273">IF(L655&gt;0,N655*100/L655,0)</f>
        <v>0</v>
      </c>
      <c r="P655" s="195">
        <f t="shared" ref="P655:P660" si="274">IF(M655&gt;0,N655*100/M655,0)</f>
        <v>0</v>
      </c>
      <c r="Q655" s="541"/>
      <c r="R655" s="541"/>
      <c r="S655" s="541"/>
      <c r="T655" s="541"/>
      <c r="U655" s="541"/>
      <c r="V655" s="541"/>
      <c r="W655" s="541"/>
      <c r="X655" s="541"/>
      <c r="Y655" s="541"/>
      <c r="Z655" s="541"/>
    </row>
    <row r="656" spans="1:26" ht="18.75" hidden="1">
      <c r="A656" s="563"/>
      <c r="B656" s="723"/>
      <c r="C656" s="723"/>
      <c r="D656" s="684"/>
      <c r="E656" s="723" t="s">
        <v>184</v>
      </c>
      <c r="F656" s="723"/>
      <c r="G656" s="567"/>
      <c r="H656" s="165" t="s">
        <v>12</v>
      </c>
      <c r="I656" s="583"/>
      <c r="J656" s="583"/>
      <c r="K656" s="93"/>
      <c r="L656" s="93">
        <f t="shared" ref="L656:N657" si="275">L659+L666</f>
        <v>0</v>
      </c>
      <c r="M656" s="93">
        <f t="shared" si="275"/>
        <v>0</v>
      </c>
      <c r="N656" s="93">
        <f t="shared" si="275"/>
        <v>0</v>
      </c>
      <c r="O656" s="93">
        <f t="shared" si="273"/>
        <v>0</v>
      </c>
      <c r="P656" s="93">
        <f t="shared" si="274"/>
        <v>0</v>
      </c>
      <c r="Q656" s="568"/>
      <c r="R656" s="568"/>
      <c r="S656" s="568"/>
      <c r="T656" s="568"/>
      <c r="U656" s="568"/>
      <c r="V656" s="568"/>
      <c r="W656" s="568"/>
      <c r="X656" s="568"/>
      <c r="Y656" s="568"/>
      <c r="Z656" s="568"/>
    </row>
    <row r="657" spans="1:26" ht="18.75" hidden="1">
      <c r="A657" s="563"/>
      <c r="B657" s="571"/>
      <c r="C657" s="723"/>
      <c r="D657" s="684"/>
      <c r="E657" s="723" t="s">
        <v>185</v>
      </c>
      <c r="F657" s="723"/>
      <c r="G657" s="567"/>
      <c r="H657" s="165" t="s">
        <v>12</v>
      </c>
      <c r="I657" s="583"/>
      <c r="J657" s="583"/>
      <c r="K657" s="93"/>
      <c r="L657" s="93">
        <f t="shared" ca="1" si="275"/>
        <v>0</v>
      </c>
      <c r="M657" s="93">
        <f t="shared" si="275"/>
        <v>0</v>
      </c>
      <c r="N657" s="93">
        <f t="shared" si="275"/>
        <v>0</v>
      </c>
      <c r="O657" s="93">
        <f t="shared" ca="1" si="273"/>
        <v>0</v>
      </c>
      <c r="P657" s="93">
        <f t="shared" si="274"/>
        <v>0</v>
      </c>
      <c r="Q657" s="568"/>
      <c r="R657" s="568"/>
      <c r="S657" s="568"/>
      <c r="T657" s="568"/>
      <c r="U657" s="568"/>
      <c r="V657" s="568"/>
      <c r="W657" s="568"/>
      <c r="X657" s="568"/>
      <c r="Y657" s="568"/>
      <c r="Z657" s="568"/>
    </row>
    <row r="658" spans="1:26" ht="18.75" hidden="1">
      <c r="A658" s="561"/>
      <c r="B658" s="538"/>
      <c r="C658" s="727"/>
      <c r="D658" s="570" t="s">
        <v>20</v>
      </c>
      <c r="E658" s="727"/>
      <c r="F658" s="727"/>
      <c r="G658" s="189"/>
      <c r="H658" s="161" t="s">
        <v>12</v>
      </c>
      <c r="I658" s="184"/>
      <c r="J658" s="184"/>
      <c r="K658" s="163"/>
      <c r="L658" s="465">
        <f t="shared" ref="L658:N658" ca="1" si="276">L659+L660</f>
        <v>0</v>
      </c>
      <c r="M658" s="465">
        <f t="shared" si="276"/>
        <v>0</v>
      </c>
      <c r="N658" s="465">
        <f t="shared" si="276"/>
        <v>0</v>
      </c>
      <c r="O658" s="465">
        <f t="shared" ca="1" si="273"/>
        <v>0</v>
      </c>
      <c r="P658" s="465">
        <f t="shared" si="274"/>
        <v>0</v>
      </c>
      <c r="Q658" s="541"/>
      <c r="R658" s="541"/>
      <c r="S658" s="541"/>
      <c r="T658" s="541"/>
      <c r="U658" s="541"/>
      <c r="V658" s="541"/>
      <c r="W658" s="541"/>
      <c r="X658" s="541"/>
      <c r="Y658" s="541"/>
      <c r="Z658" s="541"/>
    </row>
    <row r="659" spans="1:26" ht="18.75" hidden="1">
      <c r="A659" s="563"/>
      <c r="B659" s="571"/>
      <c r="C659" s="723"/>
      <c r="D659" s="684"/>
      <c r="E659" s="723" t="s">
        <v>184</v>
      </c>
      <c r="F659" s="723"/>
      <c r="G659" s="567"/>
      <c r="H659" s="165" t="s">
        <v>12</v>
      </c>
      <c r="I659" s="583"/>
      <c r="J659" s="583"/>
      <c r="K659" s="93"/>
      <c r="L659" s="93">
        <v>0</v>
      </c>
      <c r="M659" s="93">
        <v>0</v>
      </c>
      <c r="N659" s="93">
        <v>0</v>
      </c>
      <c r="O659" s="93">
        <f t="shared" si="273"/>
        <v>0</v>
      </c>
      <c r="P659" s="93">
        <f t="shared" si="274"/>
        <v>0</v>
      </c>
      <c r="Q659" s="568"/>
      <c r="R659" s="568"/>
      <c r="S659" s="568"/>
      <c r="T659" s="568"/>
      <c r="U659" s="568"/>
      <c r="V659" s="568"/>
      <c r="W659" s="568"/>
      <c r="X659" s="568"/>
      <c r="Y659" s="568"/>
      <c r="Z659" s="568"/>
    </row>
    <row r="660" spans="1:26" ht="18.75" hidden="1">
      <c r="A660" s="563"/>
      <c r="B660" s="571"/>
      <c r="C660" s="723"/>
      <c r="D660" s="684"/>
      <c r="E660" s="723" t="s">
        <v>185</v>
      </c>
      <c r="F660" s="723"/>
      <c r="G660" s="567"/>
      <c r="H660" s="165" t="s">
        <v>12</v>
      </c>
      <c r="I660" s="583"/>
      <c r="J660" s="583"/>
      <c r="K660" s="93"/>
      <c r="L660" s="93">
        <f ca="1">IFERROR(__xludf.DUMMYFUNCTION("IMPORTRANGE(""https://docs.google.com/spreadsheets/d/1QqKyyYR6Q21VydFLVH3TRQUabQu_ym0Zz7PgGX0-kHA/edit?usp=sharing"",""แผน!HV17"")"),0)</f>
        <v>0</v>
      </c>
      <c r="M660" s="93">
        <v>0</v>
      </c>
      <c r="N660" s="93">
        <f>N661+N662+N663+N664</f>
        <v>0</v>
      </c>
      <c r="O660" s="93">
        <f t="shared" ca="1" si="273"/>
        <v>0</v>
      </c>
      <c r="P660" s="93">
        <f t="shared" si="274"/>
        <v>0</v>
      </c>
      <c r="Q660" s="568"/>
      <c r="R660" s="568"/>
      <c r="S660" s="568"/>
      <c r="T660" s="568"/>
      <c r="U660" s="568"/>
      <c r="V660" s="568"/>
      <c r="W660" s="568"/>
      <c r="X660" s="568"/>
      <c r="Y660" s="568"/>
      <c r="Z660" s="568"/>
    </row>
    <row r="661" spans="1:26" ht="18.75" hidden="1">
      <c r="A661" s="537"/>
      <c r="B661" s="538"/>
      <c r="C661" s="727"/>
      <c r="D661" s="727"/>
      <c r="E661" s="727"/>
      <c r="F661" s="727" t="s">
        <v>186</v>
      </c>
      <c r="G661" s="189"/>
      <c r="H661" s="161" t="s">
        <v>12</v>
      </c>
      <c r="I661" s="269"/>
      <c r="J661" s="269"/>
      <c r="K661" s="465"/>
      <c r="L661" s="465"/>
      <c r="M661" s="465"/>
      <c r="N661" s="789">
        <v>0</v>
      </c>
      <c r="O661" s="465"/>
      <c r="P661" s="465"/>
      <c r="Q661" s="541"/>
      <c r="R661" s="541"/>
      <c r="S661" s="541"/>
      <c r="T661" s="541"/>
      <c r="U661" s="541"/>
      <c r="V661" s="541"/>
      <c r="W661" s="541"/>
      <c r="X661" s="541"/>
      <c r="Y661" s="541"/>
      <c r="Z661" s="541"/>
    </row>
    <row r="662" spans="1:26" ht="18.75" hidden="1">
      <c r="A662" s="537"/>
      <c r="B662" s="538"/>
      <c r="C662" s="727"/>
      <c r="D662" s="727"/>
      <c r="E662" s="727"/>
      <c r="F662" s="727" t="s">
        <v>187</v>
      </c>
      <c r="G662" s="189"/>
      <c r="H662" s="161" t="s">
        <v>12</v>
      </c>
      <c r="I662" s="269"/>
      <c r="J662" s="269"/>
      <c r="K662" s="465"/>
      <c r="L662" s="465"/>
      <c r="M662" s="465"/>
      <c r="N662" s="789">
        <v>0</v>
      </c>
      <c r="O662" s="465"/>
      <c r="P662" s="465"/>
      <c r="Q662" s="541"/>
      <c r="R662" s="541"/>
      <c r="S662" s="541"/>
      <c r="T662" s="541"/>
      <c r="U662" s="541"/>
      <c r="V662" s="541"/>
      <c r="W662" s="541"/>
      <c r="X662" s="541"/>
      <c r="Y662" s="541"/>
      <c r="Z662" s="541"/>
    </row>
    <row r="663" spans="1:26" ht="18.75" hidden="1">
      <c r="A663" s="537"/>
      <c r="B663" s="538"/>
      <c r="C663" s="538"/>
      <c r="D663" s="727"/>
      <c r="E663" s="727"/>
      <c r="F663" s="727" t="s">
        <v>188</v>
      </c>
      <c r="G663" s="189"/>
      <c r="H663" s="161" t="s">
        <v>12</v>
      </c>
      <c r="I663" s="269"/>
      <c r="J663" s="269"/>
      <c r="K663" s="465"/>
      <c r="L663" s="465"/>
      <c r="M663" s="465"/>
      <c r="N663" s="789">
        <v>0</v>
      </c>
      <c r="O663" s="465"/>
      <c r="P663" s="465"/>
      <c r="Q663" s="541"/>
      <c r="R663" s="541"/>
      <c r="S663" s="541"/>
      <c r="T663" s="541"/>
      <c r="U663" s="541"/>
      <c r="V663" s="541"/>
      <c r="W663" s="541"/>
      <c r="X663" s="541"/>
      <c r="Y663" s="541"/>
      <c r="Z663" s="541"/>
    </row>
    <row r="664" spans="1:26" ht="18.75" hidden="1">
      <c r="A664" s="537"/>
      <c r="B664" s="538"/>
      <c r="C664" s="538"/>
      <c r="D664" s="538"/>
      <c r="E664" s="727"/>
      <c r="F664" s="727" t="s">
        <v>189</v>
      </c>
      <c r="G664" s="189"/>
      <c r="H664" s="161" t="s">
        <v>12</v>
      </c>
      <c r="I664" s="269"/>
      <c r="J664" s="269"/>
      <c r="K664" s="465"/>
      <c r="L664" s="465"/>
      <c r="M664" s="465"/>
      <c r="N664" s="789">
        <v>0</v>
      </c>
      <c r="O664" s="465"/>
      <c r="P664" s="465"/>
      <c r="Q664" s="541"/>
      <c r="R664" s="541"/>
      <c r="S664" s="541"/>
      <c r="T664" s="541"/>
      <c r="U664" s="541"/>
      <c r="V664" s="541"/>
      <c r="W664" s="541"/>
      <c r="X664" s="541"/>
      <c r="Y664" s="541"/>
      <c r="Z664" s="541"/>
    </row>
    <row r="665" spans="1:26" ht="18.75" hidden="1">
      <c r="A665" s="561"/>
      <c r="B665" s="538"/>
      <c r="C665" s="538"/>
      <c r="D665" s="570" t="s">
        <v>21</v>
      </c>
      <c r="E665" s="727"/>
      <c r="F665" s="727"/>
      <c r="G665" s="189"/>
      <c r="H665" s="168" t="s">
        <v>12</v>
      </c>
      <c r="I665" s="184"/>
      <c r="J665" s="184"/>
      <c r="K665" s="163"/>
      <c r="L665" s="465">
        <f t="shared" ref="L665:N665" si="277">L666+L667</f>
        <v>0</v>
      </c>
      <c r="M665" s="465">
        <f t="shared" si="277"/>
        <v>0</v>
      </c>
      <c r="N665" s="465">
        <f t="shared" si="277"/>
        <v>0</v>
      </c>
      <c r="O665" s="465">
        <f t="shared" ref="O665:O667" si="278">IF(L665&gt;0,N665*100/L665,0)</f>
        <v>0</v>
      </c>
      <c r="P665" s="465">
        <f t="shared" ref="P665:P667" si="279">IF(M665&gt;0,N665*100/M665,0)</f>
        <v>0</v>
      </c>
      <c r="Q665" s="541"/>
      <c r="R665" s="541"/>
      <c r="S665" s="541"/>
      <c r="T665" s="541"/>
      <c r="U665" s="541"/>
      <c r="V665" s="541"/>
      <c r="W665" s="541"/>
      <c r="X665" s="541"/>
      <c r="Y665" s="541"/>
      <c r="Z665" s="541"/>
    </row>
    <row r="666" spans="1:26" ht="18.75" hidden="1">
      <c r="A666" s="563"/>
      <c r="B666" s="571"/>
      <c r="C666" s="571"/>
      <c r="D666" s="571"/>
      <c r="E666" s="723" t="s">
        <v>18</v>
      </c>
      <c r="F666" s="723"/>
      <c r="G666" s="567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8"/>
        <v>0</v>
      </c>
      <c r="P666" s="93">
        <f t="shared" si="279"/>
        <v>0</v>
      </c>
      <c r="Q666" s="568"/>
      <c r="R666" s="568"/>
      <c r="S666" s="568"/>
      <c r="T666" s="568"/>
      <c r="U666" s="568"/>
      <c r="V666" s="568"/>
      <c r="W666" s="568"/>
      <c r="X666" s="568"/>
      <c r="Y666" s="568"/>
      <c r="Z666" s="568"/>
    </row>
    <row r="667" spans="1:26" ht="18.75" hidden="1">
      <c r="A667" s="563"/>
      <c r="B667" s="571"/>
      <c r="C667" s="571"/>
      <c r="D667" s="571"/>
      <c r="E667" s="723" t="s">
        <v>19</v>
      </c>
      <c r="F667" s="723"/>
      <c r="G667" s="567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8"/>
        <v>0</v>
      </c>
      <c r="P667" s="93">
        <f t="shared" si="279"/>
        <v>0</v>
      </c>
      <c r="Q667" s="568"/>
      <c r="R667" s="568"/>
      <c r="S667" s="568"/>
      <c r="T667" s="568"/>
      <c r="U667" s="568"/>
      <c r="V667" s="568"/>
      <c r="W667" s="568"/>
      <c r="X667" s="568"/>
      <c r="Y667" s="568"/>
      <c r="Z667" s="568"/>
    </row>
    <row r="668" spans="1:26" ht="19.5" hidden="1">
      <c r="A668" s="572"/>
      <c r="B668" s="584"/>
      <c r="C668" s="538" t="s">
        <v>16</v>
      </c>
      <c r="D668" s="850" t="s">
        <v>38</v>
      </c>
      <c r="E668" s="725"/>
      <c r="F668" s="725"/>
      <c r="G668" s="577"/>
      <c r="H668" s="726"/>
      <c r="I668" s="184"/>
      <c r="J668" s="184"/>
      <c r="K668" s="163"/>
      <c r="L668" s="163"/>
      <c r="M668" s="163"/>
      <c r="N668" s="163"/>
      <c r="O668" s="163"/>
      <c r="P668" s="163"/>
      <c r="Q668" s="541"/>
      <c r="R668" s="541"/>
      <c r="S668" s="541"/>
      <c r="T668" s="541"/>
      <c r="U668" s="541"/>
      <c r="V668" s="541"/>
      <c r="W668" s="541"/>
      <c r="X668" s="541"/>
      <c r="Y668" s="541"/>
      <c r="Z668" s="541"/>
    </row>
    <row r="669" spans="1:26" ht="19.5" hidden="1">
      <c r="A669" s="572"/>
      <c r="B669" s="584"/>
      <c r="C669" s="584"/>
      <c r="D669" s="584" t="s">
        <v>280</v>
      </c>
      <c r="E669" s="592"/>
      <c r="F669" s="592"/>
      <c r="G669" s="726"/>
      <c r="H669" s="731" t="s">
        <v>46</v>
      </c>
      <c r="I669" s="647">
        <f ca="1">IFERROR(__xludf.DUMMYFUNCTION("IMPORTRANGE(""https://docs.google.com/spreadsheets/d/1QqKyyYR6Q21VydFLVH3TRQUabQu_ym0Zz7PgGX0-kHA/edit?usp=sharing"",""แผน!IA17"")"),0)</f>
        <v>0</v>
      </c>
      <c r="J669" s="647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41"/>
      <c r="R669" s="541"/>
      <c r="S669" s="541"/>
      <c r="T669" s="541"/>
      <c r="U669" s="541"/>
      <c r="V669" s="541"/>
      <c r="W669" s="541"/>
      <c r="X669" s="541"/>
      <c r="Y669" s="541"/>
      <c r="Z669" s="541"/>
    </row>
    <row r="670" spans="1:26" ht="18.75" hidden="1">
      <c r="A670" s="572"/>
      <c r="B670" s="584"/>
      <c r="C670" s="584"/>
      <c r="D670" s="584"/>
      <c r="E670" s="592" t="s">
        <v>281</v>
      </c>
      <c r="F670" s="592"/>
      <c r="G670" s="726"/>
      <c r="H670" s="728" t="s">
        <v>69</v>
      </c>
      <c r="I670" s="269">
        <f ca="1">IFERROR(__xludf.DUMMYFUNCTION("IMPORTRANGE(""https://docs.google.com/spreadsheets/d/1QqKyyYR6Q21VydFLVH3TRQUabQu_ym0Zz7PgGX0-kHA/edit?usp=sharing"",""แผน!HZ17"")"),0)</f>
        <v>0</v>
      </c>
      <c r="J670" s="214">
        <v>0</v>
      </c>
      <c r="K670" s="465">
        <f ca="1">IF(I670&gt;0,(J670*100)/I670,0)</f>
        <v>0</v>
      </c>
      <c r="L670" s="163"/>
      <c r="M670" s="163"/>
      <c r="N670" s="163"/>
      <c r="O670" s="163"/>
      <c r="P670" s="163"/>
      <c r="Q670" s="541"/>
      <c r="R670" s="541"/>
      <c r="S670" s="541"/>
      <c r="T670" s="541"/>
      <c r="U670" s="541"/>
      <c r="V670" s="541"/>
      <c r="W670" s="541"/>
      <c r="X670" s="541"/>
      <c r="Y670" s="541"/>
      <c r="Z670" s="541"/>
    </row>
    <row r="671" spans="1:26" ht="18.75" hidden="1">
      <c r="A671" s="572"/>
      <c r="B671" s="584"/>
      <c r="C671" s="584"/>
      <c r="D671" s="584"/>
      <c r="E671" s="592" t="s">
        <v>282</v>
      </c>
      <c r="F671" s="592"/>
      <c r="G671" s="726"/>
      <c r="H671" s="728" t="s">
        <v>69</v>
      </c>
      <c r="I671" s="269">
        <f ca="1">IFERROR(__xludf.DUMMYFUNCTION("IMPORTRANGE(""https://docs.google.com/spreadsheets/d/1QqKyyYR6Q21VydFLVH3TRQUabQu_ym0Zz7PgGX0-kHA/edit?usp=sharing"",""แผน!HZ17"")"),0)</f>
        <v>0</v>
      </c>
      <c r="J671" s="214">
        <v>0</v>
      </c>
      <c r="K671" s="465">
        <f ca="1">IF(I$671&gt;0,J671*100/I$671,0)</f>
        <v>0</v>
      </c>
      <c r="L671" s="163"/>
      <c r="M671" s="163"/>
      <c r="N671" s="163"/>
      <c r="O671" s="163"/>
      <c r="P671" s="163"/>
      <c r="Q671" s="541"/>
      <c r="R671" s="541"/>
      <c r="S671" s="541"/>
      <c r="T671" s="541"/>
      <c r="U671" s="541"/>
      <c r="V671" s="541"/>
      <c r="W671" s="541"/>
      <c r="X671" s="541"/>
      <c r="Y671" s="541"/>
      <c r="Z671" s="541"/>
    </row>
    <row r="672" spans="1:26" ht="18.75" hidden="1">
      <c r="A672" s="572"/>
      <c r="B672" s="584"/>
      <c r="C672" s="584"/>
      <c r="D672" s="584"/>
      <c r="E672" s="592" t="s">
        <v>283</v>
      </c>
      <c r="F672" s="592"/>
      <c r="G672" s="726"/>
      <c r="H672" s="728" t="s">
        <v>46</v>
      </c>
      <c r="I672" s="269"/>
      <c r="J672" s="214">
        <v>0</v>
      </c>
      <c r="K672" s="465">
        <f t="shared" ref="K672:K675" ca="1" si="280">IF(I$669&gt;0,J672*100/I$669,0)</f>
        <v>0</v>
      </c>
      <c r="L672" s="163"/>
      <c r="M672" s="163"/>
      <c r="N672" s="163"/>
      <c r="O672" s="163"/>
      <c r="P672" s="163"/>
      <c r="Q672" s="541"/>
      <c r="R672" s="541"/>
      <c r="S672" s="541"/>
      <c r="T672" s="541"/>
      <c r="U672" s="541"/>
      <c r="V672" s="541"/>
      <c r="W672" s="541"/>
      <c r="X672" s="541"/>
      <c r="Y672" s="541"/>
      <c r="Z672" s="541"/>
    </row>
    <row r="673" spans="1:26" ht="18.75" hidden="1">
      <c r="A673" s="572"/>
      <c r="B673" s="584"/>
      <c r="C673" s="584"/>
      <c r="D673" s="584"/>
      <c r="E673" s="592" t="s">
        <v>284</v>
      </c>
      <c r="F673" s="592"/>
      <c r="G673" s="726"/>
      <c r="H673" s="728" t="s">
        <v>46</v>
      </c>
      <c r="I673" s="269"/>
      <c r="J673" s="214">
        <v>0</v>
      </c>
      <c r="K673" s="465">
        <f t="shared" ca="1" si="280"/>
        <v>0</v>
      </c>
      <c r="L673" s="163"/>
      <c r="M673" s="163"/>
      <c r="N673" s="163"/>
      <c r="O673" s="163"/>
      <c r="P673" s="163"/>
      <c r="Q673" s="541"/>
      <c r="R673" s="541"/>
      <c r="S673" s="541"/>
      <c r="T673" s="541"/>
      <c r="U673" s="541"/>
      <c r="V673" s="541"/>
      <c r="W673" s="541"/>
      <c r="X673" s="541"/>
      <c r="Y673" s="541"/>
      <c r="Z673" s="541"/>
    </row>
    <row r="674" spans="1:26" ht="18.75" hidden="1">
      <c r="A674" s="572"/>
      <c r="B674" s="584"/>
      <c r="C674" s="584"/>
      <c r="D674" s="584"/>
      <c r="E674" s="592" t="s">
        <v>285</v>
      </c>
      <c r="F674" s="592"/>
      <c r="G674" s="726"/>
      <c r="H674" s="728" t="s">
        <v>46</v>
      </c>
      <c r="I674" s="269"/>
      <c r="J674" s="214">
        <v>0</v>
      </c>
      <c r="K674" s="465">
        <f t="shared" ca="1" si="280"/>
        <v>0</v>
      </c>
      <c r="L674" s="163"/>
      <c r="M674" s="163"/>
      <c r="N674" s="163"/>
      <c r="O674" s="163"/>
      <c r="P674" s="163"/>
      <c r="Q674" s="541"/>
      <c r="R674" s="541"/>
      <c r="S674" s="541"/>
      <c r="T674" s="541"/>
      <c r="U674" s="541"/>
      <c r="V674" s="541"/>
      <c r="W674" s="541"/>
      <c r="X674" s="541"/>
      <c r="Y674" s="541"/>
      <c r="Z674" s="541"/>
    </row>
    <row r="675" spans="1:26" ht="19.5" hidden="1">
      <c r="A675" s="572"/>
      <c r="B675" s="584"/>
      <c r="C675" s="584"/>
      <c r="D675" s="584"/>
      <c r="E675" s="592" t="s">
        <v>286</v>
      </c>
      <c r="F675" s="592"/>
      <c r="G675" s="726"/>
      <c r="H675" s="728" t="s">
        <v>46</v>
      </c>
      <c r="I675" s="269"/>
      <c r="J675" s="647">
        <f>J676+J677</f>
        <v>0</v>
      </c>
      <c r="K675" s="195">
        <f t="shared" ca="1" si="280"/>
        <v>0</v>
      </c>
      <c r="L675" s="163"/>
      <c r="M675" s="163"/>
      <c r="N675" s="163"/>
      <c r="O675" s="163"/>
      <c r="P675" s="163"/>
      <c r="Q675" s="541"/>
      <c r="R675" s="541"/>
      <c r="S675" s="541"/>
      <c r="T675" s="541"/>
      <c r="U675" s="541"/>
      <c r="V675" s="541"/>
      <c r="W675" s="541"/>
      <c r="X675" s="541"/>
      <c r="Y675" s="541"/>
      <c r="Z675" s="541"/>
    </row>
    <row r="676" spans="1:26" ht="18.75" hidden="1">
      <c r="A676" s="572"/>
      <c r="B676" s="584"/>
      <c r="C676" s="584"/>
      <c r="D676" s="584"/>
      <c r="E676" s="592"/>
      <c r="F676" s="592" t="s">
        <v>287</v>
      </c>
      <c r="G676" s="726"/>
      <c r="H676" s="728" t="s">
        <v>46</v>
      </c>
      <c r="I676" s="269"/>
      <c r="J676" s="214">
        <v>0</v>
      </c>
      <c r="K676" s="465"/>
      <c r="L676" s="163"/>
      <c r="M676" s="163"/>
      <c r="N676" s="163"/>
      <c r="O676" s="163"/>
      <c r="P676" s="163"/>
      <c r="Q676" s="541"/>
      <c r="R676" s="541"/>
      <c r="S676" s="541"/>
      <c r="T676" s="541"/>
      <c r="U676" s="541"/>
      <c r="V676" s="541"/>
      <c r="W676" s="541"/>
      <c r="X676" s="541"/>
      <c r="Y676" s="541"/>
      <c r="Z676" s="541"/>
    </row>
    <row r="677" spans="1:26" ht="18.75" hidden="1">
      <c r="A677" s="572"/>
      <c r="B677" s="584"/>
      <c r="C677" s="584"/>
      <c r="D677" s="584"/>
      <c r="E677" s="592"/>
      <c r="F677" s="592" t="s">
        <v>288</v>
      </c>
      <c r="G677" s="726"/>
      <c r="H677" s="728" t="s">
        <v>46</v>
      </c>
      <c r="I677" s="269"/>
      <c r="J677" s="214">
        <v>0</v>
      </c>
      <c r="K677" s="465"/>
      <c r="L677" s="163"/>
      <c r="M677" s="163"/>
      <c r="N677" s="163"/>
      <c r="O677" s="163"/>
      <c r="P677" s="163"/>
      <c r="Q677" s="541"/>
      <c r="R677" s="541"/>
      <c r="S677" s="541"/>
      <c r="T677" s="541"/>
      <c r="U677" s="541"/>
      <c r="V677" s="541"/>
      <c r="W677" s="541"/>
      <c r="X677" s="541"/>
      <c r="Y677" s="541"/>
      <c r="Z677" s="541"/>
    </row>
    <row r="678" spans="1:26" ht="19.5" hidden="1">
      <c r="A678" s="572"/>
      <c r="B678" s="584"/>
      <c r="C678" s="584"/>
      <c r="D678" s="584" t="s">
        <v>289</v>
      </c>
      <c r="E678" s="592"/>
      <c r="F678" s="592"/>
      <c r="G678" s="726"/>
      <c r="H678" s="728" t="s">
        <v>46</v>
      </c>
      <c r="I678" s="647">
        <f ca="1">IFERROR(__xludf.DUMMYFUNCTION("IMPORTRANGE(""https://docs.google.com/spreadsheets/d/1QqKyyYR6Q21VydFLVH3TRQUabQu_ym0Zz7PgGX0-kHA/edit?usp=sharing"",""แผน!IB17"")"),0)</f>
        <v>0</v>
      </c>
      <c r="J678" s="647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41"/>
      <c r="R678" s="541"/>
      <c r="S678" s="541"/>
      <c r="T678" s="541"/>
      <c r="U678" s="541"/>
      <c r="V678" s="541"/>
      <c r="W678" s="541"/>
      <c r="X678" s="541"/>
      <c r="Y678" s="541"/>
      <c r="Z678" s="541"/>
    </row>
    <row r="679" spans="1:26" ht="18.75" hidden="1">
      <c r="A679" s="572"/>
      <c r="B679" s="584"/>
      <c r="C679" s="584"/>
      <c r="D679" s="584"/>
      <c r="E679" s="592" t="s">
        <v>290</v>
      </c>
      <c r="F679" s="592"/>
      <c r="G679" s="726"/>
      <c r="H679" s="728" t="s">
        <v>46</v>
      </c>
      <c r="I679" s="269"/>
      <c r="J679" s="269">
        <f>J680+J681</f>
        <v>0</v>
      </c>
      <c r="K679" s="465"/>
      <c r="L679" s="163"/>
      <c r="M679" s="163"/>
      <c r="N679" s="163"/>
      <c r="O679" s="163"/>
      <c r="P679" s="163"/>
      <c r="Q679" s="541"/>
      <c r="R679" s="541"/>
      <c r="S679" s="541"/>
      <c r="T679" s="541"/>
      <c r="U679" s="541"/>
      <c r="V679" s="541"/>
      <c r="W679" s="541"/>
      <c r="X679" s="541"/>
      <c r="Y679" s="541"/>
      <c r="Z679" s="541"/>
    </row>
    <row r="680" spans="1:26" ht="18.75" hidden="1">
      <c r="A680" s="572"/>
      <c r="B680" s="584"/>
      <c r="C680" s="584"/>
      <c r="D680" s="584"/>
      <c r="E680" s="592"/>
      <c r="F680" s="592" t="s">
        <v>287</v>
      </c>
      <c r="G680" s="726"/>
      <c r="H680" s="728" t="s">
        <v>46</v>
      </c>
      <c r="I680" s="269"/>
      <c r="J680" s="214">
        <v>0</v>
      </c>
      <c r="K680" s="465"/>
      <c r="L680" s="163"/>
      <c r="M680" s="163"/>
      <c r="N680" s="163"/>
      <c r="O680" s="163"/>
      <c r="P680" s="163"/>
      <c r="Q680" s="541"/>
      <c r="R680" s="541"/>
      <c r="S680" s="541"/>
      <c r="T680" s="541"/>
      <c r="U680" s="541"/>
      <c r="V680" s="541"/>
      <c r="W680" s="541"/>
      <c r="X680" s="541"/>
      <c r="Y680" s="541"/>
      <c r="Z680" s="541"/>
    </row>
    <row r="681" spans="1:26" ht="18.75" hidden="1">
      <c r="A681" s="572"/>
      <c r="B681" s="584"/>
      <c r="C681" s="584"/>
      <c r="D681" s="584"/>
      <c r="E681" s="592"/>
      <c r="F681" s="592" t="s">
        <v>288</v>
      </c>
      <c r="G681" s="726"/>
      <c r="H681" s="728" t="s">
        <v>46</v>
      </c>
      <c r="I681" s="269"/>
      <c r="J681" s="214">
        <v>0</v>
      </c>
      <c r="K681" s="465"/>
      <c r="L681" s="163"/>
      <c r="M681" s="163"/>
      <c r="N681" s="163"/>
      <c r="O681" s="163"/>
      <c r="P681" s="163"/>
      <c r="Q681" s="541"/>
      <c r="R681" s="541"/>
      <c r="S681" s="541"/>
      <c r="T681" s="541"/>
      <c r="U681" s="541"/>
      <c r="V681" s="541"/>
      <c r="W681" s="541"/>
      <c r="X681" s="541"/>
      <c r="Y681" s="541"/>
      <c r="Z681" s="541"/>
    </row>
    <row r="682" spans="1:26" ht="18.75" hidden="1">
      <c r="A682" s="572"/>
      <c r="B682" s="584"/>
      <c r="C682" s="584"/>
      <c r="D682" s="584"/>
      <c r="E682" s="592" t="s">
        <v>291</v>
      </c>
      <c r="F682" s="592"/>
      <c r="G682" s="726"/>
      <c r="H682" s="728" t="s">
        <v>46</v>
      </c>
      <c r="I682" s="269"/>
      <c r="J682" s="214">
        <v>0</v>
      </c>
      <c r="K682" s="465"/>
      <c r="L682" s="163"/>
      <c r="M682" s="163"/>
      <c r="N682" s="163"/>
      <c r="O682" s="163"/>
      <c r="P682" s="163"/>
      <c r="Q682" s="541"/>
      <c r="R682" s="541"/>
      <c r="S682" s="541"/>
      <c r="T682" s="541"/>
      <c r="U682" s="541"/>
      <c r="V682" s="541"/>
      <c r="W682" s="541"/>
      <c r="X682" s="541"/>
      <c r="Y682" s="541"/>
      <c r="Z682" s="541"/>
    </row>
    <row r="683" spans="1:26" ht="18.75" hidden="1">
      <c r="A683" s="572"/>
      <c r="B683" s="584"/>
      <c r="C683" s="584"/>
      <c r="D683" s="584"/>
      <c r="E683" s="592"/>
      <c r="F683" s="592" t="s">
        <v>292</v>
      </c>
      <c r="G683" s="726"/>
      <c r="H683" s="728" t="s">
        <v>46</v>
      </c>
      <c r="I683" s="269"/>
      <c r="J683" s="214">
        <v>0</v>
      </c>
      <c r="K683" s="465"/>
      <c r="L683" s="163"/>
      <c r="M683" s="163"/>
      <c r="N683" s="163"/>
      <c r="O683" s="163"/>
      <c r="P683" s="163"/>
      <c r="Q683" s="541"/>
      <c r="R683" s="541"/>
      <c r="S683" s="541"/>
      <c r="T683" s="541"/>
      <c r="U683" s="541"/>
      <c r="V683" s="541"/>
      <c r="W683" s="541"/>
      <c r="X683" s="541"/>
      <c r="Y683" s="541"/>
      <c r="Z683" s="541"/>
    </row>
    <row r="684" spans="1:26" ht="19.5" hidden="1">
      <c r="A684" s="717"/>
      <c r="B684" s="718" t="s">
        <v>293</v>
      </c>
      <c r="C684" s="717"/>
      <c r="D684" s="717"/>
      <c r="E684" s="717"/>
      <c r="F684" s="717"/>
      <c r="G684" s="719"/>
      <c r="H684" s="719"/>
      <c r="I684" s="720"/>
      <c r="J684" s="720"/>
      <c r="K684" s="721"/>
      <c r="L684" s="721"/>
      <c r="M684" s="721"/>
      <c r="N684" s="721"/>
      <c r="O684" s="721"/>
      <c r="P684" s="721"/>
      <c r="Q684" s="541"/>
      <c r="R684" s="541"/>
      <c r="S684" s="541"/>
      <c r="T684" s="541"/>
      <c r="U684" s="541"/>
      <c r="V684" s="541"/>
      <c r="W684" s="541"/>
      <c r="X684" s="541"/>
      <c r="Y684" s="541"/>
      <c r="Z684" s="541"/>
    </row>
    <row r="685" spans="1:26" ht="19.5" hidden="1">
      <c r="A685" s="561"/>
      <c r="B685" s="727"/>
      <c r="C685" s="727" t="s">
        <v>16</v>
      </c>
      <c r="D685" s="811" t="s">
        <v>17</v>
      </c>
      <c r="E685" s="805"/>
      <c r="F685" s="805"/>
      <c r="G685" s="189"/>
      <c r="H685" s="562" t="s">
        <v>12</v>
      </c>
      <c r="I685" s="269"/>
      <c r="J685" s="269"/>
      <c r="K685" s="465"/>
      <c r="L685" s="195">
        <f t="shared" ref="L685:N685" ca="1" si="281">L686+L687</f>
        <v>0</v>
      </c>
      <c r="M685" s="195">
        <f t="shared" si="281"/>
        <v>0</v>
      </c>
      <c r="N685" s="195">
        <f t="shared" si="281"/>
        <v>0</v>
      </c>
      <c r="O685" s="195">
        <f t="shared" ref="O685:O688" ca="1" si="282">IF(L685&gt;0,N685*100/L685,0)</f>
        <v>0</v>
      </c>
      <c r="P685" s="195">
        <f t="shared" ref="P685:P688" si="283">IF(M685&gt;0,N685*100/M685,0)</f>
        <v>0</v>
      </c>
      <c r="Q685" s="541"/>
      <c r="R685" s="541"/>
      <c r="S685" s="541"/>
      <c r="T685" s="541"/>
      <c r="U685" s="541"/>
      <c r="V685" s="541"/>
      <c r="W685" s="541"/>
      <c r="X685" s="541"/>
      <c r="Y685" s="541"/>
      <c r="Z685" s="541"/>
    </row>
    <row r="686" spans="1:26" ht="18.75" hidden="1">
      <c r="A686" s="563"/>
      <c r="B686" s="723"/>
      <c r="C686" s="723"/>
      <c r="D686" s="684"/>
      <c r="E686" s="723" t="s">
        <v>184</v>
      </c>
      <c r="F686" s="723"/>
      <c r="G686" s="567"/>
      <c r="H686" s="165" t="s">
        <v>12</v>
      </c>
      <c r="I686" s="583"/>
      <c r="J686" s="583"/>
      <c r="K686" s="93"/>
      <c r="L686" s="93">
        <f t="shared" ref="L686:N687" si="284">L689+L696</f>
        <v>0</v>
      </c>
      <c r="M686" s="93">
        <f t="shared" si="284"/>
        <v>0</v>
      </c>
      <c r="N686" s="93">
        <f t="shared" si="284"/>
        <v>0</v>
      </c>
      <c r="O686" s="93">
        <f t="shared" si="282"/>
        <v>0</v>
      </c>
      <c r="P686" s="93">
        <f t="shared" si="283"/>
        <v>0</v>
      </c>
      <c r="Q686" s="568"/>
      <c r="R686" s="568"/>
      <c r="S686" s="568"/>
      <c r="T686" s="568"/>
      <c r="U686" s="568"/>
      <c r="V686" s="568"/>
      <c r="W686" s="568"/>
      <c r="X686" s="568"/>
      <c r="Y686" s="568"/>
      <c r="Z686" s="568"/>
    </row>
    <row r="687" spans="1:26" ht="18.75" hidden="1">
      <c r="A687" s="563"/>
      <c r="B687" s="571"/>
      <c r="C687" s="723"/>
      <c r="D687" s="684"/>
      <c r="E687" s="723" t="s">
        <v>185</v>
      </c>
      <c r="F687" s="723"/>
      <c r="G687" s="567"/>
      <c r="H687" s="165" t="s">
        <v>12</v>
      </c>
      <c r="I687" s="583"/>
      <c r="J687" s="583"/>
      <c r="K687" s="93"/>
      <c r="L687" s="93">
        <f t="shared" ca="1" si="284"/>
        <v>0</v>
      </c>
      <c r="M687" s="93">
        <f t="shared" si="284"/>
        <v>0</v>
      </c>
      <c r="N687" s="93">
        <f t="shared" si="284"/>
        <v>0</v>
      </c>
      <c r="O687" s="93">
        <f t="shared" ca="1" si="282"/>
        <v>0</v>
      </c>
      <c r="P687" s="93">
        <f t="shared" si="283"/>
        <v>0</v>
      </c>
      <c r="Q687" s="568"/>
      <c r="R687" s="568"/>
      <c r="S687" s="568"/>
      <c r="T687" s="568"/>
      <c r="U687" s="568"/>
      <c r="V687" s="568"/>
      <c r="W687" s="568"/>
      <c r="X687" s="568"/>
      <c r="Y687" s="568"/>
      <c r="Z687" s="568"/>
    </row>
    <row r="688" spans="1:26" ht="18.75" hidden="1">
      <c r="A688" s="561"/>
      <c r="B688" s="538"/>
      <c r="C688" s="727"/>
      <c r="D688" s="570" t="s">
        <v>20</v>
      </c>
      <c r="E688" s="727"/>
      <c r="F688" s="727"/>
      <c r="G688" s="189"/>
      <c r="H688" s="161" t="s">
        <v>12</v>
      </c>
      <c r="I688" s="184"/>
      <c r="J688" s="184"/>
      <c r="K688" s="163"/>
      <c r="L688" s="465">
        <f t="shared" ref="L688:N688" ca="1" si="285">L689+L690</f>
        <v>0</v>
      </c>
      <c r="M688" s="465">
        <f t="shared" si="285"/>
        <v>0</v>
      </c>
      <c r="N688" s="465">
        <f t="shared" si="285"/>
        <v>0</v>
      </c>
      <c r="O688" s="465">
        <f t="shared" ca="1" si="282"/>
        <v>0</v>
      </c>
      <c r="P688" s="465">
        <f t="shared" si="283"/>
        <v>0</v>
      </c>
      <c r="Q688" s="541"/>
      <c r="R688" s="541"/>
      <c r="S688" s="541"/>
      <c r="T688" s="541"/>
      <c r="U688" s="541"/>
      <c r="V688" s="541"/>
      <c r="W688" s="541"/>
      <c r="X688" s="541"/>
      <c r="Y688" s="541"/>
      <c r="Z688" s="541"/>
    </row>
    <row r="689" spans="1:26" ht="18.75" hidden="1">
      <c r="A689" s="563"/>
      <c r="B689" s="571"/>
      <c r="C689" s="723"/>
      <c r="D689" s="684"/>
      <c r="E689" s="723" t="s">
        <v>184</v>
      </c>
      <c r="F689" s="723"/>
      <c r="G689" s="567"/>
      <c r="H689" s="165" t="s">
        <v>12</v>
      </c>
      <c r="I689" s="583"/>
      <c r="J689" s="583"/>
      <c r="K689" s="93"/>
      <c r="L689" s="93">
        <v>0</v>
      </c>
      <c r="M689" s="93">
        <v>0</v>
      </c>
      <c r="N689" s="93">
        <v>0</v>
      </c>
      <c r="O689" s="93"/>
      <c r="P689" s="93"/>
      <c r="Q689" s="568"/>
      <c r="R689" s="568"/>
      <c r="S689" s="568"/>
      <c r="T689" s="568"/>
      <c r="U689" s="568"/>
      <c r="V689" s="568"/>
      <c r="W689" s="568"/>
      <c r="X689" s="568"/>
      <c r="Y689" s="568"/>
      <c r="Z689" s="568"/>
    </row>
    <row r="690" spans="1:26" ht="18.75" hidden="1">
      <c r="A690" s="563"/>
      <c r="B690" s="571"/>
      <c r="C690" s="723"/>
      <c r="D690" s="684"/>
      <c r="E690" s="723" t="s">
        <v>185</v>
      </c>
      <c r="F690" s="723"/>
      <c r="G690" s="567"/>
      <c r="H690" s="165" t="s">
        <v>12</v>
      </c>
      <c r="I690" s="583"/>
      <c r="J690" s="583"/>
      <c r="K690" s="93"/>
      <c r="L690" s="93">
        <f ca="1">IFERROR(__xludf.DUMMYFUNCTION("IMPORTRANGE(""https://docs.google.com/spreadsheets/d/1QqKyyYR6Q21VydFLVH3TRQUabQu_ym0Zz7PgGX0-kHA/edit?usp=sharing"",""แผน!HW17"")"),0)</f>
        <v>0</v>
      </c>
      <c r="M690" s="93">
        <v>0</v>
      </c>
      <c r="N690" s="93">
        <f>N691+N692+N693+N694</f>
        <v>0</v>
      </c>
      <c r="O690" s="93">
        <f ca="1">IF(L690&gt;0,N690*100/L690,0)</f>
        <v>0</v>
      </c>
      <c r="P690" s="93">
        <f>IF(M690&gt;0,N690*100/M690,0)</f>
        <v>0</v>
      </c>
      <c r="Q690" s="568"/>
      <c r="R690" s="568"/>
      <c r="S690" s="568"/>
      <c r="T690" s="568"/>
      <c r="U690" s="568"/>
      <c r="V690" s="568"/>
      <c r="W690" s="568"/>
      <c r="X690" s="568"/>
      <c r="Y690" s="568"/>
      <c r="Z690" s="568"/>
    </row>
    <row r="691" spans="1:26" ht="18.75" hidden="1">
      <c r="A691" s="537"/>
      <c r="B691" s="538"/>
      <c r="C691" s="727"/>
      <c r="D691" s="727"/>
      <c r="E691" s="727"/>
      <c r="F691" s="727" t="s">
        <v>186</v>
      </c>
      <c r="G691" s="189"/>
      <c r="H691" s="161" t="s">
        <v>12</v>
      </c>
      <c r="I691" s="269"/>
      <c r="J691" s="269"/>
      <c r="K691" s="465"/>
      <c r="L691" s="465"/>
      <c r="M691" s="465"/>
      <c r="N691" s="789">
        <v>0</v>
      </c>
      <c r="O691" s="465"/>
      <c r="P691" s="465"/>
      <c r="Q691" s="541"/>
      <c r="R691" s="541"/>
      <c r="S691" s="541"/>
      <c r="T691" s="541"/>
      <c r="U691" s="541"/>
      <c r="V691" s="541"/>
      <c r="W691" s="541"/>
      <c r="X691" s="541"/>
      <c r="Y691" s="541"/>
      <c r="Z691" s="541"/>
    </row>
    <row r="692" spans="1:26" ht="18.75" hidden="1">
      <c r="A692" s="537"/>
      <c r="B692" s="538"/>
      <c r="C692" s="727"/>
      <c r="D692" s="727"/>
      <c r="E692" s="727"/>
      <c r="F692" s="727" t="s">
        <v>187</v>
      </c>
      <c r="G692" s="189"/>
      <c r="H692" s="161" t="s">
        <v>12</v>
      </c>
      <c r="I692" s="269"/>
      <c r="J692" s="269"/>
      <c r="K692" s="465"/>
      <c r="L692" s="465"/>
      <c r="M692" s="465"/>
      <c r="N692" s="789">
        <v>0</v>
      </c>
      <c r="O692" s="465"/>
      <c r="P692" s="465"/>
      <c r="Q692" s="541"/>
      <c r="R692" s="541"/>
      <c r="S692" s="541"/>
      <c r="T692" s="541"/>
      <c r="U692" s="541"/>
      <c r="V692" s="541"/>
      <c r="W692" s="541"/>
      <c r="X692" s="541"/>
      <c r="Y692" s="541"/>
      <c r="Z692" s="541"/>
    </row>
    <row r="693" spans="1:26" ht="18.75" hidden="1">
      <c r="A693" s="537"/>
      <c r="B693" s="538"/>
      <c r="C693" s="727"/>
      <c r="D693" s="727"/>
      <c r="E693" s="727"/>
      <c r="F693" s="727" t="s">
        <v>188</v>
      </c>
      <c r="G693" s="189"/>
      <c r="H693" s="161" t="s">
        <v>12</v>
      </c>
      <c r="I693" s="269"/>
      <c r="J693" s="269"/>
      <c r="K693" s="465"/>
      <c r="L693" s="465"/>
      <c r="M693" s="465"/>
      <c r="N693" s="789">
        <v>0</v>
      </c>
      <c r="O693" s="465"/>
      <c r="P693" s="465"/>
      <c r="Q693" s="541"/>
      <c r="R693" s="541"/>
      <c r="S693" s="541"/>
      <c r="T693" s="541"/>
      <c r="U693" s="541"/>
      <c r="V693" s="541"/>
      <c r="W693" s="541"/>
      <c r="X693" s="541"/>
      <c r="Y693" s="541"/>
      <c r="Z693" s="541"/>
    </row>
    <row r="694" spans="1:26" ht="18.75" hidden="1">
      <c r="A694" s="537"/>
      <c r="B694" s="538"/>
      <c r="C694" s="727"/>
      <c r="D694" s="727"/>
      <c r="E694" s="727"/>
      <c r="F694" s="727" t="s">
        <v>189</v>
      </c>
      <c r="G694" s="189"/>
      <c r="H694" s="161" t="s">
        <v>12</v>
      </c>
      <c r="I694" s="269"/>
      <c r="J694" s="269"/>
      <c r="K694" s="465"/>
      <c r="L694" s="465"/>
      <c r="M694" s="465"/>
      <c r="N694" s="789">
        <v>0</v>
      </c>
      <c r="O694" s="465"/>
      <c r="P694" s="465"/>
      <c r="Q694" s="541"/>
      <c r="R694" s="541"/>
      <c r="S694" s="541"/>
      <c r="T694" s="541"/>
      <c r="U694" s="541"/>
      <c r="V694" s="541"/>
      <c r="W694" s="541"/>
      <c r="X694" s="541"/>
      <c r="Y694" s="541"/>
      <c r="Z694" s="541"/>
    </row>
    <row r="695" spans="1:26" ht="18.75" hidden="1">
      <c r="A695" s="561"/>
      <c r="B695" s="538"/>
      <c r="C695" s="727"/>
      <c r="D695" s="570" t="s">
        <v>21</v>
      </c>
      <c r="E695" s="727"/>
      <c r="F695" s="727"/>
      <c r="G695" s="189"/>
      <c r="H695" s="168" t="s">
        <v>12</v>
      </c>
      <c r="I695" s="184"/>
      <c r="J695" s="184"/>
      <c r="K695" s="163"/>
      <c r="L695" s="465">
        <f t="shared" ref="L695:N695" si="286">L696+L697</f>
        <v>0</v>
      </c>
      <c r="M695" s="465">
        <f t="shared" si="286"/>
        <v>0</v>
      </c>
      <c r="N695" s="465">
        <f t="shared" si="286"/>
        <v>0</v>
      </c>
      <c r="O695" s="465">
        <f t="shared" ref="O695:O697" si="287">IF(L695&gt;0,N695*100/L695,0)</f>
        <v>0</v>
      </c>
      <c r="P695" s="465">
        <f t="shared" ref="P695:P697" si="288">IF(M695&gt;0,N695*100/M695,0)</f>
        <v>0</v>
      </c>
      <c r="Q695" s="541"/>
      <c r="R695" s="541"/>
      <c r="S695" s="541"/>
      <c r="T695" s="541"/>
      <c r="U695" s="541"/>
      <c r="V695" s="541"/>
      <c r="W695" s="541"/>
      <c r="X695" s="541"/>
      <c r="Y695" s="541"/>
      <c r="Z695" s="541"/>
    </row>
    <row r="696" spans="1:26" ht="18.75" hidden="1">
      <c r="A696" s="563"/>
      <c r="B696" s="571"/>
      <c r="C696" s="723"/>
      <c r="D696" s="723"/>
      <c r="E696" s="723" t="s">
        <v>18</v>
      </c>
      <c r="F696" s="723"/>
      <c r="G696" s="567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7"/>
        <v>0</v>
      </c>
      <c r="P696" s="93">
        <f t="shared" si="288"/>
        <v>0</v>
      </c>
      <c r="Q696" s="568"/>
      <c r="R696" s="568"/>
      <c r="S696" s="568"/>
      <c r="T696" s="568"/>
      <c r="U696" s="568"/>
      <c r="V696" s="568"/>
      <c r="W696" s="568"/>
      <c r="X696" s="568"/>
      <c r="Y696" s="568"/>
      <c r="Z696" s="568"/>
    </row>
    <row r="697" spans="1:26" ht="18.75" hidden="1">
      <c r="A697" s="563"/>
      <c r="B697" s="571"/>
      <c r="C697" s="723"/>
      <c r="D697" s="723"/>
      <c r="E697" s="723" t="s">
        <v>19</v>
      </c>
      <c r="F697" s="723"/>
      <c r="G697" s="567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7"/>
        <v>0</v>
      </c>
      <c r="P697" s="93">
        <f t="shared" si="288"/>
        <v>0</v>
      </c>
      <c r="Q697" s="568"/>
      <c r="R697" s="568"/>
      <c r="S697" s="568"/>
      <c r="T697" s="568"/>
      <c r="U697" s="568"/>
      <c r="V697" s="568"/>
      <c r="W697" s="568"/>
      <c r="X697" s="568"/>
      <c r="Y697" s="568"/>
      <c r="Z697" s="568"/>
    </row>
    <row r="698" spans="1:26" ht="19.5" hidden="1">
      <c r="A698" s="572"/>
      <c r="B698" s="584"/>
      <c r="C698" s="727" t="s">
        <v>16</v>
      </c>
      <c r="D698" s="855" t="s">
        <v>38</v>
      </c>
      <c r="E698" s="725"/>
      <c r="F698" s="725"/>
      <c r="G698" s="577"/>
      <c r="H698" s="726"/>
      <c r="I698" s="184"/>
      <c r="J698" s="184"/>
      <c r="K698" s="163"/>
      <c r="L698" s="163"/>
      <c r="M698" s="163"/>
      <c r="N698" s="163"/>
      <c r="O698" s="163"/>
      <c r="P698" s="163"/>
      <c r="Q698" s="541"/>
      <c r="R698" s="541"/>
      <c r="S698" s="541"/>
      <c r="T698" s="541"/>
      <c r="U698" s="541"/>
      <c r="V698" s="541"/>
      <c r="W698" s="541"/>
      <c r="X698" s="541"/>
      <c r="Y698" s="541"/>
      <c r="Z698" s="541"/>
    </row>
    <row r="699" spans="1:26" ht="18.75" hidden="1">
      <c r="A699" s="708"/>
      <c r="B699" s="727"/>
      <c r="C699" s="727"/>
      <c r="D699" s="727" t="s">
        <v>294</v>
      </c>
      <c r="E699" s="727"/>
      <c r="F699" s="727"/>
      <c r="G699" s="189"/>
      <c r="H699" s="728" t="s">
        <v>46</v>
      </c>
      <c r="I699" s="729">
        <f ca="1">IFERROR(__xludf.DUMMYFUNCTION("IMPORTRANGE(""https://docs.google.com/spreadsheets/d/1QqKyyYR6Q21VydFLVH3TRQUabQu_ym0Zz7PgGX0-kHA/edit?usp=sharing"",""แผน!IC17"")"),0)</f>
        <v>0</v>
      </c>
      <c r="J699" s="269">
        <f ca="1">IFERROR(__xludf.DUMMYFUNCTION("IMPORTRANGE(""https://docs.google.com/spreadsheets/d/1XWAQStnk-4SwqDmLtmXYiTMKHgktTP8We1SCoS47DrQ/edit?usp=sharing"",""จัดที่ดิน!BB17"")"),0)</f>
        <v>0</v>
      </c>
      <c r="K699" s="465">
        <f t="shared" ref="K699:K701" ca="1" si="289">IF(I699&gt;0,J699*100/I699,0)</f>
        <v>0</v>
      </c>
      <c r="L699" s="465"/>
      <c r="M699" s="189"/>
      <c r="N699" s="730"/>
      <c r="O699" s="465"/>
      <c r="P699" s="465"/>
      <c r="Q699" s="541"/>
      <c r="R699" s="541"/>
      <c r="S699" s="541"/>
      <c r="T699" s="541"/>
      <c r="U699" s="541"/>
      <c r="V699" s="541"/>
      <c r="W699" s="541"/>
      <c r="X699" s="541"/>
      <c r="Y699" s="541"/>
      <c r="Z699" s="541"/>
    </row>
    <row r="700" spans="1:26" ht="18.75" hidden="1">
      <c r="A700" s="708"/>
      <c r="B700" s="727"/>
      <c r="C700" s="727"/>
      <c r="D700" s="727" t="s">
        <v>295</v>
      </c>
      <c r="E700" s="727"/>
      <c r="F700" s="727"/>
      <c r="G700" s="189"/>
      <c r="H700" s="728" t="s">
        <v>35</v>
      </c>
      <c r="I700" s="729">
        <f ca="1">IFERROR(__xludf.DUMMYFUNCTION("IMPORTRANGE(""https://docs.google.com/spreadsheets/d/1QqKyyYR6Q21VydFLVH3TRQUabQu_ym0Zz7PgGX0-kHA/edit?usp=sharing"",""แผน!ID17"")"),0)</f>
        <v>0</v>
      </c>
      <c r="J700" s="269">
        <f ca="1">IFERROR(__xludf.DUMMYFUNCTION("IMPORTRANGE(""https://docs.google.com/spreadsheets/d/1XWAQStnk-4SwqDmLtmXYiTMKHgktTP8We1SCoS47DrQ/edit?usp=sharing"",""จัดที่ดิน!BD17"")"),0)</f>
        <v>0</v>
      </c>
      <c r="K700" s="465">
        <f t="shared" ca="1" si="289"/>
        <v>0</v>
      </c>
      <c r="L700" s="465"/>
      <c r="M700" s="189"/>
      <c r="N700" s="730"/>
      <c r="O700" s="465"/>
      <c r="P700" s="465"/>
      <c r="Q700" s="541"/>
      <c r="R700" s="541"/>
      <c r="S700" s="541"/>
      <c r="T700" s="541"/>
      <c r="U700" s="541"/>
      <c r="V700" s="541"/>
      <c r="W700" s="541"/>
      <c r="X700" s="541"/>
      <c r="Y700" s="541"/>
      <c r="Z700" s="541"/>
    </row>
    <row r="701" spans="1:26" ht="19.5" hidden="1">
      <c r="A701" s="708"/>
      <c r="B701" s="727"/>
      <c r="C701" s="727"/>
      <c r="D701" s="727" t="s">
        <v>296</v>
      </c>
      <c r="E701" s="727"/>
      <c r="F701" s="727"/>
      <c r="G701" s="189"/>
      <c r="H701" s="731" t="s">
        <v>46</v>
      </c>
      <c r="I701" s="732">
        <f ca="1">IFERROR(__xludf.DUMMYFUNCTION("IMPORTRANGE(""https://docs.google.com/spreadsheets/d/1QqKyyYR6Q21VydFLVH3TRQUabQu_ym0Zz7PgGX0-kHA/edit?usp=sharing"",""แผน!IE17"")"),0)</f>
        <v>0</v>
      </c>
      <c r="J701" s="647">
        <f>J704+J707</f>
        <v>0</v>
      </c>
      <c r="K701" s="195">
        <f t="shared" ca="1" si="289"/>
        <v>0</v>
      </c>
      <c r="L701" s="465"/>
      <c r="M701" s="189"/>
      <c r="N701" s="730"/>
      <c r="O701" s="465"/>
      <c r="P701" s="465"/>
      <c r="Q701" s="541"/>
      <c r="R701" s="541"/>
      <c r="S701" s="541"/>
      <c r="T701" s="541"/>
      <c r="U701" s="541"/>
      <c r="V701" s="541"/>
      <c r="W701" s="541"/>
      <c r="X701" s="541"/>
      <c r="Y701" s="541"/>
      <c r="Z701" s="541"/>
    </row>
    <row r="702" spans="1:26" ht="18.75" hidden="1">
      <c r="A702" s="708"/>
      <c r="B702" s="727"/>
      <c r="C702" s="727"/>
      <c r="D702" s="727"/>
      <c r="E702" s="727" t="s">
        <v>297</v>
      </c>
      <c r="F702" s="727"/>
      <c r="G702" s="189"/>
      <c r="H702" s="728" t="s">
        <v>35</v>
      </c>
      <c r="I702" s="729"/>
      <c r="J702" s="214">
        <v>0</v>
      </c>
      <c r="K702" s="465"/>
      <c r="L702" s="465"/>
      <c r="M702" s="189"/>
      <c r="N702" s="730"/>
      <c r="O702" s="465"/>
      <c r="P702" s="465"/>
      <c r="Q702" s="541"/>
      <c r="R702" s="541"/>
      <c r="S702" s="541"/>
      <c r="T702" s="541"/>
      <c r="U702" s="541"/>
      <c r="V702" s="541"/>
      <c r="W702" s="541"/>
      <c r="X702" s="541"/>
      <c r="Y702" s="541"/>
      <c r="Z702" s="541"/>
    </row>
    <row r="703" spans="1:26" ht="18.75" hidden="1">
      <c r="A703" s="708"/>
      <c r="B703" s="727"/>
      <c r="C703" s="727"/>
      <c r="D703" s="727"/>
      <c r="E703" s="727"/>
      <c r="F703" s="727"/>
      <c r="G703" s="189"/>
      <c r="H703" s="728" t="s">
        <v>34</v>
      </c>
      <c r="I703" s="729"/>
      <c r="J703" s="214">
        <v>0</v>
      </c>
      <c r="K703" s="465"/>
      <c r="L703" s="465"/>
      <c r="M703" s="189"/>
      <c r="N703" s="730"/>
      <c r="O703" s="465"/>
      <c r="P703" s="465"/>
      <c r="Q703" s="541"/>
      <c r="R703" s="541"/>
      <c r="S703" s="541"/>
      <c r="T703" s="541"/>
      <c r="U703" s="541"/>
      <c r="V703" s="541"/>
      <c r="W703" s="541"/>
      <c r="X703" s="541"/>
      <c r="Y703" s="541"/>
      <c r="Z703" s="541"/>
    </row>
    <row r="704" spans="1:26" ht="18.75" hidden="1">
      <c r="A704" s="708"/>
      <c r="B704" s="727"/>
      <c r="C704" s="727"/>
      <c r="D704" s="727"/>
      <c r="E704" s="727"/>
      <c r="F704" s="727"/>
      <c r="G704" s="189"/>
      <c r="H704" s="728" t="s">
        <v>46</v>
      </c>
      <c r="I704" s="729">
        <f ca="1">IFERROR(__xludf.DUMMYFUNCTION("IMPORTRANGE(""https://docs.google.com/spreadsheets/d/1QqKyyYR6Q21VydFLVH3TRQUabQu_ym0Zz7PgGX0-kHA/edit?usp=sharing"",""แผน!IF17"")"),0)</f>
        <v>0</v>
      </c>
      <c r="J704" s="214">
        <v>0</v>
      </c>
      <c r="K704" s="465"/>
      <c r="L704" s="465"/>
      <c r="M704" s="189"/>
      <c r="N704" s="730"/>
      <c r="O704" s="465"/>
      <c r="P704" s="465"/>
      <c r="Q704" s="541"/>
      <c r="R704" s="541"/>
      <c r="S704" s="541"/>
      <c r="T704" s="541"/>
      <c r="U704" s="541"/>
      <c r="V704" s="541"/>
      <c r="W704" s="541"/>
      <c r="X704" s="541"/>
      <c r="Y704" s="541"/>
      <c r="Z704" s="541"/>
    </row>
    <row r="705" spans="1:26" ht="18.75" hidden="1">
      <c r="A705" s="708"/>
      <c r="B705" s="727"/>
      <c r="C705" s="727"/>
      <c r="D705" s="727"/>
      <c r="E705" s="727" t="s">
        <v>298</v>
      </c>
      <c r="F705" s="727"/>
      <c r="G705" s="189"/>
      <c r="H705" s="728" t="s">
        <v>35</v>
      </c>
      <c r="I705" s="729"/>
      <c r="J705" s="214">
        <v>0</v>
      </c>
      <c r="K705" s="465"/>
      <c r="L705" s="465"/>
      <c r="M705" s="189"/>
      <c r="N705" s="730"/>
      <c r="O705" s="465"/>
      <c r="P705" s="465"/>
      <c r="Q705" s="541"/>
      <c r="R705" s="541"/>
      <c r="S705" s="541"/>
      <c r="T705" s="541"/>
      <c r="U705" s="541"/>
      <c r="V705" s="541"/>
      <c r="W705" s="541"/>
      <c r="X705" s="541"/>
      <c r="Y705" s="541"/>
      <c r="Z705" s="541"/>
    </row>
    <row r="706" spans="1:26" ht="18.75" hidden="1">
      <c r="A706" s="708"/>
      <c r="B706" s="727"/>
      <c r="C706" s="727"/>
      <c r="D706" s="727"/>
      <c r="E706" s="727"/>
      <c r="F706" s="727"/>
      <c r="G706" s="189"/>
      <c r="H706" s="728" t="s">
        <v>34</v>
      </c>
      <c r="I706" s="729"/>
      <c r="J706" s="214">
        <v>0</v>
      </c>
      <c r="K706" s="465"/>
      <c r="L706" s="465"/>
      <c r="M706" s="189"/>
      <c r="N706" s="730"/>
      <c r="O706" s="465"/>
      <c r="P706" s="465"/>
      <c r="Q706" s="541"/>
      <c r="R706" s="541"/>
      <c r="S706" s="541"/>
      <c r="T706" s="541"/>
      <c r="U706" s="541"/>
      <c r="V706" s="541"/>
      <c r="W706" s="541"/>
      <c r="X706" s="541"/>
      <c r="Y706" s="541"/>
      <c r="Z706" s="541"/>
    </row>
    <row r="707" spans="1:26" ht="18.75" hidden="1">
      <c r="A707" s="708"/>
      <c r="B707" s="727"/>
      <c r="C707" s="727"/>
      <c r="D707" s="727"/>
      <c r="E707" s="727"/>
      <c r="F707" s="727"/>
      <c r="G707" s="189"/>
      <c r="H707" s="728" t="s">
        <v>46</v>
      </c>
      <c r="I707" s="729">
        <f ca="1">IFERROR(__xludf.DUMMYFUNCTION("IMPORTRANGE(""https://docs.google.com/spreadsheets/d/1QqKyyYR6Q21VydFLVH3TRQUabQu_ym0Zz7PgGX0-kHA/edit?usp=sharing"",""แผน!IG17"")"),0)</f>
        <v>0</v>
      </c>
      <c r="J707" s="214">
        <v>0</v>
      </c>
      <c r="K707" s="465"/>
      <c r="L707" s="465"/>
      <c r="M707" s="189"/>
      <c r="N707" s="730"/>
      <c r="O707" s="465"/>
      <c r="P707" s="465"/>
      <c r="Q707" s="541"/>
      <c r="R707" s="541"/>
      <c r="S707" s="541"/>
      <c r="T707" s="541"/>
      <c r="U707" s="541"/>
      <c r="V707" s="541"/>
      <c r="W707" s="541"/>
      <c r="X707" s="541"/>
      <c r="Y707" s="541"/>
      <c r="Z707" s="541"/>
    </row>
    <row r="708" spans="1:26" ht="19.5" hidden="1">
      <c r="A708" s="708"/>
      <c r="B708" s="727"/>
      <c r="C708" s="727"/>
      <c r="D708" s="733" t="s">
        <v>299</v>
      </c>
      <c r="E708" s="727"/>
      <c r="F708" s="727"/>
      <c r="G708" s="189"/>
      <c r="H708" s="731" t="s">
        <v>46</v>
      </c>
      <c r="I708" s="732">
        <f ca="1">IFERROR(__xludf.DUMMYFUNCTION("IMPORTRANGE(""https://docs.google.com/spreadsheets/d/1QqKyyYR6Q21VydFLVH3TRQUabQu_ym0Zz7PgGX0-kHA/edit?usp=sharing"",""แผน!IH17"")"),0)</f>
        <v>0</v>
      </c>
      <c r="J708" s="647">
        <f>J714+J717</f>
        <v>0</v>
      </c>
      <c r="K708" s="195">
        <f ca="1">IF(I708&gt;0,J708*100/I708,0)</f>
        <v>0</v>
      </c>
      <c r="L708" s="465"/>
      <c r="M708" s="189"/>
      <c r="N708" s="730"/>
      <c r="O708" s="465"/>
      <c r="P708" s="465"/>
      <c r="Q708" s="541"/>
      <c r="R708" s="541"/>
      <c r="S708" s="541"/>
      <c r="T708" s="541"/>
      <c r="U708" s="541"/>
      <c r="V708" s="541"/>
      <c r="W708" s="541"/>
      <c r="X708" s="541"/>
      <c r="Y708" s="541"/>
      <c r="Z708" s="541"/>
    </row>
    <row r="709" spans="1:26" ht="18.75" hidden="1">
      <c r="A709" s="708"/>
      <c r="B709" s="727"/>
      <c r="C709" s="727"/>
      <c r="D709" s="727"/>
      <c r="E709" s="727" t="s">
        <v>300</v>
      </c>
      <c r="F709" s="727"/>
      <c r="G709" s="189"/>
      <c r="H709" s="728" t="s">
        <v>34</v>
      </c>
      <c r="I709" s="729"/>
      <c r="J709" s="214">
        <v>0</v>
      </c>
      <c r="K709" s="465"/>
      <c r="L709" s="730"/>
      <c r="M709" s="189"/>
      <c r="N709" s="730"/>
      <c r="O709" s="465"/>
      <c r="P709" s="465"/>
      <c r="Q709" s="541"/>
      <c r="R709" s="541"/>
      <c r="S709" s="541"/>
      <c r="T709" s="541"/>
      <c r="U709" s="541"/>
      <c r="V709" s="541"/>
      <c r="W709" s="541"/>
      <c r="X709" s="541"/>
      <c r="Y709" s="541"/>
      <c r="Z709" s="541"/>
    </row>
    <row r="710" spans="1:26" ht="18.75" hidden="1">
      <c r="A710" s="708"/>
      <c r="B710" s="727"/>
      <c r="C710" s="727"/>
      <c r="D710" s="727"/>
      <c r="E710" s="727"/>
      <c r="F710" s="727"/>
      <c r="G710" s="189"/>
      <c r="H710" s="728" t="s">
        <v>46</v>
      </c>
      <c r="I710" s="729"/>
      <c r="J710" s="214">
        <v>0</v>
      </c>
      <c r="K710" s="465"/>
      <c r="L710" s="730"/>
      <c r="M710" s="189"/>
      <c r="N710" s="730"/>
      <c r="O710" s="465"/>
      <c r="P710" s="465"/>
      <c r="Q710" s="541"/>
      <c r="R710" s="541"/>
      <c r="S710" s="541"/>
      <c r="T710" s="541"/>
      <c r="U710" s="541"/>
      <c r="V710" s="541"/>
      <c r="W710" s="541"/>
      <c r="X710" s="541"/>
      <c r="Y710" s="541"/>
      <c r="Z710" s="541"/>
    </row>
    <row r="711" spans="1:26" ht="18.75" hidden="1">
      <c r="A711" s="708"/>
      <c r="B711" s="727"/>
      <c r="C711" s="727"/>
      <c r="D711" s="727"/>
      <c r="E711" s="727" t="s">
        <v>301</v>
      </c>
      <c r="F711" s="727"/>
      <c r="G711" s="189"/>
      <c r="H711" s="726"/>
      <c r="I711" s="729"/>
      <c r="J711" s="269"/>
      <c r="K711" s="465"/>
      <c r="L711" s="730"/>
      <c r="M711" s="189"/>
      <c r="N711" s="730"/>
      <c r="O711" s="465"/>
      <c r="P711" s="465"/>
      <c r="Q711" s="541"/>
      <c r="R711" s="541"/>
      <c r="S711" s="541"/>
      <c r="T711" s="541"/>
      <c r="U711" s="541"/>
      <c r="V711" s="541"/>
      <c r="W711" s="541"/>
      <c r="X711" s="541"/>
      <c r="Y711" s="541"/>
      <c r="Z711" s="541"/>
    </row>
    <row r="712" spans="1:26" ht="18.75" hidden="1">
      <c r="A712" s="708"/>
      <c r="B712" s="727"/>
      <c r="C712" s="727"/>
      <c r="D712" s="727"/>
      <c r="E712" s="727"/>
      <c r="F712" s="727" t="s">
        <v>302</v>
      </c>
      <c r="G712" s="189"/>
      <c r="H712" s="728" t="s">
        <v>35</v>
      </c>
      <c r="I712" s="729"/>
      <c r="J712" s="214">
        <v>0</v>
      </c>
      <c r="K712" s="465"/>
      <c r="L712" s="730"/>
      <c r="M712" s="189"/>
      <c r="N712" s="730"/>
      <c r="O712" s="465"/>
      <c r="P712" s="465"/>
      <c r="Q712" s="541"/>
      <c r="R712" s="541"/>
      <c r="S712" s="541"/>
      <c r="T712" s="541"/>
      <c r="U712" s="541"/>
      <c r="V712" s="541"/>
      <c r="W712" s="541"/>
      <c r="X712" s="541"/>
      <c r="Y712" s="541"/>
      <c r="Z712" s="541"/>
    </row>
    <row r="713" spans="1:26" ht="18.75" hidden="1">
      <c r="A713" s="708"/>
      <c r="B713" s="727"/>
      <c r="C713" s="727"/>
      <c r="D713" s="727"/>
      <c r="E713" s="727"/>
      <c r="F713" s="727"/>
      <c r="G713" s="189"/>
      <c r="H713" s="728" t="s">
        <v>34</v>
      </c>
      <c r="I713" s="729"/>
      <c r="J713" s="214">
        <v>0</v>
      </c>
      <c r="K713" s="465"/>
      <c r="L713" s="730"/>
      <c r="M713" s="189"/>
      <c r="N713" s="730"/>
      <c r="O713" s="465"/>
      <c r="P713" s="465"/>
      <c r="Q713" s="541"/>
      <c r="R713" s="541"/>
      <c r="S713" s="541"/>
      <c r="T713" s="541"/>
      <c r="U713" s="541"/>
      <c r="V713" s="541"/>
      <c r="W713" s="541"/>
      <c r="X713" s="541"/>
      <c r="Y713" s="541"/>
      <c r="Z713" s="541"/>
    </row>
    <row r="714" spans="1:26" ht="18.75" hidden="1">
      <c r="A714" s="708"/>
      <c r="B714" s="727"/>
      <c r="C714" s="727"/>
      <c r="D714" s="727"/>
      <c r="E714" s="727"/>
      <c r="F714" s="727"/>
      <c r="G714" s="189"/>
      <c r="H714" s="728" t="s">
        <v>46</v>
      </c>
      <c r="I714" s="729"/>
      <c r="J714" s="214">
        <v>0</v>
      </c>
      <c r="K714" s="465"/>
      <c r="L714" s="730"/>
      <c r="M714" s="189"/>
      <c r="N714" s="730"/>
      <c r="O714" s="465"/>
      <c r="P714" s="465"/>
      <c r="Q714" s="541"/>
      <c r="R714" s="541"/>
      <c r="S714" s="541"/>
      <c r="T714" s="541"/>
      <c r="U714" s="541"/>
      <c r="V714" s="541"/>
      <c r="W714" s="541"/>
      <c r="X714" s="541"/>
      <c r="Y714" s="541"/>
      <c r="Z714" s="541"/>
    </row>
    <row r="715" spans="1:26" ht="18.75" hidden="1">
      <c r="A715" s="708"/>
      <c r="B715" s="727"/>
      <c r="C715" s="727"/>
      <c r="D715" s="727"/>
      <c r="E715" s="727"/>
      <c r="F715" s="727" t="s">
        <v>303</v>
      </c>
      <c r="G715" s="189"/>
      <c r="H715" s="728" t="s">
        <v>35</v>
      </c>
      <c r="I715" s="729"/>
      <c r="J715" s="214">
        <v>0</v>
      </c>
      <c r="K715" s="465"/>
      <c r="L715" s="730"/>
      <c r="M715" s="189"/>
      <c r="N715" s="730"/>
      <c r="O715" s="465"/>
      <c r="P715" s="465"/>
      <c r="Q715" s="541"/>
      <c r="R715" s="541"/>
      <c r="S715" s="541"/>
      <c r="T715" s="541"/>
      <c r="U715" s="541"/>
      <c r="V715" s="541"/>
      <c r="W715" s="541"/>
      <c r="X715" s="541"/>
      <c r="Y715" s="541"/>
      <c r="Z715" s="541"/>
    </row>
    <row r="716" spans="1:26" ht="18.75" hidden="1">
      <c r="A716" s="708"/>
      <c r="B716" s="727"/>
      <c r="C716" s="727"/>
      <c r="D716" s="727"/>
      <c r="E716" s="727"/>
      <c r="F716" s="727"/>
      <c r="G716" s="189"/>
      <c r="H716" s="728" t="s">
        <v>34</v>
      </c>
      <c r="I716" s="729"/>
      <c r="J716" s="214">
        <v>0</v>
      </c>
      <c r="K716" s="465"/>
      <c r="L716" s="730"/>
      <c r="M716" s="189"/>
      <c r="N716" s="730"/>
      <c r="O716" s="465"/>
      <c r="P716" s="465"/>
      <c r="Q716" s="541"/>
      <c r="R716" s="541"/>
      <c r="S716" s="541"/>
      <c r="T716" s="541"/>
      <c r="U716" s="541"/>
      <c r="V716" s="541"/>
      <c r="W716" s="541"/>
      <c r="X716" s="541"/>
      <c r="Y716" s="541"/>
      <c r="Z716" s="541"/>
    </row>
    <row r="717" spans="1:26" ht="18.75" hidden="1">
      <c r="A717" s="708"/>
      <c r="B717" s="727"/>
      <c r="C717" s="727"/>
      <c r="D717" s="727"/>
      <c r="E717" s="727"/>
      <c r="F717" s="727"/>
      <c r="G717" s="189"/>
      <c r="H717" s="728" t="s">
        <v>46</v>
      </c>
      <c r="I717" s="729"/>
      <c r="J717" s="214">
        <v>0</v>
      </c>
      <c r="K717" s="465"/>
      <c r="L717" s="730"/>
      <c r="M717" s="189"/>
      <c r="N717" s="730"/>
      <c r="O717" s="465"/>
      <c r="P717" s="465"/>
      <c r="Q717" s="541"/>
      <c r="R717" s="541"/>
      <c r="S717" s="541"/>
      <c r="T717" s="541"/>
      <c r="U717" s="541"/>
      <c r="V717" s="541"/>
      <c r="W717" s="541"/>
      <c r="X717" s="541"/>
      <c r="Y717" s="541"/>
      <c r="Z717" s="541"/>
    </row>
    <row r="718" spans="1:26" ht="18.75" hidden="1">
      <c r="A718" s="708"/>
      <c r="B718" s="727"/>
      <c r="C718" s="727"/>
      <c r="D718" s="727" t="s">
        <v>304</v>
      </c>
      <c r="E718" s="727"/>
      <c r="F718" s="727"/>
      <c r="G718" s="189"/>
      <c r="H718" s="728" t="s">
        <v>35</v>
      </c>
      <c r="I718" s="729"/>
      <c r="J718" s="269">
        <f ca="1">IFERROR(__xludf.DUMMYFUNCTION("IMPORTRANGE(""https://docs.google.com/spreadsheets/d/1XWAQStnk-4SwqDmLtmXYiTMKHgktTP8We1SCoS47DrQ/edit?usp=sharing"",""จัดที่ดิน!BF17"")"),0)</f>
        <v>0</v>
      </c>
      <c r="K718" s="465"/>
      <c r="L718" s="465"/>
      <c r="M718" s="189"/>
      <c r="N718" s="730"/>
      <c r="O718" s="465"/>
      <c r="P718" s="465"/>
      <c r="Q718" s="541"/>
      <c r="R718" s="541"/>
      <c r="S718" s="541"/>
      <c r="T718" s="541"/>
      <c r="U718" s="541"/>
      <c r="V718" s="541"/>
      <c r="W718" s="541"/>
      <c r="X718" s="541"/>
      <c r="Y718" s="541"/>
      <c r="Z718" s="541"/>
    </row>
    <row r="719" spans="1:26" ht="18.75" hidden="1">
      <c r="A719" s="708"/>
      <c r="B719" s="727"/>
      <c r="C719" s="727"/>
      <c r="D719" s="727"/>
      <c r="E719" s="727"/>
      <c r="F719" s="727"/>
      <c r="G719" s="189"/>
      <c r="H719" s="728" t="s">
        <v>34</v>
      </c>
      <c r="I719" s="729"/>
      <c r="J719" s="269">
        <f ca="1">IFERROR(__xludf.DUMMYFUNCTION("IMPORTRANGE(""https://docs.google.com/spreadsheets/d/1XWAQStnk-4SwqDmLtmXYiTMKHgktTP8We1SCoS47DrQ/edit?usp=sharing"",""จัดที่ดิน!BG17"")"),0)</f>
        <v>0</v>
      </c>
      <c r="K719" s="465"/>
      <c r="L719" s="730"/>
      <c r="M719" s="189"/>
      <c r="N719" s="730"/>
      <c r="O719" s="465"/>
      <c r="P719" s="465"/>
      <c r="Q719" s="541"/>
      <c r="R719" s="541"/>
      <c r="S719" s="541"/>
      <c r="T719" s="541"/>
      <c r="U719" s="541"/>
      <c r="V719" s="541"/>
      <c r="W719" s="541"/>
      <c r="X719" s="541"/>
      <c r="Y719" s="541"/>
      <c r="Z719" s="541"/>
    </row>
    <row r="720" spans="1:26" ht="18.75" hidden="1">
      <c r="A720" s="708"/>
      <c r="B720" s="727"/>
      <c r="C720" s="727"/>
      <c r="D720" s="727"/>
      <c r="E720" s="727"/>
      <c r="F720" s="727"/>
      <c r="G720" s="189"/>
      <c r="H720" s="728" t="s">
        <v>46</v>
      </c>
      <c r="I720" s="729">
        <f ca="1">IFERROR(__xludf.DUMMYFUNCTION("IMPORTRANGE(""https://docs.google.com/spreadsheets/d/1QqKyyYR6Q21VydFLVH3TRQUabQu_ym0Zz7PgGX0-kHA/edit?usp=sharing"",""แผน!II17"")"),0)</f>
        <v>0</v>
      </c>
      <c r="J720" s="269">
        <f ca="1">IFERROR(__xludf.DUMMYFUNCTION("IMPORTRANGE(""https://docs.google.com/spreadsheets/d/1XWAQStnk-4SwqDmLtmXYiTMKHgktTP8We1SCoS47DrQ/edit?usp=sharing"",""จัดที่ดิน!BH17"")"),0)</f>
        <v>0</v>
      </c>
      <c r="K720" s="465">
        <f t="shared" ref="K720:K723" ca="1" si="290">IF(I720&gt;0,J720*100/I720,0)</f>
        <v>0</v>
      </c>
      <c r="L720" s="730"/>
      <c r="M720" s="189"/>
      <c r="N720" s="730"/>
      <c r="O720" s="465"/>
      <c r="P720" s="465"/>
      <c r="Q720" s="541"/>
      <c r="R720" s="541"/>
      <c r="S720" s="541"/>
      <c r="T720" s="541"/>
      <c r="U720" s="541"/>
      <c r="V720" s="541"/>
      <c r="W720" s="541"/>
      <c r="X720" s="541"/>
      <c r="Y720" s="541"/>
      <c r="Z720" s="541"/>
    </row>
    <row r="721" spans="1:26" ht="19.5" hidden="1">
      <c r="A721" s="708"/>
      <c r="B721" s="727"/>
      <c r="C721" s="727"/>
      <c r="D721" s="727" t="s">
        <v>305</v>
      </c>
      <c r="E721" s="727"/>
      <c r="F721" s="727"/>
      <c r="G721" s="189"/>
      <c r="H721" s="731" t="s">
        <v>35</v>
      </c>
      <c r="I721" s="732">
        <f ca="1">IFERROR(__xludf.DUMMYFUNCTION("IMPORTRANGE(""https://docs.google.com/spreadsheets/d/1QqKyyYR6Q21VydFLVH3TRQUabQu_ym0Zz7PgGX0-kHA/edit?usp=sharing"",""แผน!IJ17"")"),0)</f>
        <v>0</v>
      </c>
      <c r="J721" s="647">
        <f ca="1">J723+J726</f>
        <v>0</v>
      </c>
      <c r="K721" s="195">
        <f t="shared" ca="1" si="290"/>
        <v>0</v>
      </c>
      <c r="L721" s="730"/>
      <c r="M721" s="189"/>
      <c r="N721" s="730"/>
      <c r="O721" s="465"/>
      <c r="P721" s="465"/>
      <c r="Q721" s="541"/>
      <c r="R721" s="541"/>
      <c r="S721" s="541"/>
      <c r="T721" s="541"/>
      <c r="U721" s="541"/>
      <c r="V721" s="541"/>
      <c r="W721" s="541"/>
      <c r="X721" s="541"/>
      <c r="Y721" s="541"/>
      <c r="Z721" s="541"/>
    </row>
    <row r="722" spans="1:26" ht="19.5" hidden="1">
      <c r="A722" s="708"/>
      <c r="B722" s="727"/>
      <c r="C722" s="727"/>
      <c r="D722" s="727"/>
      <c r="E722" s="727"/>
      <c r="F722" s="727"/>
      <c r="G722" s="189"/>
      <c r="H722" s="731" t="s">
        <v>46</v>
      </c>
      <c r="I722" s="732">
        <f ca="1">IFERROR(__xludf.DUMMYFUNCTION("IMPORTRANGE(""https://docs.google.com/spreadsheets/d/1QqKyyYR6Q21VydFLVH3TRQUabQu_ym0Zz7PgGX0-kHA/edit?usp=sharing"",""แผน!IK17"")"),0)</f>
        <v>0</v>
      </c>
      <c r="J722" s="647">
        <f ca="1">J725+J728</f>
        <v>0</v>
      </c>
      <c r="K722" s="195">
        <f t="shared" ca="1" si="290"/>
        <v>0</v>
      </c>
      <c r="L722" s="465"/>
      <c r="M722" s="189"/>
      <c r="N722" s="730"/>
      <c r="O722" s="465"/>
      <c r="P722" s="465"/>
      <c r="Q722" s="541"/>
      <c r="R722" s="541"/>
      <c r="S722" s="541"/>
      <c r="T722" s="541"/>
      <c r="U722" s="541"/>
      <c r="V722" s="541"/>
      <c r="W722" s="541"/>
      <c r="X722" s="541"/>
      <c r="Y722" s="541"/>
      <c r="Z722" s="541"/>
    </row>
    <row r="723" spans="1:26" ht="18.75" hidden="1">
      <c r="A723" s="708"/>
      <c r="B723" s="727"/>
      <c r="C723" s="727"/>
      <c r="D723" s="727"/>
      <c r="E723" s="727" t="s">
        <v>306</v>
      </c>
      <c r="F723" s="727"/>
      <c r="G723" s="189"/>
      <c r="H723" s="728" t="s">
        <v>35</v>
      </c>
      <c r="I723" s="729">
        <f ca="1">IFERROR(__xludf.DUMMYFUNCTION("IMPORTRANGE(""https://docs.google.com/spreadsheets/d/1QqKyyYR6Q21VydFLVH3TRQUabQu_ym0Zz7PgGX0-kHA/edit?usp=sharing"",""แผน!IL17"")"),0)</f>
        <v>0</v>
      </c>
      <c r="J723" s="269">
        <f ca="1">IFERROR(__xludf.DUMMYFUNCTION("IMPORTRANGE(""https://docs.google.com/spreadsheets/d/1XWAQStnk-4SwqDmLtmXYiTMKHgktTP8We1SCoS47DrQ/edit?usp=sharing"",""จัดที่ดิน!BM17"")"),0)</f>
        <v>0</v>
      </c>
      <c r="K723" s="465">
        <f t="shared" ca="1" si="290"/>
        <v>0</v>
      </c>
      <c r="L723" s="465"/>
      <c r="M723" s="189"/>
      <c r="N723" s="730"/>
      <c r="O723" s="465"/>
      <c r="P723" s="465"/>
      <c r="Q723" s="541"/>
      <c r="R723" s="541"/>
      <c r="S723" s="541"/>
      <c r="T723" s="541"/>
      <c r="U723" s="541"/>
      <c r="V723" s="541"/>
      <c r="W723" s="541"/>
      <c r="X723" s="541"/>
      <c r="Y723" s="541"/>
      <c r="Z723" s="541"/>
    </row>
    <row r="724" spans="1:26" ht="18.75" hidden="1">
      <c r="A724" s="708"/>
      <c r="B724" s="727"/>
      <c r="C724" s="727"/>
      <c r="D724" s="727"/>
      <c r="E724" s="727"/>
      <c r="F724" s="727"/>
      <c r="G724" s="189"/>
      <c r="H724" s="728" t="s">
        <v>34</v>
      </c>
      <c r="I724" s="729"/>
      <c r="J724" s="269">
        <f ca="1">IFERROR(__xludf.DUMMYFUNCTION("IMPORTRANGE(""https://docs.google.com/spreadsheets/d/1XWAQStnk-4SwqDmLtmXYiTMKHgktTP8We1SCoS47DrQ/edit?usp=sharing"",""จัดที่ดิน!BN17"")"),0)</f>
        <v>0</v>
      </c>
      <c r="K724" s="465"/>
      <c r="L724" s="730"/>
      <c r="M724" s="189"/>
      <c r="N724" s="730"/>
      <c r="O724" s="465"/>
      <c r="P724" s="465"/>
      <c r="Q724" s="541"/>
      <c r="R724" s="541"/>
      <c r="S724" s="541"/>
      <c r="T724" s="541"/>
      <c r="U724" s="541"/>
      <c r="V724" s="541"/>
      <c r="W724" s="541"/>
      <c r="X724" s="541"/>
      <c r="Y724" s="541"/>
      <c r="Z724" s="541"/>
    </row>
    <row r="725" spans="1:26" ht="18.75" hidden="1">
      <c r="A725" s="708"/>
      <c r="B725" s="727"/>
      <c r="C725" s="727"/>
      <c r="D725" s="727"/>
      <c r="E725" s="727"/>
      <c r="F725" s="727"/>
      <c r="G725" s="189"/>
      <c r="H725" s="728" t="s">
        <v>46</v>
      </c>
      <c r="I725" s="729">
        <f ca="1">IFERROR(__xludf.DUMMYFUNCTION("IMPORTRANGE(""https://docs.google.com/spreadsheets/d/1QqKyyYR6Q21VydFLVH3TRQUabQu_ym0Zz7PgGX0-kHA/edit?usp=sharing"",""แผน!IM17"")"),0)</f>
        <v>0</v>
      </c>
      <c r="J725" s="269">
        <f ca="1">IFERROR(__xludf.DUMMYFUNCTION("IMPORTRANGE(""https://docs.google.com/spreadsheets/d/1XWAQStnk-4SwqDmLtmXYiTMKHgktTP8We1SCoS47DrQ/edit?usp=sharing"",""จัดที่ดิน!BO17"")"),0)</f>
        <v>0</v>
      </c>
      <c r="K725" s="465">
        <f t="shared" ref="K725:K726" ca="1" si="291">IF(I725&gt;0,J725*100/I725,0)</f>
        <v>0</v>
      </c>
      <c r="L725" s="730"/>
      <c r="M725" s="189"/>
      <c r="N725" s="730"/>
      <c r="O725" s="465"/>
      <c r="P725" s="465"/>
      <c r="Q725" s="541"/>
      <c r="R725" s="541"/>
      <c r="S725" s="541"/>
      <c r="T725" s="541"/>
      <c r="U725" s="541"/>
      <c r="V725" s="541"/>
      <c r="W725" s="541"/>
      <c r="X725" s="541"/>
      <c r="Y725" s="541"/>
      <c r="Z725" s="541"/>
    </row>
    <row r="726" spans="1:26" ht="18.75" hidden="1">
      <c r="A726" s="708"/>
      <c r="B726" s="727"/>
      <c r="C726" s="727"/>
      <c r="D726" s="727"/>
      <c r="E726" s="727" t="s">
        <v>307</v>
      </c>
      <c r="F726" s="727"/>
      <c r="G726" s="189"/>
      <c r="H726" s="728" t="s">
        <v>35</v>
      </c>
      <c r="I726" s="729">
        <f ca="1">IFERROR(__xludf.DUMMYFUNCTION("IMPORTRANGE(""https://docs.google.com/spreadsheets/d/1QqKyyYR6Q21VydFLVH3TRQUabQu_ym0Zz7PgGX0-kHA/edit?usp=sharing"",""แผน!IN17"")"),0)</f>
        <v>0</v>
      </c>
      <c r="J726" s="269">
        <f ca="1">IFERROR(__xludf.DUMMYFUNCTION("IMPORTRANGE(""https://docs.google.com/spreadsheets/d/1XWAQStnk-4SwqDmLtmXYiTMKHgktTP8We1SCoS47DrQ/edit?usp=sharing"",""จัดที่ดิน!BR17"")"),0)</f>
        <v>0</v>
      </c>
      <c r="K726" s="465">
        <f t="shared" ca="1" si="291"/>
        <v>0</v>
      </c>
      <c r="L726" s="465"/>
      <c r="M726" s="189"/>
      <c r="N726" s="730"/>
      <c r="O726" s="465"/>
      <c r="P726" s="465"/>
      <c r="Q726" s="541"/>
      <c r="R726" s="541"/>
      <c r="S726" s="541"/>
      <c r="T726" s="541"/>
      <c r="U726" s="541"/>
      <c r="V726" s="541"/>
      <c r="W726" s="541"/>
      <c r="X726" s="541"/>
      <c r="Y726" s="541"/>
      <c r="Z726" s="541"/>
    </row>
    <row r="727" spans="1:26" ht="18.75" hidden="1">
      <c r="A727" s="708"/>
      <c r="B727" s="727"/>
      <c r="C727" s="727"/>
      <c r="D727" s="727"/>
      <c r="E727" s="727"/>
      <c r="F727" s="727"/>
      <c r="G727" s="189"/>
      <c r="H727" s="728" t="s">
        <v>34</v>
      </c>
      <c r="I727" s="729"/>
      <c r="J727" s="269">
        <f ca="1">IFERROR(__xludf.DUMMYFUNCTION("IMPORTRANGE(""https://docs.google.com/spreadsheets/d/1XWAQStnk-4SwqDmLtmXYiTMKHgktTP8We1SCoS47DrQ/edit?usp=sharing"",""จัดที่ดิน!BS17"")"),0)</f>
        <v>0</v>
      </c>
      <c r="K727" s="465"/>
      <c r="L727" s="730"/>
      <c r="M727" s="189"/>
      <c r="N727" s="730"/>
      <c r="O727" s="465"/>
      <c r="P727" s="465"/>
      <c r="Q727" s="541"/>
      <c r="R727" s="541"/>
      <c r="S727" s="541"/>
      <c r="T727" s="541"/>
      <c r="U727" s="541"/>
      <c r="V727" s="541"/>
      <c r="W727" s="541"/>
      <c r="X727" s="541"/>
      <c r="Y727" s="541"/>
      <c r="Z727" s="541"/>
    </row>
    <row r="728" spans="1:26" ht="18.75" hidden="1">
      <c r="A728" s="708"/>
      <c r="B728" s="727"/>
      <c r="C728" s="727"/>
      <c r="D728" s="727"/>
      <c r="E728" s="727"/>
      <c r="F728" s="727"/>
      <c r="G728" s="189"/>
      <c r="H728" s="728" t="s">
        <v>46</v>
      </c>
      <c r="I728" s="729">
        <f ca="1">IFERROR(__xludf.DUMMYFUNCTION("IMPORTRANGE(""https://docs.google.com/spreadsheets/d/1QqKyyYR6Q21VydFLVH3TRQUabQu_ym0Zz7PgGX0-kHA/edit?usp=sharing"",""แผน!IO17"")"),0)</f>
        <v>0</v>
      </c>
      <c r="J728" s="269">
        <f ca="1">IFERROR(__xludf.DUMMYFUNCTION("IMPORTRANGE(""https://docs.google.com/spreadsheets/d/1XWAQStnk-4SwqDmLtmXYiTMKHgktTP8We1SCoS47DrQ/edit?usp=sharing"",""จัดที่ดิน!BT17"")"),0)</f>
        <v>0</v>
      </c>
      <c r="K728" s="465">
        <f t="shared" ref="K728:K729" ca="1" si="292">IF(I728&gt;0,J728*100/I728,0)</f>
        <v>0</v>
      </c>
      <c r="L728" s="730"/>
      <c r="M728" s="189"/>
      <c r="N728" s="730"/>
      <c r="O728" s="465"/>
      <c r="P728" s="465"/>
      <c r="Q728" s="541"/>
      <c r="R728" s="541"/>
      <c r="S728" s="541"/>
      <c r="T728" s="541"/>
      <c r="U728" s="541"/>
      <c r="V728" s="541"/>
      <c r="W728" s="541"/>
      <c r="X728" s="541"/>
      <c r="Y728" s="541"/>
      <c r="Z728" s="541"/>
    </row>
    <row r="729" spans="1:26" ht="19.5" hidden="1">
      <c r="A729" s="708"/>
      <c r="B729" s="727"/>
      <c r="C729" s="727"/>
      <c r="D729" s="727" t="s">
        <v>308</v>
      </c>
      <c r="E729" s="727"/>
      <c r="F729" s="727"/>
      <c r="G729" s="189"/>
      <c r="H729" s="731" t="s">
        <v>46</v>
      </c>
      <c r="I729" s="732">
        <f ca="1">IFERROR(__xludf.DUMMYFUNCTION("IMPORTRANGE(""https://docs.google.com/spreadsheets/d/1QqKyyYR6Q21VydFLVH3TRQUabQu_ym0Zz7PgGX0-kHA/edit?usp=sharing"",""แผน!IP17"")"),0)</f>
        <v>0</v>
      </c>
      <c r="J729" s="647">
        <f>J732+J735</f>
        <v>0</v>
      </c>
      <c r="K729" s="195">
        <f t="shared" ca="1" si="292"/>
        <v>0</v>
      </c>
      <c r="L729" s="465"/>
      <c r="M729" s="189"/>
      <c r="N729" s="730"/>
      <c r="O729" s="465"/>
      <c r="P729" s="465"/>
      <c r="Q729" s="541"/>
      <c r="R729" s="541"/>
      <c r="S729" s="541"/>
      <c r="T729" s="541"/>
      <c r="U729" s="541"/>
      <c r="V729" s="541"/>
      <c r="W729" s="541"/>
      <c r="X729" s="541"/>
      <c r="Y729" s="541"/>
      <c r="Z729" s="541"/>
    </row>
    <row r="730" spans="1:26" ht="18.75" hidden="1">
      <c r="A730" s="708"/>
      <c r="B730" s="727"/>
      <c r="C730" s="727"/>
      <c r="D730" s="727"/>
      <c r="E730" s="727" t="s">
        <v>309</v>
      </c>
      <c r="F730" s="727"/>
      <c r="G730" s="189"/>
      <c r="H730" s="728" t="s">
        <v>35</v>
      </c>
      <c r="I730" s="729"/>
      <c r="J730" s="214">
        <v>0</v>
      </c>
      <c r="K730" s="465"/>
      <c r="L730" s="730"/>
      <c r="M730" s="465"/>
      <c r="N730" s="730"/>
      <c r="O730" s="465"/>
      <c r="P730" s="465"/>
      <c r="Q730" s="541"/>
      <c r="R730" s="541"/>
      <c r="S730" s="541"/>
      <c r="T730" s="541"/>
      <c r="U730" s="541"/>
      <c r="V730" s="541"/>
      <c r="W730" s="541"/>
      <c r="X730" s="541"/>
      <c r="Y730" s="541"/>
      <c r="Z730" s="541"/>
    </row>
    <row r="731" spans="1:26" ht="18.75" hidden="1">
      <c r="A731" s="708"/>
      <c r="B731" s="727"/>
      <c r="C731" s="727"/>
      <c r="D731" s="727"/>
      <c r="E731" s="727"/>
      <c r="F731" s="727"/>
      <c r="G731" s="189"/>
      <c r="H731" s="728" t="s">
        <v>34</v>
      </c>
      <c r="I731" s="729"/>
      <c r="J731" s="214">
        <v>0</v>
      </c>
      <c r="K731" s="465"/>
      <c r="L731" s="730"/>
      <c r="M731" s="465"/>
      <c r="N731" s="730"/>
      <c r="O731" s="465"/>
      <c r="P731" s="465"/>
      <c r="Q731" s="541"/>
      <c r="R731" s="541"/>
      <c r="S731" s="541"/>
      <c r="T731" s="541"/>
      <c r="U731" s="541"/>
      <c r="V731" s="541"/>
      <c r="W731" s="541"/>
      <c r="X731" s="541"/>
      <c r="Y731" s="541"/>
      <c r="Z731" s="541"/>
    </row>
    <row r="732" spans="1:26" ht="18.75" hidden="1">
      <c r="A732" s="708"/>
      <c r="B732" s="727"/>
      <c r="C732" s="727"/>
      <c r="D732" s="727"/>
      <c r="E732" s="727"/>
      <c r="F732" s="727"/>
      <c r="G732" s="189"/>
      <c r="H732" s="728" t="s">
        <v>46</v>
      </c>
      <c r="I732" s="729"/>
      <c r="J732" s="214">
        <v>0</v>
      </c>
      <c r="K732" s="465"/>
      <c r="L732" s="730"/>
      <c r="M732" s="465"/>
      <c r="N732" s="730"/>
      <c r="O732" s="465"/>
      <c r="P732" s="465"/>
      <c r="Q732" s="541"/>
      <c r="R732" s="541"/>
      <c r="S732" s="541"/>
      <c r="T732" s="541"/>
      <c r="U732" s="541"/>
      <c r="V732" s="541"/>
      <c r="W732" s="541"/>
      <c r="X732" s="541"/>
      <c r="Y732" s="541"/>
      <c r="Z732" s="541"/>
    </row>
    <row r="733" spans="1:26" ht="18.75" hidden="1">
      <c r="A733" s="708"/>
      <c r="B733" s="727"/>
      <c r="C733" s="727"/>
      <c r="D733" s="727"/>
      <c r="E733" s="727" t="s">
        <v>310</v>
      </c>
      <c r="F733" s="727"/>
      <c r="G733" s="189"/>
      <c r="H733" s="728" t="s">
        <v>35</v>
      </c>
      <c r="I733" s="729"/>
      <c r="J733" s="214">
        <v>0</v>
      </c>
      <c r="K733" s="465"/>
      <c r="L733" s="730"/>
      <c r="M733" s="465"/>
      <c r="N733" s="730"/>
      <c r="O733" s="465"/>
      <c r="P733" s="465"/>
      <c r="Q733" s="541"/>
      <c r="R733" s="541"/>
      <c r="S733" s="541"/>
      <c r="T733" s="541"/>
      <c r="U733" s="541"/>
      <c r="V733" s="541"/>
      <c r="W733" s="541"/>
      <c r="X733" s="541"/>
      <c r="Y733" s="541"/>
      <c r="Z733" s="541"/>
    </row>
    <row r="734" spans="1:26" ht="18.75" hidden="1">
      <c r="A734" s="708"/>
      <c r="B734" s="727"/>
      <c r="C734" s="727"/>
      <c r="D734" s="727"/>
      <c r="E734" s="727"/>
      <c r="F734" s="727"/>
      <c r="G734" s="189"/>
      <c r="H734" s="728" t="s">
        <v>34</v>
      </c>
      <c r="I734" s="729"/>
      <c r="J734" s="214">
        <v>0</v>
      </c>
      <c r="K734" s="465"/>
      <c r="L734" s="730"/>
      <c r="M734" s="465"/>
      <c r="N734" s="730"/>
      <c r="O734" s="465"/>
      <c r="P734" s="465"/>
      <c r="Q734" s="541"/>
      <c r="R734" s="541"/>
      <c r="S734" s="541"/>
      <c r="T734" s="541"/>
      <c r="U734" s="541"/>
      <c r="V734" s="541"/>
      <c r="W734" s="541"/>
      <c r="X734" s="541"/>
      <c r="Y734" s="541"/>
      <c r="Z734" s="541"/>
    </row>
    <row r="735" spans="1:26" ht="19.5" hidden="1">
      <c r="A735" s="734"/>
      <c r="B735" s="735" t="s">
        <v>311</v>
      </c>
      <c r="C735" s="698"/>
      <c r="D735" s="698"/>
      <c r="E735" s="698"/>
      <c r="F735" s="698"/>
      <c r="G735" s="699"/>
      <c r="H735" s="390" t="s">
        <v>46</v>
      </c>
      <c r="I735" s="736"/>
      <c r="J735" s="392">
        <v>0</v>
      </c>
      <c r="K735" s="469"/>
      <c r="L735" s="737"/>
      <c r="M735" s="469"/>
      <c r="N735" s="737"/>
      <c r="O735" s="469"/>
      <c r="P735" s="469"/>
      <c r="Q735" s="541"/>
      <c r="R735" s="541"/>
      <c r="S735" s="541"/>
      <c r="T735" s="541"/>
      <c r="U735" s="541"/>
      <c r="V735" s="541"/>
      <c r="W735" s="541"/>
      <c r="X735" s="541"/>
      <c r="Y735" s="541"/>
      <c r="Z735" s="541"/>
    </row>
    <row r="736" spans="1:26" ht="19.5" hidden="1">
      <c r="A736" s="738">
        <v>9</v>
      </c>
      <c r="B736" s="739" t="s">
        <v>312</v>
      </c>
      <c r="C736" s="740"/>
      <c r="D736" s="740"/>
      <c r="E736" s="740"/>
      <c r="F736" s="740"/>
      <c r="G736" s="741"/>
      <c r="H736" s="742" t="s">
        <v>46</v>
      </c>
      <c r="I736" s="743"/>
      <c r="J736" s="743">
        <f>J751</f>
        <v>0</v>
      </c>
      <c r="K736" s="744">
        <f>IF(I736&gt;0,J736*100/I736,0)</f>
        <v>0</v>
      </c>
      <c r="L736" s="745"/>
      <c r="M736" s="745"/>
      <c r="N736" s="745"/>
      <c r="O736" s="745"/>
      <c r="P736" s="745"/>
      <c r="Q736" s="568"/>
      <c r="R736" s="568"/>
      <c r="S736" s="568"/>
      <c r="T736" s="568"/>
      <c r="U736" s="568"/>
      <c r="V736" s="568"/>
      <c r="W736" s="568"/>
      <c r="X736" s="568"/>
      <c r="Y736" s="568"/>
      <c r="Z736" s="568"/>
    </row>
    <row r="737" spans="1:26" ht="19.5" hidden="1">
      <c r="A737" s="563"/>
      <c r="B737" s="723"/>
      <c r="C737" s="723" t="s">
        <v>16</v>
      </c>
      <c r="D737" s="812" t="s">
        <v>17</v>
      </c>
      <c r="E737" s="805"/>
      <c r="F737" s="805"/>
      <c r="G737" s="567"/>
      <c r="H737" s="612" t="s">
        <v>12</v>
      </c>
      <c r="I737" s="583"/>
      <c r="J737" s="583"/>
      <c r="K737" s="93"/>
      <c r="L737" s="613">
        <f t="shared" ref="L737:N737" si="293">L738+L739</f>
        <v>0</v>
      </c>
      <c r="M737" s="613">
        <f t="shared" si="293"/>
        <v>0</v>
      </c>
      <c r="N737" s="613">
        <f t="shared" si="293"/>
        <v>0</v>
      </c>
      <c r="O737" s="613">
        <f t="shared" ref="O737:O742" si="294">IF(L737&gt;0,N737*100/L737,0)</f>
        <v>0</v>
      </c>
      <c r="P737" s="613">
        <f t="shared" ref="P737:P742" si="295">IF(M737&gt;0,N737*100/M737,0)</f>
        <v>0</v>
      </c>
      <c r="Q737" s="568"/>
      <c r="R737" s="568"/>
      <c r="S737" s="568"/>
      <c r="T737" s="568"/>
      <c r="U737" s="568"/>
      <c r="V737" s="568"/>
      <c r="W737" s="568"/>
      <c r="X737" s="568"/>
      <c r="Y737" s="568"/>
      <c r="Z737" s="568"/>
    </row>
    <row r="738" spans="1:26" ht="18.75" hidden="1">
      <c r="A738" s="563"/>
      <c r="B738" s="723"/>
      <c r="C738" s="723"/>
      <c r="D738" s="684"/>
      <c r="E738" s="723" t="s">
        <v>184</v>
      </c>
      <c r="F738" s="723"/>
      <c r="G738" s="567"/>
      <c r="H738" s="165" t="s">
        <v>12</v>
      </c>
      <c r="I738" s="583"/>
      <c r="J738" s="583"/>
      <c r="K738" s="93"/>
      <c r="L738" s="93">
        <f t="shared" ref="L738:N739" si="296">L741+L748</f>
        <v>0</v>
      </c>
      <c r="M738" s="93">
        <f t="shared" si="296"/>
        <v>0</v>
      </c>
      <c r="N738" s="93">
        <f t="shared" si="296"/>
        <v>0</v>
      </c>
      <c r="O738" s="93">
        <f t="shared" si="294"/>
        <v>0</v>
      </c>
      <c r="P738" s="93">
        <f t="shared" si="295"/>
        <v>0</v>
      </c>
      <c r="Q738" s="568"/>
      <c r="R738" s="568"/>
      <c r="S738" s="568"/>
      <c r="T738" s="568"/>
      <c r="U738" s="568"/>
      <c r="V738" s="568"/>
      <c r="W738" s="568"/>
      <c r="X738" s="568"/>
      <c r="Y738" s="568"/>
      <c r="Z738" s="568"/>
    </row>
    <row r="739" spans="1:26" ht="18.75" hidden="1">
      <c r="A739" s="563"/>
      <c r="B739" s="571"/>
      <c r="C739" s="723"/>
      <c r="D739" s="684"/>
      <c r="E739" s="723" t="s">
        <v>185</v>
      </c>
      <c r="F739" s="723"/>
      <c r="G739" s="567"/>
      <c r="H739" s="165" t="s">
        <v>12</v>
      </c>
      <c r="I739" s="583"/>
      <c r="J739" s="583"/>
      <c r="K739" s="93"/>
      <c r="L739" s="93">
        <f t="shared" si="296"/>
        <v>0</v>
      </c>
      <c r="M739" s="93">
        <f t="shared" si="296"/>
        <v>0</v>
      </c>
      <c r="N739" s="93">
        <f t="shared" si="296"/>
        <v>0</v>
      </c>
      <c r="O739" s="93">
        <f t="shared" si="294"/>
        <v>0</v>
      </c>
      <c r="P739" s="93">
        <f t="shared" si="295"/>
        <v>0</v>
      </c>
      <c r="Q739" s="568"/>
      <c r="R739" s="568"/>
      <c r="S739" s="568"/>
      <c r="T739" s="568"/>
      <c r="U739" s="568"/>
      <c r="V739" s="568"/>
      <c r="W739" s="568"/>
      <c r="X739" s="568"/>
      <c r="Y739" s="568"/>
      <c r="Z739" s="568"/>
    </row>
    <row r="740" spans="1:26" ht="19.5" hidden="1">
      <c r="A740" s="563"/>
      <c r="B740" s="571"/>
      <c r="C740" s="723"/>
      <c r="D740" s="611" t="s">
        <v>20</v>
      </c>
      <c r="E740" s="723"/>
      <c r="F740" s="723"/>
      <c r="G740" s="567"/>
      <c r="H740" s="612" t="s">
        <v>12</v>
      </c>
      <c r="I740" s="166"/>
      <c r="J740" s="166"/>
      <c r="K740" s="167"/>
      <c r="L740" s="613">
        <f t="shared" ref="L740:N740" si="297">L741+L742</f>
        <v>0</v>
      </c>
      <c r="M740" s="613">
        <f t="shared" si="297"/>
        <v>0</v>
      </c>
      <c r="N740" s="613">
        <f t="shared" si="297"/>
        <v>0</v>
      </c>
      <c r="O740" s="613">
        <f t="shared" si="294"/>
        <v>0</v>
      </c>
      <c r="P740" s="613">
        <f t="shared" si="295"/>
        <v>0</v>
      </c>
      <c r="Q740" s="568"/>
      <c r="R740" s="568"/>
      <c r="S740" s="568"/>
      <c r="T740" s="568"/>
      <c r="U740" s="568"/>
      <c r="V740" s="568"/>
      <c r="W740" s="568"/>
      <c r="X740" s="568"/>
      <c r="Y740" s="568"/>
      <c r="Z740" s="568"/>
    </row>
    <row r="741" spans="1:26" ht="18.75" hidden="1">
      <c r="A741" s="563"/>
      <c r="B741" s="571"/>
      <c r="C741" s="723"/>
      <c r="D741" s="684"/>
      <c r="E741" s="723" t="s">
        <v>184</v>
      </c>
      <c r="F741" s="723"/>
      <c r="G741" s="567"/>
      <c r="H741" s="165" t="s">
        <v>12</v>
      </c>
      <c r="I741" s="583"/>
      <c r="J741" s="583"/>
      <c r="K741" s="93"/>
      <c r="L741" s="93">
        <v>0</v>
      </c>
      <c r="M741" s="93">
        <v>0</v>
      </c>
      <c r="N741" s="93">
        <v>0</v>
      </c>
      <c r="O741" s="93">
        <f t="shared" si="294"/>
        <v>0</v>
      </c>
      <c r="P741" s="93">
        <f t="shared" si="295"/>
        <v>0</v>
      </c>
      <c r="Q741" s="568"/>
      <c r="R741" s="568"/>
      <c r="S741" s="568"/>
      <c r="T741" s="568"/>
      <c r="U741" s="568"/>
      <c r="V741" s="568"/>
      <c r="W741" s="568"/>
      <c r="X741" s="568"/>
      <c r="Y741" s="568"/>
      <c r="Z741" s="568"/>
    </row>
    <row r="742" spans="1:26" ht="18.75" hidden="1">
      <c r="A742" s="563"/>
      <c r="B742" s="571"/>
      <c r="C742" s="723"/>
      <c r="D742" s="684"/>
      <c r="E742" s="723" t="s">
        <v>185</v>
      </c>
      <c r="F742" s="723"/>
      <c r="G742" s="567"/>
      <c r="H742" s="165" t="s">
        <v>12</v>
      </c>
      <c r="I742" s="583"/>
      <c r="J742" s="583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4"/>
        <v>0</v>
      </c>
      <c r="P742" s="93">
        <f t="shared" si="295"/>
        <v>0</v>
      </c>
      <c r="Q742" s="568"/>
      <c r="R742" s="568"/>
      <c r="S742" s="568"/>
      <c r="T742" s="568"/>
      <c r="U742" s="568"/>
      <c r="V742" s="568"/>
      <c r="W742" s="568"/>
      <c r="X742" s="568"/>
      <c r="Y742" s="568"/>
      <c r="Z742" s="568"/>
    </row>
    <row r="743" spans="1:26" ht="18.75" hidden="1">
      <c r="A743" s="615"/>
      <c r="B743" s="571"/>
      <c r="C743" s="723"/>
      <c r="D743" s="723"/>
      <c r="E743" s="723"/>
      <c r="F743" s="723" t="s">
        <v>186</v>
      </c>
      <c r="G743" s="567"/>
      <c r="H743" s="165" t="s">
        <v>12</v>
      </c>
      <c r="I743" s="583"/>
      <c r="J743" s="583"/>
      <c r="K743" s="93"/>
      <c r="L743" s="93"/>
      <c r="M743" s="93"/>
      <c r="N743" s="93"/>
      <c r="O743" s="93"/>
      <c r="P743" s="93"/>
      <c r="Q743" s="568"/>
      <c r="R743" s="568"/>
      <c r="S743" s="568"/>
      <c r="T743" s="568"/>
      <c r="U743" s="568"/>
      <c r="V743" s="568"/>
      <c r="W743" s="568"/>
      <c r="X743" s="568"/>
      <c r="Y743" s="568"/>
      <c r="Z743" s="568"/>
    </row>
    <row r="744" spans="1:26" ht="18.75" hidden="1">
      <c r="A744" s="615"/>
      <c r="B744" s="571"/>
      <c r="C744" s="723"/>
      <c r="D744" s="723"/>
      <c r="E744" s="723"/>
      <c r="F744" s="723" t="s">
        <v>187</v>
      </c>
      <c r="G744" s="567"/>
      <c r="H744" s="165" t="s">
        <v>12</v>
      </c>
      <c r="I744" s="583"/>
      <c r="J744" s="583"/>
      <c r="K744" s="93"/>
      <c r="L744" s="93"/>
      <c r="M744" s="93"/>
      <c r="N744" s="93"/>
      <c r="O744" s="93"/>
      <c r="P744" s="93"/>
      <c r="Q744" s="568"/>
      <c r="R744" s="568"/>
      <c r="S744" s="568"/>
      <c r="T744" s="568"/>
      <c r="U744" s="568"/>
      <c r="V744" s="568"/>
      <c r="W744" s="568"/>
      <c r="X744" s="568"/>
      <c r="Y744" s="568"/>
      <c r="Z744" s="568"/>
    </row>
    <row r="745" spans="1:26" ht="18.75" hidden="1">
      <c r="A745" s="615"/>
      <c r="B745" s="571"/>
      <c r="C745" s="723"/>
      <c r="D745" s="723"/>
      <c r="E745" s="723"/>
      <c r="F745" s="723" t="s">
        <v>188</v>
      </c>
      <c r="G745" s="567"/>
      <c r="H745" s="165" t="s">
        <v>12</v>
      </c>
      <c r="I745" s="583"/>
      <c r="J745" s="583"/>
      <c r="K745" s="93"/>
      <c r="L745" s="93"/>
      <c r="M745" s="93"/>
      <c r="N745" s="93"/>
      <c r="O745" s="93"/>
      <c r="P745" s="93"/>
      <c r="Q745" s="568"/>
      <c r="R745" s="568"/>
      <c r="S745" s="568"/>
      <c r="T745" s="568"/>
      <c r="U745" s="568"/>
      <c r="V745" s="568"/>
      <c r="W745" s="568"/>
      <c r="X745" s="568"/>
      <c r="Y745" s="568"/>
      <c r="Z745" s="568"/>
    </row>
    <row r="746" spans="1:26" ht="18.75" hidden="1">
      <c r="A746" s="615"/>
      <c r="B746" s="571"/>
      <c r="C746" s="723"/>
      <c r="D746" s="723"/>
      <c r="E746" s="723"/>
      <c r="F746" s="723" t="s">
        <v>189</v>
      </c>
      <c r="G746" s="567"/>
      <c r="H746" s="165" t="s">
        <v>12</v>
      </c>
      <c r="I746" s="583"/>
      <c r="J746" s="583"/>
      <c r="K746" s="93"/>
      <c r="L746" s="93"/>
      <c r="M746" s="93"/>
      <c r="N746" s="93"/>
      <c r="O746" s="93"/>
      <c r="P746" s="93"/>
      <c r="Q746" s="568"/>
      <c r="R746" s="568"/>
      <c r="S746" s="568"/>
      <c r="T746" s="568"/>
      <c r="U746" s="568"/>
      <c r="V746" s="568"/>
      <c r="W746" s="568"/>
      <c r="X746" s="568"/>
      <c r="Y746" s="568"/>
      <c r="Z746" s="568"/>
    </row>
    <row r="747" spans="1:26" ht="19.5" hidden="1">
      <c r="A747" s="563"/>
      <c r="B747" s="571"/>
      <c r="C747" s="723"/>
      <c r="D747" s="611" t="s">
        <v>21</v>
      </c>
      <c r="E747" s="723"/>
      <c r="F747" s="723"/>
      <c r="G747" s="567"/>
      <c r="H747" s="747" t="s">
        <v>12</v>
      </c>
      <c r="I747" s="166"/>
      <c r="J747" s="166"/>
      <c r="K747" s="167"/>
      <c r="L747" s="613">
        <f t="shared" ref="L747:N747" si="298">L748+L749</f>
        <v>0</v>
      </c>
      <c r="M747" s="613">
        <f t="shared" si="298"/>
        <v>0</v>
      </c>
      <c r="N747" s="613">
        <f t="shared" si="298"/>
        <v>0</v>
      </c>
      <c r="O747" s="613">
        <f t="shared" ref="O747:O749" si="299">IF(L747&gt;0,N747*100/L747,0)</f>
        <v>0</v>
      </c>
      <c r="P747" s="613">
        <f t="shared" ref="P747:P749" si="300">IF(M747&gt;0,N747*100/M747,0)</f>
        <v>0</v>
      </c>
      <c r="Q747" s="568"/>
      <c r="R747" s="568"/>
      <c r="S747" s="568"/>
      <c r="T747" s="568"/>
      <c r="U747" s="568"/>
      <c r="V747" s="568"/>
      <c r="W747" s="568"/>
      <c r="X747" s="568"/>
      <c r="Y747" s="568"/>
      <c r="Z747" s="568"/>
    </row>
    <row r="748" spans="1:26" ht="18.75" hidden="1">
      <c r="A748" s="563"/>
      <c r="B748" s="571"/>
      <c r="C748" s="723"/>
      <c r="D748" s="723"/>
      <c r="E748" s="723" t="s">
        <v>18</v>
      </c>
      <c r="F748" s="723"/>
      <c r="G748" s="567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299"/>
        <v>0</v>
      </c>
      <c r="P748" s="93">
        <f t="shared" si="300"/>
        <v>0</v>
      </c>
      <c r="Q748" s="568"/>
      <c r="R748" s="568"/>
      <c r="S748" s="568"/>
      <c r="T748" s="568"/>
      <c r="U748" s="568"/>
      <c r="V748" s="568"/>
      <c r="W748" s="568"/>
      <c r="X748" s="568"/>
      <c r="Y748" s="568"/>
      <c r="Z748" s="568"/>
    </row>
    <row r="749" spans="1:26" ht="18.75" hidden="1">
      <c r="A749" s="563"/>
      <c r="B749" s="571"/>
      <c r="C749" s="723"/>
      <c r="D749" s="723"/>
      <c r="E749" s="723" t="s">
        <v>19</v>
      </c>
      <c r="F749" s="723"/>
      <c r="G749" s="567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299"/>
        <v>0</v>
      </c>
      <c r="P749" s="93">
        <f t="shared" si="300"/>
        <v>0</v>
      </c>
      <c r="Q749" s="568"/>
      <c r="R749" s="568"/>
      <c r="S749" s="568"/>
      <c r="T749" s="568"/>
      <c r="U749" s="568"/>
      <c r="V749" s="568"/>
      <c r="W749" s="568"/>
      <c r="X749" s="568"/>
      <c r="Y749" s="568"/>
      <c r="Z749" s="568"/>
    </row>
    <row r="750" spans="1:26" ht="19.5" hidden="1">
      <c r="A750" s="578"/>
      <c r="B750" s="580"/>
      <c r="C750" s="723" t="s">
        <v>16</v>
      </c>
      <c r="D750" s="856" t="s">
        <v>38</v>
      </c>
      <c r="E750" s="617"/>
      <c r="F750" s="617"/>
      <c r="G750" s="618"/>
      <c r="H750" s="581"/>
      <c r="I750" s="166"/>
      <c r="J750" s="166"/>
      <c r="K750" s="167"/>
      <c r="L750" s="167"/>
      <c r="M750" s="167"/>
      <c r="N750" s="167"/>
      <c r="O750" s="167"/>
      <c r="P750" s="167"/>
      <c r="Q750" s="568"/>
      <c r="R750" s="568"/>
      <c r="S750" s="568"/>
      <c r="T750" s="568"/>
      <c r="U750" s="568"/>
      <c r="V750" s="568"/>
      <c r="W750" s="568"/>
      <c r="X750" s="568"/>
      <c r="Y750" s="568"/>
      <c r="Z750" s="568"/>
    </row>
    <row r="751" spans="1:26" ht="18.75" hidden="1">
      <c r="A751" s="615"/>
      <c r="B751" s="571"/>
      <c r="C751" s="723"/>
      <c r="D751" s="723"/>
      <c r="E751" s="723" t="s">
        <v>313</v>
      </c>
      <c r="F751" s="723"/>
      <c r="G751" s="567"/>
      <c r="H751" s="165" t="s">
        <v>46</v>
      </c>
      <c r="I751" s="583"/>
      <c r="J751" s="583"/>
      <c r="K751" s="93"/>
      <c r="L751" s="93"/>
      <c r="M751" s="93"/>
      <c r="N751" s="93"/>
      <c r="O751" s="93"/>
      <c r="P751" s="93"/>
      <c r="Q751" s="568"/>
      <c r="R751" s="568"/>
      <c r="S751" s="568"/>
      <c r="T751" s="568"/>
      <c r="U751" s="568"/>
      <c r="V751" s="568"/>
      <c r="W751" s="568"/>
      <c r="X751" s="568"/>
      <c r="Y751" s="568"/>
      <c r="Z751" s="568"/>
    </row>
    <row r="752" spans="1:26" ht="18.75" hidden="1">
      <c r="A752" s="615"/>
      <c r="B752" s="571"/>
      <c r="C752" s="723"/>
      <c r="D752" s="723"/>
      <c r="E752" s="723"/>
      <c r="F752" s="723"/>
      <c r="G752" s="567"/>
      <c r="H752" s="165" t="s">
        <v>314</v>
      </c>
      <c r="I752" s="583"/>
      <c r="J752" s="583"/>
      <c r="K752" s="93"/>
      <c r="L752" s="93"/>
      <c r="M752" s="93"/>
      <c r="N752" s="93"/>
      <c r="O752" s="93"/>
      <c r="P752" s="93"/>
      <c r="Q752" s="568"/>
      <c r="R752" s="568"/>
      <c r="S752" s="568"/>
      <c r="T752" s="568"/>
      <c r="U752" s="568"/>
      <c r="V752" s="568"/>
      <c r="W752" s="568"/>
      <c r="X752" s="568"/>
      <c r="Y752" s="568"/>
      <c r="Z752" s="568"/>
    </row>
    <row r="753" spans="1:26" ht="19.5" hidden="1">
      <c r="A753" s="749">
        <v>10</v>
      </c>
      <c r="B753" s="750" t="s">
        <v>315</v>
      </c>
      <c r="C753" s="751"/>
      <c r="D753" s="751"/>
      <c r="E753" s="751"/>
      <c r="F753" s="751"/>
      <c r="G753" s="752"/>
      <c r="H753" s="753" t="s">
        <v>46</v>
      </c>
      <c r="I753" s="754"/>
      <c r="J753" s="754">
        <f>J768</f>
        <v>0</v>
      </c>
      <c r="K753" s="755">
        <f>IF(I753&gt;0,J753*100/I753,0)</f>
        <v>0</v>
      </c>
      <c r="L753" s="756"/>
      <c r="M753" s="756"/>
      <c r="N753" s="756"/>
      <c r="O753" s="756"/>
      <c r="P753" s="756"/>
      <c r="Q753" s="568"/>
      <c r="R753" s="568"/>
      <c r="S753" s="568"/>
      <c r="T753" s="568"/>
      <c r="U753" s="568"/>
      <c r="V753" s="568"/>
      <c r="W753" s="568"/>
      <c r="X753" s="568"/>
      <c r="Y753" s="568"/>
      <c r="Z753" s="568"/>
    </row>
    <row r="754" spans="1:26" ht="19.5" hidden="1">
      <c r="A754" s="563"/>
      <c r="B754" s="723"/>
      <c r="C754" s="723" t="s">
        <v>16</v>
      </c>
      <c r="D754" s="812" t="s">
        <v>17</v>
      </c>
      <c r="E754" s="805"/>
      <c r="F754" s="805"/>
      <c r="G754" s="567"/>
      <c r="H754" s="612" t="s">
        <v>12</v>
      </c>
      <c r="I754" s="583"/>
      <c r="J754" s="583"/>
      <c r="K754" s="93"/>
      <c r="L754" s="613">
        <f t="shared" ref="L754:N754" si="301">L755+L756</f>
        <v>0</v>
      </c>
      <c r="M754" s="613">
        <f t="shared" si="301"/>
        <v>0</v>
      </c>
      <c r="N754" s="613">
        <f t="shared" si="301"/>
        <v>0</v>
      </c>
      <c r="O754" s="613">
        <f t="shared" ref="O754:O759" si="302">IF(L754&gt;0,N754*100/L754,0)</f>
        <v>0</v>
      </c>
      <c r="P754" s="613">
        <f t="shared" ref="P754:P759" si="303">IF(M754&gt;0,N754*100/M754,0)</f>
        <v>0</v>
      </c>
      <c r="Q754" s="568"/>
      <c r="R754" s="568"/>
      <c r="S754" s="568"/>
      <c r="T754" s="568"/>
      <c r="U754" s="568"/>
      <c r="V754" s="568"/>
      <c r="W754" s="568"/>
      <c r="X754" s="568"/>
      <c r="Y754" s="568"/>
      <c r="Z754" s="568"/>
    </row>
    <row r="755" spans="1:26" ht="18.75" hidden="1">
      <c r="A755" s="563"/>
      <c r="B755" s="723"/>
      <c r="C755" s="723"/>
      <c r="D755" s="684"/>
      <c r="E755" s="723" t="s">
        <v>184</v>
      </c>
      <c r="F755" s="723"/>
      <c r="G755" s="567"/>
      <c r="H755" s="165" t="s">
        <v>12</v>
      </c>
      <c r="I755" s="583"/>
      <c r="J755" s="583"/>
      <c r="K755" s="93"/>
      <c r="L755" s="93">
        <f t="shared" ref="L755:N756" si="304">L758+L765</f>
        <v>0</v>
      </c>
      <c r="M755" s="93">
        <f t="shared" si="304"/>
        <v>0</v>
      </c>
      <c r="N755" s="93">
        <f t="shared" si="304"/>
        <v>0</v>
      </c>
      <c r="O755" s="93">
        <f t="shared" si="302"/>
        <v>0</v>
      </c>
      <c r="P755" s="93">
        <f t="shared" si="303"/>
        <v>0</v>
      </c>
      <c r="Q755" s="568"/>
      <c r="R755" s="568"/>
      <c r="S755" s="568"/>
      <c r="T755" s="568"/>
      <c r="U755" s="568"/>
      <c r="V755" s="568"/>
      <c r="W755" s="568"/>
      <c r="X755" s="568"/>
      <c r="Y755" s="568"/>
      <c r="Z755" s="568"/>
    </row>
    <row r="756" spans="1:26" ht="18.75" hidden="1">
      <c r="A756" s="563"/>
      <c r="B756" s="571"/>
      <c r="C756" s="723"/>
      <c r="D756" s="684"/>
      <c r="E756" s="723" t="s">
        <v>185</v>
      </c>
      <c r="F756" s="723"/>
      <c r="G756" s="567"/>
      <c r="H756" s="165" t="s">
        <v>12</v>
      </c>
      <c r="I756" s="583"/>
      <c r="J756" s="583"/>
      <c r="K756" s="93"/>
      <c r="L756" s="93">
        <f t="shared" si="304"/>
        <v>0</v>
      </c>
      <c r="M756" s="93">
        <f t="shared" si="304"/>
        <v>0</v>
      </c>
      <c r="N756" s="93">
        <f t="shared" si="304"/>
        <v>0</v>
      </c>
      <c r="O756" s="93">
        <f t="shared" si="302"/>
        <v>0</v>
      </c>
      <c r="P756" s="93">
        <f t="shared" si="303"/>
        <v>0</v>
      </c>
      <c r="Q756" s="568"/>
      <c r="R756" s="568"/>
      <c r="S756" s="568"/>
      <c r="T756" s="568"/>
      <c r="U756" s="568"/>
      <c r="V756" s="568"/>
      <c r="W756" s="568"/>
      <c r="X756" s="568"/>
      <c r="Y756" s="568"/>
      <c r="Z756" s="568"/>
    </row>
    <row r="757" spans="1:26" ht="19.5" hidden="1">
      <c r="A757" s="563"/>
      <c r="B757" s="571"/>
      <c r="C757" s="723"/>
      <c r="D757" s="611" t="s">
        <v>20</v>
      </c>
      <c r="E757" s="723"/>
      <c r="F757" s="723"/>
      <c r="G757" s="567"/>
      <c r="H757" s="612" t="s">
        <v>12</v>
      </c>
      <c r="I757" s="166"/>
      <c r="J757" s="166"/>
      <c r="K757" s="167"/>
      <c r="L757" s="613">
        <f t="shared" ref="L757:N757" si="305">L758+L759</f>
        <v>0</v>
      </c>
      <c r="M757" s="613">
        <f t="shared" si="305"/>
        <v>0</v>
      </c>
      <c r="N757" s="613">
        <f t="shared" si="305"/>
        <v>0</v>
      </c>
      <c r="O757" s="613">
        <f t="shared" si="302"/>
        <v>0</v>
      </c>
      <c r="P757" s="613">
        <f t="shared" si="303"/>
        <v>0</v>
      </c>
      <c r="Q757" s="568"/>
      <c r="R757" s="568"/>
      <c r="S757" s="568"/>
      <c r="T757" s="568"/>
      <c r="U757" s="568"/>
      <c r="V757" s="568"/>
      <c r="W757" s="568"/>
      <c r="X757" s="568"/>
      <c r="Y757" s="568"/>
      <c r="Z757" s="568"/>
    </row>
    <row r="758" spans="1:26" ht="18.75" hidden="1">
      <c r="A758" s="563"/>
      <c r="B758" s="571"/>
      <c r="C758" s="723"/>
      <c r="D758" s="684"/>
      <c r="E758" s="723" t="s">
        <v>184</v>
      </c>
      <c r="F758" s="723"/>
      <c r="G758" s="567"/>
      <c r="H758" s="165" t="s">
        <v>12</v>
      </c>
      <c r="I758" s="583"/>
      <c r="J758" s="583"/>
      <c r="K758" s="93"/>
      <c r="L758" s="93">
        <v>0</v>
      </c>
      <c r="M758" s="93">
        <v>0</v>
      </c>
      <c r="N758" s="93">
        <v>0</v>
      </c>
      <c r="O758" s="93">
        <f t="shared" si="302"/>
        <v>0</v>
      </c>
      <c r="P758" s="93">
        <f t="shared" si="303"/>
        <v>0</v>
      </c>
      <c r="Q758" s="568"/>
      <c r="R758" s="568"/>
      <c r="S758" s="568"/>
      <c r="T758" s="568"/>
      <c r="U758" s="568"/>
      <c r="V758" s="568"/>
      <c r="W758" s="568"/>
      <c r="X758" s="568"/>
      <c r="Y758" s="568"/>
      <c r="Z758" s="568"/>
    </row>
    <row r="759" spans="1:26" ht="18.75" hidden="1">
      <c r="A759" s="563"/>
      <c r="B759" s="571"/>
      <c r="C759" s="723"/>
      <c r="D759" s="684"/>
      <c r="E759" s="723" t="s">
        <v>185</v>
      </c>
      <c r="F759" s="723"/>
      <c r="G759" s="567"/>
      <c r="H759" s="165" t="s">
        <v>12</v>
      </c>
      <c r="I759" s="583"/>
      <c r="J759" s="583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2"/>
        <v>0</v>
      </c>
      <c r="P759" s="93">
        <f t="shared" si="303"/>
        <v>0</v>
      </c>
      <c r="Q759" s="568"/>
      <c r="R759" s="568"/>
      <c r="S759" s="568"/>
      <c r="T759" s="568"/>
      <c r="U759" s="568"/>
      <c r="V759" s="568"/>
      <c r="W759" s="568"/>
      <c r="X759" s="568"/>
      <c r="Y759" s="568"/>
      <c r="Z759" s="568"/>
    </row>
    <row r="760" spans="1:26" ht="18.75" hidden="1">
      <c r="A760" s="615"/>
      <c r="B760" s="571"/>
      <c r="C760" s="723"/>
      <c r="D760" s="723"/>
      <c r="E760" s="723"/>
      <c r="F760" s="723" t="s">
        <v>186</v>
      </c>
      <c r="G760" s="567"/>
      <c r="H760" s="165" t="s">
        <v>12</v>
      </c>
      <c r="I760" s="583"/>
      <c r="J760" s="583"/>
      <c r="K760" s="93"/>
      <c r="L760" s="93"/>
      <c r="M760" s="93"/>
      <c r="N760" s="93"/>
      <c r="O760" s="93"/>
      <c r="P760" s="93"/>
      <c r="Q760" s="568"/>
      <c r="R760" s="568"/>
      <c r="S760" s="568"/>
      <c r="T760" s="568"/>
      <c r="U760" s="568"/>
      <c r="V760" s="568"/>
      <c r="W760" s="568"/>
      <c r="X760" s="568"/>
      <c r="Y760" s="568"/>
      <c r="Z760" s="568"/>
    </row>
    <row r="761" spans="1:26" ht="18.75" hidden="1">
      <c r="A761" s="615"/>
      <c r="B761" s="571"/>
      <c r="C761" s="723"/>
      <c r="D761" s="723"/>
      <c r="E761" s="723"/>
      <c r="F761" s="723" t="s">
        <v>187</v>
      </c>
      <c r="G761" s="567"/>
      <c r="H761" s="165" t="s">
        <v>12</v>
      </c>
      <c r="I761" s="583"/>
      <c r="J761" s="583"/>
      <c r="K761" s="93"/>
      <c r="L761" s="93"/>
      <c r="M761" s="93"/>
      <c r="N761" s="93"/>
      <c r="O761" s="93"/>
      <c r="P761" s="93"/>
      <c r="Q761" s="568"/>
      <c r="R761" s="568"/>
      <c r="S761" s="568"/>
      <c r="T761" s="568"/>
      <c r="U761" s="568"/>
      <c r="V761" s="568"/>
      <c r="W761" s="568"/>
      <c r="X761" s="568"/>
      <c r="Y761" s="568"/>
      <c r="Z761" s="568"/>
    </row>
    <row r="762" spans="1:26" ht="18.75" hidden="1">
      <c r="A762" s="615"/>
      <c r="B762" s="571"/>
      <c r="C762" s="723"/>
      <c r="D762" s="723"/>
      <c r="E762" s="723"/>
      <c r="F762" s="723" t="s">
        <v>188</v>
      </c>
      <c r="G762" s="567"/>
      <c r="H762" s="165" t="s">
        <v>12</v>
      </c>
      <c r="I762" s="583"/>
      <c r="J762" s="583"/>
      <c r="K762" s="93"/>
      <c r="L762" s="93"/>
      <c r="M762" s="93"/>
      <c r="N762" s="93"/>
      <c r="O762" s="93"/>
      <c r="P762" s="93"/>
      <c r="Q762" s="568"/>
      <c r="R762" s="568"/>
      <c r="S762" s="568"/>
      <c r="T762" s="568"/>
      <c r="U762" s="568"/>
      <c r="V762" s="568"/>
      <c r="W762" s="568"/>
      <c r="X762" s="568"/>
      <c r="Y762" s="568"/>
      <c r="Z762" s="568"/>
    </row>
    <row r="763" spans="1:26" ht="18.75" hidden="1">
      <c r="A763" s="615"/>
      <c r="B763" s="571"/>
      <c r="C763" s="723"/>
      <c r="D763" s="723"/>
      <c r="E763" s="723"/>
      <c r="F763" s="723" t="s">
        <v>189</v>
      </c>
      <c r="G763" s="567"/>
      <c r="H763" s="165" t="s">
        <v>12</v>
      </c>
      <c r="I763" s="583"/>
      <c r="J763" s="583"/>
      <c r="K763" s="93"/>
      <c r="L763" s="93"/>
      <c r="M763" s="93"/>
      <c r="N763" s="93"/>
      <c r="O763" s="93"/>
      <c r="P763" s="93"/>
      <c r="Q763" s="568"/>
      <c r="R763" s="568"/>
      <c r="S763" s="568"/>
      <c r="T763" s="568"/>
      <c r="U763" s="568"/>
      <c r="V763" s="568"/>
      <c r="W763" s="568"/>
      <c r="X763" s="568"/>
      <c r="Y763" s="568"/>
      <c r="Z763" s="568"/>
    </row>
    <row r="764" spans="1:26" ht="19.5" hidden="1">
      <c r="A764" s="563"/>
      <c r="B764" s="571"/>
      <c r="C764" s="723"/>
      <c r="D764" s="611" t="s">
        <v>21</v>
      </c>
      <c r="E764" s="723"/>
      <c r="F764" s="723"/>
      <c r="G764" s="567"/>
      <c r="H764" s="747" t="s">
        <v>12</v>
      </c>
      <c r="I764" s="166"/>
      <c r="J764" s="166"/>
      <c r="K764" s="167"/>
      <c r="L764" s="613">
        <f t="shared" ref="L764:N764" si="306">L765+L766</f>
        <v>0</v>
      </c>
      <c r="M764" s="613">
        <f t="shared" si="306"/>
        <v>0</v>
      </c>
      <c r="N764" s="613">
        <f t="shared" si="306"/>
        <v>0</v>
      </c>
      <c r="O764" s="613">
        <f t="shared" ref="O764:O766" si="307">IF(L764&gt;0,N764*100/L764,0)</f>
        <v>0</v>
      </c>
      <c r="P764" s="613">
        <f t="shared" ref="P764:P766" si="308">IF(M764&gt;0,N764*100/M764,0)</f>
        <v>0</v>
      </c>
      <c r="Q764" s="568"/>
      <c r="R764" s="568"/>
      <c r="S764" s="568"/>
      <c r="T764" s="568"/>
      <c r="U764" s="568"/>
      <c r="V764" s="568"/>
      <c r="W764" s="568"/>
      <c r="X764" s="568"/>
      <c r="Y764" s="568"/>
      <c r="Z764" s="568"/>
    </row>
    <row r="765" spans="1:26" ht="18.75" hidden="1">
      <c r="A765" s="563"/>
      <c r="B765" s="571"/>
      <c r="C765" s="723"/>
      <c r="D765" s="723"/>
      <c r="E765" s="723" t="s">
        <v>18</v>
      </c>
      <c r="F765" s="723"/>
      <c r="G765" s="567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7"/>
        <v>0</v>
      </c>
      <c r="P765" s="93">
        <f t="shared" si="308"/>
        <v>0</v>
      </c>
      <c r="Q765" s="568"/>
      <c r="R765" s="568"/>
      <c r="S765" s="568"/>
      <c r="T765" s="568"/>
      <c r="U765" s="568"/>
      <c r="V765" s="568"/>
      <c r="W765" s="568"/>
      <c r="X765" s="568"/>
      <c r="Y765" s="568"/>
      <c r="Z765" s="568"/>
    </row>
    <row r="766" spans="1:26" ht="18.75" hidden="1">
      <c r="A766" s="563"/>
      <c r="B766" s="571"/>
      <c r="C766" s="723"/>
      <c r="D766" s="723"/>
      <c r="E766" s="723" t="s">
        <v>19</v>
      </c>
      <c r="F766" s="723"/>
      <c r="G766" s="567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7"/>
        <v>0</v>
      </c>
      <c r="P766" s="93">
        <f t="shared" si="308"/>
        <v>0</v>
      </c>
      <c r="Q766" s="568"/>
      <c r="R766" s="568"/>
      <c r="S766" s="568"/>
      <c r="T766" s="568"/>
      <c r="U766" s="568"/>
      <c r="V766" s="568"/>
      <c r="W766" s="568"/>
      <c r="X766" s="568"/>
      <c r="Y766" s="568"/>
      <c r="Z766" s="568"/>
    </row>
    <row r="767" spans="1:26" ht="19.5" hidden="1">
      <c r="A767" s="578"/>
      <c r="B767" s="580"/>
      <c r="C767" s="723" t="s">
        <v>16</v>
      </c>
      <c r="D767" s="856" t="s">
        <v>38</v>
      </c>
      <c r="E767" s="617"/>
      <c r="F767" s="617"/>
      <c r="G767" s="618"/>
      <c r="H767" s="581"/>
      <c r="I767" s="166"/>
      <c r="J767" s="166"/>
      <c r="K767" s="167"/>
      <c r="L767" s="167"/>
      <c r="M767" s="167"/>
      <c r="N767" s="167"/>
      <c r="O767" s="167"/>
      <c r="P767" s="167"/>
      <c r="Q767" s="568"/>
      <c r="R767" s="568"/>
      <c r="S767" s="568"/>
      <c r="T767" s="568"/>
      <c r="U767" s="568"/>
      <c r="V767" s="568"/>
      <c r="W767" s="568"/>
      <c r="X767" s="568"/>
      <c r="Y767" s="568"/>
      <c r="Z767" s="568"/>
    </row>
    <row r="768" spans="1:26" ht="18.75" hidden="1">
      <c r="A768" s="615"/>
      <c r="B768" s="571"/>
      <c r="C768" s="723"/>
      <c r="D768" s="723"/>
      <c r="E768" s="723" t="s">
        <v>316</v>
      </c>
      <c r="F768" s="723"/>
      <c r="G768" s="567"/>
      <c r="H768" s="165" t="s">
        <v>46</v>
      </c>
      <c r="I768" s="583"/>
      <c r="J768" s="583"/>
      <c r="K768" s="93"/>
      <c r="L768" s="93"/>
      <c r="M768" s="93"/>
      <c r="N768" s="93"/>
      <c r="O768" s="93"/>
      <c r="P768" s="93"/>
      <c r="Q768" s="568"/>
      <c r="R768" s="568"/>
      <c r="S768" s="568"/>
      <c r="T768" s="568"/>
      <c r="U768" s="568"/>
      <c r="V768" s="568"/>
      <c r="W768" s="568"/>
      <c r="X768" s="568"/>
      <c r="Y768" s="568"/>
      <c r="Z768" s="568"/>
    </row>
    <row r="769" spans="1:26" ht="19.5" hidden="1">
      <c r="A769" s="757">
        <v>11</v>
      </c>
      <c r="B769" s="758" t="s">
        <v>317</v>
      </c>
      <c r="C769" s="759"/>
      <c r="D769" s="759"/>
      <c r="E769" s="759"/>
      <c r="F769" s="759"/>
      <c r="G769" s="760"/>
      <c r="H769" s="761" t="s">
        <v>46</v>
      </c>
      <c r="I769" s="762"/>
      <c r="J769" s="762">
        <f>J784</f>
        <v>0</v>
      </c>
      <c r="K769" s="763">
        <f>IF(I769&gt;0,J769*100/I769,0)</f>
        <v>0</v>
      </c>
      <c r="L769" s="764"/>
      <c r="M769" s="764"/>
      <c r="N769" s="764"/>
      <c r="O769" s="764"/>
      <c r="P769" s="764"/>
      <c r="Q769" s="568"/>
      <c r="R769" s="568"/>
      <c r="S769" s="568"/>
      <c r="T769" s="568"/>
      <c r="U769" s="568"/>
      <c r="V769" s="568"/>
      <c r="W769" s="568"/>
      <c r="X769" s="568"/>
      <c r="Y769" s="568"/>
      <c r="Z769" s="568"/>
    </row>
    <row r="770" spans="1:26" ht="19.5" hidden="1">
      <c r="A770" s="563"/>
      <c r="B770" s="723"/>
      <c r="C770" s="723" t="s">
        <v>16</v>
      </c>
      <c r="D770" s="812" t="s">
        <v>17</v>
      </c>
      <c r="E770" s="805"/>
      <c r="F770" s="805"/>
      <c r="G770" s="567"/>
      <c r="H770" s="612" t="s">
        <v>12</v>
      </c>
      <c r="I770" s="583"/>
      <c r="J770" s="583"/>
      <c r="K770" s="93"/>
      <c r="L770" s="613">
        <f t="shared" ref="L770:N770" si="309">L771+L772</f>
        <v>0</v>
      </c>
      <c r="M770" s="613">
        <f t="shared" si="309"/>
        <v>0</v>
      </c>
      <c r="N770" s="613">
        <f t="shared" si="309"/>
        <v>0</v>
      </c>
      <c r="O770" s="613">
        <f t="shared" ref="O770:O775" si="310">IF(L770&gt;0,N770*100/L770,0)</f>
        <v>0</v>
      </c>
      <c r="P770" s="613">
        <f t="shared" ref="P770:P775" si="311">IF(M770&gt;0,N770*100/M770,0)</f>
        <v>0</v>
      </c>
      <c r="Q770" s="568"/>
      <c r="R770" s="568"/>
      <c r="S770" s="568"/>
      <c r="T770" s="568"/>
      <c r="U770" s="568"/>
      <c r="V770" s="568"/>
      <c r="W770" s="568"/>
      <c r="X770" s="568"/>
      <c r="Y770" s="568"/>
      <c r="Z770" s="568"/>
    </row>
    <row r="771" spans="1:26" ht="18.75" hidden="1">
      <c r="A771" s="563"/>
      <c r="B771" s="723"/>
      <c r="C771" s="723"/>
      <c r="D771" s="684"/>
      <c r="E771" s="723" t="s">
        <v>184</v>
      </c>
      <c r="F771" s="723"/>
      <c r="G771" s="567"/>
      <c r="H771" s="165" t="s">
        <v>12</v>
      </c>
      <c r="I771" s="583"/>
      <c r="J771" s="583"/>
      <c r="K771" s="93"/>
      <c r="L771" s="93">
        <f t="shared" ref="L771:N772" si="312">L774+L781</f>
        <v>0</v>
      </c>
      <c r="M771" s="93">
        <f t="shared" si="312"/>
        <v>0</v>
      </c>
      <c r="N771" s="93">
        <f t="shared" si="312"/>
        <v>0</v>
      </c>
      <c r="O771" s="93">
        <f t="shared" si="310"/>
        <v>0</v>
      </c>
      <c r="P771" s="93">
        <f t="shared" si="311"/>
        <v>0</v>
      </c>
      <c r="Q771" s="568"/>
      <c r="R771" s="568"/>
      <c r="S771" s="568"/>
      <c r="T771" s="568"/>
      <c r="U771" s="568"/>
      <c r="V771" s="568"/>
      <c r="W771" s="568"/>
      <c r="X771" s="568"/>
      <c r="Y771" s="568"/>
      <c r="Z771" s="568"/>
    </row>
    <row r="772" spans="1:26" ht="18.75" hidden="1">
      <c r="A772" s="563"/>
      <c r="B772" s="571"/>
      <c r="C772" s="723"/>
      <c r="D772" s="684"/>
      <c r="E772" s="723" t="s">
        <v>185</v>
      </c>
      <c r="F772" s="723"/>
      <c r="G772" s="567"/>
      <c r="H772" s="165" t="s">
        <v>12</v>
      </c>
      <c r="I772" s="583"/>
      <c r="J772" s="583"/>
      <c r="K772" s="93"/>
      <c r="L772" s="93">
        <f t="shared" si="312"/>
        <v>0</v>
      </c>
      <c r="M772" s="93">
        <f t="shared" si="312"/>
        <v>0</v>
      </c>
      <c r="N772" s="93">
        <f t="shared" si="312"/>
        <v>0</v>
      </c>
      <c r="O772" s="93">
        <f t="shared" si="310"/>
        <v>0</v>
      </c>
      <c r="P772" s="93">
        <f t="shared" si="311"/>
        <v>0</v>
      </c>
      <c r="Q772" s="568"/>
      <c r="R772" s="568"/>
      <c r="S772" s="568"/>
      <c r="T772" s="568"/>
      <c r="U772" s="568"/>
      <c r="V772" s="568"/>
      <c r="W772" s="568"/>
      <c r="X772" s="568"/>
      <c r="Y772" s="568"/>
      <c r="Z772" s="568"/>
    </row>
    <row r="773" spans="1:26" ht="19.5" hidden="1">
      <c r="A773" s="563"/>
      <c r="B773" s="571"/>
      <c r="C773" s="723"/>
      <c r="D773" s="611" t="s">
        <v>20</v>
      </c>
      <c r="E773" s="723"/>
      <c r="F773" s="723"/>
      <c r="G773" s="567"/>
      <c r="H773" s="612" t="s">
        <v>12</v>
      </c>
      <c r="I773" s="166"/>
      <c r="J773" s="166"/>
      <c r="K773" s="167"/>
      <c r="L773" s="613">
        <f t="shared" ref="L773:N773" si="313">L774+L775</f>
        <v>0</v>
      </c>
      <c r="M773" s="613">
        <f t="shared" si="313"/>
        <v>0</v>
      </c>
      <c r="N773" s="613">
        <f t="shared" si="313"/>
        <v>0</v>
      </c>
      <c r="O773" s="613">
        <f t="shared" si="310"/>
        <v>0</v>
      </c>
      <c r="P773" s="613">
        <f t="shared" si="311"/>
        <v>0</v>
      </c>
      <c r="Q773" s="568"/>
      <c r="R773" s="568"/>
      <c r="S773" s="568"/>
      <c r="T773" s="568"/>
      <c r="U773" s="568"/>
      <c r="V773" s="568"/>
      <c r="W773" s="568"/>
      <c r="X773" s="568"/>
      <c r="Y773" s="568"/>
      <c r="Z773" s="568"/>
    </row>
    <row r="774" spans="1:26" ht="18.75" hidden="1">
      <c r="A774" s="563"/>
      <c r="B774" s="571"/>
      <c r="C774" s="723"/>
      <c r="D774" s="684"/>
      <c r="E774" s="723" t="s">
        <v>184</v>
      </c>
      <c r="F774" s="723"/>
      <c r="G774" s="567"/>
      <c r="H774" s="165" t="s">
        <v>12</v>
      </c>
      <c r="I774" s="583"/>
      <c r="J774" s="583"/>
      <c r="K774" s="93"/>
      <c r="L774" s="93">
        <v>0</v>
      </c>
      <c r="M774" s="93">
        <v>0</v>
      </c>
      <c r="N774" s="93">
        <v>0</v>
      </c>
      <c r="O774" s="93">
        <f t="shared" si="310"/>
        <v>0</v>
      </c>
      <c r="P774" s="93">
        <f t="shared" si="311"/>
        <v>0</v>
      </c>
      <c r="Q774" s="568"/>
      <c r="R774" s="568"/>
      <c r="S774" s="568"/>
      <c r="T774" s="568"/>
      <c r="U774" s="568"/>
      <c r="V774" s="568"/>
      <c r="W774" s="568"/>
      <c r="X774" s="568"/>
      <c r="Y774" s="568"/>
      <c r="Z774" s="568"/>
    </row>
    <row r="775" spans="1:26" ht="18.75" hidden="1">
      <c r="A775" s="563"/>
      <c r="B775" s="571"/>
      <c r="C775" s="723"/>
      <c r="D775" s="684"/>
      <c r="E775" s="723" t="s">
        <v>185</v>
      </c>
      <c r="F775" s="723"/>
      <c r="G775" s="567"/>
      <c r="H775" s="165" t="s">
        <v>12</v>
      </c>
      <c r="I775" s="583"/>
      <c r="J775" s="583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0"/>
        <v>0</v>
      </c>
      <c r="P775" s="93">
        <f t="shared" si="311"/>
        <v>0</v>
      </c>
      <c r="Q775" s="568"/>
      <c r="R775" s="568"/>
      <c r="S775" s="568"/>
      <c r="T775" s="568"/>
      <c r="U775" s="568"/>
      <c r="V775" s="568"/>
      <c r="W775" s="568"/>
      <c r="X775" s="568"/>
      <c r="Y775" s="568"/>
      <c r="Z775" s="568"/>
    </row>
    <row r="776" spans="1:26" ht="18.75" hidden="1">
      <c r="A776" s="615"/>
      <c r="B776" s="571"/>
      <c r="C776" s="723"/>
      <c r="D776" s="723"/>
      <c r="E776" s="723"/>
      <c r="F776" s="723" t="s">
        <v>186</v>
      </c>
      <c r="G776" s="567"/>
      <c r="H776" s="165" t="s">
        <v>12</v>
      </c>
      <c r="I776" s="583"/>
      <c r="J776" s="583"/>
      <c r="K776" s="93"/>
      <c r="L776" s="93"/>
      <c r="M776" s="93"/>
      <c r="N776" s="93"/>
      <c r="O776" s="93"/>
      <c r="P776" s="93"/>
      <c r="Q776" s="568"/>
      <c r="R776" s="568"/>
      <c r="S776" s="568"/>
      <c r="T776" s="568"/>
      <c r="U776" s="568"/>
      <c r="V776" s="568"/>
      <c r="W776" s="568"/>
      <c r="X776" s="568"/>
      <c r="Y776" s="568"/>
      <c r="Z776" s="568"/>
    </row>
    <row r="777" spans="1:26" ht="18.75" hidden="1">
      <c r="A777" s="615"/>
      <c r="B777" s="571"/>
      <c r="C777" s="723"/>
      <c r="D777" s="723"/>
      <c r="E777" s="723"/>
      <c r="F777" s="723" t="s">
        <v>187</v>
      </c>
      <c r="G777" s="567"/>
      <c r="H777" s="165" t="s">
        <v>12</v>
      </c>
      <c r="I777" s="583"/>
      <c r="J777" s="583"/>
      <c r="K777" s="93"/>
      <c r="L777" s="93"/>
      <c r="M777" s="93"/>
      <c r="N777" s="93"/>
      <c r="O777" s="93"/>
      <c r="P777" s="93"/>
      <c r="Q777" s="568"/>
      <c r="R777" s="568"/>
      <c r="S777" s="568"/>
      <c r="T777" s="568"/>
      <c r="U777" s="568"/>
      <c r="V777" s="568"/>
      <c r="W777" s="568"/>
      <c r="X777" s="568"/>
      <c r="Y777" s="568"/>
      <c r="Z777" s="568"/>
    </row>
    <row r="778" spans="1:26" ht="18.75" hidden="1">
      <c r="A778" s="615"/>
      <c r="B778" s="571"/>
      <c r="C778" s="723"/>
      <c r="D778" s="723"/>
      <c r="E778" s="723"/>
      <c r="F778" s="723" t="s">
        <v>188</v>
      </c>
      <c r="G778" s="567"/>
      <c r="H778" s="165" t="s">
        <v>12</v>
      </c>
      <c r="I778" s="583"/>
      <c r="J778" s="583"/>
      <c r="K778" s="93"/>
      <c r="L778" s="93"/>
      <c r="M778" s="93"/>
      <c r="N778" s="93"/>
      <c r="O778" s="93"/>
      <c r="P778" s="93"/>
      <c r="Q778" s="568"/>
      <c r="R778" s="568"/>
      <c r="S778" s="568"/>
      <c r="T778" s="568"/>
      <c r="U778" s="568"/>
      <c r="V778" s="568"/>
      <c r="W778" s="568"/>
      <c r="X778" s="568"/>
      <c r="Y778" s="568"/>
      <c r="Z778" s="568"/>
    </row>
    <row r="779" spans="1:26" ht="18.75" hidden="1">
      <c r="A779" s="615"/>
      <c r="B779" s="571"/>
      <c r="C779" s="723"/>
      <c r="D779" s="723"/>
      <c r="E779" s="723"/>
      <c r="F779" s="723" t="s">
        <v>189</v>
      </c>
      <c r="G779" s="567"/>
      <c r="H779" s="165" t="s">
        <v>12</v>
      </c>
      <c r="I779" s="583"/>
      <c r="J779" s="583"/>
      <c r="K779" s="93"/>
      <c r="L779" s="93"/>
      <c r="M779" s="93"/>
      <c r="N779" s="93"/>
      <c r="O779" s="93"/>
      <c r="P779" s="93"/>
      <c r="Q779" s="568"/>
      <c r="R779" s="568"/>
      <c r="S779" s="568"/>
      <c r="T779" s="568"/>
      <c r="U779" s="568"/>
      <c r="V779" s="568"/>
      <c r="W779" s="568"/>
      <c r="X779" s="568"/>
      <c r="Y779" s="568"/>
      <c r="Z779" s="568"/>
    </row>
    <row r="780" spans="1:26" ht="19.5" hidden="1">
      <c r="A780" s="563"/>
      <c r="B780" s="571"/>
      <c r="C780" s="723"/>
      <c r="D780" s="611" t="s">
        <v>21</v>
      </c>
      <c r="E780" s="723"/>
      <c r="F780" s="723"/>
      <c r="G780" s="567"/>
      <c r="H780" s="747" t="s">
        <v>12</v>
      </c>
      <c r="I780" s="166"/>
      <c r="J780" s="166"/>
      <c r="K780" s="167"/>
      <c r="L780" s="613">
        <f t="shared" ref="L780:N780" si="314">L781+L782</f>
        <v>0</v>
      </c>
      <c r="M780" s="613">
        <f t="shared" si="314"/>
        <v>0</v>
      </c>
      <c r="N780" s="613">
        <f t="shared" si="314"/>
        <v>0</v>
      </c>
      <c r="O780" s="613">
        <f t="shared" ref="O780:O782" si="315">IF(L780&gt;0,N780*100/L780,0)</f>
        <v>0</v>
      </c>
      <c r="P780" s="613">
        <f t="shared" ref="P780:P782" si="316">IF(M780&gt;0,N780*100/M780,0)</f>
        <v>0</v>
      </c>
      <c r="Q780" s="568"/>
      <c r="R780" s="568"/>
      <c r="S780" s="568"/>
      <c r="T780" s="568"/>
      <c r="U780" s="568"/>
      <c r="V780" s="568"/>
      <c r="W780" s="568"/>
      <c r="X780" s="568"/>
      <c r="Y780" s="568"/>
      <c r="Z780" s="568"/>
    </row>
    <row r="781" spans="1:26" ht="18.75" hidden="1">
      <c r="A781" s="563"/>
      <c r="B781" s="571"/>
      <c r="C781" s="723"/>
      <c r="D781" s="723"/>
      <c r="E781" s="723" t="s">
        <v>18</v>
      </c>
      <c r="F781" s="723"/>
      <c r="G781" s="567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5"/>
        <v>0</v>
      </c>
      <c r="P781" s="93">
        <f t="shared" si="316"/>
        <v>0</v>
      </c>
      <c r="Q781" s="568"/>
      <c r="R781" s="568"/>
      <c r="S781" s="568"/>
      <c r="T781" s="568"/>
      <c r="U781" s="568"/>
      <c r="V781" s="568"/>
      <c r="W781" s="568"/>
      <c r="X781" s="568"/>
      <c r="Y781" s="568"/>
      <c r="Z781" s="568"/>
    </row>
    <row r="782" spans="1:26" ht="18.75" hidden="1">
      <c r="A782" s="563"/>
      <c r="B782" s="571"/>
      <c r="C782" s="723"/>
      <c r="D782" s="723"/>
      <c r="E782" s="723" t="s">
        <v>19</v>
      </c>
      <c r="F782" s="723"/>
      <c r="G782" s="567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5"/>
        <v>0</v>
      </c>
      <c r="P782" s="93">
        <f t="shared" si="316"/>
        <v>0</v>
      </c>
      <c r="Q782" s="568"/>
      <c r="R782" s="568"/>
      <c r="S782" s="568"/>
      <c r="T782" s="568"/>
      <c r="U782" s="568"/>
      <c r="V782" s="568"/>
      <c r="W782" s="568"/>
      <c r="X782" s="568"/>
      <c r="Y782" s="568"/>
      <c r="Z782" s="568"/>
    </row>
    <row r="783" spans="1:26" ht="19.5" hidden="1">
      <c r="A783" s="578"/>
      <c r="B783" s="580"/>
      <c r="C783" s="723" t="s">
        <v>16</v>
      </c>
      <c r="D783" s="856" t="s">
        <v>38</v>
      </c>
      <c r="E783" s="617"/>
      <c r="F783" s="617"/>
      <c r="G783" s="618"/>
      <c r="H783" s="765"/>
      <c r="I783" s="166"/>
      <c r="J783" s="166"/>
      <c r="K783" s="167"/>
      <c r="L783" s="167"/>
      <c r="M783" s="167"/>
      <c r="N783" s="167"/>
      <c r="O783" s="167"/>
      <c r="P783" s="167"/>
      <c r="Q783" s="568"/>
      <c r="R783" s="568"/>
      <c r="S783" s="568"/>
      <c r="T783" s="568"/>
      <c r="U783" s="568"/>
      <c r="V783" s="568"/>
      <c r="W783" s="568"/>
      <c r="X783" s="568"/>
      <c r="Y783" s="568"/>
      <c r="Z783" s="568"/>
    </row>
    <row r="784" spans="1:26" ht="18.75" hidden="1">
      <c r="A784" s="615"/>
      <c r="B784" s="571"/>
      <c r="C784" s="723"/>
      <c r="D784" s="723"/>
      <c r="E784" s="723" t="s">
        <v>318</v>
      </c>
      <c r="F784" s="723"/>
      <c r="G784" s="567"/>
      <c r="H784" s="165" t="s">
        <v>46</v>
      </c>
      <c r="I784" s="583"/>
      <c r="J784" s="583"/>
      <c r="K784" s="93"/>
      <c r="L784" s="93"/>
      <c r="M784" s="93"/>
      <c r="N784" s="93"/>
      <c r="O784" s="93"/>
      <c r="P784" s="93"/>
      <c r="Q784" s="568"/>
      <c r="R784" s="568"/>
      <c r="S784" s="568"/>
      <c r="T784" s="568"/>
      <c r="U784" s="568"/>
      <c r="V784" s="568"/>
      <c r="W784" s="568"/>
      <c r="X784" s="568"/>
      <c r="Y784" s="568"/>
      <c r="Z784" s="568"/>
    </row>
    <row r="785" spans="1:26" ht="19.5" hidden="1">
      <c r="A785" s="766">
        <v>12</v>
      </c>
      <c r="B785" s="767" t="s">
        <v>319</v>
      </c>
      <c r="C785" s="768"/>
      <c r="D785" s="768"/>
      <c r="E785" s="768"/>
      <c r="F785" s="768"/>
      <c r="G785" s="769"/>
      <c r="H785" s="770" t="s">
        <v>46</v>
      </c>
      <c r="I785" s="860">
        <f t="shared" ref="I785:J785" ca="1" si="317">I800</f>
        <v>0</v>
      </c>
      <c r="J785" s="771">
        <f t="shared" ca="1" si="317"/>
        <v>0</v>
      </c>
      <c r="K785" s="772">
        <f ca="1">IF(I785&gt;0,J785*100/I785,0)</f>
        <v>0</v>
      </c>
      <c r="L785" s="773"/>
      <c r="M785" s="773"/>
      <c r="N785" s="773"/>
      <c r="O785" s="773"/>
      <c r="P785" s="773"/>
      <c r="Q785" s="541"/>
      <c r="R785" s="541"/>
      <c r="S785" s="541"/>
      <c r="T785" s="541"/>
      <c r="U785" s="541"/>
      <c r="V785" s="541"/>
      <c r="W785" s="541"/>
      <c r="X785" s="541"/>
      <c r="Y785" s="541"/>
      <c r="Z785" s="541"/>
    </row>
    <row r="786" spans="1:26" ht="19.5" hidden="1">
      <c r="A786" s="561"/>
      <c r="B786" s="538"/>
      <c r="C786" s="727" t="s">
        <v>16</v>
      </c>
      <c r="D786" s="811" t="s">
        <v>17</v>
      </c>
      <c r="E786" s="805"/>
      <c r="F786" s="805"/>
      <c r="G786" s="189"/>
      <c r="H786" s="562" t="s">
        <v>12</v>
      </c>
      <c r="I786" s="269"/>
      <c r="J786" s="269"/>
      <c r="K786" s="465"/>
      <c r="L786" s="195">
        <f t="shared" ref="L786:N786" ca="1" si="318">L787+L788</f>
        <v>0</v>
      </c>
      <c r="M786" s="195">
        <f t="shared" si="318"/>
        <v>0</v>
      </c>
      <c r="N786" s="195">
        <f t="shared" si="318"/>
        <v>0</v>
      </c>
      <c r="O786" s="195">
        <f t="shared" ref="O786:O791" ca="1" si="319">IF(L786&gt;0,N786*100/L786,0)</f>
        <v>0</v>
      </c>
      <c r="P786" s="195">
        <f t="shared" ref="P786:P791" si="320">IF(M786&gt;0,N786*100/M786,0)</f>
        <v>0</v>
      </c>
      <c r="Q786" s="541"/>
      <c r="R786" s="541"/>
      <c r="S786" s="541"/>
      <c r="T786" s="541"/>
      <c r="U786" s="541"/>
      <c r="V786" s="541"/>
      <c r="W786" s="541"/>
      <c r="X786" s="541"/>
      <c r="Y786" s="541"/>
      <c r="Z786" s="541"/>
    </row>
    <row r="787" spans="1:26" ht="18.75" hidden="1">
      <c r="A787" s="563"/>
      <c r="B787" s="571"/>
      <c r="C787" s="723"/>
      <c r="D787" s="684"/>
      <c r="E787" s="723" t="s">
        <v>184</v>
      </c>
      <c r="F787" s="723"/>
      <c r="G787" s="567"/>
      <c r="H787" s="165" t="s">
        <v>12</v>
      </c>
      <c r="I787" s="583"/>
      <c r="J787" s="583"/>
      <c r="K787" s="93"/>
      <c r="L787" s="93">
        <f t="shared" ref="L787:N788" si="321">L790+L797</f>
        <v>0</v>
      </c>
      <c r="M787" s="93">
        <f t="shared" si="321"/>
        <v>0</v>
      </c>
      <c r="N787" s="93">
        <f t="shared" si="321"/>
        <v>0</v>
      </c>
      <c r="O787" s="93">
        <f t="shared" si="319"/>
        <v>0</v>
      </c>
      <c r="P787" s="93">
        <f t="shared" si="320"/>
        <v>0</v>
      </c>
      <c r="Q787" s="568"/>
      <c r="R787" s="568"/>
      <c r="S787" s="568"/>
      <c r="T787" s="568"/>
      <c r="U787" s="568"/>
      <c r="V787" s="568"/>
      <c r="W787" s="568"/>
      <c r="X787" s="568"/>
      <c r="Y787" s="568"/>
      <c r="Z787" s="568"/>
    </row>
    <row r="788" spans="1:26" ht="18.75" hidden="1">
      <c r="A788" s="563"/>
      <c r="B788" s="571"/>
      <c r="C788" s="571"/>
      <c r="D788" s="580"/>
      <c r="E788" s="723" t="s">
        <v>185</v>
      </c>
      <c r="F788" s="723"/>
      <c r="G788" s="567"/>
      <c r="H788" s="165" t="s">
        <v>12</v>
      </c>
      <c r="I788" s="583"/>
      <c r="J788" s="583"/>
      <c r="K788" s="93"/>
      <c r="L788" s="93">
        <f t="shared" ca="1" si="321"/>
        <v>0</v>
      </c>
      <c r="M788" s="93">
        <f t="shared" si="321"/>
        <v>0</v>
      </c>
      <c r="N788" s="93">
        <f t="shared" si="321"/>
        <v>0</v>
      </c>
      <c r="O788" s="93">
        <f t="shared" ca="1" si="319"/>
        <v>0</v>
      </c>
      <c r="P788" s="93">
        <f t="shared" si="320"/>
        <v>0</v>
      </c>
      <c r="Q788" s="568"/>
      <c r="R788" s="568"/>
      <c r="S788" s="568"/>
      <c r="T788" s="568"/>
      <c r="U788" s="568"/>
      <c r="V788" s="568"/>
      <c r="W788" s="568"/>
      <c r="X788" s="568"/>
      <c r="Y788" s="568"/>
      <c r="Z788" s="568"/>
    </row>
    <row r="789" spans="1:26" ht="18.75" hidden="1">
      <c r="A789" s="561"/>
      <c r="B789" s="538"/>
      <c r="C789" s="538"/>
      <c r="D789" s="570" t="s">
        <v>20</v>
      </c>
      <c r="E789" s="727"/>
      <c r="F789" s="727"/>
      <c r="G789" s="189"/>
      <c r="H789" s="161" t="s">
        <v>12</v>
      </c>
      <c r="I789" s="184"/>
      <c r="J789" s="184"/>
      <c r="K789" s="163"/>
      <c r="L789" s="465">
        <f t="shared" ref="L789:N789" ca="1" si="322">L790+L791</f>
        <v>0</v>
      </c>
      <c r="M789" s="465">
        <f t="shared" si="322"/>
        <v>0</v>
      </c>
      <c r="N789" s="465">
        <f t="shared" si="322"/>
        <v>0</v>
      </c>
      <c r="O789" s="465">
        <f t="shared" ca="1" si="319"/>
        <v>0</v>
      </c>
      <c r="P789" s="465">
        <f t="shared" si="320"/>
        <v>0</v>
      </c>
      <c r="Q789" s="541"/>
      <c r="R789" s="541"/>
      <c r="S789" s="541"/>
      <c r="T789" s="541"/>
      <c r="U789" s="541"/>
      <c r="V789" s="541"/>
      <c r="W789" s="541"/>
      <c r="X789" s="541"/>
      <c r="Y789" s="541"/>
      <c r="Z789" s="541"/>
    </row>
    <row r="790" spans="1:26" ht="18.75" hidden="1">
      <c r="A790" s="563"/>
      <c r="B790" s="571"/>
      <c r="C790" s="571"/>
      <c r="D790" s="580"/>
      <c r="E790" s="723" t="s">
        <v>184</v>
      </c>
      <c r="F790" s="723"/>
      <c r="G790" s="567"/>
      <c r="H790" s="165" t="s">
        <v>12</v>
      </c>
      <c r="I790" s="583"/>
      <c r="J790" s="583"/>
      <c r="K790" s="93"/>
      <c r="L790" s="93">
        <v>0</v>
      </c>
      <c r="M790" s="93">
        <v>0</v>
      </c>
      <c r="N790" s="93">
        <v>0</v>
      </c>
      <c r="O790" s="93">
        <f t="shared" si="319"/>
        <v>0</v>
      </c>
      <c r="P790" s="93">
        <f t="shared" si="320"/>
        <v>0</v>
      </c>
      <c r="Q790" s="568"/>
      <c r="R790" s="568"/>
      <c r="S790" s="568"/>
      <c r="T790" s="568"/>
      <c r="U790" s="568"/>
      <c r="V790" s="568"/>
      <c r="W790" s="568"/>
      <c r="X790" s="568"/>
      <c r="Y790" s="568"/>
      <c r="Z790" s="568"/>
    </row>
    <row r="791" spans="1:26" ht="18.75" hidden="1">
      <c r="A791" s="563"/>
      <c r="B791" s="571"/>
      <c r="C791" s="571"/>
      <c r="D791" s="580"/>
      <c r="E791" s="723" t="s">
        <v>185</v>
      </c>
      <c r="F791" s="723"/>
      <c r="G791" s="567"/>
      <c r="H791" s="165" t="s">
        <v>12</v>
      </c>
      <c r="I791" s="583"/>
      <c r="J791" s="583"/>
      <c r="K791" s="93"/>
      <c r="L791" s="93">
        <f ca="1">IFERROR(__xludf.DUMMYFUNCTION("IMPORTRANGE(""https://docs.google.com/spreadsheets/d/1QqKyyYR6Q21VydFLVH3TRQUabQu_ym0Zz7PgGX0-kHA/edit?usp=sharing"",""แผน!JJ17"")"),0)</f>
        <v>0</v>
      </c>
      <c r="M791" s="93">
        <v>0</v>
      </c>
      <c r="N791" s="93">
        <f>N792+N793+N794+N795</f>
        <v>0</v>
      </c>
      <c r="O791" s="93">
        <f t="shared" ca="1" si="319"/>
        <v>0</v>
      </c>
      <c r="P791" s="93">
        <f t="shared" si="320"/>
        <v>0</v>
      </c>
      <c r="Q791" s="568"/>
      <c r="R791" s="568"/>
      <c r="S791" s="568"/>
      <c r="T791" s="568"/>
      <c r="U791" s="568"/>
      <c r="V791" s="568"/>
      <c r="W791" s="568"/>
      <c r="X791" s="568"/>
      <c r="Y791" s="568"/>
      <c r="Z791" s="568"/>
    </row>
    <row r="792" spans="1:26" ht="18.75" hidden="1">
      <c r="A792" s="537"/>
      <c r="B792" s="538"/>
      <c r="C792" s="727"/>
      <c r="D792" s="727"/>
      <c r="E792" s="727"/>
      <c r="F792" s="727" t="s">
        <v>186</v>
      </c>
      <c r="G792" s="189"/>
      <c r="H792" s="161" t="s">
        <v>12</v>
      </c>
      <c r="I792" s="269"/>
      <c r="J792" s="269"/>
      <c r="K792" s="465"/>
      <c r="L792" s="465"/>
      <c r="M792" s="465"/>
      <c r="N792" s="789">
        <v>0</v>
      </c>
      <c r="O792" s="465"/>
      <c r="P792" s="465"/>
      <c r="Q792" s="541"/>
      <c r="R792" s="541"/>
      <c r="S792" s="541"/>
      <c r="T792" s="541"/>
      <c r="U792" s="541"/>
      <c r="V792" s="541"/>
      <c r="W792" s="541"/>
      <c r="X792" s="541"/>
      <c r="Y792" s="541"/>
      <c r="Z792" s="541"/>
    </row>
    <row r="793" spans="1:26" ht="18.75" hidden="1">
      <c r="A793" s="537"/>
      <c r="B793" s="538"/>
      <c r="C793" s="727"/>
      <c r="D793" s="727"/>
      <c r="E793" s="727"/>
      <c r="F793" s="727" t="s">
        <v>187</v>
      </c>
      <c r="G793" s="189"/>
      <c r="H793" s="161" t="s">
        <v>12</v>
      </c>
      <c r="I793" s="269"/>
      <c r="J793" s="269"/>
      <c r="K793" s="465"/>
      <c r="L793" s="465"/>
      <c r="M793" s="465"/>
      <c r="N793" s="789">
        <v>0</v>
      </c>
      <c r="O793" s="465"/>
      <c r="P793" s="465"/>
      <c r="Q793" s="541"/>
      <c r="R793" s="541"/>
      <c r="S793" s="541"/>
      <c r="T793" s="541"/>
      <c r="U793" s="541"/>
      <c r="V793" s="541"/>
      <c r="W793" s="541"/>
      <c r="X793" s="541"/>
      <c r="Y793" s="541"/>
      <c r="Z793" s="541"/>
    </row>
    <row r="794" spans="1:26" ht="18.75" hidden="1">
      <c r="A794" s="537"/>
      <c r="B794" s="538"/>
      <c r="C794" s="727"/>
      <c r="D794" s="727"/>
      <c r="E794" s="727"/>
      <c r="F794" s="727" t="s">
        <v>188</v>
      </c>
      <c r="G794" s="189"/>
      <c r="H794" s="161" t="s">
        <v>12</v>
      </c>
      <c r="I794" s="269"/>
      <c r="J794" s="269"/>
      <c r="K794" s="465"/>
      <c r="L794" s="465"/>
      <c r="M794" s="465"/>
      <c r="N794" s="789">
        <v>0</v>
      </c>
      <c r="O794" s="465"/>
      <c r="P794" s="465"/>
      <c r="Q794" s="541"/>
      <c r="R794" s="541"/>
      <c r="S794" s="541"/>
      <c r="T794" s="541"/>
      <c r="U794" s="541"/>
      <c r="V794" s="541"/>
      <c r="W794" s="541"/>
      <c r="X794" s="541"/>
      <c r="Y794" s="541"/>
      <c r="Z794" s="541"/>
    </row>
    <row r="795" spans="1:26" ht="18.75" hidden="1">
      <c r="A795" s="537"/>
      <c r="B795" s="538"/>
      <c r="C795" s="727"/>
      <c r="D795" s="727"/>
      <c r="E795" s="727"/>
      <c r="F795" s="727" t="s">
        <v>189</v>
      </c>
      <c r="G795" s="189"/>
      <c r="H795" s="161" t="s">
        <v>12</v>
      </c>
      <c r="I795" s="269"/>
      <c r="J795" s="269"/>
      <c r="K795" s="465"/>
      <c r="L795" s="465"/>
      <c r="M795" s="465"/>
      <c r="N795" s="789">
        <v>0</v>
      </c>
      <c r="O795" s="465"/>
      <c r="P795" s="465"/>
      <c r="Q795" s="541"/>
      <c r="R795" s="541"/>
      <c r="S795" s="541"/>
      <c r="T795" s="541"/>
      <c r="U795" s="541"/>
      <c r="V795" s="541"/>
      <c r="W795" s="541"/>
      <c r="X795" s="541"/>
      <c r="Y795" s="541"/>
      <c r="Z795" s="541"/>
    </row>
    <row r="796" spans="1:26" ht="18.75" hidden="1">
      <c r="A796" s="561"/>
      <c r="B796" s="538"/>
      <c r="C796" s="727"/>
      <c r="D796" s="570" t="s">
        <v>21</v>
      </c>
      <c r="E796" s="727"/>
      <c r="F796" s="727"/>
      <c r="G796" s="189"/>
      <c r="H796" s="168" t="s">
        <v>12</v>
      </c>
      <c r="I796" s="184"/>
      <c r="J796" s="184"/>
      <c r="K796" s="163"/>
      <c r="L796" s="465">
        <f t="shared" ref="L796:N796" si="323">L797+L798</f>
        <v>0</v>
      </c>
      <c r="M796" s="465">
        <f t="shared" si="323"/>
        <v>0</v>
      </c>
      <c r="N796" s="465">
        <f t="shared" si="323"/>
        <v>0</v>
      </c>
      <c r="O796" s="465">
        <f t="shared" ref="O796:O798" si="324">IF(L796&gt;0,N796*100/L796,0)</f>
        <v>0</v>
      </c>
      <c r="P796" s="465">
        <f t="shared" ref="P796:P798" si="325">IF(M796&gt;0,N796*100/M796,0)</f>
        <v>0</v>
      </c>
      <c r="Q796" s="541"/>
      <c r="R796" s="541"/>
      <c r="S796" s="541"/>
      <c r="T796" s="541"/>
      <c r="U796" s="541"/>
      <c r="V796" s="541"/>
      <c r="W796" s="541"/>
      <c r="X796" s="541"/>
      <c r="Y796" s="541"/>
      <c r="Z796" s="541"/>
    </row>
    <row r="797" spans="1:26" ht="18.75" hidden="1">
      <c r="A797" s="563"/>
      <c r="B797" s="571"/>
      <c r="C797" s="723"/>
      <c r="D797" s="723"/>
      <c r="E797" s="723" t="s">
        <v>18</v>
      </c>
      <c r="F797" s="723"/>
      <c r="G797" s="567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4"/>
        <v>0</v>
      </c>
      <c r="P797" s="93">
        <f t="shared" si="325"/>
        <v>0</v>
      </c>
      <c r="Q797" s="568"/>
      <c r="R797" s="568"/>
      <c r="S797" s="568"/>
      <c r="T797" s="568"/>
      <c r="U797" s="568"/>
      <c r="V797" s="568"/>
      <c r="W797" s="568"/>
      <c r="X797" s="568"/>
      <c r="Y797" s="568"/>
      <c r="Z797" s="568"/>
    </row>
    <row r="798" spans="1:26" ht="18.75" hidden="1">
      <c r="A798" s="563"/>
      <c r="B798" s="571"/>
      <c r="C798" s="723"/>
      <c r="D798" s="723"/>
      <c r="E798" s="723" t="s">
        <v>19</v>
      </c>
      <c r="F798" s="723"/>
      <c r="G798" s="567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4"/>
        <v>0</v>
      </c>
      <c r="P798" s="93">
        <f t="shared" si="325"/>
        <v>0</v>
      </c>
      <c r="Q798" s="568"/>
      <c r="R798" s="568"/>
      <c r="S798" s="568"/>
      <c r="T798" s="568"/>
      <c r="U798" s="568"/>
      <c r="V798" s="568"/>
      <c r="W798" s="568"/>
      <c r="X798" s="568"/>
      <c r="Y798" s="568"/>
      <c r="Z798" s="568"/>
    </row>
    <row r="799" spans="1:26" ht="19.5" hidden="1">
      <c r="A799" s="572"/>
      <c r="B799" s="584"/>
      <c r="C799" s="727" t="s">
        <v>16</v>
      </c>
      <c r="D799" s="855" t="s">
        <v>38</v>
      </c>
      <c r="E799" s="725"/>
      <c r="F799" s="725"/>
      <c r="G799" s="577"/>
      <c r="H799" s="774"/>
      <c r="I799" s="184"/>
      <c r="J799" s="184"/>
      <c r="K799" s="163"/>
      <c r="L799" s="163"/>
      <c r="M799" s="163"/>
      <c r="N799" s="163"/>
      <c r="O799" s="163"/>
      <c r="P799" s="163"/>
      <c r="Q799" s="541"/>
      <c r="R799" s="541"/>
      <c r="S799" s="541"/>
      <c r="T799" s="541"/>
      <c r="U799" s="541"/>
      <c r="V799" s="541"/>
      <c r="W799" s="541"/>
      <c r="X799" s="541"/>
      <c r="Y799" s="541"/>
      <c r="Z799" s="541"/>
    </row>
    <row r="800" spans="1:26" ht="18.75" hidden="1">
      <c r="A800" s="572"/>
      <c r="B800" s="584"/>
      <c r="C800" s="584"/>
      <c r="D800" s="584"/>
      <c r="E800" s="592"/>
      <c r="F800" s="592" t="s">
        <v>320</v>
      </c>
      <c r="G800" s="726"/>
      <c r="H800" s="185" t="s">
        <v>46</v>
      </c>
      <c r="I800" s="184">
        <f ca="1">IFERROR(__xludf.DUMMYFUNCTION("IMPORTRANGE(""https://docs.google.com/spreadsheets/d/1QqKyyYR6Q21VydFLVH3TRQUabQu_ym0Zz7PgGX0-kHA/edit?usp=sharing"",""แผน!JN17"")"),0)</f>
        <v>0</v>
      </c>
      <c r="J800" s="184">
        <f ca="1">IFERROR(__xludf.DUMMYFUNCTION("IMPORTRANGE(""https://docs.google.com/spreadsheets/d/1MaWodYyGHDf7siQLGxnXhG4mBNTNIuy296niS2xXulU/edit?usp=sharing"",""RTK!H17"")"),0)</f>
        <v>0</v>
      </c>
      <c r="K800" s="465">
        <f ca="1">IF(I800&gt;0,J800*100/I800,0)</f>
        <v>0</v>
      </c>
      <c r="L800" s="465"/>
      <c r="M800" s="465"/>
      <c r="N800" s="465"/>
      <c r="O800" s="163"/>
      <c r="P800" s="163"/>
      <c r="Q800" s="541"/>
      <c r="R800" s="541"/>
      <c r="S800" s="541"/>
      <c r="T800" s="541"/>
      <c r="U800" s="541"/>
      <c r="V800" s="541"/>
      <c r="W800" s="541"/>
      <c r="X800" s="541"/>
      <c r="Y800" s="541"/>
      <c r="Z800" s="541"/>
    </row>
    <row r="801" spans="1:26" ht="18.75" hidden="1">
      <c r="A801" s="572"/>
      <c r="B801" s="584"/>
      <c r="C801" s="584"/>
      <c r="D801" s="584"/>
      <c r="E801" s="592"/>
      <c r="F801" s="592"/>
      <c r="G801" s="726"/>
      <c r="H801" s="161" t="s">
        <v>34</v>
      </c>
      <c r="I801" s="184"/>
      <c r="J801" s="269">
        <f ca="1">IFERROR(__xludf.DUMMYFUNCTION("IMPORTRANGE(""https://docs.google.com/spreadsheets/d/1MaWodYyGHDf7siQLGxnXhG4mBNTNIuy296niS2xXulU/edit?usp=sharing"",""RTK!I17"")"),0)</f>
        <v>0</v>
      </c>
      <c r="K801" s="465"/>
      <c r="L801" s="465"/>
      <c r="M801" s="465"/>
      <c r="N801" s="465"/>
      <c r="O801" s="163"/>
      <c r="P801" s="163"/>
      <c r="Q801" s="541"/>
      <c r="R801" s="541"/>
      <c r="S801" s="541"/>
      <c r="T801" s="541"/>
      <c r="U801" s="541"/>
      <c r="V801" s="541"/>
      <c r="W801" s="541"/>
      <c r="X801" s="541"/>
      <c r="Y801" s="541"/>
      <c r="Z801" s="541"/>
    </row>
    <row r="802" spans="1:26" ht="18.75" hidden="1">
      <c r="A802" s="578"/>
      <c r="B802" s="580"/>
      <c r="C802" s="580"/>
      <c r="D802" s="580"/>
      <c r="E802" s="684"/>
      <c r="F802" s="684" t="s">
        <v>321</v>
      </c>
      <c r="G802" s="581"/>
      <c r="H802" s="619" t="s">
        <v>46</v>
      </c>
      <c r="I802" s="166"/>
      <c r="J802" s="583"/>
      <c r="K802" s="167">
        <f>IF(I802&gt;0,J802*100/I802,0)</f>
        <v>0</v>
      </c>
      <c r="L802" s="167"/>
      <c r="M802" s="167"/>
      <c r="N802" s="167"/>
      <c r="O802" s="167"/>
      <c r="P802" s="167"/>
      <c r="Q802" s="568"/>
      <c r="R802" s="568"/>
      <c r="S802" s="568"/>
      <c r="T802" s="568"/>
      <c r="U802" s="568"/>
      <c r="V802" s="568"/>
      <c r="W802" s="568"/>
      <c r="X802" s="568"/>
      <c r="Y802" s="568"/>
      <c r="Z802" s="568"/>
    </row>
    <row r="803" spans="1:26" ht="18.75" hidden="1">
      <c r="A803" s="578"/>
      <c r="B803" s="580"/>
      <c r="C803" s="580"/>
      <c r="D803" s="580"/>
      <c r="E803" s="684"/>
      <c r="F803" s="684"/>
      <c r="G803" s="581"/>
      <c r="H803" s="619" t="s">
        <v>34</v>
      </c>
      <c r="I803" s="166"/>
      <c r="J803" s="583"/>
      <c r="K803" s="167"/>
      <c r="L803" s="167"/>
      <c r="M803" s="167"/>
      <c r="N803" s="167"/>
      <c r="O803" s="167"/>
      <c r="P803" s="167"/>
      <c r="Q803" s="568"/>
      <c r="R803" s="568"/>
      <c r="S803" s="568"/>
      <c r="T803" s="568"/>
      <c r="U803" s="568"/>
      <c r="V803" s="568"/>
      <c r="W803" s="568"/>
      <c r="X803" s="568"/>
      <c r="Y803" s="568"/>
      <c r="Z803" s="568"/>
    </row>
    <row r="804" spans="1:26" ht="19.5" hidden="1">
      <c r="A804" s="757">
        <v>13</v>
      </c>
      <c r="B804" s="758" t="s">
        <v>322</v>
      </c>
      <c r="C804" s="759"/>
      <c r="D804" s="775"/>
      <c r="E804" s="759"/>
      <c r="F804" s="759"/>
      <c r="G804" s="760"/>
      <c r="H804" s="761" t="s">
        <v>46</v>
      </c>
      <c r="I804" s="762"/>
      <c r="J804" s="762">
        <f>J819</f>
        <v>0</v>
      </c>
      <c r="K804" s="763">
        <f>IF(I804&gt;0,J804*100/I804,0)</f>
        <v>0</v>
      </c>
      <c r="L804" s="764"/>
      <c r="M804" s="764"/>
      <c r="N804" s="764"/>
      <c r="O804" s="764"/>
      <c r="P804" s="764"/>
      <c r="Q804" s="568"/>
      <c r="R804" s="568"/>
      <c r="S804" s="568"/>
      <c r="T804" s="568"/>
      <c r="U804" s="568"/>
      <c r="V804" s="568"/>
      <c r="W804" s="568"/>
      <c r="X804" s="568"/>
      <c r="Y804" s="568"/>
      <c r="Z804" s="568"/>
    </row>
    <row r="805" spans="1:26" ht="19.5" hidden="1">
      <c r="A805" s="563"/>
      <c r="B805" s="723"/>
      <c r="C805" s="723" t="s">
        <v>16</v>
      </c>
      <c r="D805" s="812" t="s">
        <v>17</v>
      </c>
      <c r="E805" s="805"/>
      <c r="F805" s="805"/>
      <c r="G805" s="567"/>
      <c r="H805" s="612" t="s">
        <v>12</v>
      </c>
      <c r="I805" s="583"/>
      <c r="J805" s="583"/>
      <c r="K805" s="93"/>
      <c r="L805" s="613">
        <f t="shared" ref="L805:N805" si="326">L806+L807</f>
        <v>0</v>
      </c>
      <c r="M805" s="613">
        <f t="shared" si="326"/>
        <v>0</v>
      </c>
      <c r="N805" s="613">
        <f t="shared" si="326"/>
        <v>0</v>
      </c>
      <c r="O805" s="613">
        <f t="shared" ref="O805:O810" si="327">IF(L805&gt;0,N805*100/L805,0)</f>
        <v>0</v>
      </c>
      <c r="P805" s="613">
        <f t="shared" ref="P805:P810" si="328">IF(M805&gt;0,N805*100/M805,0)</f>
        <v>0</v>
      </c>
      <c r="Q805" s="568"/>
      <c r="R805" s="568"/>
      <c r="S805" s="568"/>
      <c r="T805" s="568"/>
      <c r="U805" s="568"/>
      <c r="V805" s="568"/>
      <c r="W805" s="568"/>
      <c r="X805" s="568"/>
      <c r="Y805" s="568"/>
      <c r="Z805" s="568"/>
    </row>
    <row r="806" spans="1:26" ht="18.75" hidden="1">
      <c r="A806" s="563"/>
      <c r="B806" s="723"/>
      <c r="C806" s="723"/>
      <c r="D806" s="580"/>
      <c r="E806" s="723" t="s">
        <v>184</v>
      </c>
      <c r="F806" s="723"/>
      <c r="G806" s="567"/>
      <c r="H806" s="165" t="s">
        <v>12</v>
      </c>
      <c r="I806" s="583"/>
      <c r="J806" s="583"/>
      <c r="K806" s="93"/>
      <c r="L806" s="93">
        <f t="shared" ref="L806:N807" si="329">L809+L816</f>
        <v>0</v>
      </c>
      <c r="M806" s="93">
        <f t="shared" si="329"/>
        <v>0</v>
      </c>
      <c r="N806" s="93">
        <f t="shared" si="329"/>
        <v>0</v>
      </c>
      <c r="O806" s="93">
        <f t="shared" si="327"/>
        <v>0</v>
      </c>
      <c r="P806" s="93">
        <f t="shared" si="328"/>
        <v>0</v>
      </c>
      <c r="Q806" s="568"/>
      <c r="R806" s="568"/>
      <c r="S806" s="568"/>
      <c r="T806" s="568"/>
      <c r="U806" s="568"/>
      <c r="V806" s="568"/>
      <c r="W806" s="568"/>
      <c r="X806" s="568"/>
      <c r="Y806" s="568"/>
      <c r="Z806" s="568"/>
    </row>
    <row r="807" spans="1:26" ht="18.75" hidden="1">
      <c r="A807" s="563"/>
      <c r="B807" s="723"/>
      <c r="C807" s="723"/>
      <c r="D807" s="580"/>
      <c r="E807" s="723" t="s">
        <v>185</v>
      </c>
      <c r="F807" s="723"/>
      <c r="G807" s="567"/>
      <c r="H807" s="165" t="s">
        <v>12</v>
      </c>
      <c r="I807" s="583"/>
      <c r="J807" s="583"/>
      <c r="K807" s="93"/>
      <c r="L807" s="93">
        <f t="shared" si="329"/>
        <v>0</v>
      </c>
      <c r="M807" s="93">
        <f t="shared" si="329"/>
        <v>0</v>
      </c>
      <c r="N807" s="93">
        <f t="shared" si="329"/>
        <v>0</v>
      </c>
      <c r="O807" s="93">
        <f t="shared" si="327"/>
        <v>0</v>
      </c>
      <c r="P807" s="93">
        <f t="shared" si="328"/>
        <v>0</v>
      </c>
      <c r="Q807" s="568"/>
      <c r="R807" s="568"/>
      <c r="S807" s="568"/>
      <c r="T807" s="568"/>
      <c r="U807" s="568"/>
      <c r="V807" s="568"/>
      <c r="W807" s="568"/>
      <c r="X807" s="568"/>
      <c r="Y807" s="568"/>
      <c r="Z807" s="568"/>
    </row>
    <row r="808" spans="1:26" ht="19.5" hidden="1">
      <c r="A808" s="563"/>
      <c r="B808" s="571"/>
      <c r="C808" s="723"/>
      <c r="D808" s="857" t="s">
        <v>20</v>
      </c>
      <c r="E808" s="805"/>
      <c r="F808" s="805"/>
      <c r="G808" s="567"/>
      <c r="H808" s="612" t="s">
        <v>12</v>
      </c>
      <c r="I808" s="166"/>
      <c r="J808" s="166"/>
      <c r="K808" s="167"/>
      <c r="L808" s="613">
        <f t="shared" ref="L808:N808" si="330">L809+L810</f>
        <v>0</v>
      </c>
      <c r="M808" s="613">
        <f t="shared" si="330"/>
        <v>0</v>
      </c>
      <c r="N808" s="613">
        <f t="shared" si="330"/>
        <v>0</v>
      </c>
      <c r="O808" s="613">
        <f t="shared" si="327"/>
        <v>0</v>
      </c>
      <c r="P808" s="613">
        <f t="shared" si="328"/>
        <v>0</v>
      </c>
      <c r="Q808" s="568"/>
      <c r="R808" s="568"/>
      <c r="S808" s="568"/>
      <c r="T808" s="568"/>
      <c r="U808" s="568"/>
      <c r="V808" s="568"/>
      <c r="W808" s="568"/>
      <c r="X808" s="568"/>
      <c r="Y808" s="568"/>
      <c r="Z808" s="568"/>
    </row>
    <row r="809" spans="1:26" ht="18.75" hidden="1">
      <c r="A809" s="563"/>
      <c r="B809" s="723"/>
      <c r="C809" s="723"/>
      <c r="D809" s="580"/>
      <c r="E809" s="723" t="s">
        <v>184</v>
      </c>
      <c r="F809" s="723"/>
      <c r="G809" s="567"/>
      <c r="H809" s="165" t="s">
        <v>12</v>
      </c>
      <c r="I809" s="583"/>
      <c r="J809" s="583"/>
      <c r="K809" s="93"/>
      <c r="L809" s="93">
        <v>0</v>
      </c>
      <c r="M809" s="93">
        <v>0</v>
      </c>
      <c r="N809" s="93">
        <v>0</v>
      </c>
      <c r="O809" s="93">
        <f t="shared" si="327"/>
        <v>0</v>
      </c>
      <c r="P809" s="93">
        <f t="shared" si="328"/>
        <v>0</v>
      </c>
      <c r="Q809" s="568"/>
      <c r="R809" s="568"/>
      <c r="S809" s="568"/>
      <c r="T809" s="568"/>
      <c r="U809" s="568"/>
      <c r="V809" s="568"/>
      <c r="W809" s="568"/>
      <c r="X809" s="568"/>
      <c r="Y809" s="568"/>
      <c r="Z809" s="568"/>
    </row>
    <row r="810" spans="1:26" ht="18.75" hidden="1">
      <c r="A810" s="563"/>
      <c r="B810" s="723"/>
      <c r="C810" s="723"/>
      <c r="D810" s="580"/>
      <c r="E810" s="723" t="s">
        <v>185</v>
      </c>
      <c r="F810" s="723"/>
      <c r="G810" s="567"/>
      <c r="H810" s="165" t="s">
        <v>12</v>
      </c>
      <c r="I810" s="583"/>
      <c r="J810" s="583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7"/>
        <v>0</v>
      </c>
      <c r="P810" s="93">
        <f t="shared" si="328"/>
        <v>0</v>
      </c>
      <c r="Q810" s="568"/>
      <c r="R810" s="568"/>
      <c r="S810" s="568"/>
      <c r="T810" s="568"/>
      <c r="U810" s="568"/>
      <c r="V810" s="568"/>
      <c r="W810" s="568"/>
      <c r="X810" s="568"/>
      <c r="Y810" s="568"/>
      <c r="Z810" s="568"/>
    </row>
    <row r="811" spans="1:26" ht="18.75" hidden="1">
      <c r="A811" s="615"/>
      <c r="B811" s="571"/>
      <c r="C811" s="723"/>
      <c r="D811" s="571"/>
      <c r="E811" s="723"/>
      <c r="F811" s="723" t="s">
        <v>186</v>
      </c>
      <c r="G811" s="567"/>
      <c r="H811" s="165" t="s">
        <v>12</v>
      </c>
      <c r="I811" s="583"/>
      <c r="J811" s="583"/>
      <c r="K811" s="93"/>
      <c r="L811" s="93"/>
      <c r="M811" s="93"/>
      <c r="N811" s="93"/>
      <c r="O811" s="93"/>
      <c r="P811" s="93"/>
      <c r="Q811" s="568"/>
      <c r="R811" s="568"/>
      <c r="S811" s="568"/>
      <c r="T811" s="568"/>
      <c r="U811" s="568"/>
      <c r="V811" s="568"/>
      <c r="W811" s="568"/>
      <c r="X811" s="568"/>
      <c r="Y811" s="568"/>
      <c r="Z811" s="568"/>
    </row>
    <row r="812" spans="1:26" ht="18.75" hidden="1">
      <c r="A812" s="615"/>
      <c r="B812" s="571"/>
      <c r="C812" s="723"/>
      <c r="D812" s="571"/>
      <c r="E812" s="723"/>
      <c r="F812" s="723" t="s">
        <v>187</v>
      </c>
      <c r="G812" s="567"/>
      <c r="H812" s="165" t="s">
        <v>12</v>
      </c>
      <c r="I812" s="583"/>
      <c r="J812" s="583"/>
      <c r="K812" s="93"/>
      <c r="L812" s="93"/>
      <c r="M812" s="93"/>
      <c r="N812" s="93"/>
      <c r="O812" s="93"/>
      <c r="P812" s="93"/>
      <c r="Q812" s="568"/>
      <c r="R812" s="568"/>
      <c r="S812" s="568"/>
      <c r="T812" s="568"/>
      <c r="U812" s="568"/>
      <c r="V812" s="568"/>
      <c r="W812" s="568"/>
      <c r="X812" s="568"/>
      <c r="Y812" s="568"/>
      <c r="Z812" s="568"/>
    </row>
    <row r="813" spans="1:26" ht="18.75" hidden="1">
      <c r="A813" s="615"/>
      <c r="B813" s="571"/>
      <c r="C813" s="723"/>
      <c r="D813" s="571"/>
      <c r="E813" s="723"/>
      <c r="F813" s="723" t="s">
        <v>188</v>
      </c>
      <c r="G813" s="567"/>
      <c r="H813" s="165" t="s">
        <v>12</v>
      </c>
      <c r="I813" s="583"/>
      <c r="J813" s="583"/>
      <c r="K813" s="93"/>
      <c r="L813" s="93"/>
      <c r="M813" s="93"/>
      <c r="N813" s="93"/>
      <c r="O813" s="93"/>
      <c r="P813" s="93"/>
      <c r="Q813" s="568"/>
      <c r="R813" s="568"/>
      <c r="S813" s="568"/>
      <c r="T813" s="568"/>
      <c r="U813" s="568"/>
      <c r="V813" s="568"/>
      <c r="W813" s="568"/>
      <c r="X813" s="568"/>
      <c r="Y813" s="568"/>
      <c r="Z813" s="568"/>
    </row>
    <row r="814" spans="1:26" ht="18.75" hidden="1">
      <c r="A814" s="615"/>
      <c r="B814" s="571"/>
      <c r="C814" s="723"/>
      <c r="D814" s="571"/>
      <c r="E814" s="723"/>
      <c r="F814" s="723" t="s">
        <v>189</v>
      </c>
      <c r="G814" s="567"/>
      <c r="H814" s="165" t="s">
        <v>12</v>
      </c>
      <c r="I814" s="583"/>
      <c r="J814" s="583"/>
      <c r="K814" s="93"/>
      <c r="L814" s="93"/>
      <c r="M814" s="93"/>
      <c r="N814" s="93"/>
      <c r="O814" s="93"/>
      <c r="P814" s="93"/>
      <c r="Q814" s="568"/>
      <c r="R814" s="568"/>
      <c r="S814" s="568"/>
      <c r="T814" s="568"/>
      <c r="U814" s="568"/>
      <c r="V814" s="568"/>
      <c r="W814" s="568"/>
      <c r="X814" s="568"/>
      <c r="Y814" s="568"/>
      <c r="Z814" s="568"/>
    </row>
    <row r="815" spans="1:26" ht="19.5" hidden="1">
      <c r="A815" s="563"/>
      <c r="B815" s="571"/>
      <c r="C815" s="723"/>
      <c r="D815" s="857" t="s">
        <v>21</v>
      </c>
      <c r="E815" s="805"/>
      <c r="F815" s="805"/>
      <c r="G815" s="567"/>
      <c r="H815" s="747" t="s">
        <v>12</v>
      </c>
      <c r="I815" s="166"/>
      <c r="J815" s="166"/>
      <c r="K815" s="167"/>
      <c r="L815" s="613">
        <f t="shared" ref="L815:N815" si="331">L816+L817</f>
        <v>0</v>
      </c>
      <c r="M815" s="613">
        <f t="shared" si="331"/>
        <v>0</v>
      </c>
      <c r="N815" s="613">
        <f t="shared" si="331"/>
        <v>0</v>
      </c>
      <c r="O815" s="613">
        <f t="shared" ref="O815:O817" si="332">IF(L815&gt;0,N815*100/L815,0)</f>
        <v>0</v>
      </c>
      <c r="P815" s="613">
        <f t="shared" ref="P815:P817" si="333">IF(M815&gt;0,N815*100/M815,0)</f>
        <v>0</v>
      </c>
      <c r="Q815" s="568"/>
      <c r="R815" s="568"/>
      <c r="S815" s="568"/>
      <c r="T815" s="568"/>
      <c r="U815" s="568"/>
      <c r="V815" s="568"/>
      <c r="W815" s="568"/>
      <c r="X815" s="568"/>
      <c r="Y815" s="568"/>
      <c r="Z815" s="568"/>
    </row>
    <row r="816" spans="1:26" ht="18.75" hidden="1">
      <c r="A816" s="563"/>
      <c r="B816" s="571"/>
      <c r="C816" s="723"/>
      <c r="D816" s="571"/>
      <c r="E816" s="723" t="s">
        <v>18</v>
      </c>
      <c r="F816" s="723"/>
      <c r="G816" s="567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2"/>
        <v>0</v>
      </c>
      <c r="P816" s="93">
        <f t="shared" si="333"/>
        <v>0</v>
      </c>
      <c r="Q816" s="568"/>
      <c r="R816" s="568"/>
      <c r="S816" s="568"/>
      <c r="T816" s="568"/>
      <c r="U816" s="568"/>
      <c r="V816" s="568"/>
      <c r="W816" s="568"/>
      <c r="X816" s="568"/>
      <c r="Y816" s="568"/>
      <c r="Z816" s="568"/>
    </row>
    <row r="817" spans="1:26" ht="18.75" hidden="1">
      <c r="A817" s="563"/>
      <c r="B817" s="571"/>
      <c r="C817" s="723"/>
      <c r="D817" s="571"/>
      <c r="E817" s="723" t="s">
        <v>19</v>
      </c>
      <c r="F817" s="723"/>
      <c r="G817" s="567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2"/>
        <v>0</v>
      </c>
      <c r="P817" s="93">
        <f t="shared" si="333"/>
        <v>0</v>
      </c>
      <c r="Q817" s="568"/>
      <c r="R817" s="568"/>
      <c r="S817" s="568"/>
      <c r="T817" s="568"/>
      <c r="U817" s="568"/>
      <c r="V817" s="568"/>
      <c r="W817" s="568"/>
      <c r="X817" s="568"/>
      <c r="Y817" s="568"/>
      <c r="Z817" s="568"/>
    </row>
    <row r="818" spans="1:26" ht="19.5" hidden="1">
      <c r="A818" s="578"/>
      <c r="B818" s="580"/>
      <c r="C818" s="723" t="s">
        <v>16</v>
      </c>
      <c r="D818" s="858" t="s">
        <v>38</v>
      </c>
      <c r="E818" s="617"/>
      <c r="F818" s="617"/>
      <c r="G818" s="618"/>
      <c r="H818" s="581"/>
      <c r="I818" s="166"/>
      <c r="J818" s="166"/>
      <c r="K818" s="167"/>
      <c r="L818" s="167"/>
      <c r="M818" s="167"/>
      <c r="N818" s="167"/>
      <c r="O818" s="167"/>
      <c r="P818" s="167"/>
      <c r="Q818" s="568"/>
      <c r="R818" s="568"/>
      <c r="S818" s="568"/>
      <c r="T818" s="568"/>
      <c r="U818" s="568"/>
      <c r="V818" s="568"/>
      <c r="W818" s="568"/>
      <c r="X818" s="568"/>
      <c r="Y818" s="568"/>
      <c r="Z818" s="568"/>
    </row>
    <row r="819" spans="1:26" ht="19.5" hidden="1" thickBot="1">
      <c r="A819" s="777"/>
      <c r="B819" s="778"/>
      <c r="C819" s="780"/>
      <c r="D819" s="778"/>
      <c r="E819" s="780" t="s">
        <v>323</v>
      </c>
      <c r="F819" s="780"/>
      <c r="G819" s="781"/>
      <c r="H819" s="782" t="s">
        <v>46</v>
      </c>
      <c r="I819" s="783"/>
      <c r="J819" s="783"/>
      <c r="K819" s="784"/>
      <c r="L819" s="784"/>
      <c r="M819" s="784"/>
      <c r="N819" s="784"/>
      <c r="O819" s="784"/>
      <c r="P819" s="784"/>
      <c r="Q819" s="568"/>
      <c r="R819" s="568"/>
      <c r="S819" s="568"/>
      <c r="T819" s="568"/>
      <c r="U819" s="568"/>
      <c r="V819" s="568"/>
      <c r="W819" s="568"/>
      <c r="X819" s="568"/>
      <c r="Y819" s="568"/>
      <c r="Z819" s="568"/>
    </row>
    <row r="820" spans="1:26" ht="19.5">
      <c r="A820" s="785" t="s">
        <v>332</v>
      </c>
      <c r="B820" s="786"/>
      <c r="C820" s="786"/>
      <c r="D820" s="787"/>
      <c r="E820" s="786"/>
      <c r="F820" s="786"/>
      <c r="G820" s="788"/>
      <c r="H820" s="788"/>
      <c r="I820" s="214"/>
      <c r="J820" s="214"/>
      <c r="K820" s="789"/>
      <c r="L820" s="789"/>
      <c r="M820" s="789"/>
      <c r="N820" s="789"/>
      <c r="O820" s="789"/>
      <c r="P820" s="789"/>
      <c r="Q820" s="541"/>
      <c r="R820" s="541"/>
      <c r="S820" s="541"/>
      <c r="T820" s="541"/>
      <c r="U820" s="541"/>
      <c r="V820" s="541"/>
      <c r="W820" s="541"/>
      <c r="X820" s="541"/>
      <c r="Y820" s="541"/>
      <c r="Z820" s="541"/>
    </row>
    <row r="821" spans="1:26" ht="18.75">
      <c r="A821" s="708"/>
      <c r="B821" s="727" t="s">
        <v>325</v>
      </c>
      <c r="C821" s="727"/>
      <c r="D821" s="538"/>
      <c r="E821" s="727"/>
      <c r="F821" s="727"/>
      <c r="G821" s="189"/>
      <c r="H821" s="589" t="s">
        <v>12</v>
      </c>
      <c r="I821" s="269">
        <f ca="1">IFERROR(__xludf.DUMMYFUNCTION("IMPORTRANGE(""https://docs.google.com/spreadsheets/d/19vJNZY_5yjcGF2XGBMNZRCAIB0Kwfpjp8YEOfu-bneM/edit?usp=sharing"",""งานกองทุน!D17"")"),2510000)</f>
        <v>2510000</v>
      </c>
      <c r="J821" s="269">
        <f ca="1">IFERROR(__xludf.DUMMYFUNCTION("IMPORTRANGE(""https://docs.google.com/spreadsheets/d/19vJNZY_5yjcGF2XGBMNZRCAIB0Kwfpjp8YEOfu-bneM/edit?usp=sharing"",""งานกองทุน!F17"")"),0)</f>
        <v>0</v>
      </c>
      <c r="K821" s="465">
        <f t="shared" ref="K821:K828" ca="1" si="334">IF(I821&gt;0,J821*100/I821,0)</f>
        <v>0</v>
      </c>
      <c r="L821" s="465"/>
      <c r="M821" s="465"/>
      <c r="N821" s="465"/>
      <c r="O821" s="465"/>
      <c r="P821" s="465"/>
      <c r="Q821" s="541"/>
      <c r="R821" s="541"/>
      <c r="S821" s="541"/>
      <c r="T821" s="541"/>
      <c r="U821" s="541"/>
      <c r="V821" s="541"/>
      <c r="W821" s="541"/>
      <c r="X821" s="541"/>
      <c r="Y821" s="541"/>
      <c r="Z821" s="541"/>
    </row>
    <row r="822" spans="1:26" ht="18.75">
      <c r="A822" s="708"/>
      <c r="B822" s="727"/>
      <c r="C822" s="727"/>
      <c r="D822" s="538"/>
      <c r="E822" s="727"/>
      <c r="F822" s="727"/>
      <c r="G822" s="189"/>
      <c r="H822" s="589" t="s">
        <v>35</v>
      </c>
      <c r="I822" s="269">
        <f ca="1">IFERROR(__xludf.DUMMYFUNCTION("IMPORTRANGE(""https://docs.google.com/spreadsheets/d/19vJNZY_5yjcGF2XGBMNZRCAIB0Kwfpjp8YEOfu-bneM/edit?usp=sharing"",""งานกองทุน!C17"")"),224)</f>
        <v>224</v>
      </c>
      <c r="J822" s="269">
        <f ca="1">IFERROR(__xludf.DUMMYFUNCTION("IMPORTRANGE(""https://docs.google.com/spreadsheets/d/19vJNZY_5yjcGF2XGBMNZRCAIB0Kwfpjp8YEOfu-bneM/edit?usp=sharing"",""งานกองทุน!E17"")"),0)</f>
        <v>0</v>
      </c>
      <c r="K822" s="465">
        <f t="shared" ca="1" si="334"/>
        <v>0</v>
      </c>
      <c r="L822" s="465"/>
      <c r="M822" s="465"/>
      <c r="N822" s="465"/>
      <c r="O822" s="465"/>
      <c r="P822" s="465"/>
      <c r="Q822" s="541"/>
      <c r="R822" s="541"/>
      <c r="S822" s="541"/>
      <c r="T822" s="541"/>
      <c r="U822" s="541"/>
      <c r="V822" s="541"/>
      <c r="W822" s="541"/>
      <c r="X822" s="541"/>
      <c r="Y822" s="541"/>
      <c r="Z822" s="541"/>
    </row>
    <row r="823" spans="1:26" ht="18.75">
      <c r="A823" s="708"/>
      <c r="B823" s="727" t="s">
        <v>326</v>
      </c>
      <c r="C823" s="727"/>
      <c r="D823" s="538"/>
      <c r="E823" s="727"/>
      <c r="F823" s="727"/>
      <c r="G823" s="189"/>
      <c r="H823" s="589" t="s">
        <v>12</v>
      </c>
      <c r="I823" s="269">
        <f ca="1">IFERROR(__xludf.DUMMYFUNCTION("IMPORTRANGE(""https://docs.google.com/spreadsheets/d/19vJNZY_5yjcGF2XGBMNZRCAIB0Kwfpjp8YEOfu-bneM/edit?usp=sharing"",""งานกองทุน!I17"")"),8058489.72)</f>
        <v>8058489.7199999997</v>
      </c>
      <c r="J823" s="269">
        <f ca="1">IFERROR(__xludf.DUMMYFUNCTION("IMPORTRANGE(""https://docs.google.com/spreadsheets/d/19vJNZY_5yjcGF2XGBMNZRCAIB0Kwfpjp8YEOfu-bneM/edit?usp=sharing"",""งานกองทุน!K17"")"),12107)</f>
        <v>12107</v>
      </c>
      <c r="K823" s="465">
        <f t="shared" ca="1" si="334"/>
        <v>0.15023906985886185</v>
      </c>
      <c r="L823" s="465"/>
      <c r="M823" s="465"/>
      <c r="N823" s="465"/>
      <c r="O823" s="465"/>
      <c r="P823" s="465"/>
      <c r="Q823" s="541"/>
      <c r="R823" s="541"/>
      <c r="S823" s="541"/>
      <c r="T823" s="541"/>
      <c r="U823" s="541"/>
      <c r="V823" s="541"/>
      <c r="W823" s="541"/>
      <c r="X823" s="541"/>
      <c r="Y823" s="541"/>
      <c r="Z823" s="541"/>
    </row>
    <row r="824" spans="1:26" ht="18.75">
      <c r="A824" s="708"/>
      <c r="B824" s="727"/>
      <c r="C824" s="727"/>
      <c r="D824" s="538"/>
      <c r="E824" s="727"/>
      <c r="F824" s="727"/>
      <c r="G824" s="189"/>
      <c r="H824" s="589" t="s">
        <v>35</v>
      </c>
      <c r="I824" s="269">
        <f ca="1">IFERROR(__xludf.DUMMYFUNCTION("IMPORTRANGE(""https://docs.google.com/spreadsheets/d/19vJNZY_5yjcGF2XGBMNZRCAIB0Kwfpjp8YEOfu-bneM/edit?usp=sharing"",""งานกองทุน!H17"")"),314)</f>
        <v>314</v>
      </c>
      <c r="J824" s="269">
        <f ca="1">IFERROR(__xludf.DUMMYFUNCTION("IMPORTRANGE(""https://docs.google.com/spreadsheets/d/19vJNZY_5yjcGF2XGBMNZRCAIB0Kwfpjp8YEOfu-bneM/edit?usp=sharing"",""งานกองทุน!J17"")"),4)</f>
        <v>4</v>
      </c>
      <c r="K824" s="465">
        <f t="shared" ca="1" si="334"/>
        <v>1.2738853503184713</v>
      </c>
      <c r="L824" s="465"/>
      <c r="M824" s="465"/>
      <c r="N824" s="465"/>
      <c r="O824" s="465"/>
      <c r="P824" s="465"/>
      <c r="Q824" s="541"/>
      <c r="R824" s="541"/>
      <c r="S824" s="541"/>
      <c r="T824" s="541"/>
      <c r="U824" s="541"/>
      <c r="V824" s="541"/>
      <c r="W824" s="541"/>
      <c r="X824" s="541"/>
      <c r="Y824" s="541"/>
      <c r="Z824" s="541"/>
    </row>
    <row r="825" spans="1:26" ht="18.75">
      <c r="A825" s="708"/>
      <c r="B825" s="727" t="s">
        <v>327</v>
      </c>
      <c r="C825" s="727"/>
      <c r="D825" s="538"/>
      <c r="E825" s="727"/>
      <c r="F825" s="727"/>
      <c r="G825" s="189"/>
      <c r="H825" s="589" t="s">
        <v>12</v>
      </c>
      <c r="I825" s="269">
        <f ca="1">IFERROR(__xludf.DUMMYFUNCTION("IMPORTRANGE(""https://docs.google.com/spreadsheets/d/19vJNZY_5yjcGF2XGBMNZRCAIB0Kwfpjp8YEOfu-bneM/edit?usp=sharing"",""งานกองทุน!N17"")"),0)</f>
        <v>0</v>
      </c>
      <c r="J825" s="269">
        <f ca="1">IFERROR(__xludf.DUMMYFUNCTION("IMPORTRANGE(""https://docs.google.com/spreadsheets/d/19vJNZY_5yjcGF2XGBMNZRCAIB0Kwfpjp8YEOfu-bneM/edit?usp=sharing"",""งานกองทุน!P17"")"),0)</f>
        <v>0</v>
      </c>
      <c r="K825" s="465">
        <f t="shared" ca="1" si="334"/>
        <v>0</v>
      </c>
      <c r="L825" s="465"/>
      <c r="M825" s="465"/>
      <c r="N825" s="465"/>
      <c r="O825" s="465"/>
      <c r="P825" s="465"/>
      <c r="Q825" s="541"/>
      <c r="R825" s="541"/>
      <c r="S825" s="541"/>
      <c r="T825" s="541"/>
      <c r="U825" s="541"/>
      <c r="V825" s="541"/>
      <c r="W825" s="541"/>
      <c r="X825" s="541"/>
      <c r="Y825" s="541"/>
      <c r="Z825" s="541"/>
    </row>
    <row r="826" spans="1:26" ht="18.75">
      <c r="A826" s="708"/>
      <c r="B826" s="727"/>
      <c r="C826" s="727"/>
      <c r="D826" s="538"/>
      <c r="E826" s="727"/>
      <c r="F826" s="727"/>
      <c r="G826" s="189"/>
      <c r="H826" s="589" t="s">
        <v>35</v>
      </c>
      <c r="I826" s="269">
        <f ca="1">IFERROR(__xludf.DUMMYFUNCTION("IMPORTRANGE(""https://docs.google.com/spreadsheets/d/19vJNZY_5yjcGF2XGBMNZRCAIB0Kwfpjp8YEOfu-bneM/edit?usp=sharing"",""งานกองทุน!M17"")"),0)</f>
        <v>0</v>
      </c>
      <c r="J826" s="269">
        <f ca="1">IFERROR(__xludf.DUMMYFUNCTION("IMPORTRANGE(""https://docs.google.com/spreadsheets/d/19vJNZY_5yjcGF2XGBMNZRCAIB0Kwfpjp8YEOfu-bneM/edit?usp=sharing"",""งานกองทุน!O17"")"),0)</f>
        <v>0</v>
      </c>
      <c r="K826" s="465">
        <f t="shared" ca="1" si="334"/>
        <v>0</v>
      </c>
      <c r="L826" s="465"/>
      <c r="M826" s="465"/>
      <c r="N826" s="465"/>
      <c r="O826" s="465"/>
      <c r="P826" s="465"/>
      <c r="Q826" s="541"/>
      <c r="R826" s="541"/>
      <c r="S826" s="541"/>
      <c r="T826" s="541"/>
      <c r="U826" s="541"/>
      <c r="V826" s="541"/>
      <c r="W826" s="541"/>
      <c r="X826" s="541"/>
      <c r="Y826" s="541"/>
      <c r="Z826" s="541"/>
    </row>
    <row r="827" spans="1:26" ht="18.75">
      <c r="A827" s="708"/>
      <c r="B827" s="727" t="s">
        <v>328</v>
      </c>
      <c r="C827" s="727"/>
      <c r="D827" s="538"/>
      <c r="E827" s="727"/>
      <c r="F827" s="727"/>
      <c r="G827" s="189"/>
      <c r="H827" s="589" t="s">
        <v>12</v>
      </c>
      <c r="I827" s="269">
        <f ca="1">IFERROR(__xludf.DUMMYFUNCTION("IMPORTRANGE(""https://docs.google.com/spreadsheets/d/19vJNZY_5yjcGF2XGBMNZRCAIB0Kwfpjp8YEOfu-bneM/edit?usp=sharing"",""งานกองทุน!S17"")"),2900000)</f>
        <v>2900000</v>
      </c>
      <c r="J827" s="269">
        <f ca="1">IFERROR(__xludf.DUMMYFUNCTION("IMPORTRANGE(""https://docs.google.com/spreadsheets/d/19vJNZY_5yjcGF2XGBMNZRCAIB0Kwfpjp8YEOfu-bneM/edit?usp=sharing"",""งานกองทุน!U17"")"),0)</f>
        <v>0</v>
      </c>
      <c r="K827" s="465">
        <f t="shared" ca="1" si="334"/>
        <v>0</v>
      </c>
      <c r="L827" s="465"/>
      <c r="M827" s="465"/>
      <c r="N827" s="465"/>
      <c r="O827" s="465"/>
      <c r="P827" s="465"/>
      <c r="Q827" s="541"/>
      <c r="R827" s="541"/>
      <c r="S827" s="541"/>
      <c r="T827" s="541"/>
      <c r="U827" s="541"/>
      <c r="V827" s="541"/>
      <c r="W827" s="541"/>
      <c r="X827" s="541"/>
      <c r="Y827" s="541"/>
      <c r="Z827" s="541"/>
    </row>
    <row r="828" spans="1:26" ht="18.75">
      <c r="A828" s="711"/>
      <c r="B828" s="713"/>
      <c r="C828" s="713"/>
      <c r="D828" s="712"/>
      <c r="E828" s="713"/>
      <c r="F828" s="713"/>
      <c r="G828" s="790"/>
      <c r="H828" s="791" t="s">
        <v>35</v>
      </c>
      <c r="I828" s="468">
        <f ca="1">IFERROR(__xludf.DUMMYFUNCTION("IMPORTRANGE(""https://docs.google.com/spreadsheets/d/19vJNZY_5yjcGF2XGBMNZRCAIB0Kwfpjp8YEOfu-bneM/edit?usp=sharing"",""งานกองทุน!R17"")"),116)</f>
        <v>116</v>
      </c>
      <c r="J828" s="468">
        <f ca="1">IFERROR(__xludf.DUMMYFUNCTION("IMPORTRANGE(""https://docs.google.com/spreadsheets/d/19vJNZY_5yjcGF2XGBMNZRCAIB0Kwfpjp8YEOfu-bneM/edit?usp=sharing"",""งานกองทุน!T17"")"),4)</f>
        <v>4</v>
      </c>
      <c r="K828" s="469">
        <f t="shared" ca="1" si="334"/>
        <v>3.4482758620689653</v>
      </c>
      <c r="L828" s="469"/>
      <c r="M828" s="469"/>
      <c r="N828" s="469"/>
      <c r="O828" s="469"/>
      <c r="P828" s="469"/>
      <c r="Q828" s="541"/>
      <c r="R828" s="541"/>
      <c r="S828" s="541"/>
      <c r="T828" s="541"/>
      <c r="U828" s="541"/>
      <c r="V828" s="541"/>
      <c r="W828" s="541"/>
      <c r="X828" s="541"/>
      <c r="Y828" s="541"/>
      <c r="Z828" s="541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2" fitToHeight="0" pageOrder="overThenDown" orientation="portrait" cellComments="atEnd" r:id="rId1"/>
  <headerFooter>
    <oddFooter>&amp;Cหน้า &amp;P/&amp;N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F78FB0-D4B8-4759-9431-97A481DF63C1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activeCell="S28" sqref="S28"/>
      <selection pane="bottomLeft" activeCell="M435" sqref="M435"/>
    </sheetView>
  </sheetViews>
  <sheetFormatPr defaultColWidth="12.5703125" defaultRowHeight="15.75" customHeight="1"/>
  <cols>
    <col min="1" max="1" width="5" customWidth="1"/>
    <col min="2" max="3" width="3.28515625" customWidth="1"/>
    <col min="4" max="6" width="5.85546875" customWidth="1"/>
    <col min="7" max="7" width="56.42578125" customWidth="1"/>
    <col min="8" max="8" width="9.42578125" customWidth="1"/>
    <col min="9" max="9" width="18.7109375" bestFit="1" customWidth="1"/>
    <col min="10" max="10" width="14.42578125" bestFit="1" customWidth="1"/>
    <col min="11" max="11" width="12.5703125" customWidth="1"/>
    <col min="12" max="13" width="21.28515625" bestFit="1" customWidth="1"/>
    <col min="14" max="14" width="18.7109375" bestFit="1" customWidth="1"/>
    <col min="15" max="15" width="20.140625" bestFit="1" customWidth="1"/>
    <col min="16" max="16" width="22" bestFit="1" customWidth="1"/>
  </cols>
  <sheetData>
    <row r="1" spans="1:26" ht="19.5">
      <c r="A1" s="792" t="s">
        <v>0</v>
      </c>
      <c r="B1" s="793"/>
      <c r="C1" s="793"/>
      <c r="D1" s="793"/>
      <c r="E1" s="793"/>
      <c r="F1" s="793"/>
      <c r="G1" s="793"/>
      <c r="H1" s="793"/>
      <c r="I1" s="793"/>
      <c r="J1" s="793"/>
      <c r="K1" s="793"/>
      <c r="L1" s="793"/>
      <c r="M1" s="793"/>
      <c r="N1" s="793"/>
      <c r="O1" s="793"/>
      <c r="P1" s="793"/>
    </row>
    <row r="2" spans="1:26" ht="19.5">
      <c r="A2" s="792" t="s">
        <v>337</v>
      </c>
      <c r="B2" s="793"/>
      <c r="C2" s="793"/>
      <c r="D2" s="793"/>
      <c r="E2" s="793"/>
      <c r="F2" s="793"/>
      <c r="G2" s="793"/>
      <c r="H2" s="793"/>
      <c r="I2" s="793"/>
      <c r="J2" s="793"/>
      <c r="K2" s="793"/>
      <c r="L2" s="793"/>
      <c r="M2" s="793"/>
      <c r="N2" s="793"/>
      <c r="O2" s="793"/>
      <c r="P2" s="793"/>
    </row>
    <row r="3" spans="1:26" ht="19.5">
      <c r="A3" s="792" t="s">
        <v>355</v>
      </c>
      <c r="B3" s="793"/>
      <c r="C3" s="793"/>
      <c r="D3" s="793"/>
      <c r="E3" s="793"/>
      <c r="F3" s="793"/>
      <c r="G3" s="793"/>
      <c r="H3" s="793"/>
      <c r="I3" s="793"/>
      <c r="J3" s="793"/>
      <c r="K3" s="793"/>
      <c r="L3" s="793"/>
      <c r="M3" s="793"/>
      <c r="N3" s="793"/>
      <c r="O3" s="793"/>
      <c r="P3" s="793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00" t="s">
        <v>2</v>
      </c>
      <c r="B5" s="793"/>
      <c r="C5" s="793"/>
      <c r="D5" s="793"/>
      <c r="E5" s="793"/>
      <c r="F5" s="793"/>
      <c r="G5" s="801"/>
      <c r="H5" s="794" t="s">
        <v>3</v>
      </c>
      <c r="I5" s="796" t="s">
        <v>4</v>
      </c>
      <c r="J5" s="797"/>
      <c r="K5" s="795"/>
      <c r="L5" s="798" t="s">
        <v>5</v>
      </c>
      <c r="M5" s="795"/>
      <c r="N5" s="799" t="s">
        <v>6</v>
      </c>
      <c r="O5" s="797"/>
      <c r="P5" s="795"/>
    </row>
    <row r="6" spans="1:26" ht="19.5">
      <c r="A6" s="802"/>
      <c r="B6" s="797"/>
      <c r="C6" s="797"/>
      <c r="D6" s="797"/>
      <c r="E6" s="797"/>
      <c r="F6" s="797"/>
      <c r="G6" s="795"/>
      <c r="H6" s="795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03" t="s">
        <v>15</v>
      </c>
      <c r="B7" s="797"/>
      <c r="C7" s="797"/>
      <c r="D7" s="797"/>
      <c r="E7" s="797"/>
      <c r="F7" s="797"/>
      <c r="G7" s="795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7759475</v>
      </c>
      <c r="M8" s="22">
        <f t="shared" ca="1" si="0"/>
        <v>2349221</v>
      </c>
      <c r="N8" s="22">
        <f t="shared" ca="1" si="0"/>
        <v>904141.06</v>
      </c>
      <c r="O8" s="22">
        <f t="shared" ref="O8:O16" ca="1" si="1">IF(L8&gt;0,N8*100/L8,0)</f>
        <v>11.652090637575352</v>
      </c>
      <c r="P8" s="22">
        <f t="shared" ref="P8:P16" ca="1" si="2">IF(M8&gt;0,N8*100/M8,0)</f>
        <v>38.486845639469422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7759475</v>
      </c>
      <c r="M10" s="30">
        <f t="shared" ca="1" si="3"/>
        <v>2349221</v>
      </c>
      <c r="N10" s="30">
        <f t="shared" ca="1" si="3"/>
        <v>904141.06</v>
      </c>
      <c r="O10" s="30">
        <f t="shared" ca="1" si="1"/>
        <v>11.652090637575352</v>
      </c>
      <c r="P10" s="30">
        <f t="shared" ca="1" si="2"/>
        <v>38.486845639469422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589" t="s">
        <v>12</v>
      </c>
      <c r="I11" s="269"/>
      <c r="J11" s="269"/>
      <c r="K11" s="465"/>
      <c r="L11" s="465">
        <f t="shared" ref="L11:N11" ca="1" si="4">L12+L13</f>
        <v>7485475</v>
      </c>
      <c r="M11" s="465">
        <f t="shared" ca="1" si="4"/>
        <v>2089021</v>
      </c>
      <c r="N11" s="465">
        <f t="shared" ca="1" si="4"/>
        <v>746941.06</v>
      </c>
      <c r="O11" s="465">
        <f t="shared" ca="1" si="1"/>
        <v>9.9785392376569284</v>
      </c>
      <c r="P11" s="465">
        <f t="shared" ca="1" si="2"/>
        <v>35.755555353440677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2" t="s">
        <v>18</v>
      </c>
      <c r="F12" s="40"/>
      <c r="G12" s="42"/>
      <c r="H12" s="43" t="s">
        <v>12</v>
      </c>
      <c r="I12" s="583"/>
      <c r="J12" s="583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2" t="s">
        <v>19</v>
      </c>
      <c r="F13" s="40"/>
      <c r="G13" s="42"/>
      <c r="H13" s="43" t="s">
        <v>12</v>
      </c>
      <c r="I13" s="583"/>
      <c r="J13" s="583"/>
      <c r="K13" s="93"/>
      <c r="L13" s="93">
        <f t="shared" ca="1" si="5"/>
        <v>7485475</v>
      </c>
      <c r="M13" s="93">
        <f t="shared" ca="1" si="5"/>
        <v>2089021</v>
      </c>
      <c r="N13" s="93">
        <f t="shared" ca="1" si="5"/>
        <v>746941.06</v>
      </c>
      <c r="O13" s="93">
        <f t="shared" ca="1" si="1"/>
        <v>9.9785392376569284</v>
      </c>
      <c r="P13" s="93">
        <f t="shared" ca="1" si="2"/>
        <v>35.755555353440677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589" t="s">
        <v>12</v>
      </c>
      <c r="I14" s="269"/>
      <c r="J14" s="269"/>
      <c r="K14" s="465"/>
      <c r="L14" s="465">
        <f t="shared" ref="L14:N14" ca="1" si="6">L15+L16</f>
        <v>274000</v>
      </c>
      <c r="M14" s="465">
        <f t="shared" ca="1" si="6"/>
        <v>260200</v>
      </c>
      <c r="N14" s="465">
        <f t="shared" ca="1" si="6"/>
        <v>157200</v>
      </c>
      <c r="O14" s="465">
        <f t="shared" ca="1" si="1"/>
        <v>57.372262773722625</v>
      </c>
      <c r="P14" s="465">
        <f t="shared" ca="1" si="2"/>
        <v>60.415065334358189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2" t="s">
        <v>18</v>
      </c>
      <c r="F15" s="40"/>
      <c r="G15" s="42"/>
      <c r="H15" s="43" t="s">
        <v>12</v>
      </c>
      <c r="I15" s="583"/>
      <c r="J15" s="583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274000</v>
      </c>
      <c r="M16" s="52">
        <f t="shared" ca="1" si="7"/>
        <v>260200</v>
      </c>
      <c r="N16" s="52">
        <f t="shared" ca="1" si="7"/>
        <v>157200</v>
      </c>
      <c r="O16" s="52">
        <f t="shared" ca="1" si="1"/>
        <v>57.372262773722625</v>
      </c>
      <c r="P16" s="52">
        <f t="shared" ca="1" si="2"/>
        <v>60.415065334358189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03" t="s">
        <v>22</v>
      </c>
      <c r="B17" s="797"/>
      <c r="C17" s="797"/>
      <c r="D17" s="797"/>
      <c r="E17" s="797"/>
      <c r="F17" s="797"/>
      <c r="G17" s="795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4469706</v>
      </c>
      <c r="M18" s="22">
        <f t="shared" ca="1" si="8"/>
        <v>2349221</v>
      </c>
      <c r="N18" s="22">
        <f t="shared" ca="1" si="8"/>
        <v>904141.06</v>
      </c>
      <c r="O18" s="22">
        <f t="shared" ref="O18:O26" ca="1" si="9">IF(L18&gt;0,N18*100/L18,0)</f>
        <v>20.228199796586175</v>
      </c>
      <c r="P18" s="22">
        <f t="shared" ref="P18:P26" ca="1" si="10">IF(M18&gt;0,N18*100/M18,0)</f>
        <v>38.486845639469422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4469706</v>
      </c>
      <c r="M20" s="30">
        <f t="shared" ca="1" si="11"/>
        <v>2349221</v>
      </c>
      <c r="N20" s="30">
        <f t="shared" ca="1" si="11"/>
        <v>904141.06</v>
      </c>
      <c r="O20" s="30">
        <f t="shared" ca="1" si="9"/>
        <v>20.228199796586175</v>
      </c>
      <c r="P20" s="30">
        <f t="shared" ca="1" si="10"/>
        <v>38.486845639469422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589" t="s">
        <v>12</v>
      </c>
      <c r="I21" s="269"/>
      <c r="J21" s="269"/>
      <c r="K21" s="465"/>
      <c r="L21" s="465">
        <f t="shared" ref="L21:N21" ca="1" si="12">L22+L23</f>
        <v>4195706</v>
      </c>
      <c r="M21" s="465">
        <f t="shared" ca="1" si="12"/>
        <v>2089021</v>
      </c>
      <c r="N21" s="465">
        <f t="shared" ca="1" si="12"/>
        <v>746941.06</v>
      </c>
      <c r="O21" s="465">
        <f t="shared" ca="1" si="9"/>
        <v>17.802511901453535</v>
      </c>
      <c r="P21" s="465">
        <f t="shared" ca="1" si="10"/>
        <v>35.755555353440677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2" t="s">
        <v>18</v>
      </c>
      <c r="F22" s="40"/>
      <c r="G22" s="42"/>
      <c r="H22" s="43" t="s">
        <v>12</v>
      </c>
      <c r="I22" s="583"/>
      <c r="J22" s="583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2" t="s">
        <v>19</v>
      </c>
      <c r="F23" s="40"/>
      <c r="G23" s="42"/>
      <c r="H23" s="43" t="s">
        <v>12</v>
      </c>
      <c r="I23" s="583"/>
      <c r="J23" s="583"/>
      <c r="K23" s="93"/>
      <c r="L23" s="93">
        <f t="shared" ca="1" si="13"/>
        <v>4195706</v>
      </c>
      <c r="M23" s="93">
        <f t="shared" ca="1" si="13"/>
        <v>2089021</v>
      </c>
      <c r="N23" s="93">
        <f t="shared" ca="1" si="13"/>
        <v>746941.06</v>
      </c>
      <c r="O23" s="93">
        <f t="shared" ca="1" si="9"/>
        <v>17.802511901453535</v>
      </c>
      <c r="P23" s="93">
        <f t="shared" ca="1" si="10"/>
        <v>35.755555353440677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589" t="s">
        <v>12</v>
      </c>
      <c r="I24" s="269"/>
      <c r="J24" s="269"/>
      <c r="K24" s="465"/>
      <c r="L24" s="465">
        <f t="shared" ref="L24:N24" ca="1" si="14">L25+L26</f>
        <v>274000</v>
      </c>
      <c r="M24" s="465">
        <f t="shared" ca="1" si="14"/>
        <v>260200</v>
      </c>
      <c r="N24" s="465">
        <f t="shared" ca="1" si="14"/>
        <v>157200</v>
      </c>
      <c r="O24" s="465">
        <f t="shared" ca="1" si="9"/>
        <v>57.372262773722625</v>
      </c>
      <c r="P24" s="465">
        <f t="shared" ca="1" si="10"/>
        <v>60.415065334358189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2" t="s">
        <v>18</v>
      </c>
      <c r="F25" s="40"/>
      <c r="G25" s="42"/>
      <c r="H25" s="43" t="s">
        <v>12</v>
      </c>
      <c r="I25" s="583"/>
      <c r="J25" s="583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274000</v>
      </c>
      <c r="M26" s="52">
        <f t="shared" ca="1" si="15"/>
        <v>260200</v>
      </c>
      <c r="N26" s="52">
        <f t="shared" ca="1" si="15"/>
        <v>157200</v>
      </c>
      <c r="O26" s="52">
        <f t="shared" ca="1" si="9"/>
        <v>57.372262773722625</v>
      </c>
      <c r="P26" s="52">
        <f t="shared" ca="1" si="10"/>
        <v>60.415065334358189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03" t="s">
        <v>23</v>
      </c>
      <c r="B27" s="797"/>
      <c r="C27" s="797"/>
      <c r="D27" s="797"/>
      <c r="E27" s="797"/>
      <c r="F27" s="797"/>
      <c r="G27" s="795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3289769</v>
      </c>
      <c r="M28" s="22">
        <f t="shared" si="16"/>
        <v>0</v>
      </c>
      <c r="N28" s="22">
        <f t="shared" si="16"/>
        <v>0</v>
      </c>
      <c r="O28" s="22">
        <f t="shared" ref="O28:O37" ca="1" si="17">IF(L28&gt;0,N28*100/L28,0)</f>
        <v>0</v>
      </c>
      <c r="P28" s="22">
        <f t="shared" ref="P28:P37" si="18">IF(M28&gt;0,N28*100/M28,0)</f>
        <v>0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3289769</v>
      </c>
      <c r="M30" s="30">
        <f t="shared" si="19"/>
        <v>0</v>
      </c>
      <c r="N30" s="30">
        <f t="shared" si="19"/>
        <v>0</v>
      </c>
      <c r="O30" s="30">
        <f t="shared" ca="1" si="17"/>
        <v>0</v>
      </c>
      <c r="P30" s="30">
        <f t="shared" si="18"/>
        <v>0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589" t="s">
        <v>12</v>
      </c>
      <c r="I31" s="269"/>
      <c r="J31" s="269"/>
      <c r="K31" s="465"/>
      <c r="L31" s="465">
        <f t="shared" ref="L31:N31" ca="1" si="20">L32+L33</f>
        <v>3289769</v>
      </c>
      <c r="M31" s="465">
        <f t="shared" si="20"/>
        <v>0</v>
      </c>
      <c r="N31" s="465">
        <f t="shared" si="20"/>
        <v>0</v>
      </c>
      <c r="O31" s="465">
        <f t="shared" ca="1" si="17"/>
        <v>0</v>
      </c>
      <c r="P31" s="465">
        <f t="shared" si="18"/>
        <v>0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2" t="s">
        <v>18</v>
      </c>
      <c r="F32" s="40"/>
      <c r="G32" s="42"/>
      <c r="H32" s="43" t="s">
        <v>12</v>
      </c>
      <c r="I32" s="583"/>
      <c r="J32" s="583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2" t="s">
        <v>19</v>
      </c>
      <c r="F33" s="40"/>
      <c r="G33" s="42"/>
      <c r="H33" s="43" t="s">
        <v>12</v>
      </c>
      <c r="I33" s="583"/>
      <c r="J33" s="583"/>
      <c r="K33" s="93"/>
      <c r="L33" s="93">
        <f t="shared" ca="1" si="21"/>
        <v>3289769</v>
      </c>
      <c r="M33" s="93">
        <f t="shared" si="21"/>
        <v>0</v>
      </c>
      <c r="N33" s="93">
        <f t="shared" si="21"/>
        <v>0</v>
      </c>
      <c r="O33" s="93">
        <f t="shared" ca="1" si="17"/>
        <v>0</v>
      </c>
      <c r="P33" s="93">
        <f t="shared" si="18"/>
        <v>0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589" t="s">
        <v>12</v>
      </c>
      <c r="I34" s="269"/>
      <c r="J34" s="269"/>
      <c r="K34" s="465"/>
      <c r="L34" s="465">
        <f t="shared" ref="L34:N34" ca="1" si="22">L35+L36</f>
        <v>0</v>
      </c>
      <c r="M34" s="465">
        <f t="shared" si="22"/>
        <v>0</v>
      </c>
      <c r="N34" s="465">
        <f t="shared" si="22"/>
        <v>0</v>
      </c>
      <c r="O34" s="465">
        <f t="shared" ca="1" si="17"/>
        <v>0</v>
      </c>
      <c r="P34" s="465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2" t="s">
        <v>18</v>
      </c>
      <c r="F35" s="40"/>
      <c r="G35" s="42"/>
      <c r="H35" s="43" t="s">
        <v>12</v>
      </c>
      <c r="I35" s="583"/>
      <c r="J35" s="583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53" t="s">
        <v>24</v>
      </c>
      <c r="B37" s="54"/>
      <c r="C37" s="54"/>
      <c r="D37" s="54"/>
      <c r="E37" s="54"/>
      <c r="F37" s="54"/>
      <c r="G37" s="55"/>
      <c r="H37" s="56"/>
      <c r="I37" s="392"/>
      <c r="J37" s="392"/>
      <c r="K37" s="58"/>
      <c r="L37" s="59">
        <f t="shared" ref="L37:N37" ca="1" si="24">L41+L53+L66+L88+L119+L132+L149+L165+L181+L261+L277+L298+L315+L328+L345+L389+L402</f>
        <v>4469706</v>
      </c>
      <c r="M37" s="59">
        <f t="shared" ca="1" si="24"/>
        <v>2349221</v>
      </c>
      <c r="N37" s="59">
        <f t="shared" ca="1" si="24"/>
        <v>904141.06</v>
      </c>
      <c r="O37" s="59">
        <f t="shared" ca="1" si="17"/>
        <v>20.228199796586175</v>
      </c>
      <c r="P37" s="59">
        <f t="shared" ca="1" si="18"/>
        <v>38.486845639469422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04" t="s">
        <v>27</v>
      </c>
      <c r="C40" s="805"/>
      <c r="D40" s="805"/>
      <c r="E40" s="805"/>
      <c r="F40" s="805"/>
      <c r="G40" s="806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15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563696</v>
      </c>
      <c r="M41" s="85">
        <f t="shared" ca="1" si="25"/>
        <v>285146</v>
      </c>
      <c r="N41" s="85">
        <f t="shared" ca="1" si="25"/>
        <v>113694</v>
      </c>
      <c r="O41" s="85">
        <f t="shared" ref="O41:O49" ca="1" si="26">IF(L41&gt;0,N41*100/L41,0)</f>
        <v>20.169382078283331</v>
      </c>
      <c r="P41" s="85">
        <f t="shared" ref="P41:P49" ca="1" si="27">IF(M41&gt;0,N41*100/M41,0)</f>
        <v>39.872205817370748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563696</v>
      </c>
      <c r="M43" s="92">
        <f t="shared" ca="1" si="28"/>
        <v>285146</v>
      </c>
      <c r="N43" s="92">
        <f t="shared" ca="1" si="28"/>
        <v>113694</v>
      </c>
      <c r="O43" s="92">
        <f t="shared" ca="1" si="26"/>
        <v>20.169382078283331</v>
      </c>
      <c r="P43" s="92">
        <f t="shared" ca="1" si="27"/>
        <v>39.872205817370748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589" t="s">
        <v>12</v>
      </c>
      <c r="I44" s="269"/>
      <c r="J44" s="269"/>
      <c r="K44" s="465"/>
      <c r="L44" s="465">
        <f t="shared" ref="L44:N44" ca="1" si="29">L45+L46</f>
        <v>563696</v>
      </c>
      <c r="M44" s="465">
        <f t="shared" ca="1" si="29"/>
        <v>285146</v>
      </c>
      <c r="N44" s="465">
        <f t="shared" ca="1" si="29"/>
        <v>113694</v>
      </c>
      <c r="O44" s="465">
        <f t="shared" ca="1" si="26"/>
        <v>20.169382078283331</v>
      </c>
      <c r="P44" s="465">
        <f t="shared" ca="1" si="27"/>
        <v>39.872205817370748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2" t="s">
        <v>18</v>
      </c>
      <c r="F45" s="40"/>
      <c r="G45" s="42"/>
      <c r="H45" s="43" t="s">
        <v>12</v>
      </c>
      <c r="I45" s="583"/>
      <c r="J45" s="583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2" t="s">
        <v>19</v>
      </c>
      <c r="F46" s="40"/>
      <c r="G46" s="42"/>
      <c r="H46" s="43" t="s">
        <v>12</v>
      </c>
      <c r="I46" s="583"/>
      <c r="J46" s="583"/>
      <c r="K46" s="93"/>
      <c r="L46" s="93">
        <f ca="1">IFERROR(__xludf.DUMMYFUNCTION("IMPORTRANGE(""https://docs.google.com/spreadsheets/d/1MeEWN-I1oV_STSDYn1IFDPWt_1FKiwhDph83XaGc0o0/edit?usp=sharing"",""งบพรบ!M18"")"),563696)</f>
        <v>563696</v>
      </c>
      <c r="M46" s="93">
        <f ca="1">IFERROR(__xludf.DUMMYFUNCTION("IMPORTRANGE(""https://docs.google.com/spreadsheets/d/1MeEWN-I1oV_STSDYn1IFDPWt_1FKiwhDph83XaGc0o0/edit?usp=sharing"",""งบพรบ!R18"")"),285146)</f>
        <v>285146</v>
      </c>
      <c r="N46" s="93">
        <f ca="1">IFERROR(__xludf.DUMMYFUNCTION("IMPORTRANGE(""https://docs.google.com/spreadsheets/d/1MeEWN-I1oV_STSDYn1IFDPWt_1FKiwhDph83XaGc0o0/edit?usp=sharing"",""งบพรบ!T18"")"),113694)</f>
        <v>113694</v>
      </c>
      <c r="O46" s="93">
        <f t="shared" ca="1" si="26"/>
        <v>20.169382078283331</v>
      </c>
      <c r="P46" s="93">
        <f t="shared" ca="1" si="27"/>
        <v>39.872205817370748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589" t="s">
        <v>12</v>
      </c>
      <c r="I47" s="269"/>
      <c r="J47" s="269"/>
      <c r="K47" s="465"/>
      <c r="L47" s="465">
        <f t="shared" ref="L47:N47" ca="1" si="30">L48+L49</f>
        <v>0</v>
      </c>
      <c r="M47" s="465">
        <f t="shared" ca="1" si="30"/>
        <v>0</v>
      </c>
      <c r="N47" s="465">
        <f t="shared" ca="1" si="30"/>
        <v>0</v>
      </c>
      <c r="O47" s="465">
        <f t="shared" ca="1" si="26"/>
        <v>0</v>
      </c>
      <c r="P47" s="465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2" t="s">
        <v>18</v>
      </c>
      <c r="F48" s="40"/>
      <c r="G48" s="42"/>
      <c r="H48" s="43" t="s">
        <v>12</v>
      </c>
      <c r="I48" s="583"/>
      <c r="J48" s="583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IFERROR(__xludf.DUMMYFUNCTION("IMPORTRANGE(""https://docs.google.com/spreadsheets/d/1MeEWN-I1oV_STSDYn1IFDPWt_1FKiwhDph83XaGc0o0/edit?usp=sharing"",""งบพรบ!P18"")"),0)</f>
        <v>0</v>
      </c>
      <c r="M49" s="52">
        <f ca="1">IFERROR(__xludf.DUMMYFUNCTION("IMPORTRANGE(""https://docs.google.com/spreadsheets/d/1MeEWN-I1oV_STSDYn1IFDPWt_1FKiwhDph83XaGc0o0/edit?usp=sharing"",""งบพรบ!S18"")"),0)</f>
        <v>0</v>
      </c>
      <c r="N49" s="52">
        <f ca="1">IFERROR(__xludf.DUMMYFUNCTION("IMPORTRANGE(""https://docs.google.com/spreadsheets/d/1MeEWN-I1oV_STSDYn1IFDPWt_1FKiwhDph83XaGc0o0/edit?usp=sharing"",""งบพรบ!U18"")"),0)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07" t="s">
        <v>28</v>
      </c>
      <c r="B50" s="797"/>
      <c r="C50" s="797"/>
      <c r="D50" s="797"/>
      <c r="E50" s="797"/>
      <c r="F50" s="797"/>
      <c r="G50" s="795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08" t="s">
        <v>29</v>
      </c>
      <c r="C51" s="805"/>
      <c r="D51" s="805"/>
      <c r="E51" s="805"/>
      <c r="F51" s="805"/>
      <c r="G51" s="806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16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952700</v>
      </c>
      <c r="M53" s="116">
        <f t="shared" ca="1" si="31"/>
        <v>476350</v>
      </c>
      <c r="N53" s="116">
        <f t="shared" ca="1" si="31"/>
        <v>284921.71999999997</v>
      </c>
      <c r="O53" s="116">
        <f t="shared" ref="O53:O61" ca="1" si="32">IF(L53&gt;0,N53*100/L53,0)</f>
        <v>29.906761834785343</v>
      </c>
      <c r="P53" s="116">
        <f t="shared" ref="P53:P61" ca="1" si="33">IF(M53&gt;0,N53*100/M53,0)</f>
        <v>59.813523669570685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952700</v>
      </c>
      <c r="M55" s="123">
        <f t="shared" ca="1" si="34"/>
        <v>476350</v>
      </c>
      <c r="N55" s="123">
        <f t="shared" ca="1" si="34"/>
        <v>284921.71999999997</v>
      </c>
      <c r="O55" s="123">
        <f t="shared" ca="1" si="32"/>
        <v>29.906761834785343</v>
      </c>
      <c r="P55" s="123">
        <f t="shared" ca="1" si="33"/>
        <v>59.813523669570685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589" t="s">
        <v>12</v>
      </c>
      <c r="I56" s="269"/>
      <c r="J56" s="269"/>
      <c r="K56" s="465"/>
      <c r="L56" s="465">
        <f t="shared" ref="L56:N56" ca="1" si="35">L57+L58</f>
        <v>952700</v>
      </c>
      <c r="M56" s="465">
        <f t="shared" ca="1" si="35"/>
        <v>476350</v>
      </c>
      <c r="N56" s="465">
        <f t="shared" ca="1" si="35"/>
        <v>284921.71999999997</v>
      </c>
      <c r="O56" s="465">
        <f t="shared" ca="1" si="32"/>
        <v>29.906761834785343</v>
      </c>
      <c r="P56" s="465">
        <f t="shared" ca="1" si="33"/>
        <v>59.813523669570685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2" t="s">
        <v>18</v>
      </c>
      <c r="F57" s="40"/>
      <c r="G57" s="42"/>
      <c r="H57" s="43" t="s">
        <v>12</v>
      </c>
      <c r="I57" s="583"/>
      <c r="J57" s="583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2" t="s">
        <v>19</v>
      </c>
      <c r="F58" s="40"/>
      <c r="G58" s="42"/>
      <c r="H58" s="43" t="s">
        <v>12</v>
      </c>
      <c r="I58" s="583"/>
      <c r="J58" s="583"/>
      <c r="K58" s="93"/>
      <c r="L58" s="93">
        <f ca="1">IFERROR(__xludf.DUMMYFUNCTION("IMPORTRANGE(""https://docs.google.com/spreadsheets/d/1MeEWN-I1oV_STSDYn1IFDPWt_1FKiwhDph83XaGc0o0/edit?usp=sharing"",""งบพรบ!W18"")"),952700)</f>
        <v>952700</v>
      </c>
      <c r="M58" s="93">
        <f ca="1">IFERROR(__xludf.DUMMYFUNCTION("IMPORTRANGE(""https://docs.google.com/spreadsheets/d/1MeEWN-I1oV_STSDYn1IFDPWt_1FKiwhDph83XaGc0o0/edit?usp=sharing"",""งบพรบ!AB18"")"),476350)</f>
        <v>476350</v>
      </c>
      <c r="N58" s="93">
        <f ca="1">IFERROR(__xludf.DUMMYFUNCTION("IMPORTRANGE(""https://docs.google.com/spreadsheets/d/1MeEWN-I1oV_STSDYn1IFDPWt_1FKiwhDph83XaGc0o0/edit?usp=sharing"",""งบพรบ!AD18"")"),284921.72)</f>
        <v>284921.71999999997</v>
      </c>
      <c r="O58" s="93">
        <f t="shared" ca="1" si="32"/>
        <v>29.906761834785343</v>
      </c>
      <c r="P58" s="93">
        <f t="shared" ca="1" si="33"/>
        <v>59.813523669570685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589" t="s">
        <v>12</v>
      </c>
      <c r="I59" s="269"/>
      <c r="J59" s="269"/>
      <c r="K59" s="465"/>
      <c r="L59" s="465">
        <f t="shared" ref="L59:N59" ca="1" si="36">L60+L61</f>
        <v>0</v>
      </c>
      <c r="M59" s="465">
        <f t="shared" ca="1" si="36"/>
        <v>0</v>
      </c>
      <c r="N59" s="465">
        <f t="shared" ca="1" si="36"/>
        <v>0</v>
      </c>
      <c r="O59" s="465">
        <f t="shared" ca="1" si="32"/>
        <v>0</v>
      </c>
      <c r="P59" s="465">
        <f t="shared" ca="1" si="33"/>
        <v>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2" t="s">
        <v>18</v>
      </c>
      <c r="F60" s="40"/>
      <c r="G60" s="42"/>
      <c r="H60" s="43" t="s">
        <v>12</v>
      </c>
      <c r="I60" s="583"/>
      <c r="J60" s="583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IFERROR(__xludf.DUMMYFUNCTION("IMPORTRANGE(""https://docs.google.com/spreadsheets/d/1MeEWN-I1oV_STSDYn1IFDPWt_1FKiwhDph83XaGc0o0/edit?usp=sharing"",""งบพรบ!Z18"")"),0)</f>
        <v>0</v>
      </c>
      <c r="M61" s="52">
        <f ca="1">IFERROR(__xludf.DUMMYFUNCTION("IMPORTRANGE(""https://docs.google.com/spreadsheets/d/1MeEWN-I1oV_STSDYn1IFDPWt_1FKiwhDph83XaGc0o0/edit?usp=sharing"",""งบพรบ!AC18"")"),0)</f>
        <v>0</v>
      </c>
      <c r="N61" s="52">
        <f ca="1">IFERROR(__xludf.DUMMYFUNCTION("IMPORTRANGE(""https://docs.google.com/spreadsheets/d/1MeEWN-I1oV_STSDYn1IFDPWt_1FKiwhDph83XaGc0o0/edit?usp=sharing"",""งบพรบ!AE18"")"),0)</f>
        <v>0</v>
      </c>
      <c r="O61" s="52">
        <f t="shared" ca="1" si="32"/>
        <v>0</v>
      </c>
      <c r="P61" s="52">
        <f t="shared" ca="1" si="33"/>
        <v>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>
      <c r="A64" s="138"/>
      <c r="B64" s="208" t="s">
        <v>33</v>
      </c>
      <c r="C64" s="140"/>
      <c r="D64" s="141"/>
      <c r="E64" s="140"/>
      <c r="F64" s="140"/>
      <c r="G64" s="142"/>
      <c r="H64" s="143" t="s">
        <v>34</v>
      </c>
      <c r="I64" s="144">
        <f t="shared" ref="I64:J65" ca="1" si="37">I76</f>
        <v>1</v>
      </c>
      <c r="J64" s="144">
        <f t="shared" si="37"/>
        <v>0</v>
      </c>
      <c r="K64" s="145">
        <f t="shared" ref="K64:K65" ca="1" si="38">IF(I64&gt;0,J64*100/I64,0)</f>
        <v>0</v>
      </c>
      <c r="L64" s="146"/>
      <c r="M64" s="146"/>
      <c r="N64" s="146"/>
      <c r="O64" s="146"/>
      <c r="P64" s="146"/>
    </row>
    <row r="65" spans="1:26" ht="19.5">
      <c r="A65" s="138"/>
      <c r="B65" s="140"/>
      <c r="C65" s="140"/>
      <c r="D65" s="141"/>
      <c r="E65" s="140"/>
      <c r="F65" s="140"/>
      <c r="G65" s="142"/>
      <c r="H65" s="143" t="s">
        <v>35</v>
      </c>
      <c r="I65" s="144">
        <f t="shared" ca="1" si="37"/>
        <v>40</v>
      </c>
      <c r="J65" s="144">
        <f t="shared" si="37"/>
        <v>0</v>
      </c>
      <c r="K65" s="145">
        <f t="shared" ca="1" si="38"/>
        <v>0</v>
      </c>
      <c r="L65" s="146"/>
      <c r="M65" s="146"/>
      <c r="N65" s="146"/>
      <c r="O65" s="146"/>
      <c r="P65" s="146"/>
    </row>
    <row r="66" spans="1:26" ht="19.5">
      <c r="A66" s="147"/>
      <c r="B66" s="148"/>
      <c r="C66" s="149" t="s">
        <v>16</v>
      </c>
      <c r="D66" s="817" t="s">
        <v>17</v>
      </c>
      <c r="E66" s="148"/>
      <c r="F66" s="148"/>
      <c r="G66" s="151"/>
      <c r="H66" s="152" t="s">
        <v>12</v>
      </c>
      <c r="I66" s="388"/>
      <c r="J66" s="388"/>
      <c r="K66" s="154"/>
      <c r="L66" s="155">
        <f t="shared" ref="L66:N66" ca="1" si="39">L67+L68</f>
        <v>1039000</v>
      </c>
      <c r="M66" s="155">
        <f t="shared" ca="1" si="39"/>
        <v>506000</v>
      </c>
      <c r="N66" s="155">
        <f t="shared" ca="1" si="39"/>
        <v>107376.04</v>
      </c>
      <c r="O66" s="155">
        <f t="shared" ref="O66:O74" ca="1" si="40">IF(L66&gt;0,N66*100/L66,0)</f>
        <v>10.334556304138594</v>
      </c>
      <c r="P66" s="155">
        <f t="shared" ref="P66:P74" ca="1" si="41">IF(M66&gt;0,N66*100/M66,0)</f>
        <v>21.220561264822134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2" t="s">
        <v>18</v>
      </c>
      <c r="F67" s="40"/>
      <c r="G67" s="157"/>
      <c r="H67" s="158" t="s">
        <v>12</v>
      </c>
      <c r="I67" s="583"/>
      <c r="J67" s="583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2" t="s">
        <v>19</v>
      </c>
      <c r="F68" s="40"/>
      <c r="G68" s="157"/>
      <c r="H68" s="158" t="s">
        <v>12</v>
      </c>
      <c r="I68" s="583"/>
      <c r="J68" s="583"/>
      <c r="K68" s="93"/>
      <c r="L68" s="93">
        <f t="shared" ca="1" si="42"/>
        <v>1039000</v>
      </c>
      <c r="M68" s="93">
        <f t="shared" ca="1" si="42"/>
        <v>506000</v>
      </c>
      <c r="N68" s="93">
        <f t="shared" ca="1" si="42"/>
        <v>107376.04</v>
      </c>
      <c r="O68" s="93">
        <f t="shared" ca="1" si="40"/>
        <v>10.334556304138594</v>
      </c>
      <c r="P68" s="93">
        <f t="shared" ca="1" si="41"/>
        <v>21.220561264822134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>
      <c r="A69" s="159"/>
      <c r="B69" s="33"/>
      <c r="C69" s="281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65">
        <f t="shared" ref="L69:N69" ca="1" si="43">L70+L71</f>
        <v>1039000</v>
      </c>
      <c r="M69" s="465">
        <f t="shared" ca="1" si="43"/>
        <v>506000</v>
      </c>
      <c r="N69" s="465">
        <f t="shared" ca="1" si="43"/>
        <v>107376.04</v>
      </c>
      <c r="O69" s="465">
        <f t="shared" ca="1" si="40"/>
        <v>10.334556304138594</v>
      </c>
      <c r="P69" s="465">
        <f t="shared" ca="1" si="41"/>
        <v>21.220561264822134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2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2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IFERROR(__xludf.DUMMYFUNCTION("IMPORTRANGE(""https://docs.google.com/spreadsheets/d/1MeEWN-I1oV_STSDYn1IFDPWt_1FKiwhDph83XaGc0o0/edit?usp=sharing"",""งบพรบ!AG18"")"),1039000)</f>
        <v>1039000</v>
      </c>
      <c r="M71" s="93">
        <f ca="1">IFERROR(__xludf.DUMMYFUNCTION("IMPORTRANGE(""https://docs.google.com/spreadsheets/d/1MeEWN-I1oV_STSDYn1IFDPWt_1FKiwhDph83XaGc0o0/edit?usp=sharing"",""งบพรบ!AL18"")"),506000)</f>
        <v>506000</v>
      </c>
      <c r="N71" s="93">
        <f ca="1">IFERROR(__xludf.DUMMYFUNCTION("IMPORTRANGE(""https://docs.google.com/spreadsheets/d/1MeEWN-I1oV_STSDYn1IFDPWt_1FKiwhDph83XaGc0o0/edit?usp=sharing"",""งบพรบ!AN18"")"),107376.04)</f>
        <v>107376.04</v>
      </c>
      <c r="O71" s="93">
        <f t="shared" ca="1" si="40"/>
        <v>10.334556304138594</v>
      </c>
      <c r="P71" s="93">
        <f t="shared" ca="1" si="41"/>
        <v>21.220561264822134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>
      <c r="A72" s="159"/>
      <c r="B72" s="33"/>
      <c r="C72" s="281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65">
        <f t="shared" ref="L72:N72" ca="1" si="44">L73+L74</f>
        <v>0</v>
      </c>
      <c r="M72" s="465">
        <f t="shared" ca="1" si="44"/>
        <v>0</v>
      </c>
      <c r="N72" s="465">
        <f t="shared" ca="1" si="44"/>
        <v>0</v>
      </c>
      <c r="O72" s="465">
        <f t="shared" ca="1" si="40"/>
        <v>0</v>
      </c>
      <c r="P72" s="465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2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2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IFERROR(__xludf.DUMMYFUNCTION("IMPORTRANGE(""https://docs.google.com/spreadsheets/d/1MeEWN-I1oV_STSDYn1IFDPWt_1FKiwhDph83XaGc0o0/edit?usp=sharing"",""งบพรบ!AJ18"")"),0)</f>
        <v>0</v>
      </c>
      <c r="M74" s="93">
        <f ca="1">IFERROR(__xludf.DUMMYFUNCTION("IMPORTRANGE(""https://docs.google.com/spreadsheets/d/1MeEWN-I1oV_STSDYn1IFDPWt_1FKiwhDph83XaGc0o0/edit?usp=sharing"",""งบพรบ!AM18"")"),0)</f>
        <v>0</v>
      </c>
      <c r="N74" s="93">
        <f ca="1">IFERROR(__xludf.DUMMYFUNCTION("IMPORTRANGE(""https://docs.google.com/spreadsheets/d/1MeEWN-I1oV_STSDYn1IFDPWt_1FKiwhDph83XaGc0o0/edit?usp=sharing"",""งบพรบ!AO18"")"),0)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>
      <c r="A75" s="170"/>
      <c r="B75" s="171"/>
      <c r="C75" s="164" t="s">
        <v>16</v>
      </c>
      <c r="D75" s="818" t="s">
        <v>38</v>
      </c>
      <c r="E75" s="173"/>
      <c r="F75" s="173"/>
      <c r="G75" s="174"/>
      <c r="H75" s="726"/>
      <c r="I75" s="184"/>
      <c r="J75" s="184"/>
      <c r="K75" s="163"/>
      <c r="L75" s="163"/>
      <c r="M75" s="163"/>
      <c r="N75" s="163"/>
      <c r="O75" s="163"/>
      <c r="P75" s="163"/>
    </row>
    <row r="76" spans="1:26" ht="19.5">
      <c r="A76" s="170"/>
      <c r="B76" s="171"/>
      <c r="C76" s="171"/>
      <c r="D76" s="343" t="s">
        <v>39</v>
      </c>
      <c r="E76" s="415"/>
      <c r="F76" s="342"/>
      <c r="G76" s="179"/>
      <c r="H76" s="180" t="s">
        <v>34</v>
      </c>
      <c r="I76" s="269">
        <f t="shared" ref="I76:J77" ca="1" si="45">I78+I80+I82</f>
        <v>1</v>
      </c>
      <c r="J76" s="269">
        <f t="shared" si="45"/>
        <v>0</v>
      </c>
      <c r="K76" s="163">
        <f t="shared" ref="K76:K84" ca="1" si="46">IF(I76&gt;0,J76*100/I76,0)</f>
        <v>0</v>
      </c>
      <c r="L76" s="163"/>
      <c r="M76" s="163"/>
      <c r="N76" s="163"/>
      <c r="O76" s="163"/>
      <c r="P76" s="163"/>
    </row>
    <row r="77" spans="1:26" ht="19.5">
      <c r="A77" s="170"/>
      <c r="B77" s="171"/>
      <c r="C77" s="171"/>
      <c r="D77" s="171"/>
      <c r="E77" s="342"/>
      <c r="F77" s="342"/>
      <c r="G77" s="179"/>
      <c r="H77" s="180" t="s">
        <v>35</v>
      </c>
      <c r="I77" s="269">
        <f t="shared" ca="1" si="45"/>
        <v>40</v>
      </c>
      <c r="J77" s="269">
        <f t="shared" si="45"/>
        <v>0</v>
      </c>
      <c r="K77" s="163">
        <f t="shared" ca="1" si="46"/>
        <v>0</v>
      </c>
      <c r="L77" s="163"/>
      <c r="M77" s="163"/>
      <c r="N77" s="163"/>
      <c r="O77" s="163"/>
      <c r="P77" s="163"/>
    </row>
    <row r="78" spans="1:26" ht="18.75">
      <c r="A78" s="170"/>
      <c r="B78" s="171"/>
      <c r="C78" s="171"/>
      <c r="D78" s="171"/>
      <c r="E78" s="415" t="s">
        <v>40</v>
      </c>
      <c r="F78" s="415"/>
      <c r="G78" s="179"/>
      <c r="H78" s="728" t="s">
        <v>34</v>
      </c>
      <c r="I78" s="184">
        <f ca="1">IFERROR(__xludf.DUMMYFUNCTION("IMPORTRANGE(""https://docs.google.com/spreadsheets/d/1QqKyyYR6Q21VydFLVH3TRQUabQu_ym0Zz7PgGX0-kHA/edit?usp=sharing"",""แผน!H18"")"),0)</f>
        <v>0</v>
      </c>
      <c r="J78" s="214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>
      <c r="A79" s="170"/>
      <c r="B79" s="171"/>
      <c r="C79" s="171"/>
      <c r="D79" s="171"/>
      <c r="E79" s="342"/>
      <c r="F79" s="342"/>
      <c r="G79" s="179"/>
      <c r="H79" s="728" t="s">
        <v>35</v>
      </c>
      <c r="I79" s="184">
        <f ca="1">IFERROR(__xludf.DUMMYFUNCTION("IMPORTRANGE(""https://docs.google.com/spreadsheets/d/1QqKyyYR6Q21VydFLVH3TRQUabQu_ym0Zz7PgGX0-kHA/edit?usp=sharing"",""แผน!I18"")"),0)</f>
        <v>0</v>
      </c>
      <c r="J79" s="214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>
      <c r="A80" s="170"/>
      <c r="B80" s="171"/>
      <c r="C80" s="171"/>
      <c r="D80" s="171"/>
      <c r="E80" s="415" t="s">
        <v>41</v>
      </c>
      <c r="F80" s="415"/>
      <c r="G80" s="179"/>
      <c r="H80" s="728" t="s">
        <v>34</v>
      </c>
      <c r="I80" s="184">
        <f ca="1">IFERROR(__xludf.DUMMYFUNCTION("IMPORTRANGE(""https://docs.google.com/spreadsheets/d/1QqKyyYR6Q21VydFLVH3TRQUabQu_ym0Zz7PgGX0-kHA/edit?usp=sharing"",""แผน!F18"")"),0)</f>
        <v>0</v>
      </c>
      <c r="J80" s="214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>
      <c r="A81" s="170"/>
      <c r="B81" s="171"/>
      <c r="C81" s="171"/>
      <c r="D81" s="171"/>
      <c r="E81" s="342"/>
      <c r="F81" s="342"/>
      <c r="G81" s="179"/>
      <c r="H81" s="728" t="s">
        <v>35</v>
      </c>
      <c r="I81" s="184">
        <f ca="1">IFERROR(__xludf.DUMMYFUNCTION("IMPORTRANGE(""https://docs.google.com/spreadsheets/d/1QqKyyYR6Q21VydFLVH3TRQUabQu_ym0Zz7PgGX0-kHA/edit?usp=sharing"",""แผน!G18"")"),0)</f>
        <v>0</v>
      </c>
      <c r="J81" s="214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>
      <c r="A82" s="170"/>
      <c r="B82" s="171"/>
      <c r="C82" s="171"/>
      <c r="D82" s="171"/>
      <c r="E82" s="415" t="s">
        <v>42</v>
      </c>
      <c r="F82" s="415"/>
      <c r="G82" s="179"/>
      <c r="H82" s="728" t="s">
        <v>34</v>
      </c>
      <c r="I82" s="184">
        <f ca="1">IFERROR(__xludf.DUMMYFUNCTION("IMPORTRANGE(""https://docs.google.com/spreadsheets/d/1QqKyyYR6Q21VydFLVH3TRQUabQu_ym0Zz7PgGX0-kHA/edit?usp=sharing"",""แผน!D18"")"),1)</f>
        <v>1</v>
      </c>
      <c r="J82" s="214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>
      <c r="A83" s="170"/>
      <c r="B83" s="171"/>
      <c r="C83" s="171"/>
      <c r="D83" s="171"/>
      <c r="E83" s="342"/>
      <c r="F83" s="342"/>
      <c r="G83" s="179"/>
      <c r="H83" s="728" t="s">
        <v>35</v>
      </c>
      <c r="I83" s="184">
        <f ca="1">IFERROR(__xludf.DUMMYFUNCTION("IMPORTRANGE(""https://docs.google.com/spreadsheets/d/1QqKyyYR6Q21VydFLVH3TRQUabQu_ym0Zz7PgGX0-kHA/edit?usp=sharing"",""แผน!E18"")"),40)</f>
        <v>40</v>
      </c>
      <c r="J83" s="214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>
      <c r="A84" s="170"/>
      <c r="B84" s="171"/>
      <c r="C84" s="171"/>
      <c r="D84" s="343" t="s">
        <v>43</v>
      </c>
      <c r="E84" s="415"/>
      <c r="F84" s="342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IFERROR(__xludf.DUMMYFUNCTION("IMPORTRANGE(""https://docs.google.com/spreadsheets/d/1QqKyyYR6Q21VydFLVH3TRQUabQu_ym0Zz7PgGX0-kHA/edit?usp=sharing"",""แผน!J18"")"),1)</f>
        <v>1</v>
      </c>
      <c r="J84" s="214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8" t="s">
        <v>45</v>
      </c>
      <c r="C86" s="140"/>
      <c r="D86" s="141"/>
      <c r="E86" s="140"/>
      <c r="F86" s="140"/>
      <c r="G86" s="142"/>
      <c r="H86" s="143" t="s">
        <v>46</v>
      </c>
      <c r="I86" s="144">
        <f t="shared" ref="I86:J87" ca="1" si="47">I98</f>
        <v>30</v>
      </c>
      <c r="J86" s="144">
        <f t="shared" si="47"/>
        <v>30</v>
      </c>
      <c r="K86" s="145">
        <f t="shared" ref="K86:K87" ca="1" si="48">IF(I86&gt;0,J86*100/I86,0)</f>
        <v>100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143" t="s">
        <v>35</v>
      </c>
      <c r="I87" s="144">
        <f t="shared" ca="1" si="47"/>
        <v>10</v>
      </c>
      <c r="J87" s="144">
        <f t="shared" si="47"/>
        <v>10</v>
      </c>
      <c r="K87" s="145">
        <f t="shared" ca="1" si="48"/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17" t="s">
        <v>17</v>
      </c>
      <c r="E88" s="148"/>
      <c r="F88" s="148"/>
      <c r="G88" s="151"/>
      <c r="H88" s="152" t="s">
        <v>12</v>
      </c>
      <c r="I88" s="388"/>
      <c r="J88" s="388"/>
      <c r="K88" s="154"/>
      <c r="L88" s="155">
        <f t="shared" ref="L88:N88" ca="1" si="49">L89+L90</f>
        <v>86040</v>
      </c>
      <c r="M88" s="155">
        <f t="shared" ca="1" si="49"/>
        <v>21840</v>
      </c>
      <c r="N88" s="155">
        <f t="shared" ca="1" si="49"/>
        <v>20459</v>
      </c>
      <c r="O88" s="155">
        <f t="shared" ref="O88:O96" ca="1" si="50">IF(L88&gt;0,N88*100/L88,0)</f>
        <v>23.778475127847514</v>
      </c>
      <c r="P88" s="155">
        <f t="shared" ref="P88:P96" ca="1" si="51">IF(M88&gt;0,N88*100/M88,0)</f>
        <v>93.676739926739927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2" t="s">
        <v>18</v>
      </c>
      <c r="F89" s="40"/>
      <c r="G89" s="157"/>
      <c r="H89" s="158" t="s">
        <v>12</v>
      </c>
      <c r="I89" s="583"/>
      <c r="J89" s="583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2" t="s">
        <v>19</v>
      </c>
      <c r="F90" s="40"/>
      <c r="G90" s="157"/>
      <c r="H90" s="158" t="s">
        <v>12</v>
      </c>
      <c r="I90" s="583"/>
      <c r="J90" s="583"/>
      <c r="K90" s="93"/>
      <c r="L90" s="93">
        <f t="shared" ca="1" si="52"/>
        <v>86040</v>
      </c>
      <c r="M90" s="93">
        <f t="shared" ca="1" si="52"/>
        <v>21840</v>
      </c>
      <c r="N90" s="93">
        <f t="shared" ca="1" si="52"/>
        <v>20459</v>
      </c>
      <c r="O90" s="93">
        <f t="shared" ca="1" si="50"/>
        <v>23.778475127847514</v>
      </c>
      <c r="P90" s="93">
        <f t="shared" ca="1" si="51"/>
        <v>93.676739926739927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1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65">
        <f t="shared" ref="L91:N91" ca="1" si="53">L92+L93</f>
        <v>86040</v>
      </c>
      <c r="M91" s="465">
        <f t="shared" ca="1" si="53"/>
        <v>21840</v>
      </c>
      <c r="N91" s="465">
        <f t="shared" ca="1" si="53"/>
        <v>20459</v>
      </c>
      <c r="O91" s="465">
        <f t="shared" ca="1" si="50"/>
        <v>23.778475127847514</v>
      </c>
      <c r="P91" s="465">
        <f t="shared" ca="1" si="51"/>
        <v>93.676739926739927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2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2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IFERROR(__xludf.DUMMYFUNCTION("IMPORTRANGE(""https://docs.google.com/spreadsheets/d/1MeEWN-I1oV_STSDYn1IFDPWt_1FKiwhDph83XaGc0o0/edit?usp=sharing"",""งบพรบ!AQ18"")"),86040)</f>
        <v>86040</v>
      </c>
      <c r="M93" s="93">
        <f ca="1">IFERROR(__xludf.DUMMYFUNCTION("IMPORTRANGE(""https://docs.google.com/spreadsheets/d/1MeEWN-I1oV_STSDYn1IFDPWt_1FKiwhDph83XaGc0o0/edit?usp=sharing"",""งบพรบ!AV18"")"),21840)</f>
        <v>21840</v>
      </c>
      <c r="N93" s="93">
        <f ca="1">IFERROR(__xludf.DUMMYFUNCTION("IMPORTRANGE(""https://docs.google.com/spreadsheets/d/1MeEWN-I1oV_STSDYn1IFDPWt_1FKiwhDph83XaGc0o0/edit?usp=sharing"",""งบพรบ!AX18"")"),20459)</f>
        <v>20459</v>
      </c>
      <c r="O93" s="93">
        <f t="shared" ca="1" si="50"/>
        <v>23.778475127847514</v>
      </c>
      <c r="P93" s="93">
        <f t="shared" ca="1" si="51"/>
        <v>93.676739926739927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1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65">
        <f t="shared" ref="L94:N94" ca="1" si="54">L95+L96</f>
        <v>0</v>
      </c>
      <c r="M94" s="465">
        <f t="shared" ca="1" si="54"/>
        <v>0</v>
      </c>
      <c r="N94" s="465">
        <f t="shared" ca="1" si="54"/>
        <v>0</v>
      </c>
      <c r="O94" s="465">
        <f t="shared" ca="1" si="50"/>
        <v>0</v>
      </c>
      <c r="P94" s="465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2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2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IFERROR(__xludf.DUMMYFUNCTION("IMPORTRANGE(""https://docs.google.com/spreadsheets/d/1MeEWN-I1oV_STSDYn1IFDPWt_1FKiwhDph83XaGc0o0/edit?usp=sharing"",""งบพรบ!AT18"")"),0)</f>
        <v>0</v>
      </c>
      <c r="M96" s="93">
        <f ca="1">IFERROR(__xludf.DUMMYFUNCTION("IMPORTRANGE(""https://docs.google.com/spreadsheets/d/1MeEWN-I1oV_STSDYn1IFDPWt_1FKiwhDph83XaGc0o0/edit?usp=sharing"",""งบพรบ!AW18"")"),0)</f>
        <v>0</v>
      </c>
      <c r="N96" s="93">
        <f ca="1">IFERROR(__xludf.DUMMYFUNCTION("IMPORTRANGE(""https://docs.google.com/spreadsheets/d/1MeEWN-I1oV_STSDYn1IFDPWt_1FKiwhDph83XaGc0o0/edit?usp=sharing"",""งบพรบ!AY18"")"),0)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18" t="s">
        <v>38</v>
      </c>
      <c r="E97" s="173"/>
      <c r="F97" s="173"/>
      <c r="G97" s="174"/>
      <c r="H97" s="726"/>
      <c r="I97" s="184"/>
      <c r="J97" s="269"/>
      <c r="K97" s="465"/>
      <c r="L97" s="465"/>
      <c r="M97" s="465"/>
      <c r="N97" s="465"/>
      <c r="O97" s="163"/>
      <c r="P97" s="163"/>
    </row>
    <row r="98" spans="1:16" ht="18.75">
      <c r="A98" s="170"/>
      <c r="B98" s="171"/>
      <c r="C98" s="171"/>
      <c r="D98" s="415" t="s">
        <v>47</v>
      </c>
      <c r="E98" s="415"/>
      <c r="F98" s="342"/>
      <c r="G98" s="179"/>
      <c r="H98" s="589" t="s">
        <v>46</v>
      </c>
      <c r="I98" s="269">
        <f ca="1">IFERROR(__xludf.DUMMYFUNCTION("IMPORTRANGE(""https://docs.google.com/spreadsheets/d/1QqKyyYR6Q21VydFLVH3TRQUabQu_ym0Zz7PgGX0-kHA/edit?usp=sharing"",""แผน!K18"")"),30)</f>
        <v>30</v>
      </c>
      <c r="J98" s="269">
        <f>J102</f>
        <v>30</v>
      </c>
      <c r="K98" s="465">
        <f t="shared" ref="K98:K100" ca="1" si="55">IF(I98&gt;0,J98*100/I98,0)</f>
        <v>100</v>
      </c>
      <c r="L98" s="465"/>
      <c r="M98" s="465"/>
      <c r="N98" s="465"/>
      <c r="O98" s="163"/>
      <c r="P98" s="163"/>
    </row>
    <row r="99" spans="1:16" ht="18.75">
      <c r="A99" s="170"/>
      <c r="B99" s="171"/>
      <c r="C99" s="171"/>
      <c r="D99" s="415" t="s">
        <v>48</v>
      </c>
      <c r="E99" s="415"/>
      <c r="F99" s="342"/>
      <c r="G99" s="179"/>
      <c r="H99" s="589" t="s">
        <v>35</v>
      </c>
      <c r="I99" s="269">
        <f ca="1">IFERROR(__xludf.DUMMYFUNCTION("IMPORTRANGE(""https://docs.google.com/spreadsheets/d/1QqKyyYR6Q21VydFLVH3TRQUabQu_ym0Zz7PgGX0-kHA/edit?usp=sharing"",""แผน!L18"")"),10)</f>
        <v>10</v>
      </c>
      <c r="J99" s="269">
        <f>J104</f>
        <v>10</v>
      </c>
      <c r="K99" s="465">
        <f t="shared" ca="1" si="55"/>
        <v>100</v>
      </c>
      <c r="L99" s="465"/>
      <c r="M99" s="465"/>
      <c r="N99" s="465"/>
      <c r="O99" s="163"/>
      <c r="P99" s="163"/>
    </row>
    <row r="100" spans="1:16" ht="18.75">
      <c r="A100" s="170"/>
      <c r="B100" s="171"/>
      <c r="C100" s="171"/>
      <c r="D100" s="171"/>
      <c r="E100" s="342"/>
      <c r="F100" s="342"/>
      <c r="G100" s="179"/>
      <c r="H100" s="589" t="s">
        <v>49</v>
      </c>
      <c r="I100" s="269">
        <f ca="1">IFERROR(__xludf.DUMMYFUNCTION("IMPORTRANGE(""https://docs.google.com/spreadsheets/d/1QqKyyYR6Q21VydFLVH3TRQUabQu_ym0Zz7PgGX0-kHA/edit?usp=sharing"",""แผน!M18"")"),2)</f>
        <v>2</v>
      </c>
      <c r="J100" s="269">
        <f>J107+J110</f>
        <v>0</v>
      </c>
      <c r="K100" s="465">
        <f t="shared" ca="1" si="55"/>
        <v>0</v>
      </c>
      <c r="L100" s="465"/>
      <c r="M100" s="465"/>
      <c r="N100" s="465"/>
      <c r="O100" s="163"/>
      <c r="P100" s="163"/>
    </row>
    <row r="101" spans="1:16" ht="19.5">
      <c r="A101" s="170"/>
      <c r="B101" s="171"/>
      <c r="C101" s="171"/>
      <c r="D101" s="342"/>
      <c r="E101" s="191" t="s">
        <v>50</v>
      </c>
      <c r="F101" s="342"/>
      <c r="G101" s="179"/>
      <c r="H101" s="589"/>
      <c r="I101" s="269"/>
      <c r="J101" s="269"/>
      <c r="K101" s="465"/>
      <c r="L101" s="465"/>
      <c r="M101" s="465"/>
      <c r="N101" s="465"/>
      <c r="O101" s="163"/>
      <c r="P101" s="163"/>
    </row>
    <row r="102" spans="1:16" ht="18.75">
      <c r="A102" s="170"/>
      <c r="B102" s="171"/>
      <c r="C102" s="171"/>
      <c r="D102" s="342"/>
      <c r="E102" s="592" t="s">
        <v>47</v>
      </c>
      <c r="F102" s="342"/>
      <c r="G102" s="179"/>
      <c r="H102" s="589" t="s">
        <v>46</v>
      </c>
      <c r="I102" s="269">
        <f ca="1">IFERROR(__xludf.DUMMYFUNCTION("IMPORTRANGE(""https://docs.google.com/spreadsheets/d/1QqKyyYR6Q21VydFLVH3TRQUabQu_ym0Zz7PgGX0-kHA/edit?usp=sharing"",""แผน!N18"")"),30)</f>
        <v>30</v>
      </c>
      <c r="J102" s="214">
        <v>30</v>
      </c>
      <c r="K102" s="465">
        <f t="shared" ref="K102:K104" ca="1" si="56">IF(I102&gt;0,J102*100/I102,0)</f>
        <v>100</v>
      </c>
      <c r="L102" s="465"/>
      <c r="M102" s="465"/>
      <c r="N102" s="465"/>
      <c r="O102" s="163"/>
      <c r="P102" s="163"/>
    </row>
    <row r="103" spans="1:16" ht="19.5">
      <c r="A103" s="170"/>
      <c r="B103" s="171"/>
      <c r="C103" s="171"/>
      <c r="D103" s="342"/>
      <c r="E103" s="415" t="s">
        <v>51</v>
      </c>
      <c r="F103" s="342"/>
      <c r="G103" s="179"/>
      <c r="H103" s="589" t="s">
        <v>35</v>
      </c>
      <c r="I103" s="269">
        <f ca="1">IFERROR(__xludf.DUMMYFUNCTION("IMPORTRANGE(""https://docs.google.com/spreadsheets/d/1QqKyyYR6Q21VydFLVH3TRQUabQu_ym0Zz7PgGX0-kHA/edit?usp=sharing"",""แผน!O18"")"),10)</f>
        <v>10</v>
      </c>
      <c r="J103" s="214">
        <v>10</v>
      </c>
      <c r="K103" s="465">
        <f t="shared" ca="1" si="56"/>
        <v>100</v>
      </c>
      <c r="L103" s="465"/>
      <c r="M103" s="465"/>
      <c r="N103" s="465"/>
      <c r="O103" s="163"/>
      <c r="P103" s="163"/>
    </row>
    <row r="104" spans="1:16" ht="18.75">
      <c r="A104" s="170"/>
      <c r="B104" s="171"/>
      <c r="C104" s="171"/>
      <c r="D104" s="342"/>
      <c r="E104" s="188" t="s">
        <v>52</v>
      </c>
      <c r="F104" s="342"/>
      <c r="G104" s="179"/>
      <c r="H104" s="589" t="s">
        <v>35</v>
      </c>
      <c r="I104" s="269">
        <f ca="1">IFERROR(__xludf.DUMMYFUNCTION("IMPORTRANGE(""https://docs.google.com/spreadsheets/d/1QqKyyYR6Q21VydFLVH3TRQUabQu_ym0Zz7PgGX0-kHA/edit?usp=sharing"",""แผน!O18"")"),10)</f>
        <v>10</v>
      </c>
      <c r="J104" s="214">
        <v>10</v>
      </c>
      <c r="K104" s="465">
        <f t="shared" ca="1" si="56"/>
        <v>100</v>
      </c>
      <c r="L104" s="465"/>
      <c r="M104" s="465"/>
      <c r="N104" s="465"/>
      <c r="O104" s="163"/>
      <c r="P104" s="163"/>
    </row>
    <row r="105" spans="1:16" ht="19.5">
      <c r="A105" s="170"/>
      <c r="B105" s="171"/>
      <c r="C105" s="171"/>
      <c r="D105" s="342"/>
      <c r="E105" s="191" t="s">
        <v>53</v>
      </c>
      <c r="F105" s="342"/>
      <c r="G105" s="179"/>
      <c r="H105" s="189"/>
      <c r="I105" s="269"/>
      <c r="J105" s="269"/>
      <c r="K105" s="465"/>
      <c r="L105" s="465"/>
      <c r="M105" s="465"/>
      <c r="N105" s="465"/>
      <c r="O105" s="163"/>
      <c r="P105" s="163"/>
    </row>
    <row r="106" spans="1:16" ht="19.5">
      <c r="A106" s="170"/>
      <c r="B106" s="171"/>
      <c r="C106" s="171"/>
      <c r="D106" s="342"/>
      <c r="E106" s="415" t="s">
        <v>54</v>
      </c>
      <c r="F106" s="342"/>
      <c r="G106" s="179"/>
      <c r="H106" s="589" t="s">
        <v>49</v>
      </c>
      <c r="I106" s="269">
        <f ca="1">IFERROR(__xludf.DUMMYFUNCTION("IMPORTRANGE(""https://docs.google.com/spreadsheets/d/1QqKyyYR6Q21VydFLVH3TRQUabQu_ym0Zz7PgGX0-kHA/edit?usp=sharing"",""แผน!P18"")"),1)</f>
        <v>1</v>
      </c>
      <c r="J106" s="214">
        <v>0</v>
      </c>
      <c r="K106" s="465">
        <f t="shared" ref="K106:K107" ca="1" si="57">IF(I106&gt;0,J106*100/I106,0)</f>
        <v>0</v>
      </c>
      <c r="L106" s="465"/>
      <c r="M106" s="465"/>
      <c r="N106" s="465"/>
      <c r="O106" s="163"/>
      <c r="P106" s="163"/>
    </row>
    <row r="107" spans="1:16" ht="18.75">
      <c r="A107" s="170"/>
      <c r="B107" s="171"/>
      <c r="C107" s="171"/>
      <c r="D107" s="342"/>
      <c r="E107" s="188" t="s">
        <v>55</v>
      </c>
      <c r="F107" s="342"/>
      <c r="G107" s="179"/>
      <c r="H107" s="589" t="s">
        <v>49</v>
      </c>
      <c r="I107" s="269">
        <f ca="1">IFERROR(__xludf.DUMMYFUNCTION("IMPORTRANGE(""https://docs.google.com/spreadsheets/d/1QqKyyYR6Q21VydFLVH3TRQUabQu_ym0Zz7PgGX0-kHA/edit?usp=sharing"",""แผน!P18"")"),1)</f>
        <v>1</v>
      </c>
      <c r="J107" s="214">
        <v>0</v>
      </c>
      <c r="K107" s="465">
        <f t="shared" ca="1" si="57"/>
        <v>0</v>
      </c>
      <c r="L107" s="465"/>
      <c r="M107" s="465"/>
      <c r="N107" s="465"/>
      <c r="O107" s="163"/>
      <c r="P107" s="163"/>
    </row>
    <row r="108" spans="1:16" ht="19.5">
      <c r="A108" s="170"/>
      <c r="B108" s="171"/>
      <c r="C108" s="171"/>
      <c r="D108" s="342"/>
      <c r="E108" s="191" t="s">
        <v>56</v>
      </c>
      <c r="F108" s="342"/>
      <c r="G108" s="179"/>
      <c r="H108" s="189"/>
      <c r="I108" s="269"/>
      <c r="J108" s="269"/>
      <c r="K108" s="465"/>
      <c r="L108" s="465"/>
      <c r="M108" s="465"/>
      <c r="N108" s="465"/>
      <c r="O108" s="163"/>
      <c r="P108" s="163"/>
    </row>
    <row r="109" spans="1:16" ht="19.5">
      <c r="A109" s="170"/>
      <c r="B109" s="171"/>
      <c r="C109" s="171"/>
      <c r="D109" s="342"/>
      <c r="E109" s="415" t="s">
        <v>57</v>
      </c>
      <c r="F109" s="342"/>
      <c r="G109" s="179"/>
      <c r="H109" s="589" t="s">
        <v>49</v>
      </c>
      <c r="I109" s="269">
        <f ca="1">IFERROR(__xludf.DUMMYFUNCTION("IMPORTRANGE(""https://docs.google.com/spreadsheets/d/1QqKyyYR6Q21VydFLVH3TRQUabQu_ym0Zz7PgGX0-kHA/edit?usp=sharing"",""แผน!Q18"")"),1)</f>
        <v>1</v>
      </c>
      <c r="J109" s="214">
        <v>0</v>
      </c>
      <c r="K109" s="465">
        <f t="shared" ref="K109:K116" ca="1" si="58">IF(I109&gt;0,J109*100/I109,0)</f>
        <v>0</v>
      </c>
      <c r="L109" s="465"/>
      <c r="M109" s="465"/>
      <c r="N109" s="465"/>
      <c r="O109" s="163"/>
      <c r="P109" s="163"/>
    </row>
    <row r="110" spans="1:16" ht="18.75">
      <c r="A110" s="170"/>
      <c r="B110" s="171"/>
      <c r="C110" s="171"/>
      <c r="D110" s="342"/>
      <c r="E110" s="190" t="s">
        <v>58</v>
      </c>
      <c r="F110" s="342"/>
      <c r="G110" s="179"/>
      <c r="H110" s="589" t="s">
        <v>49</v>
      </c>
      <c r="I110" s="269">
        <f ca="1">IFERROR(__xludf.DUMMYFUNCTION("IMPORTRANGE(""https://docs.google.com/spreadsheets/d/1QqKyyYR6Q21VydFLVH3TRQUabQu_ym0Zz7PgGX0-kHA/edit?usp=sharing"",""แผน!Q18"")"),1)</f>
        <v>1</v>
      </c>
      <c r="J110" s="214">
        <v>0</v>
      </c>
      <c r="K110" s="465">
        <f t="shared" ca="1" si="58"/>
        <v>0</v>
      </c>
      <c r="L110" s="465"/>
      <c r="M110" s="465"/>
      <c r="N110" s="465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342"/>
      <c r="G111" s="179"/>
      <c r="H111" s="731" t="s">
        <v>35</v>
      </c>
      <c r="I111" s="193">
        <f ca="1">IFERROR(__xludf.DUMMYFUNCTION("IMPORTRANGE(""https://docs.google.com/spreadsheets/d/1QqKyyYR6Q21VydFLVH3TRQUabQu_ym0Zz7PgGX0-kHA/edit?usp=sharing"",""แผน!R18"")"),10)</f>
        <v>10</v>
      </c>
      <c r="J111" s="647">
        <f>J114</f>
        <v>0</v>
      </c>
      <c r="K111" s="195">
        <f t="shared" ca="1" si="58"/>
        <v>0</v>
      </c>
      <c r="L111" s="465"/>
      <c r="M111" s="465"/>
      <c r="N111" s="465"/>
      <c r="O111" s="163"/>
      <c r="P111" s="163"/>
    </row>
    <row r="112" spans="1:16" ht="19.5">
      <c r="A112" s="170"/>
      <c r="B112" s="171"/>
      <c r="C112" s="171"/>
      <c r="D112" s="171"/>
      <c r="E112" s="342"/>
      <c r="F112" s="342"/>
      <c r="G112" s="179"/>
      <c r="H112" s="196" t="s">
        <v>49</v>
      </c>
      <c r="I112" s="193">
        <f t="shared" ref="I112:J112" ca="1" si="59">I115+I116</f>
        <v>2</v>
      </c>
      <c r="J112" s="647">
        <f t="shared" si="59"/>
        <v>0</v>
      </c>
      <c r="K112" s="195">
        <f t="shared" ca="1" si="58"/>
        <v>0</v>
      </c>
      <c r="L112" s="465"/>
      <c r="M112" s="465"/>
      <c r="N112" s="465"/>
      <c r="O112" s="163"/>
      <c r="P112" s="163"/>
    </row>
    <row r="113" spans="1:26" ht="19.5">
      <c r="A113" s="170"/>
      <c r="B113" s="171"/>
      <c r="C113" s="171"/>
      <c r="D113" s="171"/>
      <c r="E113" s="494" t="s">
        <v>60</v>
      </c>
      <c r="F113" s="342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IFERROR(__xludf.DUMMYFUNCTION("IMPORTRANGE(""https://docs.google.com/spreadsheets/d/1QqKyyYR6Q21VydFLVH3TRQUabQu_ym0Zz7PgGX0-kHA/edit?usp=sharing"",""แผน!R18"")"),10)</f>
        <v>10</v>
      </c>
      <c r="J113" s="214">
        <v>0</v>
      </c>
      <c r="K113" s="465">
        <f t="shared" ca="1" si="58"/>
        <v>0</v>
      </c>
      <c r="L113" s="465"/>
      <c r="M113" s="465"/>
      <c r="N113" s="465"/>
      <c r="O113" s="163"/>
      <c r="P113" s="163"/>
    </row>
    <row r="114" spans="1:26" ht="19.5">
      <c r="A114" s="170"/>
      <c r="B114" s="171"/>
      <c r="C114" s="171"/>
      <c r="D114" s="171"/>
      <c r="E114" s="415" t="s">
        <v>61</v>
      </c>
      <c r="F114" s="342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IFERROR(__xludf.DUMMYFUNCTION("IMPORTRANGE(""https://docs.google.com/spreadsheets/d/1QqKyyYR6Q21VydFLVH3TRQUabQu_ym0Zz7PgGX0-kHA/edit?usp=sharing"",""แผน!R18"")"),10)</f>
        <v>10</v>
      </c>
      <c r="J114" s="214">
        <v>0</v>
      </c>
      <c r="K114" s="465">
        <f t="shared" ca="1" si="58"/>
        <v>0</v>
      </c>
      <c r="L114" s="465"/>
      <c r="M114" s="465"/>
      <c r="N114" s="465"/>
      <c r="O114" s="163"/>
      <c r="P114" s="163"/>
    </row>
    <row r="115" spans="1:26" ht="18.75">
      <c r="A115" s="170"/>
      <c r="B115" s="171"/>
      <c r="C115" s="171"/>
      <c r="D115" s="171"/>
      <c r="E115" s="415" t="s">
        <v>62</v>
      </c>
      <c r="F115" s="342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IFERROR(__xludf.DUMMYFUNCTION("IMPORTRANGE(""https://docs.google.com/spreadsheets/d/1QqKyyYR6Q21VydFLVH3TRQUabQu_ym0Zz7PgGX0-kHA/edit?usp=sharing"",""แผน!S18"")"),1)</f>
        <v>1</v>
      </c>
      <c r="J115" s="214">
        <v>0</v>
      </c>
      <c r="K115" s="465">
        <f t="shared" ca="1" si="58"/>
        <v>0</v>
      </c>
      <c r="L115" s="465"/>
      <c r="M115" s="465"/>
      <c r="N115" s="465"/>
      <c r="O115" s="163"/>
      <c r="P115" s="163"/>
    </row>
    <row r="116" spans="1:26" ht="18.75">
      <c r="A116" s="170"/>
      <c r="B116" s="171"/>
      <c r="C116" s="171"/>
      <c r="D116" s="171"/>
      <c r="E116" s="415" t="s">
        <v>63</v>
      </c>
      <c r="F116" s="342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IFERROR(__xludf.DUMMYFUNCTION("IMPORTRANGE(""https://docs.google.com/spreadsheets/d/1QqKyyYR6Q21VydFLVH3TRQUabQu_ym0Zz7PgGX0-kHA/edit?usp=sharing"",""แผน!T18"")"),1)</f>
        <v>1</v>
      </c>
      <c r="J116" s="214">
        <v>0</v>
      </c>
      <c r="K116" s="465">
        <f t="shared" ca="1" si="58"/>
        <v>0</v>
      </c>
      <c r="L116" s="465"/>
      <c r="M116" s="465"/>
      <c r="N116" s="465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8" t="s">
        <v>65</v>
      </c>
      <c r="C118" s="204"/>
      <c r="D118" s="141"/>
      <c r="E118" s="140"/>
      <c r="F118" s="140"/>
      <c r="G118" s="142"/>
      <c r="H118" s="143"/>
      <c r="I118" s="205"/>
      <c r="J118" s="205"/>
      <c r="K118" s="146"/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17" t="s">
        <v>17</v>
      </c>
      <c r="E119" s="148"/>
      <c r="F119" s="148"/>
      <c r="G119" s="151"/>
      <c r="H119" s="152" t="s">
        <v>12</v>
      </c>
      <c r="I119" s="388"/>
      <c r="J119" s="388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2" t="s">
        <v>18</v>
      </c>
      <c r="F120" s="40"/>
      <c r="G120" s="157"/>
      <c r="H120" s="158" t="s">
        <v>12</v>
      </c>
      <c r="I120" s="583"/>
      <c r="J120" s="583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2" t="s">
        <v>19</v>
      </c>
      <c r="F121" s="40"/>
      <c r="G121" s="157"/>
      <c r="H121" s="158" t="s">
        <v>12</v>
      </c>
      <c r="I121" s="583"/>
      <c r="J121" s="583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1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65">
        <f t="shared" ref="L122:N122" ca="1" si="64">L123+L124</f>
        <v>0</v>
      </c>
      <c r="M122" s="465">
        <f t="shared" ca="1" si="64"/>
        <v>0</v>
      </c>
      <c r="N122" s="465">
        <f t="shared" ca="1" si="64"/>
        <v>0</v>
      </c>
      <c r="O122" s="465">
        <f t="shared" ca="1" si="61"/>
        <v>0</v>
      </c>
      <c r="P122" s="465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2"/>
      <c r="D123" s="40"/>
      <c r="E123" s="222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2"/>
      <c r="D124" s="40"/>
      <c r="E124" s="222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IFERROR(__xludf.DUMMYFUNCTION("IMPORTRANGE(""https://docs.google.com/spreadsheets/d/1MeEWN-I1oV_STSDYn1IFDPWt_1FKiwhDph83XaGc0o0/edit?usp=sharing"",""งบพรบ!BA18"")"),0)</f>
        <v>0</v>
      </c>
      <c r="M124" s="93">
        <f ca="1">IFERROR(__xludf.DUMMYFUNCTION("IMPORTRANGE(""https://docs.google.com/spreadsheets/d/1MeEWN-I1oV_STSDYn1IFDPWt_1FKiwhDph83XaGc0o0/edit?usp=sharing"",""งบพรบ!BF18"")"),0)</f>
        <v>0</v>
      </c>
      <c r="N124" s="93">
        <f ca="1">IFERROR(__xludf.DUMMYFUNCTION("IMPORTRANGE(""https://docs.google.com/spreadsheets/d/1MeEWN-I1oV_STSDYn1IFDPWt_1FKiwhDph83XaGc0o0/edit?usp=sharing"",""งบพรบ!BH18"")"),0)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1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65">
        <f t="shared" ref="L125:N125" ca="1" si="65">L126+L127</f>
        <v>0</v>
      </c>
      <c r="M125" s="465">
        <f t="shared" ca="1" si="65"/>
        <v>0</v>
      </c>
      <c r="N125" s="465">
        <f t="shared" ca="1" si="65"/>
        <v>0</v>
      </c>
      <c r="O125" s="465">
        <f t="shared" ca="1" si="61"/>
        <v>0</v>
      </c>
      <c r="P125" s="465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2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2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IFERROR(__xludf.DUMMYFUNCTION("IMPORTRANGE(""https://docs.google.com/spreadsheets/d/1MeEWN-I1oV_STSDYn1IFDPWt_1FKiwhDph83XaGc0o0/edit?usp=sharing"",""งบพรบ!BD18"")"),0)</f>
        <v>0</v>
      </c>
      <c r="M127" s="93">
        <f ca="1">IFERROR(__xludf.DUMMYFUNCTION("IMPORTRANGE(""https://docs.google.com/spreadsheets/d/1MeEWN-I1oV_STSDYn1IFDPWt_1FKiwhDph83XaGc0o0/edit?usp=sharing"",""งบพรบ!BG18"")"),0)</f>
        <v>0</v>
      </c>
      <c r="N127" s="93">
        <f ca="1">IFERROR(__xludf.DUMMYFUNCTION("IMPORTRANGE(""https://docs.google.com/spreadsheets/d/1MeEWN-I1oV_STSDYn1IFDPWt_1FKiwhDph83XaGc0o0/edit?usp=sharing"",""งบพรบ!BI18"")"),0)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>
      <c r="A128" s="131" t="s">
        <v>66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>
      <c r="A129" s="138"/>
      <c r="B129" s="208" t="s">
        <v>67</v>
      </c>
      <c r="C129" s="204"/>
      <c r="D129" s="141"/>
      <c r="E129" s="140"/>
      <c r="F129" s="140"/>
      <c r="G129" s="140"/>
      <c r="H129" s="207"/>
      <c r="I129" s="205"/>
      <c r="J129" s="205"/>
      <c r="K129" s="146"/>
      <c r="L129" s="146"/>
      <c r="M129" s="146"/>
      <c r="N129" s="146"/>
      <c r="O129" s="146"/>
      <c r="P129" s="146"/>
    </row>
    <row r="130" spans="1:26" ht="19.5">
      <c r="A130" s="138"/>
      <c r="B130" s="208"/>
      <c r="C130" s="209" t="s">
        <v>68</v>
      </c>
      <c r="D130" s="141"/>
      <c r="E130" s="140"/>
      <c r="F130" s="140"/>
      <c r="G130" s="142"/>
      <c r="H130" s="143" t="s">
        <v>69</v>
      </c>
      <c r="I130" s="144">
        <f t="shared" ref="I130:J130" ca="1" si="66">I146</f>
        <v>1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>
      <c r="A131" s="138"/>
      <c r="B131" s="208"/>
      <c r="C131" s="209" t="s">
        <v>70</v>
      </c>
      <c r="D131" s="141"/>
      <c r="E131" s="140"/>
      <c r="F131" s="140"/>
      <c r="G131" s="142"/>
      <c r="H131" s="143" t="s">
        <v>35</v>
      </c>
      <c r="I131" s="144">
        <f t="shared" ref="I131:J131" ca="1" si="68">I143</f>
        <v>10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>
      <c r="A132" s="147"/>
      <c r="B132" s="148"/>
      <c r="C132" s="149" t="s">
        <v>16</v>
      </c>
      <c r="D132" s="817" t="s">
        <v>17</v>
      </c>
      <c r="E132" s="148"/>
      <c r="F132" s="148"/>
      <c r="G132" s="151"/>
      <c r="H132" s="152" t="s">
        <v>12</v>
      </c>
      <c r="I132" s="388"/>
      <c r="J132" s="388"/>
      <c r="K132" s="154"/>
      <c r="L132" s="155">
        <f t="shared" ref="L132:N132" ca="1" si="69">L133+L134</f>
        <v>239255</v>
      </c>
      <c r="M132" s="155">
        <f t="shared" ca="1" si="69"/>
        <v>177400</v>
      </c>
      <c r="N132" s="155">
        <f t="shared" ca="1" si="69"/>
        <v>12410</v>
      </c>
      <c r="O132" s="155">
        <f t="shared" ref="O132:O140" ca="1" si="70">IF(L132&gt;0,N132*100/L132,0)</f>
        <v>5.1869344423314034</v>
      </c>
      <c r="P132" s="155">
        <f t="shared" ref="P132:P140" ca="1" si="71">IF(M132&gt;0,N132*100/M132,0)</f>
        <v>6.9954904171364145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2" t="s">
        <v>18</v>
      </c>
      <c r="F133" s="40"/>
      <c r="G133" s="157"/>
      <c r="H133" s="158" t="s">
        <v>12</v>
      </c>
      <c r="I133" s="583"/>
      <c r="J133" s="583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2" t="s">
        <v>19</v>
      </c>
      <c r="F134" s="40"/>
      <c r="G134" s="157"/>
      <c r="H134" s="158" t="s">
        <v>12</v>
      </c>
      <c r="I134" s="583"/>
      <c r="J134" s="583"/>
      <c r="K134" s="93"/>
      <c r="L134" s="93">
        <f t="shared" ca="1" si="72"/>
        <v>239255</v>
      </c>
      <c r="M134" s="93">
        <f t="shared" ca="1" si="72"/>
        <v>177400</v>
      </c>
      <c r="N134" s="93">
        <f t="shared" ca="1" si="72"/>
        <v>12410</v>
      </c>
      <c r="O134" s="93">
        <f t="shared" ca="1" si="70"/>
        <v>5.1869344423314034</v>
      </c>
      <c r="P134" s="93">
        <f t="shared" ca="1" si="71"/>
        <v>6.9954904171364145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>
      <c r="A135" s="159"/>
      <c r="B135" s="33"/>
      <c r="C135" s="281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65">
        <f t="shared" ref="L135:N135" ca="1" si="73">L136+L137</f>
        <v>136255</v>
      </c>
      <c r="M135" s="465">
        <f t="shared" ca="1" si="73"/>
        <v>74400</v>
      </c>
      <c r="N135" s="465">
        <f t="shared" ca="1" si="73"/>
        <v>12410</v>
      </c>
      <c r="O135" s="465">
        <f t="shared" ca="1" si="70"/>
        <v>9.1079226450405493</v>
      </c>
      <c r="P135" s="465">
        <f t="shared" ca="1" si="71"/>
        <v>16.68010752688172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2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2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IFERROR(__xludf.DUMMYFUNCTION("IMPORTRANGE(""https://docs.google.com/spreadsheets/d/1MeEWN-I1oV_STSDYn1IFDPWt_1FKiwhDph83XaGc0o0/edit?usp=sharing"",""งบพรบ!BK18"")"),136255)</f>
        <v>136255</v>
      </c>
      <c r="M137" s="93">
        <f ca="1">IFERROR(__xludf.DUMMYFUNCTION("IMPORTRANGE(""https://docs.google.com/spreadsheets/d/1MeEWN-I1oV_STSDYn1IFDPWt_1FKiwhDph83XaGc0o0/edit?usp=sharing"",""งบพรบ!BP18"")"),74400)</f>
        <v>74400</v>
      </c>
      <c r="N137" s="93">
        <f ca="1">IFERROR(__xludf.DUMMYFUNCTION("IMPORTRANGE(""https://docs.google.com/spreadsheets/d/1MeEWN-I1oV_STSDYn1IFDPWt_1FKiwhDph83XaGc0o0/edit?usp=sharing"",""งบพรบ!BR18"")"),12410)</f>
        <v>12410</v>
      </c>
      <c r="O137" s="93">
        <f t="shared" ca="1" si="70"/>
        <v>9.1079226450405493</v>
      </c>
      <c r="P137" s="93">
        <f t="shared" ca="1" si="71"/>
        <v>16.68010752688172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>
      <c r="A138" s="159"/>
      <c r="B138" s="33"/>
      <c r="C138" s="281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65">
        <f t="shared" ref="L138:N138" ca="1" si="74">L139+L140</f>
        <v>103000</v>
      </c>
      <c r="M138" s="465">
        <f t="shared" ca="1" si="74"/>
        <v>103000</v>
      </c>
      <c r="N138" s="465">
        <f t="shared" ca="1" si="74"/>
        <v>0</v>
      </c>
      <c r="O138" s="465">
        <f t="shared" ca="1" si="70"/>
        <v>0</v>
      </c>
      <c r="P138" s="465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2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2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IFERROR(__xludf.DUMMYFUNCTION("IMPORTRANGE(""https://docs.google.com/spreadsheets/d/1MeEWN-I1oV_STSDYn1IFDPWt_1FKiwhDph83XaGc0o0/edit?usp=sharing"",""งบพรบ!BN18"")"),103000)</f>
        <v>103000</v>
      </c>
      <c r="M140" s="93">
        <f ca="1">IFERROR(__xludf.DUMMYFUNCTION("IMPORTRANGE(""https://docs.google.com/spreadsheets/d/1MeEWN-I1oV_STSDYn1IFDPWt_1FKiwhDph83XaGc0o0/edit?usp=sharing"",""งบพรบ!BQ18"")"),103000)</f>
        <v>103000</v>
      </c>
      <c r="N140" s="93">
        <f ca="1">IFERROR(__xludf.DUMMYFUNCTION("IMPORTRANGE(""https://docs.google.com/spreadsheets/d/1MeEWN-I1oV_STSDYn1IFDPWt_1FKiwhDph83XaGc0o0/edit?usp=sharing"",""งบพรบ!BS18"")"),0)</f>
        <v>0</v>
      </c>
      <c r="O140" s="93">
        <f t="shared" ca="1" si="70"/>
        <v>0</v>
      </c>
      <c r="P140" s="93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>
      <c r="A141" s="170"/>
      <c r="B141" s="171"/>
      <c r="C141" s="149" t="s">
        <v>16</v>
      </c>
      <c r="D141" s="818" t="s">
        <v>38</v>
      </c>
      <c r="E141" s="173"/>
      <c r="F141" s="173"/>
      <c r="G141" s="174"/>
      <c r="H141" s="168"/>
      <c r="I141" s="269"/>
      <c r="J141" s="269"/>
      <c r="K141" s="465"/>
      <c r="L141" s="465"/>
      <c r="M141" s="465"/>
      <c r="N141" s="465"/>
      <c r="O141" s="465"/>
      <c r="P141" s="465"/>
    </row>
    <row r="142" spans="1:26" ht="19.5">
      <c r="A142" s="159"/>
      <c r="B142" s="33"/>
      <c r="C142" s="210"/>
      <c r="D142" s="281" t="s">
        <v>71</v>
      </c>
      <c r="E142" s="34"/>
      <c r="F142" s="33"/>
      <c r="G142" s="213"/>
      <c r="H142" s="168"/>
      <c r="I142" s="269"/>
      <c r="J142" s="214">
        <v>0</v>
      </c>
      <c r="K142" s="465"/>
      <c r="L142" s="465"/>
      <c r="M142" s="465"/>
      <c r="N142" s="465"/>
      <c r="O142" s="465"/>
      <c r="P142" s="465"/>
    </row>
    <row r="143" spans="1:26" ht="19.5">
      <c r="A143" s="159"/>
      <c r="B143" s="33"/>
      <c r="C143" s="210"/>
      <c r="D143" s="281" t="s">
        <v>72</v>
      </c>
      <c r="E143" s="34"/>
      <c r="F143" s="33"/>
      <c r="G143" s="213"/>
      <c r="H143" s="168" t="s">
        <v>35</v>
      </c>
      <c r="I143" s="269">
        <f ca="1">I145</f>
        <v>10</v>
      </c>
      <c r="J143" s="269">
        <f ca="1">IF(AND(J144&gt;=I144,J145&gt;=I145),J145,0)</f>
        <v>0</v>
      </c>
      <c r="K143" s="465">
        <f t="shared" ref="K143:K146" ca="1" si="75">IF(I143&gt;0,J143*100/I143,0)</f>
        <v>0</v>
      </c>
      <c r="L143" s="465"/>
      <c r="M143" s="465"/>
      <c r="N143" s="465"/>
      <c r="O143" s="465"/>
      <c r="P143" s="465"/>
    </row>
    <row r="144" spans="1:26" ht="19.5">
      <c r="A144" s="159"/>
      <c r="B144" s="33"/>
      <c r="C144" s="210"/>
      <c r="D144" s="342"/>
      <c r="E144" s="281" t="s">
        <v>73</v>
      </c>
      <c r="F144" s="33"/>
      <c r="G144" s="213"/>
      <c r="H144" s="168" t="s">
        <v>35</v>
      </c>
      <c r="I144" s="269">
        <f ca="1">IFERROR(__xludf.DUMMYFUNCTION("IMPORTRANGE(""https://docs.google.com/spreadsheets/d/1QqKyyYR6Q21VydFLVH3TRQUabQu_ym0Zz7PgGX0-kHA/edit?usp=sharing"",""แผน!U18"")"),5)</f>
        <v>5</v>
      </c>
      <c r="J144" s="214">
        <v>0</v>
      </c>
      <c r="K144" s="465">
        <f t="shared" ca="1" si="75"/>
        <v>0</v>
      </c>
      <c r="L144" s="465"/>
      <c r="M144" s="465"/>
      <c r="N144" s="465"/>
      <c r="O144" s="465"/>
      <c r="P144" s="465"/>
    </row>
    <row r="145" spans="1:26" ht="19.5">
      <c r="A145" s="159"/>
      <c r="B145" s="33"/>
      <c r="C145" s="210"/>
      <c r="D145" s="342"/>
      <c r="E145" s="281" t="s">
        <v>74</v>
      </c>
      <c r="F145" s="33"/>
      <c r="G145" s="213"/>
      <c r="H145" s="168" t="s">
        <v>35</v>
      </c>
      <c r="I145" s="269">
        <f ca="1">IFERROR(__xludf.DUMMYFUNCTION("IMPORTRANGE(""https://docs.google.com/spreadsheets/d/1QqKyyYR6Q21VydFLVH3TRQUabQu_ym0Zz7PgGX0-kHA/edit?usp=sharing"",""แผน!V18"")"),10)</f>
        <v>10</v>
      </c>
      <c r="J145" s="214">
        <v>0</v>
      </c>
      <c r="K145" s="465">
        <f t="shared" ca="1" si="75"/>
        <v>0</v>
      </c>
      <c r="L145" s="465"/>
      <c r="M145" s="465"/>
      <c r="N145" s="465"/>
      <c r="O145" s="465"/>
      <c r="P145" s="465"/>
    </row>
    <row r="146" spans="1:26" ht="19.5">
      <c r="A146" s="159"/>
      <c r="B146" s="33"/>
      <c r="C146" s="210"/>
      <c r="D146" s="281" t="s">
        <v>75</v>
      </c>
      <c r="E146" s="34"/>
      <c r="F146" s="33"/>
      <c r="G146" s="213"/>
      <c r="H146" s="168" t="s">
        <v>69</v>
      </c>
      <c r="I146" s="269">
        <f ca="1">IFERROR(__xludf.DUMMYFUNCTION("IMPORTRANGE(""https://docs.google.com/spreadsheets/d/1QqKyyYR6Q21VydFLVH3TRQUabQu_ym0Zz7PgGX0-kHA/edit?usp=sharing"",""แผน!W18"")"),1)</f>
        <v>1</v>
      </c>
      <c r="J146" s="214">
        <v>0</v>
      </c>
      <c r="K146" s="465">
        <f t="shared" ca="1" si="75"/>
        <v>0</v>
      </c>
      <c r="L146" s="465"/>
      <c r="M146" s="465"/>
      <c r="N146" s="465"/>
      <c r="O146" s="465"/>
      <c r="P146" s="465"/>
    </row>
    <row r="147" spans="1:26" ht="19.5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>
      <c r="A148" s="216"/>
      <c r="B148" s="208" t="s">
        <v>77</v>
      </c>
      <c r="C148" s="208"/>
      <c r="D148" s="208"/>
      <c r="E148" s="819"/>
      <c r="F148" s="218"/>
      <c r="G148" s="219"/>
      <c r="H148" s="220" t="s">
        <v>35</v>
      </c>
      <c r="I148" s="144">
        <f t="shared" ref="I148:J148" ca="1" si="76">I159</f>
        <v>20</v>
      </c>
      <c r="J148" s="144">
        <f t="shared" si="76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1"/>
      <c r="R148" s="221"/>
      <c r="S148" s="221"/>
      <c r="T148" s="221"/>
      <c r="U148" s="221"/>
      <c r="V148" s="221"/>
      <c r="W148" s="221"/>
      <c r="X148" s="221"/>
      <c r="Y148" s="221"/>
      <c r="Z148" s="221"/>
    </row>
    <row r="149" spans="1:26" ht="19.5">
      <c r="A149" s="147"/>
      <c r="B149" s="148"/>
      <c r="C149" s="149" t="s">
        <v>16</v>
      </c>
      <c r="D149" s="817" t="s">
        <v>17</v>
      </c>
      <c r="E149" s="148"/>
      <c r="F149" s="148"/>
      <c r="G149" s="151"/>
      <c r="H149" s="152" t="s">
        <v>12</v>
      </c>
      <c r="I149" s="388"/>
      <c r="J149" s="388"/>
      <c r="K149" s="154"/>
      <c r="L149" s="155">
        <f t="shared" ref="L149:N149" ca="1" si="77">L150+L151</f>
        <v>10000</v>
      </c>
      <c r="M149" s="155">
        <f t="shared" ca="1" si="77"/>
        <v>10000</v>
      </c>
      <c r="N149" s="155">
        <f t="shared" ca="1" si="77"/>
        <v>5350</v>
      </c>
      <c r="O149" s="155">
        <f t="shared" ref="O149:O157" ca="1" si="78">IF(L149&gt;0,N149*100/L149,0)</f>
        <v>53.5</v>
      </c>
      <c r="P149" s="155">
        <f t="shared" ref="P149:P157" ca="1" si="79">IF(M149&gt;0,N149*100/M149,0)</f>
        <v>53.5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2" t="s">
        <v>18</v>
      </c>
      <c r="F150" s="40"/>
      <c r="G150" s="157"/>
      <c r="H150" s="158" t="s">
        <v>12</v>
      </c>
      <c r="I150" s="583"/>
      <c r="J150" s="583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2" t="s">
        <v>19</v>
      </c>
      <c r="F151" s="40"/>
      <c r="G151" s="157"/>
      <c r="H151" s="158" t="s">
        <v>12</v>
      </c>
      <c r="I151" s="583"/>
      <c r="J151" s="583"/>
      <c r="K151" s="93"/>
      <c r="L151" s="93">
        <f t="shared" ca="1" si="80"/>
        <v>10000</v>
      </c>
      <c r="M151" s="93">
        <f t="shared" ca="1" si="80"/>
        <v>10000</v>
      </c>
      <c r="N151" s="93">
        <f t="shared" ca="1" si="80"/>
        <v>5350</v>
      </c>
      <c r="O151" s="93">
        <f t="shared" ca="1" si="78"/>
        <v>53.5</v>
      </c>
      <c r="P151" s="93">
        <f t="shared" ca="1" si="79"/>
        <v>53.5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>
      <c r="A152" s="159"/>
      <c r="B152" s="33"/>
      <c r="C152" s="281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65">
        <f t="shared" ref="L152:N152" ca="1" si="81">L153+L154</f>
        <v>10000</v>
      </c>
      <c r="M152" s="465">
        <f t="shared" ca="1" si="81"/>
        <v>10000</v>
      </c>
      <c r="N152" s="465">
        <f t="shared" ca="1" si="81"/>
        <v>5350</v>
      </c>
      <c r="O152" s="465">
        <f t="shared" ca="1" si="78"/>
        <v>53.5</v>
      </c>
      <c r="P152" s="465">
        <f t="shared" ca="1" si="79"/>
        <v>53.5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2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2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IFERROR(__xludf.DUMMYFUNCTION("IMPORTRANGE(""https://docs.google.com/spreadsheets/d/1MeEWN-I1oV_STSDYn1IFDPWt_1FKiwhDph83XaGc0o0/edit?usp=sharing"",""งบพรบ!BU18"")"),10000)</f>
        <v>10000</v>
      </c>
      <c r="M154" s="93">
        <f ca="1">IFERROR(__xludf.DUMMYFUNCTION("IMPORTRANGE(""https://docs.google.com/spreadsheets/d/1MeEWN-I1oV_STSDYn1IFDPWt_1FKiwhDph83XaGc0o0/edit?usp=sharing"",""งบพรบ!BZ18"")"),10000)</f>
        <v>10000</v>
      </c>
      <c r="N154" s="93">
        <f ca="1">IFERROR(__xludf.DUMMYFUNCTION("IMPORTRANGE(""https://docs.google.com/spreadsheets/d/1MeEWN-I1oV_STSDYn1IFDPWt_1FKiwhDph83XaGc0o0/edit?usp=sharing"",""งบพรบ!CB18"")"),5350)</f>
        <v>5350</v>
      </c>
      <c r="O154" s="93">
        <f t="shared" ca="1" si="78"/>
        <v>53.5</v>
      </c>
      <c r="P154" s="93">
        <f t="shared" ca="1" si="79"/>
        <v>53.5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>
      <c r="A155" s="159"/>
      <c r="B155" s="33"/>
      <c r="C155" s="281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65">
        <f t="shared" ref="L155:N155" ca="1" si="82">L156+L157</f>
        <v>0</v>
      </c>
      <c r="M155" s="465">
        <f t="shared" ca="1" si="82"/>
        <v>0</v>
      </c>
      <c r="N155" s="465">
        <f t="shared" ca="1" si="82"/>
        <v>0</v>
      </c>
      <c r="O155" s="465">
        <f t="shared" ca="1" si="78"/>
        <v>0</v>
      </c>
      <c r="P155" s="465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2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2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IFERROR(__xludf.DUMMYFUNCTION("IMPORTRANGE(""https://docs.google.com/spreadsheets/d/1MeEWN-I1oV_STSDYn1IFDPWt_1FKiwhDph83XaGc0o0/edit?usp=sharing"",""งบพรบ!BX18"")"),0)</f>
        <v>0</v>
      </c>
      <c r="M157" s="93">
        <f ca="1">IFERROR(__xludf.DUMMYFUNCTION("IMPORTRANGE(""https://docs.google.com/spreadsheets/d/1MeEWN-I1oV_STSDYn1IFDPWt_1FKiwhDph83XaGc0o0/edit?usp=sharing"",""งบพรบ!CA18"")"),0)</f>
        <v>0</v>
      </c>
      <c r="N157" s="93">
        <f ca="1">IFERROR(__xludf.DUMMYFUNCTION("IMPORTRANGE(""https://docs.google.com/spreadsheets/d/1MeEWN-I1oV_STSDYn1IFDPWt_1FKiwhDph83XaGc0o0/edit?usp=sharing"",""งบพรบ!CC18"")"),0)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>
      <c r="A158" s="170"/>
      <c r="B158" s="171"/>
      <c r="C158" s="164" t="s">
        <v>16</v>
      </c>
      <c r="D158" s="818" t="s">
        <v>38</v>
      </c>
      <c r="E158" s="173"/>
      <c r="F158" s="173"/>
      <c r="G158" s="174"/>
      <c r="H158" s="168"/>
      <c r="I158" s="269"/>
      <c r="J158" s="269"/>
      <c r="K158" s="465"/>
      <c r="L158" s="465"/>
      <c r="M158" s="465"/>
      <c r="N158" s="465"/>
      <c r="O158" s="465"/>
      <c r="P158" s="465"/>
    </row>
    <row r="159" spans="1:26" ht="19.5">
      <c r="A159" s="159"/>
      <c r="B159" s="33"/>
      <c r="C159" s="210"/>
      <c r="D159" s="281" t="s">
        <v>78</v>
      </c>
      <c r="E159" s="34"/>
      <c r="F159" s="33"/>
      <c r="G159" s="213"/>
      <c r="H159" s="168" t="s">
        <v>35</v>
      </c>
      <c r="I159" s="269">
        <f ca="1">IFERROR(__xludf.DUMMYFUNCTION("IMPORTRANGE(""https://docs.google.com/spreadsheets/d/1QqKyyYR6Q21VydFLVH3TRQUabQu_ym0Zz7PgGX0-kHA/edit?usp=sharing"",""แผน!X18"")"),20)</f>
        <v>20</v>
      </c>
      <c r="J159" s="214">
        <v>0</v>
      </c>
      <c r="K159" s="465">
        <f ca="1">IF(I159&gt;0,J159*100/I159,0)</f>
        <v>0</v>
      </c>
      <c r="L159" s="465"/>
      <c r="M159" s="465"/>
      <c r="N159" s="465"/>
      <c r="O159" s="465"/>
      <c r="P159" s="465"/>
    </row>
    <row r="160" spans="1:26" ht="19.5" hidden="1">
      <c r="A160" s="156"/>
      <c r="B160" s="40"/>
      <c r="C160" s="164"/>
      <c r="D160" s="222" t="s">
        <v>79</v>
      </c>
      <c r="E160" s="223"/>
      <c r="F160" s="40"/>
      <c r="G160" s="157"/>
      <c r="H160" s="169" t="s">
        <v>35</v>
      </c>
      <c r="I160" s="583"/>
      <c r="J160" s="583"/>
      <c r="K160" s="93"/>
      <c r="L160" s="93"/>
      <c r="M160" s="93"/>
      <c r="N160" s="93"/>
      <c r="O160" s="93"/>
      <c r="P160" s="93"/>
      <c r="Q160" s="224"/>
      <c r="R160" s="224"/>
      <c r="S160" s="224"/>
      <c r="T160" s="224"/>
      <c r="U160" s="224"/>
      <c r="V160" s="224"/>
      <c r="W160" s="224"/>
      <c r="X160" s="224"/>
      <c r="Y160" s="224"/>
      <c r="Z160" s="224"/>
    </row>
    <row r="161" spans="1:26" ht="19.5" hidden="1">
      <c r="A161" s="225"/>
      <c r="B161" s="226"/>
      <c r="C161" s="227"/>
      <c r="D161" s="228" t="s">
        <v>80</v>
      </c>
      <c r="E161" s="820"/>
      <c r="F161" s="226"/>
      <c r="G161" s="230"/>
      <c r="H161" s="231" t="s">
        <v>35</v>
      </c>
      <c r="I161" s="232"/>
      <c r="J161" s="232"/>
      <c r="K161" s="233"/>
      <c r="L161" s="233"/>
      <c r="M161" s="233"/>
      <c r="N161" s="233"/>
      <c r="O161" s="233"/>
      <c r="P161" s="233"/>
      <c r="Q161" s="224"/>
      <c r="R161" s="224"/>
      <c r="S161" s="224"/>
      <c r="T161" s="224"/>
      <c r="U161" s="224"/>
      <c r="V161" s="224"/>
      <c r="W161" s="224"/>
      <c r="X161" s="224"/>
      <c r="Y161" s="224"/>
      <c r="Z161" s="224"/>
    </row>
    <row r="162" spans="1:26" ht="19.5">
      <c r="A162" s="234" t="s">
        <v>81</v>
      </c>
      <c r="B162" s="235"/>
      <c r="C162" s="235"/>
      <c r="D162" s="235"/>
      <c r="E162" s="236"/>
      <c r="F162" s="236"/>
      <c r="G162" s="237"/>
      <c r="H162" s="238"/>
      <c r="I162" s="239"/>
      <c r="J162" s="239"/>
      <c r="K162" s="240"/>
      <c r="L162" s="240"/>
      <c r="M162" s="240"/>
      <c r="N162" s="240"/>
      <c r="O162" s="240"/>
      <c r="P162" s="240"/>
    </row>
    <row r="163" spans="1:26" ht="19.5">
      <c r="A163" s="241" t="s">
        <v>82</v>
      </c>
      <c r="B163" s="242"/>
      <c r="C163" s="242"/>
      <c r="D163" s="243"/>
      <c r="E163" s="243"/>
      <c r="F163" s="243"/>
      <c r="G163" s="244"/>
      <c r="H163" s="245"/>
      <c r="I163" s="246"/>
      <c r="J163" s="246"/>
      <c r="K163" s="247"/>
      <c r="L163" s="247"/>
      <c r="M163" s="247"/>
      <c r="N163" s="247"/>
      <c r="O163" s="247"/>
      <c r="P163" s="247"/>
    </row>
    <row r="164" spans="1:26" ht="19.5">
      <c r="A164" s="248"/>
      <c r="B164" s="249" t="s">
        <v>83</v>
      </c>
      <c r="C164" s="250"/>
      <c r="D164" s="173"/>
      <c r="E164" s="173"/>
      <c r="F164" s="173"/>
      <c r="G164" s="174"/>
      <c r="H164" s="251" t="s">
        <v>35</v>
      </c>
      <c r="I164" s="252">
        <f t="shared" ref="I164:J164" ca="1" si="83">I174+I177</f>
        <v>11</v>
      </c>
      <c r="J164" s="252">
        <f t="shared" si="83"/>
        <v>11</v>
      </c>
      <c r="K164" s="253">
        <f ca="1">IF(I164&gt;0,J164*100/I164,0)</f>
        <v>100</v>
      </c>
      <c r="L164" s="254"/>
      <c r="M164" s="254"/>
      <c r="N164" s="254"/>
      <c r="O164" s="254"/>
      <c r="P164" s="254"/>
    </row>
    <row r="165" spans="1:26" ht="19.5">
      <c r="A165" s="147"/>
      <c r="B165" s="148"/>
      <c r="C165" s="149" t="s">
        <v>16</v>
      </c>
      <c r="D165" s="817" t="s">
        <v>17</v>
      </c>
      <c r="E165" s="148"/>
      <c r="F165" s="148"/>
      <c r="G165" s="151"/>
      <c r="H165" s="152" t="s">
        <v>12</v>
      </c>
      <c r="I165" s="388"/>
      <c r="J165" s="388"/>
      <c r="K165" s="154"/>
      <c r="L165" s="155">
        <f t="shared" ref="L165:N165" ca="1" si="84">L166+L167</f>
        <v>22055</v>
      </c>
      <c r="M165" s="155">
        <f t="shared" ca="1" si="84"/>
        <v>22055</v>
      </c>
      <c r="N165" s="155">
        <f t="shared" ca="1" si="84"/>
        <v>22055</v>
      </c>
      <c r="O165" s="155">
        <f t="shared" ref="O165:O173" ca="1" si="85">IF(L165&gt;0,N165*100/L165,0)</f>
        <v>100</v>
      </c>
      <c r="P165" s="155">
        <f t="shared" ref="P165:P173" ca="1" si="86">IF(M165&gt;0,N165*100/M165,0)</f>
        <v>100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2" t="s">
        <v>18</v>
      </c>
      <c r="F166" s="40"/>
      <c r="G166" s="157"/>
      <c r="H166" s="158" t="s">
        <v>12</v>
      </c>
      <c r="I166" s="583"/>
      <c r="J166" s="583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2" t="s">
        <v>19</v>
      </c>
      <c r="F167" s="40"/>
      <c r="G167" s="157"/>
      <c r="H167" s="158" t="s">
        <v>12</v>
      </c>
      <c r="I167" s="583"/>
      <c r="J167" s="583"/>
      <c r="K167" s="93"/>
      <c r="L167" s="93">
        <f t="shared" ca="1" si="87"/>
        <v>22055</v>
      </c>
      <c r="M167" s="93">
        <f t="shared" ca="1" si="87"/>
        <v>22055</v>
      </c>
      <c r="N167" s="93">
        <f t="shared" ca="1" si="87"/>
        <v>22055</v>
      </c>
      <c r="O167" s="93">
        <f t="shared" ca="1" si="85"/>
        <v>100</v>
      </c>
      <c r="P167" s="93">
        <f t="shared" ca="1" si="86"/>
        <v>100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1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65">
        <f t="shared" ref="L168:N168" ca="1" si="88">L169+L170</f>
        <v>22055</v>
      </c>
      <c r="M168" s="465">
        <f t="shared" ca="1" si="88"/>
        <v>22055</v>
      </c>
      <c r="N168" s="465">
        <f t="shared" ca="1" si="88"/>
        <v>22055</v>
      </c>
      <c r="O168" s="465">
        <f t="shared" ca="1" si="85"/>
        <v>100</v>
      </c>
      <c r="P168" s="465">
        <f t="shared" ca="1" si="86"/>
        <v>100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2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2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IFERROR(__xludf.DUMMYFUNCTION("IMPORTRANGE(""https://docs.google.com/spreadsheets/d/1MeEWN-I1oV_STSDYn1IFDPWt_1FKiwhDph83XaGc0o0/edit?usp=sharing"",""งบพรบ!CE18"")"),22055)</f>
        <v>22055</v>
      </c>
      <c r="M170" s="93">
        <f ca="1">IFERROR(__xludf.DUMMYFUNCTION("IMPORTRANGE(""https://docs.google.com/spreadsheets/d/1MeEWN-I1oV_STSDYn1IFDPWt_1FKiwhDph83XaGc0o0/edit?usp=sharing"",""งบพรบ!CJ18"")"),22055)</f>
        <v>22055</v>
      </c>
      <c r="N170" s="93">
        <f ca="1">IFERROR(__xludf.DUMMYFUNCTION("IMPORTRANGE(""https://docs.google.com/spreadsheets/d/1MeEWN-I1oV_STSDYn1IFDPWt_1FKiwhDph83XaGc0o0/edit?usp=sharing"",""งบพรบ!CL18"")"),22055)</f>
        <v>22055</v>
      </c>
      <c r="O170" s="93">
        <f t="shared" ca="1" si="85"/>
        <v>100</v>
      </c>
      <c r="P170" s="93">
        <f t="shared" ca="1" si="86"/>
        <v>100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1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65">
        <f t="shared" ref="L171:N171" ca="1" si="89">L172+L173</f>
        <v>0</v>
      </c>
      <c r="M171" s="465">
        <f t="shared" ca="1" si="89"/>
        <v>0</v>
      </c>
      <c r="N171" s="465">
        <f t="shared" ca="1" si="89"/>
        <v>0</v>
      </c>
      <c r="O171" s="465">
        <f t="shared" ca="1" si="85"/>
        <v>0</v>
      </c>
      <c r="P171" s="465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2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2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IFERROR(__xludf.DUMMYFUNCTION("IMPORTRANGE(""https://docs.google.com/spreadsheets/d/1MeEWN-I1oV_STSDYn1IFDPWt_1FKiwhDph83XaGc0o0/edit?usp=sharing"",""งบพรบ!CH18"")"),0)</f>
        <v>0</v>
      </c>
      <c r="M173" s="93">
        <f ca="1">IFERROR(__xludf.DUMMYFUNCTION("IMPORTRANGE(""https://docs.google.com/spreadsheets/d/1MeEWN-I1oV_STSDYn1IFDPWt_1FKiwhDph83XaGc0o0/edit?usp=sharing"",""งบพรบ!CK18"")"),0)</f>
        <v>0</v>
      </c>
      <c r="N173" s="93">
        <f ca="1">IFERROR(__xludf.DUMMYFUNCTION("IMPORTRANGE(""https://docs.google.com/spreadsheets/d/1MeEWN-I1oV_STSDYn1IFDPWt_1FKiwhDph83XaGc0o0/edit?usp=sharing"",""งบพรบ!CM18"")"),0)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5"/>
      <c r="B174" s="256"/>
      <c r="C174" s="257" t="s">
        <v>84</v>
      </c>
      <c r="D174" s="256"/>
      <c r="E174" s="256"/>
      <c r="F174" s="256"/>
      <c r="G174" s="258"/>
      <c r="H174" s="259" t="s">
        <v>35</v>
      </c>
      <c r="I174" s="260">
        <f t="shared" ref="I174:J174" ca="1" si="90">I176</f>
        <v>11</v>
      </c>
      <c r="J174" s="260">
        <f t="shared" si="90"/>
        <v>11</v>
      </c>
      <c r="K174" s="261">
        <f ca="1">IF(I174&gt;0,J174*100/I174,0)</f>
        <v>100</v>
      </c>
      <c r="L174" s="261"/>
      <c r="M174" s="261"/>
      <c r="N174" s="261"/>
      <c r="O174" s="261"/>
      <c r="P174" s="261"/>
    </row>
    <row r="175" spans="1:26" ht="19.5">
      <c r="A175" s="170"/>
      <c r="B175" s="171"/>
      <c r="C175" s="164" t="s">
        <v>16</v>
      </c>
      <c r="D175" s="818" t="s">
        <v>38</v>
      </c>
      <c r="E175" s="173"/>
      <c r="F175" s="173"/>
      <c r="G175" s="174"/>
      <c r="H175" s="726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10" t="s">
        <v>85</v>
      </c>
      <c r="E176" s="342"/>
      <c r="F176" s="342"/>
      <c r="G176" s="179"/>
      <c r="H176" s="589" t="s">
        <v>35</v>
      </c>
      <c r="I176" s="269">
        <f ca="1">IFERROR(__xludf.DUMMYFUNCTION("IMPORTRANGE(""https://docs.google.com/spreadsheets/d/1QqKyyYR6Q21VydFLVH3TRQUabQu_ym0Zz7PgGX0-kHA/edit?usp=sharing"",""แผน!Y18"")"),11)</f>
        <v>11</v>
      </c>
      <c r="J176" s="214">
        <v>11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5"/>
      <c r="B177" s="263"/>
      <c r="C177" s="264" t="s">
        <v>86</v>
      </c>
      <c r="D177" s="263"/>
      <c r="E177" s="256"/>
      <c r="F177" s="256"/>
      <c r="G177" s="258"/>
      <c r="H177" s="265" t="s">
        <v>35</v>
      </c>
      <c r="I177" s="260"/>
      <c r="J177" s="260">
        <f>J179</f>
        <v>0</v>
      </c>
      <c r="K177" s="261"/>
      <c r="L177" s="261"/>
      <c r="M177" s="261"/>
      <c r="N177" s="261"/>
      <c r="O177" s="261"/>
      <c r="P177" s="261"/>
    </row>
    <row r="178" spans="1:26" ht="19.5" hidden="1">
      <c r="A178" s="170"/>
      <c r="B178" s="171"/>
      <c r="C178" s="164" t="s">
        <v>16</v>
      </c>
      <c r="D178" s="266" t="s">
        <v>38</v>
      </c>
      <c r="E178" s="173"/>
      <c r="F178" s="173"/>
      <c r="G178" s="174"/>
      <c r="H178" s="726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267" t="s">
        <v>87</v>
      </c>
      <c r="E179" s="342"/>
      <c r="F179" s="268"/>
      <c r="G179" s="179"/>
      <c r="H179" s="43" t="s">
        <v>35</v>
      </c>
      <c r="I179" s="269"/>
      <c r="J179" s="269"/>
      <c r="K179" s="163"/>
      <c r="L179" s="163"/>
      <c r="M179" s="163"/>
      <c r="N179" s="163"/>
      <c r="O179" s="163"/>
      <c r="P179" s="163"/>
    </row>
    <row r="180" spans="1:26" ht="19.5">
      <c r="A180" s="248"/>
      <c r="B180" s="249" t="s">
        <v>88</v>
      </c>
      <c r="C180" s="250"/>
      <c r="D180" s="173"/>
      <c r="E180" s="173"/>
      <c r="F180" s="173"/>
      <c r="G180" s="174"/>
      <c r="H180" s="251" t="s">
        <v>35</v>
      </c>
      <c r="I180" s="821"/>
      <c r="J180" s="821">
        <f>J225+J226</f>
        <v>0</v>
      </c>
      <c r="K180" s="254">
        <f>IF(I180&gt;0,J180*100/I180,0)</f>
        <v>0</v>
      </c>
      <c r="L180" s="254"/>
      <c r="M180" s="254"/>
      <c r="N180" s="254"/>
      <c r="O180" s="254"/>
      <c r="P180" s="254"/>
    </row>
    <row r="181" spans="1:26" ht="19.5">
      <c r="A181" s="147"/>
      <c r="B181" s="148"/>
      <c r="C181" s="149" t="s">
        <v>16</v>
      </c>
      <c r="D181" s="817" t="s">
        <v>17</v>
      </c>
      <c r="E181" s="148"/>
      <c r="F181" s="148"/>
      <c r="G181" s="151"/>
      <c r="H181" s="152" t="s">
        <v>12</v>
      </c>
      <c r="I181" s="388"/>
      <c r="J181" s="388"/>
      <c r="K181" s="154"/>
      <c r="L181" s="155">
        <f t="shared" ref="L181:N181" ca="1" si="91">L182+L183</f>
        <v>107000</v>
      </c>
      <c r="M181" s="155">
        <f t="shared" ca="1" si="91"/>
        <v>48000</v>
      </c>
      <c r="N181" s="155">
        <f t="shared" ca="1" si="91"/>
        <v>0</v>
      </c>
      <c r="O181" s="155">
        <f t="shared" ref="O181:O189" ca="1" si="92">IF(L181&gt;0,N181*100/L181,0)</f>
        <v>0</v>
      </c>
      <c r="P181" s="155">
        <f t="shared" ref="P181:P189" ca="1" si="93">IF(M181&gt;0,N181*100/M181,0)</f>
        <v>0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2" t="s">
        <v>18</v>
      </c>
      <c r="F182" s="40"/>
      <c r="G182" s="157"/>
      <c r="H182" s="158" t="s">
        <v>12</v>
      </c>
      <c r="I182" s="583"/>
      <c r="J182" s="583"/>
      <c r="K182" s="93"/>
      <c r="L182" s="93">
        <f t="shared" ref="L182:N183" si="94">L185+L188</f>
        <v>0</v>
      </c>
      <c r="M182" s="93">
        <f t="shared" si="94"/>
        <v>0</v>
      </c>
      <c r="N182" s="93">
        <f t="shared" si="94"/>
        <v>0</v>
      </c>
      <c r="O182" s="93">
        <f t="shared" si="92"/>
        <v>0</v>
      </c>
      <c r="P182" s="93">
        <f t="shared" si="93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2" t="s">
        <v>19</v>
      </c>
      <c r="F183" s="40"/>
      <c r="G183" s="157"/>
      <c r="H183" s="158" t="s">
        <v>12</v>
      </c>
      <c r="I183" s="583"/>
      <c r="J183" s="583"/>
      <c r="K183" s="93"/>
      <c r="L183" s="93">
        <f t="shared" ca="1" si="94"/>
        <v>107000</v>
      </c>
      <c r="M183" s="93">
        <f t="shared" ca="1" si="94"/>
        <v>48000</v>
      </c>
      <c r="N183" s="93">
        <f t="shared" ca="1" si="94"/>
        <v>0</v>
      </c>
      <c r="O183" s="93">
        <f t="shared" ca="1" si="92"/>
        <v>0</v>
      </c>
      <c r="P183" s="93">
        <f t="shared" ca="1" si="93"/>
        <v>0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1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65">
        <f t="shared" ref="L184:N184" ca="1" si="95">L185+L186</f>
        <v>107000</v>
      </c>
      <c r="M184" s="465">
        <f t="shared" ca="1" si="95"/>
        <v>48000</v>
      </c>
      <c r="N184" s="465">
        <f t="shared" ca="1" si="95"/>
        <v>0</v>
      </c>
      <c r="O184" s="465">
        <f t="shared" ca="1" si="92"/>
        <v>0</v>
      </c>
      <c r="P184" s="465">
        <f t="shared" ca="1" si="93"/>
        <v>0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2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2"/>
        <v>0</v>
      </c>
      <c r="P185" s="93">
        <f t="shared" si="93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2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IFERROR(__xludf.DUMMYFUNCTION("IMPORTRANGE(""https://docs.google.com/spreadsheets/d/1MeEWN-I1oV_STSDYn1IFDPWt_1FKiwhDph83XaGc0o0/edit?usp=sharing"",""งบพรบ!CO18"")"),107000)</f>
        <v>107000</v>
      </c>
      <c r="M186" s="93">
        <f ca="1">IFERROR(__xludf.DUMMYFUNCTION("IMPORTRANGE(""https://docs.google.com/spreadsheets/d/1MeEWN-I1oV_STSDYn1IFDPWt_1FKiwhDph83XaGc0o0/edit?usp=sharing"",""งบพรบ!CT18"")"),48000)</f>
        <v>48000</v>
      </c>
      <c r="N186" s="93">
        <f ca="1">IFERROR(__xludf.DUMMYFUNCTION("IMPORTRANGE(""https://docs.google.com/spreadsheets/d/1MeEWN-I1oV_STSDYn1IFDPWt_1FKiwhDph83XaGc0o0/edit?usp=sharing"",""งบพรบ!CV18"")"),0)</f>
        <v>0</v>
      </c>
      <c r="O186" s="93">
        <f t="shared" ca="1" si="92"/>
        <v>0</v>
      </c>
      <c r="P186" s="93">
        <f t="shared" ca="1" si="93"/>
        <v>0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1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65">
        <f t="shared" ref="L187:N187" ca="1" si="96">L188+L189</f>
        <v>0</v>
      </c>
      <c r="M187" s="465">
        <f t="shared" ca="1" si="96"/>
        <v>0</v>
      </c>
      <c r="N187" s="465">
        <f t="shared" ca="1" si="96"/>
        <v>0</v>
      </c>
      <c r="O187" s="465">
        <f t="shared" ca="1" si="92"/>
        <v>0</v>
      </c>
      <c r="P187" s="465">
        <f t="shared" ca="1" si="93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2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2"/>
        <v>0</v>
      </c>
      <c r="P188" s="93">
        <f t="shared" si="93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2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IFERROR(__xludf.DUMMYFUNCTION("IMPORTRANGE(""https://docs.google.com/spreadsheets/d/1MeEWN-I1oV_STSDYn1IFDPWt_1FKiwhDph83XaGc0o0/edit?usp=sharing"",""งบพรบ!CR18"")"),0)</f>
        <v>0</v>
      </c>
      <c r="M189" s="93">
        <f ca="1">IFERROR(__xludf.DUMMYFUNCTION("IMPORTRANGE(""https://docs.google.com/spreadsheets/d/1MeEWN-I1oV_STSDYn1IFDPWt_1FKiwhDph83XaGc0o0/edit?usp=sharing"",""งบพรบ!CU18"")"),0)</f>
        <v>0</v>
      </c>
      <c r="N189" s="93">
        <f ca="1">IFERROR(__xludf.DUMMYFUNCTION("IMPORTRANGE(""https://docs.google.com/spreadsheets/d/1MeEWN-I1oV_STSDYn1IFDPWt_1FKiwhDph83XaGc0o0/edit?usp=sharing"",""งบพรบ!CW18"")"),0)</f>
        <v>0</v>
      </c>
      <c r="O189" s="93">
        <f t="shared" ca="1" si="92"/>
        <v>0</v>
      </c>
      <c r="P189" s="93">
        <f t="shared" ca="1" si="93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5"/>
      <c r="B190" s="263"/>
      <c r="C190" s="339" t="s">
        <v>89</v>
      </c>
      <c r="D190" s="256"/>
      <c r="E190" s="256"/>
      <c r="F190" s="256"/>
      <c r="G190" s="258"/>
      <c r="H190" s="259" t="s">
        <v>90</v>
      </c>
      <c r="I190" s="271">
        <f t="shared" ref="I190:J190" ca="1" si="97">I193</f>
        <v>4</v>
      </c>
      <c r="J190" s="271">
        <f t="shared" si="97"/>
        <v>0</v>
      </c>
      <c r="K190" s="272">
        <f ca="1">IF(I190&gt;0,J190*100/I190,0)</f>
        <v>0</v>
      </c>
      <c r="L190" s="261"/>
      <c r="M190" s="261"/>
      <c r="N190" s="261"/>
      <c r="O190" s="261"/>
      <c r="P190" s="261"/>
    </row>
    <row r="191" spans="1:26" ht="19.5">
      <c r="A191" s="147"/>
      <c r="B191" s="148"/>
      <c r="C191" s="149" t="s">
        <v>16</v>
      </c>
      <c r="D191" s="822" t="s">
        <v>17</v>
      </c>
      <c r="E191" s="148"/>
      <c r="F191" s="148"/>
      <c r="G191" s="151"/>
      <c r="H191" s="274" t="s">
        <v>12</v>
      </c>
      <c r="I191" s="388"/>
      <c r="J191" s="388"/>
      <c r="K191" s="154"/>
      <c r="L191" s="155">
        <f ca="1">IFERROR(__xludf.DUMMYFUNCTION("IMPORTRANGE(""https://docs.google.com/spreadsheets/d/1QqKyyYR6Q21VydFLVH3TRQUabQu_ym0Zz7PgGX0-kHA/edit?usp=sharing"",""แผน!Z18"")"),6000)</f>
        <v>6000</v>
      </c>
      <c r="M191" s="155"/>
      <c r="N191" s="275">
        <v>0</v>
      </c>
      <c r="O191" s="155">
        <f ca="1">IF(L191&gt;0,N191*100/L191,0)</f>
        <v>0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0" t="s">
        <v>16</v>
      </c>
      <c r="D192" s="818" t="s">
        <v>38</v>
      </c>
      <c r="E192" s="173"/>
      <c r="F192" s="173"/>
      <c r="G192" s="174"/>
      <c r="H192" s="726"/>
      <c r="I192" s="269"/>
      <c r="J192" s="269"/>
      <c r="K192" s="465"/>
      <c r="L192" s="465"/>
      <c r="M192" s="465"/>
      <c r="N192" s="465"/>
      <c r="O192" s="465"/>
      <c r="P192" s="465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15" t="s">
        <v>91</v>
      </c>
      <c r="E193" s="342"/>
      <c r="F193" s="342"/>
      <c r="G193" s="179"/>
      <c r="H193" s="728" t="s">
        <v>90</v>
      </c>
      <c r="I193" s="269">
        <f ca="1">IFERROR(__xludf.DUMMYFUNCTION("IMPORTRANGE(""https://docs.google.com/spreadsheets/d/1QqKyyYR6Q21VydFLVH3TRQUabQu_ym0Zz7PgGX0-kHA/edit?usp=sharing"",""แผน!AC18"")"),4)</f>
        <v>4</v>
      </c>
      <c r="J193" s="214">
        <v>0</v>
      </c>
      <c r="K193" s="465">
        <f ca="1">IF(I193&gt;0,J193*100/I193,0)</f>
        <v>0</v>
      </c>
      <c r="L193" s="465"/>
      <c r="M193" s="465"/>
      <c r="N193" s="465"/>
      <c r="O193" s="465"/>
      <c r="P193" s="465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15" t="s">
        <v>92</v>
      </c>
      <c r="E194" s="342"/>
      <c r="F194" s="342"/>
      <c r="G194" s="179"/>
      <c r="H194" s="276" t="s">
        <v>35</v>
      </c>
      <c r="I194" s="269"/>
      <c r="J194" s="269">
        <f>J195+J196</f>
        <v>0</v>
      </c>
      <c r="K194" s="465"/>
      <c r="L194" s="465"/>
      <c r="M194" s="465"/>
      <c r="N194" s="465"/>
      <c r="O194" s="465"/>
      <c r="P194" s="465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15" t="s">
        <v>93</v>
      </c>
      <c r="F195" s="342"/>
      <c r="G195" s="179"/>
      <c r="H195" s="276" t="s">
        <v>35</v>
      </c>
      <c r="I195" s="269"/>
      <c r="J195" s="214">
        <v>0</v>
      </c>
      <c r="K195" s="465"/>
      <c r="L195" s="465"/>
      <c r="M195" s="465"/>
      <c r="N195" s="465"/>
      <c r="O195" s="465"/>
      <c r="P195" s="465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15" t="s">
        <v>94</v>
      </c>
      <c r="F196" s="342"/>
      <c r="G196" s="179"/>
      <c r="H196" s="276" t="s">
        <v>35</v>
      </c>
      <c r="I196" s="269"/>
      <c r="J196" s="214">
        <v>0</v>
      </c>
      <c r="K196" s="465"/>
      <c r="L196" s="465"/>
      <c r="M196" s="465"/>
      <c r="N196" s="465"/>
      <c r="O196" s="465"/>
      <c r="P196" s="465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5"/>
      <c r="B197" s="263"/>
      <c r="C197" s="339" t="s">
        <v>95</v>
      </c>
      <c r="D197" s="256"/>
      <c r="E197" s="256"/>
      <c r="F197" s="256"/>
      <c r="G197" s="258"/>
      <c r="H197" s="277" t="s">
        <v>96</v>
      </c>
      <c r="I197" s="271">
        <f t="shared" ref="I197:J197" ca="1" si="98">I204</f>
        <v>5</v>
      </c>
      <c r="J197" s="271">
        <f t="shared" si="98"/>
        <v>0</v>
      </c>
      <c r="K197" s="272">
        <f ca="1">IF(I197&gt;0,J197*100/I197,0)</f>
        <v>0</v>
      </c>
      <c r="L197" s="261"/>
      <c r="M197" s="261"/>
      <c r="N197" s="261"/>
      <c r="O197" s="261"/>
      <c r="P197" s="261"/>
    </row>
    <row r="198" spans="1:26" ht="19.5">
      <c r="A198" s="147"/>
      <c r="B198" s="148"/>
      <c r="C198" s="149" t="s">
        <v>16</v>
      </c>
      <c r="D198" s="822" t="s">
        <v>17</v>
      </c>
      <c r="E198" s="148"/>
      <c r="F198" s="148"/>
      <c r="G198" s="151"/>
      <c r="H198" s="274" t="s">
        <v>12</v>
      </c>
      <c r="I198" s="387"/>
      <c r="J198" s="387"/>
      <c r="K198" s="279"/>
      <c r="L198" s="155">
        <f ca="1">L199+L200+L201+L202</f>
        <v>70000</v>
      </c>
      <c r="M198" s="155"/>
      <c r="N198" s="155">
        <f>N199+N200+N201+N202</f>
        <v>0</v>
      </c>
      <c r="O198" s="155">
        <f ca="1">IF(L198&gt;0,N198*100/L198,0)</f>
        <v>0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0"/>
      <c r="C199" s="33"/>
      <c r="D199" s="281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65">
        <f ca="1">IFERROR(__xludf.DUMMYFUNCTION("IMPORTRANGE(""https://docs.google.com/spreadsheets/d/1QqKyyYR6Q21VydFLVH3TRQUabQu_ym0Zz7PgGX0-kHA/edit?usp=sharing"",""แผน!AE18"")"),5000)</f>
        <v>5000</v>
      </c>
      <c r="M199" s="465"/>
      <c r="N199" s="789">
        <v>0</v>
      </c>
      <c r="O199" s="465"/>
      <c r="P199" s="465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3"/>
      <c r="B200" s="280"/>
      <c r="C200" s="210"/>
      <c r="D200" s="281" t="s">
        <v>98</v>
      </c>
      <c r="E200" s="33"/>
      <c r="F200" s="33"/>
      <c r="G200" s="35"/>
      <c r="H200" s="589" t="s">
        <v>12</v>
      </c>
      <c r="I200" s="269"/>
      <c r="J200" s="269"/>
      <c r="K200" s="465"/>
      <c r="L200" s="465">
        <f ca="1">IFERROR(__xludf.DUMMYFUNCTION("IMPORTRANGE(""https://docs.google.com/spreadsheets/d/1QqKyyYR6Q21VydFLVH3TRQUabQu_ym0Zz7PgGX0-kHA/edit?usp=sharing"",""แผน!AF18"")"),40000)</f>
        <v>40000</v>
      </c>
      <c r="M200" s="465"/>
      <c r="N200" s="789">
        <v>0</v>
      </c>
      <c r="O200" s="465"/>
      <c r="P200" s="465"/>
      <c r="Q200" s="285"/>
      <c r="R200" s="285"/>
      <c r="S200" s="285"/>
      <c r="T200" s="285"/>
      <c r="U200" s="285"/>
      <c r="V200" s="285"/>
      <c r="W200" s="285"/>
      <c r="X200" s="285"/>
      <c r="Y200" s="285"/>
      <c r="Z200" s="285"/>
    </row>
    <row r="201" spans="1:26" ht="19.5">
      <c r="A201" s="283"/>
      <c r="B201" s="280"/>
      <c r="C201" s="210"/>
      <c r="D201" s="281" t="s">
        <v>99</v>
      </c>
      <c r="E201" s="33"/>
      <c r="F201" s="33"/>
      <c r="G201" s="35"/>
      <c r="H201" s="589" t="s">
        <v>12</v>
      </c>
      <c r="I201" s="269"/>
      <c r="J201" s="269"/>
      <c r="K201" s="465"/>
      <c r="L201" s="465">
        <f ca="1">IFERROR(__xludf.DUMMYFUNCTION("IMPORTRANGE(""https://docs.google.com/spreadsheets/d/1QqKyyYR6Q21VydFLVH3TRQUabQu_ym0Zz7PgGX0-kHA/edit?usp=sharing"",""แผน!AG18"")"),20000)</f>
        <v>20000</v>
      </c>
      <c r="M201" s="465"/>
      <c r="N201" s="789">
        <v>0</v>
      </c>
      <c r="O201" s="465"/>
      <c r="P201" s="465"/>
      <c r="Q201" s="285"/>
      <c r="R201" s="285"/>
      <c r="S201" s="285"/>
      <c r="T201" s="285"/>
      <c r="U201" s="285"/>
      <c r="V201" s="285"/>
      <c r="W201" s="285"/>
      <c r="X201" s="285"/>
      <c r="Y201" s="285"/>
      <c r="Z201" s="285"/>
    </row>
    <row r="202" spans="1:26" ht="19.5">
      <c r="A202" s="283"/>
      <c r="B202" s="280"/>
      <c r="C202" s="210"/>
      <c r="D202" s="281" t="s">
        <v>100</v>
      </c>
      <c r="E202" s="33"/>
      <c r="F202" s="33"/>
      <c r="G202" s="35"/>
      <c r="H202" s="589" t="s">
        <v>12</v>
      </c>
      <c r="I202" s="269"/>
      <c r="J202" s="269"/>
      <c r="K202" s="465"/>
      <c r="L202" s="465">
        <f ca="1">IFERROR(__xludf.DUMMYFUNCTION("IMPORTRANGE(""https://docs.google.com/spreadsheets/d/1QqKyyYR6Q21VydFLVH3TRQUabQu_ym0Zz7PgGX0-kHA/edit?usp=sharing"",""แผน!AH18"")"),5000)</f>
        <v>5000</v>
      </c>
      <c r="M202" s="465"/>
      <c r="N202" s="789">
        <v>0</v>
      </c>
      <c r="O202" s="465"/>
      <c r="P202" s="465"/>
      <c r="Q202" s="285"/>
      <c r="R202" s="285"/>
      <c r="S202" s="285"/>
      <c r="T202" s="285"/>
      <c r="U202" s="285"/>
      <c r="V202" s="285"/>
      <c r="W202" s="285"/>
      <c r="X202" s="285"/>
      <c r="Y202" s="285"/>
      <c r="Z202" s="285"/>
    </row>
    <row r="203" spans="1:26" ht="19.5">
      <c r="A203" s="170"/>
      <c r="B203" s="171"/>
      <c r="C203" s="210" t="s">
        <v>16</v>
      </c>
      <c r="D203" s="818" t="s">
        <v>38</v>
      </c>
      <c r="E203" s="173"/>
      <c r="F203" s="173"/>
      <c r="G203" s="174"/>
      <c r="H203" s="726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343" t="s">
        <v>101</v>
      </c>
      <c r="E204" s="342"/>
      <c r="F204" s="342"/>
      <c r="G204" s="179"/>
      <c r="H204" s="726" t="s">
        <v>96</v>
      </c>
      <c r="I204" s="269">
        <f ca="1">IFERROR(__xludf.DUMMYFUNCTION("IMPORTRANGE(""https://docs.google.com/spreadsheets/d/1QqKyyYR6Q21VydFLVH3TRQUabQu_ym0Zz7PgGX0-kHA/edit?usp=sharing"",""แผน!AI18"")"),5)</f>
        <v>5</v>
      </c>
      <c r="J204" s="214">
        <v>0</v>
      </c>
      <c r="K204" s="163">
        <f ca="1">IF(I204&gt;0,J204*100/I204,0)</f>
        <v>0</v>
      </c>
      <c r="L204" s="465"/>
      <c r="M204" s="465"/>
      <c r="N204" s="465"/>
      <c r="O204" s="465"/>
      <c r="P204" s="465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15" t="s">
        <v>59</v>
      </c>
      <c r="E205" s="342"/>
      <c r="F205" s="342"/>
      <c r="G205" s="179"/>
      <c r="H205" s="726"/>
      <c r="I205" s="269"/>
      <c r="J205" s="269"/>
      <c r="K205" s="163"/>
      <c r="L205" s="465"/>
      <c r="M205" s="465"/>
      <c r="N205" s="465"/>
      <c r="O205" s="465"/>
      <c r="P205" s="465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342"/>
      <c r="E206" s="494" t="s">
        <v>102</v>
      </c>
      <c r="F206" s="286"/>
      <c r="G206" s="287"/>
      <c r="H206" s="288" t="s">
        <v>96</v>
      </c>
      <c r="I206" s="269">
        <v>5</v>
      </c>
      <c r="J206" s="214">
        <v>0</v>
      </c>
      <c r="K206" s="163">
        <f t="shared" ref="K206:K208" si="99">IF(I206&gt;0,J206*100/I206,0)</f>
        <v>0</v>
      </c>
      <c r="L206" s="465"/>
      <c r="M206" s="465"/>
      <c r="N206" s="465"/>
      <c r="O206" s="465"/>
      <c r="P206" s="465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15"/>
      <c r="E207" s="415" t="s">
        <v>103</v>
      </c>
      <c r="F207" s="342"/>
      <c r="G207" s="342"/>
      <c r="H207" s="289" t="s">
        <v>104</v>
      </c>
      <c r="I207" s="269">
        <v>1</v>
      </c>
      <c r="J207" s="214">
        <v>0</v>
      </c>
      <c r="K207" s="163">
        <f t="shared" si="99"/>
        <v>0</v>
      </c>
      <c r="L207" s="465"/>
      <c r="M207" s="465"/>
      <c r="N207" s="465"/>
      <c r="O207" s="465"/>
      <c r="P207" s="465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 hidden="1">
      <c r="A208" s="255"/>
      <c r="B208" s="263"/>
      <c r="C208" s="339" t="s">
        <v>105</v>
      </c>
      <c r="D208" s="256"/>
      <c r="E208" s="256"/>
      <c r="F208" s="290"/>
      <c r="G208" s="258"/>
      <c r="H208" s="277" t="s">
        <v>96</v>
      </c>
      <c r="I208" s="271">
        <f t="shared" ref="I208:J208" ca="1" si="100">I215</f>
        <v>0</v>
      </c>
      <c r="J208" s="271">
        <f t="shared" si="100"/>
        <v>0</v>
      </c>
      <c r="K208" s="272">
        <f t="shared" ca="1" si="99"/>
        <v>0</v>
      </c>
      <c r="L208" s="261"/>
      <c r="M208" s="261"/>
      <c r="N208" s="261"/>
      <c r="O208" s="261"/>
      <c r="P208" s="261"/>
    </row>
    <row r="209" spans="1:26" ht="19.5" hidden="1">
      <c r="A209" s="147"/>
      <c r="B209" s="148"/>
      <c r="C209" s="149" t="s">
        <v>16</v>
      </c>
      <c r="D209" s="822" t="s">
        <v>17</v>
      </c>
      <c r="E209" s="148"/>
      <c r="F209" s="148"/>
      <c r="G209" s="151"/>
      <c r="H209" s="274" t="s">
        <v>12</v>
      </c>
      <c r="I209" s="387"/>
      <c r="J209" s="387"/>
      <c r="K209" s="279"/>
      <c r="L209" s="155">
        <f ca="1">L210+L211+L212</f>
        <v>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 hidden="1">
      <c r="A210" s="159"/>
      <c r="B210" s="280"/>
      <c r="C210" s="33"/>
      <c r="D210" s="281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65">
        <f ca="1">IFERROR(__xludf.DUMMYFUNCTION("IMPORTRANGE(""https://docs.google.com/spreadsheets/d/1QqKyyYR6Q21VydFLVH3TRQUabQu_ym0Zz7PgGX0-kHA/edit?usp=sharing"",""แผน!AK18"")"),0)</f>
        <v>0</v>
      </c>
      <c r="M210" s="465"/>
      <c r="N210" s="789">
        <v>0</v>
      </c>
      <c r="O210" s="465"/>
      <c r="P210" s="465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 hidden="1">
      <c r="A211" s="283"/>
      <c r="B211" s="280"/>
      <c r="C211" s="291"/>
      <c r="D211" s="281" t="s">
        <v>99</v>
      </c>
      <c r="E211" s="33"/>
      <c r="F211" s="33"/>
      <c r="G211" s="35"/>
      <c r="H211" s="161" t="s">
        <v>12</v>
      </c>
      <c r="I211" s="269"/>
      <c r="J211" s="269"/>
      <c r="K211" s="465"/>
      <c r="L211" s="465">
        <f ca="1">IFERROR(__xludf.DUMMYFUNCTION("IMPORTRANGE(""https://docs.google.com/spreadsheets/d/1QqKyyYR6Q21VydFLVH3TRQUabQu_ym0Zz7PgGX0-kHA/edit?usp=sharing"",""แผน!AL18"")"),0)</f>
        <v>0</v>
      </c>
      <c r="M211" s="465"/>
      <c r="N211" s="789">
        <v>0</v>
      </c>
      <c r="O211" s="465"/>
      <c r="P211" s="465"/>
      <c r="Q211" s="285"/>
      <c r="R211" s="285"/>
      <c r="S211" s="285"/>
      <c r="T211" s="285"/>
      <c r="U211" s="285"/>
      <c r="V211" s="285"/>
      <c r="W211" s="285"/>
      <c r="X211" s="285"/>
      <c r="Y211" s="285"/>
      <c r="Z211" s="285"/>
    </row>
    <row r="212" spans="1:26" ht="19.5" hidden="1">
      <c r="A212" s="283"/>
      <c r="B212" s="280"/>
      <c r="C212" s="291"/>
      <c r="D212" s="281" t="s">
        <v>98</v>
      </c>
      <c r="E212" s="33"/>
      <c r="F212" s="33"/>
      <c r="G212" s="35"/>
      <c r="H212" s="161" t="s">
        <v>12</v>
      </c>
      <c r="I212" s="269"/>
      <c r="J212" s="269"/>
      <c r="K212" s="465"/>
      <c r="L212" s="465">
        <f ca="1">IFERROR(__xludf.DUMMYFUNCTION("IMPORTRANGE(""https://docs.google.com/spreadsheets/d/1QqKyyYR6Q21VydFLVH3TRQUabQu_ym0Zz7PgGX0-kHA/edit?usp=sharing"",""แผน!AM18"")"),0)</f>
        <v>0</v>
      </c>
      <c r="M212" s="465"/>
      <c r="N212" s="789">
        <v>0</v>
      </c>
      <c r="O212" s="465"/>
      <c r="P212" s="465"/>
      <c r="Q212" s="285"/>
      <c r="R212" s="285"/>
      <c r="S212" s="285"/>
      <c r="T212" s="285"/>
      <c r="U212" s="285"/>
      <c r="V212" s="285"/>
      <c r="W212" s="285"/>
      <c r="X212" s="285"/>
      <c r="Y212" s="285"/>
      <c r="Z212" s="285"/>
    </row>
    <row r="213" spans="1:26" ht="19.5" hidden="1">
      <c r="A213" s="170"/>
      <c r="B213" s="171"/>
      <c r="C213" s="291" t="s">
        <v>16</v>
      </c>
      <c r="D213" s="818" t="s">
        <v>38</v>
      </c>
      <c r="E213" s="173"/>
      <c r="F213" s="173"/>
      <c r="G213" s="174"/>
      <c r="H213" s="726"/>
      <c r="I213" s="184"/>
      <c r="J213" s="269"/>
      <c r="K213" s="465"/>
      <c r="L213" s="465"/>
      <c r="M213" s="465"/>
      <c r="N213" s="465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 hidden="1">
      <c r="A214" s="170"/>
      <c r="B214" s="171"/>
      <c r="C214" s="171"/>
      <c r="D214" s="343" t="s">
        <v>106</v>
      </c>
      <c r="E214" s="342"/>
      <c r="F214" s="342"/>
      <c r="G214" s="179"/>
      <c r="H214" s="726" t="s">
        <v>96</v>
      </c>
      <c r="I214" s="269">
        <f ca="1">IFERROR(__xludf.DUMMYFUNCTION("IMPORTRANGE(""https://docs.google.com/spreadsheets/d/1QqKyyYR6Q21VydFLVH3TRQUabQu_ym0Zz7PgGX0-kHA/edit?usp=sharing"",""แผน!AN18"")"),0)</f>
        <v>0</v>
      </c>
      <c r="J214" s="214">
        <v>0</v>
      </c>
      <c r="K214" s="465">
        <f t="shared" ref="K214:K216" ca="1" si="101">IF(I214&gt;0,J214*100/I214,0)</f>
        <v>0</v>
      </c>
      <c r="L214" s="465"/>
      <c r="M214" s="465"/>
      <c r="N214" s="465"/>
      <c r="O214" s="465"/>
      <c r="P214" s="465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 hidden="1">
      <c r="A215" s="170"/>
      <c r="B215" s="171"/>
      <c r="C215" s="171"/>
      <c r="D215" s="343" t="s">
        <v>107</v>
      </c>
      <c r="E215" s="342"/>
      <c r="F215" s="342"/>
      <c r="G215" s="179"/>
      <c r="H215" s="726" t="s">
        <v>96</v>
      </c>
      <c r="I215" s="269">
        <f ca="1">IFERROR(__xludf.DUMMYFUNCTION("IMPORTRANGE(""https://docs.google.com/spreadsheets/d/1QqKyyYR6Q21VydFLVH3TRQUabQu_ym0Zz7PgGX0-kHA/edit?usp=sharing"",""แผน!AN18"")"),0)</f>
        <v>0</v>
      </c>
      <c r="J215" s="214">
        <v>0</v>
      </c>
      <c r="K215" s="465">
        <f t="shared" ca="1" si="101"/>
        <v>0</v>
      </c>
      <c r="L215" s="465"/>
      <c r="M215" s="465"/>
      <c r="N215" s="465"/>
      <c r="O215" s="465"/>
      <c r="P215" s="465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5"/>
      <c r="B216" s="263"/>
      <c r="C216" s="339" t="s">
        <v>108</v>
      </c>
      <c r="D216" s="256"/>
      <c r="E216" s="256"/>
      <c r="F216" s="290"/>
      <c r="G216" s="258"/>
      <c r="H216" s="259" t="s">
        <v>109</v>
      </c>
      <c r="I216" s="271">
        <f t="shared" ref="I216:J216" ca="1" si="102">I224</f>
        <v>100000</v>
      </c>
      <c r="J216" s="271">
        <f t="shared" si="102"/>
        <v>0</v>
      </c>
      <c r="K216" s="272">
        <f t="shared" ca="1" si="101"/>
        <v>0</v>
      </c>
      <c r="L216" s="261"/>
      <c r="M216" s="261"/>
      <c r="N216" s="261"/>
      <c r="O216" s="261"/>
      <c r="P216" s="261"/>
    </row>
    <row r="217" spans="1:26" ht="19.5">
      <c r="A217" s="147"/>
      <c r="B217" s="148"/>
      <c r="C217" s="149" t="s">
        <v>16</v>
      </c>
      <c r="D217" s="822" t="s">
        <v>17</v>
      </c>
      <c r="E217" s="148"/>
      <c r="F217" s="148"/>
      <c r="G217" s="151"/>
      <c r="H217" s="274" t="s">
        <v>12</v>
      </c>
      <c r="I217" s="387"/>
      <c r="J217" s="387"/>
      <c r="K217" s="279"/>
      <c r="L217" s="155">
        <f ca="1">L218+L219+L220</f>
        <v>31000</v>
      </c>
      <c r="M217" s="155"/>
      <c r="N217" s="155">
        <f>N218+N219+N220</f>
        <v>0</v>
      </c>
      <c r="O217" s="155">
        <f ca="1">IF(L217&gt;0,N217*100/L217,0)</f>
        <v>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0"/>
      <c r="C218" s="33"/>
      <c r="D218" s="281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65">
        <f ca="1">IFERROR(__xludf.DUMMYFUNCTION("IMPORTRANGE(""https://docs.google.com/spreadsheets/d/1QqKyyYR6Q21VydFLVH3TRQUabQu_ym0Zz7PgGX0-kHA/edit?usp=sharing"",""แผน!AP18"")"),6000)</f>
        <v>6000</v>
      </c>
      <c r="M218" s="465"/>
      <c r="N218" s="789">
        <v>0</v>
      </c>
      <c r="O218" s="465"/>
      <c r="P218" s="465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3"/>
      <c r="B219" s="280"/>
      <c r="C219" s="291"/>
      <c r="D219" s="281" t="s">
        <v>110</v>
      </c>
      <c r="E219" s="33"/>
      <c r="F219" s="33"/>
      <c r="G219" s="35"/>
      <c r="H219" s="161" t="s">
        <v>12</v>
      </c>
      <c r="I219" s="269"/>
      <c r="J219" s="269"/>
      <c r="K219" s="465"/>
      <c r="L219" s="465">
        <f ca="1">IFERROR(__xludf.DUMMYFUNCTION("IMPORTRANGE(""https://docs.google.com/spreadsheets/d/1QqKyyYR6Q21VydFLVH3TRQUabQu_ym0Zz7PgGX0-kHA/edit?usp=sharing"",""แผน!AQ18"")"),25000)</f>
        <v>25000</v>
      </c>
      <c r="M219" s="465"/>
      <c r="N219" s="789">
        <v>0</v>
      </c>
      <c r="O219" s="465"/>
      <c r="P219" s="465"/>
      <c r="Q219" s="285"/>
      <c r="R219" s="285"/>
      <c r="S219" s="285"/>
      <c r="T219" s="285"/>
      <c r="U219" s="285"/>
      <c r="V219" s="285"/>
      <c r="W219" s="285"/>
      <c r="X219" s="285"/>
      <c r="Y219" s="285"/>
      <c r="Z219" s="285"/>
    </row>
    <row r="220" spans="1:26" ht="19.5">
      <c r="A220" s="283"/>
      <c r="B220" s="280"/>
      <c r="C220" s="291"/>
      <c r="D220" s="281" t="s">
        <v>98</v>
      </c>
      <c r="E220" s="33"/>
      <c r="F220" s="33"/>
      <c r="G220" s="35"/>
      <c r="H220" s="161" t="s">
        <v>12</v>
      </c>
      <c r="I220" s="269"/>
      <c r="J220" s="269"/>
      <c r="K220" s="465"/>
      <c r="L220" s="465">
        <f ca="1">IFERROR(__xludf.DUMMYFUNCTION("IMPORTRANGE(""https://docs.google.com/spreadsheets/d/1QqKyyYR6Q21VydFLVH3TRQUabQu_ym0Zz7PgGX0-kHA/edit?usp=sharing"",""แผน!AR18"")"),0)</f>
        <v>0</v>
      </c>
      <c r="M220" s="465"/>
      <c r="N220" s="789">
        <v>0</v>
      </c>
      <c r="O220" s="465"/>
      <c r="P220" s="465"/>
      <c r="Q220" s="285"/>
      <c r="R220" s="285"/>
      <c r="S220" s="285"/>
      <c r="T220" s="285"/>
      <c r="U220" s="285"/>
      <c r="V220" s="285"/>
      <c r="W220" s="285"/>
      <c r="X220" s="285"/>
      <c r="Y220" s="285"/>
      <c r="Z220" s="285"/>
    </row>
    <row r="221" spans="1:26" ht="19.5">
      <c r="A221" s="170"/>
      <c r="B221" s="171"/>
      <c r="C221" s="291" t="s">
        <v>16</v>
      </c>
      <c r="D221" s="818" t="s">
        <v>38</v>
      </c>
      <c r="E221" s="173"/>
      <c r="F221" s="173"/>
      <c r="G221" s="174"/>
      <c r="H221" s="726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1" t="s">
        <v>111</v>
      </c>
      <c r="E222" s="342"/>
      <c r="F222" s="342"/>
      <c r="G222" s="179"/>
      <c r="H222" s="726"/>
      <c r="I222" s="269"/>
      <c r="J222" s="269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343" t="s">
        <v>112</v>
      </c>
      <c r="F223" s="342"/>
      <c r="G223" s="179"/>
      <c r="H223" s="728" t="s">
        <v>109</v>
      </c>
      <c r="I223" s="269">
        <f ca="1">IFERROR(__xludf.DUMMYFUNCTION("IMPORTRANGE(""https://docs.google.com/spreadsheets/d/1QqKyyYR6Q21VydFLVH3TRQUabQu_ym0Zz7PgGX0-kHA/edit?usp=sharing"",""แผน!AT18"")"),100000)</f>
        <v>100000</v>
      </c>
      <c r="J223" s="214">
        <v>100000</v>
      </c>
      <c r="K223" s="163">
        <f t="shared" ref="K223:K226" ca="1" si="103">IF(I223&gt;0,J223*100/I223,0)</f>
        <v>100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343" t="s">
        <v>113</v>
      </c>
      <c r="F224" s="342"/>
      <c r="G224" s="179"/>
      <c r="H224" s="728" t="s">
        <v>109</v>
      </c>
      <c r="I224" s="269">
        <f ca="1">IFERROR(__xludf.DUMMYFUNCTION("IMPORTRANGE(""https://docs.google.com/spreadsheets/d/1QqKyyYR6Q21VydFLVH3TRQUabQu_ym0Zz7PgGX0-kHA/edit?usp=sharing"",""แผน!AT18"")"),100000)</f>
        <v>100000</v>
      </c>
      <c r="J224" s="214">
        <v>0</v>
      </c>
      <c r="K224" s="163">
        <f t="shared" ca="1" si="103"/>
        <v>0</v>
      </c>
      <c r="L224" s="465"/>
      <c r="M224" s="465"/>
      <c r="N224" s="465"/>
      <c r="O224" s="465"/>
      <c r="P224" s="465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1" t="s">
        <v>114</v>
      </c>
      <c r="E225" s="342"/>
      <c r="F225" s="342"/>
      <c r="G225" s="179"/>
      <c r="H225" s="728" t="s">
        <v>35</v>
      </c>
      <c r="I225" s="269">
        <f ca="1">IFERROR(__xludf.DUMMYFUNCTION("IMPORTRANGE(""https://docs.google.com/spreadsheets/d/1QqKyyYR6Q21VydFLVH3TRQUabQu_ym0Zz7PgGX0-kHA/edit?usp=sharing"",""แผน!AS18"")"),0)</f>
        <v>0</v>
      </c>
      <c r="J225" s="214">
        <v>0</v>
      </c>
      <c r="K225" s="163">
        <f t="shared" ca="1" si="103"/>
        <v>0</v>
      </c>
      <c r="L225" s="465"/>
      <c r="M225" s="465"/>
      <c r="N225" s="465"/>
      <c r="O225" s="465"/>
      <c r="P225" s="465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5"/>
      <c r="B226" s="263"/>
      <c r="C226" s="823" t="s">
        <v>115</v>
      </c>
      <c r="D226" s="256"/>
      <c r="E226" s="256"/>
      <c r="F226" s="256"/>
      <c r="G226" s="258"/>
      <c r="H226" s="265" t="s">
        <v>35</v>
      </c>
      <c r="I226" s="824">
        <f t="shared" ref="I226:J226" ca="1" si="104">I237+I248</f>
        <v>0</v>
      </c>
      <c r="J226" s="824">
        <f t="shared" si="104"/>
        <v>0</v>
      </c>
      <c r="K226" s="825">
        <f t="shared" ca="1" si="103"/>
        <v>0</v>
      </c>
      <c r="L226" s="261"/>
      <c r="M226" s="261"/>
      <c r="N226" s="261"/>
      <c r="O226" s="261"/>
      <c r="P226" s="261"/>
    </row>
    <row r="227" spans="1:26" ht="19.5" hidden="1">
      <c r="A227" s="826"/>
      <c r="B227" s="827"/>
      <c r="C227" s="828" t="s">
        <v>16</v>
      </c>
      <c r="D227" s="829" t="s">
        <v>17</v>
      </c>
      <c r="E227" s="827"/>
      <c r="F227" s="827"/>
      <c r="G227" s="830"/>
      <c r="H227" s="831" t="s">
        <v>12</v>
      </c>
      <c r="I227" s="832"/>
      <c r="J227" s="832"/>
      <c r="K227" s="833"/>
      <c r="L227" s="834">
        <f t="shared" ref="L227:L231" ca="1" si="105">L238+L249</f>
        <v>0</v>
      </c>
      <c r="M227" s="834"/>
      <c r="N227" s="834">
        <f t="shared" ref="N227:N231" si="106">N238+N249</f>
        <v>0</v>
      </c>
      <c r="O227" s="835"/>
      <c r="P227" s="835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542"/>
      <c r="C228" s="40"/>
      <c r="D228" s="222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5"/>
        <v>0</v>
      </c>
      <c r="M228" s="93"/>
      <c r="N228" s="93">
        <f t="shared" si="106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836"/>
      <c r="B229" s="542"/>
      <c r="C229" s="837"/>
      <c r="D229" s="222" t="s">
        <v>98</v>
      </c>
      <c r="E229" s="40"/>
      <c r="F229" s="40"/>
      <c r="G229" s="42"/>
      <c r="H229" s="165" t="s">
        <v>12</v>
      </c>
      <c r="I229" s="583"/>
      <c r="J229" s="583"/>
      <c r="K229" s="93"/>
      <c r="L229" s="93">
        <f t="shared" ca="1" si="105"/>
        <v>0</v>
      </c>
      <c r="M229" s="93"/>
      <c r="N229" s="93">
        <f t="shared" si="106"/>
        <v>0</v>
      </c>
      <c r="O229" s="93"/>
      <c r="P229" s="93"/>
      <c r="Q229" s="838"/>
      <c r="R229" s="838"/>
      <c r="S229" s="838"/>
      <c r="T229" s="838"/>
      <c r="U229" s="838"/>
      <c r="V229" s="838"/>
      <c r="W229" s="838"/>
      <c r="X229" s="838"/>
      <c r="Y229" s="838"/>
      <c r="Z229" s="838"/>
    </row>
    <row r="230" spans="1:26" ht="19.5" hidden="1">
      <c r="A230" s="836"/>
      <c r="B230" s="542"/>
      <c r="C230" s="837"/>
      <c r="D230" s="222" t="s">
        <v>116</v>
      </c>
      <c r="E230" s="40"/>
      <c r="F230" s="40"/>
      <c r="G230" s="42"/>
      <c r="H230" s="165" t="s">
        <v>12</v>
      </c>
      <c r="I230" s="583"/>
      <c r="J230" s="583"/>
      <c r="K230" s="93"/>
      <c r="L230" s="93">
        <f t="shared" ca="1" si="105"/>
        <v>0</v>
      </c>
      <c r="M230" s="93"/>
      <c r="N230" s="93">
        <f t="shared" si="106"/>
        <v>0</v>
      </c>
      <c r="O230" s="93"/>
      <c r="P230" s="93"/>
      <c r="Q230" s="838"/>
      <c r="R230" s="838"/>
      <c r="S230" s="838"/>
      <c r="T230" s="838"/>
      <c r="U230" s="838"/>
      <c r="V230" s="838"/>
      <c r="W230" s="838"/>
      <c r="X230" s="838"/>
      <c r="Y230" s="838"/>
      <c r="Z230" s="838"/>
    </row>
    <row r="231" spans="1:26" ht="19.5" hidden="1">
      <c r="A231" s="836"/>
      <c r="B231" s="542"/>
      <c r="C231" s="837"/>
      <c r="D231" s="222" t="s">
        <v>100</v>
      </c>
      <c r="E231" s="40"/>
      <c r="F231" s="40"/>
      <c r="G231" s="42"/>
      <c r="H231" s="165" t="s">
        <v>12</v>
      </c>
      <c r="I231" s="583"/>
      <c r="J231" s="583"/>
      <c r="K231" s="93"/>
      <c r="L231" s="93">
        <f t="shared" ca="1" si="105"/>
        <v>0</v>
      </c>
      <c r="M231" s="93"/>
      <c r="N231" s="93">
        <f t="shared" si="106"/>
        <v>0</v>
      </c>
      <c r="O231" s="93"/>
      <c r="P231" s="93"/>
      <c r="Q231" s="838"/>
      <c r="R231" s="838"/>
      <c r="S231" s="838"/>
      <c r="T231" s="838"/>
      <c r="U231" s="838"/>
      <c r="V231" s="838"/>
      <c r="W231" s="838"/>
      <c r="X231" s="838"/>
      <c r="Y231" s="838"/>
      <c r="Z231" s="838"/>
    </row>
    <row r="232" spans="1:26" ht="19.5" hidden="1">
      <c r="A232" s="839"/>
      <c r="B232" s="840"/>
      <c r="C232" s="837" t="s">
        <v>16</v>
      </c>
      <c r="D232" s="266" t="s">
        <v>38</v>
      </c>
      <c r="E232" s="841"/>
      <c r="F232" s="841"/>
      <c r="G232" s="842"/>
      <c r="H232" s="581"/>
      <c r="I232" s="166"/>
      <c r="J232" s="583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839"/>
      <c r="B233" s="840"/>
      <c r="C233" s="840"/>
      <c r="D233" s="268" t="s">
        <v>117</v>
      </c>
      <c r="E233" s="536"/>
      <c r="F233" s="536"/>
      <c r="G233" s="843"/>
      <c r="H233" s="582" t="s">
        <v>35</v>
      </c>
      <c r="I233" s="583">
        <f t="shared" ref="I233:J233" ca="1" si="107">I244+I255</f>
        <v>0</v>
      </c>
      <c r="J233" s="583">
        <f t="shared" si="107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839"/>
      <c r="B234" s="840"/>
      <c r="C234" s="840"/>
      <c r="D234" s="844" t="s">
        <v>43</v>
      </c>
      <c r="E234" s="536"/>
      <c r="F234" s="536"/>
      <c r="G234" s="843"/>
      <c r="H234" s="582"/>
      <c r="I234" s="583"/>
      <c r="J234" s="583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839"/>
      <c r="B235" s="840"/>
      <c r="C235" s="840"/>
      <c r="D235" s="840"/>
      <c r="E235" s="267" t="s">
        <v>118</v>
      </c>
      <c r="F235" s="536"/>
      <c r="G235" s="843"/>
      <c r="H235" s="582" t="s">
        <v>35</v>
      </c>
      <c r="I235" s="583">
        <f t="shared" ref="I235:J236" si="108">I246+I257</f>
        <v>0</v>
      </c>
      <c r="J235" s="583">
        <f t="shared" si="108"/>
        <v>0</v>
      </c>
      <c r="K235" s="93">
        <f t="shared" ref="K235:K237" si="109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839"/>
      <c r="B236" s="840"/>
      <c r="C236" s="840"/>
      <c r="D236" s="840"/>
      <c r="E236" s="267" t="s">
        <v>119</v>
      </c>
      <c r="F236" s="536"/>
      <c r="G236" s="843"/>
      <c r="H236" s="582" t="s">
        <v>69</v>
      </c>
      <c r="I236" s="583">
        <f t="shared" si="108"/>
        <v>0</v>
      </c>
      <c r="J236" s="583">
        <f t="shared" si="108"/>
        <v>0</v>
      </c>
      <c r="K236" s="93">
        <f t="shared" si="109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5"/>
      <c r="B237" s="263"/>
      <c r="C237" s="339" t="s">
        <v>330</v>
      </c>
      <c r="D237" s="256"/>
      <c r="E237" s="256"/>
      <c r="F237" s="256"/>
      <c r="G237" s="258"/>
      <c r="H237" s="259" t="s">
        <v>35</v>
      </c>
      <c r="I237" s="271">
        <f t="shared" ref="I237:J237" ca="1" si="110">I244</f>
        <v>0</v>
      </c>
      <c r="J237" s="271">
        <f t="shared" si="110"/>
        <v>0</v>
      </c>
      <c r="K237" s="272">
        <f t="shared" ca="1" si="109"/>
        <v>0</v>
      </c>
      <c r="L237" s="261"/>
      <c r="M237" s="261"/>
      <c r="N237" s="261"/>
      <c r="O237" s="261"/>
      <c r="P237" s="261"/>
    </row>
    <row r="238" spans="1:26" ht="19.5" hidden="1">
      <c r="A238" s="147"/>
      <c r="B238" s="148"/>
      <c r="C238" s="149" t="s">
        <v>16</v>
      </c>
      <c r="D238" s="817" t="s">
        <v>17</v>
      </c>
      <c r="E238" s="148"/>
      <c r="F238" s="148"/>
      <c r="G238" s="151"/>
      <c r="H238" s="274" t="s">
        <v>12</v>
      </c>
      <c r="I238" s="387"/>
      <c r="J238" s="387"/>
      <c r="K238" s="279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3"/>
      <c r="B239" s="314"/>
      <c r="C239" s="315"/>
      <c r="D239" s="324" t="s">
        <v>97</v>
      </c>
      <c r="E239" s="315"/>
      <c r="F239" s="315"/>
      <c r="G239" s="317"/>
      <c r="H239" s="318" t="s">
        <v>12</v>
      </c>
      <c r="I239" s="319"/>
      <c r="J239" s="319"/>
      <c r="K239" s="320"/>
      <c r="L239" s="321">
        <f ca="1">IFERROR(__xludf.DUMMYFUNCTION("IMPORTRANGE(""https://docs.google.com/spreadsheets/d/1QqKyyYR6Q21VydFLVH3TRQUabQu_ym0Zz7PgGX0-kHA/edit?usp=sharing"",""แผน!AV18"")"),0)</f>
        <v>0</v>
      </c>
      <c r="M239" s="321"/>
      <c r="N239" s="340">
        <v>0</v>
      </c>
      <c r="O239" s="321"/>
      <c r="P239" s="321"/>
      <c r="Q239" s="312"/>
      <c r="R239" s="312"/>
      <c r="S239" s="312"/>
      <c r="T239" s="312"/>
      <c r="U239" s="312"/>
      <c r="V239" s="312"/>
      <c r="W239" s="312"/>
      <c r="X239" s="312"/>
      <c r="Y239" s="312"/>
      <c r="Z239" s="312"/>
    </row>
    <row r="240" spans="1:26" ht="19.5" hidden="1">
      <c r="A240" s="322"/>
      <c r="B240" s="314"/>
      <c r="C240" s="323"/>
      <c r="D240" s="324" t="s">
        <v>98</v>
      </c>
      <c r="E240" s="315"/>
      <c r="F240" s="315"/>
      <c r="G240" s="317"/>
      <c r="H240" s="318" t="s">
        <v>12</v>
      </c>
      <c r="I240" s="325"/>
      <c r="J240" s="325"/>
      <c r="K240" s="321"/>
      <c r="L240" s="321">
        <f ca="1">IFERROR(__xludf.DUMMYFUNCTION("IMPORTRANGE(""https://docs.google.com/spreadsheets/d/1QqKyyYR6Q21VydFLVH3TRQUabQu_ym0Zz7PgGX0-kHA/edit?usp=sharing"",""แผน!AW18"")"),0)</f>
        <v>0</v>
      </c>
      <c r="M240" s="321"/>
      <c r="N240" s="340">
        <v>0</v>
      </c>
      <c r="O240" s="321"/>
      <c r="P240" s="321"/>
      <c r="Q240" s="326"/>
      <c r="R240" s="326"/>
      <c r="S240" s="326"/>
      <c r="T240" s="326"/>
      <c r="U240" s="326"/>
      <c r="V240" s="326"/>
      <c r="W240" s="326"/>
      <c r="X240" s="326"/>
      <c r="Y240" s="326"/>
      <c r="Z240" s="326"/>
    </row>
    <row r="241" spans="1:26" ht="19.5" hidden="1">
      <c r="A241" s="322"/>
      <c r="B241" s="314"/>
      <c r="C241" s="323"/>
      <c r="D241" s="324" t="s">
        <v>116</v>
      </c>
      <c r="E241" s="315"/>
      <c r="F241" s="315"/>
      <c r="G241" s="317"/>
      <c r="H241" s="318" t="s">
        <v>12</v>
      </c>
      <c r="I241" s="325"/>
      <c r="J241" s="325"/>
      <c r="K241" s="321"/>
      <c r="L241" s="321">
        <f ca="1">IFERROR(__xludf.DUMMYFUNCTION("IMPORTRANGE(""https://docs.google.com/spreadsheets/d/1QqKyyYR6Q21VydFLVH3TRQUabQu_ym0Zz7PgGX0-kHA/edit?usp=sharing"",""แผน!AX18"")"),0)</f>
        <v>0</v>
      </c>
      <c r="M241" s="321"/>
      <c r="N241" s="340">
        <v>0</v>
      </c>
      <c r="O241" s="321"/>
      <c r="P241" s="321"/>
      <c r="Q241" s="326"/>
      <c r="R241" s="326"/>
      <c r="S241" s="326"/>
      <c r="T241" s="326"/>
      <c r="U241" s="326"/>
      <c r="V241" s="326"/>
      <c r="W241" s="326"/>
      <c r="X241" s="326"/>
      <c r="Y241" s="326"/>
      <c r="Z241" s="326"/>
    </row>
    <row r="242" spans="1:26" ht="19.5" hidden="1">
      <c r="A242" s="322"/>
      <c r="B242" s="314"/>
      <c r="C242" s="323"/>
      <c r="D242" s="324" t="s">
        <v>100</v>
      </c>
      <c r="E242" s="315"/>
      <c r="F242" s="315"/>
      <c r="G242" s="317"/>
      <c r="H242" s="318" t="s">
        <v>12</v>
      </c>
      <c r="I242" s="325"/>
      <c r="J242" s="325"/>
      <c r="K242" s="321"/>
      <c r="L242" s="321">
        <f ca="1">IFERROR(__xludf.DUMMYFUNCTION("IMPORTRANGE(""https://docs.google.com/spreadsheets/d/1QqKyyYR6Q21VydFLVH3TRQUabQu_ym0Zz7PgGX0-kHA/edit?usp=sharing"",""แผน!AY18"")"),0)</f>
        <v>0</v>
      </c>
      <c r="M242" s="321"/>
      <c r="N242" s="340">
        <v>0</v>
      </c>
      <c r="O242" s="321"/>
      <c r="P242" s="321"/>
      <c r="Q242" s="326"/>
      <c r="R242" s="326"/>
      <c r="S242" s="326"/>
      <c r="T242" s="326"/>
      <c r="U242" s="326"/>
      <c r="V242" s="326"/>
      <c r="W242" s="326"/>
      <c r="X242" s="326"/>
      <c r="Y242" s="326"/>
      <c r="Z242" s="326"/>
    </row>
    <row r="243" spans="1:26" ht="19.5" hidden="1">
      <c r="A243" s="170"/>
      <c r="B243" s="171"/>
      <c r="C243" s="291" t="s">
        <v>16</v>
      </c>
      <c r="D243" s="818" t="s">
        <v>38</v>
      </c>
      <c r="E243" s="173"/>
      <c r="F243" s="173"/>
      <c r="G243" s="174"/>
      <c r="H243" s="726"/>
      <c r="I243" s="184"/>
      <c r="J243" s="269"/>
      <c r="K243" s="465"/>
      <c r="L243" s="465"/>
      <c r="M243" s="465"/>
      <c r="N243" s="465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15" t="s">
        <v>117</v>
      </c>
      <c r="E244" s="342"/>
      <c r="F244" s="342"/>
      <c r="G244" s="179"/>
      <c r="H244" s="728" t="s">
        <v>35</v>
      </c>
      <c r="I244" s="269">
        <f ca="1">IFERROR(__xludf.DUMMYFUNCTION("IMPORTRANGE(""https://docs.google.com/spreadsheets/d/1QqKyyYR6Q21VydFLVH3TRQUabQu_ym0Zz7PgGX0-kHA/edit?usp=sharing"",""แผน!BE18"")"),0)</f>
        <v>0</v>
      </c>
      <c r="J244" s="214">
        <v>0</v>
      </c>
      <c r="K244" s="465">
        <f ca="1">IF(I244&gt;0,J244*100/I244,0)</f>
        <v>0</v>
      </c>
      <c r="L244" s="465"/>
      <c r="M244" s="465"/>
      <c r="N244" s="465"/>
      <c r="O244" s="465"/>
      <c r="P244" s="465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341" t="s">
        <v>43</v>
      </c>
      <c r="E245" s="342"/>
      <c r="F245" s="342"/>
      <c r="G245" s="179"/>
      <c r="H245" s="728"/>
      <c r="I245" s="269"/>
      <c r="J245" s="269"/>
      <c r="K245" s="465"/>
      <c r="L245" s="465"/>
      <c r="M245" s="465"/>
      <c r="N245" s="465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343" t="s">
        <v>118</v>
      </c>
      <c r="F246" s="342"/>
      <c r="G246" s="179"/>
      <c r="H246" s="728" t="s">
        <v>35</v>
      </c>
      <c r="I246" s="269"/>
      <c r="J246" s="214">
        <v>0</v>
      </c>
      <c r="K246" s="465">
        <f t="shared" ref="K246:K248" si="111">IF(I246&gt;0,J246*100/I246,0)</f>
        <v>0</v>
      </c>
      <c r="L246" s="465"/>
      <c r="M246" s="465"/>
      <c r="N246" s="465"/>
      <c r="O246" s="465"/>
      <c r="P246" s="465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343" t="s">
        <v>119</v>
      </c>
      <c r="F247" s="342"/>
      <c r="G247" s="179"/>
      <c r="H247" s="728" t="s">
        <v>69</v>
      </c>
      <c r="I247" s="269"/>
      <c r="J247" s="214">
        <v>0</v>
      </c>
      <c r="K247" s="465">
        <f t="shared" si="111"/>
        <v>0</v>
      </c>
      <c r="L247" s="465"/>
      <c r="M247" s="465"/>
      <c r="N247" s="465"/>
      <c r="O247" s="465"/>
      <c r="P247" s="465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5"/>
      <c r="B248" s="263"/>
      <c r="C248" s="339" t="s">
        <v>331</v>
      </c>
      <c r="D248" s="256"/>
      <c r="E248" s="256"/>
      <c r="F248" s="256"/>
      <c r="G248" s="258"/>
      <c r="H248" s="259" t="s">
        <v>35</v>
      </c>
      <c r="I248" s="271">
        <f t="shared" ref="I248:J248" ca="1" si="112">I255</f>
        <v>0</v>
      </c>
      <c r="J248" s="271">
        <f t="shared" si="112"/>
        <v>0</v>
      </c>
      <c r="K248" s="272">
        <f t="shared" ca="1" si="111"/>
        <v>0</v>
      </c>
      <c r="L248" s="261"/>
      <c r="M248" s="261"/>
      <c r="N248" s="261"/>
      <c r="O248" s="261"/>
      <c r="P248" s="261"/>
    </row>
    <row r="249" spans="1:26" ht="19.5" hidden="1">
      <c r="A249" s="147"/>
      <c r="B249" s="148"/>
      <c r="C249" s="149" t="s">
        <v>16</v>
      </c>
      <c r="D249" s="822" t="s">
        <v>17</v>
      </c>
      <c r="E249" s="148"/>
      <c r="F249" s="148"/>
      <c r="G249" s="151"/>
      <c r="H249" s="274" t="s">
        <v>12</v>
      </c>
      <c r="I249" s="387"/>
      <c r="J249" s="387"/>
      <c r="K249" s="279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3"/>
      <c r="B250" s="314"/>
      <c r="C250" s="315"/>
      <c r="D250" s="324" t="s">
        <v>97</v>
      </c>
      <c r="E250" s="315"/>
      <c r="F250" s="315"/>
      <c r="G250" s="317"/>
      <c r="H250" s="318" t="s">
        <v>12</v>
      </c>
      <c r="I250" s="319"/>
      <c r="J250" s="319"/>
      <c r="K250" s="320"/>
      <c r="L250" s="321">
        <f ca="1">IFERROR(__xludf.DUMMYFUNCTION("IMPORTRANGE(""https://docs.google.com/spreadsheets/d/1QqKyyYR6Q21VydFLVH3TRQUabQu_ym0Zz7PgGX0-kHA/edit?usp=sharing"",""แผน!AZ18"")"),0)</f>
        <v>0</v>
      </c>
      <c r="M250" s="321"/>
      <c r="N250" s="340">
        <v>0</v>
      </c>
      <c r="O250" s="321"/>
      <c r="P250" s="321"/>
      <c r="Q250" s="312"/>
      <c r="R250" s="312"/>
      <c r="S250" s="312"/>
      <c r="T250" s="312"/>
      <c r="U250" s="312"/>
      <c r="V250" s="312"/>
      <c r="W250" s="312"/>
      <c r="X250" s="312"/>
      <c r="Y250" s="312"/>
      <c r="Z250" s="312"/>
    </row>
    <row r="251" spans="1:26" ht="19.5" hidden="1">
      <c r="A251" s="322"/>
      <c r="B251" s="314"/>
      <c r="C251" s="323"/>
      <c r="D251" s="324" t="s">
        <v>98</v>
      </c>
      <c r="E251" s="315"/>
      <c r="F251" s="315"/>
      <c r="G251" s="317"/>
      <c r="H251" s="318" t="s">
        <v>12</v>
      </c>
      <c r="I251" s="325"/>
      <c r="J251" s="325"/>
      <c r="K251" s="321"/>
      <c r="L251" s="321">
        <f ca="1">IFERROR(__xludf.DUMMYFUNCTION("IMPORTRANGE(""https://docs.google.com/spreadsheets/d/1QqKyyYR6Q21VydFLVH3TRQUabQu_ym0Zz7PgGX0-kHA/edit?usp=sharing"",""แผน!BA18"")"),0)</f>
        <v>0</v>
      </c>
      <c r="M251" s="321"/>
      <c r="N251" s="340">
        <v>0</v>
      </c>
      <c r="O251" s="321"/>
      <c r="P251" s="321"/>
      <c r="Q251" s="326"/>
      <c r="R251" s="326"/>
      <c r="S251" s="326"/>
      <c r="T251" s="326"/>
      <c r="U251" s="326"/>
      <c r="V251" s="326"/>
      <c r="W251" s="326"/>
      <c r="X251" s="326"/>
      <c r="Y251" s="326"/>
      <c r="Z251" s="326"/>
    </row>
    <row r="252" spans="1:26" ht="19.5" hidden="1">
      <c r="A252" s="322"/>
      <c r="B252" s="314"/>
      <c r="C252" s="323"/>
      <c r="D252" s="324" t="s">
        <v>116</v>
      </c>
      <c r="E252" s="315"/>
      <c r="F252" s="315"/>
      <c r="G252" s="317"/>
      <c r="H252" s="318" t="s">
        <v>12</v>
      </c>
      <c r="I252" s="325"/>
      <c r="J252" s="325"/>
      <c r="K252" s="321"/>
      <c r="L252" s="321">
        <f ca="1">IFERROR(__xludf.DUMMYFUNCTION("IMPORTRANGE(""https://docs.google.com/spreadsheets/d/1QqKyyYR6Q21VydFLVH3TRQUabQu_ym0Zz7PgGX0-kHA/edit?usp=sharing"",""แผน!BB18"")"),0)</f>
        <v>0</v>
      </c>
      <c r="M252" s="321"/>
      <c r="N252" s="340">
        <v>0</v>
      </c>
      <c r="O252" s="321"/>
      <c r="P252" s="321"/>
      <c r="Q252" s="326"/>
      <c r="R252" s="326"/>
      <c r="S252" s="326"/>
      <c r="T252" s="326"/>
      <c r="U252" s="326"/>
      <c r="V252" s="326"/>
      <c r="W252" s="326"/>
      <c r="X252" s="326"/>
      <c r="Y252" s="326"/>
      <c r="Z252" s="326"/>
    </row>
    <row r="253" spans="1:26" ht="19.5" hidden="1">
      <c r="A253" s="322"/>
      <c r="B253" s="314"/>
      <c r="C253" s="323"/>
      <c r="D253" s="324" t="s">
        <v>100</v>
      </c>
      <c r="E253" s="315"/>
      <c r="F253" s="315"/>
      <c r="G253" s="317"/>
      <c r="H253" s="318" t="s">
        <v>12</v>
      </c>
      <c r="I253" s="325"/>
      <c r="J253" s="325"/>
      <c r="K253" s="321"/>
      <c r="L253" s="321">
        <f ca="1">IFERROR(__xludf.DUMMYFUNCTION("IMPORTRANGE(""https://docs.google.com/spreadsheets/d/1QqKyyYR6Q21VydFLVH3TRQUabQu_ym0Zz7PgGX0-kHA/edit?usp=sharing"",""แผน!BC18"")"),0)</f>
        <v>0</v>
      </c>
      <c r="M253" s="321"/>
      <c r="N253" s="340">
        <v>0</v>
      </c>
      <c r="O253" s="321"/>
      <c r="P253" s="321"/>
      <c r="Q253" s="326"/>
      <c r="R253" s="326"/>
      <c r="S253" s="326"/>
      <c r="T253" s="326"/>
      <c r="U253" s="326"/>
      <c r="V253" s="326"/>
      <c r="W253" s="326"/>
      <c r="X253" s="326"/>
      <c r="Y253" s="326"/>
      <c r="Z253" s="326"/>
    </row>
    <row r="254" spans="1:26" ht="19.5" hidden="1">
      <c r="A254" s="170"/>
      <c r="B254" s="171"/>
      <c r="C254" s="291" t="s">
        <v>16</v>
      </c>
      <c r="D254" s="818" t="s">
        <v>38</v>
      </c>
      <c r="E254" s="173"/>
      <c r="F254" s="173"/>
      <c r="G254" s="174"/>
      <c r="H254" s="726"/>
      <c r="I254" s="184"/>
      <c r="J254" s="269"/>
      <c r="K254" s="465"/>
      <c r="L254" s="465"/>
      <c r="M254" s="465"/>
      <c r="N254" s="465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15" t="s">
        <v>117</v>
      </c>
      <c r="E255" s="342"/>
      <c r="F255" s="342"/>
      <c r="G255" s="179"/>
      <c r="H255" s="728" t="s">
        <v>35</v>
      </c>
      <c r="I255" s="269">
        <f ca="1">IFERROR(__xludf.DUMMYFUNCTION("IMPORTRANGE(""https://docs.google.com/spreadsheets/d/1QqKyyYR6Q21VydFLVH3TRQUabQu_ym0Zz7PgGX0-kHA/edit?usp=sharing"",""แผน!BF18"")"),0)</f>
        <v>0</v>
      </c>
      <c r="J255" s="214">
        <v>0</v>
      </c>
      <c r="K255" s="465">
        <f ca="1">IF(I255&gt;0,J255*100/I255,0)</f>
        <v>0</v>
      </c>
      <c r="L255" s="465"/>
      <c r="M255" s="465"/>
      <c r="N255" s="465"/>
      <c r="O255" s="465"/>
      <c r="P255" s="465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341" t="s">
        <v>43</v>
      </c>
      <c r="E256" s="342"/>
      <c r="F256" s="342"/>
      <c r="G256" s="179"/>
      <c r="H256" s="728"/>
      <c r="I256" s="269"/>
      <c r="J256" s="269"/>
      <c r="K256" s="465"/>
      <c r="L256" s="465"/>
      <c r="M256" s="465"/>
      <c r="N256" s="465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343" t="s">
        <v>118</v>
      </c>
      <c r="F257" s="342"/>
      <c r="G257" s="179"/>
      <c r="H257" s="728" t="s">
        <v>35</v>
      </c>
      <c r="I257" s="269"/>
      <c r="J257" s="214">
        <v>0</v>
      </c>
      <c r="K257" s="465">
        <f t="shared" ref="K257:K258" si="113">IF(I257&gt;0,J257*100/I257,0)</f>
        <v>0</v>
      </c>
      <c r="L257" s="465"/>
      <c r="M257" s="465"/>
      <c r="N257" s="465"/>
      <c r="O257" s="465"/>
      <c r="P257" s="465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343" t="s">
        <v>119</v>
      </c>
      <c r="F258" s="342"/>
      <c r="G258" s="179"/>
      <c r="H258" s="728" t="s">
        <v>69</v>
      </c>
      <c r="I258" s="269"/>
      <c r="J258" s="214">
        <v>0</v>
      </c>
      <c r="K258" s="465">
        <f t="shared" si="113"/>
        <v>0</v>
      </c>
      <c r="L258" s="465"/>
      <c r="M258" s="465"/>
      <c r="N258" s="465"/>
      <c r="O258" s="465"/>
      <c r="P258" s="465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1" t="s">
        <v>122</v>
      </c>
      <c r="B259" s="242"/>
      <c r="C259" s="242"/>
      <c r="D259" s="243"/>
      <c r="E259" s="243"/>
      <c r="F259" s="243"/>
      <c r="G259" s="244"/>
      <c r="H259" s="245"/>
      <c r="I259" s="246"/>
      <c r="J259" s="246"/>
      <c r="K259" s="247"/>
      <c r="L259" s="247"/>
      <c r="M259" s="247"/>
      <c r="N259" s="247"/>
      <c r="O259" s="247"/>
      <c r="P259" s="247"/>
    </row>
    <row r="260" spans="1:26" ht="19.5">
      <c r="A260" s="248"/>
      <c r="B260" s="249" t="s">
        <v>123</v>
      </c>
      <c r="C260" s="250"/>
      <c r="D260" s="173"/>
      <c r="E260" s="173"/>
      <c r="F260" s="173"/>
      <c r="G260" s="174"/>
      <c r="H260" s="251" t="s">
        <v>35</v>
      </c>
      <c r="I260" s="252">
        <f t="shared" ref="I260:J260" ca="1" si="114">I271</f>
        <v>22</v>
      </c>
      <c r="J260" s="252">
        <f t="shared" si="114"/>
        <v>0</v>
      </c>
      <c r="K260" s="253">
        <f ca="1">IF(I260&gt;0,J260*100/I260,0)</f>
        <v>0</v>
      </c>
      <c r="L260" s="254"/>
      <c r="M260" s="254"/>
      <c r="N260" s="254"/>
      <c r="O260" s="254"/>
      <c r="P260" s="254"/>
    </row>
    <row r="261" spans="1:26" ht="19.5">
      <c r="A261" s="147"/>
      <c r="B261" s="148"/>
      <c r="C261" s="149" t="s">
        <v>16</v>
      </c>
      <c r="D261" s="817" t="s">
        <v>17</v>
      </c>
      <c r="E261" s="148"/>
      <c r="F261" s="148"/>
      <c r="G261" s="151"/>
      <c r="H261" s="152" t="s">
        <v>12</v>
      </c>
      <c r="I261" s="388"/>
      <c r="J261" s="388"/>
      <c r="K261" s="154"/>
      <c r="L261" s="155">
        <f t="shared" ref="L261:N261" ca="1" si="115">L262+L263</f>
        <v>26900</v>
      </c>
      <c r="M261" s="155">
        <f t="shared" ca="1" si="115"/>
        <v>23900</v>
      </c>
      <c r="N261" s="155">
        <f t="shared" ca="1" si="115"/>
        <v>15460</v>
      </c>
      <c r="O261" s="155">
        <f t="shared" ref="O261:O269" ca="1" si="116">IF(L261&gt;0,N261*100/L261,0)</f>
        <v>57.47211895910781</v>
      </c>
      <c r="P261" s="155">
        <f t="shared" ref="P261:P269" ca="1" si="117">IF(M261&gt;0,N261*100/M261,0)</f>
        <v>64.686192468619254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2" t="s">
        <v>18</v>
      </c>
      <c r="F262" s="40"/>
      <c r="G262" s="157"/>
      <c r="H262" s="158" t="s">
        <v>12</v>
      </c>
      <c r="I262" s="583"/>
      <c r="J262" s="583"/>
      <c r="K262" s="93"/>
      <c r="L262" s="93">
        <f t="shared" ref="L262:N263" si="118">L265+L268</f>
        <v>0</v>
      </c>
      <c r="M262" s="93">
        <f t="shared" si="118"/>
        <v>0</v>
      </c>
      <c r="N262" s="93">
        <f t="shared" si="118"/>
        <v>0</v>
      </c>
      <c r="O262" s="93">
        <f t="shared" si="116"/>
        <v>0</v>
      </c>
      <c r="P262" s="93">
        <f t="shared" si="117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2" t="s">
        <v>19</v>
      </c>
      <c r="F263" s="40"/>
      <c r="G263" s="157"/>
      <c r="H263" s="158" t="s">
        <v>12</v>
      </c>
      <c r="I263" s="583"/>
      <c r="J263" s="583"/>
      <c r="K263" s="93"/>
      <c r="L263" s="93">
        <f t="shared" ca="1" si="118"/>
        <v>26900</v>
      </c>
      <c r="M263" s="93">
        <f t="shared" ca="1" si="118"/>
        <v>23900</v>
      </c>
      <c r="N263" s="93">
        <f t="shared" ca="1" si="118"/>
        <v>15460</v>
      </c>
      <c r="O263" s="93">
        <f t="shared" ca="1" si="116"/>
        <v>57.47211895910781</v>
      </c>
      <c r="P263" s="93">
        <f t="shared" ca="1" si="117"/>
        <v>64.686192468619254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1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65">
        <f t="shared" ref="L264:N264" ca="1" si="119">L265+L266</f>
        <v>26900</v>
      </c>
      <c r="M264" s="465">
        <f t="shared" ca="1" si="119"/>
        <v>23900</v>
      </c>
      <c r="N264" s="465">
        <f t="shared" ca="1" si="119"/>
        <v>15460</v>
      </c>
      <c r="O264" s="465">
        <f t="shared" ca="1" si="116"/>
        <v>57.47211895910781</v>
      </c>
      <c r="P264" s="465">
        <f t="shared" ca="1" si="117"/>
        <v>64.686192468619254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2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6"/>
        <v>0</v>
      </c>
      <c r="P265" s="93">
        <f t="shared" si="117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2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IFERROR(__xludf.DUMMYFUNCTION("IMPORTRANGE(""https://docs.google.com/spreadsheets/d/1MeEWN-I1oV_STSDYn1IFDPWt_1FKiwhDph83XaGc0o0/edit?usp=sharing"",""งบพรบ!CY18"")"),26900)</f>
        <v>26900</v>
      </c>
      <c r="M266" s="93">
        <f ca="1">IFERROR(__xludf.DUMMYFUNCTION("IMPORTRANGE(""https://docs.google.com/spreadsheets/d/1MeEWN-I1oV_STSDYn1IFDPWt_1FKiwhDph83XaGc0o0/edit?usp=sharing"",""งบพรบ!DD18"")"),23900)</f>
        <v>23900</v>
      </c>
      <c r="N266" s="93">
        <f ca="1">IFERROR(__xludf.DUMMYFUNCTION("IMPORTRANGE(""https://docs.google.com/spreadsheets/d/1MeEWN-I1oV_STSDYn1IFDPWt_1FKiwhDph83XaGc0o0/edit?usp=sharing"",""งบพรบ!DF18"")"),15460)</f>
        <v>15460</v>
      </c>
      <c r="O266" s="93">
        <f t="shared" ca="1" si="116"/>
        <v>57.47211895910781</v>
      </c>
      <c r="P266" s="93">
        <f t="shared" ca="1" si="117"/>
        <v>64.686192468619254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1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65">
        <f t="shared" ref="L267:N267" ca="1" si="120">L268+L269</f>
        <v>0</v>
      </c>
      <c r="M267" s="465">
        <f t="shared" ca="1" si="120"/>
        <v>0</v>
      </c>
      <c r="N267" s="465">
        <f t="shared" ca="1" si="120"/>
        <v>0</v>
      </c>
      <c r="O267" s="465">
        <f t="shared" ca="1" si="116"/>
        <v>0</v>
      </c>
      <c r="P267" s="465">
        <f t="shared" ca="1" si="117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2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6"/>
        <v>0</v>
      </c>
      <c r="P268" s="93">
        <f t="shared" si="117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2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IFERROR(__xludf.DUMMYFUNCTION("IMPORTRANGE(""https://docs.google.com/spreadsheets/d/1MeEWN-I1oV_STSDYn1IFDPWt_1FKiwhDph83XaGc0o0/edit?usp=sharing"",""งบพรบ!DB18"")"),0)</f>
        <v>0</v>
      </c>
      <c r="M269" s="93">
        <f ca="1">IFERROR(__xludf.DUMMYFUNCTION("IMPORTRANGE(""https://docs.google.com/spreadsheets/d/1MeEWN-I1oV_STSDYn1IFDPWt_1FKiwhDph83XaGc0o0/edit?usp=sharing"",""งบพรบ!DE18"")"),0)</f>
        <v>0</v>
      </c>
      <c r="N269" s="93">
        <f ca="1">IFERROR(__xludf.DUMMYFUNCTION("IMPORTRANGE(""https://docs.google.com/spreadsheets/d/1MeEWN-I1oV_STSDYn1IFDPWt_1FKiwhDph83XaGc0o0/edit?usp=sharing"",""งบพรบ!DG18"")"),0)</f>
        <v>0</v>
      </c>
      <c r="O269" s="93">
        <f t="shared" ca="1" si="116"/>
        <v>0</v>
      </c>
      <c r="P269" s="93">
        <f t="shared" ca="1" si="117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1" t="s">
        <v>16</v>
      </c>
      <c r="D270" s="818" t="s">
        <v>38</v>
      </c>
      <c r="E270" s="173"/>
      <c r="F270" s="173"/>
      <c r="G270" s="174"/>
      <c r="H270" s="726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44" t="s">
        <v>124</v>
      </c>
      <c r="E271" s="342"/>
      <c r="F271" s="268"/>
      <c r="G271" s="179"/>
      <c r="H271" s="345" t="s">
        <v>35</v>
      </c>
      <c r="I271" s="269">
        <f ca="1">IFERROR(__xludf.DUMMYFUNCTION("IMPORTRANGE(""https://docs.google.com/spreadsheets/d/1QqKyyYR6Q21VydFLVH3TRQUabQu_ym0Zz7PgGX0-kHA/edit?usp=sharing"",""แผน!EA18"")"),22)</f>
        <v>22</v>
      </c>
      <c r="J271" s="214">
        <v>0</v>
      </c>
      <c r="K271" s="163">
        <f ca="1">IF(I271&gt;0,J271*100/I271,0)</f>
        <v>0</v>
      </c>
      <c r="L271" s="163"/>
      <c r="M271" s="163"/>
      <c r="N271" s="163"/>
      <c r="O271" s="163"/>
      <c r="P271" s="163"/>
    </row>
    <row r="272" spans="1:26" ht="18.75" hidden="1">
      <c r="A272" s="346"/>
      <c r="B272" s="347"/>
      <c r="C272" s="347"/>
      <c r="D272" s="348" t="s">
        <v>125</v>
      </c>
      <c r="E272" s="349"/>
      <c r="F272" s="349"/>
      <c r="G272" s="350"/>
      <c r="H272" s="50" t="s">
        <v>35</v>
      </c>
      <c r="I272" s="468">
        <v>0</v>
      </c>
      <c r="J272" s="468">
        <v>0</v>
      </c>
      <c r="K272" s="353">
        <v>0</v>
      </c>
      <c r="L272" s="353"/>
      <c r="M272" s="353"/>
      <c r="N272" s="353"/>
      <c r="O272" s="353"/>
      <c r="P272" s="353"/>
    </row>
    <row r="273" spans="1:26" ht="19.5">
      <c r="A273" s="354" t="s">
        <v>126</v>
      </c>
      <c r="B273" s="355"/>
      <c r="C273" s="355"/>
      <c r="D273" s="355"/>
      <c r="E273" s="356"/>
      <c r="F273" s="356"/>
      <c r="G273" s="357"/>
      <c r="H273" s="358"/>
      <c r="I273" s="359"/>
      <c r="J273" s="359"/>
      <c r="K273" s="360"/>
      <c r="L273" s="360"/>
      <c r="M273" s="360"/>
      <c r="N273" s="360"/>
      <c r="O273" s="360"/>
      <c r="P273" s="360"/>
    </row>
    <row r="274" spans="1:26" ht="19.5">
      <c r="A274" s="361" t="s">
        <v>127</v>
      </c>
      <c r="B274" s="362"/>
      <c r="C274" s="363"/>
      <c r="D274" s="362"/>
      <c r="E274" s="362"/>
      <c r="F274" s="362"/>
      <c r="G274" s="362"/>
      <c r="H274" s="364"/>
      <c r="I274" s="365"/>
      <c r="J274" s="366"/>
      <c r="K274" s="367"/>
      <c r="L274" s="367"/>
      <c r="M274" s="367"/>
      <c r="N274" s="367"/>
      <c r="O274" s="367"/>
      <c r="P274" s="367"/>
    </row>
    <row r="275" spans="1:26" ht="19.5">
      <c r="A275" s="368"/>
      <c r="B275" s="377" t="s">
        <v>128</v>
      </c>
      <c r="C275" s="370"/>
      <c r="D275" s="371"/>
      <c r="E275" s="370"/>
      <c r="F275" s="370"/>
      <c r="G275" s="372"/>
      <c r="H275" s="373" t="s">
        <v>35</v>
      </c>
      <c r="I275" s="374">
        <f t="shared" ref="I275:J275" ca="1" si="121">I288</f>
        <v>50</v>
      </c>
      <c r="J275" s="374">
        <f t="shared" ca="1" si="121"/>
        <v>0</v>
      </c>
      <c r="K275" s="375">
        <f t="shared" ref="K275:K276" ca="1" si="122">IF(I275&gt;0,J275*100/I275,0)</f>
        <v>0</v>
      </c>
      <c r="L275" s="376"/>
      <c r="M275" s="376"/>
      <c r="N275" s="376"/>
      <c r="O275" s="376"/>
      <c r="P275" s="376"/>
    </row>
    <row r="276" spans="1:26" ht="19.5">
      <c r="A276" s="368"/>
      <c r="B276" s="377"/>
      <c r="C276" s="370"/>
      <c r="D276" s="371"/>
      <c r="E276" s="370"/>
      <c r="F276" s="370"/>
      <c r="G276" s="372"/>
      <c r="H276" s="373" t="s">
        <v>46</v>
      </c>
      <c r="I276" s="374">
        <f t="shared" ref="I276:J276" ca="1" si="123">I287</f>
        <v>500</v>
      </c>
      <c r="J276" s="374">
        <f t="shared" si="123"/>
        <v>0</v>
      </c>
      <c r="K276" s="375">
        <f t="shared" ca="1" si="122"/>
        <v>0</v>
      </c>
      <c r="L276" s="376"/>
      <c r="M276" s="376"/>
      <c r="N276" s="376"/>
      <c r="O276" s="376"/>
      <c r="P276" s="376"/>
    </row>
    <row r="277" spans="1:26" ht="19.5">
      <c r="A277" s="147"/>
      <c r="B277" s="148"/>
      <c r="C277" s="149" t="s">
        <v>16</v>
      </c>
      <c r="D277" s="817" t="s">
        <v>17</v>
      </c>
      <c r="E277" s="148"/>
      <c r="F277" s="148"/>
      <c r="G277" s="151"/>
      <c r="H277" s="152" t="s">
        <v>12</v>
      </c>
      <c r="I277" s="388"/>
      <c r="J277" s="388"/>
      <c r="K277" s="154"/>
      <c r="L277" s="155">
        <f t="shared" ref="L277:N277" ca="1" si="124">L278+L279</f>
        <v>335110</v>
      </c>
      <c r="M277" s="155">
        <f t="shared" ca="1" si="124"/>
        <v>152950</v>
      </c>
      <c r="N277" s="155">
        <f t="shared" ca="1" si="124"/>
        <v>29105.3</v>
      </c>
      <c r="O277" s="155">
        <f t="shared" ref="O277:O285" ca="1" si="125">IF(L277&gt;0,N277*100/L277,0)</f>
        <v>8.6852973650443133</v>
      </c>
      <c r="P277" s="155">
        <f t="shared" ref="P277:P285" ca="1" si="126">IF(M277&gt;0,N277*100/M277,0)</f>
        <v>19.029290617848972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2" t="s">
        <v>18</v>
      </c>
      <c r="F278" s="40"/>
      <c r="G278" s="157"/>
      <c r="H278" s="158" t="s">
        <v>12</v>
      </c>
      <c r="I278" s="583"/>
      <c r="J278" s="583"/>
      <c r="K278" s="93"/>
      <c r="L278" s="93">
        <f t="shared" ref="L278:N279" si="127">L281+L284</f>
        <v>0</v>
      </c>
      <c r="M278" s="93">
        <f t="shared" si="127"/>
        <v>0</v>
      </c>
      <c r="N278" s="93">
        <f t="shared" si="127"/>
        <v>0</v>
      </c>
      <c r="O278" s="93">
        <f t="shared" si="125"/>
        <v>0</v>
      </c>
      <c r="P278" s="93">
        <f t="shared" si="126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2" t="s">
        <v>19</v>
      </c>
      <c r="F279" s="40"/>
      <c r="G279" s="157"/>
      <c r="H279" s="158" t="s">
        <v>12</v>
      </c>
      <c r="I279" s="583"/>
      <c r="J279" s="583"/>
      <c r="K279" s="93"/>
      <c r="L279" s="93">
        <f t="shared" ca="1" si="127"/>
        <v>335110</v>
      </c>
      <c r="M279" s="93">
        <f t="shared" ca="1" si="127"/>
        <v>152950</v>
      </c>
      <c r="N279" s="93">
        <f t="shared" ca="1" si="127"/>
        <v>29105.3</v>
      </c>
      <c r="O279" s="93">
        <f t="shared" ca="1" si="125"/>
        <v>8.6852973650443133</v>
      </c>
      <c r="P279" s="93">
        <f t="shared" ca="1" si="126"/>
        <v>19.029290617848972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>
      <c r="A280" s="159"/>
      <c r="B280" s="33"/>
      <c r="C280" s="281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65">
        <f t="shared" ref="L280:N280" ca="1" si="128">L281+L282</f>
        <v>335110</v>
      </c>
      <c r="M280" s="465">
        <f t="shared" ca="1" si="128"/>
        <v>152950</v>
      </c>
      <c r="N280" s="465">
        <f t="shared" ca="1" si="128"/>
        <v>29105.3</v>
      </c>
      <c r="O280" s="465">
        <f t="shared" ca="1" si="125"/>
        <v>8.6852973650443133</v>
      </c>
      <c r="P280" s="465">
        <f t="shared" ca="1" si="126"/>
        <v>19.029290617848972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2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5"/>
        <v>0</v>
      </c>
      <c r="P281" s="93">
        <f t="shared" si="126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2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IFERROR(__xludf.DUMMYFUNCTION("IMPORTRANGE(""https://docs.google.com/spreadsheets/d/1MeEWN-I1oV_STSDYn1IFDPWt_1FKiwhDph83XaGc0o0/edit?usp=sharing"",""งบพรบ!DI18"")"),335110)</f>
        <v>335110</v>
      </c>
      <c r="M282" s="93">
        <f ca="1">IFERROR(__xludf.DUMMYFUNCTION("IMPORTRANGE(""https://docs.google.com/spreadsheets/d/1MeEWN-I1oV_STSDYn1IFDPWt_1FKiwhDph83XaGc0o0/edit?usp=sharing"",""งบพรบ!DN18"")"),152950)</f>
        <v>152950</v>
      </c>
      <c r="N282" s="93">
        <f ca="1">IFERROR(__xludf.DUMMYFUNCTION("IMPORTRANGE(""https://docs.google.com/spreadsheets/d/1MeEWN-I1oV_STSDYn1IFDPWt_1FKiwhDph83XaGc0o0/edit?usp=sharing"",""งบพรบ!DP18"")"),29105.3)</f>
        <v>29105.3</v>
      </c>
      <c r="O282" s="93">
        <f t="shared" ca="1" si="125"/>
        <v>8.6852973650443133</v>
      </c>
      <c r="P282" s="93">
        <f t="shared" ca="1" si="126"/>
        <v>19.029290617848972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>
      <c r="A283" s="159"/>
      <c r="B283" s="33"/>
      <c r="C283" s="281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65">
        <f t="shared" ref="L283:N283" ca="1" si="129">L284+L285</f>
        <v>0</v>
      </c>
      <c r="M283" s="465">
        <f t="shared" ca="1" si="129"/>
        <v>0</v>
      </c>
      <c r="N283" s="465">
        <f t="shared" ca="1" si="129"/>
        <v>0</v>
      </c>
      <c r="O283" s="465">
        <f t="shared" ca="1" si="125"/>
        <v>0</v>
      </c>
      <c r="P283" s="465">
        <f t="shared" ca="1" si="126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2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5"/>
        <v>0</v>
      </c>
      <c r="P284" s="93">
        <f t="shared" si="126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2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IFERROR(__xludf.DUMMYFUNCTION("IMPORTRANGE(""https://docs.google.com/spreadsheets/d/1MeEWN-I1oV_STSDYn1IFDPWt_1FKiwhDph83XaGc0o0/edit?usp=sharing"",""งบพรบ!DL18"")"),0)</f>
        <v>0</v>
      </c>
      <c r="M285" s="93">
        <f ca="1">IFERROR(__xludf.DUMMYFUNCTION("IMPORTRANGE(""https://docs.google.com/spreadsheets/d/1MeEWN-I1oV_STSDYn1IFDPWt_1FKiwhDph83XaGc0o0/edit?usp=sharing"",""งบพรบ!DO18"")"),0)</f>
        <v>0</v>
      </c>
      <c r="N285" s="93">
        <f ca="1">IFERROR(__xludf.DUMMYFUNCTION("IMPORTRANGE(""https://docs.google.com/spreadsheets/d/1MeEWN-I1oV_STSDYn1IFDPWt_1FKiwhDph83XaGc0o0/edit?usp=sharing"",""งบพรบ!DQ18"")"),0)</f>
        <v>0</v>
      </c>
      <c r="O285" s="93">
        <f t="shared" ca="1" si="125"/>
        <v>0</v>
      </c>
      <c r="P285" s="93">
        <f t="shared" ca="1" si="126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>
      <c r="A286" s="170"/>
      <c r="B286" s="171"/>
      <c r="C286" s="164" t="s">
        <v>16</v>
      </c>
      <c r="D286" s="818" t="s">
        <v>38</v>
      </c>
      <c r="E286" s="173"/>
      <c r="F286" s="173"/>
      <c r="G286" s="174"/>
      <c r="H286" s="726"/>
      <c r="I286" s="184"/>
      <c r="J286" s="184"/>
      <c r="K286" s="163"/>
      <c r="L286" s="163"/>
      <c r="M286" s="163"/>
      <c r="N286" s="163"/>
      <c r="O286" s="163"/>
      <c r="P286" s="163"/>
    </row>
    <row r="287" spans="1:26" ht="18.75">
      <c r="A287" s="170"/>
      <c r="B287" s="171"/>
      <c r="C287" s="171"/>
      <c r="D287" s="592" t="s">
        <v>129</v>
      </c>
      <c r="E287" s="171"/>
      <c r="F287" s="342"/>
      <c r="G287" s="179"/>
      <c r="H287" s="185" t="s">
        <v>46</v>
      </c>
      <c r="I287" s="269">
        <f ca="1">IFERROR(__xludf.DUMMYFUNCTION("IMPORTRANGE(""https://docs.google.com/spreadsheets/d/1QqKyyYR6Q21VydFLVH3TRQUabQu_ym0Zz7PgGX0-kHA/edit?usp=sharing"",""แผน!EC18"")"),500)</f>
        <v>500</v>
      </c>
      <c r="J287" s="214">
        <v>0</v>
      </c>
      <c r="K287" s="163">
        <f t="shared" ref="K287:K288" ca="1" si="130">IF(I287&gt;0,J287*100/I287,0)</f>
        <v>0</v>
      </c>
      <c r="L287" s="163"/>
      <c r="M287" s="163"/>
      <c r="N287" s="163"/>
      <c r="O287" s="163"/>
      <c r="P287" s="163"/>
    </row>
    <row r="288" spans="1:26" ht="19.5">
      <c r="A288" s="170"/>
      <c r="B288" s="171"/>
      <c r="C288" s="171"/>
      <c r="D288" s="592" t="s">
        <v>130</v>
      </c>
      <c r="E288" s="171"/>
      <c r="F288" s="342"/>
      <c r="G288" s="179"/>
      <c r="H288" s="180" t="s">
        <v>35</v>
      </c>
      <c r="I288" s="647">
        <f ca="1">IFERROR(__xludf.DUMMYFUNCTION("IMPORTRANGE(""https://docs.google.com/spreadsheets/d/1QqKyyYR6Q21VydFLVH3TRQUabQu_ym0Zz7PgGX0-kHA/edit?usp=sharing"",""แผน!EB18"")"),50)</f>
        <v>50</v>
      </c>
      <c r="J288" s="647">
        <f ca="1">IF(AND(J291&gt;=I288,J294&gt;=I288),J294,0)</f>
        <v>0</v>
      </c>
      <c r="K288" s="379">
        <f t="shared" ca="1" si="130"/>
        <v>0</v>
      </c>
      <c r="L288" s="163"/>
      <c r="M288" s="163"/>
      <c r="N288" s="163"/>
      <c r="O288" s="163"/>
      <c r="P288" s="163"/>
    </row>
    <row r="289" spans="1:26" ht="19.5">
      <c r="A289" s="170"/>
      <c r="B289" s="171"/>
      <c r="C289" s="171"/>
      <c r="D289" s="380"/>
      <c r="E289" s="381" t="s">
        <v>131</v>
      </c>
      <c r="F289" s="342"/>
      <c r="G289" s="179"/>
      <c r="H289" s="728"/>
      <c r="I289" s="184"/>
      <c r="J289" s="269"/>
      <c r="K289" s="163"/>
      <c r="L289" s="163"/>
      <c r="M289" s="163"/>
      <c r="N289" s="163"/>
      <c r="O289" s="163"/>
      <c r="P289" s="163"/>
    </row>
    <row r="290" spans="1:26" ht="19.5">
      <c r="A290" s="170"/>
      <c r="B290" s="171"/>
      <c r="C290" s="171"/>
      <c r="D290" s="380"/>
      <c r="E290" s="592" t="s">
        <v>132</v>
      </c>
      <c r="F290" s="342"/>
      <c r="G290" s="179"/>
      <c r="H290" s="728" t="s">
        <v>35</v>
      </c>
      <c r="I290" s="184">
        <f ca="1">IFERROR(__xludf.DUMMYFUNCTION("IMPORTRANGE(""https://docs.google.com/spreadsheets/d/1QqKyyYR6Q21VydFLVH3TRQUabQu_ym0Zz7PgGX0-kHA/edit?usp=sharing"",""แผน!EB18"")"),50)</f>
        <v>50</v>
      </c>
      <c r="J290" s="214">
        <v>0</v>
      </c>
      <c r="K290" s="163">
        <f t="shared" ref="K290:K291" ca="1" si="131">IF(I290&gt;0,J290*100/I290,0)</f>
        <v>0</v>
      </c>
      <c r="L290" s="163"/>
      <c r="M290" s="163"/>
      <c r="N290" s="163"/>
      <c r="O290" s="163"/>
      <c r="P290" s="163"/>
    </row>
    <row r="291" spans="1:26" ht="19.5">
      <c r="A291" s="170"/>
      <c r="B291" s="171"/>
      <c r="C291" s="171"/>
      <c r="D291" s="342"/>
      <c r="E291" s="592" t="s">
        <v>133</v>
      </c>
      <c r="F291" s="342"/>
      <c r="G291" s="179"/>
      <c r="H291" s="728" t="s">
        <v>35</v>
      </c>
      <c r="I291" s="184">
        <f ca="1">IFERROR(__xludf.DUMMYFUNCTION("IMPORTRANGE(""https://docs.google.com/spreadsheets/d/1QqKyyYR6Q21VydFLVH3TRQUabQu_ym0Zz7PgGX0-kHA/edit?usp=sharing"",""แผน!EB18"")"),50)</f>
        <v>50</v>
      </c>
      <c r="J291" s="214">
        <v>0</v>
      </c>
      <c r="K291" s="163">
        <f t="shared" ca="1" si="131"/>
        <v>0</v>
      </c>
      <c r="L291" s="163"/>
      <c r="M291" s="163"/>
      <c r="N291" s="163"/>
      <c r="O291" s="163"/>
      <c r="P291" s="163"/>
    </row>
    <row r="292" spans="1:26" ht="19.5">
      <c r="A292" s="382"/>
      <c r="B292" s="383"/>
      <c r="C292" s="383"/>
      <c r="D292" s="384"/>
      <c r="E292" s="385" t="s">
        <v>134</v>
      </c>
      <c r="F292" s="286"/>
      <c r="G292" s="287"/>
      <c r="H292" s="386"/>
      <c r="I292" s="387"/>
      <c r="J292" s="388"/>
      <c r="K292" s="279"/>
      <c r="L292" s="279"/>
      <c r="M292" s="279"/>
      <c r="N292" s="279"/>
      <c r="O292" s="279"/>
      <c r="P292" s="279"/>
    </row>
    <row r="293" spans="1:26" ht="19.5">
      <c r="A293" s="170"/>
      <c r="B293" s="171"/>
      <c r="C293" s="171"/>
      <c r="D293" s="380"/>
      <c r="E293" s="592" t="s">
        <v>132</v>
      </c>
      <c r="F293" s="342"/>
      <c r="G293" s="179"/>
      <c r="H293" s="728" t="s">
        <v>35</v>
      </c>
      <c r="I293" s="184">
        <f ca="1">IFERROR(__xludf.DUMMYFUNCTION("IMPORTRANGE(""https://docs.google.com/spreadsheets/d/1QqKyyYR6Q21VydFLVH3TRQUabQu_ym0Zz7PgGX0-kHA/edit?usp=sharing"",""แผน!EB18"")"),50)</f>
        <v>50</v>
      </c>
      <c r="J293" s="214">
        <v>0</v>
      </c>
      <c r="K293" s="163">
        <f t="shared" ref="K293:K294" ca="1" si="132">IF(I293&gt;0,J293*100/I293,0)</f>
        <v>0</v>
      </c>
      <c r="L293" s="163"/>
      <c r="M293" s="163"/>
      <c r="N293" s="163"/>
      <c r="O293" s="163"/>
      <c r="P293" s="163"/>
    </row>
    <row r="294" spans="1:26" ht="19.5">
      <c r="A294" s="346"/>
      <c r="B294" s="347"/>
      <c r="C294" s="347"/>
      <c r="D294" s="349"/>
      <c r="E294" s="698" t="s">
        <v>136</v>
      </c>
      <c r="F294" s="349"/>
      <c r="G294" s="350"/>
      <c r="H294" s="390" t="s">
        <v>35</v>
      </c>
      <c r="I294" s="391">
        <f ca="1">IFERROR(__xludf.DUMMYFUNCTION("IMPORTRANGE(""https://docs.google.com/spreadsheets/d/1QqKyyYR6Q21VydFLVH3TRQUabQu_ym0Zz7PgGX0-kHA/edit?usp=sharing"",""แผน!EB18"")"),50)</f>
        <v>50</v>
      </c>
      <c r="J294" s="392">
        <v>0</v>
      </c>
      <c r="K294" s="353">
        <f t="shared" ca="1" si="132"/>
        <v>0</v>
      </c>
      <c r="L294" s="353"/>
      <c r="M294" s="353"/>
      <c r="N294" s="353"/>
      <c r="O294" s="353"/>
      <c r="P294" s="353"/>
    </row>
    <row r="295" spans="1:26" ht="19.5">
      <c r="A295" s="393" t="s">
        <v>137</v>
      </c>
      <c r="B295" s="394"/>
      <c r="C295" s="394"/>
      <c r="D295" s="394"/>
      <c r="E295" s="395"/>
      <c r="F295" s="395"/>
      <c r="G295" s="396"/>
      <c r="H295" s="397"/>
      <c r="I295" s="398"/>
      <c r="J295" s="398"/>
      <c r="K295" s="399"/>
      <c r="L295" s="399"/>
      <c r="M295" s="399"/>
      <c r="N295" s="399"/>
      <c r="O295" s="399"/>
      <c r="P295" s="399"/>
    </row>
    <row r="296" spans="1:26" ht="19.5">
      <c r="A296" s="400" t="s">
        <v>138</v>
      </c>
      <c r="B296" s="401"/>
      <c r="C296" s="401"/>
      <c r="D296" s="402"/>
      <c r="E296" s="402"/>
      <c r="F296" s="402"/>
      <c r="G296" s="403"/>
      <c r="H296" s="404"/>
      <c r="I296" s="405"/>
      <c r="J296" s="405"/>
      <c r="K296" s="406"/>
      <c r="L296" s="406"/>
      <c r="M296" s="406"/>
      <c r="N296" s="406"/>
      <c r="O296" s="406"/>
      <c r="P296" s="406"/>
    </row>
    <row r="297" spans="1:26" ht="19.5">
      <c r="A297" s="407"/>
      <c r="B297" s="408" t="s">
        <v>139</v>
      </c>
      <c r="C297" s="409"/>
      <c r="D297" s="409"/>
      <c r="E297" s="409"/>
      <c r="F297" s="409"/>
      <c r="G297" s="410"/>
      <c r="H297" s="411" t="s">
        <v>35</v>
      </c>
      <c r="I297" s="412">
        <f t="shared" ref="I297:J297" ca="1" si="133">I309</f>
        <v>25</v>
      </c>
      <c r="J297" s="412">
        <f t="shared" si="133"/>
        <v>25</v>
      </c>
      <c r="K297" s="413">
        <f ca="1">IF(I297&gt;0,J297*100/I297,0)</f>
        <v>100</v>
      </c>
      <c r="L297" s="414"/>
      <c r="M297" s="414"/>
      <c r="N297" s="414"/>
      <c r="O297" s="414"/>
      <c r="P297" s="414"/>
    </row>
    <row r="298" spans="1:26" ht="19.5">
      <c r="A298" s="147"/>
      <c r="B298" s="148"/>
      <c r="C298" s="149" t="s">
        <v>16</v>
      </c>
      <c r="D298" s="817" t="s">
        <v>17</v>
      </c>
      <c r="E298" s="148"/>
      <c r="F298" s="148"/>
      <c r="G298" s="151"/>
      <c r="H298" s="152" t="s">
        <v>12</v>
      </c>
      <c r="I298" s="388"/>
      <c r="J298" s="388"/>
      <c r="K298" s="154"/>
      <c r="L298" s="155">
        <f t="shared" ref="L298:N298" ca="1" si="134">L299+L300</f>
        <v>101000</v>
      </c>
      <c r="M298" s="155">
        <f t="shared" ca="1" si="134"/>
        <v>60400</v>
      </c>
      <c r="N298" s="155">
        <f t="shared" ca="1" si="134"/>
        <v>57680</v>
      </c>
      <c r="O298" s="155">
        <f t="shared" ref="O298:O306" ca="1" si="135">IF(L298&gt;0,N298*100/L298,0)</f>
        <v>57.10891089108911</v>
      </c>
      <c r="P298" s="155">
        <f t="shared" ref="P298:P306" ca="1" si="136">IF(M298&gt;0,N298*100/M298,0)</f>
        <v>95.496688741721854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2" t="s">
        <v>18</v>
      </c>
      <c r="F299" s="40"/>
      <c r="G299" s="157"/>
      <c r="H299" s="158" t="s">
        <v>12</v>
      </c>
      <c r="I299" s="583"/>
      <c r="J299" s="583"/>
      <c r="K299" s="93"/>
      <c r="L299" s="93">
        <f t="shared" ref="L299:N300" si="137">L302+L305</f>
        <v>0</v>
      </c>
      <c r="M299" s="93">
        <f t="shared" si="137"/>
        <v>0</v>
      </c>
      <c r="N299" s="93">
        <f t="shared" si="137"/>
        <v>0</v>
      </c>
      <c r="O299" s="93">
        <f t="shared" si="135"/>
        <v>0</v>
      </c>
      <c r="P299" s="93">
        <f t="shared" si="136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2" t="s">
        <v>19</v>
      </c>
      <c r="F300" s="40"/>
      <c r="G300" s="157"/>
      <c r="H300" s="158" t="s">
        <v>12</v>
      </c>
      <c r="I300" s="583"/>
      <c r="J300" s="583"/>
      <c r="K300" s="93"/>
      <c r="L300" s="93">
        <f t="shared" ca="1" si="137"/>
        <v>101000</v>
      </c>
      <c r="M300" s="93">
        <f t="shared" ca="1" si="137"/>
        <v>60400</v>
      </c>
      <c r="N300" s="93">
        <f t="shared" ca="1" si="137"/>
        <v>57680</v>
      </c>
      <c r="O300" s="93">
        <f t="shared" ca="1" si="135"/>
        <v>57.10891089108911</v>
      </c>
      <c r="P300" s="93">
        <f t="shared" ca="1" si="136"/>
        <v>95.496688741721854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>
      <c r="A301" s="159"/>
      <c r="B301" s="33"/>
      <c r="C301" s="281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65">
        <f t="shared" ref="L301:N301" ca="1" si="138">L302+L303</f>
        <v>101000</v>
      </c>
      <c r="M301" s="465">
        <f t="shared" ca="1" si="138"/>
        <v>60400</v>
      </c>
      <c r="N301" s="465">
        <f t="shared" ca="1" si="138"/>
        <v>57680</v>
      </c>
      <c r="O301" s="465">
        <f t="shared" ca="1" si="135"/>
        <v>57.10891089108911</v>
      </c>
      <c r="P301" s="465">
        <f t="shared" ca="1" si="136"/>
        <v>95.496688741721854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2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5"/>
        <v>0</v>
      </c>
      <c r="P302" s="93">
        <f t="shared" si="136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2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IFERROR(__xludf.DUMMYFUNCTION("IMPORTRANGE(""https://docs.google.com/spreadsheets/d/1MeEWN-I1oV_STSDYn1IFDPWt_1FKiwhDph83XaGc0o0/edit?usp=sharing"",""งบพรบ!DS18"")"),101000)</f>
        <v>101000</v>
      </c>
      <c r="M303" s="93">
        <f ca="1">IFERROR(__xludf.DUMMYFUNCTION("IMPORTRANGE(""https://docs.google.com/spreadsheets/d/1MeEWN-I1oV_STSDYn1IFDPWt_1FKiwhDph83XaGc0o0/edit?usp=sharing"",""งบพรบ!DX18"")"),60400)</f>
        <v>60400</v>
      </c>
      <c r="N303" s="93">
        <f ca="1">IFERROR(__xludf.DUMMYFUNCTION("IMPORTRANGE(""https://docs.google.com/spreadsheets/d/1MeEWN-I1oV_STSDYn1IFDPWt_1FKiwhDph83XaGc0o0/edit?usp=sharing"",""งบพรบ!DZ18"")"),57680)</f>
        <v>57680</v>
      </c>
      <c r="O303" s="93">
        <f t="shared" ca="1" si="135"/>
        <v>57.10891089108911</v>
      </c>
      <c r="P303" s="93">
        <f t="shared" ca="1" si="136"/>
        <v>95.496688741721854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>
      <c r="A304" s="159"/>
      <c r="B304" s="33"/>
      <c r="C304" s="281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65">
        <f t="shared" ref="L304:N304" ca="1" si="139">L305+L306</f>
        <v>0</v>
      </c>
      <c r="M304" s="465">
        <f t="shared" ca="1" si="139"/>
        <v>0</v>
      </c>
      <c r="N304" s="465">
        <f t="shared" ca="1" si="139"/>
        <v>0</v>
      </c>
      <c r="O304" s="465">
        <f t="shared" ca="1" si="135"/>
        <v>0</v>
      </c>
      <c r="P304" s="465">
        <f t="shared" ca="1" si="136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2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5"/>
        <v>0</v>
      </c>
      <c r="P305" s="93">
        <f t="shared" si="136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2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IFERROR(__xludf.DUMMYFUNCTION("IMPORTRANGE(""https://docs.google.com/spreadsheets/d/1MeEWN-I1oV_STSDYn1IFDPWt_1FKiwhDph83XaGc0o0/edit?usp=sharing"",""งบพรบ!DV18"")"),0)</f>
        <v>0</v>
      </c>
      <c r="M306" s="93">
        <f ca="1">IFERROR(__xludf.DUMMYFUNCTION("IMPORTRANGE(""https://docs.google.com/spreadsheets/d/1MeEWN-I1oV_STSDYn1IFDPWt_1FKiwhDph83XaGc0o0/edit?usp=sharing"",""งบพรบ!DY18"")"),0)</f>
        <v>0</v>
      </c>
      <c r="N306" s="93">
        <f ca="1">IFERROR(__xludf.DUMMYFUNCTION("IMPORTRANGE(""https://docs.google.com/spreadsheets/d/1MeEWN-I1oV_STSDYn1IFDPWt_1FKiwhDph83XaGc0o0/edit?usp=sharing"",""งบพรบ!EA18"")"),0)</f>
        <v>0</v>
      </c>
      <c r="O306" s="93">
        <f t="shared" ca="1" si="135"/>
        <v>0</v>
      </c>
      <c r="P306" s="93">
        <f t="shared" ca="1" si="136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>
      <c r="A307" s="170"/>
      <c r="B307" s="171"/>
      <c r="C307" s="164" t="s">
        <v>16</v>
      </c>
      <c r="D307" s="818" t="s">
        <v>38</v>
      </c>
      <c r="E307" s="173"/>
      <c r="F307" s="173"/>
      <c r="G307" s="174"/>
      <c r="H307" s="726"/>
      <c r="I307" s="269"/>
      <c r="J307" s="269"/>
      <c r="K307" s="465"/>
      <c r="L307" s="465"/>
      <c r="M307" s="465"/>
      <c r="N307" s="465"/>
      <c r="O307" s="465"/>
      <c r="P307" s="465"/>
    </row>
    <row r="308" spans="1:26" ht="18.75">
      <c r="A308" s="170"/>
      <c r="B308" s="171"/>
      <c r="C308" s="171"/>
      <c r="D308" s="415" t="s">
        <v>140</v>
      </c>
      <c r="E308" s="415"/>
      <c r="F308" s="415"/>
      <c r="G308" s="179"/>
      <c r="H308" s="728"/>
      <c r="I308" s="269"/>
      <c r="J308" s="214">
        <v>0</v>
      </c>
      <c r="K308" s="465"/>
      <c r="L308" s="465"/>
      <c r="M308" s="465"/>
      <c r="N308" s="465"/>
      <c r="O308" s="465"/>
      <c r="P308" s="465"/>
    </row>
    <row r="309" spans="1:26" ht="18.75">
      <c r="A309" s="170"/>
      <c r="B309" s="171"/>
      <c r="C309" s="171"/>
      <c r="D309" s="415" t="s">
        <v>141</v>
      </c>
      <c r="E309" s="415"/>
      <c r="F309" s="415"/>
      <c r="G309" s="179"/>
      <c r="H309" s="728" t="s">
        <v>35</v>
      </c>
      <c r="I309" s="269">
        <f ca="1">IFERROR(__xludf.DUMMYFUNCTION("IMPORTRANGE(""https://docs.google.com/spreadsheets/d/1QqKyyYR6Q21VydFLVH3TRQUabQu_ym0Zz7PgGX0-kHA/edit?usp=sharing"",""แผน!ED18"")"),25)</f>
        <v>25</v>
      </c>
      <c r="J309" s="214">
        <v>25</v>
      </c>
      <c r="K309" s="465">
        <f t="shared" ref="K309:K312" ca="1" si="140">IF(I309&gt;0,J309*100/I309,0)</f>
        <v>100</v>
      </c>
      <c r="L309" s="465"/>
      <c r="M309" s="465"/>
      <c r="N309" s="465"/>
      <c r="O309" s="465"/>
      <c r="P309" s="465"/>
    </row>
    <row r="310" spans="1:26" ht="18.75">
      <c r="A310" s="170"/>
      <c r="B310" s="171"/>
      <c r="C310" s="171"/>
      <c r="D310" s="415" t="s">
        <v>142</v>
      </c>
      <c r="E310" s="415"/>
      <c r="F310" s="415"/>
      <c r="G310" s="179"/>
      <c r="H310" s="728" t="s">
        <v>35</v>
      </c>
      <c r="I310" s="269">
        <f ca="1">IFERROR(__xludf.DUMMYFUNCTION("IMPORTRANGE(""https://docs.google.com/spreadsheets/d/1QqKyyYR6Q21VydFLVH3TRQUabQu_ym0Zz7PgGX0-kHA/edit?usp=sharing"",""แผน!ED18"")"),25)</f>
        <v>25</v>
      </c>
      <c r="J310" s="214">
        <v>0</v>
      </c>
      <c r="K310" s="465">
        <f t="shared" ca="1" si="140"/>
        <v>0</v>
      </c>
      <c r="L310" s="465"/>
      <c r="M310" s="465"/>
      <c r="N310" s="465"/>
      <c r="O310" s="465"/>
      <c r="P310" s="465"/>
    </row>
    <row r="311" spans="1:26" ht="18.75">
      <c r="A311" s="170"/>
      <c r="B311" s="171"/>
      <c r="C311" s="171"/>
      <c r="D311" s="415" t="s">
        <v>59</v>
      </c>
      <c r="E311" s="415"/>
      <c r="F311" s="415"/>
      <c r="G311" s="179"/>
      <c r="H311" s="728" t="s">
        <v>35</v>
      </c>
      <c r="I311" s="269">
        <f ca="1">IFERROR(__xludf.DUMMYFUNCTION("IMPORTRANGE(""https://docs.google.com/spreadsheets/d/1QqKyyYR6Q21VydFLVH3TRQUabQu_ym0Zz7PgGX0-kHA/edit?usp=sharing"",""แผน!ED18"")"),25)</f>
        <v>25</v>
      </c>
      <c r="J311" s="214">
        <v>0</v>
      </c>
      <c r="K311" s="465">
        <f t="shared" ca="1" si="140"/>
        <v>0</v>
      </c>
      <c r="L311" s="465"/>
      <c r="M311" s="465"/>
      <c r="N311" s="465"/>
      <c r="O311" s="465"/>
      <c r="P311" s="465"/>
    </row>
    <row r="312" spans="1:26" ht="18.75">
      <c r="A312" s="170"/>
      <c r="B312" s="171"/>
      <c r="C312" s="171"/>
      <c r="D312" s="415" t="s">
        <v>143</v>
      </c>
      <c r="E312" s="415"/>
      <c r="F312" s="415"/>
      <c r="G312" s="179"/>
      <c r="H312" s="728" t="s">
        <v>35</v>
      </c>
      <c r="I312" s="269">
        <f ca="1">IFERROR(__xludf.DUMMYFUNCTION("IMPORTRANGE(""https://docs.google.com/spreadsheets/d/1QqKyyYR6Q21VydFLVH3TRQUabQu_ym0Zz7PgGX0-kHA/edit?usp=sharing"",""แผน!EE18"")"),5)</f>
        <v>5</v>
      </c>
      <c r="J312" s="214">
        <v>0</v>
      </c>
      <c r="K312" s="465">
        <f t="shared" ca="1" si="140"/>
        <v>0</v>
      </c>
      <c r="L312" s="465"/>
      <c r="M312" s="465"/>
      <c r="N312" s="465"/>
      <c r="O312" s="465"/>
      <c r="P312" s="465"/>
    </row>
    <row r="313" spans="1:26" ht="19.5" hidden="1">
      <c r="A313" s="400" t="s">
        <v>144</v>
      </c>
      <c r="B313" s="401"/>
      <c r="C313" s="401"/>
      <c r="D313" s="402"/>
      <c r="E313" s="401"/>
      <c r="F313" s="401"/>
      <c r="G313" s="401"/>
      <c r="H313" s="417"/>
      <c r="I313" s="405"/>
      <c r="J313" s="405"/>
      <c r="K313" s="406"/>
      <c r="L313" s="406"/>
      <c r="M313" s="406"/>
      <c r="N313" s="406"/>
      <c r="O313" s="406"/>
      <c r="P313" s="406"/>
    </row>
    <row r="314" spans="1:26" ht="19.5" hidden="1">
      <c r="A314" s="418"/>
      <c r="B314" s="408" t="s">
        <v>145</v>
      </c>
      <c r="C314" s="419"/>
      <c r="D314" s="420"/>
      <c r="E314" s="409"/>
      <c r="F314" s="409"/>
      <c r="G314" s="410"/>
      <c r="H314" s="411" t="s">
        <v>146</v>
      </c>
      <c r="I314" s="412">
        <f t="shared" ref="I314:J314" ca="1" si="141">I325</f>
        <v>0</v>
      </c>
      <c r="J314" s="412">
        <f t="shared" si="141"/>
        <v>0</v>
      </c>
      <c r="K314" s="413">
        <f ca="1">IF(I314&gt;0,J314*100/I314,0)</f>
        <v>0</v>
      </c>
      <c r="L314" s="414"/>
      <c r="M314" s="414"/>
      <c r="N314" s="414"/>
      <c r="O314" s="414"/>
      <c r="P314" s="414"/>
    </row>
    <row r="315" spans="1:26" ht="19.5" hidden="1">
      <c r="A315" s="147"/>
      <c r="B315" s="148"/>
      <c r="C315" s="149" t="s">
        <v>16</v>
      </c>
      <c r="D315" s="817" t="s">
        <v>17</v>
      </c>
      <c r="E315" s="148"/>
      <c r="F315" s="148"/>
      <c r="G315" s="151"/>
      <c r="H315" s="152" t="s">
        <v>12</v>
      </c>
      <c r="I315" s="388"/>
      <c r="J315" s="388"/>
      <c r="K315" s="154"/>
      <c r="L315" s="155">
        <f t="shared" ref="L315:N315" ca="1" si="142">L316+L317</f>
        <v>0</v>
      </c>
      <c r="M315" s="155">
        <f t="shared" ca="1" si="142"/>
        <v>0</v>
      </c>
      <c r="N315" s="155">
        <f t="shared" ca="1" si="142"/>
        <v>0</v>
      </c>
      <c r="O315" s="155">
        <f t="shared" ref="O315:O323" ca="1" si="143">IF(L315&gt;0,N315*100/L315,0)</f>
        <v>0</v>
      </c>
      <c r="P315" s="155">
        <f t="shared" ref="P315:P323" ca="1" si="144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2" t="s">
        <v>18</v>
      </c>
      <c r="F316" s="40"/>
      <c r="G316" s="157"/>
      <c r="H316" s="158" t="s">
        <v>12</v>
      </c>
      <c r="I316" s="583"/>
      <c r="J316" s="583"/>
      <c r="K316" s="93"/>
      <c r="L316" s="93">
        <f t="shared" ref="L316:N317" si="145">L319+L322</f>
        <v>0</v>
      </c>
      <c r="M316" s="93">
        <f t="shared" si="145"/>
        <v>0</v>
      </c>
      <c r="N316" s="93">
        <f t="shared" si="145"/>
        <v>0</v>
      </c>
      <c r="O316" s="93">
        <f t="shared" si="143"/>
        <v>0</v>
      </c>
      <c r="P316" s="93">
        <f t="shared" si="144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2" t="s">
        <v>19</v>
      </c>
      <c r="F317" s="40"/>
      <c r="G317" s="157"/>
      <c r="H317" s="158" t="s">
        <v>12</v>
      </c>
      <c r="I317" s="583"/>
      <c r="J317" s="583"/>
      <c r="K317" s="93"/>
      <c r="L317" s="93">
        <f t="shared" ca="1" si="145"/>
        <v>0</v>
      </c>
      <c r="M317" s="93">
        <f t="shared" ca="1" si="145"/>
        <v>0</v>
      </c>
      <c r="N317" s="93">
        <f t="shared" ca="1" si="145"/>
        <v>0</v>
      </c>
      <c r="O317" s="93">
        <f t="shared" ca="1" si="143"/>
        <v>0</v>
      </c>
      <c r="P317" s="93">
        <f t="shared" ca="1" si="144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1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65">
        <f t="shared" ref="L318:N318" ca="1" si="146">L319+L320</f>
        <v>0</v>
      </c>
      <c r="M318" s="465">
        <f t="shared" ca="1" si="146"/>
        <v>0</v>
      </c>
      <c r="N318" s="465">
        <f t="shared" ca="1" si="146"/>
        <v>0</v>
      </c>
      <c r="O318" s="465">
        <f t="shared" ca="1" si="143"/>
        <v>0</v>
      </c>
      <c r="P318" s="465">
        <f t="shared" ca="1" si="144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2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3"/>
        <v>0</v>
      </c>
      <c r="P319" s="93">
        <f t="shared" si="144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2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IFERROR(__xludf.DUMMYFUNCTION("IMPORTRANGE(""https://docs.google.com/spreadsheets/d/1MeEWN-I1oV_STSDYn1IFDPWt_1FKiwhDph83XaGc0o0/edit?usp=sharing"",""งบพรบ!EC18"")"),0)</f>
        <v>0</v>
      </c>
      <c r="M320" s="93">
        <f ca="1">IFERROR(__xludf.DUMMYFUNCTION("IMPORTRANGE(""https://docs.google.com/spreadsheets/d/1MeEWN-I1oV_STSDYn1IFDPWt_1FKiwhDph83XaGc0o0/edit?usp=sharing"",""งบพรบ!EH18"")"),0)</f>
        <v>0</v>
      </c>
      <c r="N320" s="93">
        <f ca="1">IFERROR(__xludf.DUMMYFUNCTION("IMPORTRANGE(""https://docs.google.com/spreadsheets/d/1MeEWN-I1oV_STSDYn1IFDPWt_1FKiwhDph83XaGc0o0/edit?usp=sharing"",""งบพรบ!EJ18"")"),0)</f>
        <v>0</v>
      </c>
      <c r="O320" s="93">
        <f t="shared" ca="1" si="143"/>
        <v>0</v>
      </c>
      <c r="P320" s="93">
        <f t="shared" ca="1" si="144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1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65">
        <f t="shared" ref="L321:N321" ca="1" si="147">L322+L323</f>
        <v>0</v>
      </c>
      <c r="M321" s="465">
        <f t="shared" ca="1" si="147"/>
        <v>0</v>
      </c>
      <c r="N321" s="465">
        <f t="shared" ca="1" si="147"/>
        <v>0</v>
      </c>
      <c r="O321" s="465">
        <f t="shared" ca="1" si="143"/>
        <v>0</v>
      </c>
      <c r="P321" s="465">
        <f t="shared" ca="1" si="144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2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3"/>
        <v>0</v>
      </c>
      <c r="P322" s="93">
        <f t="shared" si="144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2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IFERROR(__xludf.DUMMYFUNCTION("IMPORTRANGE(""https://docs.google.com/spreadsheets/d/1MeEWN-I1oV_STSDYn1IFDPWt_1FKiwhDph83XaGc0o0/edit?usp=sharing"",""งบพรบ!EF18"")"),0)</f>
        <v>0</v>
      </c>
      <c r="M323" s="93">
        <f ca="1">IFERROR(__xludf.DUMMYFUNCTION("IMPORTRANGE(""https://docs.google.com/spreadsheets/d/1MeEWN-I1oV_STSDYn1IFDPWt_1FKiwhDph83XaGc0o0/edit?usp=sharing"",""งบพรบ!EI18"")"),0)</f>
        <v>0</v>
      </c>
      <c r="N323" s="93">
        <f ca="1">IFERROR(__xludf.DUMMYFUNCTION("IMPORTRANGE(""https://docs.google.com/spreadsheets/d/1MeEWN-I1oV_STSDYn1IFDPWt_1FKiwhDph83XaGc0o0/edit?usp=sharing"",""งบพรบ!EK18"")"),0)</f>
        <v>0</v>
      </c>
      <c r="O323" s="93">
        <f t="shared" ca="1" si="143"/>
        <v>0</v>
      </c>
      <c r="P323" s="93">
        <f t="shared" ca="1" si="144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18" t="s">
        <v>38</v>
      </c>
      <c r="E324" s="173"/>
      <c r="F324" s="173"/>
      <c r="G324" s="174"/>
      <c r="H324" s="726"/>
      <c r="I324" s="184"/>
      <c r="J324" s="269"/>
      <c r="K324" s="465"/>
      <c r="L324" s="465"/>
      <c r="M324" s="465"/>
      <c r="N324" s="465"/>
      <c r="O324" s="163"/>
      <c r="P324" s="163"/>
    </row>
    <row r="325" spans="1:26" ht="18.75" hidden="1">
      <c r="A325" s="170"/>
      <c r="B325" s="171"/>
      <c r="C325" s="171"/>
      <c r="D325" s="343" t="s">
        <v>147</v>
      </c>
      <c r="E325" s="342"/>
      <c r="F325" s="415"/>
      <c r="G325" s="179"/>
      <c r="H325" s="589" t="s">
        <v>146</v>
      </c>
      <c r="I325" s="269">
        <f ca="1">IFERROR(__xludf.DUMMYFUNCTION("IMPORTRANGE(""https://docs.google.com/spreadsheets/d/1QqKyyYR6Q21VydFLVH3TRQUabQu_ym0Zz7PgGX0-kHA/edit?usp=sharing"",""แผน!EF18"")"),0)</f>
        <v>0</v>
      </c>
      <c r="J325" s="214">
        <v>0</v>
      </c>
      <c r="K325" s="465">
        <f ca="1">IF(I325&gt;0,J325*100/I325,0)</f>
        <v>0</v>
      </c>
      <c r="L325" s="465"/>
      <c r="M325" s="465"/>
      <c r="N325" s="465"/>
      <c r="O325" s="163"/>
      <c r="P325" s="163"/>
    </row>
    <row r="326" spans="1:26" ht="19.5">
      <c r="A326" s="400" t="s">
        <v>148</v>
      </c>
      <c r="B326" s="401"/>
      <c r="C326" s="401"/>
      <c r="D326" s="402"/>
      <c r="E326" s="401"/>
      <c r="F326" s="401"/>
      <c r="G326" s="401"/>
      <c r="H326" s="417"/>
      <c r="I326" s="405"/>
      <c r="J326" s="405"/>
      <c r="K326" s="406"/>
      <c r="L326" s="406"/>
      <c r="M326" s="406"/>
      <c r="N326" s="406"/>
      <c r="O326" s="406"/>
      <c r="P326" s="406"/>
    </row>
    <row r="327" spans="1:26" ht="19.5">
      <c r="A327" s="407"/>
      <c r="B327" s="408" t="s">
        <v>149</v>
      </c>
      <c r="C327" s="420"/>
      <c r="D327" s="409"/>
      <c r="E327" s="409"/>
      <c r="F327" s="409"/>
      <c r="G327" s="410"/>
      <c r="H327" s="411" t="s">
        <v>35</v>
      </c>
      <c r="I327" s="412">
        <f ca="1">IFERROR(__xludf.DUMMYFUNCTION("IMPORTRANGE(""https://docs.google.com/spreadsheets/d/1QqKyyYR6Q21VydFLVH3TRQUabQu_ym0Zz7PgGX0-kHA/edit?usp=sharing"",""แผน!EG18"")"),3500)</f>
        <v>3500</v>
      </c>
      <c r="J327" s="412">
        <f ca="1">J338+J341+J342+J343</f>
        <v>916</v>
      </c>
      <c r="K327" s="413">
        <f ca="1">IF(I327&gt;0,J327*100/I327,0)</f>
        <v>26.171428571428571</v>
      </c>
      <c r="L327" s="414"/>
      <c r="M327" s="414"/>
      <c r="N327" s="414"/>
      <c r="O327" s="414"/>
      <c r="P327" s="414"/>
    </row>
    <row r="328" spans="1:26" ht="19.5">
      <c r="A328" s="147"/>
      <c r="B328" s="148"/>
      <c r="C328" s="149" t="s">
        <v>16</v>
      </c>
      <c r="D328" s="817" t="s">
        <v>17</v>
      </c>
      <c r="E328" s="148"/>
      <c r="F328" s="148"/>
      <c r="G328" s="151"/>
      <c r="H328" s="152" t="s">
        <v>12</v>
      </c>
      <c r="I328" s="388"/>
      <c r="J328" s="388"/>
      <c r="K328" s="154"/>
      <c r="L328" s="155">
        <f t="shared" ref="L328:N328" ca="1" si="148">L329+L330</f>
        <v>177000</v>
      </c>
      <c r="M328" s="155">
        <f t="shared" ca="1" si="148"/>
        <v>88500</v>
      </c>
      <c r="N328" s="155">
        <f t="shared" ca="1" si="148"/>
        <v>15440</v>
      </c>
      <c r="O328" s="155">
        <f t="shared" ref="O328:O336" ca="1" si="149">IF(L328&gt;0,N328*100/L328,0)</f>
        <v>8.72316384180791</v>
      </c>
      <c r="P328" s="155">
        <f t="shared" ref="P328:P336" ca="1" si="150">IF(M328&gt;0,N328*100/M328,0)</f>
        <v>17.44632768361582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2" t="s">
        <v>18</v>
      </c>
      <c r="F329" s="40"/>
      <c r="G329" s="157"/>
      <c r="H329" s="158" t="s">
        <v>12</v>
      </c>
      <c r="I329" s="583"/>
      <c r="J329" s="583"/>
      <c r="K329" s="93"/>
      <c r="L329" s="93">
        <f t="shared" ref="L329:N330" si="151">L332+L335</f>
        <v>0</v>
      </c>
      <c r="M329" s="93">
        <f t="shared" si="151"/>
        <v>0</v>
      </c>
      <c r="N329" s="93">
        <f t="shared" si="151"/>
        <v>0</v>
      </c>
      <c r="O329" s="93">
        <f t="shared" si="149"/>
        <v>0</v>
      </c>
      <c r="P329" s="93">
        <f t="shared" si="150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2" t="s">
        <v>19</v>
      </c>
      <c r="F330" s="40"/>
      <c r="G330" s="157"/>
      <c r="H330" s="158" t="s">
        <v>12</v>
      </c>
      <c r="I330" s="583"/>
      <c r="J330" s="583"/>
      <c r="K330" s="93"/>
      <c r="L330" s="93">
        <f t="shared" ca="1" si="151"/>
        <v>177000</v>
      </c>
      <c r="M330" s="93">
        <f t="shared" ca="1" si="151"/>
        <v>88500</v>
      </c>
      <c r="N330" s="93">
        <f t="shared" ca="1" si="151"/>
        <v>15440</v>
      </c>
      <c r="O330" s="93">
        <f t="shared" ca="1" si="149"/>
        <v>8.72316384180791</v>
      </c>
      <c r="P330" s="93">
        <f t="shared" ca="1" si="150"/>
        <v>17.44632768361582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1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65">
        <f t="shared" ref="L331:N331" ca="1" si="152">L332+L333</f>
        <v>177000</v>
      </c>
      <c r="M331" s="465">
        <f t="shared" ca="1" si="152"/>
        <v>88500</v>
      </c>
      <c r="N331" s="465">
        <f t="shared" ca="1" si="152"/>
        <v>15440</v>
      </c>
      <c r="O331" s="465">
        <f t="shared" ca="1" si="149"/>
        <v>8.72316384180791</v>
      </c>
      <c r="P331" s="465">
        <f t="shared" ca="1" si="150"/>
        <v>17.44632768361582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2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49"/>
        <v>0</v>
      </c>
      <c r="P332" s="93">
        <f t="shared" si="150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2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IFERROR(__xludf.DUMMYFUNCTION("IMPORTRANGE(""https://docs.google.com/spreadsheets/d/1MeEWN-I1oV_STSDYn1IFDPWt_1FKiwhDph83XaGc0o0/edit?usp=sharing"",""งบพรบ!EM18"")"),177000)</f>
        <v>177000</v>
      </c>
      <c r="M333" s="93">
        <f ca="1">IFERROR(__xludf.DUMMYFUNCTION("IMPORTRANGE(""https://docs.google.com/spreadsheets/d/1MeEWN-I1oV_STSDYn1IFDPWt_1FKiwhDph83XaGc0o0/edit?usp=sharing"",""งบพรบ!ER18"")"),88500)</f>
        <v>88500</v>
      </c>
      <c r="N333" s="93">
        <f ca="1">IFERROR(__xludf.DUMMYFUNCTION("IMPORTRANGE(""https://docs.google.com/spreadsheets/d/1MeEWN-I1oV_STSDYn1IFDPWt_1FKiwhDph83XaGc0o0/edit?usp=sharing"",""งบพรบ!ET18"")"),15440)</f>
        <v>15440</v>
      </c>
      <c r="O333" s="93">
        <f t="shared" ca="1" si="149"/>
        <v>8.72316384180791</v>
      </c>
      <c r="P333" s="93">
        <f t="shared" ca="1" si="150"/>
        <v>17.44632768361582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1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65">
        <f t="shared" ref="L334:N334" ca="1" si="153">L335+L336</f>
        <v>0</v>
      </c>
      <c r="M334" s="465">
        <f t="shared" ca="1" si="153"/>
        <v>0</v>
      </c>
      <c r="N334" s="465">
        <f t="shared" ca="1" si="153"/>
        <v>0</v>
      </c>
      <c r="O334" s="465">
        <f t="shared" ca="1" si="149"/>
        <v>0</v>
      </c>
      <c r="P334" s="465">
        <f t="shared" ca="1" si="150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2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49"/>
        <v>0</v>
      </c>
      <c r="P335" s="93">
        <f t="shared" si="150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2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IFERROR(__xludf.DUMMYFUNCTION("IMPORTRANGE(""https://docs.google.com/spreadsheets/d/1MeEWN-I1oV_STSDYn1IFDPWt_1FKiwhDph83XaGc0o0/edit?usp=sharing"",""งบพรบ!EP18"")"),0)</f>
        <v>0</v>
      </c>
      <c r="M336" s="93">
        <f ca="1">IFERROR(__xludf.DUMMYFUNCTION("IMPORTRANGE(""https://docs.google.com/spreadsheets/d/1MeEWN-I1oV_STSDYn1IFDPWt_1FKiwhDph83XaGc0o0/edit?usp=sharing"",""งบพรบ!ES18"")"),0)</f>
        <v>0</v>
      </c>
      <c r="N336" s="93">
        <f ca="1">IFERROR(__xludf.DUMMYFUNCTION("IMPORTRANGE(""https://docs.google.com/spreadsheets/d/1MeEWN-I1oV_STSDYn1IFDPWt_1FKiwhDph83XaGc0o0/edit?usp=sharing"",""งบพรบ!EU18"")"),0)</f>
        <v>0</v>
      </c>
      <c r="O336" s="93">
        <f t="shared" ca="1" si="149"/>
        <v>0</v>
      </c>
      <c r="P336" s="93">
        <f t="shared" ca="1" si="150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18" t="s">
        <v>38</v>
      </c>
      <c r="E337" s="173"/>
      <c r="F337" s="173"/>
      <c r="G337" s="174"/>
      <c r="H337" s="726"/>
      <c r="I337" s="184"/>
      <c r="J337" s="269"/>
      <c r="K337" s="465"/>
      <c r="L337" s="465"/>
      <c r="M337" s="465"/>
      <c r="N337" s="465"/>
      <c r="O337" s="163"/>
      <c r="P337" s="163"/>
    </row>
    <row r="338" spans="1:26" ht="18.75">
      <c r="A338" s="283"/>
      <c r="B338" s="33"/>
      <c r="C338" s="280"/>
      <c r="D338" s="415" t="s">
        <v>150</v>
      </c>
      <c r="E338" s="171"/>
      <c r="F338" s="33"/>
      <c r="G338" s="35"/>
      <c r="H338" s="276" t="s">
        <v>35</v>
      </c>
      <c r="I338" s="269">
        <f ca="1">IFERROR(__xludf.DUMMYFUNCTION("IMPORTRANGE(""https://docs.google.com/spreadsheets/d/1QqKyyYR6Q21VydFLVH3TRQUabQu_ym0Zz7PgGX0-kHA/edit?usp=sharing"",""แผน!EG18"")"),3500)</f>
        <v>3500</v>
      </c>
      <c r="J338" s="269">
        <f ca="1">IFERROR(__xludf.DUMMYFUNCTION("IMPORTRANGE(""https://docs.google.com/spreadsheets/d/1kVcqe37tkHyjCSG3S0O1AXqVkqjo8mSIZil3BcpIysc/edit?usp=sharing"",""ศูนย์!D18"")"),786)</f>
        <v>786</v>
      </c>
      <c r="K338" s="465">
        <f ca="1">IF(I338&gt;0,J338*100/I338,0)</f>
        <v>22.457142857142856</v>
      </c>
      <c r="L338" s="465"/>
      <c r="M338" s="465"/>
      <c r="N338" s="465"/>
      <c r="O338" s="465"/>
      <c r="P338" s="465"/>
    </row>
    <row r="339" spans="1:26" ht="18.75">
      <c r="A339" s="283"/>
      <c r="B339" s="33"/>
      <c r="C339" s="280"/>
      <c r="D339" s="415" t="s">
        <v>151</v>
      </c>
      <c r="E339" s="171"/>
      <c r="F339" s="33"/>
      <c r="G339" s="35"/>
      <c r="H339" s="276"/>
      <c r="I339" s="269"/>
      <c r="J339" s="269"/>
      <c r="K339" s="465"/>
      <c r="L339" s="465"/>
      <c r="M339" s="465"/>
      <c r="N339" s="465"/>
      <c r="O339" s="465"/>
      <c r="P339" s="465"/>
    </row>
    <row r="340" spans="1:26" ht="18.75">
      <c r="A340" s="283"/>
      <c r="B340" s="33"/>
      <c r="C340" s="280"/>
      <c r="D340" s="342"/>
      <c r="E340" s="415" t="s">
        <v>152</v>
      </c>
      <c r="F340" s="33"/>
      <c r="G340" s="35"/>
      <c r="H340" s="276" t="s">
        <v>153</v>
      </c>
      <c r="I340" s="269">
        <f ca="1">IFERROR(__xludf.DUMMYFUNCTION("IMPORTRANGE(""https://docs.google.com/spreadsheets/d/1QqKyyYR6Q21VydFLVH3TRQUabQu_ym0Zz7PgGX0-kHA/edit?usp=sharing"",""แผน!EH18"")"),7)</f>
        <v>7</v>
      </c>
      <c r="J340" s="269">
        <f ca="1">IFERROR(__xludf.DUMMYFUNCTION("IMPORTRANGE(""https://docs.google.com/spreadsheets/d/1kVcqe37tkHyjCSG3S0O1AXqVkqjo8mSIZil3BcpIysc/edit?usp=sharing"",""ศูนย์!E18"")"),2)</f>
        <v>2</v>
      </c>
      <c r="K340" s="465">
        <f ca="1">IF(I340&gt;0,J340*100/I340,0)</f>
        <v>28.571428571428573</v>
      </c>
      <c r="L340" s="465"/>
      <c r="M340" s="465"/>
      <c r="N340" s="465"/>
      <c r="O340" s="465"/>
      <c r="P340" s="465"/>
    </row>
    <row r="341" spans="1:26" ht="18.75">
      <c r="A341" s="283"/>
      <c r="B341" s="33"/>
      <c r="C341" s="280"/>
      <c r="D341" s="342"/>
      <c r="E341" s="415" t="s">
        <v>154</v>
      </c>
      <c r="F341" s="33"/>
      <c r="G341" s="35"/>
      <c r="H341" s="276" t="s">
        <v>35</v>
      </c>
      <c r="I341" s="269"/>
      <c r="J341" s="269">
        <f ca="1">IFERROR(__xludf.DUMMYFUNCTION("IMPORTRANGE(""https://docs.google.com/spreadsheets/d/1kVcqe37tkHyjCSG3S0O1AXqVkqjo8mSIZil3BcpIysc/edit?usp=sharing"",""ศูนย์!F18"")"),127)</f>
        <v>127</v>
      </c>
      <c r="K341" s="465"/>
      <c r="L341" s="465"/>
      <c r="M341" s="465"/>
      <c r="N341" s="465"/>
      <c r="O341" s="465"/>
      <c r="P341" s="465"/>
    </row>
    <row r="342" spans="1:26" ht="18.75">
      <c r="A342" s="283"/>
      <c r="B342" s="33"/>
      <c r="C342" s="280"/>
      <c r="D342" s="415" t="s">
        <v>155</v>
      </c>
      <c r="E342" s="342"/>
      <c r="F342" s="342"/>
      <c r="G342" s="35"/>
      <c r="H342" s="276" t="s">
        <v>35</v>
      </c>
      <c r="I342" s="269"/>
      <c r="J342" s="269">
        <f ca="1">IFERROR(__xludf.DUMMYFUNCTION("IMPORTRANGE(""https://docs.google.com/spreadsheets/d/1kVcqe37tkHyjCSG3S0O1AXqVkqjo8mSIZil3BcpIysc/edit?usp=sharing"",""ศูนย์!G18"")"),3)</f>
        <v>3</v>
      </c>
      <c r="K342" s="465"/>
      <c r="L342" s="465"/>
      <c r="M342" s="465"/>
      <c r="N342" s="465"/>
      <c r="O342" s="465"/>
      <c r="P342" s="465"/>
    </row>
    <row r="343" spans="1:26" ht="18.75">
      <c r="A343" s="283"/>
      <c r="B343" s="33"/>
      <c r="C343" s="280"/>
      <c r="D343" s="415" t="s">
        <v>156</v>
      </c>
      <c r="E343" s="342"/>
      <c r="F343" s="342"/>
      <c r="G343" s="35"/>
      <c r="H343" s="276" t="s">
        <v>35</v>
      </c>
      <c r="I343" s="269"/>
      <c r="J343" s="269">
        <f ca="1">IFERROR(__xludf.DUMMYFUNCTION("IMPORTRANGE(""https://docs.google.com/spreadsheets/d/1kVcqe37tkHyjCSG3S0O1AXqVkqjo8mSIZil3BcpIysc/edit?usp=sharing"",""ศูนย์!H18"")"),0)</f>
        <v>0</v>
      </c>
      <c r="K343" s="465"/>
      <c r="L343" s="465"/>
      <c r="M343" s="465"/>
      <c r="N343" s="465"/>
      <c r="O343" s="465"/>
      <c r="P343" s="465"/>
    </row>
    <row r="344" spans="1:26" ht="19.5">
      <c r="A344" s="407"/>
      <c r="B344" s="408" t="s">
        <v>157</v>
      </c>
      <c r="C344" s="420"/>
      <c r="D344" s="409"/>
      <c r="E344" s="409"/>
      <c r="F344" s="409"/>
      <c r="G344" s="410"/>
      <c r="H344" s="411"/>
      <c r="I344" s="421"/>
      <c r="J344" s="421"/>
      <c r="K344" s="414"/>
      <c r="L344" s="414"/>
      <c r="M344" s="414"/>
      <c r="N344" s="414"/>
      <c r="O344" s="414"/>
      <c r="P344" s="414"/>
    </row>
    <row r="345" spans="1:26" ht="19.5">
      <c r="A345" s="147"/>
      <c r="B345" s="148"/>
      <c r="C345" s="149" t="s">
        <v>16</v>
      </c>
      <c r="D345" s="817" t="s">
        <v>17</v>
      </c>
      <c r="E345" s="148"/>
      <c r="F345" s="148"/>
      <c r="G345" s="151"/>
      <c r="H345" s="152" t="s">
        <v>12</v>
      </c>
      <c r="I345" s="388"/>
      <c r="J345" s="388"/>
      <c r="K345" s="154"/>
      <c r="L345" s="155">
        <f t="shared" ref="L345:N345" ca="1" si="154">L346+L347</f>
        <v>809950</v>
      </c>
      <c r="M345" s="155">
        <f t="shared" ca="1" si="154"/>
        <v>476680</v>
      </c>
      <c r="N345" s="155">
        <f t="shared" ca="1" si="154"/>
        <v>220190</v>
      </c>
      <c r="O345" s="155">
        <f t="shared" ref="O345:O353" ca="1" si="155">IF(L345&gt;0,N345*100/L345,0)</f>
        <v>27.185628742514972</v>
      </c>
      <c r="P345" s="155">
        <f t="shared" ref="P345:P353" ca="1" si="156">IF(M345&gt;0,N345*100/M345,0)</f>
        <v>46.192414198204247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2" t="s">
        <v>18</v>
      </c>
      <c r="F346" s="40"/>
      <c r="G346" s="157"/>
      <c r="H346" s="158" t="s">
        <v>12</v>
      </c>
      <c r="I346" s="583"/>
      <c r="J346" s="583"/>
      <c r="K346" s="93"/>
      <c r="L346" s="93">
        <f t="shared" ref="L346:N347" si="157">L349+L352</f>
        <v>0</v>
      </c>
      <c r="M346" s="93">
        <f t="shared" si="157"/>
        <v>0</v>
      </c>
      <c r="N346" s="93">
        <f t="shared" si="157"/>
        <v>0</v>
      </c>
      <c r="O346" s="93">
        <f t="shared" si="155"/>
        <v>0</v>
      </c>
      <c r="P346" s="93">
        <f t="shared" si="156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2" t="s">
        <v>19</v>
      </c>
      <c r="F347" s="40"/>
      <c r="G347" s="157"/>
      <c r="H347" s="158" t="s">
        <v>12</v>
      </c>
      <c r="I347" s="583"/>
      <c r="J347" s="583"/>
      <c r="K347" s="93"/>
      <c r="L347" s="93">
        <f t="shared" ca="1" si="157"/>
        <v>809950</v>
      </c>
      <c r="M347" s="93">
        <f t="shared" ca="1" si="157"/>
        <v>476680</v>
      </c>
      <c r="N347" s="93">
        <f t="shared" ca="1" si="157"/>
        <v>220190</v>
      </c>
      <c r="O347" s="93">
        <f t="shared" ca="1" si="155"/>
        <v>27.185628742514972</v>
      </c>
      <c r="P347" s="93">
        <f t="shared" ca="1" si="156"/>
        <v>46.192414198204247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1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65">
        <f t="shared" ref="L348:N348" ca="1" si="158">L349+L350</f>
        <v>638950</v>
      </c>
      <c r="M348" s="465">
        <f t="shared" ca="1" si="158"/>
        <v>319480</v>
      </c>
      <c r="N348" s="465">
        <f t="shared" ca="1" si="158"/>
        <v>62990</v>
      </c>
      <c r="O348" s="465">
        <f t="shared" ca="1" si="155"/>
        <v>9.8583613741294318</v>
      </c>
      <c r="P348" s="465">
        <f t="shared" ca="1" si="156"/>
        <v>19.716414173031175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2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5"/>
        <v>0</v>
      </c>
      <c r="P349" s="93">
        <f t="shared" si="156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2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IFERROR(__xludf.DUMMYFUNCTION("IMPORTRANGE(""https://docs.google.com/spreadsheets/d/1MeEWN-I1oV_STSDYn1IFDPWt_1FKiwhDph83XaGc0o0/edit?usp=sharing"",""งบพรบ!EW18"")"),638950)</f>
        <v>638950</v>
      </c>
      <c r="M350" s="93">
        <f ca="1">IFERROR(__xludf.DUMMYFUNCTION("IMPORTRANGE(""https://docs.google.com/spreadsheets/d/1MeEWN-I1oV_STSDYn1IFDPWt_1FKiwhDph83XaGc0o0/edit?usp=sharing"",""งบพรบ!FB18"")"),319480)</f>
        <v>319480</v>
      </c>
      <c r="N350" s="93">
        <f ca="1">IFERROR(__xludf.DUMMYFUNCTION("IMPORTRANGE(""https://docs.google.com/spreadsheets/d/1MeEWN-I1oV_STSDYn1IFDPWt_1FKiwhDph83XaGc0o0/edit?usp=sharing"",""งบพรบ!FD18"")"),62990)</f>
        <v>62990</v>
      </c>
      <c r="O350" s="93">
        <f t="shared" ca="1" si="155"/>
        <v>9.8583613741294318</v>
      </c>
      <c r="P350" s="93">
        <f t="shared" ca="1" si="156"/>
        <v>19.716414173031175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1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65">
        <f t="shared" ref="L351:N351" ca="1" si="159">L352+L353</f>
        <v>171000</v>
      </c>
      <c r="M351" s="465">
        <f t="shared" ca="1" si="159"/>
        <v>157200</v>
      </c>
      <c r="N351" s="465">
        <f t="shared" ca="1" si="159"/>
        <v>157200</v>
      </c>
      <c r="O351" s="465">
        <f t="shared" ca="1" si="155"/>
        <v>91.929824561403507</v>
      </c>
      <c r="P351" s="465">
        <f t="shared" ca="1" si="156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2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5"/>
        <v>0</v>
      </c>
      <c r="P352" s="93">
        <f t="shared" si="156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2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IFERROR(__xludf.DUMMYFUNCTION("IMPORTRANGE(""https://docs.google.com/spreadsheets/d/1MeEWN-I1oV_STSDYn1IFDPWt_1FKiwhDph83XaGc0o0/edit?usp=sharing"",""งบพรบ!EZ18"")"),171000)</f>
        <v>171000</v>
      </c>
      <c r="M353" s="93">
        <f ca="1">IFERROR(__xludf.DUMMYFUNCTION("IMPORTRANGE(""https://docs.google.com/spreadsheets/d/1MeEWN-I1oV_STSDYn1IFDPWt_1FKiwhDph83XaGc0o0/edit?usp=sharing"",""งบพรบ!FC18"")"),157200)</f>
        <v>157200</v>
      </c>
      <c r="N353" s="93">
        <f ca="1">IFERROR(__xludf.DUMMYFUNCTION("IMPORTRANGE(""https://docs.google.com/spreadsheets/d/1MeEWN-I1oV_STSDYn1IFDPWt_1FKiwhDph83XaGc0o0/edit?usp=sharing"",""งบพรบ!FE18"")"),157200)</f>
        <v>157200</v>
      </c>
      <c r="O353" s="93">
        <f t="shared" ca="1" si="155"/>
        <v>91.929824561403507</v>
      </c>
      <c r="P353" s="93">
        <f t="shared" ca="1" si="156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5"/>
      <c r="B354" s="263"/>
      <c r="C354" s="256"/>
      <c r="D354" s="845" t="s">
        <v>158</v>
      </c>
      <c r="E354" s="256"/>
      <c r="F354" s="256"/>
      <c r="G354" s="258"/>
      <c r="H354" s="423"/>
      <c r="I354" s="260"/>
      <c r="J354" s="260"/>
      <c r="K354" s="261"/>
      <c r="L354" s="261"/>
      <c r="M354" s="261"/>
      <c r="N354" s="261"/>
      <c r="O354" s="261"/>
      <c r="P354" s="261"/>
    </row>
    <row r="355" spans="1:26" ht="19.5">
      <c r="A355" s="424"/>
      <c r="B355" s="425"/>
      <c r="C355" s="426"/>
      <c r="D355" s="846" t="s">
        <v>159</v>
      </c>
      <c r="E355" s="428"/>
      <c r="F355" s="428"/>
      <c r="G355" s="429"/>
      <c r="H355" s="430" t="s">
        <v>35</v>
      </c>
      <c r="I355" s="432">
        <f ca="1">IFERROR(__xludf.DUMMYFUNCTION("IMPORTRANGE(""https://docs.google.com/spreadsheets/d/1QqKyyYR6Q21VydFLVH3TRQUabQu_ym0Zz7PgGX0-kHA/edit?usp=sharing"",""แผน!EP18"")"),380)</f>
        <v>380</v>
      </c>
      <c r="J355" s="432">
        <f ca="1">J362</f>
        <v>0</v>
      </c>
      <c r="K355" s="433">
        <f ca="1">IF(I355&gt;0,J355*100/I355,0)</f>
        <v>0</v>
      </c>
      <c r="L355" s="434"/>
      <c r="M355" s="434"/>
      <c r="N355" s="434"/>
      <c r="O355" s="434"/>
      <c r="P355" s="434"/>
    </row>
    <row r="356" spans="1:26" ht="19.5">
      <c r="A356" s="424"/>
      <c r="B356" s="425"/>
      <c r="C356" s="426"/>
      <c r="D356" s="435" t="s">
        <v>160</v>
      </c>
      <c r="E356" s="428"/>
      <c r="F356" s="428"/>
      <c r="G356" s="429"/>
      <c r="H356" s="436"/>
      <c r="I356" s="437"/>
      <c r="J356" s="437"/>
      <c r="K356" s="434"/>
      <c r="L356" s="434"/>
      <c r="M356" s="434"/>
      <c r="N356" s="434"/>
      <c r="O356" s="434"/>
      <c r="P356" s="434"/>
    </row>
    <row r="357" spans="1:26" ht="19.5">
      <c r="A357" s="170"/>
      <c r="B357" s="171"/>
      <c r="C357" s="164" t="s">
        <v>16</v>
      </c>
      <c r="D357" s="818" t="s">
        <v>38</v>
      </c>
      <c r="E357" s="173"/>
      <c r="F357" s="173"/>
      <c r="G357" s="174"/>
      <c r="H357" s="726"/>
      <c r="I357" s="269"/>
      <c r="J357" s="269"/>
      <c r="K357" s="465"/>
      <c r="L357" s="163"/>
      <c r="M357" s="163"/>
      <c r="N357" s="163"/>
      <c r="O357" s="163"/>
      <c r="P357" s="163"/>
    </row>
    <row r="358" spans="1:26" ht="18.75">
      <c r="A358" s="170"/>
      <c r="B358" s="342"/>
      <c r="C358" s="171"/>
      <c r="D358" s="342"/>
      <c r="E358" s="343" t="s">
        <v>161</v>
      </c>
      <c r="F358" s="342"/>
      <c r="G358" s="179"/>
      <c r="H358" s="185" t="s">
        <v>35</v>
      </c>
      <c r="I358" s="269">
        <v>0</v>
      </c>
      <c r="J358" s="269">
        <f ca="1">IFERROR(__xludf.DUMMYFUNCTION("IMPORTRANGE(""https://docs.google.com/spreadsheets/d/1XWAQStnk-4SwqDmLtmXYiTMKHgktTP8We1SCoS47DrQ/edit?usp=sharing"",""จัดที่ดิน!W18"")"),32)</f>
        <v>32</v>
      </c>
      <c r="K358" s="465">
        <f t="shared" ref="K358:K365" si="160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342"/>
      <c r="C359" s="171"/>
      <c r="D359" s="342"/>
      <c r="E359" s="342"/>
      <c r="F359" s="342"/>
      <c r="G359" s="179"/>
      <c r="H359" s="185" t="s">
        <v>46</v>
      </c>
      <c r="I359" s="269">
        <f ca="1">IFERROR(__xludf.DUMMYFUNCTION("IMPORTRANGE(""https://docs.google.com/spreadsheets/d/1QqKyyYR6Q21VydFLVH3TRQUabQu_ym0Zz7PgGX0-kHA/edit?usp=sharing"",""แผน!EO18"")"),3500)</f>
        <v>3500</v>
      </c>
      <c r="J359" s="269">
        <f ca="1">IFERROR(__xludf.DUMMYFUNCTION("IMPORTRANGE(""https://docs.google.com/spreadsheets/d/1XWAQStnk-4SwqDmLtmXYiTMKHgktTP8We1SCoS47DrQ/edit?usp=sharing"",""จัดที่ดิน!X18"")"),328.33)</f>
        <v>328.33</v>
      </c>
      <c r="K359" s="465">
        <f t="shared" ca="1" si="160"/>
        <v>9.3808571428571437</v>
      </c>
      <c r="L359" s="163"/>
      <c r="M359" s="163"/>
      <c r="N359" s="163"/>
      <c r="O359" s="163"/>
      <c r="P359" s="163"/>
    </row>
    <row r="360" spans="1:26" ht="18.75">
      <c r="A360" s="170"/>
      <c r="B360" s="342"/>
      <c r="C360" s="171"/>
      <c r="D360" s="342"/>
      <c r="E360" s="343" t="s">
        <v>162</v>
      </c>
      <c r="F360" s="342"/>
      <c r="G360" s="179"/>
      <c r="H360" s="728" t="s">
        <v>35</v>
      </c>
      <c r="I360" s="269">
        <f ca="1">IFERROR(__xludf.DUMMYFUNCTION("IMPORTRANGE(""https://docs.google.com/spreadsheets/d/1QqKyyYR6Q21VydFLVH3TRQUabQu_ym0Zz7PgGX0-kHA/edit?usp=sharing"",""แผน!EP18"")"),380)</f>
        <v>380</v>
      </c>
      <c r="J360" s="269">
        <f ca="1">IFERROR(__xludf.DUMMYFUNCTION("IMPORTRANGE(""https://docs.google.com/spreadsheets/d/1XWAQStnk-4SwqDmLtmXYiTMKHgktTP8We1SCoS47DrQ/edit?usp=sharing"",""จัดที่ดิน!Y18"")"),0)</f>
        <v>0</v>
      </c>
      <c r="K360" s="465">
        <f t="shared" ca="1" si="160"/>
        <v>0</v>
      </c>
      <c r="L360" s="163"/>
      <c r="M360" s="163"/>
      <c r="N360" s="163"/>
      <c r="O360" s="163"/>
      <c r="P360" s="163"/>
    </row>
    <row r="361" spans="1:26" ht="18.75">
      <c r="A361" s="170"/>
      <c r="B361" s="342"/>
      <c r="C361" s="171"/>
      <c r="D361" s="342"/>
      <c r="E361" s="342"/>
      <c r="F361" s="342"/>
      <c r="G361" s="179"/>
      <c r="H361" s="728" t="s">
        <v>46</v>
      </c>
      <c r="I361" s="269">
        <v>0</v>
      </c>
      <c r="J361" s="269">
        <f ca="1">IFERROR(__xludf.DUMMYFUNCTION("IMPORTRANGE(""https://docs.google.com/spreadsheets/d/1XWAQStnk-4SwqDmLtmXYiTMKHgktTP8We1SCoS47DrQ/edit?usp=sharing"",""จัดที่ดิน!Z18"")"),0)</f>
        <v>0</v>
      </c>
      <c r="K361" s="465">
        <f t="shared" si="160"/>
        <v>0</v>
      </c>
      <c r="L361" s="163"/>
      <c r="M361" s="163"/>
      <c r="N361" s="163"/>
      <c r="O361" s="163"/>
      <c r="P361" s="163"/>
    </row>
    <row r="362" spans="1:26" ht="18.75">
      <c r="A362" s="170"/>
      <c r="B362" s="342"/>
      <c r="C362" s="171"/>
      <c r="D362" s="342"/>
      <c r="E362" s="343" t="s">
        <v>163</v>
      </c>
      <c r="F362" s="342"/>
      <c r="G362" s="179"/>
      <c r="H362" s="728" t="s">
        <v>35</v>
      </c>
      <c r="I362" s="269">
        <f ca="1">IFERROR(__xludf.DUMMYFUNCTION("IMPORTRANGE(""https://docs.google.com/spreadsheets/d/1QqKyyYR6Q21VydFLVH3TRQUabQu_ym0Zz7PgGX0-kHA/edit?usp=sharing"",""แผน!EP18"")"),380)</f>
        <v>380</v>
      </c>
      <c r="J362" s="269">
        <f ca="1">IFERROR(__xludf.DUMMYFUNCTION("IMPORTRANGE(""https://docs.google.com/spreadsheets/d/1XWAQStnk-4SwqDmLtmXYiTMKHgktTP8We1SCoS47DrQ/edit?usp=sharing"",""จัดที่ดิน!AA18"")"),0)</f>
        <v>0</v>
      </c>
      <c r="K362" s="465">
        <f t="shared" ca="1" si="160"/>
        <v>0</v>
      </c>
      <c r="L362" s="163"/>
      <c r="M362" s="163"/>
      <c r="N362" s="163"/>
      <c r="O362" s="163"/>
      <c r="P362" s="163"/>
    </row>
    <row r="363" spans="1:26" ht="18.75">
      <c r="A363" s="438" t="s">
        <v>164</v>
      </c>
      <c r="B363" s="342"/>
      <c r="C363" s="171"/>
      <c r="D363" s="342"/>
      <c r="E363" s="415"/>
      <c r="F363" s="342"/>
      <c r="G363" s="179"/>
      <c r="H363" s="728" t="s">
        <v>46</v>
      </c>
      <c r="I363" s="269">
        <v>0</v>
      </c>
      <c r="J363" s="269">
        <f ca="1">IFERROR(__xludf.DUMMYFUNCTION("IMPORTRANGE(""https://docs.google.com/spreadsheets/d/1XWAQStnk-4SwqDmLtmXYiTMKHgktTP8We1SCoS47DrQ/edit?usp=sharing"",""จัดที่ดิน!AB18"")"),0)</f>
        <v>0</v>
      </c>
      <c r="K363" s="465">
        <f t="shared" si="160"/>
        <v>0</v>
      </c>
      <c r="L363" s="163"/>
      <c r="M363" s="163"/>
      <c r="N363" s="163"/>
      <c r="O363" s="163"/>
      <c r="P363" s="163"/>
    </row>
    <row r="364" spans="1:26" ht="19.5">
      <c r="A364" s="439"/>
      <c r="B364" s="440"/>
      <c r="C364" s="441"/>
      <c r="D364" s="442" t="s">
        <v>165</v>
      </c>
      <c r="E364" s="443"/>
      <c r="F364" s="443"/>
      <c r="G364" s="444"/>
      <c r="H364" s="445" t="s">
        <v>35</v>
      </c>
      <c r="I364" s="446">
        <f t="shared" ref="I364:J364" ca="1" si="161">I365+I374</f>
        <v>780</v>
      </c>
      <c r="J364" s="446">
        <f t="shared" ca="1" si="161"/>
        <v>0</v>
      </c>
      <c r="K364" s="447">
        <f t="shared" ca="1" si="160"/>
        <v>0</v>
      </c>
      <c r="L364" s="448"/>
      <c r="M364" s="448"/>
      <c r="N364" s="448"/>
      <c r="O364" s="448"/>
      <c r="P364" s="448"/>
      <c r="Q364" s="449"/>
      <c r="R364" s="449"/>
      <c r="S364" s="449"/>
      <c r="T364" s="449"/>
      <c r="U364" s="449"/>
      <c r="V364" s="449"/>
      <c r="W364" s="449"/>
      <c r="X364" s="449"/>
      <c r="Y364" s="449"/>
      <c r="Z364" s="449"/>
    </row>
    <row r="365" spans="1:26" ht="19.5">
      <c r="A365" s="450"/>
      <c r="B365" s="451"/>
      <c r="C365" s="453"/>
      <c r="D365" s="453" t="s">
        <v>166</v>
      </c>
      <c r="E365" s="454"/>
      <c r="F365" s="454"/>
      <c r="G365" s="455"/>
      <c r="H365" s="456" t="s">
        <v>35</v>
      </c>
      <c r="I365" s="458">
        <f ca="1">IFERROR(__xludf.DUMMYFUNCTION("IMPORTRANGE(""https://docs.google.com/spreadsheets/d/1QqKyyYR6Q21VydFLVH3TRQUabQu_ym0Zz7PgGX0-kHA/edit?usp=sharing"",""แผน!EJ18"")"),200)</f>
        <v>200</v>
      </c>
      <c r="J365" s="458">
        <f ca="1">J372</f>
        <v>0</v>
      </c>
      <c r="K365" s="459">
        <f t="shared" ca="1" si="160"/>
        <v>0</v>
      </c>
      <c r="L365" s="460"/>
      <c r="M365" s="460"/>
      <c r="N365" s="460"/>
      <c r="O365" s="460"/>
      <c r="P365" s="460"/>
      <c r="Q365" s="449"/>
      <c r="R365" s="449"/>
      <c r="S365" s="449"/>
      <c r="T365" s="449"/>
      <c r="U365" s="449"/>
      <c r="V365" s="449"/>
      <c r="W365" s="449"/>
      <c r="X365" s="449"/>
      <c r="Y365" s="449"/>
      <c r="Z365" s="449"/>
    </row>
    <row r="366" spans="1:26" ht="19.5">
      <c r="A366" s="450"/>
      <c r="B366" s="451"/>
      <c r="C366" s="453"/>
      <c r="D366" s="461" t="s">
        <v>167</v>
      </c>
      <c r="E366" s="454"/>
      <c r="F366" s="454"/>
      <c r="G366" s="455"/>
      <c r="H366" s="462"/>
      <c r="I366" s="463"/>
      <c r="J366" s="463"/>
      <c r="K366" s="460"/>
      <c r="L366" s="460"/>
      <c r="M366" s="460"/>
      <c r="N366" s="460"/>
      <c r="O366" s="460"/>
      <c r="P366" s="460"/>
      <c r="Q366" s="449"/>
      <c r="R366" s="449"/>
      <c r="S366" s="449"/>
      <c r="T366" s="449"/>
      <c r="U366" s="449"/>
      <c r="V366" s="449"/>
      <c r="W366" s="449"/>
      <c r="X366" s="449"/>
      <c r="Y366" s="449"/>
      <c r="Z366" s="449"/>
    </row>
    <row r="367" spans="1:26" ht="19.5">
      <c r="A367" s="170"/>
      <c r="B367" s="171"/>
      <c r="C367" s="164" t="s">
        <v>16</v>
      </c>
      <c r="D367" s="818" t="s">
        <v>38</v>
      </c>
      <c r="E367" s="173"/>
      <c r="F367" s="173"/>
      <c r="G367" s="174"/>
      <c r="H367" s="726"/>
      <c r="I367" s="269"/>
      <c r="J367" s="269"/>
      <c r="K367" s="465"/>
      <c r="L367" s="163"/>
      <c r="M367" s="163"/>
      <c r="N367" s="163"/>
      <c r="O367" s="163"/>
      <c r="P367" s="163"/>
    </row>
    <row r="368" spans="1:26" ht="18.75">
      <c r="A368" s="170"/>
      <c r="B368" s="342"/>
      <c r="C368" s="171"/>
      <c r="D368" s="342"/>
      <c r="E368" s="343" t="s">
        <v>161</v>
      </c>
      <c r="F368" s="342"/>
      <c r="G368" s="179"/>
      <c r="H368" s="185" t="s">
        <v>35</v>
      </c>
      <c r="I368" s="269">
        <v>0</v>
      </c>
      <c r="J368" s="269">
        <f ca="1">IFERROR(__xludf.DUMMYFUNCTION("IMPORTRANGE(""https://docs.google.com/spreadsheets/d/1XWAQStnk-4SwqDmLtmXYiTMKHgktTP8We1SCoS47DrQ/edit?usp=sharing"",""จัดที่ดิน!E18"")"),16)</f>
        <v>16</v>
      </c>
      <c r="K368" s="465">
        <f t="shared" ref="K368:K374" si="162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342"/>
      <c r="C369" s="171"/>
      <c r="D369" s="342"/>
      <c r="E369" s="342"/>
      <c r="F369" s="342"/>
      <c r="G369" s="179"/>
      <c r="H369" s="185" t="s">
        <v>46</v>
      </c>
      <c r="I369" s="269">
        <f ca="1">IFERROR(__xludf.DUMMYFUNCTION("IMPORTRANGE(""https://docs.google.com/spreadsheets/d/1QqKyyYR6Q21VydFLVH3TRQUabQu_ym0Zz7PgGX0-kHA/edit?usp=sharing"",""แผน!EI18"")"),2000)</f>
        <v>2000</v>
      </c>
      <c r="J369" s="269">
        <f ca="1">IFERROR(__xludf.DUMMYFUNCTION("IMPORTRANGE(""https://docs.google.com/spreadsheets/d/1XWAQStnk-4SwqDmLtmXYiTMKHgktTP8We1SCoS47DrQ/edit?usp=sharing"",""จัดที่ดิน!F18"")"),156.71)</f>
        <v>156.71</v>
      </c>
      <c r="K369" s="465">
        <f t="shared" ca="1" si="162"/>
        <v>7.8354999999999997</v>
      </c>
      <c r="L369" s="163"/>
      <c r="M369" s="163"/>
      <c r="N369" s="163"/>
      <c r="O369" s="163"/>
      <c r="P369" s="163"/>
    </row>
    <row r="370" spans="1:26" ht="18.75">
      <c r="A370" s="170"/>
      <c r="B370" s="342"/>
      <c r="C370" s="171"/>
      <c r="D370" s="342"/>
      <c r="E370" s="343" t="s">
        <v>162</v>
      </c>
      <c r="F370" s="342"/>
      <c r="G370" s="179"/>
      <c r="H370" s="728" t="s">
        <v>35</v>
      </c>
      <c r="I370" s="269">
        <f ca="1">IFERROR(__xludf.DUMMYFUNCTION("IMPORTRANGE(""https://docs.google.com/spreadsheets/d/1QqKyyYR6Q21VydFLVH3TRQUabQu_ym0Zz7PgGX0-kHA/edit?usp=sharing"",""แผน!EJ18"")"),200)</f>
        <v>200</v>
      </c>
      <c r="J370" s="269">
        <f ca="1">IFERROR(__xludf.DUMMYFUNCTION("IMPORTRANGE(""https://docs.google.com/spreadsheets/d/1XWAQStnk-4SwqDmLtmXYiTMKHgktTP8We1SCoS47DrQ/edit?usp=sharing"",""จัดที่ดิน!G18"")"),0)</f>
        <v>0</v>
      </c>
      <c r="K370" s="465">
        <f t="shared" ca="1" si="162"/>
        <v>0</v>
      </c>
      <c r="L370" s="163"/>
      <c r="M370" s="163"/>
      <c r="N370" s="163"/>
      <c r="O370" s="163"/>
      <c r="P370" s="163"/>
    </row>
    <row r="371" spans="1:26" ht="18.75">
      <c r="A371" s="170"/>
      <c r="B371" s="342"/>
      <c r="C371" s="171"/>
      <c r="D371" s="342"/>
      <c r="E371" s="342"/>
      <c r="F371" s="342"/>
      <c r="G371" s="179"/>
      <c r="H371" s="728" t="s">
        <v>46</v>
      </c>
      <c r="I371" s="269">
        <v>0</v>
      </c>
      <c r="J371" s="269">
        <f ca="1">IFERROR(__xludf.DUMMYFUNCTION("IMPORTRANGE(""https://docs.google.com/spreadsheets/d/1XWAQStnk-4SwqDmLtmXYiTMKHgktTP8We1SCoS47DrQ/edit?usp=sharing"",""จัดที่ดิน!H18"")"),0)</f>
        <v>0</v>
      </c>
      <c r="K371" s="465">
        <f t="shared" si="162"/>
        <v>0</v>
      </c>
      <c r="L371" s="163"/>
      <c r="M371" s="163"/>
      <c r="N371" s="163"/>
      <c r="O371" s="163"/>
      <c r="P371" s="163"/>
    </row>
    <row r="372" spans="1:26" ht="18.75">
      <c r="A372" s="170"/>
      <c r="B372" s="342"/>
      <c r="C372" s="171"/>
      <c r="D372" s="342"/>
      <c r="E372" s="343" t="s">
        <v>163</v>
      </c>
      <c r="F372" s="342"/>
      <c r="G372" s="179"/>
      <c r="H372" s="728" t="s">
        <v>35</v>
      </c>
      <c r="I372" s="269">
        <f ca="1">IFERROR(__xludf.DUMMYFUNCTION("IMPORTRANGE(""https://docs.google.com/spreadsheets/d/1QqKyyYR6Q21VydFLVH3TRQUabQu_ym0Zz7PgGX0-kHA/edit?usp=sharing"",""แผน!EJ18"")"),200)</f>
        <v>200</v>
      </c>
      <c r="J372" s="269">
        <f ca="1">IFERROR(__xludf.DUMMYFUNCTION("IMPORTRANGE(""https://docs.google.com/spreadsheets/d/1XWAQStnk-4SwqDmLtmXYiTMKHgktTP8We1SCoS47DrQ/edit?usp=sharing"",""จัดที่ดิน!I18"")"),0)</f>
        <v>0</v>
      </c>
      <c r="K372" s="465">
        <f t="shared" ca="1" si="162"/>
        <v>0</v>
      </c>
      <c r="L372" s="163"/>
      <c r="M372" s="163"/>
      <c r="N372" s="163"/>
      <c r="O372" s="163"/>
      <c r="P372" s="163"/>
    </row>
    <row r="373" spans="1:26" ht="18.75">
      <c r="A373" s="438" t="s">
        <v>164</v>
      </c>
      <c r="B373" s="342"/>
      <c r="C373" s="171"/>
      <c r="D373" s="342"/>
      <c r="E373" s="415"/>
      <c r="F373" s="342"/>
      <c r="G373" s="179"/>
      <c r="H373" s="728" t="s">
        <v>46</v>
      </c>
      <c r="I373" s="269">
        <v>0</v>
      </c>
      <c r="J373" s="269">
        <f ca="1">IFERROR(__xludf.DUMMYFUNCTION("IMPORTRANGE(""https://docs.google.com/spreadsheets/d/1XWAQStnk-4SwqDmLtmXYiTMKHgktTP8We1SCoS47DrQ/edit?usp=sharing"",""จัดที่ดิน!J18"")"),0)</f>
        <v>0</v>
      </c>
      <c r="K373" s="465">
        <f t="shared" si="162"/>
        <v>0</v>
      </c>
      <c r="L373" s="163"/>
      <c r="M373" s="163"/>
      <c r="N373" s="163"/>
      <c r="O373" s="163"/>
      <c r="P373" s="163"/>
    </row>
    <row r="374" spans="1:26" ht="19.5">
      <c r="A374" s="450"/>
      <c r="B374" s="451"/>
      <c r="C374" s="453"/>
      <c r="D374" s="453" t="s">
        <v>168</v>
      </c>
      <c r="E374" s="454"/>
      <c r="F374" s="454"/>
      <c r="G374" s="455"/>
      <c r="H374" s="456" t="s">
        <v>35</v>
      </c>
      <c r="I374" s="464">
        <f ca="1">IFERROR(__xludf.DUMMYFUNCTION("IMPORTRANGE(""https://docs.google.com/spreadsheets/d/1QqKyyYR6Q21VydFLVH3TRQUabQu_ym0Zz7PgGX0-kHA/edit?usp=sharing"",""แผน!EU18"")"),580)</f>
        <v>580</v>
      </c>
      <c r="J374" s="458">
        <f ca="1">J381</f>
        <v>0</v>
      </c>
      <c r="K374" s="459">
        <f t="shared" ca="1" si="162"/>
        <v>0</v>
      </c>
      <c r="L374" s="460"/>
      <c r="M374" s="460"/>
      <c r="N374" s="460"/>
      <c r="O374" s="460"/>
      <c r="P374" s="460"/>
      <c r="Q374" s="449"/>
      <c r="R374" s="449"/>
      <c r="S374" s="449"/>
      <c r="T374" s="449"/>
      <c r="U374" s="449"/>
      <c r="V374" s="449"/>
      <c r="W374" s="449"/>
      <c r="X374" s="449"/>
      <c r="Y374" s="449"/>
      <c r="Z374" s="449"/>
    </row>
    <row r="375" spans="1:26" ht="19.5">
      <c r="A375" s="450"/>
      <c r="B375" s="451"/>
      <c r="C375" s="453"/>
      <c r="D375" s="461" t="s">
        <v>169</v>
      </c>
      <c r="E375" s="454"/>
      <c r="F375" s="454"/>
      <c r="G375" s="455"/>
      <c r="H375" s="462"/>
      <c r="I375" s="463"/>
      <c r="J375" s="463"/>
      <c r="K375" s="460"/>
      <c r="L375" s="460"/>
      <c r="M375" s="460"/>
      <c r="N375" s="460"/>
      <c r="O375" s="460"/>
      <c r="P375" s="460"/>
      <c r="Q375" s="449"/>
      <c r="R375" s="449"/>
      <c r="S375" s="449"/>
      <c r="T375" s="449"/>
      <c r="U375" s="449"/>
      <c r="V375" s="449"/>
      <c r="W375" s="449"/>
      <c r="X375" s="449"/>
      <c r="Y375" s="449"/>
      <c r="Z375" s="449"/>
    </row>
    <row r="376" spans="1:26" ht="19.5">
      <c r="A376" s="170"/>
      <c r="B376" s="171"/>
      <c r="C376" s="164" t="s">
        <v>16</v>
      </c>
      <c r="D376" s="818" t="s">
        <v>38</v>
      </c>
      <c r="E376" s="173"/>
      <c r="F376" s="173"/>
      <c r="G376" s="174"/>
      <c r="H376" s="726"/>
      <c r="I376" s="269"/>
      <c r="J376" s="269"/>
      <c r="K376" s="465"/>
      <c r="L376" s="163"/>
      <c r="M376" s="163"/>
      <c r="N376" s="163"/>
      <c r="O376" s="163"/>
      <c r="P376" s="163"/>
    </row>
    <row r="377" spans="1:26" ht="18.75">
      <c r="A377" s="170"/>
      <c r="B377" s="342"/>
      <c r="C377" s="171"/>
      <c r="D377" s="342"/>
      <c r="E377" s="343" t="s">
        <v>161</v>
      </c>
      <c r="F377" s="342"/>
      <c r="G377" s="179"/>
      <c r="H377" s="185" t="s">
        <v>35</v>
      </c>
      <c r="I377" s="269">
        <v>0</v>
      </c>
      <c r="J377" s="269">
        <f ca="1">IFERROR(__xludf.DUMMYFUNCTION("IMPORTRANGE(""https://docs.google.com/spreadsheets/d/1XWAQStnk-4SwqDmLtmXYiTMKHgktTP8We1SCoS47DrQ/edit?usp=sharing"",""จัดที่ดิน!AH18"")"),16)</f>
        <v>16</v>
      </c>
      <c r="K377" s="465">
        <f t="shared" ref="K377:K382" si="163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342"/>
      <c r="C378" s="171"/>
      <c r="D378" s="342"/>
      <c r="E378" s="342"/>
      <c r="F378" s="342"/>
      <c r="G378" s="179"/>
      <c r="H378" s="185" t="s">
        <v>46</v>
      </c>
      <c r="I378" s="269">
        <f ca="1">IFERROR(__xludf.DUMMYFUNCTION("IMPORTRANGE(""https://docs.google.com/spreadsheets/d/1QqKyyYR6Q21VydFLVH3TRQUabQu_ym0Zz7PgGX0-kHA/edit?usp=sharing"",""แผน!ET18"")"),1500)</f>
        <v>1500</v>
      </c>
      <c r="J378" s="269">
        <f ca="1">IFERROR(__xludf.DUMMYFUNCTION("IMPORTRANGE(""https://docs.google.com/spreadsheets/d/1XWAQStnk-4SwqDmLtmXYiTMKHgktTP8We1SCoS47DrQ/edit?usp=sharing"",""จัดที่ดิน!AI18"")"),171.62)</f>
        <v>171.62</v>
      </c>
      <c r="K378" s="465">
        <f t="shared" ca="1" si="163"/>
        <v>11.441333333333333</v>
      </c>
      <c r="L378" s="163"/>
      <c r="M378" s="163"/>
      <c r="N378" s="163"/>
      <c r="O378" s="163"/>
      <c r="P378" s="163"/>
    </row>
    <row r="379" spans="1:26" ht="18.75">
      <c r="A379" s="170"/>
      <c r="B379" s="342"/>
      <c r="C379" s="171"/>
      <c r="D379" s="342"/>
      <c r="E379" s="343" t="s">
        <v>162</v>
      </c>
      <c r="F379" s="342"/>
      <c r="G379" s="179"/>
      <c r="H379" s="728" t="s">
        <v>35</v>
      </c>
      <c r="I379" s="269">
        <f ca="1">IFERROR(__xludf.DUMMYFUNCTION("IMPORTRANGE(""https://docs.google.com/spreadsheets/d/1QqKyyYR6Q21VydFLVH3TRQUabQu_ym0Zz7PgGX0-kHA/edit?usp=sharing"",""แผน!EU18"")"),580)</f>
        <v>580</v>
      </c>
      <c r="J379" s="269">
        <f ca="1">IFERROR(__xludf.DUMMYFUNCTION("IMPORTRANGE(""https://docs.google.com/spreadsheets/d/1XWAQStnk-4SwqDmLtmXYiTMKHgktTP8We1SCoS47DrQ/edit?usp=sharing"",""จัดที่ดิน!AJ18"")"),0)</f>
        <v>0</v>
      </c>
      <c r="K379" s="465">
        <f t="shared" ca="1" si="163"/>
        <v>0</v>
      </c>
      <c r="L379" s="163"/>
      <c r="M379" s="163"/>
      <c r="N379" s="163"/>
      <c r="O379" s="163"/>
      <c r="P379" s="163"/>
    </row>
    <row r="380" spans="1:26" ht="18.75">
      <c r="A380" s="170"/>
      <c r="B380" s="342"/>
      <c r="C380" s="171"/>
      <c r="D380" s="342"/>
      <c r="E380" s="342"/>
      <c r="F380" s="342"/>
      <c r="G380" s="179"/>
      <c r="H380" s="728" t="s">
        <v>46</v>
      </c>
      <c r="I380" s="269">
        <v>0</v>
      </c>
      <c r="J380" s="269">
        <f ca="1">IFERROR(__xludf.DUMMYFUNCTION("IMPORTRANGE(""https://docs.google.com/spreadsheets/d/1XWAQStnk-4SwqDmLtmXYiTMKHgktTP8We1SCoS47DrQ/edit?usp=sharing"",""จัดที่ดิน!AK18"")"),0)</f>
        <v>0</v>
      </c>
      <c r="K380" s="465">
        <f t="shared" si="163"/>
        <v>0</v>
      </c>
      <c r="L380" s="163"/>
      <c r="M380" s="163"/>
      <c r="N380" s="163"/>
      <c r="O380" s="163"/>
      <c r="P380" s="163"/>
    </row>
    <row r="381" spans="1:26" ht="18.75">
      <c r="A381" s="170"/>
      <c r="B381" s="342"/>
      <c r="C381" s="171"/>
      <c r="D381" s="342"/>
      <c r="E381" s="343" t="s">
        <v>163</v>
      </c>
      <c r="F381" s="342"/>
      <c r="G381" s="179"/>
      <c r="H381" s="728" t="s">
        <v>35</v>
      </c>
      <c r="I381" s="269">
        <f ca="1">IFERROR(__xludf.DUMMYFUNCTION("IMPORTRANGE(""https://docs.google.com/spreadsheets/d/1QqKyyYR6Q21VydFLVH3TRQUabQu_ym0Zz7PgGX0-kHA/edit?usp=sharing"",""แผน!EU18"")"),580)</f>
        <v>580</v>
      </c>
      <c r="J381" s="269">
        <f ca="1">IFERROR(__xludf.DUMMYFUNCTION("IMPORTRANGE(""https://docs.google.com/spreadsheets/d/1XWAQStnk-4SwqDmLtmXYiTMKHgktTP8We1SCoS47DrQ/edit?usp=sharing"",""จัดที่ดิน!AL18"")"),0)</f>
        <v>0</v>
      </c>
      <c r="K381" s="465">
        <f t="shared" ca="1" si="163"/>
        <v>0</v>
      </c>
      <c r="L381" s="163"/>
      <c r="M381" s="163"/>
      <c r="N381" s="163"/>
      <c r="O381" s="163"/>
      <c r="P381" s="163"/>
    </row>
    <row r="382" spans="1:26" ht="18.75">
      <c r="A382" s="438" t="s">
        <v>164</v>
      </c>
      <c r="B382" s="342"/>
      <c r="C382" s="171"/>
      <c r="D382" s="342"/>
      <c r="E382" s="415"/>
      <c r="F382" s="342"/>
      <c r="G382" s="179"/>
      <c r="H382" s="728" t="s">
        <v>46</v>
      </c>
      <c r="I382" s="269">
        <v>0</v>
      </c>
      <c r="J382" s="269">
        <f ca="1">IFERROR(__xludf.DUMMYFUNCTION("IMPORTRANGE(""https://docs.google.com/spreadsheets/d/1XWAQStnk-4SwqDmLtmXYiTMKHgktTP8We1SCoS47DrQ/edit?usp=sharing"",""จัดที่ดิน!AM18"")"),0)</f>
        <v>0</v>
      </c>
      <c r="K382" s="465">
        <f t="shared" si="163"/>
        <v>0</v>
      </c>
      <c r="L382" s="163"/>
      <c r="M382" s="163"/>
      <c r="N382" s="163"/>
      <c r="O382" s="163"/>
      <c r="P382" s="163"/>
    </row>
    <row r="383" spans="1:26" ht="19.5">
      <c r="A383" s="255"/>
      <c r="B383" s="263"/>
      <c r="C383" s="256"/>
      <c r="D383" s="845" t="s">
        <v>170</v>
      </c>
      <c r="E383" s="256"/>
      <c r="F383" s="256"/>
      <c r="G383" s="258"/>
      <c r="H383" s="423"/>
      <c r="I383" s="260"/>
      <c r="J383" s="260"/>
      <c r="K383" s="261"/>
      <c r="L383" s="261"/>
      <c r="M383" s="261"/>
      <c r="N383" s="261"/>
      <c r="O383" s="261"/>
      <c r="P383" s="261"/>
    </row>
    <row r="384" spans="1:26" ht="19.5">
      <c r="A384" s="170"/>
      <c r="B384" s="171"/>
      <c r="C384" s="33" t="s">
        <v>16</v>
      </c>
      <c r="D384" s="818" t="s">
        <v>38</v>
      </c>
      <c r="E384" s="173"/>
      <c r="F384" s="173"/>
      <c r="G384" s="174"/>
      <c r="H384" s="726"/>
      <c r="I384" s="269"/>
      <c r="J384" s="269"/>
      <c r="K384" s="465"/>
      <c r="L384" s="163"/>
      <c r="M384" s="163"/>
      <c r="N384" s="163"/>
      <c r="O384" s="163"/>
      <c r="P384" s="163"/>
    </row>
    <row r="385" spans="1:26" ht="18.75">
      <c r="A385" s="346"/>
      <c r="B385" s="349"/>
      <c r="C385" s="347"/>
      <c r="D385" s="349"/>
      <c r="E385" s="466" t="s">
        <v>163</v>
      </c>
      <c r="F385" s="349"/>
      <c r="G385" s="350"/>
      <c r="H385" s="467" t="s">
        <v>35</v>
      </c>
      <c r="I385" s="468">
        <f ca="1">IFERROR(__xludf.DUMMYFUNCTION("IMPORTRANGE(""https://docs.google.com/spreadsheets/d/1QqKyyYR6Q21VydFLVH3TRQUabQu_ym0Zz7PgGX0-kHA/edit?usp=sharing"",""แผน!EW18"")"),100)</f>
        <v>100</v>
      </c>
      <c r="J385" s="468">
        <f ca="1">IFERROR(__xludf.DUMMYFUNCTION("IMPORTRANGE(""https://docs.google.com/spreadsheets/d/1XWAQStnk-4SwqDmLtmXYiTMKHgktTP8We1SCoS47DrQ/edit?usp=sharing"",""จัดที่ดิน!AP18"")"),0)</f>
        <v>0</v>
      </c>
      <c r="K385" s="469">
        <f ca="1">IF(I385&gt;0,J385*100/I385,0)</f>
        <v>0</v>
      </c>
      <c r="L385" s="353"/>
      <c r="M385" s="353"/>
      <c r="N385" s="353"/>
      <c r="O385" s="353"/>
      <c r="P385" s="353"/>
    </row>
    <row r="386" spans="1:26" ht="19.5" hidden="1">
      <c r="A386" s="470" t="s">
        <v>171</v>
      </c>
      <c r="B386" s="471"/>
      <c r="C386" s="471"/>
      <c r="D386" s="471"/>
      <c r="E386" s="472"/>
      <c r="F386" s="472"/>
      <c r="G386" s="473"/>
      <c r="H386" s="474"/>
      <c r="I386" s="475"/>
      <c r="J386" s="475"/>
      <c r="K386" s="476"/>
      <c r="L386" s="476"/>
      <c r="M386" s="476"/>
      <c r="N386" s="476"/>
      <c r="O386" s="476"/>
      <c r="P386" s="476"/>
    </row>
    <row r="387" spans="1:26" ht="19.5" hidden="1">
      <c r="A387" s="477" t="s">
        <v>172</v>
      </c>
      <c r="B387" s="478"/>
      <c r="C387" s="478"/>
      <c r="D387" s="479"/>
      <c r="E387" s="478"/>
      <c r="F387" s="478"/>
      <c r="G387" s="478"/>
      <c r="H387" s="480"/>
      <c r="I387" s="481"/>
      <c r="J387" s="481"/>
      <c r="K387" s="482"/>
      <c r="L387" s="482"/>
      <c r="M387" s="482"/>
      <c r="N387" s="482"/>
      <c r="O387" s="482"/>
      <c r="P387" s="482"/>
    </row>
    <row r="388" spans="1:26" ht="19.5" hidden="1">
      <c r="A388" s="483"/>
      <c r="B388" s="484" t="s">
        <v>173</v>
      </c>
      <c r="C388" s="485"/>
      <c r="D388" s="486"/>
      <c r="E388" s="486"/>
      <c r="F388" s="486"/>
      <c r="G388" s="487"/>
      <c r="H388" s="488" t="s">
        <v>69</v>
      </c>
      <c r="I388" s="489">
        <f t="shared" ref="I388:J388" si="164">I400</f>
        <v>0</v>
      </c>
      <c r="J388" s="489">
        <f t="shared" si="164"/>
        <v>0</v>
      </c>
      <c r="K388" s="490">
        <f>IF(I388&gt;0,J388*100/I388,0)</f>
        <v>0</v>
      </c>
      <c r="L388" s="491"/>
      <c r="M388" s="491"/>
      <c r="N388" s="491"/>
      <c r="O388" s="491"/>
      <c r="P388" s="491"/>
    </row>
    <row r="389" spans="1:26" ht="19.5" hidden="1">
      <c r="A389" s="147"/>
      <c r="B389" s="148"/>
      <c r="C389" s="149" t="s">
        <v>16</v>
      </c>
      <c r="D389" s="817" t="s">
        <v>17</v>
      </c>
      <c r="E389" s="148"/>
      <c r="F389" s="148"/>
      <c r="G389" s="151"/>
      <c r="H389" s="152" t="s">
        <v>12</v>
      </c>
      <c r="I389" s="388"/>
      <c r="J389" s="388"/>
      <c r="K389" s="154"/>
      <c r="L389" s="155">
        <f t="shared" ref="L389:N389" ca="1" si="165">L390+L391</f>
        <v>0</v>
      </c>
      <c r="M389" s="155">
        <f t="shared" ca="1" si="165"/>
        <v>0</v>
      </c>
      <c r="N389" s="155">
        <f t="shared" ca="1" si="165"/>
        <v>0</v>
      </c>
      <c r="O389" s="155">
        <f t="shared" ref="O389:O397" ca="1" si="166">IF(L389&gt;0,N389*100/L389,0)</f>
        <v>0</v>
      </c>
      <c r="P389" s="155">
        <f t="shared" ref="P389:P397" ca="1" si="167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2" t="s">
        <v>18</v>
      </c>
      <c r="F390" s="40"/>
      <c r="G390" s="157"/>
      <c r="H390" s="158" t="s">
        <v>12</v>
      </c>
      <c r="I390" s="583"/>
      <c r="J390" s="583"/>
      <c r="K390" s="93"/>
      <c r="L390" s="93">
        <f t="shared" ref="L390:N391" si="168">L393+L396</f>
        <v>0</v>
      </c>
      <c r="M390" s="93">
        <f t="shared" si="168"/>
        <v>0</v>
      </c>
      <c r="N390" s="93">
        <f t="shared" si="168"/>
        <v>0</v>
      </c>
      <c r="O390" s="93">
        <f t="shared" si="166"/>
        <v>0</v>
      </c>
      <c r="P390" s="93">
        <f t="shared" si="167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2" t="s">
        <v>19</v>
      </c>
      <c r="F391" s="40"/>
      <c r="G391" s="157"/>
      <c r="H391" s="158" t="s">
        <v>12</v>
      </c>
      <c r="I391" s="583"/>
      <c r="J391" s="583"/>
      <c r="K391" s="93"/>
      <c r="L391" s="93">
        <f t="shared" ca="1" si="168"/>
        <v>0</v>
      </c>
      <c r="M391" s="93">
        <f t="shared" ca="1" si="168"/>
        <v>0</v>
      </c>
      <c r="N391" s="93">
        <f t="shared" ca="1" si="168"/>
        <v>0</v>
      </c>
      <c r="O391" s="93">
        <f t="shared" ca="1" si="166"/>
        <v>0</v>
      </c>
      <c r="P391" s="93">
        <f t="shared" ca="1" si="167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1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65">
        <f t="shared" ref="L392:N392" ca="1" si="169">L393+L394</f>
        <v>0</v>
      </c>
      <c r="M392" s="465">
        <f t="shared" ca="1" si="169"/>
        <v>0</v>
      </c>
      <c r="N392" s="465">
        <f t="shared" ca="1" si="169"/>
        <v>0</v>
      </c>
      <c r="O392" s="465">
        <f t="shared" ca="1" si="166"/>
        <v>0</v>
      </c>
      <c r="P392" s="465">
        <f t="shared" ca="1" si="167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2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6"/>
        <v>0</v>
      </c>
      <c r="P393" s="93">
        <f t="shared" si="167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2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IFERROR(__xludf.DUMMYFUNCTION("IMPORTRANGE(""https://docs.google.com/spreadsheets/d/1MeEWN-I1oV_STSDYn1IFDPWt_1FKiwhDph83XaGc0o0/edit?usp=sharing"",""งบพรบ!FG18"")"),0)</f>
        <v>0</v>
      </c>
      <c r="M394" s="93">
        <f ca="1">IFERROR(__xludf.DUMMYFUNCTION("IMPORTRANGE(""https://docs.google.com/spreadsheets/d/1MeEWN-I1oV_STSDYn1IFDPWt_1FKiwhDph83XaGc0o0/edit?usp=sharing"",""งบพรบ!FL18"")"),0)</f>
        <v>0</v>
      </c>
      <c r="N394" s="93">
        <f ca="1">IFERROR(__xludf.DUMMYFUNCTION("IMPORTRANGE(""https://docs.google.com/spreadsheets/d/1MeEWN-I1oV_STSDYn1IFDPWt_1FKiwhDph83XaGc0o0/edit?usp=sharing"",""งบพรบ!FN18"")"),0)</f>
        <v>0</v>
      </c>
      <c r="O394" s="93">
        <f t="shared" ca="1" si="166"/>
        <v>0</v>
      </c>
      <c r="P394" s="93">
        <f t="shared" ca="1" si="167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1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65">
        <f t="shared" ref="L395:N395" ca="1" si="170">L396+L397</f>
        <v>0</v>
      </c>
      <c r="M395" s="465">
        <f t="shared" ca="1" si="170"/>
        <v>0</v>
      </c>
      <c r="N395" s="465">
        <f t="shared" ca="1" si="170"/>
        <v>0</v>
      </c>
      <c r="O395" s="465">
        <f t="shared" ca="1" si="166"/>
        <v>0</v>
      </c>
      <c r="P395" s="465">
        <f t="shared" ca="1" si="167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2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6"/>
        <v>0</v>
      </c>
      <c r="P396" s="93">
        <f t="shared" si="167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2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IFERROR(__xludf.DUMMYFUNCTION("IMPORTRANGE(""https://docs.google.com/spreadsheets/d/1MeEWN-I1oV_STSDYn1IFDPWt_1FKiwhDph83XaGc0o0/edit?usp=sharing"",""งบพรบ!FJ18"")"),0)</f>
        <v>0</v>
      </c>
      <c r="M397" s="93">
        <f ca="1">IFERROR(__xludf.DUMMYFUNCTION("IMPORTRANGE(""https://docs.google.com/spreadsheets/d/1MeEWN-I1oV_STSDYn1IFDPWt_1FKiwhDph83XaGc0o0/edit?usp=sharing"",""งบพรบ!FM18"")"),0)</f>
        <v>0</v>
      </c>
      <c r="N397" s="93">
        <f ca="1">IFERROR(__xludf.DUMMYFUNCTION("IMPORTRANGE(""https://docs.google.com/spreadsheets/d/1MeEWN-I1oV_STSDYn1IFDPWt_1FKiwhDph83XaGc0o0/edit?usp=sharing"",""งบพรบ!FO18"")"),0)</f>
        <v>0</v>
      </c>
      <c r="O397" s="93">
        <f t="shared" ca="1" si="166"/>
        <v>0</v>
      </c>
      <c r="P397" s="93">
        <f t="shared" ca="1" si="167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18" t="s">
        <v>38</v>
      </c>
      <c r="E398" s="173"/>
      <c r="F398" s="173"/>
      <c r="G398" s="174"/>
      <c r="H398" s="726"/>
      <c r="I398" s="184"/>
      <c r="J398" s="269"/>
      <c r="K398" s="465"/>
      <c r="L398" s="465"/>
      <c r="M398" s="465"/>
      <c r="N398" s="465"/>
      <c r="O398" s="163"/>
      <c r="P398" s="163"/>
    </row>
    <row r="399" spans="1:26" ht="18.75" hidden="1">
      <c r="A399" s="492"/>
      <c r="B399" s="148"/>
      <c r="C399" s="493"/>
      <c r="D399" s="494" t="s">
        <v>174</v>
      </c>
      <c r="E399" s="383"/>
      <c r="F399" s="148"/>
      <c r="G399" s="151"/>
      <c r="H399" s="495" t="s">
        <v>9</v>
      </c>
      <c r="I399" s="269">
        <v>0</v>
      </c>
      <c r="J399" s="214">
        <v>0</v>
      </c>
      <c r="K399" s="465">
        <f t="shared" ref="K399:K401" si="171">IF(I399&gt;0,J399*100/I399,0)</f>
        <v>0</v>
      </c>
      <c r="L399" s="496"/>
      <c r="M399" s="496"/>
      <c r="N399" s="496"/>
      <c r="O399" s="496"/>
      <c r="P399" s="496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3"/>
      <c r="B400" s="33"/>
      <c r="C400" s="280"/>
      <c r="D400" s="415" t="s">
        <v>175</v>
      </c>
      <c r="E400" s="171"/>
      <c r="F400" s="33"/>
      <c r="G400" s="35"/>
      <c r="H400" s="276" t="s">
        <v>69</v>
      </c>
      <c r="I400" s="269">
        <v>0</v>
      </c>
      <c r="J400" s="214">
        <v>0</v>
      </c>
      <c r="K400" s="465">
        <f t="shared" si="171"/>
        <v>0</v>
      </c>
      <c r="L400" s="465"/>
      <c r="M400" s="465"/>
      <c r="N400" s="465"/>
      <c r="O400" s="465"/>
      <c r="P400" s="465"/>
    </row>
    <row r="401" spans="1:26" ht="19.5" hidden="1">
      <c r="A401" s="483"/>
      <c r="B401" s="484" t="s">
        <v>176</v>
      </c>
      <c r="C401" s="485"/>
      <c r="D401" s="486"/>
      <c r="E401" s="486"/>
      <c r="F401" s="486"/>
      <c r="G401" s="487"/>
      <c r="H401" s="488" t="s">
        <v>69</v>
      </c>
      <c r="I401" s="489">
        <f t="shared" ref="I401:J401" si="172">I412</f>
        <v>0</v>
      </c>
      <c r="J401" s="489">
        <f t="shared" si="172"/>
        <v>0</v>
      </c>
      <c r="K401" s="490">
        <f t="shared" si="171"/>
        <v>0</v>
      </c>
      <c r="L401" s="491"/>
      <c r="M401" s="491"/>
      <c r="N401" s="491"/>
      <c r="O401" s="491"/>
      <c r="P401" s="491"/>
    </row>
    <row r="402" spans="1:26" ht="19.5" hidden="1">
      <c r="A402" s="147"/>
      <c r="B402" s="148"/>
      <c r="C402" s="149" t="s">
        <v>16</v>
      </c>
      <c r="D402" s="817" t="s">
        <v>17</v>
      </c>
      <c r="E402" s="148"/>
      <c r="F402" s="148"/>
      <c r="G402" s="151"/>
      <c r="H402" s="152" t="s">
        <v>12</v>
      </c>
      <c r="I402" s="388"/>
      <c r="J402" s="388"/>
      <c r="K402" s="154"/>
      <c r="L402" s="155">
        <f t="shared" ref="L402:N402" ca="1" si="173">L403+L404</f>
        <v>0</v>
      </c>
      <c r="M402" s="155">
        <f t="shared" ca="1" si="173"/>
        <v>0</v>
      </c>
      <c r="N402" s="155">
        <f t="shared" ca="1" si="173"/>
        <v>0</v>
      </c>
      <c r="O402" s="155">
        <f t="shared" ref="O402:O410" ca="1" si="174">IF(L402&gt;0,N402*100/L402,0)</f>
        <v>0</v>
      </c>
      <c r="P402" s="155">
        <f t="shared" ref="P402:P410" ca="1" si="175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2" t="s">
        <v>18</v>
      </c>
      <c r="F403" s="40"/>
      <c r="G403" s="157"/>
      <c r="H403" s="158" t="s">
        <v>12</v>
      </c>
      <c r="I403" s="583"/>
      <c r="J403" s="583"/>
      <c r="K403" s="93"/>
      <c r="L403" s="93">
        <f t="shared" ref="L403:N404" si="176">L406+L409</f>
        <v>0</v>
      </c>
      <c r="M403" s="93">
        <f t="shared" si="176"/>
        <v>0</v>
      </c>
      <c r="N403" s="93">
        <f t="shared" si="176"/>
        <v>0</v>
      </c>
      <c r="O403" s="93">
        <f t="shared" si="174"/>
        <v>0</v>
      </c>
      <c r="P403" s="93">
        <f t="shared" si="175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2" t="s">
        <v>19</v>
      </c>
      <c r="F404" s="40"/>
      <c r="G404" s="157"/>
      <c r="H404" s="158" t="s">
        <v>12</v>
      </c>
      <c r="I404" s="583"/>
      <c r="J404" s="583"/>
      <c r="K404" s="93"/>
      <c r="L404" s="93">
        <f t="shared" ca="1" si="176"/>
        <v>0</v>
      </c>
      <c r="M404" s="93">
        <f t="shared" ca="1" si="176"/>
        <v>0</v>
      </c>
      <c r="N404" s="93">
        <f t="shared" ca="1" si="176"/>
        <v>0</v>
      </c>
      <c r="O404" s="93">
        <f t="shared" ca="1" si="174"/>
        <v>0</v>
      </c>
      <c r="P404" s="93">
        <f t="shared" ca="1" si="175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1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65">
        <f t="shared" ref="L405:N405" ca="1" si="177">L406+L407</f>
        <v>0</v>
      </c>
      <c r="M405" s="465">
        <f t="shared" ca="1" si="177"/>
        <v>0</v>
      </c>
      <c r="N405" s="465">
        <f t="shared" ca="1" si="177"/>
        <v>0</v>
      </c>
      <c r="O405" s="465">
        <f t="shared" ca="1" si="174"/>
        <v>0</v>
      </c>
      <c r="P405" s="465">
        <f t="shared" ca="1" si="175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2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4"/>
        <v>0</v>
      </c>
      <c r="P406" s="93">
        <f t="shared" si="175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2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IFERROR(__xludf.DUMMYFUNCTION("IMPORTRANGE(""https://docs.google.com/spreadsheets/d/1MeEWN-I1oV_STSDYn1IFDPWt_1FKiwhDph83XaGc0o0/edit?usp=sharing"",""งบพรบ!FQ18"")"),0)</f>
        <v>0</v>
      </c>
      <c r="M407" s="93">
        <f ca="1">IFERROR(__xludf.DUMMYFUNCTION("IMPORTRANGE(""https://docs.google.com/spreadsheets/d/1MeEWN-I1oV_STSDYn1IFDPWt_1FKiwhDph83XaGc0o0/edit?usp=sharing"",""งบพรบ!FV18"")"),0)</f>
        <v>0</v>
      </c>
      <c r="N407" s="93">
        <f ca="1">IFERROR(__xludf.DUMMYFUNCTION("IMPORTRANGE(""https://docs.google.com/spreadsheets/d/1MeEWN-I1oV_STSDYn1IFDPWt_1FKiwhDph83XaGc0o0/edit?usp=sharing"",""งบพรบ!FX18"")"),0)</f>
        <v>0</v>
      </c>
      <c r="O407" s="93">
        <f t="shared" ca="1" si="174"/>
        <v>0</v>
      </c>
      <c r="P407" s="93">
        <f t="shared" ca="1" si="175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1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65">
        <f t="shared" ref="L408:N408" ca="1" si="178">L409+L410</f>
        <v>0</v>
      </c>
      <c r="M408" s="465">
        <f t="shared" ca="1" si="178"/>
        <v>0</v>
      </c>
      <c r="N408" s="465">
        <f t="shared" ca="1" si="178"/>
        <v>0</v>
      </c>
      <c r="O408" s="465">
        <f t="shared" ca="1" si="174"/>
        <v>0</v>
      </c>
      <c r="P408" s="465">
        <f t="shared" ca="1" si="175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2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4"/>
        <v>0</v>
      </c>
      <c r="P409" s="93">
        <f t="shared" si="175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2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IFERROR(__xludf.DUMMYFUNCTION("IMPORTRANGE(""https://docs.google.com/spreadsheets/d/1MeEWN-I1oV_STSDYn1IFDPWt_1FKiwhDph83XaGc0o0/edit?usp=sharing"",""งบพรบ!FT18"")"),0)</f>
        <v>0</v>
      </c>
      <c r="M410" s="93">
        <f ca="1">IFERROR(__xludf.DUMMYFUNCTION("IMPORTRANGE(""https://docs.google.com/spreadsheets/d/1MeEWN-I1oV_STSDYn1IFDPWt_1FKiwhDph83XaGc0o0/edit?usp=sharing"",""งบพรบ!FW18"")"),0)</f>
        <v>0</v>
      </c>
      <c r="N410" s="93">
        <f ca="1">IFERROR(__xludf.DUMMYFUNCTION("IMPORTRANGE(""https://docs.google.com/spreadsheets/d/1MeEWN-I1oV_STSDYn1IFDPWt_1FKiwhDph83XaGc0o0/edit?usp=sharing"",""งบพรบ!FY18"")"),0)</f>
        <v>0</v>
      </c>
      <c r="O410" s="93">
        <f t="shared" ca="1" si="174"/>
        <v>0</v>
      </c>
      <c r="P410" s="93">
        <f t="shared" ca="1" si="175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47" t="s">
        <v>38</v>
      </c>
      <c r="E411" s="498"/>
      <c r="F411" s="498"/>
      <c r="G411" s="499"/>
      <c r="H411" s="726"/>
      <c r="I411" s="269"/>
      <c r="J411" s="269"/>
      <c r="K411" s="465"/>
      <c r="L411" s="163"/>
      <c r="M411" s="163"/>
      <c r="N411" s="163"/>
      <c r="O411" s="163"/>
      <c r="P411" s="163"/>
    </row>
    <row r="412" spans="1:26" ht="18.75" hidden="1">
      <c r="A412" s="170"/>
      <c r="B412" s="342"/>
      <c r="C412" s="342"/>
      <c r="D412" s="415" t="s">
        <v>177</v>
      </c>
      <c r="E412" s="342"/>
      <c r="F412" s="342"/>
      <c r="G412" s="179"/>
      <c r="H412" s="500" t="s">
        <v>69</v>
      </c>
      <c r="I412" s="269">
        <v>0</v>
      </c>
      <c r="J412" s="214">
        <v>0</v>
      </c>
      <c r="K412" s="465">
        <f t="shared" ref="K412:K413" si="179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01"/>
      <c r="B413" s="502"/>
      <c r="C413" s="502"/>
      <c r="D413" s="503" t="s">
        <v>178</v>
      </c>
      <c r="E413" s="502"/>
      <c r="F413" s="502"/>
      <c r="G413" s="504"/>
      <c r="H413" s="505" t="s">
        <v>179</v>
      </c>
      <c r="I413" s="506">
        <v>0</v>
      </c>
      <c r="J413" s="507">
        <v>0</v>
      </c>
      <c r="K413" s="508">
        <f t="shared" si="179"/>
        <v>0</v>
      </c>
      <c r="L413" s="509"/>
      <c r="M413" s="509"/>
      <c r="N413" s="509"/>
      <c r="O413" s="509"/>
      <c r="P413" s="509"/>
    </row>
    <row r="414" spans="1:26" ht="19.5">
      <c r="A414" s="510" t="s">
        <v>180</v>
      </c>
      <c r="B414" s="511"/>
      <c r="C414" s="511"/>
      <c r="D414" s="511"/>
      <c r="E414" s="511"/>
      <c r="F414" s="511"/>
      <c r="G414" s="512"/>
      <c r="H414" s="513"/>
      <c r="I414" s="514"/>
      <c r="J414" s="514"/>
      <c r="K414" s="515"/>
      <c r="L414" s="516">
        <f t="shared" ref="L414:N414" ca="1" si="180">L419+L444+L467+L502+L523+L544+L629+L655+L685+L737+L754+L770+L786+L805</f>
        <v>3289769</v>
      </c>
      <c r="M414" s="516">
        <f t="shared" si="180"/>
        <v>0</v>
      </c>
      <c r="N414" s="516">
        <f t="shared" si="180"/>
        <v>0</v>
      </c>
      <c r="O414" s="516">
        <f ca="1">IF(L414&gt;0,N414*100/L414,0)</f>
        <v>0</v>
      </c>
      <c r="P414" s="516">
        <f>IF(M414&gt;0,N414*100/M414,0)</f>
        <v>0</v>
      </c>
    </row>
    <row r="415" spans="1:26" ht="19.5">
      <c r="A415" s="517" t="s">
        <v>181</v>
      </c>
      <c r="B415" s="518"/>
      <c r="C415" s="518"/>
      <c r="D415" s="518"/>
      <c r="E415" s="518"/>
      <c r="F415" s="518"/>
      <c r="G415" s="518"/>
      <c r="H415" s="519"/>
      <c r="I415" s="520"/>
      <c r="J415" s="520"/>
      <c r="K415" s="521"/>
      <c r="L415" s="522"/>
      <c r="M415" s="522"/>
      <c r="N415" s="522"/>
      <c r="O415" s="522"/>
      <c r="P415" s="522"/>
    </row>
    <row r="416" spans="1:26" ht="19.5">
      <c r="A416" s="517" t="s">
        <v>182</v>
      </c>
      <c r="B416" s="518"/>
      <c r="C416" s="518"/>
      <c r="D416" s="518"/>
      <c r="E416" s="518"/>
      <c r="F416" s="518"/>
      <c r="G416" s="523"/>
      <c r="H416" s="524"/>
      <c r="I416" s="525"/>
      <c r="J416" s="525"/>
      <c r="K416" s="522"/>
      <c r="L416" s="522"/>
      <c r="M416" s="522"/>
      <c r="N416" s="522"/>
      <c r="O416" s="522"/>
      <c r="P416" s="522"/>
    </row>
    <row r="417" spans="1:26" ht="24" customHeight="1">
      <c r="A417" s="526">
        <v>1</v>
      </c>
      <c r="B417" s="528" t="s">
        <v>183</v>
      </c>
      <c r="C417" s="528"/>
      <c r="D417" s="529"/>
      <c r="E417" s="529"/>
      <c r="F417" s="529"/>
      <c r="G417" s="530"/>
      <c r="H417" s="531" t="s">
        <v>35</v>
      </c>
      <c r="I417" s="532">
        <f t="shared" ref="I417:J418" ca="1" si="181">I433</f>
        <v>70</v>
      </c>
      <c r="J417" s="532">
        <f t="shared" ca="1" si="181"/>
        <v>20</v>
      </c>
      <c r="K417" s="533">
        <f t="shared" ref="K417:K418" ca="1" si="182">IF(I417&gt;0,J417*100/I417,0)</f>
        <v>28.571428571428573</v>
      </c>
      <c r="L417" s="534"/>
      <c r="M417" s="534"/>
      <c r="N417" s="534"/>
      <c r="O417" s="534"/>
      <c r="P417" s="534"/>
    </row>
    <row r="418" spans="1:26" ht="19.5">
      <c r="A418" s="535"/>
      <c r="B418" s="526"/>
      <c r="C418" s="528"/>
      <c r="D418" s="529"/>
      <c r="E418" s="529"/>
      <c r="F418" s="529"/>
      <c r="G418" s="530"/>
      <c r="H418" s="531" t="s">
        <v>49</v>
      </c>
      <c r="I418" s="532">
        <f t="shared" ca="1" si="181"/>
        <v>2</v>
      </c>
      <c r="J418" s="532">
        <f t="shared" si="181"/>
        <v>0</v>
      </c>
      <c r="K418" s="533">
        <f t="shared" ca="1" si="182"/>
        <v>0</v>
      </c>
      <c r="L418" s="534"/>
      <c r="M418" s="534"/>
      <c r="N418" s="534"/>
      <c r="O418" s="534"/>
      <c r="P418" s="534"/>
    </row>
    <row r="419" spans="1:26" ht="19.5">
      <c r="A419" s="147"/>
      <c r="B419" s="148"/>
      <c r="C419" s="148" t="s">
        <v>16</v>
      </c>
      <c r="D419" s="848" t="s">
        <v>17</v>
      </c>
      <c r="E419" s="810"/>
      <c r="F419" s="810"/>
      <c r="G419" s="151"/>
      <c r="H419" s="274" t="s">
        <v>12</v>
      </c>
      <c r="I419" s="388"/>
      <c r="J419" s="388"/>
      <c r="K419" s="154"/>
      <c r="L419" s="155">
        <f t="shared" ref="L419:N419" ca="1" si="183">L420+L421</f>
        <v>216110</v>
      </c>
      <c r="M419" s="155">
        <f t="shared" si="183"/>
        <v>0</v>
      </c>
      <c r="N419" s="155">
        <f t="shared" si="183"/>
        <v>0</v>
      </c>
      <c r="O419" s="155">
        <f t="shared" ref="O419:O424" ca="1" si="184">IF(L419&gt;0,N419*100/L419,0)</f>
        <v>0</v>
      </c>
      <c r="P419" s="155">
        <f t="shared" ref="P419:P424" si="185">IF(M419&gt;0,N419*100/M419,0)</f>
        <v>0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536"/>
      <c r="E420" s="222" t="s">
        <v>184</v>
      </c>
      <c r="F420" s="40"/>
      <c r="G420" s="157"/>
      <c r="H420" s="165" t="s">
        <v>12</v>
      </c>
      <c r="I420" s="583"/>
      <c r="J420" s="583"/>
      <c r="K420" s="93"/>
      <c r="L420" s="93">
        <f t="shared" ref="L420:N421" si="186">L423+L430</f>
        <v>0</v>
      </c>
      <c r="M420" s="93">
        <f t="shared" si="186"/>
        <v>0</v>
      </c>
      <c r="N420" s="93">
        <f t="shared" si="186"/>
        <v>0</v>
      </c>
      <c r="O420" s="93">
        <f t="shared" si="184"/>
        <v>0</v>
      </c>
      <c r="P420" s="93">
        <f t="shared" si="185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536"/>
      <c r="E421" s="222" t="s">
        <v>185</v>
      </c>
      <c r="F421" s="40"/>
      <c r="G421" s="157"/>
      <c r="H421" s="165" t="s">
        <v>12</v>
      </c>
      <c r="I421" s="583"/>
      <c r="J421" s="583"/>
      <c r="K421" s="93"/>
      <c r="L421" s="93">
        <f t="shared" ca="1" si="186"/>
        <v>216110</v>
      </c>
      <c r="M421" s="93">
        <f t="shared" si="186"/>
        <v>0</v>
      </c>
      <c r="N421" s="93">
        <f t="shared" si="186"/>
        <v>0</v>
      </c>
      <c r="O421" s="93">
        <f t="shared" ca="1" si="184"/>
        <v>0</v>
      </c>
      <c r="P421" s="93">
        <f t="shared" si="185"/>
        <v>0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0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65">
        <f t="shared" ref="L422:N422" ca="1" si="187">L423+L424</f>
        <v>216110</v>
      </c>
      <c r="M422" s="465">
        <f t="shared" si="187"/>
        <v>0</v>
      </c>
      <c r="N422" s="465">
        <f t="shared" si="187"/>
        <v>0</v>
      </c>
      <c r="O422" s="465">
        <f t="shared" ca="1" si="184"/>
        <v>0</v>
      </c>
      <c r="P422" s="465">
        <f t="shared" si="185"/>
        <v>0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536"/>
      <c r="E423" s="222" t="s">
        <v>184</v>
      </c>
      <c r="F423" s="40"/>
      <c r="G423" s="157"/>
      <c r="H423" s="165" t="s">
        <v>12</v>
      </c>
      <c r="I423" s="583"/>
      <c r="J423" s="583"/>
      <c r="K423" s="93"/>
      <c r="L423" s="93">
        <v>0</v>
      </c>
      <c r="M423" s="93">
        <v>0</v>
      </c>
      <c r="N423" s="93">
        <v>0</v>
      </c>
      <c r="O423" s="93">
        <f t="shared" si="184"/>
        <v>0</v>
      </c>
      <c r="P423" s="93">
        <f t="shared" si="185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536"/>
      <c r="E424" s="222" t="s">
        <v>185</v>
      </c>
      <c r="F424" s="40"/>
      <c r="G424" s="157"/>
      <c r="H424" s="165" t="s">
        <v>12</v>
      </c>
      <c r="I424" s="583"/>
      <c r="J424" s="583"/>
      <c r="K424" s="93"/>
      <c r="L424" s="93">
        <f ca="1">IFERROR(__xludf.DUMMYFUNCTION("IMPORTRANGE(""https://docs.google.com/spreadsheets/d/1QqKyyYR6Q21VydFLVH3TRQUabQu_ym0Zz7PgGX0-kHA/edit?usp=sharing"",""แผน!EY18"")"),216110)</f>
        <v>216110</v>
      </c>
      <c r="M424" s="93">
        <v>0</v>
      </c>
      <c r="N424" s="93">
        <f>N425+N426+N427+N428</f>
        <v>0</v>
      </c>
      <c r="O424" s="93">
        <f t="shared" ca="1" si="184"/>
        <v>0</v>
      </c>
      <c r="P424" s="93">
        <f t="shared" si="185"/>
        <v>0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37"/>
      <c r="B425" s="538"/>
      <c r="C425" s="727"/>
      <c r="D425" s="727"/>
      <c r="E425" s="727"/>
      <c r="F425" s="727" t="s">
        <v>186</v>
      </c>
      <c r="G425" s="189"/>
      <c r="H425" s="161" t="s">
        <v>12</v>
      </c>
      <c r="I425" s="269"/>
      <c r="J425" s="269"/>
      <c r="K425" s="465"/>
      <c r="L425" s="465"/>
      <c r="M425" s="465"/>
      <c r="N425" s="789">
        <v>0</v>
      </c>
      <c r="O425" s="465"/>
      <c r="P425" s="465"/>
      <c r="Q425" s="541"/>
      <c r="R425" s="541"/>
      <c r="S425" s="541"/>
      <c r="T425" s="541"/>
      <c r="U425" s="541"/>
      <c r="V425" s="541"/>
      <c r="W425" s="541"/>
      <c r="X425" s="541"/>
      <c r="Y425" s="541"/>
      <c r="Z425" s="541"/>
    </row>
    <row r="426" spans="1:26" ht="18.75">
      <c r="A426" s="537"/>
      <c r="B426" s="538"/>
      <c r="C426" s="727"/>
      <c r="D426" s="727"/>
      <c r="E426" s="727"/>
      <c r="F426" s="727" t="s">
        <v>187</v>
      </c>
      <c r="G426" s="189"/>
      <c r="H426" s="161" t="s">
        <v>12</v>
      </c>
      <c r="I426" s="269"/>
      <c r="J426" s="269"/>
      <c r="K426" s="465"/>
      <c r="L426" s="465"/>
      <c r="M426" s="465"/>
      <c r="N426" s="789">
        <v>0</v>
      </c>
      <c r="O426" s="465"/>
      <c r="P426" s="465"/>
      <c r="Q426" s="541"/>
      <c r="R426" s="541"/>
      <c r="S426" s="541"/>
      <c r="T426" s="541"/>
      <c r="U426" s="541"/>
      <c r="V426" s="541"/>
      <c r="W426" s="541"/>
      <c r="X426" s="541"/>
      <c r="Y426" s="541"/>
      <c r="Z426" s="541"/>
    </row>
    <row r="427" spans="1:26" ht="18.75">
      <c r="A427" s="537"/>
      <c r="B427" s="538"/>
      <c r="C427" s="727"/>
      <c r="D427" s="727"/>
      <c r="E427" s="727"/>
      <c r="F427" s="727" t="s">
        <v>188</v>
      </c>
      <c r="G427" s="189"/>
      <c r="H427" s="161" t="s">
        <v>12</v>
      </c>
      <c r="I427" s="269"/>
      <c r="J427" s="269"/>
      <c r="K427" s="465"/>
      <c r="L427" s="465"/>
      <c r="M427" s="465"/>
      <c r="N427" s="789">
        <v>0</v>
      </c>
      <c r="O427" s="465"/>
      <c r="P427" s="465"/>
      <c r="Q427" s="541"/>
      <c r="R427" s="541"/>
      <c r="S427" s="541"/>
      <c r="T427" s="541"/>
      <c r="U427" s="541"/>
      <c r="V427" s="541"/>
      <c r="W427" s="541"/>
      <c r="X427" s="541"/>
      <c r="Y427" s="541"/>
      <c r="Z427" s="541"/>
    </row>
    <row r="428" spans="1:26" ht="18.75">
      <c r="A428" s="283"/>
      <c r="B428" s="280"/>
      <c r="C428" s="33"/>
      <c r="D428" s="33"/>
      <c r="E428" s="33"/>
      <c r="F428" s="281" t="s">
        <v>189</v>
      </c>
      <c r="G428" s="213"/>
      <c r="H428" s="161" t="s">
        <v>12</v>
      </c>
      <c r="I428" s="269"/>
      <c r="J428" s="269"/>
      <c r="K428" s="465"/>
      <c r="L428" s="465"/>
      <c r="M428" s="465"/>
      <c r="N428" s="789">
        <v>0</v>
      </c>
      <c r="O428" s="465"/>
      <c r="P428" s="465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0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65">
        <f t="shared" ref="L429:N429" ca="1" si="188">L430+L431</f>
        <v>0</v>
      </c>
      <c r="M429" s="465">
        <f t="shared" si="188"/>
        <v>0</v>
      </c>
      <c r="N429" s="465">
        <f t="shared" si="188"/>
        <v>0</v>
      </c>
      <c r="O429" s="465">
        <f t="shared" ref="O429:O431" ca="1" si="189">IF(L429&gt;0,N429*100/L429,0)</f>
        <v>0</v>
      </c>
      <c r="P429" s="465">
        <f t="shared" ref="P429:P431" si="190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542"/>
      <c r="C430" s="40"/>
      <c r="D430" s="40"/>
      <c r="E430" s="222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89"/>
        <v>0</v>
      </c>
      <c r="P430" s="93">
        <f t="shared" si="190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542"/>
      <c r="C431" s="40"/>
      <c r="D431" s="40"/>
      <c r="E431" s="222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IFERROR(__xludf.DUMMYFUNCTION("IMPORTRANGE(""https://docs.google.com/spreadsheets/d/1QqKyyYR6Q21VydFLVH3TRQUabQu_ym0Zz7PgGX0-kHA/edit?usp=sharing"",""แผน!FB18"")"),0)</f>
        <v>0</v>
      </c>
      <c r="M431" s="93">
        <v>0</v>
      </c>
      <c r="N431" s="93">
        <v>0</v>
      </c>
      <c r="O431" s="93">
        <f t="shared" ca="1" si="189"/>
        <v>0</v>
      </c>
      <c r="P431" s="93">
        <f t="shared" si="190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382"/>
      <c r="B432" s="383"/>
      <c r="C432" s="148" t="s">
        <v>16</v>
      </c>
      <c r="D432" s="849" t="s">
        <v>38</v>
      </c>
      <c r="E432" s="544"/>
      <c r="F432" s="544"/>
      <c r="G432" s="545"/>
      <c r="H432" s="546"/>
      <c r="I432" s="388"/>
      <c r="J432" s="388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190</v>
      </c>
      <c r="E433" s="342"/>
      <c r="F433" s="342"/>
      <c r="G433" s="179"/>
      <c r="H433" s="196" t="s">
        <v>35</v>
      </c>
      <c r="I433" s="647">
        <f ca="1">I435</f>
        <v>70</v>
      </c>
      <c r="J433" s="647">
        <f ca="1">IF(AND(J435=I435,J437=I437,J439=I439),I437+I439,IF(AND(J435=I437,J437=I437),I437,IF(AND(J435=I439,J439=I439),I439,0)))</f>
        <v>20</v>
      </c>
      <c r="K433" s="195">
        <f t="shared" ref="K433:K435" ca="1" si="191">IF(I433&gt;0,J433*100/I433,0)</f>
        <v>28.571428571428573</v>
      </c>
      <c r="L433" s="465"/>
      <c r="M433" s="465"/>
      <c r="N433" s="465"/>
      <c r="O433" s="465"/>
      <c r="P433" s="465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191</v>
      </c>
      <c r="E434" s="342"/>
      <c r="F434" s="342"/>
      <c r="G434" s="179"/>
      <c r="H434" s="196" t="s">
        <v>49</v>
      </c>
      <c r="I434" s="647">
        <f t="shared" ref="I434:J434" ca="1" si="192">I438+I440</f>
        <v>2</v>
      </c>
      <c r="J434" s="647">
        <f t="shared" si="192"/>
        <v>0</v>
      </c>
      <c r="K434" s="195">
        <f t="shared" ca="1" si="191"/>
        <v>0</v>
      </c>
      <c r="L434" s="465"/>
      <c r="M434" s="465"/>
      <c r="N434" s="465"/>
      <c r="O434" s="465"/>
      <c r="P434" s="465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15" t="s">
        <v>192</v>
      </c>
      <c r="E435" s="342"/>
      <c r="F435" s="342"/>
      <c r="G435" s="179"/>
      <c r="H435" s="589" t="s">
        <v>35</v>
      </c>
      <c r="I435" s="547">
        <f ca="1">IFERROR(__xludf.DUMMYFUNCTION("IMPORTRANGE(""https://docs.google.com/spreadsheets/d/1QqKyyYR6Q21VydFLVH3TRQUabQu_ym0Zz7PgGX0-kHA/edit?usp=sharing"",""แผน!FC18"")"),70)</f>
        <v>70</v>
      </c>
      <c r="J435" s="548">
        <v>20</v>
      </c>
      <c r="K435" s="465">
        <f t="shared" ca="1" si="191"/>
        <v>28.571428571428573</v>
      </c>
      <c r="L435" s="465"/>
      <c r="M435" s="465"/>
      <c r="N435" s="465"/>
      <c r="O435" s="465"/>
      <c r="P435" s="465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15" t="s">
        <v>193</v>
      </c>
      <c r="E436" s="342"/>
      <c r="F436" s="342"/>
      <c r="G436" s="179"/>
      <c r="H436" s="589"/>
      <c r="I436" s="269"/>
      <c r="J436" s="269"/>
      <c r="K436" s="465"/>
      <c r="L436" s="465"/>
      <c r="M436" s="465"/>
      <c r="N436" s="465"/>
      <c r="O436" s="465"/>
      <c r="P436" s="465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15" t="s">
        <v>194</v>
      </c>
      <c r="E437" s="342"/>
      <c r="F437" s="342"/>
      <c r="G437" s="179"/>
      <c r="H437" s="589" t="s">
        <v>35</v>
      </c>
      <c r="I437" s="547">
        <f ca="1">IFERROR(__xludf.DUMMYFUNCTION("IMPORTRANGE(""https://docs.google.com/spreadsheets/d/1QqKyyYR6Q21VydFLVH3TRQUabQu_ym0Zz7PgGX0-kHA/edit?usp=sharing"",""แผน!FD18"")"),50)</f>
        <v>50</v>
      </c>
      <c r="J437" s="548">
        <v>0</v>
      </c>
      <c r="K437" s="465">
        <f t="shared" ref="K437:K443" ca="1" si="193">IF(I437&gt;0,J437*100/I437,0)</f>
        <v>0</v>
      </c>
      <c r="L437" s="465"/>
      <c r="M437" s="465"/>
      <c r="N437" s="465"/>
      <c r="O437" s="465"/>
      <c r="P437" s="465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15" t="s">
        <v>195</v>
      </c>
      <c r="E438" s="342"/>
      <c r="F438" s="342"/>
      <c r="G438" s="179"/>
      <c r="H438" s="589" t="s">
        <v>49</v>
      </c>
      <c r="I438" s="269">
        <f ca="1">IFERROR(__xludf.DUMMYFUNCTION("IMPORTRANGE(""https://docs.google.com/spreadsheets/d/1QqKyyYR6Q21VydFLVH3TRQUabQu_ym0Zz7PgGX0-kHA/edit?usp=sharing"",""แผน!FE18"")"),1)</f>
        <v>1</v>
      </c>
      <c r="J438" s="214">
        <v>0</v>
      </c>
      <c r="K438" s="465">
        <f t="shared" ca="1" si="193"/>
        <v>0</v>
      </c>
      <c r="L438" s="465"/>
      <c r="M438" s="465"/>
      <c r="N438" s="465"/>
      <c r="O438" s="465"/>
      <c r="P438" s="465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15" t="s">
        <v>196</v>
      </c>
      <c r="E439" s="342"/>
      <c r="F439" s="342"/>
      <c r="G439" s="179"/>
      <c r="H439" s="589" t="s">
        <v>35</v>
      </c>
      <c r="I439" s="547">
        <f ca="1">IFERROR(__xludf.DUMMYFUNCTION("IMPORTRANGE(""https://docs.google.com/spreadsheets/d/1QqKyyYR6Q21VydFLVH3TRQUabQu_ym0Zz7PgGX0-kHA/edit?usp=sharing"",""แผน!FF18"")"),20)</f>
        <v>20</v>
      </c>
      <c r="J439" s="548">
        <v>20</v>
      </c>
      <c r="K439" s="465">
        <f t="shared" ca="1" si="193"/>
        <v>100</v>
      </c>
      <c r="L439" s="465"/>
      <c r="M439" s="465"/>
      <c r="N439" s="465"/>
      <c r="O439" s="465"/>
      <c r="P439" s="465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15" t="s">
        <v>197</v>
      </c>
      <c r="E440" s="342"/>
      <c r="F440" s="342"/>
      <c r="G440" s="179"/>
      <c r="H440" s="589" t="s">
        <v>49</v>
      </c>
      <c r="I440" s="269">
        <f ca="1">IFERROR(__xludf.DUMMYFUNCTION("IMPORTRANGE(""https://docs.google.com/spreadsheets/d/1QqKyyYR6Q21VydFLVH3TRQUabQu_ym0Zz7PgGX0-kHA/edit?usp=sharing"",""แผน!FG18"")"),1)</f>
        <v>1</v>
      </c>
      <c r="J440" s="214">
        <v>0</v>
      </c>
      <c r="K440" s="465">
        <f t="shared" ca="1" si="193"/>
        <v>0</v>
      </c>
      <c r="L440" s="465"/>
      <c r="M440" s="465"/>
      <c r="N440" s="465"/>
      <c r="O440" s="465"/>
      <c r="P440" s="465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 hidden="1">
      <c r="A441" s="170"/>
      <c r="B441" s="171"/>
      <c r="C441" s="171"/>
      <c r="D441" s="415" t="s">
        <v>198</v>
      </c>
      <c r="E441" s="342"/>
      <c r="F441" s="342"/>
      <c r="G441" s="179"/>
      <c r="H441" s="589" t="s">
        <v>35</v>
      </c>
      <c r="I441" s="269">
        <f ca="1">IFERROR(__xludf.DUMMYFUNCTION("IMPORTRANGE(""https://docs.google.com/spreadsheets/d/1QqKyyYR6Q21VydFLVH3TRQUabQu_ym0Zz7PgGX0-kHA/edit?usp=sharing"",""แผน!FH18"")"),0)</f>
        <v>0</v>
      </c>
      <c r="J441" s="269">
        <v>0</v>
      </c>
      <c r="K441" s="465">
        <f t="shared" ca="1" si="193"/>
        <v>0</v>
      </c>
      <c r="L441" s="465"/>
      <c r="M441" s="465"/>
      <c r="N441" s="465"/>
      <c r="O441" s="465"/>
      <c r="P441" s="465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49">
        <v>2</v>
      </c>
      <c r="B442" s="550" t="s">
        <v>199</v>
      </c>
      <c r="C442" s="551"/>
      <c r="D442" s="551"/>
      <c r="E442" s="551"/>
      <c r="F442" s="551"/>
      <c r="G442" s="552"/>
      <c r="H442" s="553" t="s">
        <v>35</v>
      </c>
      <c r="I442" s="554">
        <f t="shared" ref="I442:J442" ca="1" si="194">I460</f>
        <v>40</v>
      </c>
      <c r="J442" s="554">
        <f t="shared" si="194"/>
        <v>0</v>
      </c>
      <c r="K442" s="555">
        <f t="shared" ca="1" si="193"/>
        <v>0</v>
      </c>
      <c r="L442" s="556"/>
      <c r="M442" s="556"/>
      <c r="N442" s="556"/>
      <c r="O442" s="556"/>
      <c r="P442" s="556"/>
      <c r="Q442" s="541"/>
      <c r="R442" s="541"/>
      <c r="S442" s="541"/>
      <c r="T442" s="541"/>
      <c r="U442" s="541"/>
      <c r="V442" s="541"/>
      <c r="W442" s="541"/>
      <c r="X442" s="541"/>
      <c r="Y442" s="541"/>
      <c r="Z442" s="541"/>
    </row>
    <row r="443" spans="1:26" ht="19.5">
      <c r="A443" s="557"/>
      <c r="B443" s="558"/>
      <c r="C443" s="559"/>
      <c r="D443" s="559"/>
      <c r="E443" s="559"/>
      <c r="F443" s="559"/>
      <c r="G443" s="560"/>
      <c r="H443" s="531" t="s">
        <v>46</v>
      </c>
      <c r="I443" s="532">
        <f t="shared" ref="I443:J443" ca="1" si="195">I462</f>
        <v>80</v>
      </c>
      <c r="J443" s="532">
        <f t="shared" si="195"/>
        <v>0</v>
      </c>
      <c r="K443" s="533">
        <f t="shared" ca="1" si="193"/>
        <v>0</v>
      </c>
      <c r="L443" s="534"/>
      <c r="M443" s="534"/>
      <c r="N443" s="534"/>
      <c r="O443" s="534"/>
      <c r="P443" s="534"/>
      <c r="Q443" s="541"/>
      <c r="R443" s="541"/>
      <c r="S443" s="541"/>
      <c r="T443" s="541"/>
      <c r="U443" s="541"/>
      <c r="V443" s="541"/>
      <c r="W443" s="541"/>
      <c r="X443" s="541"/>
      <c r="Y443" s="541"/>
      <c r="Z443" s="541"/>
    </row>
    <row r="444" spans="1:26" ht="19.5">
      <c r="A444" s="561"/>
      <c r="B444" s="727"/>
      <c r="C444" s="727" t="s">
        <v>16</v>
      </c>
      <c r="D444" s="811" t="s">
        <v>17</v>
      </c>
      <c r="E444" s="805"/>
      <c r="F444" s="805"/>
      <c r="G444" s="189"/>
      <c r="H444" s="562" t="s">
        <v>12</v>
      </c>
      <c r="I444" s="269"/>
      <c r="J444" s="269"/>
      <c r="K444" s="465"/>
      <c r="L444" s="195">
        <f t="shared" ref="L444:N444" ca="1" si="196">L445+L446</f>
        <v>321680</v>
      </c>
      <c r="M444" s="195">
        <f t="shared" si="196"/>
        <v>0</v>
      </c>
      <c r="N444" s="195">
        <f t="shared" si="196"/>
        <v>0</v>
      </c>
      <c r="O444" s="195">
        <f t="shared" ref="O444:O449" ca="1" si="197">IF(L444&gt;0,N444*100/L444,0)</f>
        <v>0</v>
      </c>
      <c r="P444" s="195">
        <f t="shared" ref="P444:P449" si="198">IF(M444&gt;0,N444*100/M444,0)</f>
        <v>0</v>
      </c>
      <c r="Q444" s="541"/>
      <c r="R444" s="541"/>
      <c r="S444" s="541"/>
      <c r="T444" s="541"/>
      <c r="U444" s="541"/>
      <c r="V444" s="541"/>
      <c r="W444" s="541"/>
      <c r="X444" s="541"/>
      <c r="Y444" s="541"/>
      <c r="Z444" s="541"/>
    </row>
    <row r="445" spans="1:26" ht="18.75" hidden="1">
      <c r="A445" s="563"/>
      <c r="B445" s="723"/>
      <c r="C445" s="723"/>
      <c r="D445" s="684"/>
      <c r="E445" s="723" t="s">
        <v>184</v>
      </c>
      <c r="F445" s="723"/>
      <c r="G445" s="567"/>
      <c r="H445" s="165" t="s">
        <v>12</v>
      </c>
      <c r="I445" s="583"/>
      <c r="J445" s="583"/>
      <c r="K445" s="93"/>
      <c r="L445" s="93">
        <f t="shared" ref="L445:N446" si="199">L448+L455</f>
        <v>0</v>
      </c>
      <c r="M445" s="93">
        <f t="shared" si="199"/>
        <v>0</v>
      </c>
      <c r="N445" s="93">
        <f t="shared" si="199"/>
        <v>0</v>
      </c>
      <c r="O445" s="93">
        <f t="shared" si="197"/>
        <v>0</v>
      </c>
      <c r="P445" s="93">
        <f t="shared" si="198"/>
        <v>0</v>
      </c>
      <c r="Q445" s="568"/>
      <c r="R445" s="568"/>
      <c r="S445" s="568"/>
      <c r="T445" s="568"/>
      <c r="U445" s="568"/>
      <c r="V445" s="568"/>
      <c r="W445" s="568"/>
      <c r="X445" s="568"/>
      <c r="Y445" s="568"/>
      <c r="Z445" s="568"/>
    </row>
    <row r="446" spans="1:26" ht="18.75" hidden="1">
      <c r="A446" s="563"/>
      <c r="B446" s="571"/>
      <c r="C446" s="723"/>
      <c r="D446" s="684"/>
      <c r="E446" s="723" t="s">
        <v>185</v>
      </c>
      <c r="F446" s="723"/>
      <c r="G446" s="567"/>
      <c r="H446" s="165" t="s">
        <v>12</v>
      </c>
      <c r="I446" s="583"/>
      <c r="J446" s="583"/>
      <c r="K446" s="93"/>
      <c r="L446" s="93">
        <f t="shared" ca="1" si="199"/>
        <v>321680</v>
      </c>
      <c r="M446" s="93">
        <f t="shared" si="199"/>
        <v>0</v>
      </c>
      <c r="N446" s="93">
        <f t="shared" si="199"/>
        <v>0</v>
      </c>
      <c r="O446" s="93">
        <f t="shared" ca="1" si="197"/>
        <v>0</v>
      </c>
      <c r="P446" s="93">
        <f t="shared" si="198"/>
        <v>0</v>
      </c>
      <c r="Q446" s="568"/>
      <c r="R446" s="568"/>
      <c r="S446" s="568"/>
      <c r="T446" s="568"/>
      <c r="U446" s="568"/>
      <c r="V446" s="568"/>
      <c r="W446" s="568"/>
      <c r="X446" s="568"/>
      <c r="Y446" s="568"/>
      <c r="Z446" s="568"/>
    </row>
    <row r="447" spans="1:26" ht="18.75">
      <c r="A447" s="561"/>
      <c r="B447" s="538"/>
      <c r="C447" s="727"/>
      <c r="D447" s="570" t="s">
        <v>20</v>
      </c>
      <c r="E447" s="727"/>
      <c r="F447" s="727"/>
      <c r="G447" s="189"/>
      <c r="H447" s="161" t="s">
        <v>12</v>
      </c>
      <c r="I447" s="184"/>
      <c r="J447" s="184"/>
      <c r="K447" s="163"/>
      <c r="L447" s="465">
        <f t="shared" ref="L447:N447" ca="1" si="200">L448+L449</f>
        <v>321680</v>
      </c>
      <c r="M447" s="465">
        <f t="shared" si="200"/>
        <v>0</v>
      </c>
      <c r="N447" s="465">
        <f t="shared" si="200"/>
        <v>0</v>
      </c>
      <c r="O447" s="465">
        <f t="shared" ca="1" si="197"/>
        <v>0</v>
      </c>
      <c r="P447" s="465">
        <f t="shared" si="198"/>
        <v>0</v>
      </c>
      <c r="Q447" s="541"/>
      <c r="R447" s="541"/>
      <c r="S447" s="541"/>
      <c r="T447" s="541"/>
      <c r="U447" s="541"/>
      <c r="V447" s="541"/>
      <c r="W447" s="541"/>
      <c r="X447" s="541"/>
      <c r="Y447" s="541"/>
      <c r="Z447" s="541"/>
    </row>
    <row r="448" spans="1:26" ht="18.75" hidden="1">
      <c r="A448" s="563"/>
      <c r="B448" s="571"/>
      <c r="C448" s="723"/>
      <c r="D448" s="684"/>
      <c r="E448" s="723" t="s">
        <v>184</v>
      </c>
      <c r="F448" s="723"/>
      <c r="G448" s="567"/>
      <c r="H448" s="165" t="s">
        <v>12</v>
      </c>
      <c r="I448" s="583"/>
      <c r="J448" s="583"/>
      <c r="K448" s="93"/>
      <c r="L448" s="93">
        <v>0</v>
      </c>
      <c r="M448" s="93">
        <v>0</v>
      </c>
      <c r="N448" s="93">
        <v>0</v>
      </c>
      <c r="O448" s="93">
        <f t="shared" si="197"/>
        <v>0</v>
      </c>
      <c r="P448" s="93">
        <f t="shared" si="198"/>
        <v>0</v>
      </c>
      <c r="Q448" s="568"/>
      <c r="R448" s="568"/>
      <c r="S448" s="568"/>
      <c r="T448" s="568"/>
      <c r="U448" s="568"/>
      <c r="V448" s="568"/>
      <c r="W448" s="568"/>
      <c r="X448" s="568"/>
      <c r="Y448" s="568"/>
      <c r="Z448" s="568"/>
    </row>
    <row r="449" spans="1:26" ht="18.75" hidden="1">
      <c r="A449" s="563"/>
      <c r="B449" s="571"/>
      <c r="C449" s="723"/>
      <c r="D449" s="684"/>
      <c r="E449" s="723" t="s">
        <v>185</v>
      </c>
      <c r="F449" s="723"/>
      <c r="G449" s="567"/>
      <c r="H449" s="165" t="s">
        <v>12</v>
      </c>
      <c r="I449" s="583"/>
      <c r="J449" s="583"/>
      <c r="K449" s="93"/>
      <c r="L449" s="93">
        <f ca="1">IFERROR(__xludf.DUMMYFUNCTION("IMPORTRANGE(""https://docs.google.com/spreadsheets/d/1QqKyyYR6Q21VydFLVH3TRQUabQu_ym0Zz7PgGX0-kHA/edit?usp=sharing"",""แผน!FJ18"")"),321680)</f>
        <v>321680</v>
      </c>
      <c r="M449" s="93">
        <v>0</v>
      </c>
      <c r="N449" s="93">
        <f>N450+N451+N452+N453</f>
        <v>0</v>
      </c>
      <c r="O449" s="93">
        <f t="shared" ca="1" si="197"/>
        <v>0</v>
      </c>
      <c r="P449" s="93">
        <f t="shared" si="198"/>
        <v>0</v>
      </c>
      <c r="Q449" s="568"/>
      <c r="R449" s="568"/>
      <c r="S449" s="568"/>
      <c r="T449" s="568"/>
      <c r="U449" s="568"/>
      <c r="V449" s="568"/>
      <c r="W449" s="568"/>
      <c r="X449" s="568"/>
      <c r="Y449" s="568"/>
      <c r="Z449" s="568"/>
    </row>
    <row r="450" spans="1:26" ht="18.75">
      <c r="A450" s="537"/>
      <c r="B450" s="538"/>
      <c r="C450" s="727"/>
      <c r="D450" s="727"/>
      <c r="E450" s="727"/>
      <c r="F450" s="727" t="s">
        <v>186</v>
      </c>
      <c r="G450" s="189"/>
      <c r="H450" s="161" t="s">
        <v>12</v>
      </c>
      <c r="I450" s="269"/>
      <c r="J450" s="269"/>
      <c r="K450" s="465"/>
      <c r="L450" s="465"/>
      <c r="M450" s="465"/>
      <c r="N450" s="789">
        <v>0</v>
      </c>
      <c r="O450" s="465"/>
      <c r="P450" s="465"/>
      <c r="Q450" s="541"/>
      <c r="R450" s="541"/>
      <c r="S450" s="541"/>
      <c r="T450" s="541"/>
      <c r="U450" s="541"/>
      <c r="V450" s="541"/>
      <c r="W450" s="541"/>
      <c r="X450" s="541"/>
      <c r="Y450" s="541"/>
      <c r="Z450" s="541"/>
    </row>
    <row r="451" spans="1:26" ht="18.75">
      <c r="A451" s="537"/>
      <c r="B451" s="538"/>
      <c r="C451" s="727"/>
      <c r="D451" s="727"/>
      <c r="E451" s="727"/>
      <c r="F451" s="727" t="s">
        <v>187</v>
      </c>
      <c r="G451" s="189"/>
      <c r="H451" s="161" t="s">
        <v>12</v>
      </c>
      <c r="I451" s="269"/>
      <c r="J451" s="269"/>
      <c r="K451" s="465"/>
      <c r="L451" s="465"/>
      <c r="M451" s="465"/>
      <c r="N451" s="789">
        <v>0</v>
      </c>
      <c r="O451" s="465"/>
      <c r="P451" s="465"/>
      <c r="Q451" s="541"/>
      <c r="R451" s="541"/>
      <c r="S451" s="541"/>
      <c r="T451" s="541"/>
      <c r="U451" s="541"/>
      <c r="V451" s="541"/>
      <c r="W451" s="541"/>
      <c r="X451" s="541"/>
      <c r="Y451" s="541"/>
      <c r="Z451" s="541"/>
    </row>
    <row r="452" spans="1:26" ht="18.75">
      <c r="A452" s="537"/>
      <c r="B452" s="538"/>
      <c r="C452" s="538"/>
      <c r="D452" s="538"/>
      <c r="E452" s="538"/>
      <c r="F452" s="727" t="s">
        <v>188</v>
      </c>
      <c r="G452" s="189"/>
      <c r="H452" s="161" t="s">
        <v>12</v>
      </c>
      <c r="I452" s="269"/>
      <c r="J452" s="269"/>
      <c r="K452" s="465"/>
      <c r="L452" s="465"/>
      <c r="M452" s="465"/>
      <c r="N452" s="789">
        <v>0</v>
      </c>
      <c r="O452" s="465"/>
      <c r="P452" s="465"/>
      <c r="Q452" s="541"/>
      <c r="R452" s="541"/>
      <c r="S452" s="541"/>
      <c r="T452" s="541"/>
      <c r="U452" s="541"/>
      <c r="V452" s="541"/>
      <c r="W452" s="541"/>
      <c r="X452" s="541"/>
      <c r="Y452" s="541"/>
      <c r="Z452" s="541"/>
    </row>
    <row r="453" spans="1:26" ht="18.75">
      <c r="A453" s="537"/>
      <c r="B453" s="538"/>
      <c r="C453" s="538"/>
      <c r="D453" s="538"/>
      <c r="E453" s="538"/>
      <c r="F453" s="727" t="s">
        <v>189</v>
      </c>
      <c r="G453" s="189"/>
      <c r="H453" s="161" t="s">
        <v>12</v>
      </c>
      <c r="I453" s="269"/>
      <c r="J453" s="269"/>
      <c r="K453" s="465"/>
      <c r="L453" s="465"/>
      <c r="M453" s="465"/>
      <c r="N453" s="789">
        <v>0</v>
      </c>
      <c r="O453" s="465"/>
      <c r="P453" s="465"/>
      <c r="Q453" s="541"/>
      <c r="R453" s="541"/>
      <c r="S453" s="541"/>
      <c r="T453" s="541"/>
      <c r="U453" s="541"/>
      <c r="V453" s="541"/>
      <c r="W453" s="541"/>
      <c r="X453" s="541"/>
      <c r="Y453" s="541"/>
      <c r="Z453" s="541"/>
    </row>
    <row r="454" spans="1:26" ht="18.75">
      <c r="A454" s="561"/>
      <c r="B454" s="538"/>
      <c r="C454" s="538"/>
      <c r="D454" s="570" t="s">
        <v>21</v>
      </c>
      <c r="E454" s="538"/>
      <c r="F454" s="727"/>
      <c r="G454" s="189"/>
      <c r="H454" s="168" t="s">
        <v>12</v>
      </c>
      <c r="I454" s="184"/>
      <c r="J454" s="184"/>
      <c r="K454" s="163"/>
      <c r="L454" s="465">
        <f t="shared" ref="L454:N454" ca="1" si="201">L455+L456</f>
        <v>0</v>
      </c>
      <c r="M454" s="465">
        <f t="shared" si="201"/>
        <v>0</v>
      </c>
      <c r="N454" s="465">
        <f t="shared" si="201"/>
        <v>0</v>
      </c>
      <c r="O454" s="465">
        <f t="shared" ref="O454:O456" ca="1" si="202">IF(L454&gt;0,N454*100/L454,0)</f>
        <v>0</v>
      </c>
      <c r="P454" s="465">
        <f t="shared" ref="P454:P456" si="203">IF(M454&gt;0,N454*100/M454,0)</f>
        <v>0</v>
      </c>
      <c r="Q454" s="541"/>
      <c r="R454" s="541"/>
      <c r="S454" s="541"/>
      <c r="T454" s="541"/>
      <c r="U454" s="541"/>
      <c r="V454" s="541"/>
      <c r="W454" s="541"/>
      <c r="X454" s="541"/>
      <c r="Y454" s="541"/>
      <c r="Z454" s="541"/>
    </row>
    <row r="455" spans="1:26" ht="18.75" hidden="1">
      <c r="A455" s="563"/>
      <c r="B455" s="571"/>
      <c r="C455" s="571"/>
      <c r="D455" s="571"/>
      <c r="E455" s="571" t="s">
        <v>18</v>
      </c>
      <c r="F455" s="723"/>
      <c r="G455" s="567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2"/>
        <v>0</v>
      </c>
      <c r="P455" s="93">
        <f t="shared" si="203"/>
        <v>0</v>
      </c>
      <c r="Q455" s="568"/>
      <c r="R455" s="568"/>
      <c r="S455" s="568"/>
      <c r="T455" s="568"/>
      <c r="U455" s="568"/>
      <c r="V455" s="568"/>
      <c r="W455" s="568"/>
      <c r="X455" s="568"/>
      <c r="Y455" s="568"/>
      <c r="Z455" s="568"/>
    </row>
    <row r="456" spans="1:26" ht="18.75" hidden="1">
      <c r="A456" s="563"/>
      <c r="B456" s="571"/>
      <c r="C456" s="571"/>
      <c r="D456" s="571"/>
      <c r="E456" s="571" t="s">
        <v>19</v>
      </c>
      <c r="F456" s="723"/>
      <c r="G456" s="567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IFERROR(__xludf.DUMMYFUNCTION("IMPORTRANGE(""https://docs.google.com/spreadsheets/d/1QqKyyYR6Q21VydFLVH3TRQUabQu_ym0Zz7PgGX0-kHA/edit?usp=sharing"",""แผน!FM18"")"),0)</f>
        <v>0</v>
      </c>
      <c r="M456" s="93">
        <v>0</v>
      </c>
      <c r="N456" s="93">
        <v>0</v>
      </c>
      <c r="O456" s="93">
        <f t="shared" ca="1" si="202"/>
        <v>0</v>
      </c>
      <c r="P456" s="93">
        <f t="shared" si="203"/>
        <v>0</v>
      </c>
      <c r="Q456" s="568"/>
      <c r="R456" s="568"/>
      <c r="S456" s="568"/>
      <c r="T456" s="568"/>
      <c r="U456" s="568"/>
      <c r="V456" s="568"/>
      <c r="W456" s="568"/>
      <c r="X456" s="568"/>
      <c r="Y456" s="568"/>
      <c r="Z456" s="568"/>
    </row>
    <row r="457" spans="1:26" ht="19.5">
      <c r="A457" s="572"/>
      <c r="B457" s="584"/>
      <c r="C457" s="538" t="s">
        <v>16</v>
      </c>
      <c r="D457" s="850" t="s">
        <v>38</v>
      </c>
      <c r="E457" s="575"/>
      <c r="F457" s="725"/>
      <c r="G457" s="577"/>
      <c r="H457" s="726"/>
      <c r="I457" s="269"/>
      <c r="J457" s="269"/>
      <c r="K457" s="465"/>
      <c r="L457" s="465"/>
      <c r="M457" s="465"/>
      <c r="N457" s="465"/>
      <c r="O457" s="465"/>
      <c r="P457" s="465"/>
      <c r="Q457" s="541"/>
      <c r="R457" s="541"/>
      <c r="S457" s="541"/>
      <c r="T457" s="541"/>
      <c r="U457" s="541"/>
      <c r="V457" s="541"/>
      <c r="W457" s="541"/>
      <c r="X457" s="541"/>
      <c r="Y457" s="541"/>
      <c r="Z457" s="541"/>
    </row>
    <row r="458" spans="1:26" ht="18.75" hidden="1">
      <c r="A458" s="578"/>
      <c r="B458" s="580"/>
      <c r="C458" s="580"/>
      <c r="D458" s="580" t="s">
        <v>200</v>
      </c>
      <c r="E458" s="580"/>
      <c r="F458" s="684"/>
      <c r="G458" s="581"/>
      <c r="H458" s="582" t="s">
        <v>35</v>
      </c>
      <c r="I458" s="583">
        <v>0</v>
      </c>
      <c r="J458" s="583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568"/>
      <c r="R458" s="568"/>
      <c r="S458" s="568"/>
      <c r="T458" s="568"/>
      <c r="U458" s="568"/>
      <c r="V458" s="568"/>
      <c r="W458" s="568"/>
      <c r="X458" s="568"/>
      <c r="Y458" s="568"/>
      <c r="Z458" s="568"/>
    </row>
    <row r="459" spans="1:26" ht="18.75" hidden="1">
      <c r="A459" s="578"/>
      <c r="B459" s="580"/>
      <c r="C459" s="580"/>
      <c r="D459" s="580" t="s">
        <v>201</v>
      </c>
      <c r="E459" s="580"/>
      <c r="F459" s="684"/>
      <c r="G459" s="581"/>
      <c r="H459" s="582"/>
      <c r="I459" s="583"/>
      <c r="J459" s="583"/>
      <c r="K459" s="93"/>
      <c r="L459" s="93"/>
      <c r="M459" s="93"/>
      <c r="N459" s="93"/>
      <c r="O459" s="93"/>
      <c r="P459" s="93"/>
      <c r="Q459" s="568"/>
      <c r="R459" s="568"/>
      <c r="S459" s="568"/>
      <c r="T459" s="568"/>
      <c r="U459" s="568"/>
      <c r="V459" s="568"/>
      <c r="W459" s="568"/>
      <c r="X459" s="568"/>
      <c r="Y459" s="568"/>
      <c r="Z459" s="568"/>
    </row>
    <row r="460" spans="1:26" ht="18.75">
      <c r="A460" s="572"/>
      <c r="B460" s="584"/>
      <c r="C460" s="584"/>
      <c r="D460" s="584" t="s">
        <v>202</v>
      </c>
      <c r="E460" s="584"/>
      <c r="F460" s="592"/>
      <c r="G460" s="726"/>
      <c r="H460" s="728" t="s">
        <v>35</v>
      </c>
      <c r="I460" s="269">
        <f ca="1">IFERROR(__xludf.DUMMYFUNCTION("IMPORTRANGE(""https://docs.google.com/spreadsheets/d/1QqKyyYR6Q21VydFLVH3TRQUabQu_ym0Zz7PgGX0-kHA/edit?usp=sharing"",""แผน!FN18"")"),40)</f>
        <v>40</v>
      </c>
      <c r="J460" s="214">
        <v>0</v>
      </c>
      <c r="K460" s="465">
        <f ca="1">IF(I460&gt;0,J460*100/I460,0)</f>
        <v>0</v>
      </c>
      <c r="L460" s="465"/>
      <c r="M460" s="465"/>
      <c r="N460" s="465"/>
      <c r="O460" s="465"/>
      <c r="P460" s="465"/>
      <c r="Q460" s="541"/>
      <c r="R460" s="541"/>
      <c r="S460" s="541"/>
      <c r="T460" s="541"/>
      <c r="U460" s="541"/>
      <c r="V460" s="541"/>
      <c r="W460" s="541"/>
      <c r="X460" s="541"/>
      <c r="Y460" s="541"/>
      <c r="Z460" s="541"/>
    </row>
    <row r="461" spans="1:26" ht="18.75">
      <c r="A461" s="572"/>
      <c r="B461" s="584"/>
      <c r="C461" s="584"/>
      <c r="D461" s="584" t="s">
        <v>203</v>
      </c>
      <c r="E461" s="592"/>
      <c r="F461" s="592"/>
      <c r="G461" s="726"/>
      <c r="H461" s="728"/>
      <c r="I461" s="269"/>
      <c r="J461" s="269"/>
      <c r="K461" s="465"/>
      <c r="L461" s="465"/>
      <c r="M461" s="465"/>
      <c r="N461" s="465"/>
      <c r="O461" s="465"/>
      <c r="P461" s="465"/>
      <c r="Q461" s="541"/>
      <c r="R461" s="541"/>
      <c r="S461" s="541"/>
      <c r="T461" s="541"/>
      <c r="U461" s="541"/>
      <c r="V461" s="541"/>
      <c r="W461" s="541"/>
      <c r="X461" s="541"/>
      <c r="Y461" s="541"/>
      <c r="Z461" s="541"/>
    </row>
    <row r="462" spans="1:26" ht="18.75">
      <c r="A462" s="572"/>
      <c r="B462" s="584"/>
      <c r="C462" s="584"/>
      <c r="D462" s="584" t="s">
        <v>204</v>
      </c>
      <c r="E462" s="592"/>
      <c r="F462" s="592"/>
      <c r="G462" s="726"/>
      <c r="H462" s="728" t="s">
        <v>46</v>
      </c>
      <c r="I462" s="269">
        <f ca="1">IFERROR(__xludf.DUMMYFUNCTION("IMPORTRANGE(""https://docs.google.com/spreadsheets/d/1QqKyyYR6Q21VydFLVH3TRQUabQu_ym0Zz7PgGX0-kHA/edit?usp=sharing"",""แผน!FO18"")"),80)</f>
        <v>80</v>
      </c>
      <c r="J462" s="214">
        <v>0</v>
      </c>
      <c r="K462" s="465">
        <f ca="1">IF(I462&gt;0,J462*100/I462,0)</f>
        <v>0</v>
      </c>
      <c r="L462" s="465"/>
      <c r="M462" s="465"/>
      <c r="N462" s="465"/>
      <c r="O462" s="465"/>
      <c r="P462" s="465"/>
      <c r="Q462" s="541"/>
      <c r="R462" s="541"/>
      <c r="S462" s="541"/>
      <c r="T462" s="541"/>
      <c r="U462" s="541"/>
      <c r="V462" s="541"/>
      <c r="W462" s="541"/>
      <c r="X462" s="541"/>
      <c r="Y462" s="541"/>
      <c r="Z462" s="541"/>
    </row>
    <row r="463" spans="1:26" ht="18.75">
      <c r="A463" s="572"/>
      <c r="B463" s="584"/>
      <c r="C463" s="584"/>
      <c r="D463" s="584" t="s">
        <v>59</v>
      </c>
      <c r="E463" s="592"/>
      <c r="F463" s="727"/>
      <c r="G463" s="189"/>
      <c r="H463" s="728" t="s">
        <v>46</v>
      </c>
      <c r="I463" s="269">
        <f ca="1">IFERROR(__xludf.DUMMYFUNCTION("IMPORTRANGE(""https://docs.google.com/spreadsheets/d/1QqKyyYR6Q21VydFLVH3TRQUabQu_ym0Zz7PgGX0-kHA/edit?usp=sharing"",""แผน!FO18"")"),80)</f>
        <v>80</v>
      </c>
      <c r="J463" s="214">
        <v>0</v>
      </c>
      <c r="K463" s="465"/>
      <c r="L463" s="465"/>
      <c r="M463" s="465"/>
      <c r="N463" s="465"/>
      <c r="O463" s="465"/>
      <c r="P463" s="465"/>
      <c r="Q463" s="541"/>
      <c r="R463" s="541"/>
      <c r="S463" s="541"/>
      <c r="T463" s="541"/>
      <c r="U463" s="541"/>
      <c r="V463" s="541"/>
      <c r="W463" s="541"/>
      <c r="X463" s="541"/>
      <c r="Y463" s="541"/>
      <c r="Z463" s="541"/>
    </row>
    <row r="464" spans="1:26" ht="19.5">
      <c r="A464" s="572"/>
      <c r="B464" s="584"/>
      <c r="C464" s="584"/>
      <c r="D464" s="584"/>
      <c r="E464" s="592"/>
      <c r="F464" s="592"/>
      <c r="G464" s="586"/>
      <c r="H464" s="728" t="s">
        <v>35</v>
      </c>
      <c r="I464" s="269">
        <f ca="1">IFERROR(__xludf.DUMMYFUNCTION("IMPORTRANGE(""https://docs.google.com/spreadsheets/d/1QqKyyYR6Q21VydFLVH3TRQUabQu_ym0Zz7PgGX0-kHA/edit?usp=sharing"",""แผน!FN18"")"),40)</f>
        <v>40</v>
      </c>
      <c r="J464" s="214">
        <v>0</v>
      </c>
      <c r="K464" s="465"/>
      <c r="L464" s="465"/>
      <c r="M464" s="465"/>
      <c r="N464" s="465"/>
      <c r="O464" s="465"/>
      <c r="P464" s="465"/>
      <c r="Q464" s="541"/>
      <c r="R464" s="541"/>
      <c r="S464" s="541"/>
      <c r="T464" s="541"/>
      <c r="U464" s="541"/>
      <c r="V464" s="541"/>
      <c r="W464" s="541"/>
      <c r="X464" s="541"/>
      <c r="Y464" s="541"/>
      <c r="Z464" s="541"/>
    </row>
    <row r="465" spans="1:26" ht="19.5">
      <c r="A465" s="549">
        <v>3</v>
      </c>
      <c r="B465" s="550" t="s">
        <v>205</v>
      </c>
      <c r="C465" s="551"/>
      <c r="D465" s="551"/>
      <c r="E465" s="551"/>
      <c r="F465" s="551"/>
      <c r="G465" s="552"/>
      <c r="H465" s="553" t="s">
        <v>35</v>
      </c>
      <c r="I465" s="554">
        <f ca="1">IFERROR(__xludf.DUMMYFUNCTION("IMPORTRANGE(""https://docs.google.com/spreadsheets/d/1QqKyyYR6Q21VydFLVH3TRQUabQu_ym0Zz7PgGX0-kHA/edit?usp=sharing"",""แผน!FX18"")"),131)</f>
        <v>131</v>
      </c>
      <c r="J465" s="554">
        <f>J485+J489+J492</f>
        <v>0</v>
      </c>
      <c r="K465" s="555">
        <f t="shared" ref="K465:K466" ca="1" si="204">IF(I465&gt;0,J465*100/I465,0)</f>
        <v>0</v>
      </c>
      <c r="L465" s="556"/>
      <c r="M465" s="556"/>
      <c r="N465" s="556"/>
      <c r="O465" s="556"/>
      <c r="P465" s="556"/>
      <c r="Q465" s="541"/>
      <c r="R465" s="541"/>
      <c r="S465" s="541"/>
      <c r="T465" s="541"/>
      <c r="U465" s="541"/>
      <c r="V465" s="541"/>
      <c r="W465" s="541"/>
      <c r="X465" s="541"/>
      <c r="Y465" s="541"/>
      <c r="Z465" s="541"/>
    </row>
    <row r="466" spans="1:26" ht="19.5">
      <c r="A466" s="557"/>
      <c r="B466" s="558"/>
      <c r="C466" s="559"/>
      <c r="D466" s="559"/>
      <c r="E466" s="559"/>
      <c r="F466" s="559"/>
      <c r="G466" s="560"/>
      <c r="H466" s="531" t="s">
        <v>46</v>
      </c>
      <c r="I466" s="532">
        <f ca="1">IFERROR(__xludf.DUMMYFUNCTION("IMPORTRANGE(""https://docs.google.com/spreadsheets/d/1QqKyyYR6Q21VydFLVH3TRQUabQu_ym0Zz7PgGX0-kHA/edit?usp=sharing"",""แผน!FW18"")"),1300)</f>
        <v>1300</v>
      </c>
      <c r="J466" s="532">
        <f>J483+J487</f>
        <v>0</v>
      </c>
      <c r="K466" s="533">
        <f t="shared" ca="1" si="204"/>
        <v>0</v>
      </c>
      <c r="L466" s="534"/>
      <c r="M466" s="534"/>
      <c r="N466" s="534"/>
      <c r="O466" s="534"/>
      <c r="P466" s="534"/>
      <c r="Q466" s="541"/>
      <c r="R466" s="541"/>
      <c r="S466" s="541"/>
      <c r="T466" s="541"/>
      <c r="U466" s="541"/>
      <c r="V466" s="541"/>
      <c r="W466" s="541"/>
      <c r="X466" s="541"/>
      <c r="Y466" s="541"/>
      <c r="Z466" s="541"/>
    </row>
    <row r="467" spans="1:26" ht="19.5">
      <c r="A467" s="561"/>
      <c r="B467" s="727"/>
      <c r="C467" s="727" t="s">
        <v>16</v>
      </c>
      <c r="D467" s="811" t="s">
        <v>17</v>
      </c>
      <c r="E467" s="805"/>
      <c r="F467" s="805"/>
      <c r="G467" s="189"/>
      <c r="H467" s="562" t="s">
        <v>12</v>
      </c>
      <c r="I467" s="269"/>
      <c r="J467" s="269"/>
      <c r="K467" s="465"/>
      <c r="L467" s="195">
        <f t="shared" ref="L467:N467" ca="1" si="205">L468+L469</f>
        <v>1161548</v>
      </c>
      <c r="M467" s="195">
        <f t="shared" si="205"/>
        <v>0</v>
      </c>
      <c r="N467" s="195">
        <f t="shared" si="205"/>
        <v>0</v>
      </c>
      <c r="O467" s="195">
        <f t="shared" ref="O467:O472" ca="1" si="206">IF(L467&gt;0,N467*100/L467,0)</f>
        <v>0</v>
      </c>
      <c r="P467" s="195">
        <f t="shared" ref="P467:P472" si="207">IF(M467&gt;0,N467*100/M467,0)</f>
        <v>0</v>
      </c>
      <c r="Q467" s="541"/>
      <c r="R467" s="541"/>
      <c r="S467" s="541"/>
      <c r="T467" s="541"/>
      <c r="U467" s="541"/>
      <c r="V467" s="541"/>
      <c r="W467" s="541"/>
      <c r="X467" s="541"/>
      <c r="Y467" s="541"/>
      <c r="Z467" s="541"/>
    </row>
    <row r="468" spans="1:26" ht="18.75" hidden="1">
      <c r="A468" s="563"/>
      <c r="B468" s="723"/>
      <c r="C468" s="723"/>
      <c r="D468" s="684"/>
      <c r="E468" s="723" t="s">
        <v>184</v>
      </c>
      <c r="F468" s="723"/>
      <c r="G468" s="567"/>
      <c r="H468" s="165" t="s">
        <v>12</v>
      </c>
      <c r="I468" s="583"/>
      <c r="J468" s="583"/>
      <c r="K468" s="93"/>
      <c r="L468" s="93">
        <f t="shared" ref="L468:N469" si="208">L471+L478</f>
        <v>0</v>
      </c>
      <c r="M468" s="93">
        <f t="shared" si="208"/>
        <v>0</v>
      </c>
      <c r="N468" s="93">
        <f t="shared" si="208"/>
        <v>0</v>
      </c>
      <c r="O468" s="93">
        <f t="shared" si="206"/>
        <v>0</v>
      </c>
      <c r="P468" s="93">
        <f t="shared" si="207"/>
        <v>0</v>
      </c>
      <c r="Q468" s="568"/>
      <c r="R468" s="568"/>
      <c r="S468" s="568"/>
      <c r="T468" s="568"/>
      <c r="U468" s="568"/>
      <c r="V468" s="568"/>
      <c r="W468" s="568"/>
      <c r="X468" s="568"/>
      <c r="Y468" s="568"/>
      <c r="Z468" s="568"/>
    </row>
    <row r="469" spans="1:26" ht="18.75" hidden="1">
      <c r="A469" s="563"/>
      <c r="B469" s="571"/>
      <c r="C469" s="723"/>
      <c r="D469" s="684"/>
      <c r="E469" s="723" t="s">
        <v>185</v>
      </c>
      <c r="F469" s="723"/>
      <c r="G469" s="567"/>
      <c r="H469" s="165" t="s">
        <v>12</v>
      </c>
      <c r="I469" s="583"/>
      <c r="J469" s="583"/>
      <c r="K469" s="93"/>
      <c r="L469" s="93">
        <f t="shared" ca="1" si="208"/>
        <v>1161548</v>
      </c>
      <c r="M469" s="93">
        <f t="shared" si="208"/>
        <v>0</v>
      </c>
      <c r="N469" s="93">
        <f t="shared" si="208"/>
        <v>0</v>
      </c>
      <c r="O469" s="93">
        <f t="shared" ca="1" si="206"/>
        <v>0</v>
      </c>
      <c r="P469" s="93">
        <f t="shared" si="207"/>
        <v>0</v>
      </c>
      <c r="Q469" s="568"/>
      <c r="R469" s="568"/>
      <c r="S469" s="568"/>
      <c r="T469" s="568"/>
      <c r="U469" s="568"/>
      <c r="V469" s="568"/>
      <c r="W469" s="568"/>
      <c r="X469" s="568"/>
      <c r="Y469" s="568"/>
      <c r="Z469" s="568"/>
    </row>
    <row r="470" spans="1:26" ht="18.75">
      <c r="A470" s="561"/>
      <c r="B470" s="538"/>
      <c r="C470" s="727"/>
      <c r="D470" s="570" t="s">
        <v>20</v>
      </c>
      <c r="E470" s="727"/>
      <c r="F470" s="727"/>
      <c r="G470" s="189"/>
      <c r="H470" s="161" t="s">
        <v>12</v>
      </c>
      <c r="I470" s="184"/>
      <c r="J470" s="184"/>
      <c r="K470" s="163"/>
      <c r="L470" s="465">
        <f t="shared" ref="L470:N470" ca="1" si="209">L471+L472</f>
        <v>1161548</v>
      </c>
      <c r="M470" s="465">
        <f t="shared" si="209"/>
        <v>0</v>
      </c>
      <c r="N470" s="465">
        <f t="shared" si="209"/>
        <v>0</v>
      </c>
      <c r="O470" s="465">
        <f t="shared" ca="1" si="206"/>
        <v>0</v>
      </c>
      <c r="P470" s="465">
        <f t="shared" si="207"/>
        <v>0</v>
      </c>
      <c r="Q470" s="541"/>
      <c r="R470" s="541"/>
      <c r="S470" s="541"/>
      <c r="T470" s="541"/>
      <c r="U470" s="541"/>
      <c r="V470" s="541"/>
      <c r="W470" s="541"/>
      <c r="X470" s="541"/>
      <c r="Y470" s="541"/>
      <c r="Z470" s="541"/>
    </row>
    <row r="471" spans="1:26" ht="18.75" hidden="1">
      <c r="A471" s="563"/>
      <c r="B471" s="571"/>
      <c r="C471" s="723"/>
      <c r="D471" s="684"/>
      <c r="E471" s="723" t="s">
        <v>184</v>
      </c>
      <c r="F471" s="723"/>
      <c r="G471" s="567"/>
      <c r="H471" s="165" t="s">
        <v>12</v>
      </c>
      <c r="I471" s="583"/>
      <c r="J471" s="583"/>
      <c r="K471" s="93"/>
      <c r="L471" s="93">
        <v>0</v>
      </c>
      <c r="M471" s="93">
        <v>0</v>
      </c>
      <c r="N471" s="93">
        <v>0</v>
      </c>
      <c r="O471" s="93">
        <f t="shared" si="206"/>
        <v>0</v>
      </c>
      <c r="P471" s="93">
        <f t="shared" si="207"/>
        <v>0</v>
      </c>
      <c r="Q471" s="568"/>
      <c r="R471" s="568"/>
      <c r="S471" s="568"/>
      <c r="T471" s="568"/>
      <c r="U471" s="568"/>
      <c r="V471" s="568"/>
      <c r="W471" s="568"/>
      <c r="X471" s="568"/>
      <c r="Y471" s="568"/>
      <c r="Z471" s="568"/>
    </row>
    <row r="472" spans="1:26" ht="18.75" hidden="1">
      <c r="A472" s="563"/>
      <c r="B472" s="571"/>
      <c r="C472" s="723"/>
      <c r="D472" s="684"/>
      <c r="E472" s="723" t="s">
        <v>185</v>
      </c>
      <c r="F472" s="723"/>
      <c r="G472" s="567"/>
      <c r="H472" s="165" t="s">
        <v>12</v>
      </c>
      <c r="I472" s="583"/>
      <c r="J472" s="583"/>
      <c r="K472" s="93"/>
      <c r="L472" s="93">
        <f ca="1">IFERROR(__xludf.DUMMYFUNCTION("IMPORTRANGE(""https://docs.google.com/spreadsheets/d/1QqKyyYR6Q21VydFLVH3TRQUabQu_ym0Zz7PgGX0-kHA/edit?usp=sharing"",""แผน!FS18"")"),1161548)</f>
        <v>1161548</v>
      </c>
      <c r="M472" s="93">
        <v>0</v>
      </c>
      <c r="N472" s="93">
        <f>N473+N474+N475+N476</f>
        <v>0</v>
      </c>
      <c r="O472" s="93">
        <f t="shared" ca="1" si="206"/>
        <v>0</v>
      </c>
      <c r="P472" s="93">
        <f t="shared" si="207"/>
        <v>0</v>
      </c>
      <c r="Q472" s="568"/>
      <c r="R472" s="568"/>
      <c r="S472" s="568"/>
      <c r="T472" s="568"/>
      <c r="U472" s="568"/>
      <c r="V472" s="568"/>
      <c r="W472" s="568"/>
      <c r="X472" s="568"/>
      <c r="Y472" s="568"/>
      <c r="Z472" s="568"/>
    </row>
    <row r="473" spans="1:26" ht="18.75">
      <c r="A473" s="537"/>
      <c r="B473" s="538"/>
      <c r="C473" s="727"/>
      <c r="D473" s="727"/>
      <c r="E473" s="727"/>
      <c r="F473" s="727" t="s">
        <v>186</v>
      </c>
      <c r="G473" s="189"/>
      <c r="H473" s="161" t="s">
        <v>12</v>
      </c>
      <c r="I473" s="269"/>
      <c r="J473" s="269"/>
      <c r="K473" s="465"/>
      <c r="L473" s="465"/>
      <c r="M473" s="465"/>
      <c r="N473" s="789">
        <v>0</v>
      </c>
      <c r="O473" s="465"/>
      <c r="P473" s="465"/>
      <c r="Q473" s="541"/>
      <c r="R473" s="541"/>
      <c r="S473" s="541"/>
      <c r="T473" s="541"/>
      <c r="U473" s="541"/>
      <c r="V473" s="541"/>
      <c r="W473" s="541"/>
      <c r="X473" s="541"/>
      <c r="Y473" s="541"/>
      <c r="Z473" s="541"/>
    </row>
    <row r="474" spans="1:26" ht="18.75">
      <c r="A474" s="537"/>
      <c r="B474" s="538"/>
      <c r="C474" s="727"/>
      <c r="D474" s="727"/>
      <c r="E474" s="727"/>
      <c r="F474" s="727" t="s">
        <v>187</v>
      </c>
      <c r="G474" s="189"/>
      <c r="H474" s="161" t="s">
        <v>12</v>
      </c>
      <c r="I474" s="269"/>
      <c r="J474" s="269"/>
      <c r="K474" s="465"/>
      <c r="L474" s="465"/>
      <c r="M474" s="465"/>
      <c r="N474" s="789">
        <v>0</v>
      </c>
      <c r="O474" s="465"/>
      <c r="P474" s="465"/>
      <c r="Q474" s="541"/>
      <c r="R474" s="541"/>
      <c r="S474" s="541"/>
      <c r="T474" s="541"/>
      <c r="U474" s="541"/>
      <c r="V474" s="541"/>
      <c r="W474" s="541"/>
      <c r="X474" s="541"/>
      <c r="Y474" s="541"/>
      <c r="Z474" s="541"/>
    </row>
    <row r="475" spans="1:26" ht="18.75">
      <c r="A475" s="537"/>
      <c r="B475" s="538"/>
      <c r="C475" s="538"/>
      <c r="D475" s="538"/>
      <c r="E475" s="538"/>
      <c r="F475" s="727" t="s">
        <v>188</v>
      </c>
      <c r="G475" s="189"/>
      <c r="H475" s="161" t="s">
        <v>12</v>
      </c>
      <c r="I475" s="269"/>
      <c r="J475" s="269"/>
      <c r="K475" s="465"/>
      <c r="L475" s="465"/>
      <c r="M475" s="465"/>
      <c r="N475" s="789">
        <v>0</v>
      </c>
      <c r="O475" s="465"/>
      <c r="P475" s="465"/>
      <c r="Q475" s="541"/>
      <c r="R475" s="541"/>
      <c r="S475" s="541"/>
      <c r="T475" s="541"/>
      <c r="U475" s="541"/>
      <c r="V475" s="541"/>
      <c r="W475" s="541"/>
      <c r="X475" s="541"/>
      <c r="Y475" s="541"/>
      <c r="Z475" s="541"/>
    </row>
    <row r="476" spans="1:26" ht="18.75">
      <c r="A476" s="537"/>
      <c r="B476" s="538"/>
      <c r="C476" s="538"/>
      <c r="D476" s="538"/>
      <c r="E476" s="538"/>
      <c r="F476" s="727" t="s">
        <v>189</v>
      </c>
      <c r="G476" s="189"/>
      <c r="H476" s="161" t="s">
        <v>12</v>
      </c>
      <c r="I476" s="269"/>
      <c r="J476" s="269"/>
      <c r="K476" s="465"/>
      <c r="L476" s="465"/>
      <c r="M476" s="465"/>
      <c r="N476" s="789">
        <v>0</v>
      </c>
      <c r="O476" s="465"/>
      <c r="P476" s="465"/>
      <c r="Q476" s="541"/>
      <c r="R476" s="541"/>
      <c r="S476" s="541"/>
      <c r="T476" s="541"/>
      <c r="U476" s="541"/>
      <c r="V476" s="541"/>
      <c r="W476" s="541"/>
      <c r="X476" s="541"/>
      <c r="Y476" s="541"/>
      <c r="Z476" s="541"/>
    </row>
    <row r="477" spans="1:26" ht="18.75">
      <c r="A477" s="561"/>
      <c r="B477" s="538"/>
      <c r="C477" s="538"/>
      <c r="D477" s="570" t="s">
        <v>21</v>
      </c>
      <c r="E477" s="538"/>
      <c r="F477" s="538"/>
      <c r="G477" s="189"/>
      <c r="H477" s="168" t="s">
        <v>12</v>
      </c>
      <c r="I477" s="184"/>
      <c r="J477" s="184"/>
      <c r="K477" s="163"/>
      <c r="L477" s="465">
        <f t="shared" ref="L477:N477" ca="1" si="210">L478+L479</f>
        <v>0</v>
      </c>
      <c r="M477" s="465">
        <f t="shared" si="210"/>
        <v>0</v>
      </c>
      <c r="N477" s="465">
        <f t="shared" si="210"/>
        <v>0</v>
      </c>
      <c r="O477" s="465">
        <f t="shared" ref="O477:O479" ca="1" si="211">IF(L477&gt;0,N477*100/L477,0)</f>
        <v>0</v>
      </c>
      <c r="P477" s="465">
        <f t="shared" ref="P477:P479" si="212">IF(M477&gt;0,N477*100/M477,0)</f>
        <v>0</v>
      </c>
      <c r="Q477" s="541"/>
      <c r="R477" s="541"/>
      <c r="S477" s="541"/>
      <c r="T477" s="541"/>
      <c r="U477" s="541"/>
      <c r="V477" s="541"/>
      <c r="W477" s="541"/>
      <c r="X477" s="541"/>
      <c r="Y477" s="541"/>
      <c r="Z477" s="541"/>
    </row>
    <row r="478" spans="1:26" ht="18.75" hidden="1">
      <c r="A478" s="563"/>
      <c r="B478" s="571"/>
      <c r="C478" s="571"/>
      <c r="D478" s="571"/>
      <c r="E478" s="571" t="s">
        <v>18</v>
      </c>
      <c r="F478" s="571"/>
      <c r="G478" s="567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1"/>
        <v>0</v>
      </c>
      <c r="P478" s="93">
        <f t="shared" si="212"/>
        <v>0</v>
      </c>
      <c r="Q478" s="568"/>
      <c r="R478" s="568"/>
      <c r="S478" s="568"/>
      <c r="T478" s="568"/>
      <c r="U478" s="568"/>
      <c r="V478" s="568"/>
      <c r="W478" s="568"/>
      <c r="X478" s="568"/>
      <c r="Y478" s="568"/>
      <c r="Z478" s="568"/>
    </row>
    <row r="479" spans="1:26" ht="18.75" hidden="1">
      <c r="A479" s="563"/>
      <c r="B479" s="571"/>
      <c r="C479" s="571"/>
      <c r="D479" s="571"/>
      <c r="E479" s="571" t="s">
        <v>19</v>
      </c>
      <c r="F479" s="571"/>
      <c r="G479" s="567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IFERROR(__xludf.DUMMYFUNCTION("IMPORTRANGE(""https://docs.google.com/spreadsheets/d/1QqKyyYR6Q21VydFLVH3TRQUabQu_ym0Zz7PgGX0-kHA/edit?usp=sharing"",""แผน!FV18"")"),0)</f>
        <v>0</v>
      </c>
      <c r="M479" s="93">
        <v>0</v>
      </c>
      <c r="N479" s="93">
        <v>0</v>
      </c>
      <c r="O479" s="93">
        <f t="shared" ca="1" si="211"/>
        <v>0</v>
      </c>
      <c r="P479" s="93">
        <f t="shared" si="212"/>
        <v>0</v>
      </c>
      <c r="Q479" s="568"/>
      <c r="R479" s="568"/>
      <c r="S479" s="568"/>
      <c r="T479" s="568"/>
      <c r="U479" s="568"/>
      <c r="V479" s="568"/>
      <c r="W479" s="568"/>
      <c r="X479" s="568"/>
      <c r="Y479" s="568"/>
      <c r="Z479" s="568"/>
    </row>
    <row r="480" spans="1:26" ht="19.5">
      <c r="A480" s="572"/>
      <c r="B480" s="584"/>
      <c r="C480" s="538" t="s">
        <v>16</v>
      </c>
      <c r="D480" s="851" t="s">
        <v>38</v>
      </c>
      <c r="E480" s="575"/>
      <c r="F480" s="725"/>
      <c r="G480" s="577"/>
      <c r="H480" s="726"/>
      <c r="I480" s="269"/>
      <c r="J480" s="269"/>
      <c r="K480" s="465"/>
      <c r="L480" s="465"/>
      <c r="M480" s="465"/>
      <c r="N480" s="465"/>
      <c r="O480" s="465"/>
      <c r="P480" s="465"/>
      <c r="Q480" s="541"/>
      <c r="R480" s="541"/>
      <c r="S480" s="541"/>
      <c r="T480" s="541"/>
      <c r="U480" s="541"/>
      <c r="V480" s="541"/>
      <c r="W480" s="541"/>
      <c r="X480" s="541"/>
      <c r="Y480" s="541"/>
      <c r="Z480" s="541"/>
    </row>
    <row r="481" spans="1:26" ht="19.5">
      <c r="A481" s="572"/>
      <c r="B481" s="584"/>
      <c r="C481" s="584"/>
      <c r="D481" s="591" t="s">
        <v>206</v>
      </c>
      <c r="E481" s="584"/>
      <c r="F481" s="584"/>
      <c r="G481" s="726"/>
      <c r="H481" s="189"/>
      <c r="I481" s="269"/>
      <c r="J481" s="269"/>
      <c r="K481" s="465"/>
      <c r="L481" s="465"/>
      <c r="M481" s="465"/>
      <c r="N481" s="465"/>
      <c r="O481" s="465"/>
      <c r="P481" s="465"/>
      <c r="Q481" s="541"/>
      <c r="R481" s="541"/>
      <c r="S481" s="541"/>
      <c r="T481" s="541"/>
      <c r="U481" s="541"/>
      <c r="V481" s="541"/>
      <c r="W481" s="541"/>
      <c r="X481" s="541"/>
      <c r="Y481" s="541"/>
      <c r="Z481" s="541"/>
    </row>
    <row r="482" spans="1:26" ht="18.75">
      <c r="A482" s="572"/>
      <c r="B482" s="584"/>
      <c r="C482" s="584"/>
      <c r="D482" s="584"/>
      <c r="E482" s="584" t="s">
        <v>207</v>
      </c>
      <c r="F482" s="584"/>
      <c r="G482" s="726"/>
      <c r="H482" s="189"/>
      <c r="I482" s="269"/>
      <c r="J482" s="269"/>
      <c r="K482" s="465"/>
      <c r="L482" s="465"/>
      <c r="M482" s="465"/>
      <c r="N482" s="465"/>
      <c r="O482" s="465"/>
      <c r="P482" s="465"/>
      <c r="Q482" s="541"/>
      <c r="R482" s="541"/>
      <c r="S482" s="541"/>
      <c r="T482" s="541"/>
      <c r="U482" s="541"/>
      <c r="V482" s="541"/>
      <c r="W482" s="541"/>
      <c r="X482" s="541"/>
      <c r="Y482" s="541"/>
      <c r="Z482" s="541"/>
    </row>
    <row r="483" spans="1:26" ht="18.75">
      <c r="A483" s="572"/>
      <c r="B483" s="584"/>
      <c r="C483" s="584"/>
      <c r="D483" s="584"/>
      <c r="E483" s="584"/>
      <c r="F483" s="584" t="s">
        <v>208</v>
      </c>
      <c r="G483" s="726"/>
      <c r="H483" s="589" t="s">
        <v>46</v>
      </c>
      <c r="I483" s="269">
        <f ca="1">IFERROR(__xludf.DUMMYFUNCTION("IMPORTRANGE(""https://docs.google.com/spreadsheets/d/1QqKyyYR6Q21VydFLVH3TRQUabQu_ym0Zz7PgGX0-kHA/edit?usp=sharing"",""แผน!FY18"")"),1170)</f>
        <v>1170</v>
      </c>
      <c r="J483" s="214">
        <v>0</v>
      </c>
      <c r="K483" s="465">
        <f ca="1">IF(I483&gt;0,J483*100/I483,0)</f>
        <v>0</v>
      </c>
      <c r="L483" s="465"/>
      <c r="M483" s="465"/>
      <c r="N483" s="465"/>
      <c r="O483" s="465"/>
      <c r="P483" s="465"/>
      <c r="Q483" s="541"/>
      <c r="R483" s="541"/>
      <c r="S483" s="541"/>
      <c r="T483" s="541"/>
      <c r="U483" s="541"/>
      <c r="V483" s="541"/>
      <c r="W483" s="541"/>
      <c r="X483" s="541"/>
      <c r="Y483" s="541"/>
      <c r="Z483" s="541"/>
    </row>
    <row r="484" spans="1:26" ht="18.75">
      <c r="A484" s="572"/>
      <c r="B484" s="584"/>
      <c r="C484" s="584"/>
      <c r="D484" s="584"/>
      <c r="E484" s="584"/>
      <c r="F484" s="584" t="s">
        <v>209</v>
      </c>
      <c r="G484" s="726"/>
      <c r="H484" s="589" t="s">
        <v>35</v>
      </c>
      <c r="I484" s="269"/>
      <c r="J484" s="214">
        <v>0</v>
      </c>
      <c r="K484" s="465"/>
      <c r="L484" s="465"/>
      <c r="M484" s="465"/>
      <c r="N484" s="465"/>
      <c r="O484" s="465"/>
      <c r="P484" s="465"/>
      <c r="Q484" s="541"/>
      <c r="R484" s="541"/>
      <c r="S484" s="541"/>
      <c r="T484" s="541"/>
      <c r="U484" s="541"/>
      <c r="V484" s="541"/>
      <c r="W484" s="541"/>
      <c r="X484" s="541"/>
      <c r="Y484" s="541"/>
      <c r="Z484" s="541"/>
    </row>
    <row r="485" spans="1:26" ht="18.75">
      <c r="A485" s="572"/>
      <c r="B485" s="584"/>
      <c r="C485" s="584"/>
      <c r="D485" s="584"/>
      <c r="E485" s="584"/>
      <c r="F485" s="584" t="s">
        <v>210</v>
      </c>
      <c r="G485" s="726"/>
      <c r="H485" s="589" t="s">
        <v>35</v>
      </c>
      <c r="I485" s="269">
        <f ca="1">IFERROR(__xludf.DUMMYFUNCTION("IMPORTRANGE(""https://docs.google.com/spreadsheets/d/1QqKyyYR6Q21VydFLVH3TRQUabQu_ym0Zz7PgGX0-kHA/edit?usp=sharing"",""แผน!FZ18"")"),117)</f>
        <v>117</v>
      </c>
      <c r="J485" s="214">
        <v>0</v>
      </c>
      <c r="K485" s="465">
        <f ca="1">IF(I485&gt;0,J485*100/I485,0)</f>
        <v>0</v>
      </c>
      <c r="L485" s="465"/>
      <c r="M485" s="465"/>
      <c r="N485" s="465"/>
      <c r="O485" s="465"/>
      <c r="P485" s="465"/>
      <c r="Q485" s="541"/>
      <c r="R485" s="541"/>
      <c r="S485" s="541"/>
      <c r="T485" s="541"/>
      <c r="U485" s="541"/>
      <c r="V485" s="541"/>
      <c r="W485" s="541"/>
      <c r="X485" s="541"/>
      <c r="Y485" s="541"/>
      <c r="Z485" s="541"/>
    </row>
    <row r="486" spans="1:26" ht="18.75">
      <c r="A486" s="572"/>
      <c r="B486" s="584"/>
      <c r="C486" s="584"/>
      <c r="D486" s="584"/>
      <c r="E486" s="584" t="s">
        <v>62</v>
      </c>
      <c r="F486" s="584"/>
      <c r="G486" s="726"/>
      <c r="H486" s="589"/>
      <c r="I486" s="269"/>
      <c r="J486" s="269"/>
      <c r="K486" s="465"/>
      <c r="L486" s="465"/>
      <c r="M486" s="465"/>
      <c r="N486" s="465"/>
      <c r="O486" s="465"/>
      <c r="P486" s="465"/>
      <c r="Q486" s="541"/>
      <c r="R486" s="541"/>
      <c r="S486" s="541"/>
      <c r="T486" s="541"/>
      <c r="U486" s="541"/>
      <c r="V486" s="541"/>
      <c r="W486" s="541"/>
      <c r="X486" s="541"/>
      <c r="Y486" s="541"/>
      <c r="Z486" s="541"/>
    </row>
    <row r="487" spans="1:26" ht="18.75">
      <c r="A487" s="572"/>
      <c r="B487" s="584"/>
      <c r="C487" s="584"/>
      <c r="D487" s="584"/>
      <c r="E487" s="584"/>
      <c r="F487" s="584" t="s">
        <v>208</v>
      </c>
      <c r="G487" s="726"/>
      <c r="H487" s="589" t="s">
        <v>46</v>
      </c>
      <c r="I487" s="269">
        <f ca="1">IFERROR(__xludf.DUMMYFUNCTION("IMPORTRANGE(""https://docs.google.com/spreadsheets/d/1QqKyyYR6Q21VydFLVH3TRQUabQu_ym0Zz7PgGX0-kHA/edit?usp=sharing"",""แผน!GA18"")"),130)</f>
        <v>130</v>
      </c>
      <c r="J487" s="214">
        <v>0</v>
      </c>
      <c r="K487" s="465">
        <f ca="1">IF(I487&gt;0,J487*100/I487,0)</f>
        <v>0</v>
      </c>
      <c r="L487" s="465"/>
      <c r="M487" s="465"/>
      <c r="N487" s="465"/>
      <c r="O487" s="465"/>
      <c r="P487" s="465"/>
      <c r="Q487" s="541"/>
      <c r="R487" s="541"/>
      <c r="S487" s="541"/>
      <c r="T487" s="541"/>
      <c r="U487" s="541"/>
      <c r="V487" s="541"/>
      <c r="W487" s="541"/>
      <c r="X487" s="541"/>
      <c r="Y487" s="541"/>
      <c r="Z487" s="541"/>
    </row>
    <row r="488" spans="1:26" ht="18.75">
      <c r="A488" s="572"/>
      <c r="B488" s="584"/>
      <c r="C488" s="584"/>
      <c r="D488" s="584"/>
      <c r="E488" s="584"/>
      <c r="F488" s="584" t="s">
        <v>211</v>
      </c>
      <c r="G488" s="726"/>
      <c r="H488" s="589" t="s">
        <v>35</v>
      </c>
      <c r="I488" s="269"/>
      <c r="J488" s="214">
        <v>0</v>
      </c>
      <c r="K488" s="465"/>
      <c r="L488" s="465"/>
      <c r="M488" s="465"/>
      <c r="N488" s="465"/>
      <c r="O488" s="465"/>
      <c r="P488" s="465"/>
      <c r="Q488" s="541"/>
      <c r="R488" s="541"/>
      <c r="S488" s="541"/>
      <c r="T488" s="541"/>
      <c r="U488" s="541"/>
      <c r="V488" s="541"/>
      <c r="W488" s="541"/>
      <c r="X488" s="541"/>
      <c r="Y488" s="541"/>
      <c r="Z488" s="541"/>
    </row>
    <row r="489" spans="1:26" ht="18.75">
      <c r="A489" s="572"/>
      <c r="B489" s="584"/>
      <c r="C489" s="584"/>
      <c r="D489" s="584"/>
      <c r="E489" s="584"/>
      <c r="F489" s="584" t="s">
        <v>212</v>
      </c>
      <c r="G489" s="726"/>
      <c r="H489" s="589" t="s">
        <v>35</v>
      </c>
      <c r="I489" s="269">
        <f ca="1">IFERROR(__xludf.DUMMYFUNCTION("IMPORTRANGE(""https://docs.google.com/spreadsheets/d/1QqKyyYR6Q21VydFLVH3TRQUabQu_ym0Zz7PgGX0-kHA/edit?usp=sharing"",""แผน!GB18"")"),13)</f>
        <v>13</v>
      </c>
      <c r="J489" s="214">
        <v>0</v>
      </c>
      <c r="K489" s="465">
        <f ca="1">IF(I489&gt;0,J489*100/I489,0)</f>
        <v>0</v>
      </c>
      <c r="L489" s="465"/>
      <c r="M489" s="465"/>
      <c r="N489" s="465"/>
      <c r="O489" s="465"/>
      <c r="P489" s="465"/>
      <c r="Q489" s="541"/>
      <c r="R489" s="541"/>
      <c r="S489" s="541"/>
      <c r="T489" s="541"/>
      <c r="U489" s="541"/>
      <c r="V489" s="541"/>
      <c r="W489" s="541"/>
      <c r="X489" s="541"/>
      <c r="Y489" s="541"/>
      <c r="Z489" s="541"/>
    </row>
    <row r="490" spans="1:26" ht="18.75">
      <c r="A490" s="572"/>
      <c r="B490" s="584"/>
      <c r="C490" s="584"/>
      <c r="D490" s="584"/>
      <c r="E490" s="584" t="s">
        <v>63</v>
      </c>
      <c r="F490" s="592"/>
      <c r="G490" s="726"/>
      <c r="H490" s="589"/>
      <c r="I490" s="269"/>
      <c r="J490" s="269"/>
      <c r="K490" s="465"/>
      <c r="L490" s="465"/>
      <c r="M490" s="465"/>
      <c r="N490" s="465"/>
      <c r="O490" s="465"/>
      <c r="P490" s="465"/>
      <c r="Q490" s="541"/>
      <c r="R490" s="541"/>
      <c r="S490" s="541"/>
      <c r="T490" s="541"/>
      <c r="U490" s="541"/>
      <c r="V490" s="541"/>
      <c r="W490" s="541"/>
      <c r="X490" s="541"/>
      <c r="Y490" s="541"/>
      <c r="Z490" s="541"/>
    </row>
    <row r="491" spans="1:26" ht="18.75">
      <c r="A491" s="572"/>
      <c r="B491" s="584"/>
      <c r="C491" s="584"/>
      <c r="D491" s="584"/>
      <c r="E491" s="584"/>
      <c r="F491" s="584" t="s">
        <v>213</v>
      </c>
      <c r="G491" s="726"/>
      <c r="H491" s="589" t="s">
        <v>35</v>
      </c>
      <c r="I491" s="269"/>
      <c r="J491" s="214">
        <v>0</v>
      </c>
      <c r="K491" s="465"/>
      <c r="L491" s="465"/>
      <c r="M491" s="465"/>
      <c r="N491" s="465"/>
      <c r="O491" s="465"/>
      <c r="P491" s="465"/>
      <c r="Q491" s="541"/>
      <c r="R491" s="541"/>
      <c r="S491" s="541"/>
      <c r="T491" s="541"/>
      <c r="U491" s="541"/>
      <c r="V491" s="541"/>
      <c r="W491" s="541"/>
      <c r="X491" s="541"/>
      <c r="Y491" s="541"/>
      <c r="Z491" s="541"/>
    </row>
    <row r="492" spans="1:26" ht="18.75">
      <c r="A492" s="572"/>
      <c r="B492" s="584"/>
      <c r="C492" s="584"/>
      <c r="D492" s="584"/>
      <c r="E492" s="584"/>
      <c r="F492" s="584" t="s">
        <v>214</v>
      </c>
      <c r="G492" s="726"/>
      <c r="H492" s="589" t="s">
        <v>35</v>
      </c>
      <c r="I492" s="269">
        <f ca="1">IFERROR(__xludf.DUMMYFUNCTION("IMPORTRANGE(""https://docs.google.com/spreadsheets/d/1QqKyyYR6Q21VydFLVH3TRQUabQu_ym0Zz7PgGX0-kHA/edit?usp=sharing"",""แผน!GC18"")"),1)</f>
        <v>1</v>
      </c>
      <c r="J492" s="214">
        <v>0</v>
      </c>
      <c r="K492" s="465">
        <f ca="1">IF(I492&gt;0,J492*100/I492,0)</f>
        <v>0</v>
      </c>
      <c r="L492" s="465"/>
      <c r="M492" s="465"/>
      <c r="N492" s="465"/>
      <c r="O492" s="465"/>
      <c r="P492" s="465"/>
      <c r="Q492" s="541"/>
      <c r="R492" s="541"/>
      <c r="S492" s="541"/>
      <c r="T492" s="541"/>
      <c r="U492" s="541"/>
      <c r="V492" s="541"/>
      <c r="W492" s="541"/>
      <c r="X492" s="541"/>
      <c r="Y492" s="541"/>
      <c r="Z492" s="541"/>
    </row>
    <row r="493" spans="1:26" ht="19.5">
      <c r="A493" s="572"/>
      <c r="B493" s="584"/>
      <c r="C493" s="584"/>
      <c r="D493" s="591" t="s">
        <v>59</v>
      </c>
      <c r="E493" s="584"/>
      <c r="F493" s="592"/>
      <c r="G493" s="726"/>
      <c r="H493" s="189"/>
      <c r="I493" s="269"/>
      <c r="J493" s="269"/>
      <c r="K493" s="465"/>
      <c r="L493" s="465"/>
      <c r="M493" s="465"/>
      <c r="N493" s="465"/>
      <c r="O493" s="465"/>
      <c r="P493" s="465"/>
      <c r="Q493" s="541"/>
      <c r="R493" s="541"/>
      <c r="S493" s="541"/>
      <c r="T493" s="541"/>
      <c r="U493" s="541"/>
      <c r="V493" s="541"/>
      <c r="W493" s="541"/>
      <c r="X493" s="541"/>
      <c r="Y493" s="541"/>
      <c r="Z493" s="541"/>
    </row>
    <row r="494" spans="1:26" ht="18.75">
      <c r="A494" s="572"/>
      <c r="B494" s="584"/>
      <c r="C494" s="584"/>
      <c r="D494" s="584"/>
      <c r="E494" s="584" t="s">
        <v>207</v>
      </c>
      <c r="F494" s="592"/>
      <c r="G494" s="726"/>
      <c r="H494" s="189"/>
      <c r="I494" s="269"/>
      <c r="J494" s="269"/>
      <c r="K494" s="465"/>
      <c r="L494" s="465"/>
      <c r="M494" s="465"/>
      <c r="N494" s="465"/>
      <c r="O494" s="465"/>
      <c r="P494" s="465"/>
      <c r="Q494" s="541"/>
      <c r="R494" s="541"/>
      <c r="S494" s="541"/>
      <c r="T494" s="541"/>
      <c r="U494" s="541"/>
      <c r="V494" s="541"/>
      <c r="W494" s="541"/>
      <c r="X494" s="541"/>
      <c r="Y494" s="541"/>
      <c r="Z494" s="541"/>
    </row>
    <row r="495" spans="1:26" ht="18.75">
      <c r="A495" s="572"/>
      <c r="B495" s="584"/>
      <c r="C495" s="584"/>
      <c r="D495" s="584"/>
      <c r="E495" s="584"/>
      <c r="F495" s="592" t="s">
        <v>215</v>
      </c>
      <c r="G495" s="726"/>
      <c r="H495" s="589" t="s">
        <v>46</v>
      </c>
      <c r="I495" s="269">
        <f ca="1">IFERROR(__xludf.DUMMYFUNCTION("IMPORTRANGE(""https://docs.google.com/spreadsheets/d/1QqKyyYR6Q21VydFLVH3TRQUabQu_ym0Zz7PgGX0-kHA/edit?usp=sharing"",""แผน!FY18"")"),1170)</f>
        <v>1170</v>
      </c>
      <c r="J495" s="214">
        <v>0</v>
      </c>
      <c r="K495" s="465">
        <f ca="1">IF(I495&gt;0,J495*100/I495,0)</f>
        <v>0</v>
      </c>
      <c r="L495" s="465"/>
      <c r="M495" s="465"/>
      <c r="N495" s="465"/>
      <c r="O495" s="465"/>
      <c r="P495" s="465"/>
      <c r="Q495" s="541"/>
      <c r="R495" s="541"/>
      <c r="S495" s="541"/>
      <c r="T495" s="541"/>
      <c r="U495" s="541"/>
      <c r="V495" s="541"/>
      <c r="W495" s="541"/>
      <c r="X495" s="541"/>
      <c r="Y495" s="541"/>
      <c r="Z495" s="541"/>
    </row>
    <row r="496" spans="1:26" ht="18.75">
      <c r="A496" s="572"/>
      <c r="B496" s="584"/>
      <c r="C496" s="584"/>
      <c r="D496" s="584"/>
      <c r="E496" s="584"/>
      <c r="F496" s="592" t="s">
        <v>216</v>
      </c>
      <c r="G496" s="726"/>
      <c r="H496" s="589" t="s">
        <v>46</v>
      </c>
      <c r="I496" s="269"/>
      <c r="J496" s="214">
        <v>0</v>
      </c>
      <c r="K496" s="465"/>
      <c r="L496" s="465"/>
      <c r="M496" s="465"/>
      <c r="N496" s="465"/>
      <c r="O496" s="465"/>
      <c r="P496" s="465"/>
      <c r="Q496" s="541"/>
      <c r="R496" s="541"/>
      <c r="S496" s="541"/>
      <c r="T496" s="541"/>
      <c r="U496" s="541"/>
      <c r="V496" s="541"/>
      <c r="W496" s="541"/>
      <c r="X496" s="541"/>
      <c r="Y496" s="541"/>
      <c r="Z496" s="541"/>
    </row>
    <row r="497" spans="1:26" ht="18.75">
      <c r="A497" s="572"/>
      <c r="B497" s="584"/>
      <c r="C497" s="584"/>
      <c r="D497" s="584"/>
      <c r="E497" s="584" t="s">
        <v>62</v>
      </c>
      <c r="F497" s="592"/>
      <c r="G497" s="726"/>
      <c r="H497" s="189"/>
      <c r="I497" s="269"/>
      <c r="J497" s="269"/>
      <c r="K497" s="465"/>
      <c r="L497" s="465"/>
      <c r="M497" s="465"/>
      <c r="N497" s="465"/>
      <c r="O497" s="465"/>
      <c r="P497" s="465"/>
      <c r="Q497" s="541"/>
      <c r="R497" s="541"/>
      <c r="S497" s="541"/>
      <c r="T497" s="541"/>
      <c r="U497" s="541"/>
      <c r="V497" s="541"/>
      <c r="W497" s="541"/>
      <c r="X497" s="541"/>
      <c r="Y497" s="541"/>
      <c r="Z497" s="541"/>
    </row>
    <row r="498" spans="1:26" ht="18.75">
      <c r="A498" s="572"/>
      <c r="B498" s="584"/>
      <c r="C498" s="584"/>
      <c r="D498" s="584"/>
      <c r="E498" s="592"/>
      <c r="F498" s="592" t="s">
        <v>217</v>
      </c>
      <c r="G498" s="726"/>
      <c r="H498" s="589" t="s">
        <v>46</v>
      </c>
      <c r="I498" s="269">
        <f ca="1">IFERROR(__xludf.DUMMYFUNCTION("IMPORTRANGE(""https://docs.google.com/spreadsheets/d/1QqKyyYR6Q21VydFLVH3TRQUabQu_ym0Zz7PgGX0-kHA/edit?usp=sharing"",""แผน!GA18"")"),130)</f>
        <v>130</v>
      </c>
      <c r="J498" s="214">
        <v>0</v>
      </c>
      <c r="K498" s="465">
        <f ca="1">IF(I498&gt;0,J498*100/I498,0)</f>
        <v>0</v>
      </c>
      <c r="L498" s="465"/>
      <c r="M498" s="465"/>
      <c r="N498" s="465"/>
      <c r="O498" s="465"/>
      <c r="P498" s="465"/>
      <c r="Q498" s="541"/>
      <c r="R498" s="541"/>
      <c r="S498" s="541"/>
      <c r="T498" s="541"/>
      <c r="U498" s="541"/>
      <c r="V498" s="541"/>
      <c r="W498" s="541"/>
      <c r="X498" s="541"/>
      <c r="Y498" s="541"/>
      <c r="Z498" s="541"/>
    </row>
    <row r="499" spans="1:26" ht="18.75">
      <c r="A499" s="572"/>
      <c r="B499" s="584"/>
      <c r="C499" s="584"/>
      <c r="D499" s="584"/>
      <c r="E499" s="592"/>
      <c r="F499" s="592" t="s">
        <v>218</v>
      </c>
      <c r="G499" s="726"/>
      <c r="H499" s="589" t="s">
        <v>46</v>
      </c>
      <c r="I499" s="269"/>
      <c r="J499" s="214">
        <v>0</v>
      </c>
      <c r="K499" s="465"/>
      <c r="L499" s="465"/>
      <c r="M499" s="465"/>
      <c r="N499" s="465"/>
      <c r="O499" s="465"/>
      <c r="P499" s="465"/>
      <c r="Q499" s="541"/>
      <c r="R499" s="541"/>
      <c r="S499" s="541"/>
      <c r="T499" s="541"/>
      <c r="U499" s="541"/>
      <c r="V499" s="541"/>
      <c r="W499" s="541"/>
      <c r="X499" s="541"/>
      <c r="Y499" s="541"/>
      <c r="Z499" s="541"/>
    </row>
    <row r="500" spans="1:26" ht="19.5" hidden="1">
      <c r="A500" s="593">
        <v>4</v>
      </c>
      <c r="B500" s="594" t="s">
        <v>219</v>
      </c>
      <c r="C500" s="595"/>
      <c r="D500" s="596"/>
      <c r="E500" s="596"/>
      <c r="F500" s="596"/>
      <c r="G500" s="597"/>
      <c r="H500" s="598" t="s">
        <v>109</v>
      </c>
      <c r="I500" s="599"/>
      <c r="J500" s="599">
        <f t="shared" ref="J500:J501" si="213">J516</f>
        <v>0</v>
      </c>
      <c r="K500" s="600">
        <f t="shared" ref="K500:K501" si="214">IF(I500&gt;0,J500*100/I500,0)</f>
        <v>0</v>
      </c>
      <c r="L500" s="601"/>
      <c r="M500" s="601"/>
      <c r="N500" s="601"/>
      <c r="O500" s="601"/>
      <c r="P500" s="601"/>
      <c r="Q500" s="568"/>
      <c r="R500" s="568"/>
      <c r="S500" s="568"/>
      <c r="T500" s="568"/>
      <c r="U500" s="568"/>
      <c r="V500" s="568"/>
      <c r="W500" s="568"/>
      <c r="X500" s="568"/>
      <c r="Y500" s="568"/>
      <c r="Z500" s="568"/>
    </row>
    <row r="501" spans="1:26" ht="19.5" hidden="1">
      <c r="A501" s="602"/>
      <c r="B501" s="604" t="s">
        <v>220</v>
      </c>
      <c r="C501" s="604"/>
      <c r="D501" s="605"/>
      <c r="E501" s="605"/>
      <c r="F501" s="605"/>
      <c r="G501" s="606"/>
      <c r="H501" s="607" t="s">
        <v>35</v>
      </c>
      <c r="I501" s="608"/>
      <c r="J501" s="608">
        <f t="shared" si="213"/>
        <v>0</v>
      </c>
      <c r="K501" s="609">
        <f t="shared" si="214"/>
        <v>0</v>
      </c>
      <c r="L501" s="610"/>
      <c r="M501" s="610"/>
      <c r="N501" s="610"/>
      <c r="O501" s="610"/>
      <c r="P501" s="610"/>
      <c r="Q501" s="568"/>
      <c r="R501" s="568"/>
      <c r="S501" s="568"/>
      <c r="T501" s="568"/>
      <c r="U501" s="568"/>
      <c r="V501" s="568"/>
      <c r="W501" s="568"/>
      <c r="X501" s="568"/>
      <c r="Y501" s="568"/>
      <c r="Z501" s="568"/>
    </row>
    <row r="502" spans="1:26" ht="19.5" hidden="1">
      <c r="A502" s="563"/>
      <c r="B502" s="723"/>
      <c r="C502" s="723" t="s">
        <v>16</v>
      </c>
      <c r="D502" s="812" t="s">
        <v>17</v>
      </c>
      <c r="E502" s="805"/>
      <c r="F502" s="805"/>
      <c r="G502" s="567"/>
      <c r="H502" s="612" t="s">
        <v>12</v>
      </c>
      <c r="I502" s="583"/>
      <c r="J502" s="583"/>
      <c r="K502" s="93"/>
      <c r="L502" s="613">
        <f t="shared" ref="L502:N502" si="215">L503+L504</f>
        <v>0</v>
      </c>
      <c r="M502" s="613">
        <f t="shared" si="215"/>
        <v>0</v>
      </c>
      <c r="N502" s="613">
        <f t="shared" si="215"/>
        <v>0</v>
      </c>
      <c r="O502" s="613">
        <f t="shared" ref="O502:O507" si="216">IF(L502&gt;0,N502*100/L502,0)</f>
        <v>0</v>
      </c>
      <c r="P502" s="613">
        <f t="shared" ref="P502:P507" si="217">IF(M502&gt;0,N502*100/M502,0)</f>
        <v>0</v>
      </c>
      <c r="Q502" s="568"/>
      <c r="R502" s="568"/>
      <c r="S502" s="568"/>
      <c r="T502" s="568"/>
      <c r="U502" s="568"/>
      <c r="V502" s="568"/>
      <c r="W502" s="568"/>
      <c r="X502" s="568"/>
      <c r="Y502" s="568"/>
      <c r="Z502" s="568"/>
    </row>
    <row r="503" spans="1:26" ht="18.75" hidden="1">
      <c r="A503" s="563"/>
      <c r="B503" s="723"/>
      <c r="C503" s="723"/>
      <c r="D503" s="684"/>
      <c r="E503" s="723" t="s">
        <v>184</v>
      </c>
      <c r="F503" s="723"/>
      <c r="G503" s="567"/>
      <c r="H503" s="165" t="s">
        <v>12</v>
      </c>
      <c r="I503" s="583"/>
      <c r="J503" s="583"/>
      <c r="K503" s="93"/>
      <c r="L503" s="93">
        <f t="shared" ref="L503:N504" si="218">L506+L513</f>
        <v>0</v>
      </c>
      <c r="M503" s="93">
        <f t="shared" si="218"/>
        <v>0</v>
      </c>
      <c r="N503" s="93">
        <f t="shared" si="218"/>
        <v>0</v>
      </c>
      <c r="O503" s="93">
        <f t="shared" si="216"/>
        <v>0</v>
      </c>
      <c r="P503" s="93">
        <f t="shared" si="217"/>
        <v>0</v>
      </c>
      <c r="Q503" s="568"/>
      <c r="R503" s="568"/>
      <c r="S503" s="568"/>
      <c r="T503" s="568"/>
      <c r="U503" s="568"/>
      <c r="V503" s="568"/>
      <c r="W503" s="568"/>
      <c r="X503" s="568"/>
      <c r="Y503" s="568"/>
      <c r="Z503" s="568"/>
    </row>
    <row r="504" spans="1:26" ht="18.75" hidden="1">
      <c r="A504" s="563"/>
      <c r="B504" s="571"/>
      <c r="C504" s="723"/>
      <c r="D504" s="684"/>
      <c r="E504" s="723" t="s">
        <v>185</v>
      </c>
      <c r="F504" s="723"/>
      <c r="G504" s="567"/>
      <c r="H504" s="165" t="s">
        <v>12</v>
      </c>
      <c r="I504" s="583"/>
      <c r="J504" s="583"/>
      <c r="K504" s="93"/>
      <c r="L504" s="93">
        <f t="shared" si="218"/>
        <v>0</v>
      </c>
      <c r="M504" s="93">
        <f t="shared" si="218"/>
        <v>0</v>
      </c>
      <c r="N504" s="93">
        <f t="shared" si="218"/>
        <v>0</v>
      </c>
      <c r="O504" s="93">
        <f t="shared" si="216"/>
        <v>0</v>
      </c>
      <c r="P504" s="93">
        <f t="shared" si="217"/>
        <v>0</v>
      </c>
      <c r="Q504" s="568"/>
      <c r="R504" s="568"/>
      <c r="S504" s="568"/>
      <c r="T504" s="568"/>
      <c r="U504" s="568"/>
      <c r="V504" s="568"/>
      <c r="W504" s="568"/>
      <c r="X504" s="568"/>
      <c r="Y504" s="568"/>
      <c r="Z504" s="568"/>
    </row>
    <row r="505" spans="1:26" ht="18.75" hidden="1">
      <c r="A505" s="563"/>
      <c r="B505" s="571"/>
      <c r="C505" s="723"/>
      <c r="D505" s="614" t="s">
        <v>20</v>
      </c>
      <c r="E505" s="723"/>
      <c r="F505" s="723"/>
      <c r="G505" s="567"/>
      <c r="H505" s="165" t="s">
        <v>12</v>
      </c>
      <c r="I505" s="166"/>
      <c r="J505" s="166"/>
      <c r="K505" s="167"/>
      <c r="L505" s="93">
        <f t="shared" ref="L505:N505" si="219">L506+L507</f>
        <v>0</v>
      </c>
      <c r="M505" s="93">
        <f t="shared" si="219"/>
        <v>0</v>
      </c>
      <c r="N505" s="93">
        <f t="shared" si="219"/>
        <v>0</v>
      </c>
      <c r="O505" s="93">
        <f t="shared" si="216"/>
        <v>0</v>
      </c>
      <c r="P505" s="93">
        <f t="shared" si="217"/>
        <v>0</v>
      </c>
      <c r="Q505" s="568"/>
      <c r="R505" s="568"/>
      <c r="S505" s="568"/>
      <c r="T505" s="568"/>
      <c r="U505" s="568"/>
      <c r="V505" s="568"/>
      <c r="W505" s="568"/>
      <c r="X505" s="568"/>
      <c r="Y505" s="568"/>
      <c r="Z505" s="568"/>
    </row>
    <row r="506" spans="1:26" ht="18.75" hidden="1">
      <c r="A506" s="563"/>
      <c r="B506" s="571"/>
      <c r="C506" s="723"/>
      <c r="D506" s="684"/>
      <c r="E506" s="723" t="s">
        <v>184</v>
      </c>
      <c r="F506" s="723"/>
      <c r="G506" s="567"/>
      <c r="H506" s="165" t="s">
        <v>12</v>
      </c>
      <c r="I506" s="583"/>
      <c r="J506" s="583"/>
      <c r="K506" s="93"/>
      <c r="L506" s="93">
        <v>0</v>
      </c>
      <c r="M506" s="93">
        <v>0</v>
      </c>
      <c r="N506" s="93">
        <v>0</v>
      </c>
      <c r="O506" s="93">
        <f t="shared" si="216"/>
        <v>0</v>
      </c>
      <c r="P506" s="93">
        <f t="shared" si="217"/>
        <v>0</v>
      </c>
      <c r="Q506" s="568"/>
      <c r="R506" s="568"/>
      <c r="S506" s="568"/>
      <c r="T506" s="568"/>
      <c r="U506" s="568"/>
      <c r="V506" s="568"/>
      <c r="W506" s="568"/>
      <c r="X506" s="568"/>
      <c r="Y506" s="568"/>
      <c r="Z506" s="568"/>
    </row>
    <row r="507" spans="1:26" ht="18.75" hidden="1">
      <c r="A507" s="563"/>
      <c r="B507" s="571"/>
      <c r="C507" s="723"/>
      <c r="D507" s="684"/>
      <c r="E507" s="723" t="s">
        <v>185</v>
      </c>
      <c r="F507" s="723"/>
      <c r="G507" s="567"/>
      <c r="H507" s="165" t="s">
        <v>12</v>
      </c>
      <c r="I507" s="583"/>
      <c r="J507" s="583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6"/>
        <v>0</v>
      </c>
      <c r="P507" s="93">
        <f t="shared" si="217"/>
        <v>0</v>
      </c>
      <c r="Q507" s="568"/>
      <c r="R507" s="568"/>
      <c r="S507" s="568"/>
      <c r="T507" s="568"/>
      <c r="U507" s="568"/>
      <c r="V507" s="568"/>
      <c r="W507" s="568"/>
      <c r="X507" s="568"/>
      <c r="Y507" s="568"/>
      <c r="Z507" s="568"/>
    </row>
    <row r="508" spans="1:26" ht="18.75" hidden="1">
      <c r="A508" s="615"/>
      <c r="B508" s="571"/>
      <c r="C508" s="723"/>
      <c r="D508" s="723"/>
      <c r="E508" s="723"/>
      <c r="F508" s="723" t="s">
        <v>186</v>
      </c>
      <c r="G508" s="567"/>
      <c r="H508" s="165" t="s">
        <v>12</v>
      </c>
      <c r="I508" s="583"/>
      <c r="J508" s="583"/>
      <c r="K508" s="93"/>
      <c r="L508" s="93"/>
      <c r="M508" s="93"/>
      <c r="N508" s="93">
        <v>0</v>
      </c>
      <c r="O508" s="93"/>
      <c r="P508" s="93"/>
      <c r="Q508" s="568"/>
      <c r="R508" s="568"/>
      <c r="S508" s="568"/>
      <c r="T508" s="568"/>
      <c r="U508" s="568"/>
      <c r="V508" s="568"/>
      <c r="W508" s="568"/>
      <c r="X508" s="568"/>
      <c r="Y508" s="568"/>
      <c r="Z508" s="568"/>
    </row>
    <row r="509" spans="1:26" ht="18.75" hidden="1">
      <c r="A509" s="615"/>
      <c r="B509" s="571"/>
      <c r="C509" s="723"/>
      <c r="D509" s="723"/>
      <c r="E509" s="723"/>
      <c r="F509" s="723" t="s">
        <v>187</v>
      </c>
      <c r="G509" s="567"/>
      <c r="H509" s="165" t="s">
        <v>12</v>
      </c>
      <c r="I509" s="583"/>
      <c r="J509" s="583"/>
      <c r="K509" s="93"/>
      <c r="L509" s="93"/>
      <c r="M509" s="93"/>
      <c r="N509" s="93">
        <v>0</v>
      </c>
      <c r="O509" s="93"/>
      <c r="P509" s="93"/>
      <c r="Q509" s="568"/>
      <c r="R509" s="568"/>
      <c r="S509" s="568"/>
      <c r="T509" s="568"/>
      <c r="U509" s="568"/>
      <c r="V509" s="568"/>
      <c r="W509" s="568"/>
      <c r="X509" s="568"/>
      <c r="Y509" s="568"/>
      <c r="Z509" s="568"/>
    </row>
    <row r="510" spans="1:26" ht="18.75" hidden="1">
      <c r="A510" s="615"/>
      <c r="B510" s="571"/>
      <c r="C510" s="571"/>
      <c r="D510" s="571"/>
      <c r="E510" s="723"/>
      <c r="F510" s="723" t="s">
        <v>188</v>
      </c>
      <c r="G510" s="567"/>
      <c r="H510" s="165" t="s">
        <v>12</v>
      </c>
      <c r="I510" s="583"/>
      <c r="J510" s="583"/>
      <c r="K510" s="93"/>
      <c r="L510" s="93"/>
      <c r="M510" s="93"/>
      <c r="N510" s="93">
        <v>0</v>
      </c>
      <c r="O510" s="93"/>
      <c r="P510" s="93"/>
      <c r="Q510" s="568"/>
      <c r="R510" s="568"/>
      <c r="S510" s="568"/>
      <c r="T510" s="568"/>
      <c r="U510" s="568"/>
      <c r="V510" s="568"/>
      <c r="W510" s="568"/>
      <c r="X510" s="568"/>
      <c r="Y510" s="568"/>
      <c r="Z510" s="568"/>
    </row>
    <row r="511" spans="1:26" ht="18.75" hidden="1">
      <c r="A511" s="615"/>
      <c r="B511" s="571"/>
      <c r="C511" s="571"/>
      <c r="D511" s="571"/>
      <c r="E511" s="723"/>
      <c r="F511" s="723" t="s">
        <v>189</v>
      </c>
      <c r="G511" s="567"/>
      <c r="H511" s="165" t="s">
        <v>12</v>
      </c>
      <c r="I511" s="583"/>
      <c r="J511" s="583"/>
      <c r="K511" s="93"/>
      <c r="L511" s="93"/>
      <c r="M511" s="93"/>
      <c r="N511" s="93">
        <v>0</v>
      </c>
      <c r="O511" s="93"/>
      <c r="P511" s="93"/>
      <c r="Q511" s="568"/>
      <c r="R511" s="568"/>
      <c r="S511" s="568"/>
      <c r="T511" s="568"/>
      <c r="U511" s="568"/>
      <c r="V511" s="568"/>
      <c r="W511" s="568"/>
      <c r="X511" s="568"/>
      <c r="Y511" s="568"/>
      <c r="Z511" s="568"/>
    </row>
    <row r="512" spans="1:26" ht="18.75" hidden="1">
      <c r="A512" s="563"/>
      <c r="B512" s="571"/>
      <c r="C512" s="571"/>
      <c r="D512" s="614" t="s">
        <v>21</v>
      </c>
      <c r="E512" s="571"/>
      <c r="F512" s="723"/>
      <c r="G512" s="567"/>
      <c r="H512" s="169" t="s">
        <v>12</v>
      </c>
      <c r="I512" s="166"/>
      <c r="J512" s="166"/>
      <c r="K512" s="167"/>
      <c r="L512" s="93">
        <f t="shared" ref="L512:N512" si="220">L513+L514</f>
        <v>0</v>
      </c>
      <c r="M512" s="93">
        <f t="shared" si="220"/>
        <v>0</v>
      </c>
      <c r="N512" s="93">
        <f t="shared" si="220"/>
        <v>0</v>
      </c>
      <c r="O512" s="93">
        <f t="shared" ref="O512:O514" si="221">IF(L512&gt;0,N512*100/L512,0)</f>
        <v>0</v>
      </c>
      <c r="P512" s="93">
        <f t="shared" ref="P512:P514" si="222">IF(M512&gt;0,N512*100/M512,0)</f>
        <v>0</v>
      </c>
      <c r="Q512" s="568"/>
      <c r="R512" s="568"/>
      <c r="S512" s="568"/>
      <c r="T512" s="568"/>
      <c r="U512" s="568"/>
      <c r="V512" s="568"/>
      <c r="W512" s="568"/>
      <c r="X512" s="568"/>
      <c r="Y512" s="568"/>
      <c r="Z512" s="568"/>
    </row>
    <row r="513" spans="1:26" ht="18.75" hidden="1">
      <c r="A513" s="563"/>
      <c r="B513" s="571"/>
      <c r="C513" s="571"/>
      <c r="D513" s="571"/>
      <c r="E513" s="571" t="s">
        <v>18</v>
      </c>
      <c r="F513" s="723"/>
      <c r="G513" s="567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1"/>
        <v>0</v>
      </c>
      <c r="P513" s="93">
        <f t="shared" si="222"/>
        <v>0</v>
      </c>
      <c r="Q513" s="568"/>
      <c r="R513" s="568"/>
      <c r="S513" s="568"/>
      <c r="T513" s="568"/>
      <c r="U513" s="568"/>
      <c r="V513" s="568"/>
      <c r="W513" s="568"/>
      <c r="X513" s="568"/>
      <c r="Y513" s="568"/>
      <c r="Z513" s="568"/>
    </row>
    <row r="514" spans="1:26" ht="18.75" hidden="1">
      <c r="A514" s="563"/>
      <c r="B514" s="571"/>
      <c r="C514" s="571"/>
      <c r="D514" s="723"/>
      <c r="E514" s="571" t="s">
        <v>19</v>
      </c>
      <c r="F514" s="723"/>
      <c r="G514" s="567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1"/>
        <v>0</v>
      </c>
      <c r="P514" s="93">
        <f t="shared" si="222"/>
        <v>0</v>
      </c>
      <c r="Q514" s="568"/>
      <c r="R514" s="568"/>
      <c r="S514" s="568"/>
      <c r="T514" s="568"/>
      <c r="U514" s="568"/>
      <c r="V514" s="568"/>
      <c r="W514" s="568"/>
      <c r="X514" s="568"/>
      <c r="Y514" s="568"/>
      <c r="Z514" s="568"/>
    </row>
    <row r="515" spans="1:26" ht="19.5" hidden="1">
      <c r="A515" s="578"/>
      <c r="B515" s="580"/>
      <c r="C515" s="571" t="s">
        <v>16</v>
      </c>
      <c r="D515" s="852" t="s">
        <v>38</v>
      </c>
      <c r="E515" s="617"/>
      <c r="F515" s="617"/>
      <c r="G515" s="618"/>
      <c r="H515" s="581"/>
      <c r="I515" s="166"/>
      <c r="J515" s="166"/>
      <c r="K515" s="167"/>
      <c r="L515" s="167"/>
      <c r="M515" s="167"/>
      <c r="N515" s="167"/>
      <c r="O515" s="167"/>
      <c r="P515" s="167"/>
      <c r="Q515" s="568"/>
      <c r="R515" s="568"/>
      <c r="S515" s="568"/>
      <c r="T515" s="568"/>
      <c r="U515" s="568"/>
      <c r="V515" s="568"/>
      <c r="W515" s="568"/>
      <c r="X515" s="568"/>
      <c r="Y515" s="568"/>
      <c r="Z515" s="568"/>
    </row>
    <row r="516" spans="1:26" ht="18.75" hidden="1">
      <c r="A516" s="578"/>
      <c r="B516" s="580"/>
      <c r="C516" s="580"/>
      <c r="D516" s="580" t="s">
        <v>221</v>
      </c>
      <c r="E516" s="684"/>
      <c r="F516" s="684"/>
      <c r="G516" s="581"/>
      <c r="H516" s="619" t="s">
        <v>109</v>
      </c>
      <c r="I516" s="583"/>
      <c r="J516" s="583">
        <v>0</v>
      </c>
      <c r="K516" s="167">
        <f t="shared" ref="K516:K517" si="223">IF(I516&gt;0,J516*100/I516,0)</f>
        <v>0</v>
      </c>
      <c r="L516" s="167"/>
      <c r="M516" s="167"/>
      <c r="N516" s="167"/>
      <c r="O516" s="167"/>
      <c r="P516" s="167"/>
      <c r="Q516" s="568"/>
      <c r="R516" s="568"/>
      <c r="S516" s="568"/>
      <c r="T516" s="568"/>
      <c r="U516" s="568"/>
      <c r="V516" s="568"/>
      <c r="W516" s="568"/>
      <c r="X516" s="568"/>
      <c r="Y516" s="568"/>
      <c r="Z516" s="568"/>
    </row>
    <row r="517" spans="1:26" ht="19.5" hidden="1">
      <c r="A517" s="578"/>
      <c r="B517" s="580"/>
      <c r="C517" s="580"/>
      <c r="D517" s="580" t="s">
        <v>222</v>
      </c>
      <c r="E517" s="684"/>
      <c r="F517" s="684"/>
      <c r="G517" s="581"/>
      <c r="H517" s="620" t="s">
        <v>35</v>
      </c>
      <c r="I517" s="621"/>
      <c r="J517" s="621">
        <f>J518+J519</f>
        <v>0</v>
      </c>
      <c r="K517" s="622">
        <f t="shared" si="223"/>
        <v>0</v>
      </c>
      <c r="L517" s="167"/>
      <c r="M517" s="167"/>
      <c r="N517" s="167"/>
      <c r="O517" s="167"/>
      <c r="P517" s="167"/>
      <c r="Q517" s="568"/>
      <c r="R517" s="568"/>
      <c r="S517" s="568"/>
      <c r="T517" s="568"/>
      <c r="U517" s="568"/>
      <c r="V517" s="568"/>
      <c r="W517" s="568"/>
      <c r="X517" s="568"/>
      <c r="Y517" s="568"/>
      <c r="Z517" s="568"/>
    </row>
    <row r="518" spans="1:26" ht="18.75" hidden="1">
      <c r="A518" s="578"/>
      <c r="B518" s="580"/>
      <c r="C518" s="580"/>
      <c r="D518" s="580"/>
      <c r="E518" s="580" t="s">
        <v>223</v>
      </c>
      <c r="F518" s="684"/>
      <c r="G518" s="581"/>
      <c r="H518" s="582" t="s">
        <v>35</v>
      </c>
      <c r="I518" s="583"/>
      <c r="J518" s="583"/>
      <c r="K518" s="167"/>
      <c r="L518" s="167"/>
      <c r="M518" s="167"/>
      <c r="N518" s="167"/>
      <c r="O518" s="167"/>
      <c r="P518" s="167"/>
      <c r="Q518" s="568"/>
      <c r="R518" s="568"/>
      <c r="S518" s="568"/>
      <c r="T518" s="568"/>
      <c r="U518" s="568"/>
      <c r="V518" s="568"/>
      <c r="W518" s="568"/>
      <c r="X518" s="568"/>
      <c r="Y518" s="568"/>
      <c r="Z518" s="568"/>
    </row>
    <row r="519" spans="1:26" ht="18.75" hidden="1">
      <c r="A519" s="578"/>
      <c r="B519" s="580"/>
      <c r="C519" s="580"/>
      <c r="D519" s="580"/>
      <c r="E519" s="580" t="s">
        <v>224</v>
      </c>
      <c r="F519" s="684"/>
      <c r="G519" s="581"/>
      <c r="H519" s="619" t="s">
        <v>35</v>
      </c>
      <c r="I519" s="583"/>
      <c r="J519" s="583"/>
      <c r="K519" s="167"/>
      <c r="L519" s="167"/>
      <c r="M519" s="167"/>
      <c r="N519" s="167"/>
      <c r="O519" s="167"/>
      <c r="P519" s="167"/>
      <c r="Q519" s="568"/>
      <c r="R519" s="568"/>
      <c r="S519" s="568"/>
      <c r="T519" s="568"/>
      <c r="U519" s="568"/>
      <c r="V519" s="568"/>
      <c r="W519" s="568"/>
      <c r="X519" s="568"/>
      <c r="Y519" s="568"/>
      <c r="Z519" s="568"/>
    </row>
    <row r="520" spans="1:26" ht="19.5">
      <c r="A520" s="623" t="s">
        <v>137</v>
      </c>
      <c r="B520" s="624"/>
      <c r="C520" s="624"/>
      <c r="D520" s="625"/>
      <c r="E520" s="625"/>
      <c r="F520" s="625"/>
      <c r="G520" s="626"/>
      <c r="H520" s="627"/>
      <c r="I520" s="628"/>
      <c r="J520" s="628"/>
      <c r="K520" s="629"/>
      <c r="L520" s="629"/>
      <c r="M520" s="629"/>
      <c r="N520" s="629"/>
      <c r="O520" s="629"/>
      <c r="P520" s="629"/>
    </row>
    <row r="521" spans="1:26" ht="19.5" hidden="1">
      <c r="A521" s="630">
        <v>5</v>
      </c>
      <c r="B521" s="631" t="s">
        <v>225</v>
      </c>
      <c r="C521" s="632"/>
      <c r="D521" s="633"/>
      <c r="E521" s="633"/>
      <c r="F521" s="633"/>
      <c r="G521" s="633"/>
      <c r="H521" s="634"/>
      <c r="I521" s="635"/>
      <c r="J521" s="635"/>
      <c r="K521" s="636"/>
      <c r="L521" s="636"/>
      <c r="M521" s="636"/>
      <c r="N521" s="636"/>
      <c r="O521" s="636"/>
      <c r="P521" s="636"/>
      <c r="Q521" s="541"/>
      <c r="R521" s="541"/>
      <c r="S521" s="541"/>
      <c r="T521" s="541"/>
      <c r="U521" s="541"/>
      <c r="V521" s="541"/>
      <c r="W521" s="541"/>
      <c r="X521" s="541"/>
      <c r="Y521" s="541"/>
      <c r="Z521" s="541"/>
    </row>
    <row r="522" spans="1:26" ht="19.5" hidden="1">
      <c r="A522" s="637"/>
      <c r="B522" s="638" t="s">
        <v>226</v>
      </c>
      <c r="C522" s="639"/>
      <c r="D522" s="639"/>
      <c r="E522" s="639"/>
      <c r="F522" s="639"/>
      <c r="G522" s="640"/>
      <c r="H522" s="641" t="s">
        <v>35</v>
      </c>
      <c r="I522" s="672">
        <f t="shared" ref="I522:J522" ca="1" si="224">I537</f>
        <v>0</v>
      </c>
      <c r="J522" s="672">
        <f t="shared" ca="1" si="224"/>
        <v>0</v>
      </c>
      <c r="K522" s="643">
        <f ca="1">IF(I522&gt;0,J522*100/I522,0)</f>
        <v>0</v>
      </c>
      <c r="L522" s="644"/>
      <c r="M522" s="644"/>
      <c r="N522" s="644"/>
      <c r="O522" s="644"/>
      <c r="P522" s="644"/>
      <c r="Q522" s="541"/>
      <c r="R522" s="541"/>
      <c r="S522" s="541"/>
      <c r="T522" s="541"/>
      <c r="U522" s="541"/>
      <c r="V522" s="541"/>
      <c r="W522" s="541"/>
      <c r="X522" s="541"/>
      <c r="Y522" s="541"/>
      <c r="Z522" s="541"/>
    </row>
    <row r="523" spans="1:26" ht="19.5" hidden="1">
      <c r="A523" s="561"/>
      <c r="B523" s="727"/>
      <c r="C523" s="727" t="s">
        <v>16</v>
      </c>
      <c r="D523" s="811" t="s">
        <v>17</v>
      </c>
      <c r="E523" s="805"/>
      <c r="F523" s="805"/>
      <c r="G523" s="189"/>
      <c r="H523" s="562" t="s">
        <v>12</v>
      </c>
      <c r="I523" s="269"/>
      <c r="J523" s="269"/>
      <c r="K523" s="465"/>
      <c r="L523" s="195">
        <f t="shared" ref="L523:N523" ca="1" si="225">L524+L525</f>
        <v>0</v>
      </c>
      <c r="M523" s="195">
        <f t="shared" si="225"/>
        <v>0</v>
      </c>
      <c r="N523" s="195">
        <f t="shared" si="225"/>
        <v>0</v>
      </c>
      <c r="O523" s="195">
        <f t="shared" ref="O523:O528" ca="1" si="226">IF(L523&gt;0,N523*100/L523,0)</f>
        <v>0</v>
      </c>
      <c r="P523" s="195">
        <f t="shared" ref="P523:P528" si="227">IF(M523&gt;0,N523*100/M523,0)</f>
        <v>0</v>
      </c>
      <c r="Q523" s="541"/>
      <c r="R523" s="541"/>
      <c r="S523" s="541"/>
      <c r="T523" s="541"/>
      <c r="U523" s="541"/>
      <c r="V523" s="541"/>
      <c r="W523" s="541"/>
      <c r="X523" s="541"/>
      <c r="Y523" s="541"/>
      <c r="Z523" s="541"/>
    </row>
    <row r="524" spans="1:26" ht="18.75" hidden="1">
      <c r="A524" s="563"/>
      <c r="B524" s="723"/>
      <c r="C524" s="723"/>
      <c r="D524" s="684"/>
      <c r="E524" s="723" t="s">
        <v>184</v>
      </c>
      <c r="F524" s="723"/>
      <c r="G524" s="567"/>
      <c r="H524" s="165" t="s">
        <v>12</v>
      </c>
      <c r="I524" s="583"/>
      <c r="J524" s="583"/>
      <c r="K524" s="93"/>
      <c r="L524" s="93">
        <f t="shared" ref="L524:N525" si="228">L527+L534</f>
        <v>0</v>
      </c>
      <c r="M524" s="93">
        <f t="shared" si="228"/>
        <v>0</v>
      </c>
      <c r="N524" s="93">
        <f t="shared" si="228"/>
        <v>0</v>
      </c>
      <c r="O524" s="93">
        <f t="shared" si="226"/>
        <v>0</v>
      </c>
      <c r="P524" s="93">
        <f t="shared" si="227"/>
        <v>0</v>
      </c>
      <c r="Q524" s="568"/>
      <c r="R524" s="568"/>
      <c r="S524" s="568"/>
      <c r="T524" s="568"/>
      <c r="U524" s="568"/>
      <c r="V524" s="568"/>
      <c r="W524" s="568"/>
      <c r="X524" s="568"/>
      <c r="Y524" s="568"/>
      <c r="Z524" s="568"/>
    </row>
    <row r="525" spans="1:26" ht="18.75" hidden="1">
      <c r="A525" s="563"/>
      <c r="B525" s="571"/>
      <c r="C525" s="723"/>
      <c r="D525" s="684"/>
      <c r="E525" s="723" t="s">
        <v>185</v>
      </c>
      <c r="F525" s="723"/>
      <c r="G525" s="567"/>
      <c r="H525" s="165" t="s">
        <v>12</v>
      </c>
      <c r="I525" s="583"/>
      <c r="J525" s="583"/>
      <c r="K525" s="93"/>
      <c r="L525" s="93">
        <f t="shared" ca="1" si="228"/>
        <v>0</v>
      </c>
      <c r="M525" s="93">
        <f t="shared" si="228"/>
        <v>0</v>
      </c>
      <c r="N525" s="93">
        <f t="shared" si="228"/>
        <v>0</v>
      </c>
      <c r="O525" s="93">
        <f t="shared" ca="1" si="226"/>
        <v>0</v>
      </c>
      <c r="P525" s="93">
        <f t="shared" si="227"/>
        <v>0</v>
      </c>
      <c r="Q525" s="568"/>
      <c r="R525" s="568"/>
      <c r="S525" s="568"/>
      <c r="T525" s="568"/>
      <c r="U525" s="568"/>
      <c r="V525" s="568"/>
      <c r="W525" s="568"/>
      <c r="X525" s="568"/>
      <c r="Y525" s="568"/>
      <c r="Z525" s="568"/>
    </row>
    <row r="526" spans="1:26" ht="18.75" hidden="1">
      <c r="A526" s="561"/>
      <c r="B526" s="538"/>
      <c r="C526" s="727"/>
      <c r="D526" s="570" t="s">
        <v>20</v>
      </c>
      <c r="E526" s="727"/>
      <c r="F526" s="727"/>
      <c r="G526" s="189"/>
      <c r="H526" s="161" t="s">
        <v>12</v>
      </c>
      <c r="I526" s="184"/>
      <c r="J526" s="184"/>
      <c r="K526" s="163"/>
      <c r="L526" s="465">
        <f t="shared" ref="L526:N526" ca="1" si="229">L527+L528</f>
        <v>0</v>
      </c>
      <c r="M526" s="465">
        <f t="shared" si="229"/>
        <v>0</v>
      </c>
      <c r="N526" s="465">
        <f t="shared" si="229"/>
        <v>0</v>
      </c>
      <c r="O526" s="465">
        <f t="shared" ca="1" si="226"/>
        <v>0</v>
      </c>
      <c r="P526" s="465">
        <f t="shared" si="227"/>
        <v>0</v>
      </c>
      <c r="Q526" s="541"/>
      <c r="R526" s="541"/>
      <c r="S526" s="541"/>
      <c r="T526" s="541"/>
      <c r="U526" s="541"/>
      <c r="V526" s="541"/>
      <c r="W526" s="541"/>
      <c r="X526" s="541"/>
      <c r="Y526" s="541"/>
      <c r="Z526" s="541"/>
    </row>
    <row r="527" spans="1:26" ht="18.75" hidden="1">
      <c r="A527" s="563"/>
      <c r="B527" s="571"/>
      <c r="C527" s="723"/>
      <c r="D527" s="684"/>
      <c r="E527" s="723" t="s">
        <v>184</v>
      </c>
      <c r="F527" s="723"/>
      <c r="G527" s="567"/>
      <c r="H527" s="165" t="s">
        <v>12</v>
      </c>
      <c r="I527" s="583"/>
      <c r="J527" s="583"/>
      <c r="K527" s="93"/>
      <c r="L527" s="93">
        <v>0</v>
      </c>
      <c r="M527" s="93">
        <v>0</v>
      </c>
      <c r="N527" s="93">
        <v>0</v>
      </c>
      <c r="O527" s="93">
        <f t="shared" si="226"/>
        <v>0</v>
      </c>
      <c r="P527" s="93">
        <f t="shared" si="227"/>
        <v>0</v>
      </c>
      <c r="Q527" s="568"/>
      <c r="R527" s="568"/>
      <c r="S527" s="568"/>
      <c r="T527" s="568"/>
      <c r="U527" s="568"/>
      <c r="V527" s="568"/>
      <c r="W527" s="568"/>
      <c r="X527" s="568"/>
      <c r="Y527" s="568"/>
      <c r="Z527" s="568"/>
    </row>
    <row r="528" spans="1:26" ht="18.75" hidden="1">
      <c r="A528" s="563"/>
      <c r="B528" s="571"/>
      <c r="C528" s="723"/>
      <c r="D528" s="684"/>
      <c r="E528" s="723" t="s">
        <v>185</v>
      </c>
      <c r="F528" s="723"/>
      <c r="G528" s="567"/>
      <c r="H528" s="165" t="s">
        <v>12</v>
      </c>
      <c r="I528" s="583"/>
      <c r="J528" s="583"/>
      <c r="K528" s="93"/>
      <c r="L528" s="93">
        <f ca="1">IFERROR(__xludf.DUMMYFUNCTION("IMPORTRANGE(""https://docs.google.com/spreadsheets/d/1QqKyyYR6Q21VydFLVH3TRQUabQu_ym0Zz7PgGX0-kHA/edit?usp=sharing"",""แผน!GQ18"")"),0)</f>
        <v>0</v>
      </c>
      <c r="M528" s="93">
        <v>0</v>
      </c>
      <c r="N528" s="93">
        <f>N529+N530+N531+N532</f>
        <v>0</v>
      </c>
      <c r="O528" s="93">
        <f t="shared" ca="1" si="226"/>
        <v>0</v>
      </c>
      <c r="P528" s="93">
        <f t="shared" si="227"/>
        <v>0</v>
      </c>
      <c r="Q528" s="568"/>
      <c r="R528" s="568"/>
      <c r="S528" s="568"/>
      <c r="T528" s="568"/>
      <c r="U528" s="568"/>
      <c r="V528" s="568"/>
      <c r="W528" s="568"/>
      <c r="X528" s="568"/>
      <c r="Y528" s="568"/>
      <c r="Z528" s="568"/>
    </row>
    <row r="529" spans="1:26" ht="18.75" hidden="1">
      <c r="A529" s="537"/>
      <c r="B529" s="538"/>
      <c r="C529" s="727"/>
      <c r="D529" s="727"/>
      <c r="E529" s="727"/>
      <c r="F529" s="727" t="s">
        <v>186</v>
      </c>
      <c r="G529" s="189"/>
      <c r="H529" s="161" t="s">
        <v>12</v>
      </c>
      <c r="I529" s="269"/>
      <c r="J529" s="269"/>
      <c r="K529" s="465"/>
      <c r="L529" s="465"/>
      <c r="M529" s="465"/>
      <c r="N529" s="789">
        <v>0</v>
      </c>
      <c r="O529" s="465"/>
      <c r="P529" s="465"/>
      <c r="Q529" s="541"/>
      <c r="R529" s="541"/>
      <c r="S529" s="541"/>
      <c r="T529" s="541"/>
      <c r="U529" s="541"/>
      <c r="V529" s="541"/>
      <c r="W529" s="541"/>
      <c r="X529" s="541"/>
      <c r="Y529" s="541"/>
      <c r="Z529" s="541"/>
    </row>
    <row r="530" spans="1:26" ht="18.75" hidden="1">
      <c r="A530" s="537"/>
      <c r="B530" s="538"/>
      <c r="C530" s="727"/>
      <c r="D530" s="727"/>
      <c r="E530" s="727"/>
      <c r="F530" s="727" t="s">
        <v>187</v>
      </c>
      <c r="G530" s="189"/>
      <c r="H530" s="161" t="s">
        <v>12</v>
      </c>
      <c r="I530" s="269"/>
      <c r="J530" s="269"/>
      <c r="K530" s="465"/>
      <c r="L530" s="465"/>
      <c r="M530" s="465"/>
      <c r="N530" s="789">
        <v>0</v>
      </c>
      <c r="O530" s="465"/>
      <c r="P530" s="465"/>
      <c r="Q530" s="541"/>
      <c r="R530" s="541"/>
      <c r="S530" s="541"/>
      <c r="T530" s="541"/>
      <c r="U530" s="541"/>
      <c r="V530" s="541"/>
      <c r="W530" s="541"/>
      <c r="X530" s="541"/>
      <c r="Y530" s="541"/>
      <c r="Z530" s="541"/>
    </row>
    <row r="531" spans="1:26" ht="18.75" hidden="1">
      <c r="A531" s="537"/>
      <c r="B531" s="538"/>
      <c r="C531" s="727"/>
      <c r="D531" s="727"/>
      <c r="E531" s="727"/>
      <c r="F531" s="727" t="s">
        <v>188</v>
      </c>
      <c r="G531" s="189"/>
      <c r="H531" s="161" t="s">
        <v>12</v>
      </c>
      <c r="I531" s="269"/>
      <c r="J531" s="269"/>
      <c r="K531" s="465"/>
      <c r="L531" s="465"/>
      <c r="M531" s="465"/>
      <c r="N531" s="789">
        <v>0</v>
      </c>
      <c r="O531" s="465"/>
      <c r="P531" s="465"/>
      <c r="Q531" s="541"/>
      <c r="R531" s="541"/>
      <c r="S531" s="541"/>
      <c r="T531" s="541"/>
      <c r="U531" s="541"/>
      <c r="V531" s="541"/>
      <c r="W531" s="541"/>
      <c r="X531" s="541"/>
      <c r="Y531" s="541"/>
      <c r="Z531" s="541"/>
    </row>
    <row r="532" spans="1:26" ht="18.75" hidden="1">
      <c r="A532" s="537"/>
      <c r="B532" s="538"/>
      <c r="C532" s="727"/>
      <c r="D532" s="727"/>
      <c r="E532" s="727"/>
      <c r="F532" s="727" t="s">
        <v>189</v>
      </c>
      <c r="G532" s="189"/>
      <c r="H532" s="161" t="s">
        <v>12</v>
      </c>
      <c r="I532" s="269"/>
      <c r="J532" s="269"/>
      <c r="K532" s="465"/>
      <c r="L532" s="465"/>
      <c r="M532" s="465"/>
      <c r="N532" s="789">
        <v>0</v>
      </c>
      <c r="O532" s="465"/>
      <c r="P532" s="465"/>
      <c r="Q532" s="541"/>
      <c r="R532" s="541"/>
      <c r="S532" s="541"/>
      <c r="T532" s="541"/>
      <c r="U532" s="541"/>
      <c r="V532" s="541"/>
      <c r="W532" s="541"/>
      <c r="X532" s="541"/>
      <c r="Y532" s="541"/>
      <c r="Z532" s="541"/>
    </row>
    <row r="533" spans="1:26" ht="18.75" hidden="1">
      <c r="A533" s="561"/>
      <c r="B533" s="538"/>
      <c r="C533" s="727"/>
      <c r="D533" s="570" t="s">
        <v>21</v>
      </c>
      <c r="E533" s="727"/>
      <c r="F533" s="727"/>
      <c r="G533" s="189"/>
      <c r="H533" s="168" t="s">
        <v>12</v>
      </c>
      <c r="I533" s="184"/>
      <c r="J533" s="184"/>
      <c r="K533" s="163"/>
      <c r="L533" s="465">
        <f t="shared" ref="L533:N533" ca="1" si="230">L534+L535</f>
        <v>0</v>
      </c>
      <c r="M533" s="465">
        <f t="shared" si="230"/>
        <v>0</v>
      </c>
      <c r="N533" s="465">
        <f t="shared" si="230"/>
        <v>0</v>
      </c>
      <c r="O533" s="465">
        <f t="shared" ref="O533:O535" ca="1" si="231">IF(L533&gt;0,N533*100/L533,0)</f>
        <v>0</v>
      </c>
      <c r="P533" s="465">
        <f t="shared" ref="P533:P535" si="232">IF(M533&gt;0,N533*100/M533,0)</f>
        <v>0</v>
      </c>
      <c r="Q533" s="541"/>
      <c r="R533" s="541"/>
      <c r="S533" s="541"/>
      <c r="T533" s="541"/>
      <c r="U533" s="541"/>
      <c r="V533" s="541"/>
      <c r="W533" s="541"/>
      <c r="X533" s="541"/>
      <c r="Y533" s="541"/>
      <c r="Z533" s="541"/>
    </row>
    <row r="534" spans="1:26" ht="18.75" hidden="1">
      <c r="A534" s="563"/>
      <c r="B534" s="571"/>
      <c r="C534" s="723"/>
      <c r="D534" s="723"/>
      <c r="E534" s="723" t="s">
        <v>18</v>
      </c>
      <c r="F534" s="723"/>
      <c r="G534" s="567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1"/>
        <v>0</v>
      </c>
      <c r="P534" s="93">
        <f t="shared" si="232"/>
        <v>0</v>
      </c>
      <c r="Q534" s="568"/>
      <c r="R534" s="568"/>
      <c r="S534" s="568"/>
      <c r="T534" s="568"/>
      <c r="U534" s="568"/>
      <c r="V534" s="568"/>
      <c r="W534" s="568"/>
      <c r="X534" s="568"/>
      <c r="Y534" s="568"/>
      <c r="Z534" s="568"/>
    </row>
    <row r="535" spans="1:26" ht="18.75" hidden="1">
      <c r="A535" s="563"/>
      <c r="B535" s="571"/>
      <c r="C535" s="723"/>
      <c r="D535" s="723"/>
      <c r="E535" s="723" t="s">
        <v>19</v>
      </c>
      <c r="F535" s="723"/>
      <c r="G535" s="567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IFERROR(__xludf.DUMMYFUNCTION("IMPORTRANGE(""https://docs.google.com/spreadsheets/d/1QqKyyYR6Q21VydFLVH3TRQUabQu_ym0Zz7PgGX0-kHA/edit?usp=sharing"",""แผน!GT18"")"),0)</f>
        <v>0</v>
      </c>
      <c r="M535" s="93">
        <v>0</v>
      </c>
      <c r="N535" s="93">
        <v>0</v>
      </c>
      <c r="O535" s="93">
        <f t="shared" ca="1" si="231"/>
        <v>0</v>
      </c>
      <c r="P535" s="93">
        <f t="shared" si="232"/>
        <v>0</v>
      </c>
      <c r="Q535" s="568"/>
      <c r="R535" s="568"/>
      <c r="S535" s="568"/>
      <c r="T535" s="568"/>
      <c r="U535" s="568"/>
      <c r="V535" s="568"/>
      <c r="W535" s="568"/>
      <c r="X535" s="568"/>
      <c r="Y535" s="568"/>
      <c r="Z535" s="568"/>
    </row>
    <row r="536" spans="1:26" ht="19.5" hidden="1">
      <c r="A536" s="572"/>
      <c r="B536" s="584"/>
      <c r="C536" s="727" t="s">
        <v>16</v>
      </c>
      <c r="D536" s="853" t="s">
        <v>38</v>
      </c>
      <c r="E536" s="725"/>
      <c r="F536" s="725"/>
      <c r="G536" s="577"/>
      <c r="H536" s="726"/>
      <c r="I536" s="184"/>
      <c r="J536" s="184"/>
      <c r="K536" s="163"/>
      <c r="L536" s="163"/>
      <c r="M536" s="163"/>
      <c r="N536" s="163"/>
      <c r="O536" s="163"/>
      <c r="P536" s="163"/>
      <c r="Q536" s="541"/>
      <c r="R536" s="541"/>
      <c r="S536" s="541"/>
      <c r="T536" s="541"/>
      <c r="U536" s="541"/>
      <c r="V536" s="541"/>
      <c r="W536" s="541"/>
      <c r="X536" s="541"/>
      <c r="Y536" s="541"/>
      <c r="Z536" s="541"/>
    </row>
    <row r="537" spans="1:26" ht="19.5" hidden="1">
      <c r="A537" s="537"/>
      <c r="B537" s="538"/>
      <c r="C537" s="727"/>
      <c r="D537" s="727" t="s">
        <v>227</v>
      </c>
      <c r="E537" s="727"/>
      <c r="F537" s="727"/>
      <c r="G537" s="189"/>
      <c r="H537" s="589" t="s">
        <v>35</v>
      </c>
      <c r="I537" s="647">
        <f ca="1">IFERROR(__xludf.DUMMYFUNCTION("IMPORTRANGE(""https://docs.google.com/spreadsheets/d/1QqKyyYR6Q21VydFLVH3TRQUabQu_ym0Zz7PgGX0-kHA/edit?usp=sharing"",""แผน!GU18"")"),0)</f>
        <v>0</v>
      </c>
      <c r="J537" s="647">
        <f ca="1">IF(AND(J538=I538,J539=I539,J540=I540,J541=I541),I537,0)</f>
        <v>0</v>
      </c>
      <c r="K537" s="465">
        <f t="shared" ref="K537:K543" ca="1" si="233">IF(I537&gt;0,J537*100/I537,0)</f>
        <v>0</v>
      </c>
      <c r="L537" s="465"/>
      <c r="M537" s="465"/>
      <c r="N537" s="465"/>
      <c r="O537" s="465"/>
      <c r="P537" s="465"/>
      <c r="Q537" s="648"/>
      <c r="R537" s="648"/>
      <c r="S537" s="648"/>
      <c r="T537" s="648"/>
      <c r="U537" s="648"/>
      <c r="V537" s="648"/>
      <c r="W537" s="648"/>
      <c r="X537" s="648"/>
      <c r="Y537" s="648"/>
      <c r="Z537" s="648"/>
    </row>
    <row r="538" spans="1:26" ht="18.75" hidden="1">
      <c r="A538" s="537"/>
      <c r="B538" s="538"/>
      <c r="C538" s="727"/>
      <c r="D538" s="727"/>
      <c r="E538" s="727" t="s">
        <v>228</v>
      </c>
      <c r="F538" s="727"/>
      <c r="G538" s="189"/>
      <c r="H538" s="589" t="s">
        <v>35</v>
      </c>
      <c r="I538" s="269">
        <f ca="1">IFERROR(__xludf.DUMMYFUNCTION("IMPORTRANGE(""https://docs.google.com/spreadsheets/d/1QqKyyYR6Q21VydFLVH3TRQUabQu_ym0Zz7PgGX0-kHA/edit?usp=sharing"",""แผน!GV18"")"),0)</f>
        <v>0</v>
      </c>
      <c r="J538" s="214">
        <v>0</v>
      </c>
      <c r="K538" s="465">
        <f t="shared" ca="1" si="233"/>
        <v>0</v>
      </c>
      <c r="L538" s="465"/>
      <c r="M538" s="465"/>
      <c r="N538" s="465"/>
      <c r="O538" s="465"/>
      <c r="P538" s="465"/>
      <c r="Q538" s="648"/>
      <c r="R538" s="648"/>
      <c r="S538" s="648"/>
      <c r="T538" s="648"/>
      <c r="U538" s="648"/>
      <c r="V538" s="648"/>
      <c r="W538" s="648"/>
      <c r="X538" s="648"/>
      <c r="Y538" s="648"/>
      <c r="Z538" s="648"/>
    </row>
    <row r="539" spans="1:26" ht="18.75" hidden="1">
      <c r="A539" s="537"/>
      <c r="B539" s="538"/>
      <c r="C539" s="727"/>
      <c r="D539" s="727"/>
      <c r="E539" s="727" t="s">
        <v>229</v>
      </c>
      <c r="F539" s="727"/>
      <c r="G539" s="189"/>
      <c r="H539" s="589" t="s">
        <v>35</v>
      </c>
      <c r="I539" s="269">
        <f ca="1">IFERROR(__xludf.DUMMYFUNCTION("IMPORTRANGE(""https://docs.google.com/spreadsheets/d/1QqKyyYR6Q21VydFLVH3TRQUabQu_ym0Zz7PgGX0-kHA/edit?usp=sharing"",""แผน!GW18"")"),0)</f>
        <v>0</v>
      </c>
      <c r="J539" s="214">
        <v>0</v>
      </c>
      <c r="K539" s="465">
        <f t="shared" ca="1" si="233"/>
        <v>0</v>
      </c>
      <c r="L539" s="465"/>
      <c r="M539" s="465"/>
      <c r="N539" s="465"/>
      <c r="O539" s="465"/>
      <c r="P539" s="465"/>
      <c r="Q539" s="648"/>
      <c r="R539" s="648"/>
      <c r="S539" s="648"/>
      <c r="T539" s="648"/>
      <c r="U539" s="648"/>
      <c r="V539" s="648"/>
      <c r="W539" s="648"/>
      <c r="X539" s="648"/>
      <c r="Y539" s="648"/>
      <c r="Z539" s="648"/>
    </row>
    <row r="540" spans="1:26" ht="18.75" hidden="1">
      <c r="A540" s="537"/>
      <c r="B540" s="538"/>
      <c r="C540" s="727"/>
      <c r="D540" s="727"/>
      <c r="E540" s="727" t="s">
        <v>230</v>
      </c>
      <c r="F540" s="727"/>
      <c r="G540" s="189"/>
      <c r="H540" s="589" t="s">
        <v>35</v>
      </c>
      <c r="I540" s="269">
        <f ca="1">IFERROR(__xludf.DUMMYFUNCTION("IMPORTRANGE(""https://docs.google.com/spreadsheets/d/1QqKyyYR6Q21VydFLVH3TRQUabQu_ym0Zz7PgGX0-kHA/edit?usp=sharing"",""แผน!GX18"")"),0)</f>
        <v>0</v>
      </c>
      <c r="J540" s="214">
        <v>0</v>
      </c>
      <c r="K540" s="465">
        <f t="shared" ca="1" si="233"/>
        <v>0</v>
      </c>
      <c r="L540" s="465"/>
      <c r="M540" s="465"/>
      <c r="N540" s="465"/>
      <c r="O540" s="465"/>
      <c r="P540" s="465"/>
      <c r="Q540" s="648"/>
      <c r="R540" s="648"/>
      <c r="S540" s="648"/>
      <c r="T540" s="648"/>
      <c r="U540" s="648"/>
      <c r="V540" s="648"/>
      <c r="W540" s="648"/>
      <c r="X540" s="648"/>
      <c r="Y540" s="648"/>
      <c r="Z540" s="648"/>
    </row>
    <row r="541" spans="1:26" ht="18.75" hidden="1">
      <c r="A541" s="537"/>
      <c r="B541" s="538"/>
      <c r="C541" s="727"/>
      <c r="D541" s="727"/>
      <c r="E541" s="733" t="s">
        <v>231</v>
      </c>
      <c r="F541" s="727"/>
      <c r="G541" s="189"/>
      <c r="H541" s="589" t="s">
        <v>35</v>
      </c>
      <c r="I541" s="269">
        <f ca="1">IFERROR(__xludf.DUMMYFUNCTION("IMPORTRANGE(""https://docs.google.com/spreadsheets/d/1QqKyyYR6Q21VydFLVH3TRQUabQu_ym0Zz7PgGX0-kHA/edit?usp=sharing"",""แผน!GY18"")"),0)</f>
        <v>0</v>
      </c>
      <c r="J541" s="214">
        <v>0</v>
      </c>
      <c r="K541" s="465">
        <f t="shared" ca="1" si="233"/>
        <v>0</v>
      </c>
      <c r="L541" s="465"/>
      <c r="M541" s="465"/>
      <c r="N541" s="465"/>
      <c r="O541" s="465"/>
      <c r="P541" s="465"/>
      <c r="Q541" s="648"/>
      <c r="R541" s="648"/>
      <c r="S541" s="648"/>
      <c r="T541" s="648"/>
      <c r="U541" s="648"/>
      <c r="V541" s="648"/>
      <c r="W541" s="648"/>
      <c r="X541" s="648"/>
      <c r="Y541" s="648"/>
      <c r="Z541" s="648"/>
    </row>
    <row r="542" spans="1:26" ht="18.75" hidden="1">
      <c r="A542" s="537"/>
      <c r="B542" s="538"/>
      <c r="C542" s="727"/>
      <c r="D542" s="727" t="s">
        <v>59</v>
      </c>
      <c r="E542" s="727"/>
      <c r="F542" s="727"/>
      <c r="G542" s="189"/>
      <c r="H542" s="589" t="s">
        <v>35</v>
      </c>
      <c r="I542" s="269">
        <f ca="1">IFERROR(__xludf.DUMMYFUNCTION("IMPORTRANGE(""https://docs.google.com/spreadsheets/d/1QqKyyYR6Q21VydFLVH3TRQUabQu_ym0Zz7PgGX0-kHA/edit?usp=sharing"",""แผน!GZ18"")"),0)</f>
        <v>0</v>
      </c>
      <c r="J542" s="214">
        <v>0</v>
      </c>
      <c r="K542" s="465">
        <f t="shared" ca="1" si="233"/>
        <v>0</v>
      </c>
      <c r="L542" s="465"/>
      <c r="M542" s="465"/>
      <c r="N542" s="465"/>
      <c r="O542" s="465"/>
      <c r="P542" s="465"/>
      <c r="Q542" s="648"/>
      <c r="R542" s="648"/>
      <c r="S542" s="648"/>
      <c r="T542" s="648"/>
      <c r="U542" s="648"/>
      <c r="V542" s="648"/>
      <c r="W542" s="648"/>
      <c r="X542" s="648"/>
      <c r="Y542" s="648"/>
      <c r="Z542" s="648"/>
    </row>
    <row r="543" spans="1:26" ht="19.5">
      <c r="A543" s="630">
        <v>6</v>
      </c>
      <c r="B543" s="651" t="s">
        <v>232</v>
      </c>
      <c r="C543" s="633"/>
      <c r="D543" s="633"/>
      <c r="E543" s="633"/>
      <c r="F543" s="633"/>
      <c r="G543" s="634"/>
      <c r="H543" s="652" t="s">
        <v>46</v>
      </c>
      <c r="I543" s="653">
        <f t="shared" ref="I543:J543" ca="1" si="234">I559</f>
        <v>47776</v>
      </c>
      <c r="J543" s="653">
        <f t="shared" si="234"/>
        <v>0</v>
      </c>
      <c r="K543" s="654">
        <f t="shared" ca="1" si="233"/>
        <v>0</v>
      </c>
      <c r="L543" s="636"/>
      <c r="M543" s="636"/>
      <c r="N543" s="636"/>
      <c r="O543" s="636"/>
      <c r="P543" s="636"/>
      <c r="Q543" s="541"/>
      <c r="R543" s="541"/>
      <c r="S543" s="541"/>
      <c r="T543" s="541"/>
      <c r="U543" s="541"/>
      <c r="V543" s="541"/>
      <c r="W543" s="541"/>
      <c r="X543" s="541"/>
      <c r="Y543" s="541"/>
      <c r="Z543" s="541"/>
    </row>
    <row r="544" spans="1:26" ht="19.5">
      <c r="A544" s="655"/>
      <c r="B544" s="656"/>
      <c r="C544" s="656" t="s">
        <v>16</v>
      </c>
      <c r="D544" s="854" t="s">
        <v>17</v>
      </c>
      <c r="E544" s="810"/>
      <c r="F544" s="810"/>
      <c r="G544" s="657"/>
      <c r="H544" s="274" t="s">
        <v>12</v>
      </c>
      <c r="I544" s="388"/>
      <c r="J544" s="388"/>
      <c r="K544" s="154"/>
      <c r="L544" s="155">
        <f t="shared" ref="L544:N544" ca="1" si="235">L545+L546</f>
        <v>409976</v>
      </c>
      <c r="M544" s="155">
        <f t="shared" si="235"/>
        <v>0</v>
      </c>
      <c r="N544" s="155">
        <f t="shared" si="235"/>
        <v>0</v>
      </c>
      <c r="O544" s="155">
        <f t="shared" ref="O544:O549" ca="1" si="236">IF(L544&gt;0,N544*100/L544,0)</f>
        <v>0</v>
      </c>
      <c r="P544" s="155">
        <f t="shared" ref="P544:P549" si="237">IF(M544&gt;0,N544*100/M544,0)</f>
        <v>0</v>
      </c>
      <c r="Q544" s="541"/>
      <c r="R544" s="541"/>
      <c r="S544" s="541"/>
      <c r="T544" s="541"/>
      <c r="U544" s="541"/>
      <c r="V544" s="541"/>
      <c r="W544" s="541"/>
      <c r="X544" s="541"/>
      <c r="Y544" s="541"/>
      <c r="Z544" s="541"/>
    </row>
    <row r="545" spans="1:26" ht="18.75" hidden="1">
      <c r="A545" s="563"/>
      <c r="B545" s="723"/>
      <c r="C545" s="723"/>
      <c r="D545" s="723"/>
      <c r="E545" s="723" t="s">
        <v>184</v>
      </c>
      <c r="F545" s="723"/>
      <c r="G545" s="567"/>
      <c r="H545" s="165" t="s">
        <v>12</v>
      </c>
      <c r="I545" s="583"/>
      <c r="J545" s="583"/>
      <c r="K545" s="93"/>
      <c r="L545" s="93">
        <f t="shared" ref="L545:L546" si="238">L548+L556</f>
        <v>0</v>
      </c>
      <c r="M545" s="93">
        <f t="shared" ref="M545:N546" si="239">M548+M555</f>
        <v>0</v>
      </c>
      <c r="N545" s="93">
        <f t="shared" si="239"/>
        <v>0</v>
      </c>
      <c r="O545" s="93">
        <f t="shared" si="236"/>
        <v>0</v>
      </c>
      <c r="P545" s="93">
        <f t="shared" si="237"/>
        <v>0</v>
      </c>
      <c r="Q545" s="568"/>
      <c r="R545" s="568"/>
      <c r="S545" s="568"/>
      <c r="T545" s="568"/>
      <c r="U545" s="568"/>
      <c r="V545" s="568"/>
      <c r="W545" s="568"/>
      <c r="X545" s="568"/>
      <c r="Y545" s="568"/>
      <c r="Z545" s="568"/>
    </row>
    <row r="546" spans="1:26" ht="18.75" hidden="1">
      <c r="A546" s="563"/>
      <c r="B546" s="571"/>
      <c r="C546" s="723"/>
      <c r="D546" s="723"/>
      <c r="E546" s="723" t="s">
        <v>185</v>
      </c>
      <c r="F546" s="723"/>
      <c r="G546" s="567"/>
      <c r="H546" s="165" t="s">
        <v>12</v>
      </c>
      <c r="I546" s="583"/>
      <c r="J546" s="583"/>
      <c r="K546" s="93"/>
      <c r="L546" s="93">
        <f t="shared" ca="1" si="238"/>
        <v>409976</v>
      </c>
      <c r="M546" s="93">
        <f t="shared" si="239"/>
        <v>0</v>
      </c>
      <c r="N546" s="93">
        <f t="shared" si="239"/>
        <v>0</v>
      </c>
      <c r="O546" s="93">
        <f t="shared" ca="1" si="236"/>
        <v>0</v>
      </c>
      <c r="P546" s="93">
        <f t="shared" si="237"/>
        <v>0</v>
      </c>
      <c r="Q546" s="568"/>
      <c r="R546" s="568"/>
      <c r="S546" s="568"/>
      <c r="T546" s="568"/>
      <c r="U546" s="568"/>
      <c r="V546" s="568"/>
      <c r="W546" s="568"/>
      <c r="X546" s="568"/>
      <c r="Y546" s="568"/>
      <c r="Z546" s="568"/>
    </row>
    <row r="547" spans="1:26" ht="18.75">
      <c r="A547" s="561"/>
      <c r="B547" s="538"/>
      <c r="C547" s="727"/>
      <c r="D547" s="570" t="s">
        <v>20</v>
      </c>
      <c r="E547" s="727"/>
      <c r="F547" s="727"/>
      <c r="G547" s="189"/>
      <c r="H547" s="161" t="s">
        <v>12</v>
      </c>
      <c r="I547" s="184"/>
      <c r="J547" s="184"/>
      <c r="K547" s="163"/>
      <c r="L547" s="465">
        <f t="shared" ref="L547:N547" ca="1" si="240">L548+L549</f>
        <v>409976</v>
      </c>
      <c r="M547" s="465">
        <f t="shared" si="240"/>
        <v>0</v>
      </c>
      <c r="N547" s="465">
        <f t="shared" si="240"/>
        <v>0</v>
      </c>
      <c r="O547" s="465">
        <f t="shared" ca="1" si="236"/>
        <v>0</v>
      </c>
      <c r="P547" s="465">
        <f t="shared" si="237"/>
        <v>0</v>
      </c>
      <c r="Q547" s="541"/>
      <c r="R547" s="541"/>
      <c r="S547" s="541"/>
      <c r="T547" s="541"/>
      <c r="U547" s="541"/>
      <c r="V547" s="541"/>
      <c r="W547" s="541"/>
      <c r="X547" s="541"/>
      <c r="Y547" s="541"/>
      <c r="Z547" s="541"/>
    </row>
    <row r="548" spans="1:26" ht="18.75" hidden="1">
      <c r="A548" s="563"/>
      <c r="B548" s="571"/>
      <c r="C548" s="723"/>
      <c r="D548" s="684"/>
      <c r="E548" s="723" t="s">
        <v>184</v>
      </c>
      <c r="F548" s="723"/>
      <c r="G548" s="567"/>
      <c r="H548" s="165" t="s">
        <v>12</v>
      </c>
      <c r="I548" s="583"/>
      <c r="J548" s="583"/>
      <c r="K548" s="93"/>
      <c r="L548" s="93">
        <v>0</v>
      </c>
      <c r="M548" s="93">
        <v>0</v>
      </c>
      <c r="N548" s="93">
        <v>0</v>
      </c>
      <c r="O548" s="93">
        <f t="shared" si="236"/>
        <v>0</v>
      </c>
      <c r="P548" s="93">
        <f t="shared" si="237"/>
        <v>0</v>
      </c>
      <c r="Q548" s="568"/>
      <c r="R548" s="568"/>
      <c r="S548" s="568"/>
      <c r="T548" s="568"/>
      <c r="U548" s="568"/>
      <c r="V548" s="568"/>
      <c r="W548" s="568"/>
      <c r="X548" s="568"/>
      <c r="Y548" s="568"/>
      <c r="Z548" s="568"/>
    </row>
    <row r="549" spans="1:26" ht="18.75" hidden="1">
      <c r="A549" s="563"/>
      <c r="B549" s="571"/>
      <c r="C549" s="723"/>
      <c r="D549" s="684"/>
      <c r="E549" s="723" t="s">
        <v>185</v>
      </c>
      <c r="F549" s="723"/>
      <c r="G549" s="567"/>
      <c r="H549" s="165" t="s">
        <v>12</v>
      </c>
      <c r="I549" s="583"/>
      <c r="J549" s="583"/>
      <c r="K549" s="93"/>
      <c r="L549" s="93">
        <f ca="1">IFERROR(__xludf.DUMMYFUNCTION("IMPORTRANGE(""https://docs.google.com/spreadsheets/d/1QqKyyYR6Q21VydFLVH3TRQUabQu_ym0Zz7PgGX0-kHA/edit?usp=sharing"",""แผน!HB18"")"),409976)</f>
        <v>409976</v>
      </c>
      <c r="M549" s="93">
        <v>0</v>
      </c>
      <c r="N549" s="93">
        <f>N550+N551+N552+N553+N554</f>
        <v>0</v>
      </c>
      <c r="O549" s="93">
        <f t="shared" ca="1" si="236"/>
        <v>0</v>
      </c>
      <c r="P549" s="93">
        <f t="shared" si="237"/>
        <v>0</v>
      </c>
      <c r="Q549" s="568"/>
      <c r="R549" s="568"/>
      <c r="S549" s="568"/>
      <c r="T549" s="568"/>
      <c r="U549" s="568"/>
      <c r="V549" s="568"/>
      <c r="W549" s="568"/>
      <c r="X549" s="568"/>
      <c r="Y549" s="568"/>
      <c r="Z549" s="568"/>
    </row>
    <row r="550" spans="1:26" ht="18.75">
      <c r="A550" s="537"/>
      <c r="B550" s="538"/>
      <c r="C550" s="727"/>
      <c r="D550" s="727"/>
      <c r="E550" s="727"/>
      <c r="F550" s="727" t="s">
        <v>186</v>
      </c>
      <c r="G550" s="189"/>
      <c r="H550" s="161" t="s">
        <v>12</v>
      </c>
      <c r="I550" s="269"/>
      <c r="J550" s="269"/>
      <c r="K550" s="465"/>
      <c r="L550" s="465"/>
      <c r="M550" s="465"/>
      <c r="N550" s="789">
        <v>0</v>
      </c>
      <c r="O550" s="465"/>
      <c r="P550" s="465"/>
      <c r="Q550" s="541"/>
      <c r="R550" s="541"/>
      <c r="S550" s="541"/>
      <c r="T550" s="541"/>
      <c r="U550" s="541"/>
      <c r="V550" s="541"/>
      <c r="W550" s="541"/>
      <c r="X550" s="541"/>
      <c r="Y550" s="541"/>
      <c r="Z550" s="541"/>
    </row>
    <row r="551" spans="1:26" ht="18.75">
      <c r="A551" s="537"/>
      <c r="B551" s="538"/>
      <c r="C551" s="538"/>
      <c r="D551" s="538"/>
      <c r="E551" s="727"/>
      <c r="F551" s="727" t="s">
        <v>187</v>
      </c>
      <c r="G551" s="189"/>
      <c r="H551" s="161" t="s">
        <v>12</v>
      </c>
      <c r="I551" s="269"/>
      <c r="J551" s="269"/>
      <c r="K551" s="465"/>
      <c r="L551" s="465"/>
      <c r="M551" s="465"/>
      <c r="N551" s="789">
        <v>0</v>
      </c>
      <c r="O551" s="465"/>
      <c r="P551" s="465"/>
      <c r="Q551" s="541"/>
      <c r="R551" s="541"/>
      <c r="S551" s="541"/>
      <c r="T551" s="541"/>
      <c r="U551" s="541"/>
      <c r="V551" s="541"/>
      <c r="W551" s="541"/>
      <c r="X551" s="541"/>
      <c r="Y551" s="541"/>
      <c r="Z551" s="541"/>
    </row>
    <row r="552" spans="1:26" ht="18.75">
      <c r="A552" s="537"/>
      <c r="B552" s="538"/>
      <c r="C552" s="727"/>
      <c r="D552" s="727"/>
      <c r="E552" s="727"/>
      <c r="F552" s="727" t="s">
        <v>188</v>
      </c>
      <c r="G552" s="189"/>
      <c r="H552" s="161" t="s">
        <v>12</v>
      </c>
      <c r="I552" s="269"/>
      <c r="J552" s="269"/>
      <c r="K552" s="465"/>
      <c r="L552" s="465"/>
      <c r="M552" s="465"/>
      <c r="N552" s="789">
        <v>0</v>
      </c>
      <c r="O552" s="465"/>
      <c r="P552" s="465"/>
      <c r="Q552" s="541"/>
      <c r="R552" s="541"/>
      <c r="S552" s="541"/>
      <c r="T552" s="541"/>
      <c r="U552" s="541"/>
      <c r="V552" s="541"/>
      <c r="W552" s="541"/>
      <c r="X552" s="541"/>
      <c r="Y552" s="541"/>
      <c r="Z552" s="541"/>
    </row>
    <row r="553" spans="1:26" ht="18.75">
      <c r="A553" s="537"/>
      <c r="B553" s="538"/>
      <c r="C553" s="538"/>
      <c r="D553" s="538"/>
      <c r="E553" s="727"/>
      <c r="F553" s="727" t="s">
        <v>189</v>
      </c>
      <c r="G553" s="189"/>
      <c r="H553" s="161" t="s">
        <v>12</v>
      </c>
      <c r="I553" s="269"/>
      <c r="J553" s="269"/>
      <c r="K553" s="465"/>
      <c r="L553" s="465"/>
      <c r="M553" s="465"/>
      <c r="N553" s="789">
        <v>0</v>
      </c>
      <c r="O553" s="465"/>
      <c r="P553" s="465"/>
      <c r="Q553" s="541"/>
      <c r="R553" s="541"/>
      <c r="S553" s="541"/>
      <c r="T553" s="541"/>
      <c r="U553" s="541"/>
      <c r="V553" s="541"/>
      <c r="W553" s="541"/>
      <c r="X553" s="541"/>
      <c r="Y553" s="541"/>
      <c r="Z553" s="541"/>
    </row>
    <row r="554" spans="1:26" ht="18.75">
      <c r="A554" s="537"/>
      <c r="B554" s="538"/>
      <c r="C554" s="538"/>
      <c r="D554" s="538"/>
      <c r="E554" s="727"/>
      <c r="F554" s="727" t="s">
        <v>233</v>
      </c>
      <c r="G554" s="189"/>
      <c r="H554" s="161" t="s">
        <v>12</v>
      </c>
      <c r="I554" s="269"/>
      <c r="J554" s="269"/>
      <c r="K554" s="465"/>
      <c r="L554" s="465"/>
      <c r="M554" s="465"/>
      <c r="N554" s="789">
        <v>0</v>
      </c>
      <c r="O554" s="465"/>
      <c r="P554" s="465"/>
      <c r="Q554" s="541"/>
      <c r="R554" s="541"/>
      <c r="S554" s="541"/>
      <c r="T554" s="541"/>
      <c r="U554" s="541"/>
      <c r="V554" s="541"/>
      <c r="W554" s="541"/>
      <c r="X554" s="541"/>
      <c r="Y554" s="541"/>
      <c r="Z554" s="541"/>
    </row>
    <row r="555" spans="1:26" ht="18.75">
      <c r="A555" s="561"/>
      <c r="B555" s="538"/>
      <c r="C555" s="538"/>
      <c r="D555" s="570" t="s">
        <v>21</v>
      </c>
      <c r="E555" s="727"/>
      <c r="F555" s="727"/>
      <c r="G555" s="189"/>
      <c r="H555" s="168" t="s">
        <v>12</v>
      </c>
      <c r="I555" s="184"/>
      <c r="J555" s="184"/>
      <c r="K555" s="163"/>
      <c r="L555" s="465">
        <f t="shared" ref="L555:N555" ca="1" si="241">L556+L557</f>
        <v>0</v>
      </c>
      <c r="M555" s="465">
        <f t="shared" si="241"/>
        <v>0</v>
      </c>
      <c r="N555" s="465">
        <f t="shared" si="241"/>
        <v>0</v>
      </c>
      <c r="O555" s="465">
        <f t="shared" ref="O555:O557" ca="1" si="242">IF(L555&gt;0,N555*100/L555,0)</f>
        <v>0</v>
      </c>
      <c r="P555" s="465">
        <f t="shared" ref="P555:P557" si="243">IF(M555&gt;0,N555*100/M555,0)</f>
        <v>0</v>
      </c>
      <c r="Q555" s="541"/>
      <c r="R555" s="541"/>
      <c r="S555" s="541"/>
      <c r="T555" s="541"/>
      <c r="U555" s="541"/>
      <c r="V555" s="541"/>
      <c r="W555" s="541"/>
      <c r="X555" s="541"/>
      <c r="Y555" s="541"/>
      <c r="Z555" s="541"/>
    </row>
    <row r="556" spans="1:26" ht="18.75" hidden="1">
      <c r="A556" s="563"/>
      <c r="B556" s="571"/>
      <c r="C556" s="571"/>
      <c r="D556" s="723"/>
      <c r="E556" s="723" t="s">
        <v>18</v>
      </c>
      <c r="F556" s="723"/>
      <c r="G556" s="567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2"/>
        <v>0</v>
      </c>
      <c r="P556" s="93">
        <f t="shared" si="243"/>
        <v>0</v>
      </c>
      <c r="Q556" s="568"/>
      <c r="R556" s="568"/>
      <c r="S556" s="568"/>
      <c r="T556" s="568"/>
      <c r="U556" s="568"/>
      <c r="V556" s="568"/>
      <c r="W556" s="568"/>
      <c r="X556" s="568"/>
      <c r="Y556" s="568"/>
      <c r="Z556" s="568"/>
    </row>
    <row r="557" spans="1:26" ht="18.75" hidden="1">
      <c r="A557" s="563"/>
      <c r="B557" s="571"/>
      <c r="C557" s="571"/>
      <c r="D557" s="723"/>
      <c r="E557" s="723" t="s">
        <v>19</v>
      </c>
      <c r="F557" s="723"/>
      <c r="G557" s="567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IFERROR(__xludf.DUMMYFUNCTION("IMPORTRANGE(""https://docs.google.com/spreadsheets/d/1QqKyyYR6Q21VydFLVH3TRQUabQu_ym0Zz7PgGX0-kHA/edit?usp=sharing"",""แผน!HF18"")"),0)</f>
        <v>0</v>
      </c>
      <c r="M557" s="93">
        <v>0</v>
      </c>
      <c r="N557" s="93">
        <v>0</v>
      </c>
      <c r="O557" s="93">
        <f t="shared" ca="1" si="242"/>
        <v>0</v>
      </c>
      <c r="P557" s="93">
        <f t="shared" si="243"/>
        <v>0</v>
      </c>
      <c r="Q557" s="568"/>
      <c r="R557" s="568"/>
      <c r="S557" s="568"/>
      <c r="T557" s="568"/>
      <c r="U557" s="568"/>
      <c r="V557" s="568"/>
      <c r="W557" s="568"/>
      <c r="X557" s="568"/>
      <c r="Y557" s="568"/>
      <c r="Z557" s="568"/>
    </row>
    <row r="558" spans="1:26" ht="19.5">
      <c r="A558" s="572"/>
      <c r="B558" s="584"/>
      <c r="C558" s="538" t="s">
        <v>16</v>
      </c>
      <c r="D558" s="853" t="s">
        <v>38</v>
      </c>
      <c r="E558" s="725"/>
      <c r="F558" s="725"/>
      <c r="G558" s="577"/>
      <c r="H558" s="726"/>
      <c r="I558" s="184"/>
      <c r="J558" s="184"/>
      <c r="K558" s="163"/>
      <c r="L558" s="163"/>
      <c r="M558" s="163"/>
      <c r="N558" s="163"/>
      <c r="O558" s="163"/>
      <c r="P558" s="163"/>
      <c r="Q558" s="541"/>
      <c r="R558" s="541"/>
      <c r="S558" s="541"/>
      <c r="T558" s="541"/>
      <c r="U558" s="541"/>
      <c r="V558" s="541"/>
      <c r="W558" s="541"/>
      <c r="X558" s="541"/>
      <c r="Y558" s="541"/>
      <c r="Z558" s="541"/>
    </row>
    <row r="559" spans="1:26" ht="19.5">
      <c r="A559" s="658"/>
      <c r="B559" s="659" t="s">
        <v>234</v>
      </c>
      <c r="C559" s="660"/>
      <c r="D559" s="660"/>
      <c r="E559" s="639"/>
      <c r="F559" s="639"/>
      <c r="G559" s="640"/>
      <c r="H559" s="661" t="s">
        <v>46</v>
      </c>
      <c r="I559" s="672">
        <f t="shared" ref="I559:J559" ca="1" si="244">I576</f>
        <v>47776</v>
      </c>
      <c r="J559" s="672">
        <f t="shared" si="244"/>
        <v>0</v>
      </c>
      <c r="K559" s="643">
        <f t="shared" ref="K559:K561" ca="1" si="245">IF(I559&gt;0,J559*100/I559,0)</f>
        <v>0</v>
      </c>
      <c r="L559" s="644"/>
      <c r="M559" s="644"/>
      <c r="N559" s="644"/>
      <c r="O559" s="644"/>
      <c r="P559" s="644"/>
      <c r="Q559" s="541"/>
      <c r="R559" s="541"/>
      <c r="S559" s="541"/>
      <c r="T559" s="541"/>
      <c r="U559" s="541"/>
      <c r="V559" s="541"/>
      <c r="W559" s="541"/>
      <c r="X559" s="541"/>
      <c r="Y559" s="541"/>
      <c r="Z559" s="541"/>
    </row>
    <row r="560" spans="1:26" ht="19.5">
      <c r="A560" s="572"/>
      <c r="B560" s="584"/>
      <c r="C560" s="591" t="s">
        <v>235</v>
      </c>
      <c r="D560" s="584"/>
      <c r="E560" s="592"/>
      <c r="F560" s="592"/>
      <c r="G560" s="726"/>
      <c r="H560" s="731" t="s">
        <v>46</v>
      </c>
      <c r="I560" s="193">
        <f ca="1">IFERROR(__xludf.DUMMYFUNCTION("IMPORTRANGE(""https://docs.google.com/spreadsheets/d/1QqKyyYR6Q21VydFLVH3TRQUabQu_ym0Zz7PgGX0-kHA/edit?usp=sharing"",""แผน!HH18"")"),47776)</f>
        <v>47776</v>
      </c>
      <c r="J560" s="193">
        <f t="shared" ref="J560:J561" si="246">J562+J564+J566</f>
        <v>0</v>
      </c>
      <c r="K560" s="379">
        <f t="shared" ca="1" si="245"/>
        <v>0</v>
      </c>
      <c r="L560" s="163"/>
      <c r="M560" s="163"/>
      <c r="N560" s="163"/>
      <c r="O560" s="163"/>
      <c r="P560" s="163"/>
      <c r="Q560" s="541"/>
      <c r="R560" s="541"/>
      <c r="S560" s="541"/>
      <c r="T560" s="541"/>
      <c r="U560" s="541"/>
      <c r="V560" s="541"/>
      <c r="W560" s="541"/>
      <c r="X560" s="541"/>
      <c r="Y560" s="541"/>
      <c r="Z560" s="541"/>
    </row>
    <row r="561" spans="1:26" ht="19.5">
      <c r="A561" s="572"/>
      <c r="B561" s="584"/>
      <c r="C561" s="584"/>
      <c r="D561" s="592"/>
      <c r="E561" s="592"/>
      <c r="F561" s="592"/>
      <c r="G561" s="726"/>
      <c r="H561" s="731" t="s">
        <v>34</v>
      </c>
      <c r="I561" s="193">
        <f ca="1">IFERROR(__xludf.DUMMYFUNCTION("IMPORTRANGE(""https://docs.google.com/spreadsheets/d/1QqKyyYR6Q21VydFLVH3TRQUabQu_ym0Zz7PgGX0-kHA/edit?usp=sharing"",""แผน!HG18"")"),5415)</f>
        <v>5415</v>
      </c>
      <c r="J561" s="193">
        <f t="shared" si="246"/>
        <v>0</v>
      </c>
      <c r="K561" s="379">
        <f t="shared" ca="1" si="245"/>
        <v>0</v>
      </c>
      <c r="L561" s="163"/>
      <c r="M561" s="163"/>
      <c r="N561" s="163"/>
      <c r="O561" s="163"/>
      <c r="P561" s="163"/>
      <c r="Q561" s="541"/>
      <c r="R561" s="541"/>
      <c r="S561" s="541"/>
      <c r="T561" s="541"/>
      <c r="U561" s="541"/>
      <c r="V561" s="541"/>
      <c r="W561" s="541"/>
      <c r="X561" s="541"/>
      <c r="Y561" s="541"/>
      <c r="Z561" s="541"/>
    </row>
    <row r="562" spans="1:26" ht="18.75">
      <c r="A562" s="572"/>
      <c r="B562" s="584"/>
      <c r="C562" s="584"/>
      <c r="D562" s="592" t="s">
        <v>236</v>
      </c>
      <c r="E562" s="592"/>
      <c r="F562" s="592"/>
      <c r="G562" s="726"/>
      <c r="H562" s="728" t="s">
        <v>46</v>
      </c>
      <c r="I562" s="184"/>
      <c r="J562" s="214">
        <v>0</v>
      </c>
      <c r="K562" s="163"/>
      <c r="L562" s="163"/>
      <c r="M562" s="163"/>
      <c r="N562" s="163"/>
      <c r="O562" s="163"/>
      <c r="P562" s="163"/>
      <c r="Q562" s="541"/>
      <c r="R562" s="541"/>
      <c r="S562" s="541"/>
      <c r="T562" s="541"/>
      <c r="U562" s="541"/>
      <c r="V562" s="541"/>
      <c r="W562" s="541"/>
      <c r="X562" s="541"/>
      <c r="Y562" s="541"/>
      <c r="Z562" s="541"/>
    </row>
    <row r="563" spans="1:26" ht="18.75">
      <c r="A563" s="572"/>
      <c r="B563" s="584"/>
      <c r="C563" s="584"/>
      <c r="D563" s="584"/>
      <c r="E563" s="592"/>
      <c r="F563" s="592"/>
      <c r="G563" s="726"/>
      <c r="H563" s="728" t="s">
        <v>34</v>
      </c>
      <c r="I563" s="184"/>
      <c r="J563" s="214">
        <v>0</v>
      </c>
      <c r="K563" s="163"/>
      <c r="L563" s="163"/>
      <c r="M563" s="163"/>
      <c r="N563" s="163"/>
      <c r="O563" s="163"/>
      <c r="P563" s="163"/>
      <c r="Q563" s="541"/>
      <c r="R563" s="541"/>
      <c r="S563" s="541"/>
      <c r="T563" s="541"/>
      <c r="U563" s="541"/>
      <c r="V563" s="541"/>
      <c r="W563" s="541"/>
      <c r="X563" s="541"/>
      <c r="Y563" s="541"/>
      <c r="Z563" s="541"/>
    </row>
    <row r="564" spans="1:26" ht="18.75">
      <c r="A564" s="572"/>
      <c r="B564" s="584"/>
      <c r="C564" s="584"/>
      <c r="D564" s="592" t="s">
        <v>237</v>
      </c>
      <c r="E564" s="592"/>
      <c r="F564" s="592"/>
      <c r="G564" s="726"/>
      <c r="H564" s="728" t="s">
        <v>46</v>
      </c>
      <c r="I564" s="184"/>
      <c r="J564" s="214">
        <v>0</v>
      </c>
      <c r="K564" s="163"/>
      <c r="L564" s="163"/>
      <c r="M564" s="163"/>
      <c r="N564" s="163"/>
      <c r="O564" s="163"/>
      <c r="P564" s="163"/>
      <c r="Q564" s="541"/>
      <c r="R564" s="541"/>
      <c r="S564" s="541"/>
      <c r="T564" s="541"/>
      <c r="U564" s="541"/>
      <c r="V564" s="541"/>
      <c r="W564" s="541"/>
      <c r="X564" s="541"/>
      <c r="Y564" s="541"/>
      <c r="Z564" s="541"/>
    </row>
    <row r="565" spans="1:26" ht="18.75">
      <c r="A565" s="572"/>
      <c r="B565" s="584"/>
      <c r="C565" s="584"/>
      <c r="D565" s="592"/>
      <c r="E565" s="592"/>
      <c r="F565" s="592"/>
      <c r="G565" s="726"/>
      <c r="H565" s="728" t="s">
        <v>34</v>
      </c>
      <c r="I565" s="184"/>
      <c r="J565" s="214">
        <v>0</v>
      </c>
      <c r="K565" s="163"/>
      <c r="L565" s="163"/>
      <c r="M565" s="163"/>
      <c r="N565" s="163"/>
      <c r="O565" s="163"/>
      <c r="P565" s="163"/>
      <c r="Q565" s="541"/>
      <c r="R565" s="541"/>
      <c r="S565" s="541"/>
      <c r="T565" s="541"/>
      <c r="U565" s="541"/>
      <c r="V565" s="541"/>
      <c r="W565" s="541"/>
      <c r="X565" s="541"/>
      <c r="Y565" s="541"/>
      <c r="Z565" s="541"/>
    </row>
    <row r="566" spans="1:26" ht="18.75">
      <c r="A566" s="572"/>
      <c r="B566" s="584"/>
      <c r="C566" s="584"/>
      <c r="D566" s="592" t="s">
        <v>238</v>
      </c>
      <c r="E566" s="592"/>
      <c r="F566" s="592"/>
      <c r="G566" s="726"/>
      <c r="H566" s="728" t="s">
        <v>46</v>
      </c>
      <c r="I566" s="184"/>
      <c r="J566" s="214">
        <v>0</v>
      </c>
      <c r="K566" s="163"/>
      <c r="L566" s="163"/>
      <c r="M566" s="163"/>
      <c r="N566" s="163"/>
      <c r="O566" s="163"/>
      <c r="P566" s="163"/>
      <c r="Q566" s="541"/>
      <c r="R566" s="541"/>
      <c r="S566" s="541"/>
      <c r="T566" s="541"/>
      <c r="U566" s="541"/>
      <c r="V566" s="541"/>
      <c r="W566" s="541"/>
      <c r="X566" s="541"/>
      <c r="Y566" s="541"/>
      <c r="Z566" s="541"/>
    </row>
    <row r="567" spans="1:26" ht="18.75">
      <c r="A567" s="572"/>
      <c r="B567" s="584"/>
      <c r="C567" s="584"/>
      <c r="D567" s="592"/>
      <c r="E567" s="592"/>
      <c r="F567" s="592"/>
      <c r="G567" s="726"/>
      <c r="H567" s="728" t="s">
        <v>34</v>
      </c>
      <c r="I567" s="184"/>
      <c r="J567" s="214">
        <v>0</v>
      </c>
      <c r="K567" s="163"/>
      <c r="L567" s="163"/>
      <c r="M567" s="163"/>
      <c r="N567" s="163"/>
      <c r="O567" s="163"/>
      <c r="P567" s="163"/>
      <c r="Q567" s="541"/>
      <c r="R567" s="541"/>
      <c r="S567" s="541"/>
      <c r="T567" s="541"/>
      <c r="U567" s="541"/>
      <c r="V567" s="541"/>
      <c r="W567" s="541"/>
      <c r="X567" s="541"/>
      <c r="Y567" s="541"/>
      <c r="Z567" s="541"/>
    </row>
    <row r="568" spans="1:26" ht="19.5">
      <c r="A568" s="572"/>
      <c r="B568" s="584"/>
      <c r="C568" s="591" t="s">
        <v>239</v>
      </c>
      <c r="D568" s="592"/>
      <c r="E568" s="592"/>
      <c r="F568" s="592"/>
      <c r="G568" s="726"/>
      <c r="H568" s="731" t="s">
        <v>46</v>
      </c>
      <c r="I568" s="193">
        <f ca="1">IFERROR(__xludf.DUMMYFUNCTION("IMPORTRANGE(""https://docs.google.com/spreadsheets/d/1QqKyyYR6Q21VydFLVH3TRQUabQu_ym0Zz7PgGX0-kHA/edit?usp=sharing"",""แผน!HH18"")"),47776)</f>
        <v>47776</v>
      </c>
      <c r="J568" s="647">
        <f t="shared" ref="J568:J569" si="247">J570+J572+J574</f>
        <v>0</v>
      </c>
      <c r="K568" s="379">
        <f t="shared" ref="K568:K569" ca="1" si="248">IF(I568&gt;0,J568*100/I568,0)</f>
        <v>0</v>
      </c>
      <c r="L568" s="163"/>
      <c r="M568" s="163"/>
      <c r="N568" s="163"/>
      <c r="O568" s="163"/>
      <c r="P568" s="163"/>
      <c r="Q568" s="541"/>
      <c r="R568" s="541"/>
      <c r="S568" s="541"/>
      <c r="T568" s="541"/>
      <c r="U568" s="541"/>
      <c r="V568" s="541"/>
      <c r="W568" s="541"/>
      <c r="X568" s="541"/>
      <c r="Y568" s="541"/>
      <c r="Z568" s="541"/>
    </row>
    <row r="569" spans="1:26" ht="19.5">
      <c r="A569" s="572"/>
      <c r="B569" s="584"/>
      <c r="C569" s="584"/>
      <c r="D569" s="584"/>
      <c r="E569" s="592"/>
      <c r="F569" s="592"/>
      <c r="G569" s="726"/>
      <c r="H569" s="731" t="s">
        <v>34</v>
      </c>
      <c r="I569" s="193">
        <f ca="1">IFERROR(__xludf.DUMMYFUNCTION("IMPORTRANGE(""https://docs.google.com/spreadsheets/d/1QqKyyYR6Q21VydFLVH3TRQUabQu_ym0Zz7PgGX0-kHA/edit?usp=sharing"",""แผน!HG18"")"),5415)</f>
        <v>5415</v>
      </c>
      <c r="J569" s="647">
        <f t="shared" si="247"/>
        <v>0</v>
      </c>
      <c r="K569" s="379">
        <f t="shared" ca="1" si="248"/>
        <v>0</v>
      </c>
      <c r="L569" s="163"/>
      <c r="M569" s="163"/>
      <c r="N569" s="163"/>
      <c r="O569" s="163"/>
      <c r="P569" s="163"/>
      <c r="Q569" s="541"/>
      <c r="R569" s="541"/>
      <c r="S569" s="541"/>
      <c r="T569" s="541"/>
      <c r="U569" s="541"/>
      <c r="V569" s="541"/>
      <c r="W569" s="541"/>
      <c r="X569" s="541"/>
      <c r="Y569" s="541"/>
      <c r="Z569" s="541"/>
    </row>
    <row r="570" spans="1:26" ht="18.75">
      <c r="A570" s="572"/>
      <c r="B570" s="584"/>
      <c r="C570" s="584"/>
      <c r="D570" s="592" t="s">
        <v>240</v>
      </c>
      <c r="E570" s="584"/>
      <c r="F570" s="592"/>
      <c r="G570" s="726"/>
      <c r="H570" s="728" t="s">
        <v>46</v>
      </c>
      <c r="I570" s="184"/>
      <c r="J570" s="214">
        <v>0</v>
      </c>
      <c r="K570" s="163"/>
      <c r="L570" s="163"/>
      <c r="M570" s="163"/>
      <c r="N570" s="163"/>
      <c r="O570" s="163"/>
      <c r="P570" s="163"/>
      <c r="Q570" s="541"/>
      <c r="R570" s="541"/>
      <c r="S570" s="541"/>
      <c r="T570" s="541"/>
      <c r="U570" s="541"/>
      <c r="V570" s="541"/>
      <c r="W570" s="541"/>
      <c r="X570" s="541"/>
      <c r="Y570" s="541"/>
      <c r="Z570" s="541"/>
    </row>
    <row r="571" spans="1:26" ht="18.75">
      <c r="A571" s="572"/>
      <c r="B571" s="584"/>
      <c r="C571" s="584"/>
      <c r="D571" s="584"/>
      <c r="E571" s="592"/>
      <c r="F571" s="592"/>
      <c r="G571" s="726"/>
      <c r="H571" s="728" t="s">
        <v>34</v>
      </c>
      <c r="I571" s="184"/>
      <c r="J571" s="214">
        <v>0</v>
      </c>
      <c r="K571" s="163"/>
      <c r="L571" s="163"/>
      <c r="M571" s="163"/>
      <c r="N571" s="163"/>
      <c r="O571" s="163"/>
      <c r="P571" s="163"/>
      <c r="Q571" s="541"/>
      <c r="R571" s="541"/>
      <c r="S571" s="541"/>
      <c r="T571" s="541"/>
      <c r="U571" s="541"/>
      <c r="V571" s="541"/>
      <c r="W571" s="541"/>
      <c r="X571" s="541"/>
      <c r="Y571" s="541"/>
      <c r="Z571" s="541"/>
    </row>
    <row r="572" spans="1:26" ht="18.75">
      <c r="A572" s="572"/>
      <c r="B572" s="584"/>
      <c r="C572" s="584"/>
      <c r="D572" s="592" t="s">
        <v>241</v>
      </c>
      <c r="E572" s="592"/>
      <c r="F572" s="592"/>
      <c r="G572" s="726"/>
      <c r="H572" s="728" t="s">
        <v>46</v>
      </c>
      <c r="I572" s="184"/>
      <c r="J572" s="214">
        <v>0</v>
      </c>
      <c r="K572" s="163"/>
      <c r="L572" s="163"/>
      <c r="M572" s="163"/>
      <c r="N572" s="163"/>
      <c r="O572" s="163"/>
      <c r="P572" s="163"/>
      <c r="Q572" s="541"/>
      <c r="R572" s="541"/>
      <c r="S572" s="541"/>
      <c r="T572" s="541"/>
      <c r="U572" s="541"/>
      <c r="V572" s="541"/>
      <c r="W572" s="541"/>
      <c r="X572" s="541"/>
      <c r="Y572" s="541"/>
      <c r="Z572" s="541"/>
    </row>
    <row r="573" spans="1:26" ht="18.75">
      <c r="A573" s="572"/>
      <c r="B573" s="584"/>
      <c r="C573" s="584"/>
      <c r="D573" s="592"/>
      <c r="E573" s="592"/>
      <c r="F573" s="592"/>
      <c r="G573" s="726"/>
      <c r="H573" s="728" t="s">
        <v>34</v>
      </c>
      <c r="I573" s="184"/>
      <c r="J573" s="214">
        <v>0</v>
      </c>
      <c r="K573" s="163"/>
      <c r="L573" s="163"/>
      <c r="M573" s="163"/>
      <c r="N573" s="163"/>
      <c r="O573" s="163"/>
      <c r="P573" s="163"/>
      <c r="Q573" s="541"/>
      <c r="R573" s="541"/>
      <c r="S573" s="541"/>
      <c r="T573" s="541"/>
      <c r="U573" s="541"/>
      <c r="V573" s="541"/>
      <c r="W573" s="541"/>
      <c r="X573" s="541"/>
      <c r="Y573" s="541"/>
      <c r="Z573" s="541"/>
    </row>
    <row r="574" spans="1:26" ht="18.75">
      <c r="A574" s="572"/>
      <c r="B574" s="584"/>
      <c r="C574" s="584"/>
      <c r="D574" s="592" t="s">
        <v>242</v>
      </c>
      <c r="E574" s="592"/>
      <c r="F574" s="592"/>
      <c r="G574" s="726"/>
      <c r="H574" s="728" t="s">
        <v>46</v>
      </c>
      <c r="I574" s="184"/>
      <c r="J574" s="214">
        <v>0</v>
      </c>
      <c r="K574" s="163"/>
      <c r="L574" s="163"/>
      <c r="M574" s="163"/>
      <c r="N574" s="163"/>
      <c r="O574" s="163"/>
      <c r="P574" s="163"/>
      <c r="Q574" s="541"/>
      <c r="R574" s="541"/>
      <c r="S574" s="541"/>
      <c r="T574" s="541"/>
      <c r="U574" s="541"/>
      <c r="V574" s="541"/>
      <c r="W574" s="541"/>
      <c r="X574" s="541"/>
      <c r="Y574" s="541"/>
      <c r="Z574" s="541"/>
    </row>
    <row r="575" spans="1:26" ht="18.75">
      <c r="A575" s="572"/>
      <c r="B575" s="584"/>
      <c r="C575" s="584"/>
      <c r="D575" s="584"/>
      <c r="E575" s="592"/>
      <c r="F575" s="592"/>
      <c r="G575" s="726"/>
      <c r="H575" s="728" t="s">
        <v>34</v>
      </c>
      <c r="I575" s="184"/>
      <c r="J575" s="214">
        <v>0</v>
      </c>
      <c r="K575" s="163"/>
      <c r="L575" s="163"/>
      <c r="M575" s="163"/>
      <c r="N575" s="163"/>
      <c r="O575" s="163"/>
      <c r="P575" s="163"/>
      <c r="Q575" s="541"/>
      <c r="R575" s="541"/>
      <c r="S575" s="541"/>
      <c r="T575" s="541"/>
      <c r="U575" s="541"/>
      <c r="V575" s="541"/>
      <c r="W575" s="541"/>
      <c r="X575" s="541"/>
      <c r="Y575" s="541"/>
      <c r="Z575" s="541"/>
    </row>
    <row r="576" spans="1:26" ht="19.5">
      <c r="A576" s="572"/>
      <c r="B576" s="584"/>
      <c r="C576" s="591" t="s">
        <v>243</v>
      </c>
      <c r="D576" s="584"/>
      <c r="E576" s="584"/>
      <c r="F576" s="592"/>
      <c r="G576" s="726"/>
      <c r="H576" s="731" t="s">
        <v>46</v>
      </c>
      <c r="I576" s="193">
        <f ca="1">IFERROR(__xludf.DUMMYFUNCTION("IMPORTRANGE(""https://docs.google.com/spreadsheets/d/1QqKyyYR6Q21VydFLVH3TRQUabQu_ym0Zz7PgGX0-kHA/edit?usp=sharing"",""แผน!HH18"")"),47776)</f>
        <v>47776</v>
      </c>
      <c r="J576" s="647">
        <f t="shared" ref="J576:J577" si="249">J578+J580+J582+J588+J590</f>
        <v>0</v>
      </c>
      <c r="K576" s="379">
        <f t="shared" ref="K576:K577" ca="1" si="250">IF(I576&gt;0,J576*100/I576,0)</f>
        <v>0</v>
      </c>
      <c r="L576" s="163"/>
      <c r="M576" s="163"/>
      <c r="N576" s="163"/>
      <c r="O576" s="163"/>
      <c r="P576" s="163"/>
      <c r="Q576" s="541"/>
      <c r="R576" s="541"/>
      <c r="S576" s="541"/>
      <c r="T576" s="541"/>
      <c r="U576" s="541"/>
      <c r="V576" s="541"/>
      <c r="W576" s="541"/>
      <c r="X576" s="541"/>
      <c r="Y576" s="541"/>
      <c r="Z576" s="541"/>
    </row>
    <row r="577" spans="1:26" ht="19.5">
      <c r="A577" s="572"/>
      <c r="B577" s="584"/>
      <c r="C577" s="584"/>
      <c r="D577" s="584"/>
      <c r="E577" s="592"/>
      <c r="F577" s="592"/>
      <c r="G577" s="726"/>
      <c r="H577" s="731" t="s">
        <v>34</v>
      </c>
      <c r="I577" s="193">
        <f ca="1">IFERROR(__xludf.DUMMYFUNCTION("IMPORTRANGE(""https://docs.google.com/spreadsheets/d/1QqKyyYR6Q21VydFLVH3TRQUabQu_ym0Zz7PgGX0-kHA/edit?usp=sharing"",""แผน!HG18"")"),5415)</f>
        <v>5415</v>
      </c>
      <c r="J577" s="647">
        <f t="shared" si="249"/>
        <v>0</v>
      </c>
      <c r="K577" s="379">
        <f t="shared" ca="1" si="250"/>
        <v>0</v>
      </c>
      <c r="L577" s="163"/>
      <c r="M577" s="163"/>
      <c r="N577" s="163"/>
      <c r="O577" s="163"/>
      <c r="P577" s="163"/>
      <c r="Q577" s="541"/>
      <c r="R577" s="541"/>
      <c r="S577" s="541"/>
      <c r="T577" s="541"/>
      <c r="U577" s="541"/>
      <c r="V577" s="541"/>
      <c r="W577" s="541"/>
      <c r="X577" s="541"/>
      <c r="Y577" s="541"/>
      <c r="Z577" s="541"/>
    </row>
    <row r="578" spans="1:26" ht="18.75">
      <c r="A578" s="572"/>
      <c r="B578" s="584"/>
      <c r="C578" s="584"/>
      <c r="D578" s="592" t="s">
        <v>244</v>
      </c>
      <c r="E578" s="592"/>
      <c r="F578" s="592"/>
      <c r="G578" s="726"/>
      <c r="H578" s="728" t="s">
        <v>46</v>
      </c>
      <c r="I578" s="184"/>
      <c r="J578" s="214">
        <v>0</v>
      </c>
      <c r="K578" s="163"/>
      <c r="L578" s="163"/>
      <c r="M578" s="163"/>
      <c r="N578" s="163"/>
      <c r="O578" s="163"/>
      <c r="P578" s="163"/>
      <c r="Q578" s="541"/>
      <c r="R578" s="541"/>
      <c r="S578" s="541"/>
      <c r="T578" s="541"/>
      <c r="U578" s="541"/>
      <c r="V578" s="541"/>
      <c r="W578" s="541"/>
      <c r="X578" s="541"/>
      <c r="Y578" s="541"/>
      <c r="Z578" s="541"/>
    </row>
    <row r="579" spans="1:26" ht="18.75">
      <c r="A579" s="572"/>
      <c r="B579" s="584"/>
      <c r="C579" s="584"/>
      <c r="D579" s="584"/>
      <c r="E579" s="592"/>
      <c r="F579" s="592"/>
      <c r="G579" s="726"/>
      <c r="H579" s="728" t="s">
        <v>34</v>
      </c>
      <c r="I579" s="184"/>
      <c r="J579" s="214">
        <v>0</v>
      </c>
      <c r="K579" s="163"/>
      <c r="L579" s="163"/>
      <c r="M579" s="163"/>
      <c r="N579" s="163"/>
      <c r="O579" s="163"/>
      <c r="P579" s="163"/>
      <c r="Q579" s="541"/>
      <c r="R579" s="541"/>
      <c r="S579" s="541"/>
      <c r="T579" s="541"/>
      <c r="U579" s="541"/>
      <c r="V579" s="541"/>
      <c r="W579" s="541"/>
      <c r="X579" s="541"/>
      <c r="Y579" s="541"/>
      <c r="Z579" s="541"/>
    </row>
    <row r="580" spans="1:26" ht="18.75">
      <c r="A580" s="572"/>
      <c r="B580" s="584"/>
      <c r="C580" s="584"/>
      <c r="D580" s="592" t="s">
        <v>245</v>
      </c>
      <c r="E580" s="592"/>
      <c r="F580" s="592"/>
      <c r="G580" s="726"/>
      <c r="H580" s="728" t="s">
        <v>46</v>
      </c>
      <c r="I580" s="184"/>
      <c r="J580" s="214">
        <v>0</v>
      </c>
      <c r="K580" s="163"/>
      <c r="L580" s="163"/>
      <c r="M580" s="163"/>
      <c r="N580" s="163"/>
      <c r="O580" s="163"/>
      <c r="P580" s="163"/>
      <c r="Q580" s="541"/>
      <c r="R580" s="541"/>
      <c r="S580" s="541"/>
      <c r="T580" s="541"/>
      <c r="U580" s="541"/>
      <c r="V580" s="541"/>
      <c r="W580" s="541"/>
      <c r="X580" s="541"/>
      <c r="Y580" s="541"/>
      <c r="Z580" s="541"/>
    </row>
    <row r="581" spans="1:26" ht="18.75">
      <c r="A581" s="572"/>
      <c r="B581" s="584"/>
      <c r="C581" s="584"/>
      <c r="D581" s="584"/>
      <c r="E581" s="592"/>
      <c r="F581" s="592"/>
      <c r="G581" s="726"/>
      <c r="H581" s="728" t="s">
        <v>34</v>
      </c>
      <c r="I581" s="184"/>
      <c r="J581" s="214">
        <v>0</v>
      </c>
      <c r="K581" s="163"/>
      <c r="L581" s="163"/>
      <c r="M581" s="163"/>
      <c r="N581" s="163"/>
      <c r="O581" s="163"/>
      <c r="P581" s="163"/>
      <c r="Q581" s="541"/>
      <c r="R581" s="541"/>
      <c r="S581" s="541"/>
      <c r="T581" s="541"/>
      <c r="U581" s="541"/>
      <c r="V581" s="541"/>
      <c r="W581" s="541"/>
      <c r="X581" s="541"/>
      <c r="Y581" s="541"/>
      <c r="Z581" s="541"/>
    </row>
    <row r="582" spans="1:26" ht="19.5">
      <c r="A582" s="572"/>
      <c r="B582" s="584"/>
      <c r="C582" s="584"/>
      <c r="D582" s="592" t="s">
        <v>246</v>
      </c>
      <c r="E582" s="592"/>
      <c r="F582" s="592"/>
      <c r="G582" s="726"/>
      <c r="H582" s="728" t="s">
        <v>46</v>
      </c>
      <c r="I582" s="184"/>
      <c r="J582" s="647">
        <f t="shared" ref="J582:J583" si="251">J584+J586</f>
        <v>0</v>
      </c>
      <c r="K582" s="379"/>
      <c r="L582" s="163"/>
      <c r="M582" s="163"/>
      <c r="N582" s="163"/>
      <c r="O582" s="163"/>
      <c r="P582" s="163"/>
      <c r="Q582" s="541"/>
      <c r="R582" s="541"/>
      <c r="S582" s="541"/>
      <c r="T582" s="541"/>
      <c r="U582" s="541"/>
      <c r="V582" s="541"/>
      <c r="W582" s="541"/>
      <c r="X582" s="541"/>
      <c r="Y582" s="541"/>
      <c r="Z582" s="541"/>
    </row>
    <row r="583" spans="1:26" ht="19.5">
      <c r="A583" s="572"/>
      <c r="B583" s="584"/>
      <c r="C583" s="584"/>
      <c r="D583" s="584"/>
      <c r="E583" s="592"/>
      <c r="F583" s="592"/>
      <c r="G583" s="726"/>
      <c r="H583" s="728" t="s">
        <v>34</v>
      </c>
      <c r="I583" s="184"/>
      <c r="J583" s="647">
        <f t="shared" si="251"/>
        <v>0</v>
      </c>
      <c r="K583" s="379"/>
      <c r="L583" s="163"/>
      <c r="M583" s="163"/>
      <c r="N583" s="163"/>
      <c r="O583" s="163"/>
      <c r="P583" s="163"/>
      <c r="Q583" s="541"/>
      <c r="R583" s="541"/>
      <c r="S583" s="541"/>
      <c r="T583" s="541"/>
      <c r="U583" s="541"/>
      <c r="V583" s="541"/>
      <c r="W583" s="541"/>
      <c r="X583" s="541"/>
      <c r="Y583" s="541"/>
      <c r="Z583" s="541"/>
    </row>
    <row r="584" spans="1:26" ht="18.75">
      <c r="A584" s="572"/>
      <c r="B584" s="584"/>
      <c r="C584" s="584"/>
      <c r="D584" s="584"/>
      <c r="E584" s="592" t="s">
        <v>247</v>
      </c>
      <c r="F584" s="592"/>
      <c r="G584" s="726"/>
      <c r="H584" s="728" t="s">
        <v>46</v>
      </c>
      <c r="I584" s="184"/>
      <c r="J584" s="214">
        <v>0</v>
      </c>
      <c r="K584" s="163"/>
      <c r="L584" s="163"/>
      <c r="M584" s="163"/>
      <c r="N584" s="163"/>
      <c r="O584" s="163"/>
      <c r="P584" s="163"/>
      <c r="Q584" s="541"/>
      <c r="R584" s="541"/>
      <c r="S584" s="541"/>
      <c r="T584" s="541"/>
      <c r="U584" s="541"/>
      <c r="V584" s="541"/>
      <c r="W584" s="541"/>
      <c r="X584" s="541"/>
      <c r="Y584" s="541"/>
      <c r="Z584" s="541"/>
    </row>
    <row r="585" spans="1:26" ht="18.75">
      <c r="A585" s="572"/>
      <c r="B585" s="584"/>
      <c r="C585" s="584"/>
      <c r="D585" s="584"/>
      <c r="E585" s="592"/>
      <c r="F585" s="592"/>
      <c r="G585" s="726"/>
      <c r="H585" s="728" t="s">
        <v>34</v>
      </c>
      <c r="I585" s="184"/>
      <c r="J585" s="214">
        <v>0</v>
      </c>
      <c r="K585" s="163"/>
      <c r="L585" s="163"/>
      <c r="M585" s="163"/>
      <c r="N585" s="163"/>
      <c r="O585" s="163"/>
      <c r="P585" s="163"/>
      <c r="Q585" s="541"/>
      <c r="R585" s="541"/>
      <c r="S585" s="541"/>
      <c r="T585" s="541"/>
      <c r="U585" s="541"/>
      <c r="V585" s="541"/>
      <c r="W585" s="541"/>
      <c r="X585" s="541"/>
      <c r="Y585" s="541"/>
      <c r="Z585" s="541"/>
    </row>
    <row r="586" spans="1:26" ht="18.75">
      <c r="A586" s="572"/>
      <c r="B586" s="584"/>
      <c r="C586" s="584"/>
      <c r="D586" s="584"/>
      <c r="E586" s="592" t="s">
        <v>248</v>
      </c>
      <c r="F586" s="592"/>
      <c r="G586" s="726"/>
      <c r="H586" s="728" t="s">
        <v>46</v>
      </c>
      <c r="I586" s="184"/>
      <c r="J586" s="214">
        <v>0</v>
      </c>
      <c r="K586" s="163"/>
      <c r="L586" s="163"/>
      <c r="M586" s="163"/>
      <c r="N586" s="163"/>
      <c r="O586" s="163"/>
      <c r="P586" s="163"/>
      <c r="Q586" s="541"/>
      <c r="R586" s="541"/>
      <c r="S586" s="541"/>
      <c r="T586" s="541"/>
      <c r="U586" s="541"/>
      <c r="V586" s="541"/>
      <c r="W586" s="541"/>
      <c r="X586" s="541"/>
      <c r="Y586" s="541"/>
      <c r="Z586" s="541"/>
    </row>
    <row r="587" spans="1:26" ht="18.75">
      <c r="A587" s="572"/>
      <c r="B587" s="584"/>
      <c r="C587" s="584"/>
      <c r="D587" s="584"/>
      <c r="E587" s="584"/>
      <c r="F587" s="592"/>
      <c r="G587" s="726"/>
      <c r="H587" s="728" t="s">
        <v>34</v>
      </c>
      <c r="I587" s="184"/>
      <c r="J587" s="214">
        <v>0</v>
      </c>
      <c r="K587" s="163"/>
      <c r="L587" s="163"/>
      <c r="M587" s="163"/>
      <c r="N587" s="163"/>
      <c r="O587" s="163"/>
      <c r="P587" s="163"/>
      <c r="Q587" s="541"/>
      <c r="R587" s="541"/>
      <c r="S587" s="541"/>
      <c r="T587" s="541"/>
      <c r="U587" s="541"/>
      <c r="V587" s="541"/>
      <c r="W587" s="541"/>
      <c r="X587" s="541"/>
      <c r="Y587" s="541"/>
      <c r="Z587" s="541"/>
    </row>
    <row r="588" spans="1:26" ht="18.75">
      <c r="A588" s="572"/>
      <c r="B588" s="584"/>
      <c r="C588" s="584"/>
      <c r="D588" s="592" t="s">
        <v>249</v>
      </c>
      <c r="E588" s="592"/>
      <c r="F588" s="592"/>
      <c r="G588" s="726"/>
      <c r="H588" s="728" t="s">
        <v>46</v>
      </c>
      <c r="I588" s="184"/>
      <c r="J588" s="214">
        <v>0</v>
      </c>
      <c r="K588" s="163"/>
      <c r="L588" s="163"/>
      <c r="M588" s="163"/>
      <c r="N588" s="163"/>
      <c r="O588" s="163"/>
      <c r="P588" s="163"/>
      <c r="Q588" s="541"/>
      <c r="R588" s="541"/>
      <c r="S588" s="541"/>
      <c r="T588" s="541"/>
      <c r="U588" s="541"/>
      <c r="V588" s="541"/>
      <c r="W588" s="541"/>
      <c r="X588" s="541"/>
      <c r="Y588" s="541"/>
      <c r="Z588" s="541"/>
    </row>
    <row r="589" spans="1:26" ht="18.75">
      <c r="A589" s="572"/>
      <c r="B589" s="584"/>
      <c r="C589" s="584"/>
      <c r="D589" s="584"/>
      <c r="E589" s="584"/>
      <c r="F589" s="592"/>
      <c r="G589" s="726"/>
      <c r="H589" s="728" t="s">
        <v>34</v>
      </c>
      <c r="I589" s="184"/>
      <c r="J589" s="214">
        <v>0</v>
      </c>
      <c r="K589" s="163"/>
      <c r="L589" s="163"/>
      <c r="M589" s="163"/>
      <c r="N589" s="163"/>
      <c r="O589" s="163"/>
      <c r="P589" s="163"/>
      <c r="Q589" s="541"/>
      <c r="R589" s="541"/>
      <c r="S589" s="541"/>
      <c r="T589" s="541"/>
      <c r="U589" s="541"/>
      <c r="V589" s="541"/>
      <c r="W589" s="541"/>
      <c r="X589" s="541"/>
      <c r="Y589" s="541"/>
      <c r="Z589" s="541"/>
    </row>
    <row r="590" spans="1:26" ht="18.75">
      <c r="A590" s="572"/>
      <c r="B590" s="584"/>
      <c r="C590" s="584"/>
      <c r="D590" s="592" t="s">
        <v>250</v>
      </c>
      <c r="E590" s="592"/>
      <c r="F590" s="592"/>
      <c r="G590" s="726"/>
      <c r="H590" s="728" t="s">
        <v>46</v>
      </c>
      <c r="I590" s="184"/>
      <c r="J590" s="214">
        <v>0</v>
      </c>
      <c r="K590" s="163"/>
      <c r="L590" s="163"/>
      <c r="M590" s="163"/>
      <c r="N590" s="163"/>
      <c r="O590" s="163"/>
      <c r="P590" s="163"/>
      <c r="Q590" s="541"/>
      <c r="R590" s="541"/>
      <c r="S590" s="541"/>
      <c r="T590" s="541"/>
      <c r="U590" s="541"/>
      <c r="V590" s="541"/>
      <c r="W590" s="541"/>
      <c r="X590" s="541"/>
      <c r="Y590" s="541"/>
      <c r="Z590" s="541"/>
    </row>
    <row r="591" spans="1:26" ht="18.75">
      <c r="A591" s="662"/>
      <c r="B591" s="663"/>
      <c r="C591" s="663"/>
      <c r="D591" s="663"/>
      <c r="E591" s="541"/>
      <c r="F591" s="541"/>
      <c r="G591" s="664"/>
      <c r="H591" s="665" t="s">
        <v>34</v>
      </c>
      <c r="I591" s="666"/>
      <c r="J591" s="667">
        <v>0</v>
      </c>
      <c r="K591" s="668"/>
      <c r="L591" s="668"/>
      <c r="M591" s="668"/>
      <c r="N591" s="668"/>
      <c r="O591" s="668"/>
      <c r="P591" s="668"/>
      <c r="Q591" s="541"/>
      <c r="R591" s="541"/>
      <c r="S591" s="541"/>
      <c r="T591" s="541"/>
      <c r="U591" s="541"/>
      <c r="V591" s="541"/>
      <c r="W591" s="541"/>
      <c r="X591" s="541"/>
      <c r="Y591" s="541"/>
      <c r="Z591" s="541"/>
    </row>
    <row r="592" spans="1:26" ht="19.5">
      <c r="A592" s="658"/>
      <c r="B592" s="659" t="s">
        <v>251</v>
      </c>
      <c r="C592" s="660"/>
      <c r="D592" s="660"/>
      <c r="E592" s="639"/>
      <c r="F592" s="639"/>
      <c r="G592" s="640"/>
      <c r="H592" s="661" t="s">
        <v>46</v>
      </c>
      <c r="I592" s="672">
        <f t="shared" ref="I592:J592" ca="1" si="252">I593</f>
        <v>4399</v>
      </c>
      <c r="J592" s="672">
        <f t="shared" si="252"/>
        <v>0</v>
      </c>
      <c r="K592" s="643">
        <f t="shared" ref="K592:K594" ca="1" si="253">IF(I592&gt;0,J592*100/I592,0)</f>
        <v>0</v>
      </c>
      <c r="L592" s="644"/>
      <c r="M592" s="644"/>
      <c r="N592" s="644"/>
      <c r="O592" s="644"/>
      <c r="P592" s="644"/>
      <c r="Q592" s="541"/>
      <c r="R592" s="541"/>
      <c r="S592" s="541"/>
      <c r="T592" s="541"/>
      <c r="U592" s="541"/>
      <c r="V592" s="541"/>
      <c r="W592" s="541"/>
      <c r="X592" s="541"/>
      <c r="Y592" s="541"/>
      <c r="Z592" s="541"/>
    </row>
    <row r="593" spans="1:26" ht="19.5">
      <c r="A593" s="572"/>
      <c r="B593" s="584"/>
      <c r="C593" s="591" t="s">
        <v>252</v>
      </c>
      <c r="D593" s="584"/>
      <c r="E593" s="584"/>
      <c r="F593" s="592"/>
      <c r="G593" s="726"/>
      <c r="H593" s="731" t="s">
        <v>46</v>
      </c>
      <c r="I593" s="193">
        <f ca="1">IFERROR(__xludf.DUMMYFUNCTION("IMPORTRANGE(""https://docs.google.com/spreadsheets/d/1QqKyyYR6Q21VydFLVH3TRQUabQu_ym0Zz7PgGX0-kHA/edit?usp=sharing"",""แผน!HJ18"")"),4399)</f>
        <v>4399</v>
      </c>
      <c r="J593" s="193">
        <f t="shared" ref="J593:J594" si="254">J595+J603+J609</f>
        <v>0</v>
      </c>
      <c r="K593" s="379">
        <f t="shared" ca="1" si="253"/>
        <v>0</v>
      </c>
      <c r="L593" s="163"/>
      <c r="M593" s="163"/>
      <c r="N593" s="163"/>
      <c r="O593" s="163"/>
      <c r="P593" s="163"/>
      <c r="Q593" s="541"/>
      <c r="R593" s="541"/>
      <c r="S593" s="541"/>
      <c r="T593" s="541"/>
      <c r="U593" s="541"/>
      <c r="V593" s="541"/>
      <c r="W593" s="541"/>
      <c r="X593" s="541"/>
      <c r="Y593" s="541"/>
      <c r="Z593" s="541"/>
    </row>
    <row r="594" spans="1:26" ht="19.5">
      <c r="A594" s="572"/>
      <c r="B594" s="584"/>
      <c r="C594" s="584"/>
      <c r="D594" s="584"/>
      <c r="E594" s="592"/>
      <c r="F594" s="592"/>
      <c r="G594" s="726"/>
      <c r="H594" s="731" t="s">
        <v>34</v>
      </c>
      <c r="I594" s="193">
        <f ca="1">IFERROR(__xludf.DUMMYFUNCTION("IMPORTRANGE(""https://docs.google.com/spreadsheets/d/1QqKyyYR6Q21VydFLVH3TRQUabQu_ym0Zz7PgGX0-kHA/edit?usp=sharing"",""แผน!HI18"")"),269)</f>
        <v>269</v>
      </c>
      <c r="J594" s="193">
        <f t="shared" si="254"/>
        <v>0</v>
      </c>
      <c r="K594" s="379">
        <f t="shared" ca="1" si="253"/>
        <v>0</v>
      </c>
      <c r="L594" s="163"/>
      <c r="M594" s="163"/>
      <c r="N594" s="163"/>
      <c r="O594" s="163"/>
      <c r="P594" s="163"/>
      <c r="Q594" s="541"/>
      <c r="R594" s="541"/>
      <c r="S594" s="541"/>
      <c r="T594" s="541"/>
      <c r="U594" s="541"/>
      <c r="V594" s="541"/>
      <c r="W594" s="541"/>
      <c r="X594" s="541"/>
      <c r="Y594" s="541"/>
      <c r="Z594" s="541"/>
    </row>
    <row r="595" spans="1:26" ht="18.75">
      <c r="A595" s="572"/>
      <c r="B595" s="584"/>
      <c r="C595" s="584" t="s">
        <v>253</v>
      </c>
      <c r="D595" s="584"/>
      <c r="E595" s="584"/>
      <c r="F595" s="592"/>
      <c r="G595" s="726"/>
      <c r="H595" s="728" t="s">
        <v>46</v>
      </c>
      <c r="I595" s="184"/>
      <c r="J595" s="184">
        <f t="shared" ref="J595:J596" si="255">J597+J599</f>
        <v>0</v>
      </c>
      <c r="K595" s="163"/>
      <c r="L595" s="163"/>
      <c r="M595" s="163"/>
      <c r="N595" s="163"/>
      <c r="O595" s="163"/>
      <c r="P595" s="163"/>
      <c r="Q595" s="541"/>
      <c r="R595" s="541"/>
      <c r="S595" s="541"/>
      <c r="T595" s="541"/>
      <c r="U595" s="541"/>
      <c r="V595" s="541"/>
      <c r="W595" s="541"/>
      <c r="X595" s="541"/>
      <c r="Y595" s="541"/>
      <c r="Z595" s="541"/>
    </row>
    <row r="596" spans="1:26" ht="18.75">
      <c r="A596" s="572"/>
      <c r="B596" s="584"/>
      <c r="C596" s="584"/>
      <c r="D596" s="584"/>
      <c r="E596" s="592"/>
      <c r="F596" s="592"/>
      <c r="G596" s="726"/>
      <c r="H596" s="728" t="s">
        <v>34</v>
      </c>
      <c r="I596" s="184"/>
      <c r="J596" s="184">
        <f t="shared" si="255"/>
        <v>0</v>
      </c>
      <c r="K596" s="163"/>
      <c r="L596" s="163"/>
      <c r="M596" s="163"/>
      <c r="N596" s="163"/>
      <c r="O596" s="163"/>
      <c r="P596" s="163"/>
      <c r="Q596" s="541"/>
      <c r="R596" s="541"/>
      <c r="S596" s="541"/>
      <c r="T596" s="541"/>
      <c r="U596" s="541"/>
      <c r="V596" s="541"/>
      <c r="W596" s="541"/>
      <c r="X596" s="541"/>
      <c r="Y596" s="541"/>
      <c r="Z596" s="541"/>
    </row>
    <row r="597" spans="1:26" ht="18.75">
      <c r="A597" s="572"/>
      <c r="B597" s="584"/>
      <c r="C597" s="584"/>
      <c r="D597" s="710" t="s">
        <v>254</v>
      </c>
      <c r="E597" s="592"/>
      <c r="F597" s="592"/>
      <c r="G597" s="726"/>
      <c r="H597" s="728" t="s">
        <v>46</v>
      </c>
      <c r="I597" s="184"/>
      <c r="J597" s="214">
        <v>0</v>
      </c>
      <c r="K597" s="163"/>
      <c r="L597" s="163"/>
      <c r="M597" s="163"/>
      <c r="N597" s="163"/>
      <c r="O597" s="163"/>
      <c r="P597" s="163"/>
      <c r="Q597" s="541"/>
      <c r="R597" s="541"/>
      <c r="S597" s="541"/>
      <c r="T597" s="541"/>
      <c r="U597" s="541"/>
      <c r="V597" s="541"/>
      <c r="W597" s="541"/>
      <c r="X597" s="541"/>
      <c r="Y597" s="541"/>
      <c r="Z597" s="541"/>
    </row>
    <row r="598" spans="1:26" ht="18.75">
      <c r="A598" s="572"/>
      <c r="B598" s="584"/>
      <c r="C598" s="584"/>
      <c r="D598" s="584"/>
      <c r="E598" s="592"/>
      <c r="F598" s="592"/>
      <c r="G598" s="726"/>
      <c r="H598" s="728" t="s">
        <v>34</v>
      </c>
      <c r="I598" s="269"/>
      <c r="J598" s="214">
        <v>0</v>
      </c>
      <c r="K598" s="163"/>
      <c r="L598" s="163"/>
      <c r="M598" s="163"/>
      <c r="N598" s="163"/>
      <c r="O598" s="163"/>
      <c r="P598" s="163"/>
      <c r="Q598" s="541"/>
      <c r="R598" s="541"/>
      <c r="S598" s="541"/>
      <c r="T598" s="541"/>
      <c r="U598" s="541"/>
      <c r="V598" s="541"/>
      <c r="W598" s="541"/>
      <c r="X598" s="541"/>
      <c r="Y598" s="541"/>
      <c r="Z598" s="541"/>
    </row>
    <row r="599" spans="1:26" ht="18.75">
      <c r="A599" s="572"/>
      <c r="B599" s="584"/>
      <c r="C599" s="584"/>
      <c r="D599" s="710" t="s">
        <v>255</v>
      </c>
      <c r="E599" s="592"/>
      <c r="F599" s="592"/>
      <c r="G599" s="726"/>
      <c r="H599" s="728" t="s">
        <v>46</v>
      </c>
      <c r="I599" s="269"/>
      <c r="J599" s="214">
        <v>0</v>
      </c>
      <c r="K599" s="163"/>
      <c r="L599" s="163"/>
      <c r="M599" s="163"/>
      <c r="N599" s="163"/>
      <c r="O599" s="163"/>
      <c r="P599" s="163"/>
      <c r="Q599" s="541"/>
      <c r="R599" s="541"/>
      <c r="S599" s="541"/>
      <c r="T599" s="541"/>
      <c r="U599" s="541"/>
      <c r="V599" s="541"/>
      <c r="W599" s="541"/>
      <c r="X599" s="541"/>
      <c r="Y599" s="541"/>
      <c r="Z599" s="541"/>
    </row>
    <row r="600" spans="1:26" ht="18.75">
      <c r="A600" s="572"/>
      <c r="B600" s="584"/>
      <c r="C600" s="584"/>
      <c r="D600" s="584"/>
      <c r="E600" s="592"/>
      <c r="F600" s="592"/>
      <c r="G600" s="726"/>
      <c r="H600" s="728" t="s">
        <v>34</v>
      </c>
      <c r="I600" s="269"/>
      <c r="J600" s="214">
        <v>0</v>
      </c>
      <c r="K600" s="163"/>
      <c r="L600" s="163"/>
      <c r="M600" s="163"/>
      <c r="N600" s="163"/>
      <c r="O600" s="163"/>
      <c r="P600" s="163"/>
      <c r="Q600" s="541"/>
      <c r="R600" s="541"/>
      <c r="S600" s="541"/>
      <c r="T600" s="541"/>
      <c r="U600" s="541"/>
      <c r="V600" s="541"/>
      <c r="W600" s="541"/>
      <c r="X600" s="541"/>
      <c r="Y600" s="541"/>
      <c r="Z600" s="541"/>
    </row>
    <row r="601" spans="1:26" ht="18.75">
      <c r="A601" s="572"/>
      <c r="B601" s="584"/>
      <c r="C601" s="584"/>
      <c r="D601" s="710" t="s">
        <v>256</v>
      </c>
      <c r="E601" s="592"/>
      <c r="F601" s="592"/>
      <c r="G601" s="726"/>
      <c r="H601" s="728" t="s">
        <v>46</v>
      </c>
      <c r="I601" s="269"/>
      <c r="J601" s="214">
        <v>0</v>
      </c>
      <c r="K601" s="163"/>
      <c r="L601" s="163"/>
      <c r="M601" s="163"/>
      <c r="N601" s="163"/>
      <c r="O601" s="163"/>
      <c r="P601" s="163"/>
      <c r="Q601" s="541"/>
      <c r="R601" s="541"/>
      <c r="S601" s="541"/>
      <c r="T601" s="541"/>
      <c r="U601" s="541"/>
      <c r="V601" s="541"/>
      <c r="W601" s="541"/>
      <c r="X601" s="541"/>
      <c r="Y601" s="541"/>
      <c r="Z601" s="541"/>
    </row>
    <row r="602" spans="1:26" ht="18.75">
      <c r="A602" s="572"/>
      <c r="B602" s="584"/>
      <c r="C602" s="584"/>
      <c r="D602" s="584"/>
      <c r="E602" s="592"/>
      <c r="F602" s="592"/>
      <c r="G602" s="726"/>
      <c r="H602" s="728" t="s">
        <v>34</v>
      </c>
      <c r="I602" s="269"/>
      <c r="J602" s="214">
        <v>0</v>
      </c>
      <c r="K602" s="163"/>
      <c r="L602" s="163"/>
      <c r="M602" s="163"/>
      <c r="N602" s="163"/>
      <c r="O602" s="163"/>
      <c r="P602" s="163"/>
      <c r="Q602" s="541"/>
      <c r="R602" s="541"/>
      <c r="S602" s="541"/>
      <c r="T602" s="541"/>
      <c r="U602" s="541"/>
      <c r="V602" s="541"/>
      <c r="W602" s="541"/>
      <c r="X602" s="541"/>
      <c r="Y602" s="541"/>
      <c r="Z602" s="541"/>
    </row>
    <row r="603" spans="1:26" ht="18.75">
      <c r="A603" s="572"/>
      <c r="B603" s="584"/>
      <c r="C603" s="669" t="s">
        <v>257</v>
      </c>
      <c r="D603" s="584"/>
      <c r="E603" s="584"/>
      <c r="F603" s="592"/>
      <c r="G603" s="726"/>
      <c r="H603" s="728" t="s">
        <v>46</v>
      </c>
      <c r="I603" s="269"/>
      <c r="J603" s="269">
        <f t="shared" ref="J603:J604" si="256">J605+J607</f>
        <v>0</v>
      </c>
      <c r="K603" s="163"/>
      <c r="L603" s="163"/>
      <c r="M603" s="163"/>
      <c r="N603" s="163"/>
      <c r="O603" s="163"/>
      <c r="P603" s="163"/>
      <c r="Q603" s="541"/>
      <c r="R603" s="541"/>
      <c r="S603" s="541"/>
      <c r="T603" s="541"/>
      <c r="U603" s="541"/>
      <c r="V603" s="541"/>
      <c r="W603" s="541"/>
      <c r="X603" s="541"/>
      <c r="Y603" s="541"/>
      <c r="Z603" s="541"/>
    </row>
    <row r="604" spans="1:26" ht="18.75">
      <c r="A604" s="572"/>
      <c r="B604" s="584"/>
      <c r="C604" s="584"/>
      <c r="D604" s="584"/>
      <c r="E604" s="592"/>
      <c r="F604" s="592"/>
      <c r="G604" s="726"/>
      <c r="H604" s="728" t="s">
        <v>34</v>
      </c>
      <c r="I604" s="269"/>
      <c r="J604" s="269">
        <f t="shared" si="256"/>
        <v>0</v>
      </c>
      <c r="K604" s="163"/>
      <c r="L604" s="163"/>
      <c r="M604" s="163"/>
      <c r="N604" s="163"/>
      <c r="O604" s="163"/>
      <c r="P604" s="163"/>
      <c r="Q604" s="541"/>
      <c r="R604" s="541"/>
      <c r="S604" s="541"/>
      <c r="T604" s="541"/>
      <c r="U604" s="541"/>
      <c r="V604" s="541"/>
      <c r="W604" s="541"/>
      <c r="X604" s="541"/>
      <c r="Y604" s="541"/>
      <c r="Z604" s="541"/>
    </row>
    <row r="605" spans="1:26" ht="18.75">
      <c r="A605" s="572"/>
      <c r="B605" s="584"/>
      <c r="C605" s="584"/>
      <c r="D605" s="669" t="s">
        <v>258</v>
      </c>
      <c r="E605" s="592"/>
      <c r="F605" s="592"/>
      <c r="G605" s="726"/>
      <c r="H605" s="728" t="s">
        <v>46</v>
      </c>
      <c r="I605" s="269"/>
      <c r="J605" s="214">
        <v>0</v>
      </c>
      <c r="K605" s="163"/>
      <c r="L605" s="163"/>
      <c r="M605" s="163"/>
      <c r="N605" s="163"/>
      <c r="O605" s="163"/>
      <c r="P605" s="163"/>
      <c r="Q605" s="541"/>
      <c r="R605" s="541"/>
      <c r="S605" s="541"/>
      <c r="T605" s="541"/>
      <c r="U605" s="541"/>
      <c r="V605" s="541"/>
      <c r="W605" s="541"/>
      <c r="X605" s="541"/>
      <c r="Y605" s="541"/>
      <c r="Z605" s="541"/>
    </row>
    <row r="606" spans="1:26" ht="18.75">
      <c r="A606" s="572"/>
      <c r="B606" s="584"/>
      <c r="C606" s="584"/>
      <c r="D606" s="584"/>
      <c r="E606" s="584"/>
      <c r="F606" s="592"/>
      <c r="G606" s="726"/>
      <c r="H606" s="728" t="s">
        <v>34</v>
      </c>
      <c r="I606" s="269"/>
      <c r="J606" s="214">
        <v>0</v>
      </c>
      <c r="K606" s="163"/>
      <c r="L606" s="163"/>
      <c r="M606" s="163"/>
      <c r="N606" s="163"/>
      <c r="O606" s="163"/>
      <c r="P606" s="163"/>
      <c r="Q606" s="541"/>
      <c r="R606" s="541"/>
      <c r="S606" s="541"/>
      <c r="T606" s="541"/>
      <c r="U606" s="541"/>
      <c r="V606" s="541"/>
      <c r="W606" s="541"/>
      <c r="X606" s="541"/>
      <c r="Y606" s="541"/>
      <c r="Z606" s="541"/>
    </row>
    <row r="607" spans="1:26" ht="18.75">
      <c r="A607" s="572"/>
      <c r="B607" s="584"/>
      <c r="C607" s="584"/>
      <c r="D607" s="669" t="s">
        <v>259</v>
      </c>
      <c r="E607" s="584"/>
      <c r="F607" s="592"/>
      <c r="G607" s="726"/>
      <c r="H607" s="728" t="s">
        <v>46</v>
      </c>
      <c r="I607" s="269"/>
      <c r="J607" s="214">
        <v>0</v>
      </c>
      <c r="K607" s="163"/>
      <c r="L607" s="163"/>
      <c r="M607" s="163"/>
      <c r="N607" s="163"/>
      <c r="O607" s="163"/>
      <c r="P607" s="163"/>
      <c r="Q607" s="541"/>
      <c r="R607" s="541"/>
      <c r="S607" s="541"/>
      <c r="T607" s="541"/>
      <c r="U607" s="541"/>
      <c r="V607" s="541"/>
      <c r="W607" s="541"/>
      <c r="X607" s="541"/>
      <c r="Y607" s="541"/>
      <c r="Z607" s="541"/>
    </row>
    <row r="608" spans="1:26" ht="18.75">
      <c r="A608" s="572"/>
      <c r="B608" s="584"/>
      <c r="C608" s="584"/>
      <c r="D608" s="584"/>
      <c r="E608" s="592"/>
      <c r="F608" s="592"/>
      <c r="G608" s="726"/>
      <c r="H608" s="728" t="s">
        <v>34</v>
      </c>
      <c r="I608" s="269"/>
      <c r="J608" s="214">
        <v>0</v>
      </c>
      <c r="K608" s="163"/>
      <c r="L608" s="163"/>
      <c r="M608" s="163"/>
      <c r="N608" s="163"/>
      <c r="O608" s="163"/>
      <c r="P608" s="163"/>
      <c r="Q608" s="541"/>
      <c r="R608" s="541"/>
      <c r="S608" s="541"/>
      <c r="T608" s="541"/>
      <c r="U608" s="541"/>
      <c r="V608" s="541"/>
      <c r="W608" s="541"/>
      <c r="X608" s="541"/>
      <c r="Y608" s="541"/>
      <c r="Z608" s="541"/>
    </row>
    <row r="609" spans="1:26" ht="18.75">
      <c r="A609" s="572"/>
      <c r="B609" s="584"/>
      <c r="C609" s="584" t="s">
        <v>260</v>
      </c>
      <c r="D609" s="584"/>
      <c r="E609" s="584"/>
      <c r="F609" s="592"/>
      <c r="G609" s="726"/>
      <c r="H609" s="728" t="s">
        <v>46</v>
      </c>
      <c r="I609" s="269"/>
      <c r="J609" s="214">
        <v>0</v>
      </c>
      <c r="K609" s="163"/>
      <c r="L609" s="163"/>
      <c r="M609" s="163"/>
      <c r="N609" s="163"/>
      <c r="O609" s="163"/>
      <c r="P609" s="163"/>
      <c r="Q609" s="541"/>
      <c r="R609" s="541"/>
      <c r="S609" s="541"/>
      <c r="T609" s="541"/>
      <c r="U609" s="541"/>
      <c r="V609" s="541"/>
      <c r="W609" s="541"/>
      <c r="X609" s="541"/>
      <c r="Y609" s="541"/>
      <c r="Z609" s="541"/>
    </row>
    <row r="610" spans="1:26" ht="18.75">
      <c r="A610" s="572"/>
      <c r="B610" s="584"/>
      <c r="C610" s="584"/>
      <c r="D610" s="584"/>
      <c r="E610" s="592"/>
      <c r="F610" s="592"/>
      <c r="G610" s="726"/>
      <c r="H610" s="728" t="s">
        <v>34</v>
      </c>
      <c r="I610" s="269"/>
      <c r="J610" s="214">
        <v>0</v>
      </c>
      <c r="K610" s="163"/>
      <c r="L610" s="163"/>
      <c r="M610" s="163"/>
      <c r="N610" s="163"/>
      <c r="O610" s="163"/>
      <c r="P610" s="163"/>
      <c r="Q610" s="541"/>
      <c r="R610" s="541"/>
      <c r="S610" s="541"/>
      <c r="T610" s="541"/>
      <c r="U610" s="541"/>
      <c r="V610" s="541"/>
      <c r="W610" s="541"/>
      <c r="X610" s="541"/>
      <c r="Y610" s="541"/>
      <c r="Z610" s="541"/>
    </row>
    <row r="611" spans="1:26" ht="19.5">
      <c r="A611" s="658"/>
      <c r="B611" s="670" t="s">
        <v>261</v>
      </c>
      <c r="C611" s="660"/>
      <c r="D611" s="660"/>
      <c r="E611" s="639"/>
      <c r="F611" s="639"/>
      <c r="G611" s="640"/>
      <c r="H611" s="671" t="s">
        <v>46</v>
      </c>
      <c r="I611" s="672">
        <v>0</v>
      </c>
      <c r="J611" s="672">
        <f>J614+J616</f>
        <v>0</v>
      </c>
      <c r="K611" s="643">
        <f t="shared" ref="K611:K613" si="257">IF(I611&gt;0,J611*100/I611,0)</f>
        <v>0</v>
      </c>
      <c r="L611" s="644"/>
      <c r="M611" s="644"/>
      <c r="N611" s="644"/>
      <c r="O611" s="644"/>
      <c r="P611" s="644"/>
      <c r="Q611" s="541"/>
      <c r="R611" s="541"/>
      <c r="S611" s="541"/>
      <c r="T611" s="541"/>
      <c r="U611" s="541"/>
      <c r="V611" s="541"/>
      <c r="W611" s="541"/>
      <c r="X611" s="541"/>
      <c r="Y611" s="541"/>
      <c r="Z611" s="541"/>
    </row>
    <row r="612" spans="1:26" ht="19.5" hidden="1">
      <c r="A612" s="673"/>
      <c r="B612" s="683"/>
      <c r="C612" s="675" t="s">
        <v>262</v>
      </c>
      <c r="D612" s="683"/>
      <c r="E612" s="683"/>
      <c r="F612" s="676"/>
      <c r="G612" s="677"/>
      <c r="H612" s="678" t="s">
        <v>46</v>
      </c>
      <c r="I612" s="680">
        <v>0</v>
      </c>
      <c r="J612" s="680">
        <f t="shared" ref="J612:J613" si="258">J614+J616</f>
        <v>0</v>
      </c>
      <c r="K612" s="681">
        <f t="shared" si="257"/>
        <v>0</v>
      </c>
      <c r="L612" s="682"/>
      <c r="M612" s="682"/>
      <c r="N612" s="682"/>
      <c r="O612" s="682"/>
      <c r="P612" s="682"/>
      <c r="Q612" s="568"/>
      <c r="R612" s="568"/>
      <c r="S612" s="568"/>
      <c r="T612" s="568"/>
      <c r="U612" s="568"/>
      <c r="V612" s="568"/>
      <c r="W612" s="568"/>
      <c r="X612" s="568"/>
      <c r="Y612" s="568"/>
      <c r="Z612" s="568"/>
    </row>
    <row r="613" spans="1:26" ht="19.5" hidden="1">
      <c r="A613" s="673"/>
      <c r="B613" s="683"/>
      <c r="C613" s="683" t="s">
        <v>263</v>
      </c>
      <c r="D613" s="683"/>
      <c r="E613" s="683"/>
      <c r="F613" s="676"/>
      <c r="G613" s="677"/>
      <c r="H613" s="678" t="s">
        <v>34</v>
      </c>
      <c r="I613" s="680">
        <v>0</v>
      </c>
      <c r="J613" s="680">
        <f t="shared" si="258"/>
        <v>0</v>
      </c>
      <c r="K613" s="681">
        <f t="shared" si="257"/>
        <v>0</v>
      </c>
      <c r="L613" s="682"/>
      <c r="M613" s="682"/>
      <c r="N613" s="682"/>
      <c r="O613" s="682"/>
      <c r="P613" s="682"/>
      <c r="Q613" s="568"/>
      <c r="R613" s="568"/>
      <c r="S613" s="568"/>
      <c r="T613" s="568"/>
      <c r="U613" s="568"/>
      <c r="V613" s="568"/>
      <c r="W613" s="568"/>
      <c r="X613" s="568"/>
      <c r="Y613" s="568"/>
      <c r="Z613" s="568"/>
    </row>
    <row r="614" spans="1:26" ht="18.75" hidden="1">
      <c r="A614" s="578"/>
      <c r="B614" s="580"/>
      <c r="C614" s="580"/>
      <c r="D614" s="684" t="s">
        <v>264</v>
      </c>
      <c r="E614" s="580"/>
      <c r="F614" s="684"/>
      <c r="G614" s="581"/>
      <c r="H614" s="582" t="s">
        <v>46</v>
      </c>
      <c r="I614" s="583"/>
      <c r="J614" s="583">
        <v>0</v>
      </c>
      <c r="K614" s="167"/>
      <c r="L614" s="167"/>
      <c r="M614" s="167"/>
      <c r="N614" s="167"/>
      <c r="O614" s="167"/>
      <c r="P614" s="167"/>
      <c r="Q614" s="568"/>
      <c r="R614" s="568"/>
      <c r="S614" s="568"/>
      <c r="T614" s="568"/>
      <c r="U614" s="568"/>
      <c r="V614" s="568"/>
      <c r="W614" s="568"/>
      <c r="X614" s="568"/>
      <c r="Y614" s="568"/>
      <c r="Z614" s="568"/>
    </row>
    <row r="615" spans="1:26" ht="18.75" hidden="1">
      <c r="A615" s="578"/>
      <c r="B615" s="580"/>
      <c r="C615" s="580"/>
      <c r="D615" s="580"/>
      <c r="E615" s="580"/>
      <c r="F615" s="684"/>
      <c r="G615" s="581"/>
      <c r="H615" s="582" t="s">
        <v>34</v>
      </c>
      <c r="I615" s="583"/>
      <c r="J615" s="583">
        <v>0</v>
      </c>
      <c r="K615" s="167"/>
      <c r="L615" s="167"/>
      <c r="M615" s="167"/>
      <c r="N615" s="167"/>
      <c r="O615" s="167"/>
      <c r="P615" s="167"/>
      <c r="Q615" s="568"/>
      <c r="R615" s="568"/>
      <c r="S615" s="568"/>
      <c r="T615" s="568"/>
      <c r="U615" s="568"/>
      <c r="V615" s="568"/>
      <c r="W615" s="568"/>
      <c r="X615" s="568"/>
      <c r="Y615" s="568"/>
      <c r="Z615" s="568"/>
    </row>
    <row r="616" spans="1:26" ht="18.75" hidden="1">
      <c r="A616" s="578"/>
      <c r="B616" s="580"/>
      <c r="C616" s="580"/>
      <c r="D616" s="685" t="s">
        <v>264</v>
      </c>
      <c r="E616" s="684"/>
      <c r="F616" s="684"/>
      <c r="G616" s="581"/>
      <c r="H616" s="582" t="s">
        <v>46</v>
      </c>
      <c r="I616" s="583"/>
      <c r="J616" s="583">
        <v>0</v>
      </c>
      <c r="K616" s="167"/>
      <c r="L616" s="167"/>
      <c r="M616" s="167"/>
      <c r="N616" s="167"/>
      <c r="O616" s="167"/>
      <c r="P616" s="167"/>
      <c r="Q616" s="568"/>
      <c r="R616" s="568"/>
      <c r="S616" s="568"/>
      <c r="T616" s="568"/>
      <c r="U616" s="568"/>
      <c r="V616" s="568"/>
      <c r="W616" s="568"/>
      <c r="X616" s="568"/>
      <c r="Y616" s="568"/>
      <c r="Z616" s="568"/>
    </row>
    <row r="617" spans="1:26" ht="18.75" hidden="1">
      <c r="A617" s="578"/>
      <c r="B617" s="580"/>
      <c r="C617" s="580"/>
      <c r="D617" s="580"/>
      <c r="E617" s="684"/>
      <c r="F617" s="684"/>
      <c r="G617" s="581"/>
      <c r="H617" s="582" t="s">
        <v>34</v>
      </c>
      <c r="I617" s="583"/>
      <c r="J617" s="583">
        <v>0</v>
      </c>
      <c r="K617" s="167"/>
      <c r="L617" s="167"/>
      <c r="M617" s="167"/>
      <c r="N617" s="167"/>
      <c r="O617" s="167"/>
      <c r="P617" s="167"/>
      <c r="Q617" s="568"/>
      <c r="R617" s="568"/>
      <c r="S617" s="568"/>
      <c r="T617" s="568"/>
      <c r="U617" s="568"/>
      <c r="V617" s="568"/>
      <c r="W617" s="568"/>
      <c r="X617" s="568"/>
      <c r="Y617" s="568"/>
      <c r="Z617" s="568"/>
    </row>
    <row r="618" spans="1:26" ht="18.75" hidden="1">
      <c r="A618" s="578"/>
      <c r="B618" s="580"/>
      <c r="C618" s="580"/>
      <c r="D618" s="685" t="s">
        <v>265</v>
      </c>
      <c r="E618" s="684"/>
      <c r="F618" s="684"/>
      <c r="G618" s="581"/>
      <c r="H618" s="582" t="s">
        <v>46</v>
      </c>
      <c r="I618" s="583"/>
      <c r="J618" s="583">
        <v>0</v>
      </c>
      <c r="K618" s="167"/>
      <c r="L618" s="167"/>
      <c r="M618" s="167"/>
      <c r="N618" s="167"/>
      <c r="O618" s="167"/>
      <c r="P618" s="167"/>
      <c r="Q618" s="568"/>
      <c r="R618" s="568"/>
      <c r="S618" s="568"/>
      <c r="T618" s="568"/>
      <c r="U618" s="568"/>
      <c r="V618" s="568"/>
      <c r="W618" s="568"/>
      <c r="X618" s="568"/>
      <c r="Y618" s="568"/>
      <c r="Z618" s="568"/>
    </row>
    <row r="619" spans="1:26" ht="18.75" hidden="1">
      <c r="A619" s="578"/>
      <c r="B619" s="580"/>
      <c r="C619" s="580"/>
      <c r="D619" s="580"/>
      <c r="E619" s="684"/>
      <c r="F619" s="684"/>
      <c r="G619" s="581"/>
      <c r="H619" s="582" t="s">
        <v>34</v>
      </c>
      <c r="I619" s="583"/>
      <c r="J619" s="583">
        <v>0</v>
      </c>
      <c r="K619" s="167"/>
      <c r="L619" s="167"/>
      <c r="M619" s="167"/>
      <c r="N619" s="167"/>
      <c r="O619" s="167"/>
      <c r="P619" s="167"/>
      <c r="Q619" s="568"/>
      <c r="R619" s="568"/>
      <c r="S619" s="568"/>
      <c r="T619" s="568"/>
      <c r="U619" s="568"/>
      <c r="V619" s="568"/>
      <c r="W619" s="568"/>
      <c r="X619" s="568"/>
      <c r="Y619" s="568"/>
      <c r="Z619" s="568"/>
    </row>
    <row r="620" spans="1:26" ht="19.5">
      <c r="A620" s="686"/>
      <c r="B620" s="695"/>
      <c r="C620" s="688" t="s">
        <v>266</v>
      </c>
      <c r="D620" s="695"/>
      <c r="E620" s="695"/>
      <c r="F620" s="689"/>
      <c r="G620" s="690"/>
      <c r="H620" s="691" t="s">
        <v>46</v>
      </c>
      <c r="I620" s="692">
        <f ca="1">IFERROR(__xludf.DUMMYFUNCTION("IMPORTRANGE(""https://docs.google.com/spreadsheets/d/1QqKyyYR6Q21VydFLVH3TRQUabQu_ym0Zz7PgGX0-kHA/edit?usp=sharing"",""แผน!HL18"")"),0)</f>
        <v>0</v>
      </c>
      <c r="J620" s="692">
        <f t="shared" ref="J620:J621" si="259">J622+J624+J626</f>
        <v>0</v>
      </c>
      <c r="K620" s="693">
        <f t="shared" ref="K620:K621" ca="1" si="260">IF(I620&gt;0,J620*100/I620,0)</f>
        <v>0</v>
      </c>
      <c r="L620" s="694"/>
      <c r="M620" s="694"/>
      <c r="N620" s="694"/>
      <c r="O620" s="694"/>
      <c r="P620" s="694"/>
      <c r="Q620" s="541"/>
      <c r="R620" s="541"/>
      <c r="S620" s="541"/>
      <c r="T620" s="541"/>
      <c r="U620" s="541"/>
      <c r="V620" s="541"/>
      <c r="W620" s="541"/>
      <c r="X620" s="541"/>
      <c r="Y620" s="541"/>
      <c r="Z620" s="541"/>
    </row>
    <row r="621" spans="1:26" ht="19.5">
      <c r="A621" s="686"/>
      <c r="B621" s="695"/>
      <c r="C621" s="695" t="s">
        <v>267</v>
      </c>
      <c r="D621" s="695"/>
      <c r="E621" s="695"/>
      <c r="F621" s="689"/>
      <c r="G621" s="690"/>
      <c r="H621" s="691" t="s">
        <v>34</v>
      </c>
      <c r="I621" s="692">
        <f ca="1">IFERROR(__xludf.DUMMYFUNCTION("IMPORTRANGE(""https://docs.google.com/spreadsheets/d/1QqKyyYR6Q21VydFLVH3TRQUabQu_ym0Zz7PgGX0-kHA/edit?usp=sharing"",""แผน!HK18"")"),0)</f>
        <v>0</v>
      </c>
      <c r="J621" s="692">
        <f t="shared" si="259"/>
        <v>0</v>
      </c>
      <c r="K621" s="693">
        <f t="shared" ca="1" si="260"/>
        <v>0</v>
      </c>
      <c r="L621" s="694"/>
      <c r="M621" s="694"/>
      <c r="N621" s="694"/>
      <c r="O621" s="694"/>
      <c r="P621" s="694"/>
      <c r="Q621" s="541"/>
      <c r="R621" s="541"/>
      <c r="S621" s="541"/>
      <c r="T621" s="541"/>
      <c r="U621" s="541"/>
      <c r="V621" s="541"/>
      <c r="W621" s="541"/>
      <c r="X621" s="541"/>
      <c r="Y621" s="541"/>
      <c r="Z621" s="541"/>
    </row>
    <row r="622" spans="1:26" ht="18.75">
      <c r="A622" s="572"/>
      <c r="B622" s="584"/>
      <c r="C622" s="584"/>
      <c r="D622" s="710" t="s">
        <v>268</v>
      </c>
      <c r="E622" s="592"/>
      <c r="F622" s="592"/>
      <c r="G622" s="726"/>
      <c r="H622" s="728" t="s">
        <v>46</v>
      </c>
      <c r="I622" s="269"/>
      <c r="J622" s="214">
        <v>0</v>
      </c>
      <c r="K622" s="163"/>
      <c r="L622" s="163"/>
      <c r="M622" s="163"/>
      <c r="N622" s="163"/>
      <c r="O622" s="163"/>
      <c r="P622" s="163"/>
      <c r="Q622" s="541"/>
      <c r="R622" s="541"/>
      <c r="S622" s="541"/>
      <c r="T622" s="541"/>
      <c r="U622" s="541"/>
      <c r="V622" s="541"/>
      <c r="W622" s="541"/>
      <c r="X622" s="541"/>
      <c r="Y622" s="541"/>
      <c r="Z622" s="541"/>
    </row>
    <row r="623" spans="1:26" ht="18.75">
      <c r="A623" s="572"/>
      <c r="B623" s="584"/>
      <c r="C623" s="584"/>
      <c r="D623" s="584"/>
      <c r="E623" s="592"/>
      <c r="F623" s="592"/>
      <c r="G623" s="726"/>
      <c r="H623" s="728" t="s">
        <v>34</v>
      </c>
      <c r="I623" s="269"/>
      <c r="J623" s="214">
        <v>0</v>
      </c>
      <c r="K623" s="163"/>
      <c r="L623" s="163"/>
      <c r="M623" s="163"/>
      <c r="N623" s="163"/>
      <c r="O623" s="163"/>
      <c r="P623" s="163"/>
      <c r="Q623" s="541"/>
      <c r="R623" s="541"/>
      <c r="S623" s="541"/>
      <c r="T623" s="541"/>
      <c r="U623" s="541"/>
      <c r="V623" s="541"/>
      <c r="W623" s="541"/>
      <c r="X623" s="541"/>
      <c r="Y623" s="541"/>
      <c r="Z623" s="541"/>
    </row>
    <row r="624" spans="1:26" ht="18.75">
      <c r="A624" s="572"/>
      <c r="B624" s="584"/>
      <c r="C624" s="584"/>
      <c r="D624" s="710" t="s">
        <v>264</v>
      </c>
      <c r="E624" s="592"/>
      <c r="F624" s="592"/>
      <c r="G624" s="726"/>
      <c r="H624" s="728" t="s">
        <v>46</v>
      </c>
      <c r="I624" s="269"/>
      <c r="J624" s="214">
        <v>0</v>
      </c>
      <c r="K624" s="163"/>
      <c r="L624" s="163"/>
      <c r="M624" s="163"/>
      <c r="N624" s="163"/>
      <c r="O624" s="163"/>
      <c r="P624" s="163"/>
      <c r="Q624" s="541"/>
      <c r="R624" s="541"/>
      <c r="S624" s="541"/>
      <c r="T624" s="541"/>
      <c r="U624" s="541"/>
      <c r="V624" s="541"/>
      <c r="W624" s="541"/>
      <c r="X624" s="541"/>
      <c r="Y624" s="541"/>
      <c r="Z624" s="541"/>
    </row>
    <row r="625" spans="1:26" ht="18.75">
      <c r="A625" s="572"/>
      <c r="B625" s="584"/>
      <c r="C625" s="584"/>
      <c r="D625" s="584"/>
      <c r="E625" s="592"/>
      <c r="F625" s="592"/>
      <c r="G625" s="726"/>
      <c r="H625" s="728" t="s">
        <v>34</v>
      </c>
      <c r="I625" s="269"/>
      <c r="J625" s="214">
        <v>0</v>
      </c>
      <c r="K625" s="163"/>
      <c r="L625" s="163"/>
      <c r="M625" s="163"/>
      <c r="N625" s="163"/>
      <c r="O625" s="163"/>
      <c r="P625" s="163"/>
      <c r="Q625" s="541"/>
      <c r="R625" s="541"/>
      <c r="S625" s="541"/>
      <c r="T625" s="541"/>
      <c r="U625" s="541"/>
      <c r="V625" s="541"/>
      <c r="W625" s="541"/>
      <c r="X625" s="541"/>
      <c r="Y625" s="541"/>
      <c r="Z625" s="541"/>
    </row>
    <row r="626" spans="1:26" ht="18.75">
      <c r="A626" s="572"/>
      <c r="B626" s="584"/>
      <c r="C626" s="584"/>
      <c r="D626" s="710" t="s">
        <v>269</v>
      </c>
      <c r="E626" s="592"/>
      <c r="F626" s="592"/>
      <c r="G626" s="726"/>
      <c r="H626" s="728" t="s">
        <v>46</v>
      </c>
      <c r="I626" s="269"/>
      <c r="J626" s="214">
        <v>0</v>
      </c>
      <c r="K626" s="163"/>
      <c r="L626" s="163"/>
      <c r="M626" s="163"/>
      <c r="N626" s="163"/>
      <c r="O626" s="163"/>
      <c r="P626" s="163"/>
      <c r="Q626" s="541"/>
      <c r="R626" s="541"/>
      <c r="S626" s="541"/>
      <c r="T626" s="541"/>
      <c r="U626" s="541"/>
      <c r="V626" s="541"/>
      <c r="W626" s="541"/>
      <c r="X626" s="541"/>
      <c r="Y626" s="541"/>
      <c r="Z626" s="541"/>
    </row>
    <row r="627" spans="1:26" ht="18.75">
      <c r="A627" s="696"/>
      <c r="B627" s="697"/>
      <c r="C627" s="697"/>
      <c r="D627" s="697"/>
      <c r="E627" s="698"/>
      <c r="F627" s="698"/>
      <c r="G627" s="699"/>
      <c r="H627" s="390" t="s">
        <v>34</v>
      </c>
      <c r="I627" s="468"/>
      <c r="J627" s="392">
        <v>0</v>
      </c>
      <c r="K627" s="353"/>
      <c r="L627" s="353"/>
      <c r="M627" s="353"/>
      <c r="N627" s="353"/>
      <c r="O627" s="353"/>
      <c r="P627" s="353"/>
      <c r="Q627" s="541"/>
      <c r="R627" s="541"/>
      <c r="S627" s="541"/>
      <c r="T627" s="541"/>
      <c r="U627" s="541"/>
      <c r="V627" s="541"/>
      <c r="W627" s="541"/>
      <c r="X627" s="541"/>
      <c r="Y627" s="541"/>
      <c r="Z627" s="541"/>
    </row>
    <row r="628" spans="1:26" ht="19.5">
      <c r="A628" s="700">
        <v>7</v>
      </c>
      <c r="B628" s="701" t="s">
        <v>270</v>
      </c>
      <c r="C628" s="702"/>
      <c r="D628" s="702"/>
      <c r="E628" s="702"/>
      <c r="F628" s="702"/>
      <c r="G628" s="703"/>
      <c r="H628" s="704" t="s">
        <v>35</v>
      </c>
      <c r="I628" s="705">
        <f t="shared" ref="I628:J628" ca="1" si="261">I651</f>
        <v>715</v>
      </c>
      <c r="J628" s="705">
        <f t="shared" ca="1" si="261"/>
        <v>0</v>
      </c>
      <c r="K628" s="706">
        <f ca="1">IF(I628&gt;0,J628*100/I628,0)</f>
        <v>0</v>
      </c>
      <c r="L628" s="707"/>
      <c r="M628" s="707"/>
      <c r="N628" s="707"/>
      <c r="O628" s="707"/>
      <c r="P628" s="707"/>
      <c r="Q628" s="541"/>
      <c r="R628" s="541"/>
      <c r="S628" s="541"/>
      <c r="T628" s="541"/>
      <c r="U628" s="541"/>
      <c r="V628" s="541"/>
      <c r="W628" s="541"/>
      <c r="X628" s="541"/>
      <c r="Y628" s="541"/>
      <c r="Z628" s="541"/>
    </row>
    <row r="629" spans="1:26" ht="19.5">
      <c r="A629" s="561"/>
      <c r="B629" s="727"/>
      <c r="C629" s="727" t="s">
        <v>16</v>
      </c>
      <c r="D629" s="811" t="s">
        <v>17</v>
      </c>
      <c r="E629" s="805"/>
      <c r="F629" s="805"/>
      <c r="G629" s="189"/>
      <c r="H629" s="562" t="s">
        <v>12</v>
      </c>
      <c r="I629" s="269"/>
      <c r="J629" s="269"/>
      <c r="K629" s="465"/>
      <c r="L629" s="195">
        <f t="shared" ref="L629:N629" ca="1" si="262">L630+L631</f>
        <v>1015785</v>
      </c>
      <c r="M629" s="195">
        <f t="shared" si="262"/>
        <v>0</v>
      </c>
      <c r="N629" s="195">
        <f t="shared" si="262"/>
        <v>0</v>
      </c>
      <c r="O629" s="195">
        <f t="shared" ref="O629:O634" ca="1" si="263">IF(L629&gt;0,N629*100/L629,0)</f>
        <v>0</v>
      </c>
      <c r="P629" s="195">
        <f t="shared" ref="P629:P634" si="264">IF(M629&gt;0,N629*100/M629,0)</f>
        <v>0</v>
      </c>
      <c r="Q629" s="541"/>
      <c r="R629" s="541"/>
      <c r="S629" s="541"/>
      <c r="T629" s="541"/>
      <c r="U629" s="541"/>
      <c r="V629" s="541"/>
      <c r="W629" s="541"/>
      <c r="X629" s="541"/>
      <c r="Y629" s="541"/>
      <c r="Z629" s="541"/>
    </row>
    <row r="630" spans="1:26" ht="18.75" hidden="1">
      <c r="A630" s="563"/>
      <c r="B630" s="723"/>
      <c r="C630" s="723"/>
      <c r="D630" s="684"/>
      <c r="E630" s="723" t="s">
        <v>184</v>
      </c>
      <c r="F630" s="723"/>
      <c r="G630" s="567"/>
      <c r="H630" s="165" t="s">
        <v>12</v>
      </c>
      <c r="I630" s="583"/>
      <c r="J630" s="583"/>
      <c r="K630" s="93"/>
      <c r="L630" s="93">
        <f t="shared" ref="L630:N631" si="265">L633+L640</f>
        <v>0</v>
      </c>
      <c r="M630" s="93">
        <f t="shared" si="265"/>
        <v>0</v>
      </c>
      <c r="N630" s="93">
        <f t="shared" si="265"/>
        <v>0</v>
      </c>
      <c r="O630" s="93">
        <f t="shared" si="263"/>
        <v>0</v>
      </c>
      <c r="P630" s="93">
        <f t="shared" si="264"/>
        <v>0</v>
      </c>
      <c r="Q630" s="568"/>
      <c r="R630" s="568"/>
      <c r="S630" s="568"/>
      <c r="T630" s="568"/>
      <c r="U630" s="568"/>
      <c r="V630" s="568"/>
      <c r="W630" s="568"/>
      <c r="X630" s="568"/>
      <c r="Y630" s="568"/>
      <c r="Z630" s="568"/>
    </row>
    <row r="631" spans="1:26" ht="18.75" hidden="1">
      <c r="A631" s="563"/>
      <c r="B631" s="571"/>
      <c r="C631" s="723"/>
      <c r="D631" s="684"/>
      <c r="E631" s="723" t="s">
        <v>185</v>
      </c>
      <c r="F631" s="723"/>
      <c r="G631" s="567"/>
      <c r="H631" s="165" t="s">
        <v>12</v>
      </c>
      <c r="I631" s="583"/>
      <c r="J631" s="583"/>
      <c r="K631" s="93"/>
      <c r="L631" s="93">
        <f t="shared" ca="1" si="265"/>
        <v>1015785</v>
      </c>
      <c r="M631" s="93">
        <f t="shared" si="265"/>
        <v>0</v>
      </c>
      <c r="N631" s="93">
        <f t="shared" si="265"/>
        <v>0</v>
      </c>
      <c r="O631" s="93">
        <f t="shared" ca="1" si="263"/>
        <v>0</v>
      </c>
      <c r="P631" s="93">
        <f t="shared" si="264"/>
        <v>0</v>
      </c>
      <c r="Q631" s="568"/>
      <c r="R631" s="568"/>
      <c r="S631" s="568"/>
      <c r="T631" s="568"/>
      <c r="U631" s="568"/>
      <c r="V631" s="568"/>
      <c r="W631" s="568"/>
      <c r="X631" s="568"/>
      <c r="Y631" s="568"/>
      <c r="Z631" s="568"/>
    </row>
    <row r="632" spans="1:26" ht="18.75">
      <c r="A632" s="561"/>
      <c r="B632" s="538"/>
      <c r="C632" s="727"/>
      <c r="D632" s="570" t="s">
        <v>20</v>
      </c>
      <c r="E632" s="727"/>
      <c r="F632" s="727"/>
      <c r="G632" s="189"/>
      <c r="H632" s="161" t="s">
        <v>12</v>
      </c>
      <c r="I632" s="184"/>
      <c r="J632" s="184"/>
      <c r="K632" s="163"/>
      <c r="L632" s="465">
        <f t="shared" ref="L632:N632" ca="1" si="266">L633+L634</f>
        <v>1015785</v>
      </c>
      <c r="M632" s="465">
        <f t="shared" si="266"/>
        <v>0</v>
      </c>
      <c r="N632" s="465">
        <f t="shared" si="266"/>
        <v>0</v>
      </c>
      <c r="O632" s="465">
        <f t="shared" ca="1" si="263"/>
        <v>0</v>
      </c>
      <c r="P632" s="465">
        <f t="shared" si="264"/>
        <v>0</v>
      </c>
      <c r="Q632" s="541"/>
      <c r="R632" s="541"/>
      <c r="S632" s="541"/>
      <c r="T632" s="541"/>
      <c r="U632" s="541"/>
      <c r="V632" s="541"/>
      <c r="W632" s="541"/>
      <c r="X632" s="541"/>
      <c r="Y632" s="541"/>
      <c r="Z632" s="541"/>
    </row>
    <row r="633" spans="1:26" ht="18.75" hidden="1">
      <c r="A633" s="563"/>
      <c r="B633" s="571"/>
      <c r="C633" s="723"/>
      <c r="D633" s="684"/>
      <c r="E633" s="723" t="s">
        <v>184</v>
      </c>
      <c r="F633" s="723"/>
      <c r="G633" s="567"/>
      <c r="H633" s="165" t="s">
        <v>12</v>
      </c>
      <c r="I633" s="583"/>
      <c r="J633" s="583"/>
      <c r="K633" s="93"/>
      <c r="L633" s="93">
        <v>0</v>
      </c>
      <c r="M633" s="93">
        <v>0</v>
      </c>
      <c r="N633" s="93">
        <v>0</v>
      </c>
      <c r="O633" s="93">
        <f t="shared" si="263"/>
        <v>0</v>
      </c>
      <c r="P633" s="93">
        <f t="shared" si="264"/>
        <v>0</v>
      </c>
      <c r="Q633" s="568"/>
      <c r="R633" s="568"/>
      <c r="S633" s="568"/>
      <c r="T633" s="568"/>
      <c r="U633" s="568"/>
      <c r="V633" s="568"/>
      <c r="W633" s="568"/>
      <c r="X633" s="568"/>
      <c r="Y633" s="568"/>
      <c r="Z633" s="568"/>
    </row>
    <row r="634" spans="1:26" ht="18.75" hidden="1">
      <c r="A634" s="563"/>
      <c r="B634" s="571"/>
      <c r="C634" s="723"/>
      <c r="D634" s="684"/>
      <c r="E634" s="723" t="s">
        <v>185</v>
      </c>
      <c r="F634" s="723"/>
      <c r="G634" s="567"/>
      <c r="H634" s="165" t="s">
        <v>12</v>
      </c>
      <c r="I634" s="583"/>
      <c r="J634" s="583"/>
      <c r="K634" s="93"/>
      <c r="L634" s="93">
        <f ca="1">IFERROR(__xludf.DUMMYFUNCTION("IMPORTRANGE(""https://docs.google.com/spreadsheets/d/1QqKyyYR6Q21VydFLVH3TRQUabQu_ym0Zz7PgGX0-kHA/edit?usp=sharing"",""แผน!HN18"")"),1015785)</f>
        <v>1015785</v>
      </c>
      <c r="M634" s="93">
        <v>0</v>
      </c>
      <c r="N634" s="93">
        <f>N635+N636+N637+N638</f>
        <v>0</v>
      </c>
      <c r="O634" s="93">
        <f t="shared" ca="1" si="263"/>
        <v>0</v>
      </c>
      <c r="P634" s="93">
        <f t="shared" si="264"/>
        <v>0</v>
      </c>
      <c r="Q634" s="568"/>
      <c r="R634" s="568"/>
      <c r="S634" s="568"/>
      <c r="T634" s="568"/>
      <c r="U634" s="568"/>
      <c r="V634" s="568"/>
      <c r="W634" s="568"/>
      <c r="X634" s="568"/>
      <c r="Y634" s="568"/>
      <c r="Z634" s="568"/>
    </row>
    <row r="635" spans="1:26" ht="18.75">
      <c r="A635" s="537"/>
      <c r="B635" s="538"/>
      <c r="C635" s="727"/>
      <c r="D635" s="727"/>
      <c r="E635" s="727"/>
      <c r="F635" s="727" t="s">
        <v>186</v>
      </c>
      <c r="G635" s="189"/>
      <c r="H635" s="161" t="s">
        <v>12</v>
      </c>
      <c r="I635" s="269"/>
      <c r="J635" s="269"/>
      <c r="K635" s="465"/>
      <c r="L635" s="465"/>
      <c r="M635" s="465"/>
      <c r="N635" s="789">
        <v>0</v>
      </c>
      <c r="O635" s="465"/>
      <c r="P635" s="465"/>
      <c r="Q635" s="541"/>
      <c r="R635" s="541"/>
      <c r="S635" s="541"/>
      <c r="T635" s="541"/>
      <c r="U635" s="541"/>
      <c r="V635" s="541"/>
      <c r="W635" s="541"/>
      <c r="X635" s="541"/>
      <c r="Y635" s="541"/>
      <c r="Z635" s="541"/>
    </row>
    <row r="636" spans="1:26" ht="18.75">
      <c r="A636" s="537"/>
      <c r="B636" s="538"/>
      <c r="C636" s="727"/>
      <c r="D636" s="727"/>
      <c r="E636" s="727"/>
      <c r="F636" s="727" t="s">
        <v>187</v>
      </c>
      <c r="G636" s="189"/>
      <c r="H636" s="161" t="s">
        <v>12</v>
      </c>
      <c r="I636" s="269"/>
      <c r="J636" s="269"/>
      <c r="K636" s="465"/>
      <c r="L636" s="465"/>
      <c r="M636" s="465"/>
      <c r="N636" s="789">
        <v>0</v>
      </c>
      <c r="O636" s="465"/>
      <c r="P636" s="465"/>
      <c r="Q636" s="541"/>
      <c r="R636" s="541"/>
      <c r="S636" s="541"/>
      <c r="T636" s="541"/>
      <c r="U636" s="541"/>
      <c r="V636" s="541"/>
      <c r="W636" s="541"/>
      <c r="X636" s="541"/>
      <c r="Y636" s="541"/>
      <c r="Z636" s="541"/>
    </row>
    <row r="637" spans="1:26" ht="18.75">
      <c r="A637" s="537"/>
      <c r="B637" s="538"/>
      <c r="C637" s="727"/>
      <c r="D637" s="727"/>
      <c r="E637" s="727"/>
      <c r="F637" s="727" t="s">
        <v>188</v>
      </c>
      <c r="G637" s="189"/>
      <c r="H637" s="161" t="s">
        <v>12</v>
      </c>
      <c r="I637" s="269"/>
      <c r="J637" s="269"/>
      <c r="K637" s="465"/>
      <c r="L637" s="465"/>
      <c r="M637" s="465"/>
      <c r="N637" s="789">
        <v>0</v>
      </c>
      <c r="O637" s="465"/>
      <c r="P637" s="465"/>
      <c r="Q637" s="541"/>
      <c r="R637" s="541"/>
      <c r="S637" s="541"/>
      <c r="T637" s="541"/>
      <c r="U637" s="541"/>
      <c r="V637" s="541"/>
      <c r="W637" s="541"/>
      <c r="X637" s="541"/>
      <c r="Y637" s="541"/>
      <c r="Z637" s="541"/>
    </row>
    <row r="638" spans="1:26" ht="18.75">
      <c r="A638" s="537"/>
      <c r="B638" s="538"/>
      <c r="C638" s="727"/>
      <c r="D638" s="727"/>
      <c r="E638" s="727"/>
      <c r="F638" s="727" t="s">
        <v>189</v>
      </c>
      <c r="G638" s="189"/>
      <c r="H638" s="161" t="s">
        <v>12</v>
      </c>
      <c r="I638" s="269"/>
      <c r="J638" s="269"/>
      <c r="K638" s="465"/>
      <c r="L638" s="465"/>
      <c r="M638" s="465"/>
      <c r="N638" s="789">
        <v>0</v>
      </c>
      <c r="O638" s="465"/>
      <c r="P638" s="465"/>
      <c r="Q638" s="541"/>
      <c r="R638" s="541"/>
      <c r="S638" s="541"/>
      <c r="T638" s="541"/>
      <c r="U638" s="541"/>
      <c r="V638" s="541"/>
      <c r="W638" s="541"/>
      <c r="X638" s="541"/>
      <c r="Y638" s="541"/>
      <c r="Z638" s="541"/>
    </row>
    <row r="639" spans="1:26" ht="18.75">
      <c r="A639" s="561"/>
      <c r="B639" s="538"/>
      <c r="C639" s="727"/>
      <c r="D639" s="570" t="s">
        <v>21</v>
      </c>
      <c r="E639" s="727"/>
      <c r="F639" s="727"/>
      <c r="G639" s="189"/>
      <c r="H639" s="168" t="s">
        <v>12</v>
      </c>
      <c r="I639" s="184"/>
      <c r="J639" s="184"/>
      <c r="K639" s="163"/>
      <c r="L639" s="465">
        <f t="shared" ref="L639:N639" ca="1" si="267">L640+L641</f>
        <v>0</v>
      </c>
      <c r="M639" s="465">
        <f t="shared" si="267"/>
        <v>0</v>
      </c>
      <c r="N639" s="465">
        <f t="shared" si="267"/>
        <v>0</v>
      </c>
      <c r="O639" s="465">
        <f t="shared" ref="O639:O641" ca="1" si="268">IF(L639&gt;0,N639*100/L639,0)</f>
        <v>0</v>
      </c>
      <c r="P639" s="465">
        <f t="shared" ref="P639:P641" si="269">IF(M639&gt;0,N639*100/M639,0)</f>
        <v>0</v>
      </c>
      <c r="Q639" s="541"/>
      <c r="R639" s="541"/>
      <c r="S639" s="541"/>
      <c r="T639" s="541"/>
      <c r="U639" s="541"/>
      <c r="V639" s="541"/>
      <c r="W639" s="541"/>
      <c r="X639" s="541"/>
      <c r="Y639" s="541"/>
      <c r="Z639" s="541"/>
    </row>
    <row r="640" spans="1:26" ht="18.75" hidden="1">
      <c r="A640" s="563"/>
      <c r="B640" s="571"/>
      <c r="C640" s="723"/>
      <c r="D640" s="723"/>
      <c r="E640" s="723" t="s">
        <v>18</v>
      </c>
      <c r="F640" s="723"/>
      <c r="G640" s="567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8"/>
        <v>0</v>
      </c>
      <c r="P640" s="93">
        <f t="shared" si="269"/>
        <v>0</v>
      </c>
      <c r="Q640" s="568"/>
      <c r="R640" s="568"/>
      <c r="S640" s="568"/>
      <c r="T640" s="568"/>
      <c r="U640" s="568"/>
      <c r="V640" s="568"/>
      <c r="W640" s="568"/>
      <c r="X640" s="568"/>
      <c r="Y640" s="568"/>
      <c r="Z640" s="568"/>
    </row>
    <row r="641" spans="1:26" ht="18.75" hidden="1">
      <c r="A641" s="563"/>
      <c r="B641" s="571"/>
      <c r="C641" s="723"/>
      <c r="D641" s="723"/>
      <c r="E641" s="723" t="s">
        <v>19</v>
      </c>
      <c r="F641" s="723"/>
      <c r="G641" s="567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IFERROR(__xludf.DUMMYFUNCTION("IMPORTRANGE(""https://docs.google.com/spreadsheets/d/1QqKyyYR6Q21VydFLVH3TRQUabQu_ym0Zz7PgGX0-kHA/edit?usp=sharing"",""แผน!HQ18"")"),0)</f>
        <v>0</v>
      </c>
      <c r="M641" s="93">
        <v>0</v>
      </c>
      <c r="N641" s="93">
        <v>0</v>
      </c>
      <c r="O641" s="93">
        <f t="shared" ca="1" si="268"/>
        <v>0</v>
      </c>
      <c r="P641" s="93">
        <f t="shared" si="269"/>
        <v>0</v>
      </c>
      <c r="Q641" s="568"/>
      <c r="R641" s="568"/>
      <c r="S641" s="568"/>
      <c r="T641" s="568"/>
      <c r="U641" s="568"/>
      <c r="V641" s="568"/>
      <c r="W641" s="568"/>
      <c r="X641" s="568"/>
      <c r="Y641" s="568"/>
      <c r="Z641" s="568"/>
    </row>
    <row r="642" spans="1:26" ht="19.5">
      <c r="A642" s="572"/>
      <c r="B642" s="584"/>
      <c r="C642" s="727" t="s">
        <v>16</v>
      </c>
      <c r="D642" s="853" t="s">
        <v>38</v>
      </c>
      <c r="E642" s="725"/>
      <c r="F642" s="725"/>
      <c r="G642" s="577"/>
      <c r="H642" s="726"/>
      <c r="I642" s="184"/>
      <c r="J642" s="184"/>
      <c r="K642" s="163"/>
      <c r="L642" s="163"/>
      <c r="M642" s="163"/>
      <c r="N642" s="163"/>
      <c r="O642" s="163"/>
      <c r="P642" s="163"/>
      <c r="Q642" s="541"/>
      <c r="R642" s="541"/>
      <c r="S642" s="541"/>
      <c r="T642" s="541"/>
      <c r="U642" s="541"/>
      <c r="V642" s="541"/>
      <c r="W642" s="541"/>
      <c r="X642" s="541"/>
      <c r="Y642" s="541"/>
      <c r="Z642" s="541"/>
    </row>
    <row r="643" spans="1:26" ht="18.75">
      <c r="A643" s="708"/>
      <c r="B643" s="538"/>
      <c r="C643" s="727"/>
      <c r="D643" s="592"/>
      <c r="E643" s="710" t="s">
        <v>271</v>
      </c>
      <c r="F643" s="592"/>
      <c r="G643" s="726"/>
      <c r="H643" s="728" t="s">
        <v>272</v>
      </c>
      <c r="I643" s="269">
        <f ca="1">IFERROR(__xludf.DUMMYFUNCTION("IMPORTRANGE(""https://docs.google.com/spreadsheets/d/1QqKyyYR6Q21VydFLVH3TRQUabQu_ym0Zz7PgGX0-kHA/edit?usp=sharing"",""แผน!HR18"")"),9)</f>
        <v>9</v>
      </c>
      <c r="J643" s="214">
        <v>0</v>
      </c>
      <c r="K643" s="163">
        <f t="shared" ref="K643:K652" ca="1" si="270">IF(I643&gt;0,J643*100/I643,0)</f>
        <v>0</v>
      </c>
      <c r="L643" s="163"/>
      <c r="M643" s="163"/>
      <c r="N643" s="465"/>
      <c r="O643" s="163"/>
      <c r="P643" s="163"/>
      <c r="Q643" s="541"/>
      <c r="R643" s="541"/>
      <c r="S643" s="541"/>
      <c r="T643" s="541"/>
      <c r="U643" s="541"/>
      <c r="V643" s="541"/>
      <c r="W643" s="541"/>
      <c r="X643" s="541"/>
      <c r="Y643" s="541"/>
      <c r="Z643" s="541"/>
    </row>
    <row r="644" spans="1:26" ht="18.75">
      <c r="A644" s="708"/>
      <c r="B644" s="538"/>
      <c r="C644" s="727"/>
      <c r="D644" s="592"/>
      <c r="E644" s="710" t="s">
        <v>273</v>
      </c>
      <c r="F644" s="592"/>
      <c r="G644" s="726"/>
      <c r="H644" s="728" t="s">
        <v>274</v>
      </c>
      <c r="I644" s="269">
        <f ca="1">IFERROR(__xludf.DUMMYFUNCTION("IMPORTRANGE(""https://docs.google.com/spreadsheets/d/1QqKyyYR6Q21VydFLVH3TRQUabQu_ym0Zz7PgGX0-kHA/edit?usp=sharing"",""แผน!HR18"")"),9)</f>
        <v>9</v>
      </c>
      <c r="J644" s="214">
        <v>0</v>
      </c>
      <c r="K644" s="163">
        <f t="shared" ca="1" si="270"/>
        <v>0</v>
      </c>
      <c r="L644" s="163"/>
      <c r="M644" s="163"/>
      <c r="N644" s="465"/>
      <c r="O644" s="163"/>
      <c r="P644" s="163"/>
      <c r="Q644" s="541"/>
      <c r="R644" s="541"/>
      <c r="S644" s="541"/>
      <c r="T644" s="541"/>
      <c r="U644" s="541"/>
      <c r="V644" s="541"/>
      <c r="W644" s="541"/>
      <c r="X644" s="541"/>
      <c r="Y644" s="541"/>
      <c r="Z644" s="541"/>
    </row>
    <row r="645" spans="1:26" ht="18.75">
      <c r="A645" s="708"/>
      <c r="B645" s="538"/>
      <c r="C645" s="727"/>
      <c r="D645" s="592"/>
      <c r="E645" s="710" t="s">
        <v>275</v>
      </c>
      <c r="F645" s="592"/>
      <c r="G645" s="726"/>
      <c r="H645" s="728" t="s">
        <v>34</v>
      </c>
      <c r="I645" s="269">
        <v>0</v>
      </c>
      <c r="J645" s="269">
        <f ca="1">IFERROR(__xludf.DUMMYFUNCTION("IMPORTRANGE(""https://docs.google.com/spreadsheets/d/1XWAQStnk-4SwqDmLtmXYiTMKHgktTP8We1SCoS47DrQ/edit?usp=sharing"",""จัดที่ดิน!AS18"")"),0)</f>
        <v>0</v>
      </c>
      <c r="K645" s="163">
        <f t="shared" si="270"/>
        <v>0</v>
      </c>
      <c r="L645" s="163"/>
      <c r="M645" s="163"/>
      <c r="N645" s="465"/>
      <c r="O645" s="163"/>
      <c r="P645" s="163"/>
      <c r="Q645" s="541"/>
      <c r="R645" s="541"/>
      <c r="S645" s="541"/>
      <c r="T645" s="541"/>
      <c r="U645" s="541"/>
      <c r="V645" s="541"/>
      <c r="W645" s="541"/>
      <c r="X645" s="541"/>
      <c r="Y645" s="541"/>
      <c r="Z645" s="541"/>
    </row>
    <row r="646" spans="1:26" ht="18.75">
      <c r="A646" s="708"/>
      <c r="B646" s="538"/>
      <c r="C646" s="727"/>
      <c r="D646" s="592"/>
      <c r="E646" s="592"/>
      <c r="F646" s="592"/>
      <c r="G646" s="726"/>
      <c r="H646" s="728" t="s">
        <v>46</v>
      </c>
      <c r="I646" s="269">
        <v>0</v>
      </c>
      <c r="J646" s="269">
        <f ca="1">IFERROR(__xludf.DUMMYFUNCTION("IMPORTRANGE(""https://docs.google.com/spreadsheets/d/1XWAQStnk-4SwqDmLtmXYiTMKHgktTP8We1SCoS47DrQ/edit?usp=sharing"",""จัดที่ดิน!AT18"")"),0)</f>
        <v>0</v>
      </c>
      <c r="K646" s="465">
        <f t="shared" si="270"/>
        <v>0</v>
      </c>
      <c r="L646" s="163"/>
      <c r="M646" s="163"/>
      <c r="N646" s="465"/>
      <c r="O646" s="163"/>
      <c r="P646" s="163"/>
      <c r="Q646" s="541"/>
      <c r="R646" s="541"/>
      <c r="S646" s="541"/>
      <c r="T646" s="541"/>
      <c r="U646" s="541"/>
      <c r="V646" s="541"/>
      <c r="W646" s="541"/>
      <c r="X646" s="541"/>
      <c r="Y646" s="541"/>
      <c r="Z646" s="541"/>
    </row>
    <row r="647" spans="1:26" ht="18.75">
      <c r="A647" s="708"/>
      <c r="B647" s="538"/>
      <c r="C647" s="727"/>
      <c r="D647" s="592"/>
      <c r="E647" s="710" t="s">
        <v>162</v>
      </c>
      <c r="F647" s="592"/>
      <c r="G647" s="726"/>
      <c r="H647" s="728" t="s">
        <v>35</v>
      </c>
      <c r="I647" s="269">
        <f ca="1">IFERROR(__xludf.DUMMYFUNCTION("IMPORTRANGE(""https://docs.google.com/spreadsheets/d/1QqKyyYR6Q21VydFLVH3TRQUabQu_ym0Zz7PgGX0-kHA/edit?usp=sharing"",""แผน!HS18"")"),715)</f>
        <v>715</v>
      </c>
      <c r="J647" s="269">
        <f ca="1">IFERROR(__xludf.DUMMYFUNCTION("IMPORTRANGE(""https://docs.google.com/spreadsheets/d/1XWAQStnk-4SwqDmLtmXYiTMKHgktTP8We1SCoS47DrQ/edit?usp=sharing"",""จัดที่ดิน!AU18"")"),0)</f>
        <v>0</v>
      </c>
      <c r="K647" s="163">
        <f t="shared" ca="1" si="270"/>
        <v>0</v>
      </c>
      <c r="L647" s="163"/>
      <c r="M647" s="163"/>
      <c r="N647" s="163"/>
      <c r="O647" s="163"/>
      <c r="P647" s="163"/>
      <c r="Q647" s="541"/>
      <c r="R647" s="541"/>
      <c r="S647" s="541"/>
      <c r="T647" s="541"/>
      <c r="U647" s="541"/>
      <c r="V647" s="541"/>
      <c r="W647" s="541"/>
      <c r="X647" s="541"/>
      <c r="Y647" s="541"/>
      <c r="Z647" s="541"/>
    </row>
    <row r="648" spans="1:26" ht="18.75">
      <c r="A648" s="708"/>
      <c r="B648" s="538"/>
      <c r="C648" s="727"/>
      <c r="D648" s="592"/>
      <c r="E648" s="592"/>
      <c r="F648" s="592"/>
      <c r="G648" s="726"/>
      <c r="H648" s="728" t="s">
        <v>46</v>
      </c>
      <c r="I648" s="269">
        <v>0</v>
      </c>
      <c r="J648" s="269">
        <f ca="1">IFERROR(__xludf.DUMMYFUNCTION("IMPORTRANGE(""https://docs.google.com/spreadsheets/d/1XWAQStnk-4SwqDmLtmXYiTMKHgktTP8We1SCoS47DrQ/edit?usp=sharing"",""จัดที่ดิน!AV18"")"),0)</f>
        <v>0</v>
      </c>
      <c r="K648" s="465">
        <f t="shared" si="270"/>
        <v>0</v>
      </c>
      <c r="L648" s="163"/>
      <c r="M648" s="163"/>
      <c r="N648" s="163"/>
      <c r="O648" s="163"/>
      <c r="P648" s="163"/>
      <c r="Q648" s="541"/>
      <c r="R648" s="541"/>
      <c r="S648" s="541"/>
      <c r="T648" s="541"/>
      <c r="U648" s="541"/>
      <c r="V648" s="541"/>
      <c r="W648" s="541"/>
      <c r="X648" s="541"/>
      <c r="Y648" s="541"/>
      <c r="Z648" s="541"/>
    </row>
    <row r="649" spans="1:26" ht="18.75">
      <c r="A649" s="708"/>
      <c r="B649" s="538"/>
      <c r="C649" s="727"/>
      <c r="D649" s="592"/>
      <c r="E649" s="710" t="s">
        <v>276</v>
      </c>
      <c r="F649" s="592"/>
      <c r="G649" s="726"/>
      <c r="H649" s="728" t="s">
        <v>35</v>
      </c>
      <c r="I649" s="269">
        <f ca="1">IFERROR(__xludf.DUMMYFUNCTION("IMPORTRANGE(""https://docs.google.com/spreadsheets/d/1QqKyyYR6Q21VydFLVH3TRQUabQu_ym0Zz7PgGX0-kHA/edit?usp=sharing"",""แผน!HS18"")"),715)</f>
        <v>715</v>
      </c>
      <c r="J649" s="269">
        <f ca="1">IFERROR(__xludf.DUMMYFUNCTION("IMPORTRANGE(""https://docs.google.com/spreadsheets/d/1XWAQStnk-4SwqDmLtmXYiTMKHgktTP8We1SCoS47DrQ/edit?usp=sharing"",""จัดที่ดิน!AW18"")"),0)</f>
        <v>0</v>
      </c>
      <c r="K649" s="163">
        <f t="shared" ca="1" si="270"/>
        <v>0</v>
      </c>
      <c r="L649" s="163"/>
      <c r="M649" s="163"/>
      <c r="N649" s="163"/>
      <c r="O649" s="163"/>
      <c r="P649" s="163"/>
      <c r="Q649" s="541"/>
      <c r="R649" s="541"/>
      <c r="S649" s="541"/>
      <c r="T649" s="541"/>
      <c r="U649" s="541"/>
      <c r="V649" s="541"/>
      <c r="W649" s="541"/>
      <c r="X649" s="541"/>
      <c r="Y649" s="541"/>
      <c r="Z649" s="541"/>
    </row>
    <row r="650" spans="1:26" ht="18.75">
      <c r="A650" s="708"/>
      <c r="B650" s="538"/>
      <c r="C650" s="727"/>
      <c r="D650" s="592"/>
      <c r="E650" s="592"/>
      <c r="F650" s="592"/>
      <c r="G650" s="726"/>
      <c r="H650" s="728" t="s">
        <v>46</v>
      </c>
      <c r="I650" s="269">
        <v>0</v>
      </c>
      <c r="J650" s="269">
        <f ca="1">IFERROR(__xludf.DUMMYFUNCTION("IMPORTRANGE(""https://docs.google.com/spreadsheets/d/1XWAQStnk-4SwqDmLtmXYiTMKHgktTP8We1SCoS47DrQ/edit?usp=sharing"",""จัดที่ดิน!AX18"")"),0)</f>
        <v>0</v>
      </c>
      <c r="K650" s="465">
        <f t="shared" si="270"/>
        <v>0</v>
      </c>
      <c r="L650" s="163"/>
      <c r="M650" s="163"/>
      <c r="N650" s="163"/>
      <c r="O650" s="163"/>
      <c r="P650" s="163"/>
      <c r="Q650" s="541"/>
      <c r="R650" s="541"/>
      <c r="S650" s="541"/>
      <c r="T650" s="541"/>
      <c r="U650" s="541"/>
      <c r="V650" s="541"/>
      <c r="W650" s="541"/>
      <c r="X650" s="541"/>
      <c r="Y650" s="541"/>
      <c r="Z650" s="541"/>
    </row>
    <row r="651" spans="1:26" ht="18.75">
      <c r="A651" s="708"/>
      <c r="B651" s="538"/>
      <c r="C651" s="727"/>
      <c r="D651" s="592"/>
      <c r="E651" s="710" t="s">
        <v>277</v>
      </c>
      <c r="F651" s="592"/>
      <c r="G651" s="726"/>
      <c r="H651" s="728" t="s">
        <v>35</v>
      </c>
      <c r="I651" s="269">
        <f ca="1">IFERROR(__xludf.DUMMYFUNCTION("IMPORTRANGE(""https://docs.google.com/spreadsheets/d/1QqKyyYR6Q21VydFLVH3TRQUabQu_ym0Zz7PgGX0-kHA/edit?usp=sharing"",""แผน!HS18"")"),715)</f>
        <v>715</v>
      </c>
      <c r="J651" s="269">
        <f ca="1">IFERROR(__xludf.DUMMYFUNCTION("IMPORTRANGE(""https://docs.google.com/spreadsheets/d/1XWAQStnk-4SwqDmLtmXYiTMKHgktTP8We1SCoS47DrQ/edit?usp=sharing"",""จัดที่ดิน!AY18"")"),0)</f>
        <v>0</v>
      </c>
      <c r="K651" s="163">
        <f t="shared" ca="1" si="270"/>
        <v>0</v>
      </c>
      <c r="L651" s="163"/>
      <c r="M651" s="163"/>
      <c r="N651" s="163"/>
      <c r="O651" s="163"/>
      <c r="P651" s="163"/>
      <c r="Q651" s="541"/>
      <c r="R651" s="541"/>
      <c r="S651" s="541"/>
      <c r="T651" s="541"/>
      <c r="U651" s="541"/>
      <c r="V651" s="541"/>
      <c r="W651" s="541"/>
      <c r="X651" s="541"/>
      <c r="Y651" s="541"/>
      <c r="Z651" s="541"/>
    </row>
    <row r="652" spans="1:26" ht="18.75">
      <c r="A652" s="711"/>
      <c r="B652" s="712"/>
      <c r="C652" s="713"/>
      <c r="D652" s="698"/>
      <c r="E652" s="698"/>
      <c r="F652" s="698"/>
      <c r="G652" s="699"/>
      <c r="H652" s="467" t="s">
        <v>46</v>
      </c>
      <c r="I652" s="468">
        <v>0</v>
      </c>
      <c r="J652" s="468">
        <f ca="1">IFERROR(__xludf.DUMMYFUNCTION("IMPORTRANGE(""https://docs.google.com/spreadsheets/d/1XWAQStnk-4SwqDmLtmXYiTMKHgktTP8We1SCoS47DrQ/edit?usp=sharing"",""จัดที่ดิน!AZ18"")"),0)</f>
        <v>0</v>
      </c>
      <c r="K652" s="469">
        <f t="shared" si="270"/>
        <v>0</v>
      </c>
      <c r="L652" s="353"/>
      <c r="M652" s="353"/>
      <c r="N652" s="353"/>
      <c r="O652" s="353"/>
      <c r="P652" s="353"/>
      <c r="Q652" s="541"/>
      <c r="R652" s="541"/>
      <c r="S652" s="541"/>
      <c r="T652" s="541"/>
      <c r="U652" s="541"/>
      <c r="V652" s="541"/>
      <c r="W652" s="541"/>
      <c r="X652" s="541"/>
      <c r="Y652" s="541"/>
      <c r="Z652" s="541"/>
    </row>
    <row r="653" spans="1:26" ht="19.5">
      <c r="A653" s="714">
        <v>8</v>
      </c>
      <c r="B653" s="701" t="s">
        <v>278</v>
      </c>
      <c r="C653" s="702"/>
      <c r="D653" s="702"/>
      <c r="E653" s="702"/>
      <c r="F653" s="702"/>
      <c r="G653" s="703"/>
      <c r="H653" s="703"/>
      <c r="I653" s="715"/>
      <c r="J653" s="715"/>
      <c r="K653" s="707"/>
      <c r="L653" s="707"/>
      <c r="M653" s="707"/>
      <c r="N653" s="707"/>
      <c r="O653" s="707"/>
      <c r="P653" s="707"/>
      <c r="Q653" s="541"/>
      <c r="R653" s="541"/>
      <c r="S653" s="541"/>
      <c r="T653" s="541"/>
      <c r="U653" s="541"/>
      <c r="V653" s="541"/>
      <c r="W653" s="541"/>
      <c r="X653" s="541"/>
      <c r="Y653" s="541"/>
      <c r="Z653" s="541"/>
    </row>
    <row r="654" spans="1:26" ht="19.5" hidden="1">
      <c r="A654" s="639"/>
      <c r="B654" s="638" t="s">
        <v>279</v>
      </c>
      <c r="C654" s="639"/>
      <c r="D654" s="639"/>
      <c r="E654" s="639"/>
      <c r="F654" s="639"/>
      <c r="G654" s="640"/>
      <c r="H654" s="671" t="s">
        <v>46</v>
      </c>
      <c r="I654" s="672">
        <f t="shared" ref="I654:J654" ca="1" si="271">I669</f>
        <v>0</v>
      </c>
      <c r="J654" s="672">
        <f t="shared" si="271"/>
        <v>0</v>
      </c>
      <c r="K654" s="643">
        <f ca="1">IF(I654&gt;0,J654*100/I654,0)</f>
        <v>0</v>
      </c>
      <c r="L654" s="644"/>
      <c r="M654" s="644"/>
      <c r="N654" s="644"/>
      <c r="O654" s="644"/>
      <c r="P654" s="644"/>
      <c r="Q654" s="541"/>
      <c r="R654" s="541"/>
      <c r="S654" s="541"/>
      <c r="T654" s="541"/>
      <c r="U654" s="541"/>
      <c r="V654" s="541"/>
      <c r="W654" s="541"/>
      <c r="X654" s="541"/>
      <c r="Y654" s="541"/>
      <c r="Z654" s="541"/>
    </row>
    <row r="655" spans="1:26" ht="19.5" hidden="1">
      <c r="A655" s="561"/>
      <c r="B655" s="727"/>
      <c r="C655" s="727" t="s">
        <v>16</v>
      </c>
      <c r="D655" s="811" t="s">
        <v>17</v>
      </c>
      <c r="E655" s="805"/>
      <c r="F655" s="805"/>
      <c r="G655" s="189"/>
      <c r="H655" s="562" t="s">
        <v>12</v>
      </c>
      <c r="I655" s="269"/>
      <c r="J655" s="269"/>
      <c r="K655" s="465"/>
      <c r="L655" s="195">
        <f t="shared" ref="L655:N655" ca="1" si="272">L656+L657</f>
        <v>0</v>
      </c>
      <c r="M655" s="195">
        <f t="shared" si="272"/>
        <v>0</v>
      </c>
      <c r="N655" s="195">
        <f t="shared" si="272"/>
        <v>0</v>
      </c>
      <c r="O655" s="195">
        <f t="shared" ref="O655:O660" ca="1" si="273">IF(L655&gt;0,N655*100/L655,0)</f>
        <v>0</v>
      </c>
      <c r="P655" s="195">
        <f t="shared" ref="P655:P660" si="274">IF(M655&gt;0,N655*100/M655,0)</f>
        <v>0</v>
      </c>
      <c r="Q655" s="541"/>
      <c r="R655" s="541"/>
      <c r="S655" s="541"/>
      <c r="T655" s="541"/>
      <c r="U655" s="541"/>
      <c r="V655" s="541"/>
      <c r="W655" s="541"/>
      <c r="X655" s="541"/>
      <c r="Y655" s="541"/>
      <c r="Z655" s="541"/>
    </row>
    <row r="656" spans="1:26" ht="18.75" hidden="1">
      <c r="A656" s="563"/>
      <c r="B656" s="723"/>
      <c r="C656" s="723"/>
      <c r="D656" s="684"/>
      <c r="E656" s="723" t="s">
        <v>184</v>
      </c>
      <c r="F656" s="723"/>
      <c r="G656" s="567"/>
      <c r="H656" s="165" t="s">
        <v>12</v>
      </c>
      <c r="I656" s="583"/>
      <c r="J656" s="583"/>
      <c r="K656" s="93"/>
      <c r="L656" s="93">
        <f t="shared" ref="L656:N657" si="275">L659+L666</f>
        <v>0</v>
      </c>
      <c r="M656" s="93">
        <f t="shared" si="275"/>
        <v>0</v>
      </c>
      <c r="N656" s="93">
        <f t="shared" si="275"/>
        <v>0</v>
      </c>
      <c r="O656" s="93">
        <f t="shared" si="273"/>
        <v>0</v>
      </c>
      <c r="P656" s="93">
        <f t="shared" si="274"/>
        <v>0</v>
      </c>
      <c r="Q656" s="568"/>
      <c r="R656" s="568"/>
      <c r="S656" s="568"/>
      <c r="T656" s="568"/>
      <c r="U656" s="568"/>
      <c r="V656" s="568"/>
      <c r="W656" s="568"/>
      <c r="X656" s="568"/>
      <c r="Y656" s="568"/>
      <c r="Z656" s="568"/>
    </row>
    <row r="657" spans="1:26" ht="18.75" hidden="1">
      <c r="A657" s="563"/>
      <c r="B657" s="571"/>
      <c r="C657" s="723"/>
      <c r="D657" s="684"/>
      <c r="E657" s="723" t="s">
        <v>185</v>
      </c>
      <c r="F657" s="723"/>
      <c r="G657" s="567"/>
      <c r="H657" s="165" t="s">
        <v>12</v>
      </c>
      <c r="I657" s="583"/>
      <c r="J657" s="583"/>
      <c r="K657" s="93"/>
      <c r="L657" s="93">
        <f t="shared" ca="1" si="275"/>
        <v>0</v>
      </c>
      <c r="M657" s="93">
        <f t="shared" si="275"/>
        <v>0</v>
      </c>
      <c r="N657" s="93">
        <f t="shared" si="275"/>
        <v>0</v>
      </c>
      <c r="O657" s="93">
        <f t="shared" ca="1" si="273"/>
        <v>0</v>
      </c>
      <c r="P657" s="93">
        <f t="shared" si="274"/>
        <v>0</v>
      </c>
      <c r="Q657" s="568"/>
      <c r="R657" s="568"/>
      <c r="S657" s="568"/>
      <c r="T657" s="568"/>
      <c r="U657" s="568"/>
      <c r="V657" s="568"/>
      <c r="W657" s="568"/>
      <c r="X657" s="568"/>
      <c r="Y657" s="568"/>
      <c r="Z657" s="568"/>
    </row>
    <row r="658" spans="1:26" ht="18.75" hidden="1">
      <c r="A658" s="561"/>
      <c r="B658" s="538"/>
      <c r="C658" s="727"/>
      <c r="D658" s="570" t="s">
        <v>20</v>
      </c>
      <c r="E658" s="727"/>
      <c r="F658" s="727"/>
      <c r="G658" s="189"/>
      <c r="H658" s="161" t="s">
        <v>12</v>
      </c>
      <c r="I658" s="184"/>
      <c r="J658" s="184"/>
      <c r="K658" s="163"/>
      <c r="L658" s="465">
        <f t="shared" ref="L658:N658" ca="1" si="276">L659+L660</f>
        <v>0</v>
      </c>
      <c r="M658" s="465">
        <f t="shared" si="276"/>
        <v>0</v>
      </c>
      <c r="N658" s="465">
        <f t="shared" si="276"/>
        <v>0</v>
      </c>
      <c r="O658" s="465">
        <f t="shared" ca="1" si="273"/>
        <v>0</v>
      </c>
      <c r="P658" s="465">
        <f t="shared" si="274"/>
        <v>0</v>
      </c>
      <c r="Q658" s="541"/>
      <c r="R658" s="541"/>
      <c r="S658" s="541"/>
      <c r="T658" s="541"/>
      <c r="U658" s="541"/>
      <c r="V658" s="541"/>
      <c r="W658" s="541"/>
      <c r="X658" s="541"/>
      <c r="Y658" s="541"/>
      <c r="Z658" s="541"/>
    </row>
    <row r="659" spans="1:26" ht="18.75" hidden="1">
      <c r="A659" s="563"/>
      <c r="B659" s="571"/>
      <c r="C659" s="723"/>
      <c r="D659" s="684"/>
      <c r="E659" s="723" t="s">
        <v>184</v>
      </c>
      <c r="F659" s="723"/>
      <c r="G659" s="567"/>
      <c r="H659" s="165" t="s">
        <v>12</v>
      </c>
      <c r="I659" s="583"/>
      <c r="J659" s="583"/>
      <c r="K659" s="93"/>
      <c r="L659" s="93">
        <v>0</v>
      </c>
      <c r="M659" s="93">
        <v>0</v>
      </c>
      <c r="N659" s="93">
        <v>0</v>
      </c>
      <c r="O659" s="93">
        <f t="shared" si="273"/>
        <v>0</v>
      </c>
      <c r="P659" s="93">
        <f t="shared" si="274"/>
        <v>0</v>
      </c>
      <c r="Q659" s="568"/>
      <c r="R659" s="568"/>
      <c r="S659" s="568"/>
      <c r="T659" s="568"/>
      <c r="U659" s="568"/>
      <c r="V659" s="568"/>
      <c r="W659" s="568"/>
      <c r="X659" s="568"/>
      <c r="Y659" s="568"/>
      <c r="Z659" s="568"/>
    </row>
    <row r="660" spans="1:26" ht="18.75" hidden="1">
      <c r="A660" s="563"/>
      <c r="B660" s="571"/>
      <c r="C660" s="723"/>
      <c r="D660" s="684"/>
      <c r="E660" s="723" t="s">
        <v>185</v>
      </c>
      <c r="F660" s="723"/>
      <c r="G660" s="567"/>
      <c r="H660" s="165" t="s">
        <v>12</v>
      </c>
      <c r="I660" s="583"/>
      <c r="J660" s="583"/>
      <c r="K660" s="93"/>
      <c r="L660" s="93">
        <f ca="1">IFERROR(__xludf.DUMMYFUNCTION("IMPORTRANGE(""https://docs.google.com/spreadsheets/d/1QqKyyYR6Q21VydFLVH3TRQUabQu_ym0Zz7PgGX0-kHA/edit?usp=sharing"",""แผน!HV18"")"),0)</f>
        <v>0</v>
      </c>
      <c r="M660" s="93">
        <v>0</v>
      </c>
      <c r="N660" s="93">
        <f>N661+N662+N663+N664</f>
        <v>0</v>
      </c>
      <c r="O660" s="93">
        <f t="shared" ca="1" si="273"/>
        <v>0</v>
      </c>
      <c r="P660" s="93">
        <f t="shared" si="274"/>
        <v>0</v>
      </c>
      <c r="Q660" s="568"/>
      <c r="R660" s="568"/>
      <c r="S660" s="568"/>
      <c r="T660" s="568"/>
      <c r="U660" s="568"/>
      <c r="V660" s="568"/>
      <c r="W660" s="568"/>
      <c r="X660" s="568"/>
      <c r="Y660" s="568"/>
      <c r="Z660" s="568"/>
    </row>
    <row r="661" spans="1:26" ht="18.75" hidden="1">
      <c r="A661" s="537"/>
      <c r="B661" s="538"/>
      <c r="C661" s="727"/>
      <c r="D661" s="727"/>
      <c r="E661" s="727"/>
      <c r="F661" s="727" t="s">
        <v>186</v>
      </c>
      <c r="G661" s="189"/>
      <c r="H661" s="161" t="s">
        <v>12</v>
      </c>
      <c r="I661" s="269"/>
      <c r="J661" s="269"/>
      <c r="K661" s="465"/>
      <c r="L661" s="465"/>
      <c r="M661" s="465"/>
      <c r="N661" s="789">
        <v>0</v>
      </c>
      <c r="O661" s="465"/>
      <c r="P661" s="465"/>
      <c r="Q661" s="541"/>
      <c r="R661" s="541"/>
      <c r="S661" s="541"/>
      <c r="T661" s="541"/>
      <c r="U661" s="541"/>
      <c r="V661" s="541"/>
      <c r="W661" s="541"/>
      <c r="X661" s="541"/>
      <c r="Y661" s="541"/>
      <c r="Z661" s="541"/>
    </row>
    <row r="662" spans="1:26" ht="18.75" hidden="1">
      <c r="A662" s="537"/>
      <c r="B662" s="538"/>
      <c r="C662" s="727"/>
      <c r="D662" s="727"/>
      <c r="E662" s="727"/>
      <c r="F662" s="727" t="s">
        <v>187</v>
      </c>
      <c r="G662" s="189"/>
      <c r="H662" s="161" t="s">
        <v>12</v>
      </c>
      <c r="I662" s="269"/>
      <c r="J662" s="269"/>
      <c r="K662" s="465"/>
      <c r="L662" s="465"/>
      <c r="M662" s="465"/>
      <c r="N662" s="789">
        <v>0</v>
      </c>
      <c r="O662" s="465"/>
      <c r="P662" s="465"/>
      <c r="Q662" s="541"/>
      <c r="R662" s="541"/>
      <c r="S662" s="541"/>
      <c r="T662" s="541"/>
      <c r="U662" s="541"/>
      <c r="V662" s="541"/>
      <c r="W662" s="541"/>
      <c r="X662" s="541"/>
      <c r="Y662" s="541"/>
      <c r="Z662" s="541"/>
    </row>
    <row r="663" spans="1:26" ht="18.75" hidden="1">
      <c r="A663" s="537"/>
      <c r="B663" s="538"/>
      <c r="C663" s="538"/>
      <c r="D663" s="727"/>
      <c r="E663" s="727"/>
      <c r="F663" s="727" t="s">
        <v>188</v>
      </c>
      <c r="G663" s="189"/>
      <c r="H663" s="161" t="s">
        <v>12</v>
      </c>
      <c r="I663" s="269"/>
      <c r="J663" s="269"/>
      <c r="K663" s="465"/>
      <c r="L663" s="465"/>
      <c r="M663" s="465"/>
      <c r="N663" s="789">
        <v>0</v>
      </c>
      <c r="O663" s="465"/>
      <c r="P663" s="465"/>
      <c r="Q663" s="541"/>
      <c r="R663" s="541"/>
      <c r="S663" s="541"/>
      <c r="T663" s="541"/>
      <c r="U663" s="541"/>
      <c r="V663" s="541"/>
      <c r="W663" s="541"/>
      <c r="X663" s="541"/>
      <c r="Y663" s="541"/>
      <c r="Z663" s="541"/>
    </row>
    <row r="664" spans="1:26" ht="18.75" hidden="1">
      <c r="A664" s="537"/>
      <c r="B664" s="538"/>
      <c r="C664" s="538"/>
      <c r="D664" s="538"/>
      <c r="E664" s="727"/>
      <c r="F664" s="727" t="s">
        <v>189</v>
      </c>
      <c r="G664" s="189"/>
      <c r="H664" s="161" t="s">
        <v>12</v>
      </c>
      <c r="I664" s="269"/>
      <c r="J664" s="269"/>
      <c r="K664" s="465"/>
      <c r="L664" s="465"/>
      <c r="M664" s="465"/>
      <c r="N664" s="789">
        <v>0</v>
      </c>
      <c r="O664" s="465"/>
      <c r="P664" s="465"/>
      <c r="Q664" s="541"/>
      <c r="R664" s="541"/>
      <c r="S664" s="541"/>
      <c r="T664" s="541"/>
      <c r="U664" s="541"/>
      <c r="V664" s="541"/>
      <c r="W664" s="541"/>
      <c r="X664" s="541"/>
      <c r="Y664" s="541"/>
      <c r="Z664" s="541"/>
    </row>
    <row r="665" spans="1:26" ht="18.75" hidden="1">
      <c r="A665" s="561"/>
      <c r="B665" s="538"/>
      <c r="C665" s="538"/>
      <c r="D665" s="570" t="s">
        <v>21</v>
      </c>
      <c r="E665" s="727"/>
      <c r="F665" s="727"/>
      <c r="G665" s="189"/>
      <c r="H665" s="168" t="s">
        <v>12</v>
      </c>
      <c r="I665" s="184"/>
      <c r="J665" s="184"/>
      <c r="K665" s="163"/>
      <c r="L665" s="465">
        <f t="shared" ref="L665:N665" si="277">L666+L667</f>
        <v>0</v>
      </c>
      <c r="M665" s="465">
        <f t="shared" si="277"/>
        <v>0</v>
      </c>
      <c r="N665" s="465">
        <f t="shared" si="277"/>
        <v>0</v>
      </c>
      <c r="O665" s="465">
        <f t="shared" ref="O665:O667" si="278">IF(L665&gt;0,N665*100/L665,0)</f>
        <v>0</v>
      </c>
      <c r="P665" s="465">
        <f t="shared" ref="P665:P667" si="279">IF(M665&gt;0,N665*100/M665,0)</f>
        <v>0</v>
      </c>
      <c r="Q665" s="541"/>
      <c r="R665" s="541"/>
      <c r="S665" s="541"/>
      <c r="T665" s="541"/>
      <c r="U665" s="541"/>
      <c r="V665" s="541"/>
      <c r="W665" s="541"/>
      <c r="X665" s="541"/>
      <c r="Y665" s="541"/>
      <c r="Z665" s="541"/>
    </row>
    <row r="666" spans="1:26" ht="18.75" hidden="1">
      <c r="A666" s="563"/>
      <c r="B666" s="571"/>
      <c r="C666" s="571"/>
      <c r="D666" s="571"/>
      <c r="E666" s="723" t="s">
        <v>18</v>
      </c>
      <c r="F666" s="723"/>
      <c r="G666" s="567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8"/>
        <v>0</v>
      </c>
      <c r="P666" s="93">
        <f t="shared" si="279"/>
        <v>0</v>
      </c>
      <c r="Q666" s="568"/>
      <c r="R666" s="568"/>
      <c r="S666" s="568"/>
      <c r="T666" s="568"/>
      <c r="U666" s="568"/>
      <c r="V666" s="568"/>
      <c r="W666" s="568"/>
      <c r="X666" s="568"/>
      <c r="Y666" s="568"/>
      <c r="Z666" s="568"/>
    </row>
    <row r="667" spans="1:26" ht="18.75" hidden="1">
      <c r="A667" s="563"/>
      <c r="B667" s="571"/>
      <c r="C667" s="571"/>
      <c r="D667" s="571"/>
      <c r="E667" s="723" t="s">
        <v>19</v>
      </c>
      <c r="F667" s="723"/>
      <c r="G667" s="567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8"/>
        <v>0</v>
      </c>
      <c r="P667" s="93">
        <f t="shared" si="279"/>
        <v>0</v>
      </c>
      <c r="Q667" s="568"/>
      <c r="R667" s="568"/>
      <c r="S667" s="568"/>
      <c r="T667" s="568"/>
      <c r="U667" s="568"/>
      <c r="V667" s="568"/>
      <c r="W667" s="568"/>
      <c r="X667" s="568"/>
      <c r="Y667" s="568"/>
      <c r="Z667" s="568"/>
    </row>
    <row r="668" spans="1:26" ht="19.5" hidden="1">
      <c r="A668" s="572"/>
      <c r="B668" s="584"/>
      <c r="C668" s="538" t="s">
        <v>16</v>
      </c>
      <c r="D668" s="850" t="s">
        <v>38</v>
      </c>
      <c r="E668" s="725"/>
      <c r="F668" s="725"/>
      <c r="G668" s="577"/>
      <c r="H668" s="726"/>
      <c r="I668" s="184"/>
      <c r="J668" s="184"/>
      <c r="K668" s="163"/>
      <c r="L668" s="163"/>
      <c r="M668" s="163"/>
      <c r="N668" s="163"/>
      <c r="O668" s="163"/>
      <c r="P668" s="163"/>
      <c r="Q668" s="541"/>
      <c r="R668" s="541"/>
      <c r="S668" s="541"/>
      <c r="T668" s="541"/>
      <c r="U668" s="541"/>
      <c r="V668" s="541"/>
      <c r="W668" s="541"/>
      <c r="X668" s="541"/>
      <c r="Y668" s="541"/>
      <c r="Z668" s="541"/>
    </row>
    <row r="669" spans="1:26" ht="19.5" hidden="1">
      <c r="A669" s="572"/>
      <c r="B669" s="584"/>
      <c r="C669" s="584"/>
      <c r="D669" s="584" t="s">
        <v>280</v>
      </c>
      <c r="E669" s="592"/>
      <c r="F669" s="592"/>
      <c r="G669" s="726"/>
      <c r="H669" s="731" t="s">
        <v>46</v>
      </c>
      <c r="I669" s="647">
        <f ca="1">IFERROR(__xludf.DUMMYFUNCTION("IMPORTRANGE(""https://docs.google.com/spreadsheets/d/1QqKyyYR6Q21VydFLVH3TRQUabQu_ym0Zz7PgGX0-kHA/edit?usp=sharing"",""แผน!IA18"")"),0)</f>
        <v>0</v>
      </c>
      <c r="J669" s="647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41"/>
      <c r="R669" s="541"/>
      <c r="S669" s="541"/>
      <c r="T669" s="541"/>
      <c r="U669" s="541"/>
      <c r="V669" s="541"/>
      <c r="W669" s="541"/>
      <c r="X669" s="541"/>
      <c r="Y669" s="541"/>
      <c r="Z669" s="541"/>
    </row>
    <row r="670" spans="1:26" ht="18.75" hidden="1">
      <c r="A670" s="572"/>
      <c r="B670" s="584"/>
      <c r="C670" s="584"/>
      <c r="D670" s="584"/>
      <c r="E670" s="592" t="s">
        <v>281</v>
      </c>
      <c r="F670" s="592"/>
      <c r="G670" s="726"/>
      <c r="H670" s="728" t="s">
        <v>69</v>
      </c>
      <c r="I670" s="269">
        <f ca="1">IFERROR(__xludf.DUMMYFUNCTION("IMPORTRANGE(""https://docs.google.com/spreadsheets/d/1QqKyyYR6Q21VydFLVH3TRQUabQu_ym0Zz7PgGX0-kHA/edit?usp=sharing"",""แผน!HZ18"")"),0)</f>
        <v>0</v>
      </c>
      <c r="J670" s="214">
        <v>0</v>
      </c>
      <c r="K670" s="465">
        <f ca="1">IF(I670&gt;0,(J670*100)/I670,0)</f>
        <v>0</v>
      </c>
      <c r="L670" s="163"/>
      <c r="M670" s="163"/>
      <c r="N670" s="163"/>
      <c r="O670" s="163"/>
      <c r="P670" s="163"/>
      <c r="Q670" s="541"/>
      <c r="R670" s="541"/>
      <c r="S670" s="541"/>
      <c r="T670" s="541"/>
      <c r="U670" s="541"/>
      <c r="V670" s="541"/>
      <c r="W670" s="541"/>
      <c r="X670" s="541"/>
      <c r="Y670" s="541"/>
      <c r="Z670" s="541"/>
    </row>
    <row r="671" spans="1:26" ht="18.75" hidden="1">
      <c r="A671" s="572"/>
      <c r="B671" s="584"/>
      <c r="C671" s="584"/>
      <c r="D671" s="584"/>
      <c r="E671" s="592" t="s">
        <v>282</v>
      </c>
      <c r="F671" s="592"/>
      <c r="G671" s="726"/>
      <c r="H671" s="728" t="s">
        <v>69</v>
      </c>
      <c r="I671" s="269">
        <f ca="1">IFERROR(__xludf.DUMMYFUNCTION("IMPORTRANGE(""https://docs.google.com/spreadsheets/d/1QqKyyYR6Q21VydFLVH3TRQUabQu_ym0Zz7PgGX0-kHA/edit?usp=sharing"",""แผน!HZ18"")"),0)</f>
        <v>0</v>
      </c>
      <c r="J671" s="214">
        <v>0</v>
      </c>
      <c r="K671" s="465">
        <f ca="1">IF(I$671&gt;0,J671*100/I$671,0)</f>
        <v>0</v>
      </c>
      <c r="L671" s="163"/>
      <c r="M671" s="163"/>
      <c r="N671" s="163"/>
      <c r="O671" s="163"/>
      <c r="P671" s="163"/>
      <c r="Q671" s="541"/>
      <c r="R671" s="541"/>
      <c r="S671" s="541"/>
      <c r="T671" s="541"/>
      <c r="U671" s="541"/>
      <c r="V671" s="541"/>
      <c r="W671" s="541"/>
      <c r="X671" s="541"/>
      <c r="Y671" s="541"/>
      <c r="Z671" s="541"/>
    </row>
    <row r="672" spans="1:26" ht="18.75" hidden="1">
      <c r="A672" s="572"/>
      <c r="B672" s="584"/>
      <c r="C672" s="584"/>
      <c r="D672" s="584"/>
      <c r="E672" s="592" t="s">
        <v>283</v>
      </c>
      <c r="F672" s="592"/>
      <c r="G672" s="726"/>
      <c r="H672" s="728" t="s">
        <v>46</v>
      </c>
      <c r="I672" s="269"/>
      <c r="J672" s="214">
        <v>0</v>
      </c>
      <c r="K672" s="465">
        <f t="shared" ref="K672:K675" ca="1" si="280">IF(I$669&gt;0,J672*100/I$669,0)</f>
        <v>0</v>
      </c>
      <c r="L672" s="163"/>
      <c r="M672" s="163"/>
      <c r="N672" s="163"/>
      <c r="O672" s="163"/>
      <c r="P672" s="163"/>
      <c r="Q672" s="541"/>
      <c r="R672" s="541"/>
      <c r="S672" s="541"/>
      <c r="T672" s="541"/>
      <c r="U672" s="541"/>
      <c r="V672" s="541"/>
      <c r="W672" s="541"/>
      <c r="X672" s="541"/>
      <c r="Y672" s="541"/>
      <c r="Z672" s="541"/>
    </row>
    <row r="673" spans="1:26" ht="18.75" hidden="1">
      <c r="A673" s="572"/>
      <c r="B673" s="584"/>
      <c r="C673" s="584"/>
      <c r="D673" s="584"/>
      <c r="E673" s="592" t="s">
        <v>284</v>
      </c>
      <c r="F673" s="592"/>
      <c r="G673" s="726"/>
      <c r="H673" s="728" t="s">
        <v>46</v>
      </c>
      <c r="I673" s="269"/>
      <c r="J673" s="214">
        <v>0</v>
      </c>
      <c r="K673" s="465">
        <f t="shared" ca="1" si="280"/>
        <v>0</v>
      </c>
      <c r="L673" s="163"/>
      <c r="M673" s="163"/>
      <c r="N673" s="163"/>
      <c r="O673" s="163"/>
      <c r="P673" s="163"/>
      <c r="Q673" s="541"/>
      <c r="R673" s="541"/>
      <c r="S673" s="541"/>
      <c r="T673" s="541"/>
      <c r="U673" s="541"/>
      <c r="V673" s="541"/>
      <c r="W673" s="541"/>
      <c r="X673" s="541"/>
      <c r="Y673" s="541"/>
      <c r="Z673" s="541"/>
    </row>
    <row r="674" spans="1:26" ht="18.75" hidden="1">
      <c r="A674" s="572"/>
      <c r="B674" s="584"/>
      <c r="C674" s="584"/>
      <c r="D674" s="584"/>
      <c r="E674" s="592" t="s">
        <v>285</v>
      </c>
      <c r="F674" s="592"/>
      <c r="G674" s="726"/>
      <c r="H674" s="728" t="s">
        <v>46</v>
      </c>
      <c r="I674" s="269"/>
      <c r="J674" s="214">
        <v>0</v>
      </c>
      <c r="K674" s="465">
        <f t="shared" ca="1" si="280"/>
        <v>0</v>
      </c>
      <c r="L674" s="163"/>
      <c r="M674" s="163"/>
      <c r="N674" s="163"/>
      <c r="O674" s="163"/>
      <c r="P674" s="163"/>
      <c r="Q674" s="541"/>
      <c r="R674" s="541"/>
      <c r="S674" s="541"/>
      <c r="T674" s="541"/>
      <c r="U674" s="541"/>
      <c r="V674" s="541"/>
      <c r="W674" s="541"/>
      <c r="X674" s="541"/>
      <c r="Y674" s="541"/>
      <c r="Z674" s="541"/>
    </row>
    <row r="675" spans="1:26" ht="19.5" hidden="1">
      <c r="A675" s="572"/>
      <c r="B675" s="584"/>
      <c r="C675" s="584"/>
      <c r="D675" s="584"/>
      <c r="E675" s="592" t="s">
        <v>286</v>
      </c>
      <c r="F675" s="592"/>
      <c r="G675" s="726"/>
      <c r="H675" s="728" t="s">
        <v>46</v>
      </c>
      <c r="I675" s="269"/>
      <c r="J675" s="647">
        <f>J676+J677</f>
        <v>0</v>
      </c>
      <c r="K675" s="195">
        <f t="shared" ca="1" si="280"/>
        <v>0</v>
      </c>
      <c r="L675" s="163"/>
      <c r="M675" s="163"/>
      <c r="N675" s="163"/>
      <c r="O675" s="163"/>
      <c r="P675" s="163"/>
      <c r="Q675" s="541"/>
      <c r="R675" s="541"/>
      <c r="S675" s="541"/>
      <c r="T675" s="541"/>
      <c r="U675" s="541"/>
      <c r="V675" s="541"/>
      <c r="W675" s="541"/>
      <c r="X675" s="541"/>
      <c r="Y675" s="541"/>
      <c r="Z675" s="541"/>
    </row>
    <row r="676" spans="1:26" ht="18.75" hidden="1">
      <c r="A676" s="572"/>
      <c r="B676" s="584"/>
      <c r="C676" s="584"/>
      <c r="D676" s="584"/>
      <c r="E676" s="592"/>
      <c r="F676" s="592" t="s">
        <v>287</v>
      </c>
      <c r="G676" s="726"/>
      <c r="H676" s="728" t="s">
        <v>46</v>
      </c>
      <c r="I676" s="269"/>
      <c r="J676" s="214">
        <v>0</v>
      </c>
      <c r="K676" s="465"/>
      <c r="L676" s="163"/>
      <c r="M676" s="163"/>
      <c r="N676" s="163"/>
      <c r="O676" s="163"/>
      <c r="P676" s="163"/>
      <c r="Q676" s="541"/>
      <c r="R676" s="541"/>
      <c r="S676" s="541"/>
      <c r="T676" s="541"/>
      <c r="U676" s="541"/>
      <c r="V676" s="541"/>
      <c r="W676" s="541"/>
      <c r="X676" s="541"/>
      <c r="Y676" s="541"/>
      <c r="Z676" s="541"/>
    </row>
    <row r="677" spans="1:26" ht="18.75" hidden="1">
      <c r="A677" s="572"/>
      <c r="B677" s="584"/>
      <c r="C677" s="584"/>
      <c r="D677" s="584"/>
      <c r="E677" s="592"/>
      <c r="F677" s="592" t="s">
        <v>288</v>
      </c>
      <c r="G677" s="726"/>
      <c r="H677" s="728" t="s">
        <v>46</v>
      </c>
      <c r="I677" s="269"/>
      <c r="J677" s="214">
        <v>0</v>
      </c>
      <c r="K677" s="465"/>
      <c r="L677" s="163"/>
      <c r="M677" s="163"/>
      <c r="N677" s="163"/>
      <c r="O677" s="163"/>
      <c r="P677" s="163"/>
      <c r="Q677" s="541"/>
      <c r="R677" s="541"/>
      <c r="S677" s="541"/>
      <c r="T677" s="541"/>
      <c r="U677" s="541"/>
      <c r="V677" s="541"/>
      <c r="W677" s="541"/>
      <c r="X677" s="541"/>
      <c r="Y677" s="541"/>
      <c r="Z677" s="541"/>
    </row>
    <row r="678" spans="1:26" ht="19.5" hidden="1">
      <c r="A678" s="572"/>
      <c r="B678" s="584"/>
      <c r="C678" s="584"/>
      <c r="D678" s="584" t="s">
        <v>289</v>
      </c>
      <c r="E678" s="592"/>
      <c r="F678" s="592"/>
      <c r="G678" s="726"/>
      <c r="H678" s="728" t="s">
        <v>46</v>
      </c>
      <c r="I678" s="647">
        <f ca="1">IFERROR(__xludf.DUMMYFUNCTION("IMPORTRANGE(""https://docs.google.com/spreadsheets/d/1QqKyyYR6Q21VydFLVH3TRQUabQu_ym0Zz7PgGX0-kHA/edit?usp=sharing"",""แผน!IB18"")"),0)</f>
        <v>0</v>
      </c>
      <c r="J678" s="647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41"/>
      <c r="R678" s="541"/>
      <c r="S678" s="541"/>
      <c r="T678" s="541"/>
      <c r="U678" s="541"/>
      <c r="V678" s="541"/>
      <c r="W678" s="541"/>
      <c r="X678" s="541"/>
      <c r="Y678" s="541"/>
      <c r="Z678" s="541"/>
    </row>
    <row r="679" spans="1:26" ht="18.75" hidden="1">
      <c r="A679" s="572"/>
      <c r="B679" s="584"/>
      <c r="C679" s="584"/>
      <c r="D679" s="584"/>
      <c r="E679" s="592" t="s">
        <v>290</v>
      </c>
      <c r="F679" s="592"/>
      <c r="G679" s="726"/>
      <c r="H679" s="728" t="s">
        <v>46</v>
      </c>
      <c r="I679" s="269"/>
      <c r="J679" s="269">
        <f>J680+J681</f>
        <v>0</v>
      </c>
      <c r="K679" s="465"/>
      <c r="L679" s="163"/>
      <c r="M679" s="163"/>
      <c r="N679" s="163"/>
      <c r="O679" s="163"/>
      <c r="P679" s="163"/>
      <c r="Q679" s="541"/>
      <c r="R679" s="541"/>
      <c r="S679" s="541"/>
      <c r="T679" s="541"/>
      <c r="U679" s="541"/>
      <c r="V679" s="541"/>
      <c r="W679" s="541"/>
      <c r="X679" s="541"/>
      <c r="Y679" s="541"/>
      <c r="Z679" s="541"/>
    </row>
    <row r="680" spans="1:26" ht="18.75" hidden="1">
      <c r="A680" s="572"/>
      <c r="B680" s="584"/>
      <c r="C680" s="584"/>
      <c r="D680" s="584"/>
      <c r="E680" s="592"/>
      <c r="F680" s="592" t="s">
        <v>287</v>
      </c>
      <c r="G680" s="726"/>
      <c r="H680" s="728" t="s">
        <v>46</v>
      </c>
      <c r="I680" s="269"/>
      <c r="J680" s="214">
        <v>0</v>
      </c>
      <c r="K680" s="465"/>
      <c r="L680" s="163"/>
      <c r="M680" s="163"/>
      <c r="N680" s="163"/>
      <c r="O680" s="163"/>
      <c r="P680" s="163"/>
      <c r="Q680" s="541"/>
      <c r="R680" s="541"/>
      <c r="S680" s="541"/>
      <c r="T680" s="541"/>
      <c r="U680" s="541"/>
      <c r="V680" s="541"/>
      <c r="W680" s="541"/>
      <c r="X680" s="541"/>
      <c r="Y680" s="541"/>
      <c r="Z680" s="541"/>
    </row>
    <row r="681" spans="1:26" ht="18.75" hidden="1">
      <c r="A681" s="572"/>
      <c r="B681" s="584"/>
      <c r="C681" s="584"/>
      <c r="D681" s="584"/>
      <c r="E681" s="592"/>
      <c r="F681" s="592" t="s">
        <v>288</v>
      </c>
      <c r="G681" s="726"/>
      <c r="H681" s="728" t="s">
        <v>46</v>
      </c>
      <c r="I681" s="269"/>
      <c r="J681" s="214">
        <v>0</v>
      </c>
      <c r="K681" s="465"/>
      <c r="L681" s="163"/>
      <c r="M681" s="163"/>
      <c r="N681" s="163"/>
      <c r="O681" s="163"/>
      <c r="P681" s="163"/>
      <c r="Q681" s="541"/>
      <c r="R681" s="541"/>
      <c r="S681" s="541"/>
      <c r="T681" s="541"/>
      <c r="U681" s="541"/>
      <c r="V681" s="541"/>
      <c r="W681" s="541"/>
      <c r="X681" s="541"/>
      <c r="Y681" s="541"/>
      <c r="Z681" s="541"/>
    </row>
    <row r="682" spans="1:26" ht="18.75" hidden="1">
      <c r="A682" s="572"/>
      <c r="B682" s="584"/>
      <c r="C682" s="584"/>
      <c r="D682" s="584"/>
      <c r="E682" s="592" t="s">
        <v>291</v>
      </c>
      <c r="F682" s="592"/>
      <c r="G682" s="726"/>
      <c r="H682" s="728" t="s">
        <v>46</v>
      </c>
      <c r="I682" s="269"/>
      <c r="J682" s="214">
        <v>0</v>
      </c>
      <c r="K682" s="465"/>
      <c r="L682" s="163"/>
      <c r="M682" s="163"/>
      <c r="N682" s="163"/>
      <c r="O682" s="163"/>
      <c r="P682" s="163"/>
      <c r="Q682" s="541"/>
      <c r="R682" s="541"/>
      <c r="S682" s="541"/>
      <c r="T682" s="541"/>
      <c r="U682" s="541"/>
      <c r="V682" s="541"/>
      <c r="W682" s="541"/>
      <c r="X682" s="541"/>
      <c r="Y682" s="541"/>
      <c r="Z682" s="541"/>
    </row>
    <row r="683" spans="1:26" ht="18.75" hidden="1">
      <c r="A683" s="572"/>
      <c r="B683" s="584"/>
      <c r="C683" s="584"/>
      <c r="D683" s="584"/>
      <c r="E683" s="592"/>
      <c r="F683" s="592" t="s">
        <v>292</v>
      </c>
      <c r="G683" s="726"/>
      <c r="H683" s="728" t="s">
        <v>46</v>
      </c>
      <c r="I683" s="269"/>
      <c r="J683" s="214">
        <v>0</v>
      </c>
      <c r="K683" s="465"/>
      <c r="L683" s="163"/>
      <c r="M683" s="163"/>
      <c r="N683" s="163"/>
      <c r="O683" s="163"/>
      <c r="P683" s="163"/>
      <c r="Q683" s="541"/>
      <c r="R683" s="541"/>
      <c r="S683" s="541"/>
      <c r="T683" s="541"/>
      <c r="U683" s="541"/>
      <c r="V683" s="541"/>
      <c r="W683" s="541"/>
      <c r="X683" s="541"/>
      <c r="Y683" s="541"/>
      <c r="Z683" s="541"/>
    </row>
    <row r="684" spans="1:26" ht="19.5">
      <c r="A684" s="717"/>
      <c r="B684" s="718" t="s">
        <v>293</v>
      </c>
      <c r="C684" s="717"/>
      <c r="D684" s="717"/>
      <c r="E684" s="717"/>
      <c r="F684" s="717"/>
      <c r="G684" s="719"/>
      <c r="H684" s="719"/>
      <c r="I684" s="720"/>
      <c r="J684" s="720"/>
      <c r="K684" s="721"/>
      <c r="L684" s="721"/>
      <c r="M684" s="721"/>
      <c r="N684" s="721"/>
      <c r="O684" s="721"/>
      <c r="P684" s="721"/>
      <c r="Q684" s="541"/>
      <c r="R684" s="541"/>
      <c r="S684" s="541"/>
      <c r="T684" s="541"/>
      <c r="U684" s="541"/>
      <c r="V684" s="541"/>
      <c r="W684" s="541"/>
      <c r="X684" s="541"/>
      <c r="Y684" s="541"/>
      <c r="Z684" s="541"/>
    </row>
    <row r="685" spans="1:26" ht="19.5">
      <c r="A685" s="561"/>
      <c r="B685" s="727"/>
      <c r="C685" s="727" t="s">
        <v>16</v>
      </c>
      <c r="D685" s="811" t="s">
        <v>17</v>
      </c>
      <c r="E685" s="805"/>
      <c r="F685" s="805"/>
      <c r="G685" s="189"/>
      <c r="H685" s="562" t="s">
        <v>12</v>
      </c>
      <c r="I685" s="269"/>
      <c r="J685" s="269"/>
      <c r="K685" s="465"/>
      <c r="L685" s="195">
        <f t="shared" ref="L685:N685" ca="1" si="281">L686+L687</f>
        <v>164670</v>
      </c>
      <c r="M685" s="195">
        <f t="shared" si="281"/>
        <v>0</v>
      </c>
      <c r="N685" s="195">
        <f t="shared" si="281"/>
        <v>0</v>
      </c>
      <c r="O685" s="195">
        <f t="shared" ref="O685:O688" ca="1" si="282">IF(L685&gt;0,N685*100/L685,0)</f>
        <v>0</v>
      </c>
      <c r="P685" s="195">
        <f t="shared" ref="P685:P688" si="283">IF(M685&gt;0,N685*100/M685,0)</f>
        <v>0</v>
      </c>
      <c r="Q685" s="541"/>
      <c r="R685" s="541"/>
      <c r="S685" s="541"/>
      <c r="T685" s="541"/>
      <c r="U685" s="541"/>
      <c r="V685" s="541"/>
      <c r="W685" s="541"/>
      <c r="X685" s="541"/>
      <c r="Y685" s="541"/>
      <c r="Z685" s="541"/>
    </row>
    <row r="686" spans="1:26" ht="18.75" hidden="1">
      <c r="A686" s="563"/>
      <c r="B686" s="723"/>
      <c r="C686" s="723"/>
      <c r="D686" s="684"/>
      <c r="E686" s="723" t="s">
        <v>184</v>
      </c>
      <c r="F686" s="723"/>
      <c r="G686" s="567"/>
      <c r="H686" s="165" t="s">
        <v>12</v>
      </c>
      <c r="I686" s="583"/>
      <c r="J686" s="583"/>
      <c r="K686" s="93"/>
      <c r="L686" s="93">
        <f t="shared" ref="L686:N687" si="284">L689+L696</f>
        <v>0</v>
      </c>
      <c r="M686" s="93">
        <f t="shared" si="284"/>
        <v>0</v>
      </c>
      <c r="N686" s="93">
        <f t="shared" si="284"/>
        <v>0</v>
      </c>
      <c r="O686" s="93">
        <f t="shared" si="282"/>
        <v>0</v>
      </c>
      <c r="P686" s="93">
        <f t="shared" si="283"/>
        <v>0</v>
      </c>
      <c r="Q686" s="568"/>
      <c r="R686" s="568"/>
      <c r="S686" s="568"/>
      <c r="T686" s="568"/>
      <c r="U686" s="568"/>
      <c r="V686" s="568"/>
      <c r="W686" s="568"/>
      <c r="X686" s="568"/>
      <c r="Y686" s="568"/>
      <c r="Z686" s="568"/>
    </row>
    <row r="687" spans="1:26" ht="18.75" hidden="1">
      <c r="A687" s="563"/>
      <c r="B687" s="571"/>
      <c r="C687" s="723"/>
      <c r="D687" s="684"/>
      <c r="E687" s="723" t="s">
        <v>185</v>
      </c>
      <c r="F687" s="723"/>
      <c r="G687" s="567"/>
      <c r="H687" s="165" t="s">
        <v>12</v>
      </c>
      <c r="I687" s="583"/>
      <c r="J687" s="583"/>
      <c r="K687" s="93"/>
      <c r="L687" s="93">
        <f t="shared" ca="1" si="284"/>
        <v>164670</v>
      </c>
      <c r="M687" s="93">
        <f t="shared" si="284"/>
        <v>0</v>
      </c>
      <c r="N687" s="93">
        <f t="shared" si="284"/>
        <v>0</v>
      </c>
      <c r="O687" s="93">
        <f t="shared" ca="1" si="282"/>
        <v>0</v>
      </c>
      <c r="P687" s="93">
        <f t="shared" si="283"/>
        <v>0</v>
      </c>
      <c r="Q687" s="568"/>
      <c r="R687" s="568"/>
      <c r="S687" s="568"/>
      <c r="T687" s="568"/>
      <c r="U687" s="568"/>
      <c r="V687" s="568"/>
      <c r="W687" s="568"/>
      <c r="X687" s="568"/>
      <c r="Y687" s="568"/>
      <c r="Z687" s="568"/>
    </row>
    <row r="688" spans="1:26" ht="18.75">
      <c r="A688" s="561"/>
      <c r="B688" s="538"/>
      <c r="C688" s="727"/>
      <c r="D688" s="570" t="s">
        <v>20</v>
      </c>
      <c r="E688" s="727"/>
      <c r="F688" s="727"/>
      <c r="G688" s="189"/>
      <c r="H688" s="161" t="s">
        <v>12</v>
      </c>
      <c r="I688" s="184"/>
      <c r="J688" s="184"/>
      <c r="K688" s="163"/>
      <c r="L688" s="465">
        <f t="shared" ref="L688:N688" ca="1" si="285">L689+L690</f>
        <v>164670</v>
      </c>
      <c r="M688" s="465">
        <f t="shared" si="285"/>
        <v>0</v>
      </c>
      <c r="N688" s="465">
        <f t="shared" si="285"/>
        <v>0</v>
      </c>
      <c r="O688" s="465">
        <f t="shared" ca="1" si="282"/>
        <v>0</v>
      </c>
      <c r="P688" s="465">
        <f t="shared" si="283"/>
        <v>0</v>
      </c>
      <c r="Q688" s="541"/>
      <c r="R688" s="541"/>
      <c r="S688" s="541"/>
      <c r="T688" s="541"/>
      <c r="U688" s="541"/>
      <c r="V688" s="541"/>
      <c r="W688" s="541"/>
      <c r="X688" s="541"/>
      <c r="Y688" s="541"/>
      <c r="Z688" s="541"/>
    </row>
    <row r="689" spans="1:26" ht="18.75" hidden="1">
      <c r="A689" s="563"/>
      <c r="B689" s="571"/>
      <c r="C689" s="723"/>
      <c r="D689" s="684"/>
      <c r="E689" s="723" t="s">
        <v>184</v>
      </c>
      <c r="F689" s="723"/>
      <c r="G689" s="567"/>
      <c r="H689" s="165" t="s">
        <v>12</v>
      </c>
      <c r="I689" s="583"/>
      <c r="J689" s="583"/>
      <c r="K689" s="93"/>
      <c r="L689" s="93">
        <v>0</v>
      </c>
      <c r="M689" s="93">
        <v>0</v>
      </c>
      <c r="N689" s="93">
        <v>0</v>
      </c>
      <c r="O689" s="93"/>
      <c r="P689" s="93"/>
      <c r="Q689" s="568"/>
      <c r="R689" s="568"/>
      <c r="S689" s="568"/>
      <c r="T689" s="568"/>
      <c r="U689" s="568"/>
      <c r="V689" s="568"/>
      <c r="W689" s="568"/>
      <c r="X689" s="568"/>
      <c r="Y689" s="568"/>
      <c r="Z689" s="568"/>
    </row>
    <row r="690" spans="1:26" ht="18.75" hidden="1">
      <c r="A690" s="563"/>
      <c r="B690" s="571"/>
      <c r="C690" s="723"/>
      <c r="D690" s="684"/>
      <c r="E690" s="723" t="s">
        <v>185</v>
      </c>
      <c r="F690" s="723"/>
      <c r="G690" s="567"/>
      <c r="H690" s="165" t="s">
        <v>12</v>
      </c>
      <c r="I690" s="583"/>
      <c r="J690" s="583"/>
      <c r="K690" s="93"/>
      <c r="L690" s="93">
        <f ca="1">IFERROR(__xludf.DUMMYFUNCTION("IMPORTRANGE(""https://docs.google.com/spreadsheets/d/1QqKyyYR6Q21VydFLVH3TRQUabQu_ym0Zz7PgGX0-kHA/edit?usp=sharing"",""แผน!HW18"")"),164670)</f>
        <v>164670</v>
      </c>
      <c r="M690" s="93">
        <v>0</v>
      </c>
      <c r="N690" s="93">
        <f>N691+N692+N693+N694</f>
        <v>0</v>
      </c>
      <c r="O690" s="93">
        <f ca="1">IF(L690&gt;0,N690*100/L690,0)</f>
        <v>0</v>
      </c>
      <c r="P690" s="93">
        <f>IF(M690&gt;0,N690*100/M690,0)</f>
        <v>0</v>
      </c>
      <c r="Q690" s="568"/>
      <c r="R690" s="568"/>
      <c r="S690" s="568"/>
      <c r="T690" s="568"/>
      <c r="U690" s="568"/>
      <c r="V690" s="568"/>
      <c r="W690" s="568"/>
      <c r="X690" s="568"/>
      <c r="Y690" s="568"/>
      <c r="Z690" s="568"/>
    </row>
    <row r="691" spans="1:26" ht="18.75">
      <c r="A691" s="537"/>
      <c r="B691" s="538"/>
      <c r="C691" s="727"/>
      <c r="D691" s="727"/>
      <c r="E691" s="727"/>
      <c r="F691" s="727" t="s">
        <v>186</v>
      </c>
      <c r="G691" s="189"/>
      <c r="H691" s="161" t="s">
        <v>12</v>
      </c>
      <c r="I691" s="269"/>
      <c r="J691" s="269"/>
      <c r="K691" s="465"/>
      <c r="L691" s="465"/>
      <c r="M691" s="465"/>
      <c r="N691" s="789">
        <v>0</v>
      </c>
      <c r="O691" s="465"/>
      <c r="P691" s="465"/>
      <c r="Q691" s="541"/>
      <c r="R691" s="541"/>
      <c r="S691" s="541"/>
      <c r="T691" s="541"/>
      <c r="U691" s="541"/>
      <c r="V691" s="541"/>
      <c r="W691" s="541"/>
      <c r="X691" s="541"/>
      <c r="Y691" s="541"/>
      <c r="Z691" s="541"/>
    </row>
    <row r="692" spans="1:26" ht="18.75">
      <c r="A692" s="537"/>
      <c r="B692" s="538"/>
      <c r="C692" s="727"/>
      <c r="D692" s="727"/>
      <c r="E692" s="727"/>
      <c r="F692" s="727" t="s">
        <v>187</v>
      </c>
      <c r="G692" s="189"/>
      <c r="H692" s="161" t="s">
        <v>12</v>
      </c>
      <c r="I692" s="269"/>
      <c r="J692" s="269"/>
      <c r="K692" s="465"/>
      <c r="L692" s="465"/>
      <c r="M692" s="465"/>
      <c r="N692" s="789">
        <v>0</v>
      </c>
      <c r="O692" s="465"/>
      <c r="P692" s="465"/>
      <c r="Q692" s="541"/>
      <c r="R692" s="541"/>
      <c r="S692" s="541"/>
      <c r="T692" s="541"/>
      <c r="U692" s="541"/>
      <c r="V692" s="541"/>
      <c r="W692" s="541"/>
      <c r="X692" s="541"/>
      <c r="Y692" s="541"/>
      <c r="Z692" s="541"/>
    </row>
    <row r="693" spans="1:26" ht="18.75">
      <c r="A693" s="537"/>
      <c r="B693" s="538"/>
      <c r="C693" s="727"/>
      <c r="D693" s="727"/>
      <c r="E693" s="727"/>
      <c r="F693" s="727" t="s">
        <v>188</v>
      </c>
      <c r="G693" s="189"/>
      <c r="H693" s="161" t="s">
        <v>12</v>
      </c>
      <c r="I693" s="269"/>
      <c r="J693" s="269"/>
      <c r="K693" s="465"/>
      <c r="L693" s="465"/>
      <c r="M693" s="465"/>
      <c r="N693" s="789">
        <v>0</v>
      </c>
      <c r="O693" s="465"/>
      <c r="P693" s="465"/>
      <c r="Q693" s="541"/>
      <c r="R693" s="541"/>
      <c r="S693" s="541"/>
      <c r="T693" s="541"/>
      <c r="U693" s="541"/>
      <c r="V693" s="541"/>
      <c r="W693" s="541"/>
      <c r="X693" s="541"/>
      <c r="Y693" s="541"/>
      <c r="Z693" s="541"/>
    </row>
    <row r="694" spans="1:26" ht="18.75">
      <c r="A694" s="537"/>
      <c r="B694" s="538"/>
      <c r="C694" s="727"/>
      <c r="D694" s="727"/>
      <c r="E694" s="727"/>
      <c r="F694" s="727" t="s">
        <v>189</v>
      </c>
      <c r="G694" s="189"/>
      <c r="H694" s="161" t="s">
        <v>12</v>
      </c>
      <c r="I694" s="269"/>
      <c r="J694" s="269"/>
      <c r="K694" s="465"/>
      <c r="L694" s="465"/>
      <c r="M694" s="465"/>
      <c r="N694" s="789">
        <v>0</v>
      </c>
      <c r="O694" s="465"/>
      <c r="P694" s="465"/>
      <c r="Q694" s="541"/>
      <c r="R694" s="541"/>
      <c r="S694" s="541"/>
      <c r="T694" s="541"/>
      <c r="U694" s="541"/>
      <c r="V694" s="541"/>
      <c r="W694" s="541"/>
      <c r="X694" s="541"/>
      <c r="Y694" s="541"/>
      <c r="Z694" s="541"/>
    </row>
    <row r="695" spans="1:26" ht="18.75">
      <c r="A695" s="561"/>
      <c r="B695" s="538"/>
      <c r="C695" s="727"/>
      <c r="D695" s="570" t="s">
        <v>21</v>
      </c>
      <c r="E695" s="727"/>
      <c r="F695" s="727"/>
      <c r="G695" s="189"/>
      <c r="H695" s="168" t="s">
        <v>12</v>
      </c>
      <c r="I695" s="184"/>
      <c r="J695" s="184"/>
      <c r="K695" s="163"/>
      <c r="L695" s="465">
        <f t="shared" ref="L695:N695" si="286">L696+L697</f>
        <v>0</v>
      </c>
      <c r="M695" s="465">
        <f t="shared" si="286"/>
        <v>0</v>
      </c>
      <c r="N695" s="465">
        <f t="shared" si="286"/>
        <v>0</v>
      </c>
      <c r="O695" s="465">
        <f t="shared" ref="O695:O697" si="287">IF(L695&gt;0,N695*100/L695,0)</f>
        <v>0</v>
      </c>
      <c r="P695" s="465">
        <f t="shared" ref="P695:P697" si="288">IF(M695&gt;0,N695*100/M695,0)</f>
        <v>0</v>
      </c>
      <c r="Q695" s="541"/>
      <c r="R695" s="541"/>
      <c r="S695" s="541"/>
      <c r="T695" s="541"/>
      <c r="U695" s="541"/>
      <c r="V695" s="541"/>
      <c r="W695" s="541"/>
      <c r="X695" s="541"/>
      <c r="Y695" s="541"/>
      <c r="Z695" s="541"/>
    </row>
    <row r="696" spans="1:26" ht="18.75" hidden="1">
      <c r="A696" s="563"/>
      <c r="B696" s="571"/>
      <c r="C696" s="723"/>
      <c r="D696" s="723"/>
      <c r="E696" s="723" t="s">
        <v>18</v>
      </c>
      <c r="F696" s="723"/>
      <c r="G696" s="567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7"/>
        <v>0</v>
      </c>
      <c r="P696" s="93">
        <f t="shared" si="288"/>
        <v>0</v>
      </c>
      <c r="Q696" s="568"/>
      <c r="R696" s="568"/>
      <c r="S696" s="568"/>
      <c r="T696" s="568"/>
      <c r="U696" s="568"/>
      <c r="V696" s="568"/>
      <c r="W696" s="568"/>
      <c r="X696" s="568"/>
      <c r="Y696" s="568"/>
      <c r="Z696" s="568"/>
    </row>
    <row r="697" spans="1:26" ht="18.75" hidden="1">
      <c r="A697" s="563"/>
      <c r="B697" s="571"/>
      <c r="C697" s="723"/>
      <c r="D697" s="723"/>
      <c r="E697" s="723" t="s">
        <v>19</v>
      </c>
      <c r="F697" s="723"/>
      <c r="G697" s="567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7"/>
        <v>0</v>
      </c>
      <c r="P697" s="93">
        <f t="shared" si="288"/>
        <v>0</v>
      </c>
      <c r="Q697" s="568"/>
      <c r="R697" s="568"/>
      <c r="S697" s="568"/>
      <c r="T697" s="568"/>
      <c r="U697" s="568"/>
      <c r="V697" s="568"/>
      <c r="W697" s="568"/>
      <c r="X697" s="568"/>
      <c r="Y697" s="568"/>
      <c r="Z697" s="568"/>
    </row>
    <row r="698" spans="1:26" ht="19.5">
      <c r="A698" s="572"/>
      <c r="B698" s="584"/>
      <c r="C698" s="727" t="s">
        <v>16</v>
      </c>
      <c r="D698" s="855" t="s">
        <v>38</v>
      </c>
      <c r="E698" s="725"/>
      <c r="F698" s="725"/>
      <c r="G698" s="577"/>
      <c r="H698" s="726"/>
      <c r="I698" s="184"/>
      <c r="J698" s="184"/>
      <c r="K698" s="163"/>
      <c r="L698" s="163"/>
      <c r="M698" s="163"/>
      <c r="N698" s="163"/>
      <c r="O698" s="163"/>
      <c r="P698" s="163"/>
      <c r="Q698" s="541"/>
      <c r="R698" s="541"/>
      <c r="S698" s="541"/>
      <c r="T698" s="541"/>
      <c r="U698" s="541"/>
      <c r="V698" s="541"/>
      <c r="W698" s="541"/>
      <c r="X698" s="541"/>
      <c r="Y698" s="541"/>
      <c r="Z698" s="541"/>
    </row>
    <row r="699" spans="1:26" ht="18.75">
      <c r="A699" s="708"/>
      <c r="B699" s="727"/>
      <c r="C699" s="727"/>
      <c r="D699" s="727" t="s">
        <v>294</v>
      </c>
      <c r="E699" s="727"/>
      <c r="F699" s="727"/>
      <c r="G699" s="189"/>
      <c r="H699" s="728" t="s">
        <v>46</v>
      </c>
      <c r="I699" s="729">
        <f ca="1">IFERROR(__xludf.DUMMYFUNCTION("IMPORTRANGE(""https://docs.google.com/spreadsheets/d/1QqKyyYR6Q21VydFLVH3TRQUabQu_ym0Zz7PgGX0-kHA/edit?usp=sharing"",""แผน!IC18"")"),0)</f>
        <v>0</v>
      </c>
      <c r="J699" s="269">
        <f ca="1">IFERROR(__xludf.DUMMYFUNCTION("IMPORTRANGE(""https://docs.google.com/spreadsheets/d/1XWAQStnk-4SwqDmLtmXYiTMKHgktTP8We1SCoS47DrQ/edit?usp=sharing"",""จัดที่ดิน!BB18"")"),0)</f>
        <v>0</v>
      </c>
      <c r="K699" s="465">
        <f t="shared" ref="K699:K701" ca="1" si="289">IF(I699&gt;0,J699*100/I699,0)</f>
        <v>0</v>
      </c>
      <c r="L699" s="465"/>
      <c r="M699" s="189"/>
      <c r="N699" s="730"/>
      <c r="O699" s="465"/>
      <c r="P699" s="465"/>
      <c r="Q699" s="541"/>
      <c r="R699" s="541"/>
      <c r="S699" s="541"/>
      <c r="T699" s="541"/>
      <c r="U699" s="541"/>
      <c r="V699" s="541"/>
      <c r="W699" s="541"/>
      <c r="X699" s="541"/>
      <c r="Y699" s="541"/>
      <c r="Z699" s="541"/>
    </row>
    <row r="700" spans="1:26" ht="18.75">
      <c r="A700" s="708"/>
      <c r="B700" s="727"/>
      <c r="C700" s="727"/>
      <c r="D700" s="727" t="s">
        <v>295</v>
      </c>
      <c r="E700" s="727"/>
      <c r="F700" s="727"/>
      <c r="G700" s="189"/>
      <c r="H700" s="728" t="s">
        <v>35</v>
      </c>
      <c r="I700" s="729">
        <f ca="1">IFERROR(__xludf.DUMMYFUNCTION("IMPORTRANGE(""https://docs.google.com/spreadsheets/d/1QqKyyYR6Q21VydFLVH3TRQUabQu_ym0Zz7PgGX0-kHA/edit?usp=sharing"",""แผน!ID18"")"),40)</f>
        <v>40</v>
      </c>
      <c r="J700" s="269">
        <f ca="1">IFERROR(__xludf.DUMMYFUNCTION("IMPORTRANGE(""https://docs.google.com/spreadsheets/d/1XWAQStnk-4SwqDmLtmXYiTMKHgktTP8We1SCoS47DrQ/edit?usp=sharing"",""จัดที่ดิน!BD18"")"),0)</f>
        <v>0</v>
      </c>
      <c r="K700" s="465">
        <f t="shared" ca="1" si="289"/>
        <v>0</v>
      </c>
      <c r="L700" s="465"/>
      <c r="M700" s="189"/>
      <c r="N700" s="730"/>
      <c r="O700" s="465"/>
      <c r="P700" s="465"/>
      <c r="Q700" s="541"/>
      <c r="R700" s="541"/>
      <c r="S700" s="541"/>
      <c r="T700" s="541"/>
      <c r="U700" s="541"/>
      <c r="V700" s="541"/>
      <c r="W700" s="541"/>
      <c r="X700" s="541"/>
      <c r="Y700" s="541"/>
      <c r="Z700" s="541"/>
    </row>
    <row r="701" spans="1:26" ht="19.5">
      <c r="A701" s="708"/>
      <c r="B701" s="727"/>
      <c r="C701" s="727"/>
      <c r="D701" s="727" t="s">
        <v>296</v>
      </c>
      <c r="E701" s="727"/>
      <c r="F701" s="727"/>
      <c r="G701" s="189"/>
      <c r="H701" s="731" t="s">
        <v>46</v>
      </c>
      <c r="I701" s="732">
        <f ca="1">IFERROR(__xludf.DUMMYFUNCTION("IMPORTRANGE(""https://docs.google.com/spreadsheets/d/1QqKyyYR6Q21VydFLVH3TRQUabQu_ym0Zz7PgGX0-kHA/edit?usp=sharing"",""แผน!IE18"")"),1455)</f>
        <v>1455</v>
      </c>
      <c r="J701" s="647">
        <f>J704+J707</f>
        <v>0</v>
      </c>
      <c r="K701" s="195">
        <f t="shared" ca="1" si="289"/>
        <v>0</v>
      </c>
      <c r="L701" s="465"/>
      <c r="M701" s="189"/>
      <c r="N701" s="730"/>
      <c r="O701" s="465"/>
      <c r="P701" s="465"/>
      <c r="Q701" s="541"/>
      <c r="R701" s="541"/>
      <c r="S701" s="541"/>
      <c r="T701" s="541"/>
      <c r="U701" s="541"/>
      <c r="V701" s="541"/>
      <c r="W701" s="541"/>
      <c r="X701" s="541"/>
      <c r="Y701" s="541"/>
      <c r="Z701" s="541"/>
    </row>
    <row r="702" spans="1:26" ht="18.75">
      <c r="A702" s="708"/>
      <c r="B702" s="727"/>
      <c r="C702" s="727"/>
      <c r="D702" s="727"/>
      <c r="E702" s="727" t="s">
        <v>297</v>
      </c>
      <c r="F702" s="727"/>
      <c r="G702" s="189"/>
      <c r="H702" s="728" t="s">
        <v>35</v>
      </c>
      <c r="I702" s="729"/>
      <c r="J702" s="214">
        <v>0</v>
      </c>
      <c r="K702" s="465"/>
      <c r="L702" s="465"/>
      <c r="M702" s="189"/>
      <c r="N702" s="730"/>
      <c r="O702" s="465"/>
      <c r="P702" s="465"/>
      <c r="Q702" s="541"/>
      <c r="R702" s="541"/>
      <c r="S702" s="541"/>
      <c r="T702" s="541"/>
      <c r="U702" s="541"/>
      <c r="V702" s="541"/>
      <c r="W702" s="541"/>
      <c r="X702" s="541"/>
      <c r="Y702" s="541"/>
      <c r="Z702" s="541"/>
    </row>
    <row r="703" spans="1:26" ht="18.75">
      <c r="A703" s="708"/>
      <c r="B703" s="727"/>
      <c r="C703" s="727"/>
      <c r="D703" s="727"/>
      <c r="E703" s="727"/>
      <c r="F703" s="727"/>
      <c r="G703" s="189"/>
      <c r="H703" s="728" t="s">
        <v>34</v>
      </c>
      <c r="I703" s="729"/>
      <c r="J703" s="214">
        <v>0</v>
      </c>
      <c r="K703" s="465"/>
      <c r="L703" s="465"/>
      <c r="M703" s="189"/>
      <c r="N703" s="730"/>
      <c r="O703" s="465"/>
      <c r="P703" s="465"/>
      <c r="Q703" s="541"/>
      <c r="R703" s="541"/>
      <c r="S703" s="541"/>
      <c r="T703" s="541"/>
      <c r="U703" s="541"/>
      <c r="V703" s="541"/>
      <c r="W703" s="541"/>
      <c r="X703" s="541"/>
      <c r="Y703" s="541"/>
      <c r="Z703" s="541"/>
    </row>
    <row r="704" spans="1:26" ht="18.75">
      <c r="A704" s="708"/>
      <c r="B704" s="727"/>
      <c r="C704" s="727"/>
      <c r="D704" s="727"/>
      <c r="E704" s="727"/>
      <c r="F704" s="727"/>
      <c r="G704" s="189"/>
      <c r="H704" s="728" t="s">
        <v>46</v>
      </c>
      <c r="I704" s="729">
        <f ca="1">IFERROR(__xludf.DUMMYFUNCTION("IMPORTRANGE(""https://docs.google.com/spreadsheets/d/1QqKyyYR6Q21VydFLVH3TRQUabQu_ym0Zz7PgGX0-kHA/edit?usp=sharing"",""แผน!IF18"")"),1455)</f>
        <v>1455</v>
      </c>
      <c r="J704" s="214">
        <v>0</v>
      </c>
      <c r="K704" s="465"/>
      <c r="L704" s="465"/>
      <c r="M704" s="189"/>
      <c r="N704" s="730"/>
      <c r="O704" s="465"/>
      <c r="P704" s="465"/>
      <c r="Q704" s="541"/>
      <c r="R704" s="541"/>
      <c r="S704" s="541"/>
      <c r="T704" s="541"/>
      <c r="U704" s="541"/>
      <c r="V704" s="541"/>
      <c r="W704" s="541"/>
      <c r="X704" s="541"/>
      <c r="Y704" s="541"/>
      <c r="Z704" s="541"/>
    </row>
    <row r="705" spans="1:26" ht="18.75">
      <c r="A705" s="708"/>
      <c r="B705" s="727"/>
      <c r="C705" s="727"/>
      <c r="D705" s="727"/>
      <c r="E705" s="727" t="s">
        <v>298</v>
      </c>
      <c r="F705" s="727"/>
      <c r="G705" s="189"/>
      <c r="H705" s="728" t="s">
        <v>35</v>
      </c>
      <c r="I705" s="729"/>
      <c r="J705" s="214">
        <v>0</v>
      </c>
      <c r="K705" s="465"/>
      <c r="L705" s="465"/>
      <c r="M705" s="189"/>
      <c r="N705" s="730"/>
      <c r="O705" s="465"/>
      <c r="P705" s="465"/>
      <c r="Q705" s="541"/>
      <c r="R705" s="541"/>
      <c r="S705" s="541"/>
      <c r="T705" s="541"/>
      <c r="U705" s="541"/>
      <c r="V705" s="541"/>
      <c r="W705" s="541"/>
      <c r="X705" s="541"/>
      <c r="Y705" s="541"/>
      <c r="Z705" s="541"/>
    </row>
    <row r="706" spans="1:26" ht="18.75">
      <c r="A706" s="708"/>
      <c r="B706" s="727"/>
      <c r="C706" s="727"/>
      <c r="D706" s="727"/>
      <c r="E706" s="727"/>
      <c r="F706" s="727"/>
      <c r="G706" s="189"/>
      <c r="H706" s="728" t="s">
        <v>34</v>
      </c>
      <c r="I706" s="729"/>
      <c r="J706" s="214">
        <v>0</v>
      </c>
      <c r="K706" s="465"/>
      <c r="L706" s="465"/>
      <c r="M706" s="189"/>
      <c r="N706" s="730"/>
      <c r="O706" s="465"/>
      <c r="P706" s="465"/>
      <c r="Q706" s="541"/>
      <c r="R706" s="541"/>
      <c r="S706" s="541"/>
      <c r="T706" s="541"/>
      <c r="U706" s="541"/>
      <c r="V706" s="541"/>
      <c r="W706" s="541"/>
      <c r="X706" s="541"/>
      <c r="Y706" s="541"/>
      <c r="Z706" s="541"/>
    </row>
    <row r="707" spans="1:26" ht="18.75">
      <c r="A707" s="708"/>
      <c r="B707" s="727"/>
      <c r="C707" s="727"/>
      <c r="D707" s="727"/>
      <c r="E707" s="727"/>
      <c r="F707" s="727"/>
      <c r="G707" s="189"/>
      <c r="H707" s="728" t="s">
        <v>46</v>
      </c>
      <c r="I707" s="729">
        <f ca="1">IFERROR(__xludf.DUMMYFUNCTION("IMPORTRANGE(""https://docs.google.com/spreadsheets/d/1QqKyyYR6Q21VydFLVH3TRQUabQu_ym0Zz7PgGX0-kHA/edit?usp=sharing"",""แผน!IG18"")"),0)</f>
        <v>0</v>
      </c>
      <c r="J707" s="214">
        <v>0</v>
      </c>
      <c r="K707" s="465"/>
      <c r="L707" s="465"/>
      <c r="M707" s="189"/>
      <c r="N707" s="730"/>
      <c r="O707" s="465"/>
      <c r="P707" s="465"/>
      <c r="Q707" s="541"/>
      <c r="R707" s="541"/>
      <c r="S707" s="541"/>
      <c r="T707" s="541"/>
      <c r="U707" s="541"/>
      <c r="V707" s="541"/>
      <c r="W707" s="541"/>
      <c r="X707" s="541"/>
      <c r="Y707" s="541"/>
      <c r="Z707" s="541"/>
    </row>
    <row r="708" spans="1:26" ht="19.5">
      <c r="A708" s="708"/>
      <c r="B708" s="727"/>
      <c r="C708" s="727"/>
      <c r="D708" s="733" t="s">
        <v>299</v>
      </c>
      <c r="E708" s="727"/>
      <c r="F708" s="727"/>
      <c r="G708" s="189"/>
      <c r="H708" s="731" t="s">
        <v>46</v>
      </c>
      <c r="I708" s="732">
        <f ca="1">IFERROR(__xludf.DUMMYFUNCTION("IMPORTRANGE(""https://docs.google.com/spreadsheets/d/1QqKyyYR6Q21VydFLVH3TRQUabQu_ym0Zz7PgGX0-kHA/edit?usp=sharing"",""แผน!IH18"")"),1846)</f>
        <v>1846</v>
      </c>
      <c r="J708" s="647">
        <f>J714+J717</f>
        <v>0</v>
      </c>
      <c r="K708" s="195">
        <f ca="1">IF(I708&gt;0,J708*100/I708,0)</f>
        <v>0</v>
      </c>
      <c r="L708" s="465"/>
      <c r="M708" s="189"/>
      <c r="N708" s="730"/>
      <c r="O708" s="465"/>
      <c r="P708" s="465"/>
      <c r="Q708" s="541"/>
      <c r="R708" s="541"/>
      <c r="S708" s="541"/>
      <c r="T708" s="541"/>
      <c r="U708" s="541"/>
      <c r="V708" s="541"/>
      <c r="W708" s="541"/>
      <c r="X708" s="541"/>
      <c r="Y708" s="541"/>
      <c r="Z708" s="541"/>
    </row>
    <row r="709" spans="1:26" ht="18.75">
      <c r="A709" s="708"/>
      <c r="B709" s="727"/>
      <c r="C709" s="727"/>
      <c r="D709" s="727"/>
      <c r="E709" s="727" t="s">
        <v>300</v>
      </c>
      <c r="F709" s="727"/>
      <c r="G709" s="189"/>
      <c r="H709" s="728" t="s">
        <v>34</v>
      </c>
      <c r="I709" s="729"/>
      <c r="J709" s="214">
        <v>0</v>
      </c>
      <c r="K709" s="465"/>
      <c r="L709" s="730"/>
      <c r="M709" s="189"/>
      <c r="N709" s="730"/>
      <c r="O709" s="465"/>
      <c r="P709" s="465"/>
      <c r="Q709" s="541"/>
      <c r="R709" s="541"/>
      <c r="S709" s="541"/>
      <c r="T709" s="541"/>
      <c r="U709" s="541"/>
      <c r="V709" s="541"/>
      <c r="W709" s="541"/>
      <c r="X709" s="541"/>
      <c r="Y709" s="541"/>
      <c r="Z709" s="541"/>
    </row>
    <row r="710" spans="1:26" ht="18.75">
      <c r="A710" s="708"/>
      <c r="B710" s="727"/>
      <c r="C710" s="727"/>
      <c r="D710" s="727"/>
      <c r="E710" s="727"/>
      <c r="F710" s="727"/>
      <c r="G710" s="189"/>
      <c r="H710" s="728" t="s">
        <v>46</v>
      </c>
      <c r="I710" s="729"/>
      <c r="J710" s="214">
        <v>0</v>
      </c>
      <c r="K710" s="465"/>
      <c r="L710" s="730"/>
      <c r="M710" s="189"/>
      <c r="N710" s="730"/>
      <c r="O710" s="465"/>
      <c r="P710" s="465"/>
      <c r="Q710" s="541"/>
      <c r="R710" s="541"/>
      <c r="S710" s="541"/>
      <c r="T710" s="541"/>
      <c r="U710" s="541"/>
      <c r="V710" s="541"/>
      <c r="W710" s="541"/>
      <c r="X710" s="541"/>
      <c r="Y710" s="541"/>
      <c r="Z710" s="541"/>
    </row>
    <row r="711" spans="1:26" ht="18.75">
      <c r="A711" s="708"/>
      <c r="B711" s="727"/>
      <c r="C711" s="727"/>
      <c r="D711" s="727"/>
      <c r="E711" s="727" t="s">
        <v>301</v>
      </c>
      <c r="F711" s="727"/>
      <c r="G711" s="189"/>
      <c r="H711" s="726"/>
      <c r="I711" s="729"/>
      <c r="J711" s="269"/>
      <c r="K711" s="465"/>
      <c r="L711" s="730"/>
      <c r="M711" s="189"/>
      <c r="N711" s="730"/>
      <c r="O711" s="465"/>
      <c r="P711" s="465"/>
      <c r="Q711" s="541"/>
      <c r="R711" s="541"/>
      <c r="S711" s="541"/>
      <c r="T711" s="541"/>
      <c r="U711" s="541"/>
      <c r="V711" s="541"/>
      <c r="W711" s="541"/>
      <c r="X711" s="541"/>
      <c r="Y711" s="541"/>
      <c r="Z711" s="541"/>
    </row>
    <row r="712" spans="1:26" ht="18.75">
      <c r="A712" s="708"/>
      <c r="B712" s="727"/>
      <c r="C712" s="727"/>
      <c r="D712" s="727"/>
      <c r="E712" s="727"/>
      <c r="F712" s="727" t="s">
        <v>302</v>
      </c>
      <c r="G712" s="189"/>
      <c r="H712" s="728" t="s">
        <v>35</v>
      </c>
      <c r="I712" s="729"/>
      <c r="J712" s="214">
        <v>0</v>
      </c>
      <c r="K712" s="465"/>
      <c r="L712" s="730"/>
      <c r="M712" s="189"/>
      <c r="N712" s="730"/>
      <c r="O712" s="465"/>
      <c r="P712" s="465"/>
      <c r="Q712" s="541"/>
      <c r="R712" s="541"/>
      <c r="S712" s="541"/>
      <c r="T712" s="541"/>
      <c r="U712" s="541"/>
      <c r="V712" s="541"/>
      <c r="W712" s="541"/>
      <c r="X712" s="541"/>
      <c r="Y712" s="541"/>
      <c r="Z712" s="541"/>
    </row>
    <row r="713" spans="1:26" ht="18.75">
      <c r="A713" s="708"/>
      <c r="B713" s="727"/>
      <c r="C713" s="727"/>
      <c r="D713" s="727"/>
      <c r="E713" s="727"/>
      <c r="F713" s="727"/>
      <c r="G713" s="189"/>
      <c r="H713" s="728" t="s">
        <v>34</v>
      </c>
      <c r="I713" s="729"/>
      <c r="J713" s="214">
        <v>0</v>
      </c>
      <c r="K713" s="465"/>
      <c r="L713" s="730"/>
      <c r="M713" s="189"/>
      <c r="N713" s="730"/>
      <c r="O713" s="465"/>
      <c r="P713" s="465"/>
      <c r="Q713" s="541"/>
      <c r="R713" s="541"/>
      <c r="S713" s="541"/>
      <c r="T713" s="541"/>
      <c r="U713" s="541"/>
      <c r="V713" s="541"/>
      <c r="W713" s="541"/>
      <c r="X713" s="541"/>
      <c r="Y713" s="541"/>
      <c r="Z713" s="541"/>
    </row>
    <row r="714" spans="1:26" ht="18.75">
      <c r="A714" s="708"/>
      <c r="B714" s="727"/>
      <c r="C714" s="727"/>
      <c r="D714" s="727"/>
      <c r="E714" s="727"/>
      <c r="F714" s="727"/>
      <c r="G714" s="189"/>
      <c r="H714" s="728" t="s">
        <v>46</v>
      </c>
      <c r="I714" s="729"/>
      <c r="J714" s="214">
        <v>0</v>
      </c>
      <c r="K714" s="465"/>
      <c r="L714" s="730"/>
      <c r="M714" s="189"/>
      <c r="N714" s="730"/>
      <c r="O714" s="465"/>
      <c r="P714" s="465"/>
      <c r="Q714" s="541"/>
      <c r="R714" s="541"/>
      <c r="S714" s="541"/>
      <c r="T714" s="541"/>
      <c r="U714" s="541"/>
      <c r="V714" s="541"/>
      <c r="W714" s="541"/>
      <c r="X714" s="541"/>
      <c r="Y714" s="541"/>
      <c r="Z714" s="541"/>
    </row>
    <row r="715" spans="1:26" ht="18.75">
      <c r="A715" s="708"/>
      <c r="B715" s="727"/>
      <c r="C715" s="727"/>
      <c r="D715" s="727"/>
      <c r="E715" s="727"/>
      <c r="F715" s="727" t="s">
        <v>303</v>
      </c>
      <c r="G715" s="189"/>
      <c r="H715" s="728" t="s">
        <v>35</v>
      </c>
      <c r="I715" s="729"/>
      <c r="J715" s="214">
        <v>0</v>
      </c>
      <c r="K715" s="465"/>
      <c r="L715" s="730"/>
      <c r="M715" s="189"/>
      <c r="N715" s="730"/>
      <c r="O715" s="465"/>
      <c r="P715" s="465"/>
      <c r="Q715" s="541"/>
      <c r="R715" s="541"/>
      <c r="S715" s="541"/>
      <c r="T715" s="541"/>
      <c r="U715" s="541"/>
      <c r="V715" s="541"/>
      <c r="W715" s="541"/>
      <c r="X715" s="541"/>
      <c r="Y715" s="541"/>
      <c r="Z715" s="541"/>
    </row>
    <row r="716" spans="1:26" ht="18.75">
      <c r="A716" s="708"/>
      <c r="B716" s="727"/>
      <c r="C716" s="727"/>
      <c r="D716" s="727"/>
      <c r="E716" s="727"/>
      <c r="F716" s="727"/>
      <c r="G716" s="189"/>
      <c r="H716" s="728" t="s">
        <v>34</v>
      </c>
      <c r="I716" s="729"/>
      <c r="J716" s="214">
        <v>0</v>
      </c>
      <c r="K716" s="465"/>
      <c r="L716" s="730"/>
      <c r="M716" s="189"/>
      <c r="N716" s="730"/>
      <c r="O716" s="465"/>
      <c r="P716" s="465"/>
      <c r="Q716" s="541"/>
      <c r="R716" s="541"/>
      <c r="S716" s="541"/>
      <c r="T716" s="541"/>
      <c r="U716" s="541"/>
      <c r="V716" s="541"/>
      <c r="W716" s="541"/>
      <c r="X716" s="541"/>
      <c r="Y716" s="541"/>
      <c r="Z716" s="541"/>
    </row>
    <row r="717" spans="1:26" ht="18.75">
      <c r="A717" s="708"/>
      <c r="B717" s="727"/>
      <c r="C717" s="727"/>
      <c r="D717" s="727"/>
      <c r="E717" s="727"/>
      <c r="F717" s="727"/>
      <c r="G717" s="189"/>
      <c r="H717" s="728" t="s">
        <v>46</v>
      </c>
      <c r="I717" s="729"/>
      <c r="J717" s="214">
        <v>0</v>
      </c>
      <c r="K717" s="465"/>
      <c r="L717" s="730"/>
      <c r="M717" s="189"/>
      <c r="N717" s="730"/>
      <c r="O717" s="465"/>
      <c r="P717" s="465"/>
      <c r="Q717" s="541"/>
      <c r="R717" s="541"/>
      <c r="S717" s="541"/>
      <c r="T717" s="541"/>
      <c r="U717" s="541"/>
      <c r="V717" s="541"/>
      <c r="W717" s="541"/>
      <c r="X717" s="541"/>
      <c r="Y717" s="541"/>
      <c r="Z717" s="541"/>
    </row>
    <row r="718" spans="1:26" ht="18.75">
      <c r="A718" s="708"/>
      <c r="B718" s="727"/>
      <c r="C718" s="727"/>
      <c r="D718" s="727" t="s">
        <v>304</v>
      </c>
      <c r="E718" s="727"/>
      <c r="F718" s="727"/>
      <c r="G718" s="189"/>
      <c r="H718" s="728" t="s">
        <v>35</v>
      </c>
      <c r="I718" s="729"/>
      <c r="J718" s="269">
        <f ca="1">IFERROR(__xludf.DUMMYFUNCTION("IMPORTRANGE(""https://docs.google.com/spreadsheets/d/1XWAQStnk-4SwqDmLtmXYiTMKHgktTP8We1SCoS47DrQ/edit?usp=sharing"",""จัดที่ดิน!BF18"")"),0)</f>
        <v>0</v>
      </c>
      <c r="K718" s="465"/>
      <c r="L718" s="465"/>
      <c r="M718" s="189"/>
      <c r="N718" s="730"/>
      <c r="O718" s="465"/>
      <c r="P718" s="465"/>
      <c r="Q718" s="541"/>
      <c r="R718" s="541"/>
      <c r="S718" s="541"/>
      <c r="T718" s="541"/>
      <c r="U718" s="541"/>
      <c r="V718" s="541"/>
      <c r="W718" s="541"/>
      <c r="X718" s="541"/>
      <c r="Y718" s="541"/>
      <c r="Z718" s="541"/>
    </row>
    <row r="719" spans="1:26" ht="18.75">
      <c r="A719" s="708"/>
      <c r="B719" s="727"/>
      <c r="C719" s="727"/>
      <c r="D719" s="727"/>
      <c r="E719" s="727"/>
      <c r="F719" s="727"/>
      <c r="G719" s="189"/>
      <c r="H719" s="728" t="s">
        <v>34</v>
      </c>
      <c r="I719" s="729"/>
      <c r="J719" s="269">
        <f ca="1">IFERROR(__xludf.DUMMYFUNCTION("IMPORTRANGE(""https://docs.google.com/spreadsheets/d/1XWAQStnk-4SwqDmLtmXYiTMKHgktTP8We1SCoS47DrQ/edit?usp=sharing"",""จัดที่ดิน!BG18"")"),0)</f>
        <v>0</v>
      </c>
      <c r="K719" s="465"/>
      <c r="L719" s="730"/>
      <c r="M719" s="189"/>
      <c r="N719" s="730"/>
      <c r="O719" s="465"/>
      <c r="P719" s="465"/>
      <c r="Q719" s="541"/>
      <c r="R719" s="541"/>
      <c r="S719" s="541"/>
      <c r="T719" s="541"/>
      <c r="U719" s="541"/>
      <c r="V719" s="541"/>
      <c r="W719" s="541"/>
      <c r="X719" s="541"/>
      <c r="Y719" s="541"/>
      <c r="Z719" s="541"/>
    </row>
    <row r="720" spans="1:26" ht="18.75">
      <c r="A720" s="708"/>
      <c r="B720" s="727"/>
      <c r="C720" s="727"/>
      <c r="D720" s="727"/>
      <c r="E720" s="727"/>
      <c r="F720" s="727"/>
      <c r="G720" s="189"/>
      <c r="H720" s="728" t="s">
        <v>46</v>
      </c>
      <c r="I720" s="729">
        <f ca="1">IFERROR(__xludf.DUMMYFUNCTION("IMPORTRANGE(""https://docs.google.com/spreadsheets/d/1QqKyyYR6Q21VydFLVH3TRQUabQu_ym0Zz7PgGX0-kHA/edit?usp=sharing"",""แผน!II18"")"),2585)</f>
        <v>2585</v>
      </c>
      <c r="J720" s="269">
        <f ca="1">IFERROR(__xludf.DUMMYFUNCTION("IMPORTRANGE(""https://docs.google.com/spreadsheets/d/1XWAQStnk-4SwqDmLtmXYiTMKHgktTP8We1SCoS47DrQ/edit?usp=sharing"",""จัดที่ดิน!BH18"")"),0)</f>
        <v>0</v>
      </c>
      <c r="K720" s="465">
        <f t="shared" ref="K720:K723" ca="1" si="290">IF(I720&gt;0,J720*100/I720,0)</f>
        <v>0</v>
      </c>
      <c r="L720" s="730"/>
      <c r="M720" s="189"/>
      <c r="N720" s="730"/>
      <c r="O720" s="465"/>
      <c r="P720" s="465"/>
      <c r="Q720" s="541"/>
      <c r="R720" s="541"/>
      <c r="S720" s="541"/>
      <c r="T720" s="541"/>
      <c r="U720" s="541"/>
      <c r="V720" s="541"/>
      <c r="W720" s="541"/>
      <c r="X720" s="541"/>
      <c r="Y720" s="541"/>
      <c r="Z720" s="541"/>
    </row>
    <row r="721" spans="1:26" ht="19.5">
      <c r="A721" s="708"/>
      <c r="B721" s="727"/>
      <c r="C721" s="727"/>
      <c r="D721" s="727" t="s">
        <v>305</v>
      </c>
      <c r="E721" s="727"/>
      <c r="F721" s="727"/>
      <c r="G721" s="189"/>
      <c r="H721" s="731" t="s">
        <v>35</v>
      </c>
      <c r="I721" s="732">
        <f ca="1">IFERROR(__xludf.DUMMYFUNCTION("IMPORTRANGE(""https://docs.google.com/spreadsheets/d/1QqKyyYR6Q21VydFLVH3TRQUabQu_ym0Zz7PgGX0-kHA/edit?usp=sharing"",""แผน!IJ18"")"),40)</f>
        <v>40</v>
      </c>
      <c r="J721" s="647">
        <f ca="1">J723+J726</f>
        <v>0</v>
      </c>
      <c r="K721" s="195">
        <f t="shared" ca="1" si="290"/>
        <v>0</v>
      </c>
      <c r="L721" s="730"/>
      <c r="M721" s="189"/>
      <c r="N721" s="730"/>
      <c r="O721" s="465"/>
      <c r="P721" s="465"/>
      <c r="Q721" s="541"/>
      <c r="R721" s="541"/>
      <c r="S721" s="541"/>
      <c r="T721" s="541"/>
      <c r="U721" s="541"/>
      <c r="V721" s="541"/>
      <c r="W721" s="541"/>
      <c r="X721" s="541"/>
      <c r="Y721" s="541"/>
      <c r="Z721" s="541"/>
    </row>
    <row r="722" spans="1:26" ht="19.5">
      <c r="A722" s="708"/>
      <c r="B722" s="727"/>
      <c r="C722" s="727"/>
      <c r="D722" s="727"/>
      <c r="E722" s="727"/>
      <c r="F722" s="727"/>
      <c r="G722" s="189"/>
      <c r="H722" s="731" t="s">
        <v>46</v>
      </c>
      <c r="I722" s="732">
        <f ca="1">IFERROR(__xludf.DUMMYFUNCTION("IMPORTRANGE(""https://docs.google.com/spreadsheets/d/1QqKyyYR6Q21VydFLVH3TRQUabQu_ym0Zz7PgGX0-kHA/edit?usp=sharing"",""แผน!IK18"")"),1009)</f>
        <v>1009</v>
      </c>
      <c r="J722" s="647">
        <f ca="1">J725+J728</f>
        <v>0</v>
      </c>
      <c r="K722" s="195">
        <f t="shared" ca="1" si="290"/>
        <v>0</v>
      </c>
      <c r="L722" s="465"/>
      <c r="M722" s="189"/>
      <c r="N722" s="730"/>
      <c r="O722" s="465"/>
      <c r="P722" s="465"/>
      <c r="Q722" s="541"/>
      <c r="R722" s="541"/>
      <c r="S722" s="541"/>
      <c r="T722" s="541"/>
      <c r="U722" s="541"/>
      <c r="V722" s="541"/>
      <c r="W722" s="541"/>
      <c r="X722" s="541"/>
      <c r="Y722" s="541"/>
      <c r="Z722" s="541"/>
    </row>
    <row r="723" spans="1:26" ht="18.75">
      <c r="A723" s="708"/>
      <c r="B723" s="727"/>
      <c r="C723" s="727"/>
      <c r="D723" s="727"/>
      <c r="E723" s="727" t="s">
        <v>306</v>
      </c>
      <c r="F723" s="727"/>
      <c r="G723" s="189"/>
      <c r="H723" s="728" t="s">
        <v>35</v>
      </c>
      <c r="I723" s="729">
        <f ca="1">IFERROR(__xludf.DUMMYFUNCTION("IMPORTRANGE(""https://docs.google.com/spreadsheets/d/1QqKyyYR6Q21VydFLVH3TRQUabQu_ym0Zz7PgGX0-kHA/edit?usp=sharing"",""แผน!IL18"")"),40)</f>
        <v>40</v>
      </c>
      <c r="J723" s="269">
        <f ca="1">IFERROR(__xludf.DUMMYFUNCTION("IMPORTRANGE(""https://docs.google.com/spreadsheets/d/1XWAQStnk-4SwqDmLtmXYiTMKHgktTP8We1SCoS47DrQ/edit?usp=sharing"",""จัดที่ดิน!BM18"")"),0)</f>
        <v>0</v>
      </c>
      <c r="K723" s="465">
        <f t="shared" ca="1" si="290"/>
        <v>0</v>
      </c>
      <c r="L723" s="465"/>
      <c r="M723" s="189"/>
      <c r="N723" s="730"/>
      <c r="O723" s="465"/>
      <c r="P723" s="465"/>
      <c r="Q723" s="541"/>
      <c r="R723" s="541"/>
      <c r="S723" s="541"/>
      <c r="T723" s="541"/>
      <c r="U723" s="541"/>
      <c r="V723" s="541"/>
      <c r="W723" s="541"/>
      <c r="X723" s="541"/>
      <c r="Y723" s="541"/>
      <c r="Z723" s="541"/>
    </row>
    <row r="724" spans="1:26" ht="18.75">
      <c r="A724" s="708"/>
      <c r="B724" s="727"/>
      <c r="C724" s="727"/>
      <c r="D724" s="727"/>
      <c r="E724" s="727"/>
      <c r="F724" s="727"/>
      <c r="G724" s="189"/>
      <c r="H724" s="728" t="s">
        <v>34</v>
      </c>
      <c r="I724" s="729"/>
      <c r="J724" s="269">
        <f ca="1">IFERROR(__xludf.DUMMYFUNCTION("IMPORTRANGE(""https://docs.google.com/spreadsheets/d/1XWAQStnk-4SwqDmLtmXYiTMKHgktTP8We1SCoS47DrQ/edit?usp=sharing"",""จัดที่ดิน!BN18"")"),0)</f>
        <v>0</v>
      </c>
      <c r="K724" s="465"/>
      <c r="L724" s="730"/>
      <c r="M724" s="189"/>
      <c r="N724" s="730"/>
      <c r="O724" s="465"/>
      <c r="P724" s="465"/>
      <c r="Q724" s="541"/>
      <c r="R724" s="541"/>
      <c r="S724" s="541"/>
      <c r="T724" s="541"/>
      <c r="U724" s="541"/>
      <c r="V724" s="541"/>
      <c r="W724" s="541"/>
      <c r="X724" s="541"/>
      <c r="Y724" s="541"/>
      <c r="Z724" s="541"/>
    </row>
    <row r="725" spans="1:26" ht="18.75">
      <c r="A725" s="708"/>
      <c r="B725" s="727"/>
      <c r="C725" s="727"/>
      <c r="D725" s="727"/>
      <c r="E725" s="727"/>
      <c r="F725" s="727"/>
      <c r="G725" s="189"/>
      <c r="H725" s="728" t="s">
        <v>46</v>
      </c>
      <c r="I725" s="729">
        <f ca="1">IFERROR(__xludf.DUMMYFUNCTION("IMPORTRANGE(""https://docs.google.com/spreadsheets/d/1QqKyyYR6Q21VydFLVH3TRQUabQu_ym0Zz7PgGX0-kHA/edit?usp=sharing"",""แผน!IM18"")"),1009)</f>
        <v>1009</v>
      </c>
      <c r="J725" s="269">
        <f ca="1">IFERROR(__xludf.DUMMYFUNCTION("IMPORTRANGE(""https://docs.google.com/spreadsheets/d/1XWAQStnk-4SwqDmLtmXYiTMKHgktTP8We1SCoS47DrQ/edit?usp=sharing"",""จัดที่ดิน!BO18"")"),0)</f>
        <v>0</v>
      </c>
      <c r="K725" s="465">
        <f t="shared" ref="K725:K726" ca="1" si="291">IF(I725&gt;0,J725*100/I725,0)</f>
        <v>0</v>
      </c>
      <c r="L725" s="730"/>
      <c r="M725" s="189"/>
      <c r="N725" s="730"/>
      <c r="O725" s="465"/>
      <c r="P725" s="465"/>
      <c r="Q725" s="541"/>
      <c r="R725" s="541"/>
      <c r="S725" s="541"/>
      <c r="T725" s="541"/>
      <c r="U725" s="541"/>
      <c r="V725" s="541"/>
      <c r="W725" s="541"/>
      <c r="X725" s="541"/>
      <c r="Y725" s="541"/>
      <c r="Z725" s="541"/>
    </row>
    <row r="726" spans="1:26" ht="18.75">
      <c r="A726" s="708"/>
      <c r="B726" s="727"/>
      <c r="C726" s="727"/>
      <c r="D726" s="727"/>
      <c r="E726" s="727" t="s">
        <v>307</v>
      </c>
      <c r="F726" s="727"/>
      <c r="G726" s="189"/>
      <c r="H726" s="728" t="s">
        <v>35</v>
      </c>
      <c r="I726" s="729">
        <f ca="1">IFERROR(__xludf.DUMMYFUNCTION("IMPORTRANGE(""https://docs.google.com/spreadsheets/d/1QqKyyYR6Q21VydFLVH3TRQUabQu_ym0Zz7PgGX0-kHA/edit?usp=sharing"",""แผน!IN18"")"),0)</f>
        <v>0</v>
      </c>
      <c r="J726" s="269">
        <f ca="1">IFERROR(__xludf.DUMMYFUNCTION("IMPORTRANGE(""https://docs.google.com/spreadsheets/d/1XWAQStnk-4SwqDmLtmXYiTMKHgktTP8We1SCoS47DrQ/edit?usp=sharing"",""จัดที่ดิน!BR18"")"),0)</f>
        <v>0</v>
      </c>
      <c r="K726" s="465">
        <f t="shared" ca="1" si="291"/>
        <v>0</v>
      </c>
      <c r="L726" s="465"/>
      <c r="M726" s="189"/>
      <c r="N726" s="730"/>
      <c r="O726" s="465"/>
      <c r="P726" s="465"/>
      <c r="Q726" s="541"/>
      <c r="R726" s="541"/>
      <c r="S726" s="541"/>
      <c r="T726" s="541"/>
      <c r="U726" s="541"/>
      <c r="V726" s="541"/>
      <c r="W726" s="541"/>
      <c r="X726" s="541"/>
      <c r="Y726" s="541"/>
      <c r="Z726" s="541"/>
    </row>
    <row r="727" spans="1:26" ht="18.75">
      <c r="A727" s="708"/>
      <c r="B727" s="727"/>
      <c r="C727" s="727"/>
      <c r="D727" s="727"/>
      <c r="E727" s="727"/>
      <c r="F727" s="727"/>
      <c r="G727" s="189"/>
      <c r="H727" s="728" t="s">
        <v>34</v>
      </c>
      <c r="I727" s="729"/>
      <c r="J727" s="269">
        <f ca="1">IFERROR(__xludf.DUMMYFUNCTION("IMPORTRANGE(""https://docs.google.com/spreadsheets/d/1XWAQStnk-4SwqDmLtmXYiTMKHgktTP8We1SCoS47DrQ/edit?usp=sharing"",""จัดที่ดิน!BS18"")"),0)</f>
        <v>0</v>
      </c>
      <c r="K727" s="465"/>
      <c r="L727" s="730"/>
      <c r="M727" s="189"/>
      <c r="N727" s="730"/>
      <c r="O727" s="465"/>
      <c r="P727" s="465"/>
      <c r="Q727" s="541"/>
      <c r="R727" s="541"/>
      <c r="S727" s="541"/>
      <c r="T727" s="541"/>
      <c r="U727" s="541"/>
      <c r="V727" s="541"/>
      <c r="W727" s="541"/>
      <c r="X727" s="541"/>
      <c r="Y727" s="541"/>
      <c r="Z727" s="541"/>
    </row>
    <row r="728" spans="1:26" ht="18.75">
      <c r="A728" s="708"/>
      <c r="B728" s="727"/>
      <c r="C728" s="727"/>
      <c r="D728" s="727"/>
      <c r="E728" s="727"/>
      <c r="F728" s="727"/>
      <c r="G728" s="189"/>
      <c r="H728" s="728" t="s">
        <v>46</v>
      </c>
      <c r="I728" s="729">
        <f ca="1">IFERROR(__xludf.DUMMYFUNCTION("IMPORTRANGE(""https://docs.google.com/spreadsheets/d/1QqKyyYR6Q21VydFLVH3TRQUabQu_ym0Zz7PgGX0-kHA/edit?usp=sharing"",""แผน!IO18"")"),0)</f>
        <v>0</v>
      </c>
      <c r="J728" s="269">
        <f ca="1">IFERROR(__xludf.DUMMYFUNCTION("IMPORTRANGE(""https://docs.google.com/spreadsheets/d/1XWAQStnk-4SwqDmLtmXYiTMKHgktTP8We1SCoS47DrQ/edit?usp=sharing"",""จัดที่ดิน!BT18"")"),0)</f>
        <v>0</v>
      </c>
      <c r="K728" s="465">
        <f t="shared" ref="K728:K729" ca="1" si="292">IF(I728&gt;0,J728*100/I728,0)</f>
        <v>0</v>
      </c>
      <c r="L728" s="730"/>
      <c r="M728" s="189"/>
      <c r="N728" s="730"/>
      <c r="O728" s="465"/>
      <c r="P728" s="465"/>
      <c r="Q728" s="541"/>
      <c r="R728" s="541"/>
      <c r="S728" s="541"/>
      <c r="T728" s="541"/>
      <c r="U728" s="541"/>
      <c r="V728" s="541"/>
      <c r="W728" s="541"/>
      <c r="X728" s="541"/>
      <c r="Y728" s="541"/>
      <c r="Z728" s="541"/>
    </row>
    <row r="729" spans="1:26" ht="19.5">
      <c r="A729" s="708"/>
      <c r="B729" s="727"/>
      <c r="C729" s="727"/>
      <c r="D729" s="727" t="s">
        <v>308</v>
      </c>
      <c r="E729" s="727"/>
      <c r="F729" s="727"/>
      <c r="G729" s="189"/>
      <c r="H729" s="731" t="s">
        <v>46</v>
      </c>
      <c r="I729" s="732">
        <f ca="1">IFERROR(__xludf.DUMMYFUNCTION("IMPORTRANGE(""https://docs.google.com/spreadsheets/d/1QqKyyYR6Q21VydFLVH3TRQUabQu_ym0Zz7PgGX0-kHA/edit?usp=sharing"",""แผน!IP18"")"),105)</f>
        <v>105</v>
      </c>
      <c r="J729" s="647">
        <f>J732+J735</f>
        <v>0</v>
      </c>
      <c r="K729" s="195">
        <f t="shared" ca="1" si="292"/>
        <v>0</v>
      </c>
      <c r="L729" s="465"/>
      <c r="M729" s="189"/>
      <c r="N729" s="730"/>
      <c r="O729" s="465"/>
      <c r="P729" s="465"/>
      <c r="Q729" s="541"/>
      <c r="R729" s="541"/>
      <c r="S729" s="541"/>
      <c r="T729" s="541"/>
      <c r="U729" s="541"/>
      <c r="V729" s="541"/>
      <c r="W729" s="541"/>
      <c r="X729" s="541"/>
      <c r="Y729" s="541"/>
      <c r="Z729" s="541"/>
    </row>
    <row r="730" spans="1:26" ht="18.75">
      <c r="A730" s="708"/>
      <c r="B730" s="727"/>
      <c r="C730" s="727"/>
      <c r="D730" s="727"/>
      <c r="E730" s="727" t="s">
        <v>309</v>
      </c>
      <c r="F730" s="727"/>
      <c r="G730" s="189"/>
      <c r="H730" s="728" t="s">
        <v>35</v>
      </c>
      <c r="I730" s="729"/>
      <c r="J730" s="214">
        <v>0</v>
      </c>
      <c r="K730" s="465"/>
      <c r="L730" s="730"/>
      <c r="M730" s="465"/>
      <c r="N730" s="730"/>
      <c r="O730" s="465"/>
      <c r="P730" s="465"/>
      <c r="Q730" s="541"/>
      <c r="R730" s="541"/>
      <c r="S730" s="541"/>
      <c r="T730" s="541"/>
      <c r="U730" s="541"/>
      <c r="V730" s="541"/>
      <c r="W730" s="541"/>
      <c r="X730" s="541"/>
      <c r="Y730" s="541"/>
      <c r="Z730" s="541"/>
    </row>
    <row r="731" spans="1:26" ht="18.75">
      <c r="A731" s="708"/>
      <c r="B731" s="727"/>
      <c r="C731" s="727"/>
      <c r="D731" s="727"/>
      <c r="E731" s="727"/>
      <c r="F731" s="727"/>
      <c r="G731" s="189"/>
      <c r="H731" s="728" t="s">
        <v>34</v>
      </c>
      <c r="I731" s="729"/>
      <c r="J731" s="214">
        <v>0</v>
      </c>
      <c r="K731" s="465"/>
      <c r="L731" s="730"/>
      <c r="M731" s="465"/>
      <c r="N731" s="730"/>
      <c r="O731" s="465"/>
      <c r="P731" s="465"/>
      <c r="Q731" s="541"/>
      <c r="R731" s="541"/>
      <c r="S731" s="541"/>
      <c r="T731" s="541"/>
      <c r="U731" s="541"/>
      <c r="V731" s="541"/>
      <c r="W731" s="541"/>
      <c r="X731" s="541"/>
      <c r="Y731" s="541"/>
      <c r="Z731" s="541"/>
    </row>
    <row r="732" spans="1:26" ht="18.75">
      <c r="A732" s="708"/>
      <c r="B732" s="727"/>
      <c r="C732" s="727"/>
      <c r="D732" s="727"/>
      <c r="E732" s="727"/>
      <c r="F732" s="727"/>
      <c r="G732" s="189"/>
      <c r="H732" s="728" t="s">
        <v>46</v>
      </c>
      <c r="I732" s="729"/>
      <c r="J732" s="214">
        <v>0</v>
      </c>
      <c r="K732" s="465"/>
      <c r="L732" s="730"/>
      <c r="M732" s="465"/>
      <c r="N732" s="730"/>
      <c r="O732" s="465"/>
      <c r="P732" s="465"/>
      <c r="Q732" s="541"/>
      <c r="R732" s="541"/>
      <c r="S732" s="541"/>
      <c r="T732" s="541"/>
      <c r="U732" s="541"/>
      <c r="V732" s="541"/>
      <c r="W732" s="541"/>
      <c r="X732" s="541"/>
      <c r="Y732" s="541"/>
      <c r="Z732" s="541"/>
    </row>
    <row r="733" spans="1:26" ht="18.75">
      <c r="A733" s="708"/>
      <c r="B733" s="727"/>
      <c r="C733" s="727"/>
      <c r="D733" s="727"/>
      <c r="E733" s="727" t="s">
        <v>310</v>
      </c>
      <c r="F733" s="727"/>
      <c r="G733" s="189"/>
      <c r="H733" s="728" t="s">
        <v>35</v>
      </c>
      <c r="I733" s="729"/>
      <c r="J733" s="214">
        <v>0</v>
      </c>
      <c r="K733" s="465"/>
      <c r="L733" s="730"/>
      <c r="M733" s="465"/>
      <c r="N733" s="730"/>
      <c r="O733" s="465"/>
      <c r="P733" s="465"/>
      <c r="Q733" s="541"/>
      <c r="R733" s="541"/>
      <c r="S733" s="541"/>
      <c r="T733" s="541"/>
      <c r="U733" s="541"/>
      <c r="V733" s="541"/>
      <c r="W733" s="541"/>
      <c r="X733" s="541"/>
      <c r="Y733" s="541"/>
      <c r="Z733" s="541"/>
    </row>
    <row r="734" spans="1:26" ht="18.75">
      <c r="A734" s="708"/>
      <c r="B734" s="727"/>
      <c r="C734" s="727"/>
      <c r="D734" s="727"/>
      <c r="E734" s="727"/>
      <c r="F734" s="727"/>
      <c r="G734" s="189"/>
      <c r="H734" s="728" t="s">
        <v>34</v>
      </c>
      <c r="I734" s="729"/>
      <c r="J734" s="214">
        <v>0</v>
      </c>
      <c r="K734" s="465"/>
      <c r="L734" s="730"/>
      <c r="M734" s="465"/>
      <c r="N734" s="730"/>
      <c r="O734" s="465"/>
      <c r="P734" s="465"/>
      <c r="Q734" s="541"/>
      <c r="R734" s="541"/>
      <c r="S734" s="541"/>
      <c r="T734" s="541"/>
      <c r="U734" s="541"/>
      <c r="V734" s="541"/>
      <c r="W734" s="541"/>
      <c r="X734" s="541"/>
      <c r="Y734" s="541"/>
      <c r="Z734" s="541"/>
    </row>
    <row r="735" spans="1:26" ht="20.25" thickBot="1">
      <c r="A735" s="734"/>
      <c r="B735" s="735" t="s">
        <v>311</v>
      </c>
      <c r="C735" s="698"/>
      <c r="D735" s="698"/>
      <c r="E735" s="698"/>
      <c r="F735" s="698"/>
      <c r="G735" s="699"/>
      <c r="H735" s="390" t="s">
        <v>46</v>
      </c>
      <c r="I735" s="736"/>
      <c r="J735" s="392">
        <v>0</v>
      </c>
      <c r="K735" s="469"/>
      <c r="L735" s="737"/>
      <c r="M735" s="469"/>
      <c r="N735" s="737"/>
      <c r="O735" s="469"/>
      <c r="P735" s="469"/>
      <c r="Q735" s="541"/>
      <c r="R735" s="541"/>
      <c r="S735" s="541"/>
      <c r="T735" s="541"/>
      <c r="U735" s="541"/>
      <c r="V735" s="541"/>
      <c r="W735" s="541"/>
      <c r="X735" s="541"/>
      <c r="Y735" s="541"/>
      <c r="Z735" s="541"/>
    </row>
    <row r="736" spans="1:26" ht="20.25" hidden="1" thickBot="1">
      <c r="A736" s="738">
        <v>9</v>
      </c>
      <c r="B736" s="739" t="s">
        <v>312</v>
      </c>
      <c r="C736" s="740"/>
      <c r="D736" s="740"/>
      <c r="E736" s="740"/>
      <c r="F736" s="740"/>
      <c r="G736" s="741"/>
      <c r="H736" s="742" t="s">
        <v>46</v>
      </c>
      <c r="I736" s="743"/>
      <c r="J736" s="743">
        <f>J751</f>
        <v>0</v>
      </c>
      <c r="K736" s="744">
        <f>IF(I736&gt;0,J736*100/I736,0)</f>
        <v>0</v>
      </c>
      <c r="L736" s="745"/>
      <c r="M736" s="745"/>
      <c r="N736" s="745"/>
      <c r="O736" s="745"/>
      <c r="P736" s="745"/>
      <c r="Q736" s="568"/>
      <c r="R736" s="568"/>
      <c r="S736" s="568"/>
      <c r="T736" s="568"/>
      <c r="U736" s="568"/>
      <c r="V736" s="568"/>
      <c r="W736" s="568"/>
      <c r="X736" s="568"/>
      <c r="Y736" s="568"/>
      <c r="Z736" s="568"/>
    </row>
    <row r="737" spans="1:26" ht="20.25" hidden="1" thickBot="1">
      <c r="A737" s="563"/>
      <c r="B737" s="723"/>
      <c r="C737" s="723" t="s">
        <v>16</v>
      </c>
      <c r="D737" s="812" t="s">
        <v>17</v>
      </c>
      <c r="E737" s="805"/>
      <c r="F737" s="805"/>
      <c r="G737" s="567"/>
      <c r="H737" s="612" t="s">
        <v>12</v>
      </c>
      <c r="I737" s="583"/>
      <c r="J737" s="583"/>
      <c r="K737" s="93"/>
      <c r="L737" s="613">
        <f t="shared" ref="L737:N737" si="293">L738+L739</f>
        <v>0</v>
      </c>
      <c r="M737" s="613">
        <f t="shared" si="293"/>
        <v>0</v>
      </c>
      <c r="N737" s="613">
        <f t="shared" si="293"/>
        <v>0</v>
      </c>
      <c r="O737" s="613">
        <f t="shared" ref="O737:O742" si="294">IF(L737&gt;0,N737*100/L737,0)</f>
        <v>0</v>
      </c>
      <c r="P737" s="613">
        <f t="shared" ref="P737:P742" si="295">IF(M737&gt;0,N737*100/M737,0)</f>
        <v>0</v>
      </c>
      <c r="Q737" s="568"/>
      <c r="R737" s="568"/>
      <c r="S737" s="568"/>
      <c r="T737" s="568"/>
      <c r="U737" s="568"/>
      <c r="V737" s="568"/>
      <c r="W737" s="568"/>
      <c r="X737" s="568"/>
      <c r="Y737" s="568"/>
      <c r="Z737" s="568"/>
    </row>
    <row r="738" spans="1:26" ht="19.5" hidden="1" thickBot="1">
      <c r="A738" s="563"/>
      <c r="B738" s="723"/>
      <c r="C738" s="723"/>
      <c r="D738" s="684"/>
      <c r="E738" s="723" t="s">
        <v>184</v>
      </c>
      <c r="F738" s="723"/>
      <c r="G738" s="567"/>
      <c r="H738" s="165" t="s">
        <v>12</v>
      </c>
      <c r="I738" s="583"/>
      <c r="J738" s="583"/>
      <c r="K738" s="93"/>
      <c r="L738" s="93">
        <f t="shared" ref="L738:N739" si="296">L741+L748</f>
        <v>0</v>
      </c>
      <c r="M738" s="93">
        <f t="shared" si="296"/>
        <v>0</v>
      </c>
      <c r="N738" s="93">
        <f t="shared" si="296"/>
        <v>0</v>
      </c>
      <c r="O738" s="93">
        <f t="shared" si="294"/>
        <v>0</v>
      </c>
      <c r="P738" s="93">
        <f t="shared" si="295"/>
        <v>0</v>
      </c>
      <c r="Q738" s="568"/>
      <c r="R738" s="568"/>
      <c r="S738" s="568"/>
      <c r="T738" s="568"/>
      <c r="U738" s="568"/>
      <c r="V738" s="568"/>
      <c r="W738" s="568"/>
      <c r="X738" s="568"/>
      <c r="Y738" s="568"/>
      <c r="Z738" s="568"/>
    </row>
    <row r="739" spans="1:26" ht="19.5" hidden="1" thickBot="1">
      <c r="A739" s="563"/>
      <c r="B739" s="571"/>
      <c r="C739" s="723"/>
      <c r="D739" s="684"/>
      <c r="E739" s="723" t="s">
        <v>185</v>
      </c>
      <c r="F739" s="723"/>
      <c r="G739" s="567"/>
      <c r="H739" s="165" t="s">
        <v>12</v>
      </c>
      <c r="I739" s="583"/>
      <c r="J739" s="583"/>
      <c r="K739" s="93"/>
      <c r="L739" s="93">
        <f t="shared" si="296"/>
        <v>0</v>
      </c>
      <c r="M739" s="93">
        <f t="shared" si="296"/>
        <v>0</v>
      </c>
      <c r="N739" s="93">
        <f t="shared" si="296"/>
        <v>0</v>
      </c>
      <c r="O739" s="93">
        <f t="shared" si="294"/>
        <v>0</v>
      </c>
      <c r="P739" s="93">
        <f t="shared" si="295"/>
        <v>0</v>
      </c>
      <c r="Q739" s="568"/>
      <c r="R739" s="568"/>
      <c r="S739" s="568"/>
      <c r="T739" s="568"/>
      <c r="U739" s="568"/>
      <c r="V739" s="568"/>
      <c r="W739" s="568"/>
      <c r="X739" s="568"/>
      <c r="Y739" s="568"/>
      <c r="Z739" s="568"/>
    </row>
    <row r="740" spans="1:26" ht="20.25" hidden="1" thickBot="1">
      <c r="A740" s="563"/>
      <c r="B740" s="571"/>
      <c r="C740" s="723"/>
      <c r="D740" s="611" t="s">
        <v>20</v>
      </c>
      <c r="E740" s="723"/>
      <c r="F740" s="723"/>
      <c r="G740" s="567"/>
      <c r="H740" s="612" t="s">
        <v>12</v>
      </c>
      <c r="I740" s="166"/>
      <c r="J740" s="166"/>
      <c r="K740" s="167"/>
      <c r="L740" s="613">
        <f t="shared" ref="L740:N740" si="297">L741+L742</f>
        <v>0</v>
      </c>
      <c r="M740" s="613">
        <f t="shared" si="297"/>
        <v>0</v>
      </c>
      <c r="N740" s="613">
        <f t="shared" si="297"/>
        <v>0</v>
      </c>
      <c r="O740" s="613">
        <f t="shared" si="294"/>
        <v>0</v>
      </c>
      <c r="P740" s="613">
        <f t="shared" si="295"/>
        <v>0</v>
      </c>
      <c r="Q740" s="568"/>
      <c r="R740" s="568"/>
      <c r="S740" s="568"/>
      <c r="T740" s="568"/>
      <c r="U740" s="568"/>
      <c r="V740" s="568"/>
      <c r="W740" s="568"/>
      <c r="X740" s="568"/>
      <c r="Y740" s="568"/>
      <c r="Z740" s="568"/>
    </row>
    <row r="741" spans="1:26" ht="19.5" hidden="1" thickBot="1">
      <c r="A741" s="563"/>
      <c r="B741" s="571"/>
      <c r="C741" s="723"/>
      <c r="D741" s="684"/>
      <c r="E741" s="723" t="s">
        <v>184</v>
      </c>
      <c r="F741" s="723"/>
      <c r="G741" s="567"/>
      <c r="H741" s="165" t="s">
        <v>12</v>
      </c>
      <c r="I741" s="583"/>
      <c r="J741" s="583"/>
      <c r="K741" s="93"/>
      <c r="L741" s="93">
        <v>0</v>
      </c>
      <c r="M741" s="93">
        <v>0</v>
      </c>
      <c r="N741" s="93">
        <v>0</v>
      </c>
      <c r="O741" s="93">
        <f t="shared" si="294"/>
        <v>0</v>
      </c>
      <c r="P741" s="93">
        <f t="shared" si="295"/>
        <v>0</v>
      </c>
      <c r="Q741" s="568"/>
      <c r="R741" s="568"/>
      <c r="S741" s="568"/>
      <c r="T741" s="568"/>
      <c r="U741" s="568"/>
      <c r="V741" s="568"/>
      <c r="W741" s="568"/>
      <c r="X741" s="568"/>
      <c r="Y741" s="568"/>
      <c r="Z741" s="568"/>
    </row>
    <row r="742" spans="1:26" ht="19.5" hidden="1" thickBot="1">
      <c r="A742" s="563"/>
      <c r="B742" s="571"/>
      <c r="C742" s="723"/>
      <c r="D742" s="684"/>
      <c r="E742" s="723" t="s">
        <v>185</v>
      </c>
      <c r="F742" s="723"/>
      <c r="G742" s="567"/>
      <c r="H742" s="165" t="s">
        <v>12</v>
      </c>
      <c r="I742" s="583"/>
      <c r="J742" s="583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4"/>
        <v>0</v>
      </c>
      <c r="P742" s="93">
        <f t="shared" si="295"/>
        <v>0</v>
      </c>
      <c r="Q742" s="568"/>
      <c r="R742" s="568"/>
      <c r="S742" s="568"/>
      <c r="T742" s="568"/>
      <c r="U742" s="568"/>
      <c r="V742" s="568"/>
      <c r="W742" s="568"/>
      <c r="X742" s="568"/>
      <c r="Y742" s="568"/>
      <c r="Z742" s="568"/>
    </row>
    <row r="743" spans="1:26" ht="19.5" hidden="1" thickBot="1">
      <c r="A743" s="615"/>
      <c r="B743" s="571"/>
      <c r="C743" s="723"/>
      <c r="D743" s="723"/>
      <c r="E743" s="723"/>
      <c r="F743" s="723" t="s">
        <v>186</v>
      </c>
      <c r="G743" s="567"/>
      <c r="H743" s="165" t="s">
        <v>12</v>
      </c>
      <c r="I743" s="583"/>
      <c r="J743" s="583"/>
      <c r="K743" s="93"/>
      <c r="L743" s="93"/>
      <c r="M743" s="93"/>
      <c r="N743" s="93"/>
      <c r="O743" s="93"/>
      <c r="P743" s="93"/>
      <c r="Q743" s="568"/>
      <c r="R743" s="568"/>
      <c r="S743" s="568"/>
      <c r="T743" s="568"/>
      <c r="U743" s="568"/>
      <c r="V743" s="568"/>
      <c r="W743" s="568"/>
      <c r="X743" s="568"/>
      <c r="Y743" s="568"/>
      <c r="Z743" s="568"/>
    </row>
    <row r="744" spans="1:26" ht="19.5" hidden="1" thickBot="1">
      <c r="A744" s="615"/>
      <c r="B744" s="571"/>
      <c r="C744" s="723"/>
      <c r="D744" s="723"/>
      <c r="E744" s="723"/>
      <c r="F744" s="723" t="s">
        <v>187</v>
      </c>
      <c r="G744" s="567"/>
      <c r="H744" s="165" t="s">
        <v>12</v>
      </c>
      <c r="I744" s="583"/>
      <c r="J744" s="583"/>
      <c r="K744" s="93"/>
      <c r="L744" s="93"/>
      <c r="M744" s="93"/>
      <c r="N744" s="93"/>
      <c r="O744" s="93"/>
      <c r="P744" s="93"/>
      <c r="Q744" s="568"/>
      <c r="R744" s="568"/>
      <c r="S744" s="568"/>
      <c r="T744" s="568"/>
      <c r="U744" s="568"/>
      <c r="V744" s="568"/>
      <c r="W744" s="568"/>
      <c r="X744" s="568"/>
      <c r="Y744" s="568"/>
      <c r="Z744" s="568"/>
    </row>
    <row r="745" spans="1:26" ht="19.5" hidden="1" thickBot="1">
      <c r="A745" s="615"/>
      <c r="B745" s="571"/>
      <c r="C745" s="723"/>
      <c r="D745" s="723"/>
      <c r="E745" s="723"/>
      <c r="F745" s="723" t="s">
        <v>188</v>
      </c>
      <c r="G745" s="567"/>
      <c r="H745" s="165" t="s">
        <v>12</v>
      </c>
      <c r="I745" s="583"/>
      <c r="J745" s="583"/>
      <c r="K745" s="93"/>
      <c r="L745" s="93"/>
      <c r="M745" s="93"/>
      <c r="N745" s="93"/>
      <c r="O745" s="93"/>
      <c r="P745" s="93"/>
      <c r="Q745" s="568"/>
      <c r="R745" s="568"/>
      <c r="S745" s="568"/>
      <c r="T745" s="568"/>
      <c r="U745" s="568"/>
      <c r="V745" s="568"/>
      <c r="W745" s="568"/>
      <c r="X745" s="568"/>
      <c r="Y745" s="568"/>
      <c r="Z745" s="568"/>
    </row>
    <row r="746" spans="1:26" ht="19.5" hidden="1" thickBot="1">
      <c r="A746" s="615"/>
      <c r="B746" s="571"/>
      <c r="C746" s="723"/>
      <c r="D746" s="723"/>
      <c r="E746" s="723"/>
      <c r="F746" s="723" t="s">
        <v>189</v>
      </c>
      <c r="G746" s="567"/>
      <c r="H746" s="165" t="s">
        <v>12</v>
      </c>
      <c r="I746" s="583"/>
      <c r="J746" s="583"/>
      <c r="K746" s="93"/>
      <c r="L746" s="93"/>
      <c r="M746" s="93"/>
      <c r="N746" s="93"/>
      <c r="O746" s="93"/>
      <c r="P746" s="93"/>
      <c r="Q746" s="568"/>
      <c r="R746" s="568"/>
      <c r="S746" s="568"/>
      <c r="T746" s="568"/>
      <c r="U746" s="568"/>
      <c r="V746" s="568"/>
      <c r="W746" s="568"/>
      <c r="X746" s="568"/>
      <c r="Y746" s="568"/>
      <c r="Z746" s="568"/>
    </row>
    <row r="747" spans="1:26" ht="20.25" hidden="1" thickBot="1">
      <c r="A747" s="563"/>
      <c r="B747" s="571"/>
      <c r="C747" s="723"/>
      <c r="D747" s="611" t="s">
        <v>21</v>
      </c>
      <c r="E747" s="723"/>
      <c r="F747" s="723"/>
      <c r="G747" s="567"/>
      <c r="H747" s="747" t="s">
        <v>12</v>
      </c>
      <c r="I747" s="166"/>
      <c r="J747" s="166"/>
      <c r="K747" s="167"/>
      <c r="L747" s="613">
        <f t="shared" ref="L747:N747" si="298">L748+L749</f>
        <v>0</v>
      </c>
      <c r="M747" s="613">
        <f t="shared" si="298"/>
        <v>0</v>
      </c>
      <c r="N747" s="613">
        <f t="shared" si="298"/>
        <v>0</v>
      </c>
      <c r="O747" s="613">
        <f t="shared" ref="O747:O749" si="299">IF(L747&gt;0,N747*100/L747,0)</f>
        <v>0</v>
      </c>
      <c r="P747" s="613">
        <f t="shared" ref="P747:P749" si="300">IF(M747&gt;0,N747*100/M747,0)</f>
        <v>0</v>
      </c>
      <c r="Q747" s="568"/>
      <c r="R747" s="568"/>
      <c r="S747" s="568"/>
      <c r="T747" s="568"/>
      <c r="U747" s="568"/>
      <c r="V747" s="568"/>
      <c r="W747" s="568"/>
      <c r="X747" s="568"/>
      <c r="Y747" s="568"/>
      <c r="Z747" s="568"/>
    </row>
    <row r="748" spans="1:26" ht="19.5" hidden="1" thickBot="1">
      <c r="A748" s="563"/>
      <c r="B748" s="571"/>
      <c r="C748" s="723"/>
      <c r="D748" s="723"/>
      <c r="E748" s="723" t="s">
        <v>18</v>
      </c>
      <c r="F748" s="723"/>
      <c r="G748" s="567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299"/>
        <v>0</v>
      </c>
      <c r="P748" s="93">
        <f t="shared" si="300"/>
        <v>0</v>
      </c>
      <c r="Q748" s="568"/>
      <c r="R748" s="568"/>
      <c r="S748" s="568"/>
      <c r="T748" s="568"/>
      <c r="U748" s="568"/>
      <c r="V748" s="568"/>
      <c r="W748" s="568"/>
      <c r="X748" s="568"/>
      <c r="Y748" s="568"/>
      <c r="Z748" s="568"/>
    </row>
    <row r="749" spans="1:26" ht="19.5" hidden="1" thickBot="1">
      <c r="A749" s="563"/>
      <c r="B749" s="571"/>
      <c r="C749" s="723"/>
      <c r="D749" s="723"/>
      <c r="E749" s="723" t="s">
        <v>19</v>
      </c>
      <c r="F749" s="723"/>
      <c r="G749" s="567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299"/>
        <v>0</v>
      </c>
      <c r="P749" s="93">
        <f t="shared" si="300"/>
        <v>0</v>
      </c>
      <c r="Q749" s="568"/>
      <c r="R749" s="568"/>
      <c r="S749" s="568"/>
      <c r="T749" s="568"/>
      <c r="U749" s="568"/>
      <c r="V749" s="568"/>
      <c r="W749" s="568"/>
      <c r="X749" s="568"/>
      <c r="Y749" s="568"/>
      <c r="Z749" s="568"/>
    </row>
    <row r="750" spans="1:26" ht="20.25" hidden="1" thickBot="1">
      <c r="A750" s="578"/>
      <c r="B750" s="580"/>
      <c r="C750" s="723" t="s">
        <v>16</v>
      </c>
      <c r="D750" s="856" t="s">
        <v>38</v>
      </c>
      <c r="E750" s="617"/>
      <c r="F750" s="617"/>
      <c r="G750" s="618"/>
      <c r="H750" s="581"/>
      <c r="I750" s="166"/>
      <c r="J750" s="166"/>
      <c r="K750" s="167"/>
      <c r="L750" s="167"/>
      <c r="M750" s="167"/>
      <c r="N750" s="167"/>
      <c r="O750" s="167"/>
      <c r="P750" s="167"/>
      <c r="Q750" s="568"/>
      <c r="R750" s="568"/>
      <c r="S750" s="568"/>
      <c r="T750" s="568"/>
      <c r="U750" s="568"/>
      <c r="V750" s="568"/>
      <c r="W750" s="568"/>
      <c r="X750" s="568"/>
      <c r="Y750" s="568"/>
      <c r="Z750" s="568"/>
    </row>
    <row r="751" spans="1:26" ht="19.5" hidden="1" thickBot="1">
      <c r="A751" s="615"/>
      <c r="B751" s="571"/>
      <c r="C751" s="723"/>
      <c r="D751" s="723"/>
      <c r="E751" s="723" t="s">
        <v>313</v>
      </c>
      <c r="F751" s="723"/>
      <c r="G751" s="567"/>
      <c r="H751" s="165" t="s">
        <v>46</v>
      </c>
      <c r="I751" s="583"/>
      <c r="J751" s="583"/>
      <c r="K751" s="93"/>
      <c r="L751" s="93"/>
      <c r="M751" s="93"/>
      <c r="N751" s="93"/>
      <c r="O751" s="93"/>
      <c r="P751" s="93"/>
      <c r="Q751" s="568"/>
      <c r="R751" s="568"/>
      <c r="S751" s="568"/>
      <c r="T751" s="568"/>
      <c r="U751" s="568"/>
      <c r="V751" s="568"/>
      <c r="W751" s="568"/>
      <c r="X751" s="568"/>
      <c r="Y751" s="568"/>
      <c r="Z751" s="568"/>
    </row>
    <row r="752" spans="1:26" ht="19.5" hidden="1" thickBot="1">
      <c r="A752" s="615"/>
      <c r="B752" s="571"/>
      <c r="C752" s="723"/>
      <c r="D752" s="723"/>
      <c r="E752" s="723"/>
      <c r="F752" s="723"/>
      <c r="G752" s="567"/>
      <c r="H752" s="165" t="s">
        <v>314</v>
      </c>
      <c r="I752" s="583"/>
      <c r="J752" s="583"/>
      <c r="K752" s="93"/>
      <c r="L752" s="93"/>
      <c r="M752" s="93"/>
      <c r="N752" s="93"/>
      <c r="O752" s="93"/>
      <c r="P752" s="93"/>
      <c r="Q752" s="568"/>
      <c r="R752" s="568"/>
      <c r="S752" s="568"/>
      <c r="T752" s="568"/>
      <c r="U752" s="568"/>
      <c r="V752" s="568"/>
      <c r="W752" s="568"/>
      <c r="X752" s="568"/>
      <c r="Y752" s="568"/>
      <c r="Z752" s="568"/>
    </row>
    <row r="753" spans="1:26" ht="20.25" hidden="1" thickBot="1">
      <c r="A753" s="749">
        <v>10</v>
      </c>
      <c r="B753" s="750" t="s">
        <v>315</v>
      </c>
      <c r="C753" s="751"/>
      <c r="D753" s="751"/>
      <c r="E753" s="751"/>
      <c r="F753" s="751"/>
      <c r="G753" s="752"/>
      <c r="H753" s="753" t="s">
        <v>46</v>
      </c>
      <c r="I753" s="754"/>
      <c r="J753" s="754">
        <f>J768</f>
        <v>0</v>
      </c>
      <c r="K753" s="755">
        <f>IF(I753&gt;0,J753*100/I753,0)</f>
        <v>0</v>
      </c>
      <c r="L753" s="756"/>
      <c r="M753" s="756"/>
      <c r="N753" s="756"/>
      <c r="O753" s="756"/>
      <c r="P753" s="756"/>
      <c r="Q753" s="568"/>
      <c r="R753" s="568"/>
      <c r="S753" s="568"/>
      <c r="T753" s="568"/>
      <c r="U753" s="568"/>
      <c r="V753" s="568"/>
      <c r="W753" s="568"/>
      <c r="X753" s="568"/>
      <c r="Y753" s="568"/>
      <c r="Z753" s="568"/>
    </row>
    <row r="754" spans="1:26" ht="20.25" hidden="1" thickBot="1">
      <c r="A754" s="563"/>
      <c r="B754" s="723"/>
      <c r="C754" s="723" t="s">
        <v>16</v>
      </c>
      <c r="D754" s="812" t="s">
        <v>17</v>
      </c>
      <c r="E754" s="805"/>
      <c r="F754" s="805"/>
      <c r="G754" s="567"/>
      <c r="H754" s="612" t="s">
        <v>12</v>
      </c>
      <c r="I754" s="583"/>
      <c r="J754" s="583"/>
      <c r="K754" s="93"/>
      <c r="L754" s="613">
        <f t="shared" ref="L754:N754" si="301">L755+L756</f>
        <v>0</v>
      </c>
      <c r="M754" s="613">
        <f t="shared" si="301"/>
        <v>0</v>
      </c>
      <c r="N754" s="613">
        <f t="shared" si="301"/>
        <v>0</v>
      </c>
      <c r="O754" s="613">
        <f t="shared" ref="O754:O759" si="302">IF(L754&gt;0,N754*100/L754,0)</f>
        <v>0</v>
      </c>
      <c r="P754" s="613">
        <f t="shared" ref="P754:P759" si="303">IF(M754&gt;0,N754*100/M754,0)</f>
        <v>0</v>
      </c>
      <c r="Q754" s="568"/>
      <c r="R754" s="568"/>
      <c r="S754" s="568"/>
      <c r="T754" s="568"/>
      <c r="U754" s="568"/>
      <c r="V754" s="568"/>
      <c r="W754" s="568"/>
      <c r="X754" s="568"/>
      <c r="Y754" s="568"/>
      <c r="Z754" s="568"/>
    </row>
    <row r="755" spans="1:26" ht="19.5" hidden="1" thickBot="1">
      <c r="A755" s="563"/>
      <c r="B755" s="723"/>
      <c r="C755" s="723"/>
      <c r="D755" s="684"/>
      <c r="E755" s="723" t="s">
        <v>184</v>
      </c>
      <c r="F755" s="723"/>
      <c r="G755" s="567"/>
      <c r="H755" s="165" t="s">
        <v>12</v>
      </c>
      <c r="I755" s="583"/>
      <c r="J755" s="583"/>
      <c r="K755" s="93"/>
      <c r="L755" s="93">
        <f t="shared" ref="L755:N756" si="304">L758+L765</f>
        <v>0</v>
      </c>
      <c r="M755" s="93">
        <f t="shared" si="304"/>
        <v>0</v>
      </c>
      <c r="N755" s="93">
        <f t="shared" si="304"/>
        <v>0</v>
      </c>
      <c r="O755" s="93">
        <f t="shared" si="302"/>
        <v>0</v>
      </c>
      <c r="P755" s="93">
        <f t="shared" si="303"/>
        <v>0</v>
      </c>
      <c r="Q755" s="568"/>
      <c r="R755" s="568"/>
      <c r="S755" s="568"/>
      <c r="T755" s="568"/>
      <c r="U755" s="568"/>
      <c r="V755" s="568"/>
      <c r="W755" s="568"/>
      <c r="X755" s="568"/>
      <c r="Y755" s="568"/>
      <c r="Z755" s="568"/>
    </row>
    <row r="756" spans="1:26" ht="19.5" hidden="1" thickBot="1">
      <c r="A756" s="563"/>
      <c r="B756" s="571"/>
      <c r="C756" s="723"/>
      <c r="D756" s="684"/>
      <c r="E756" s="723" t="s">
        <v>185</v>
      </c>
      <c r="F756" s="723"/>
      <c r="G756" s="567"/>
      <c r="H756" s="165" t="s">
        <v>12</v>
      </c>
      <c r="I756" s="583"/>
      <c r="J756" s="583"/>
      <c r="K756" s="93"/>
      <c r="L756" s="93">
        <f t="shared" si="304"/>
        <v>0</v>
      </c>
      <c r="M756" s="93">
        <f t="shared" si="304"/>
        <v>0</v>
      </c>
      <c r="N756" s="93">
        <f t="shared" si="304"/>
        <v>0</v>
      </c>
      <c r="O756" s="93">
        <f t="shared" si="302"/>
        <v>0</v>
      </c>
      <c r="P756" s="93">
        <f t="shared" si="303"/>
        <v>0</v>
      </c>
      <c r="Q756" s="568"/>
      <c r="R756" s="568"/>
      <c r="S756" s="568"/>
      <c r="T756" s="568"/>
      <c r="U756" s="568"/>
      <c r="V756" s="568"/>
      <c r="W756" s="568"/>
      <c r="X756" s="568"/>
      <c r="Y756" s="568"/>
      <c r="Z756" s="568"/>
    </row>
    <row r="757" spans="1:26" ht="20.25" hidden="1" thickBot="1">
      <c r="A757" s="563"/>
      <c r="B757" s="571"/>
      <c r="C757" s="723"/>
      <c r="D757" s="611" t="s">
        <v>20</v>
      </c>
      <c r="E757" s="723"/>
      <c r="F757" s="723"/>
      <c r="G757" s="567"/>
      <c r="H757" s="612" t="s">
        <v>12</v>
      </c>
      <c r="I757" s="166"/>
      <c r="J757" s="166"/>
      <c r="K757" s="167"/>
      <c r="L757" s="613">
        <f t="shared" ref="L757:N757" si="305">L758+L759</f>
        <v>0</v>
      </c>
      <c r="M757" s="613">
        <f t="shared" si="305"/>
        <v>0</v>
      </c>
      <c r="N757" s="613">
        <f t="shared" si="305"/>
        <v>0</v>
      </c>
      <c r="O757" s="613">
        <f t="shared" si="302"/>
        <v>0</v>
      </c>
      <c r="P757" s="613">
        <f t="shared" si="303"/>
        <v>0</v>
      </c>
      <c r="Q757" s="568"/>
      <c r="R757" s="568"/>
      <c r="S757" s="568"/>
      <c r="T757" s="568"/>
      <c r="U757" s="568"/>
      <c r="V757" s="568"/>
      <c r="W757" s="568"/>
      <c r="X757" s="568"/>
      <c r="Y757" s="568"/>
      <c r="Z757" s="568"/>
    </row>
    <row r="758" spans="1:26" ht="19.5" hidden="1" thickBot="1">
      <c r="A758" s="563"/>
      <c r="B758" s="571"/>
      <c r="C758" s="723"/>
      <c r="D758" s="684"/>
      <c r="E758" s="723" t="s">
        <v>184</v>
      </c>
      <c r="F758" s="723"/>
      <c r="G758" s="567"/>
      <c r="H758" s="165" t="s">
        <v>12</v>
      </c>
      <c r="I758" s="583"/>
      <c r="J758" s="583"/>
      <c r="K758" s="93"/>
      <c r="L758" s="93">
        <v>0</v>
      </c>
      <c r="M758" s="93">
        <v>0</v>
      </c>
      <c r="N758" s="93">
        <v>0</v>
      </c>
      <c r="O758" s="93">
        <f t="shared" si="302"/>
        <v>0</v>
      </c>
      <c r="P758" s="93">
        <f t="shared" si="303"/>
        <v>0</v>
      </c>
      <c r="Q758" s="568"/>
      <c r="R758" s="568"/>
      <c r="S758" s="568"/>
      <c r="T758" s="568"/>
      <c r="U758" s="568"/>
      <c r="V758" s="568"/>
      <c r="W758" s="568"/>
      <c r="X758" s="568"/>
      <c r="Y758" s="568"/>
      <c r="Z758" s="568"/>
    </row>
    <row r="759" spans="1:26" ht="19.5" hidden="1" thickBot="1">
      <c r="A759" s="563"/>
      <c r="B759" s="571"/>
      <c r="C759" s="723"/>
      <c r="D759" s="684"/>
      <c r="E759" s="723" t="s">
        <v>185</v>
      </c>
      <c r="F759" s="723"/>
      <c r="G759" s="567"/>
      <c r="H759" s="165" t="s">
        <v>12</v>
      </c>
      <c r="I759" s="583"/>
      <c r="J759" s="583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2"/>
        <v>0</v>
      </c>
      <c r="P759" s="93">
        <f t="shared" si="303"/>
        <v>0</v>
      </c>
      <c r="Q759" s="568"/>
      <c r="R759" s="568"/>
      <c r="S759" s="568"/>
      <c r="T759" s="568"/>
      <c r="U759" s="568"/>
      <c r="V759" s="568"/>
      <c r="W759" s="568"/>
      <c r="X759" s="568"/>
      <c r="Y759" s="568"/>
      <c r="Z759" s="568"/>
    </row>
    <row r="760" spans="1:26" ht="19.5" hidden="1" thickBot="1">
      <c r="A760" s="615"/>
      <c r="B760" s="571"/>
      <c r="C760" s="723"/>
      <c r="D760" s="723"/>
      <c r="E760" s="723"/>
      <c r="F760" s="723" t="s">
        <v>186</v>
      </c>
      <c r="G760" s="567"/>
      <c r="H760" s="165" t="s">
        <v>12</v>
      </c>
      <c r="I760" s="583"/>
      <c r="J760" s="583"/>
      <c r="K760" s="93"/>
      <c r="L760" s="93"/>
      <c r="M760" s="93"/>
      <c r="N760" s="93"/>
      <c r="O760" s="93"/>
      <c r="P760" s="93"/>
      <c r="Q760" s="568"/>
      <c r="R760" s="568"/>
      <c r="S760" s="568"/>
      <c r="T760" s="568"/>
      <c r="U760" s="568"/>
      <c r="V760" s="568"/>
      <c r="W760" s="568"/>
      <c r="X760" s="568"/>
      <c r="Y760" s="568"/>
      <c r="Z760" s="568"/>
    </row>
    <row r="761" spans="1:26" ht="19.5" hidden="1" thickBot="1">
      <c r="A761" s="615"/>
      <c r="B761" s="571"/>
      <c r="C761" s="723"/>
      <c r="D761" s="723"/>
      <c r="E761" s="723"/>
      <c r="F761" s="723" t="s">
        <v>187</v>
      </c>
      <c r="G761" s="567"/>
      <c r="H761" s="165" t="s">
        <v>12</v>
      </c>
      <c r="I761" s="583"/>
      <c r="J761" s="583"/>
      <c r="K761" s="93"/>
      <c r="L761" s="93"/>
      <c r="M761" s="93"/>
      <c r="N761" s="93"/>
      <c r="O761" s="93"/>
      <c r="P761" s="93"/>
      <c r="Q761" s="568"/>
      <c r="R761" s="568"/>
      <c r="S761" s="568"/>
      <c r="T761" s="568"/>
      <c r="U761" s="568"/>
      <c r="V761" s="568"/>
      <c r="W761" s="568"/>
      <c r="X761" s="568"/>
      <c r="Y761" s="568"/>
      <c r="Z761" s="568"/>
    </row>
    <row r="762" spans="1:26" ht="19.5" hidden="1" thickBot="1">
      <c r="A762" s="615"/>
      <c r="B762" s="571"/>
      <c r="C762" s="723"/>
      <c r="D762" s="723"/>
      <c r="E762" s="723"/>
      <c r="F762" s="723" t="s">
        <v>188</v>
      </c>
      <c r="G762" s="567"/>
      <c r="H762" s="165" t="s">
        <v>12</v>
      </c>
      <c r="I762" s="583"/>
      <c r="J762" s="583"/>
      <c r="K762" s="93"/>
      <c r="L762" s="93"/>
      <c r="M762" s="93"/>
      <c r="N762" s="93"/>
      <c r="O762" s="93"/>
      <c r="P762" s="93"/>
      <c r="Q762" s="568"/>
      <c r="R762" s="568"/>
      <c r="S762" s="568"/>
      <c r="T762" s="568"/>
      <c r="U762" s="568"/>
      <c r="V762" s="568"/>
      <c r="W762" s="568"/>
      <c r="X762" s="568"/>
      <c r="Y762" s="568"/>
      <c r="Z762" s="568"/>
    </row>
    <row r="763" spans="1:26" ht="19.5" hidden="1" thickBot="1">
      <c r="A763" s="615"/>
      <c r="B763" s="571"/>
      <c r="C763" s="723"/>
      <c r="D763" s="723"/>
      <c r="E763" s="723"/>
      <c r="F763" s="723" t="s">
        <v>189</v>
      </c>
      <c r="G763" s="567"/>
      <c r="H763" s="165" t="s">
        <v>12</v>
      </c>
      <c r="I763" s="583"/>
      <c r="J763" s="583"/>
      <c r="K763" s="93"/>
      <c r="L763" s="93"/>
      <c r="M763" s="93"/>
      <c r="N763" s="93"/>
      <c r="O763" s="93"/>
      <c r="P763" s="93"/>
      <c r="Q763" s="568"/>
      <c r="R763" s="568"/>
      <c r="S763" s="568"/>
      <c r="T763" s="568"/>
      <c r="U763" s="568"/>
      <c r="V763" s="568"/>
      <c r="W763" s="568"/>
      <c r="X763" s="568"/>
      <c r="Y763" s="568"/>
      <c r="Z763" s="568"/>
    </row>
    <row r="764" spans="1:26" ht="20.25" hidden="1" thickBot="1">
      <c r="A764" s="563"/>
      <c r="B764" s="571"/>
      <c r="C764" s="723"/>
      <c r="D764" s="611" t="s">
        <v>21</v>
      </c>
      <c r="E764" s="723"/>
      <c r="F764" s="723"/>
      <c r="G764" s="567"/>
      <c r="H764" s="747" t="s">
        <v>12</v>
      </c>
      <c r="I764" s="166"/>
      <c r="J764" s="166"/>
      <c r="K764" s="167"/>
      <c r="L764" s="613">
        <f t="shared" ref="L764:N764" si="306">L765+L766</f>
        <v>0</v>
      </c>
      <c r="M764" s="613">
        <f t="shared" si="306"/>
        <v>0</v>
      </c>
      <c r="N764" s="613">
        <f t="shared" si="306"/>
        <v>0</v>
      </c>
      <c r="O764" s="613">
        <f t="shared" ref="O764:O766" si="307">IF(L764&gt;0,N764*100/L764,0)</f>
        <v>0</v>
      </c>
      <c r="P764" s="613">
        <f t="shared" ref="P764:P766" si="308">IF(M764&gt;0,N764*100/M764,0)</f>
        <v>0</v>
      </c>
      <c r="Q764" s="568"/>
      <c r="R764" s="568"/>
      <c r="S764" s="568"/>
      <c r="T764" s="568"/>
      <c r="U764" s="568"/>
      <c r="V764" s="568"/>
      <c r="W764" s="568"/>
      <c r="X764" s="568"/>
      <c r="Y764" s="568"/>
      <c r="Z764" s="568"/>
    </row>
    <row r="765" spans="1:26" ht="19.5" hidden="1" thickBot="1">
      <c r="A765" s="563"/>
      <c r="B765" s="571"/>
      <c r="C765" s="723"/>
      <c r="D765" s="723"/>
      <c r="E765" s="723" t="s">
        <v>18</v>
      </c>
      <c r="F765" s="723"/>
      <c r="G765" s="567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7"/>
        <v>0</v>
      </c>
      <c r="P765" s="93">
        <f t="shared" si="308"/>
        <v>0</v>
      </c>
      <c r="Q765" s="568"/>
      <c r="R765" s="568"/>
      <c r="S765" s="568"/>
      <c r="T765" s="568"/>
      <c r="U765" s="568"/>
      <c r="V765" s="568"/>
      <c r="W765" s="568"/>
      <c r="X765" s="568"/>
      <c r="Y765" s="568"/>
      <c r="Z765" s="568"/>
    </row>
    <row r="766" spans="1:26" ht="19.5" hidden="1" thickBot="1">
      <c r="A766" s="563"/>
      <c r="B766" s="571"/>
      <c r="C766" s="723"/>
      <c r="D766" s="723"/>
      <c r="E766" s="723" t="s">
        <v>19</v>
      </c>
      <c r="F766" s="723"/>
      <c r="G766" s="567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7"/>
        <v>0</v>
      </c>
      <c r="P766" s="93">
        <f t="shared" si="308"/>
        <v>0</v>
      </c>
      <c r="Q766" s="568"/>
      <c r="R766" s="568"/>
      <c r="S766" s="568"/>
      <c r="T766" s="568"/>
      <c r="U766" s="568"/>
      <c r="V766" s="568"/>
      <c r="W766" s="568"/>
      <c r="X766" s="568"/>
      <c r="Y766" s="568"/>
      <c r="Z766" s="568"/>
    </row>
    <row r="767" spans="1:26" ht="20.25" hidden="1" thickBot="1">
      <c r="A767" s="578"/>
      <c r="B767" s="580"/>
      <c r="C767" s="723" t="s">
        <v>16</v>
      </c>
      <c r="D767" s="856" t="s">
        <v>38</v>
      </c>
      <c r="E767" s="617"/>
      <c r="F767" s="617"/>
      <c r="G767" s="618"/>
      <c r="H767" s="581"/>
      <c r="I767" s="166"/>
      <c r="J767" s="166"/>
      <c r="K767" s="167"/>
      <c r="L767" s="167"/>
      <c r="M767" s="167"/>
      <c r="N767" s="167"/>
      <c r="O767" s="167"/>
      <c r="P767" s="167"/>
      <c r="Q767" s="568"/>
      <c r="R767" s="568"/>
      <c r="S767" s="568"/>
      <c r="T767" s="568"/>
      <c r="U767" s="568"/>
      <c r="V767" s="568"/>
      <c r="W767" s="568"/>
      <c r="X767" s="568"/>
      <c r="Y767" s="568"/>
      <c r="Z767" s="568"/>
    </row>
    <row r="768" spans="1:26" ht="19.5" hidden="1" thickBot="1">
      <c r="A768" s="615"/>
      <c r="B768" s="571"/>
      <c r="C768" s="723"/>
      <c r="D768" s="723"/>
      <c r="E768" s="723" t="s">
        <v>316</v>
      </c>
      <c r="F768" s="723"/>
      <c r="G768" s="567"/>
      <c r="H768" s="165" t="s">
        <v>46</v>
      </c>
      <c r="I768" s="583"/>
      <c r="J768" s="583"/>
      <c r="K768" s="93"/>
      <c r="L768" s="93"/>
      <c r="M768" s="93"/>
      <c r="N768" s="93"/>
      <c r="O768" s="93"/>
      <c r="P768" s="93"/>
      <c r="Q768" s="568"/>
      <c r="R768" s="568"/>
      <c r="S768" s="568"/>
      <c r="T768" s="568"/>
      <c r="U768" s="568"/>
      <c r="V768" s="568"/>
      <c r="W768" s="568"/>
      <c r="X768" s="568"/>
      <c r="Y768" s="568"/>
      <c r="Z768" s="568"/>
    </row>
    <row r="769" spans="1:26" ht="20.25" hidden="1" thickBot="1">
      <c r="A769" s="757">
        <v>11</v>
      </c>
      <c r="B769" s="758" t="s">
        <v>317</v>
      </c>
      <c r="C769" s="759"/>
      <c r="D769" s="759"/>
      <c r="E769" s="759"/>
      <c r="F769" s="759"/>
      <c r="G769" s="760"/>
      <c r="H769" s="761" t="s">
        <v>46</v>
      </c>
      <c r="I769" s="762"/>
      <c r="J769" s="762">
        <f>J784</f>
        <v>0</v>
      </c>
      <c r="K769" s="763">
        <f>IF(I769&gt;0,J769*100/I769,0)</f>
        <v>0</v>
      </c>
      <c r="L769" s="764"/>
      <c r="M769" s="764"/>
      <c r="N769" s="764"/>
      <c r="O769" s="764"/>
      <c r="P769" s="764"/>
      <c r="Q769" s="568"/>
      <c r="R769" s="568"/>
      <c r="S769" s="568"/>
      <c r="T769" s="568"/>
      <c r="U769" s="568"/>
      <c r="V769" s="568"/>
      <c r="W769" s="568"/>
      <c r="X769" s="568"/>
      <c r="Y769" s="568"/>
      <c r="Z769" s="568"/>
    </row>
    <row r="770" spans="1:26" ht="20.25" hidden="1" thickBot="1">
      <c r="A770" s="563"/>
      <c r="B770" s="723"/>
      <c r="C770" s="723" t="s">
        <v>16</v>
      </c>
      <c r="D770" s="812" t="s">
        <v>17</v>
      </c>
      <c r="E770" s="805"/>
      <c r="F770" s="805"/>
      <c r="G770" s="567"/>
      <c r="H770" s="612" t="s">
        <v>12</v>
      </c>
      <c r="I770" s="583"/>
      <c r="J770" s="583"/>
      <c r="K770" s="93"/>
      <c r="L770" s="613">
        <f t="shared" ref="L770:N770" si="309">L771+L772</f>
        <v>0</v>
      </c>
      <c r="M770" s="613">
        <f t="shared" si="309"/>
        <v>0</v>
      </c>
      <c r="N770" s="613">
        <f t="shared" si="309"/>
        <v>0</v>
      </c>
      <c r="O770" s="613">
        <f t="shared" ref="O770:O775" si="310">IF(L770&gt;0,N770*100/L770,0)</f>
        <v>0</v>
      </c>
      <c r="P770" s="613">
        <f t="shared" ref="P770:P775" si="311">IF(M770&gt;0,N770*100/M770,0)</f>
        <v>0</v>
      </c>
      <c r="Q770" s="568"/>
      <c r="R770" s="568"/>
      <c r="S770" s="568"/>
      <c r="T770" s="568"/>
      <c r="U770" s="568"/>
      <c r="V770" s="568"/>
      <c r="W770" s="568"/>
      <c r="X770" s="568"/>
      <c r="Y770" s="568"/>
      <c r="Z770" s="568"/>
    </row>
    <row r="771" spans="1:26" ht="19.5" hidden="1" thickBot="1">
      <c r="A771" s="563"/>
      <c r="B771" s="723"/>
      <c r="C771" s="723"/>
      <c r="D771" s="684"/>
      <c r="E771" s="723" t="s">
        <v>184</v>
      </c>
      <c r="F771" s="723"/>
      <c r="G771" s="567"/>
      <c r="H771" s="165" t="s">
        <v>12</v>
      </c>
      <c r="I771" s="583"/>
      <c r="J771" s="583"/>
      <c r="K771" s="93"/>
      <c r="L771" s="93">
        <f t="shared" ref="L771:N772" si="312">L774+L781</f>
        <v>0</v>
      </c>
      <c r="M771" s="93">
        <f t="shared" si="312"/>
        <v>0</v>
      </c>
      <c r="N771" s="93">
        <f t="shared" si="312"/>
        <v>0</v>
      </c>
      <c r="O771" s="93">
        <f t="shared" si="310"/>
        <v>0</v>
      </c>
      <c r="P771" s="93">
        <f t="shared" si="311"/>
        <v>0</v>
      </c>
      <c r="Q771" s="568"/>
      <c r="R771" s="568"/>
      <c r="S771" s="568"/>
      <c r="T771" s="568"/>
      <c r="U771" s="568"/>
      <c r="V771" s="568"/>
      <c r="W771" s="568"/>
      <c r="X771" s="568"/>
      <c r="Y771" s="568"/>
      <c r="Z771" s="568"/>
    </row>
    <row r="772" spans="1:26" ht="19.5" hidden="1" thickBot="1">
      <c r="A772" s="563"/>
      <c r="B772" s="571"/>
      <c r="C772" s="723"/>
      <c r="D772" s="684"/>
      <c r="E772" s="723" t="s">
        <v>185</v>
      </c>
      <c r="F772" s="723"/>
      <c r="G772" s="567"/>
      <c r="H772" s="165" t="s">
        <v>12</v>
      </c>
      <c r="I772" s="583"/>
      <c r="J772" s="583"/>
      <c r="K772" s="93"/>
      <c r="L772" s="93">
        <f t="shared" si="312"/>
        <v>0</v>
      </c>
      <c r="M772" s="93">
        <f t="shared" si="312"/>
        <v>0</v>
      </c>
      <c r="N772" s="93">
        <f t="shared" si="312"/>
        <v>0</v>
      </c>
      <c r="O772" s="93">
        <f t="shared" si="310"/>
        <v>0</v>
      </c>
      <c r="P772" s="93">
        <f t="shared" si="311"/>
        <v>0</v>
      </c>
      <c r="Q772" s="568"/>
      <c r="R772" s="568"/>
      <c r="S772" s="568"/>
      <c r="T772" s="568"/>
      <c r="U772" s="568"/>
      <c r="V772" s="568"/>
      <c r="W772" s="568"/>
      <c r="X772" s="568"/>
      <c r="Y772" s="568"/>
      <c r="Z772" s="568"/>
    </row>
    <row r="773" spans="1:26" ht="20.25" hidden="1" thickBot="1">
      <c r="A773" s="563"/>
      <c r="B773" s="571"/>
      <c r="C773" s="723"/>
      <c r="D773" s="611" t="s">
        <v>20</v>
      </c>
      <c r="E773" s="723"/>
      <c r="F773" s="723"/>
      <c r="G773" s="567"/>
      <c r="H773" s="612" t="s">
        <v>12</v>
      </c>
      <c r="I773" s="166"/>
      <c r="J773" s="166"/>
      <c r="K773" s="167"/>
      <c r="L773" s="613">
        <f t="shared" ref="L773:N773" si="313">L774+L775</f>
        <v>0</v>
      </c>
      <c r="M773" s="613">
        <f t="shared" si="313"/>
        <v>0</v>
      </c>
      <c r="N773" s="613">
        <f t="shared" si="313"/>
        <v>0</v>
      </c>
      <c r="O773" s="613">
        <f t="shared" si="310"/>
        <v>0</v>
      </c>
      <c r="P773" s="613">
        <f t="shared" si="311"/>
        <v>0</v>
      </c>
      <c r="Q773" s="568"/>
      <c r="R773" s="568"/>
      <c r="S773" s="568"/>
      <c r="T773" s="568"/>
      <c r="U773" s="568"/>
      <c r="V773" s="568"/>
      <c r="W773" s="568"/>
      <c r="X773" s="568"/>
      <c r="Y773" s="568"/>
      <c r="Z773" s="568"/>
    </row>
    <row r="774" spans="1:26" ht="19.5" hidden="1" thickBot="1">
      <c r="A774" s="563"/>
      <c r="B774" s="571"/>
      <c r="C774" s="723"/>
      <c r="D774" s="684"/>
      <c r="E774" s="723" t="s">
        <v>184</v>
      </c>
      <c r="F774" s="723"/>
      <c r="G774" s="567"/>
      <c r="H774" s="165" t="s">
        <v>12</v>
      </c>
      <c r="I774" s="583"/>
      <c r="J774" s="583"/>
      <c r="K774" s="93"/>
      <c r="L774" s="93">
        <v>0</v>
      </c>
      <c r="M774" s="93">
        <v>0</v>
      </c>
      <c r="N774" s="93">
        <v>0</v>
      </c>
      <c r="O774" s="93">
        <f t="shared" si="310"/>
        <v>0</v>
      </c>
      <c r="P774" s="93">
        <f t="shared" si="311"/>
        <v>0</v>
      </c>
      <c r="Q774" s="568"/>
      <c r="R774" s="568"/>
      <c r="S774" s="568"/>
      <c r="T774" s="568"/>
      <c r="U774" s="568"/>
      <c r="V774" s="568"/>
      <c r="W774" s="568"/>
      <c r="X774" s="568"/>
      <c r="Y774" s="568"/>
      <c r="Z774" s="568"/>
    </row>
    <row r="775" spans="1:26" ht="19.5" hidden="1" thickBot="1">
      <c r="A775" s="563"/>
      <c r="B775" s="571"/>
      <c r="C775" s="723"/>
      <c r="D775" s="684"/>
      <c r="E775" s="723" t="s">
        <v>185</v>
      </c>
      <c r="F775" s="723"/>
      <c r="G775" s="567"/>
      <c r="H775" s="165" t="s">
        <v>12</v>
      </c>
      <c r="I775" s="583"/>
      <c r="J775" s="583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0"/>
        <v>0</v>
      </c>
      <c r="P775" s="93">
        <f t="shared" si="311"/>
        <v>0</v>
      </c>
      <c r="Q775" s="568"/>
      <c r="R775" s="568"/>
      <c r="S775" s="568"/>
      <c r="T775" s="568"/>
      <c r="U775" s="568"/>
      <c r="V775" s="568"/>
      <c r="W775" s="568"/>
      <c r="X775" s="568"/>
      <c r="Y775" s="568"/>
      <c r="Z775" s="568"/>
    </row>
    <row r="776" spans="1:26" ht="19.5" hidden="1" thickBot="1">
      <c r="A776" s="615"/>
      <c r="B776" s="571"/>
      <c r="C776" s="723"/>
      <c r="D776" s="723"/>
      <c r="E776" s="723"/>
      <c r="F776" s="723" t="s">
        <v>186</v>
      </c>
      <c r="G776" s="567"/>
      <c r="H776" s="165" t="s">
        <v>12</v>
      </c>
      <c r="I776" s="583"/>
      <c r="J776" s="583"/>
      <c r="K776" s="93"/>
      <c r="L776" s="93"/>
      <c r="M776" s="93"/>
      <c r="N776" s="93"/>
      <c r="O776" s="93"/>
      <c r="P776" s="93"/>
      <c r="Q776" s="568"/>
      <c r="R776" s="568"/>
      <c r="S776" s="568"/>
      <c r="T776" s="568"/>
      <c r="U776" s="568"/>
      <c r="V776" s="568"/>
      <c r="W776" s="568"/>
      <c r="X776" s="568"/>
      <c r="Y776" s="568"/>
      <c r="Z776" s="568"/>
    </row>
    <row r="777" spans="1:26" ht="19.5" hidden="1" thickBot="1">
      <c r="A777" s="615"/>
      <c r="B777" s="571"/>
      <c r="C777" s="723"/>
      <c r="D777" s="723"/>
      <c r="E777" s="723"/>
      <c r="F777" s="723" t="s">
        <v>187</v>
      </c>
      <c r="G777" s="567"/>
      <c r="H777" s="165" t="s">
        <v>12</v>
      </c>
      <c r="I777" s="583"/>
      <c r="J777" s="583"/>
      <c r="K777" s="93"/>
      <c r="L777" s="93"/>
      <c r="M777" s="93"/>
      <c r="N777" s="93"/>
      <c r="O777" s="93"/>
      <c r="P777" s="93"/>
      <c r="Q777" s="568"/>
      <c r="R777" s="568"/>
      <c r="S777" s="568"/>
      <c r="T777" s="568"/>
      <c r="U777" s="568"/>
      <c r="V777" s="568"/>
      <c r="W777" s="568"/>
      <c r="X777" s="568"/>
      <c r="Y777" s="568"/>
      <c r="Z777" s="568"/>
    </row>
    <row r="778" spans="1:26" ht="19.5" hidden="1" thickBot="1">
      <c r="A778" s="615"/>
      <c r="B778" s="571"/>
      <c r="C778" s="723"/>
      <c r="D778" s="723"/>
      <c r="E778" s="723"/>
      <c r="F778" s="723" t="s">
        <v>188</v>
      </c>
      <c r="G778" s="567"/>
      <c r="H778" s="165" t="s">
        <v>12</v>
      </c>
      <c r="I778" s="583"/>
      <c r="J778" s="583"/>
      <c r="K778" s="93"/>
      <c r="L778" s="93"/>
      <c r="M778" s="93"/>
      <c r="N778" s="93"/>
      <c r="O778" s="93"/>
      <c r="P778" s="93"/>
      <c r="Q778" s="568"/>
      <c r="R778" s="568"/>
      <c r="S778" s="568"/>
      <c r="T778" s="568"/>
      <c r="U778" s="568"/>
      <c r="V778" s="568"/>
      <c r="W778" s="568"/>
      <c r="X778" s="568"/>
      <c r="Y778" s="568"/>
      <c r="Z778" s="568"/>
    </row>
    <row r="779" spans="1:26" ht="19.5" hidden="1" thickBot="1">
      <c r="A779" s="615"/>
      <c r="B779" s="571"/>
      <c r="C779" s="723"/>
      <c r="D779" s="723"/>
      <c r="E779" s="723"/>
      <c r="F779" s="723" t="s">
        <v>189</v>
      </c>
      <c r="G779" s="567"/>
      <c r="H779" s="165" t="s">
        <v>12</v>
      </c>
      <c r="I779" s="583"/>
      <c r="J779" s="583"/>
      <c r="K779" s="93"/>
      <c r="L779" s="93"/>
      <c r="M779" s="93"/>
      <c r="N779" s="93"/>
      <c r="O779" s="93"/>
      <c r="P779" s="93"/>
      <c r="Q779" s="568"/>
      <c r="R779" s="568"/>
      <c r="S779" s="568"/>
      <c r="T779" s="568"/>
      <c r="U779" s="568"/>
      <c r="V779" s="568"/>
      <c r="W779" s="568"/>
      <c r="X779" s="568"/>
      <c r="Y779" s="568"/>
      <c r="Z779" s="568"/>
    </row>
    <row r="780" spans="1:26" ht="20.25" hidden="1" thickBot="1">
      <c r="A780" s="563"/>
      <c r="B780" s="571"/>
      <c r="C780" s="723"/>
      <c r="D780" s="611" t="s">
        <v>21</v>
      </c>
      <c r="E780" s="723"/>
      <c r="F780" s="723"/>
      <c r="G780" s="567"/>
      <c r="H780" s="747" t="s">
        <v>12</v>
      </c>
      <c r="I780" s="166"/>
      <c r="J780" s="166"/>
      <c r="K780" s="167"/>
      <c r="L780" s="613">
        <f t="shared" ref="L780:N780" si="314">L781+L782</f>
        <v>0</v>
      </c>
      <c r="M780" s="613">
        <f t="shared" si="314"/>
        <v>0</v>
      </c>
      <c r="N780" s="613">
        <f t="shared" si="314"/>
        <v>0</v>
      </c>
      <c r="O780" s="613">
        <f t="shared" ref="O780:O782" si="315">IF(L780&gt;0,N780*100/L780,0)</f>
        <v>0</v>
      </c>
      <c r="P780" s="613">
        <f t="shared" ref="P780:P782" si="316">IF(M780&gt;0,N780*100/M780,0)</f>
        <v>0</v>
      </c>
      <c r="Q780" s="568"/>
      <c r="R780" s="568"/>
      <c r="S780" s="568"/>
      <c r="T780" s="568"/>
      <c r="U780" s="568"/>
      <c r="V780" s="568"/>
      <c r="W780" s="568"/>
      <c r="X780" s="568"/>
      <c r="Y780" s="568"/>
      <c r="Z780" s="568"/>
    </row>
    <row r="781" spans="1:26" ht="19.5" hidden="1" thickBot="1">
      <c r="A781" s="563"/>
      <c r="B781" s="571"/>
      <c r="C781" s="723"/>
      <c r="D781" s="723"/>
      <c r="E781" s="723" t="s">
        <v>18</v>
      </c>
      <c r="F781" s="723"/>
      <c r="G781" s="567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5"/>
        <v>0</v>
      </c>
      <c r="P781" s="93">
        <f t="shared" si="316"/>
        <v>0</v>
      </c>
      <c r="Q781" s="568"/>
      <c r="R781" s="568"/>
      <c r="S781" s="568"/>
      <c r="T781" s="568"/>
      <c r="U781" s="568"/>
      <c r="V781" s="568"/>
      <c r="W781" s="568"/>
      <c r="X781" s="568"/>
      <c r="Y781" s="568"/>
      <c r="Z781" s="568"/>
    </row>
    <row r="782" spans="1:26" ht="19.5" hidden="1" thickBot="1">
      <c r="A782" s="563"/>
      <c r="B782" s="571"/>
      <c r="C782" s="723"/>
      <c r="D782" s="723"/>
      <c r="E782" s="723" t="s">
        <v>19</v>
      </c>
      <c r="F782" s="723"/>
      <c r="G782" s="567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5"/>
        <v>0</v>
      </c>
      <c r="P782" s="93">
        <f t="shared" si="316"/>
        <v>0</v>
      </c>
      <c r="Q782" s="568"/>
      <c r="R782" s="568"/>
      <c r="S782" s="568"/>
      <c r="T782" s="568"/>
      <c r="U782" s="568"/>
      <c r="V782" s="568"/>
      <c r="W782" s="568"/>
      <c r="X782" s="568"/>
      <c r="Y782" s="568"/>
      <c r="Z782" s="568"/>
    </row>
    <row r="783" spans="1:26" ht="20.25" hidden="1" thickBot="1">
      <c r="A783" s="578"/>
      <c r="B783" s="580"/>
      <c r="C783" s="723" t="s">
        <v>16</v>
      </c>
      <c r="D783" s="856" t="s">
        <v>38</v>
      </c>
      <c r="E783" s="617"/>
      <c r="F783" s="617"/>
      <c r="G783" s="618"/>
      <c r="H783" s="765"/>
      <c r="I783" s="166"/>
      <c r="J783" s="166"/>
      <c r="K783" s="167"/>
      <c r="L783" s="167"/>
      <c r="M783" s="167"/>
      <c r="N783" s="167"/>
      <c r="O783" s="167"/>
      <c r="P783" s="167"/>
      <c r="Q783" s="568"/>
      <c r="R783" s="568"/>
      <c r="S783" s="568"/>
      <c r="T783" s="568"/>
      <c r="U783" s="568"/>
      <c r="V783" s="568"/>
      <c r="W783" s="568"/>
      <c r="X783" s="568"/>
      <c r="Y783" s="568"/>
      <c r="Z783" s="568"/>
    </row>
    <row r="784" spans="1:26" ht="19.5" hidden="1" thickBot="1">
      <c r="A784" s="615"/>
      <c r="B784" s="571"/>
      <c r="C784" s="723"/>
      <c r="D784" s="723"/>
      <c r="E784" s="723" t="s">
        <v>318</v>
      </c>
      <c r="F784" s="723"/>
      <c r="G784" s="567"/>
      <c r="H784" s="165" t="s">
        <v>46</v>
      </c>
      <c r="I784" s="583"/>
      <c r="J784" s="583"/>
      <c r="K784" s="93"/>
      <c r="L784" s="93"/>
      <c r="M784" s="93"/>
      <c r="N784" s="93"/>
      <c r="O784" s="93"/>
      <c r="P784" s="93"/>
      <c r="Q784" s="568"/>
      <c r="R784" s="568"/>
      <c r="S784" s="568"/>
      <c r="T784" s="568"/>
      <c r="U784" s="568"/>
      <c r="V784" s="568"/>
      <c r="W784" s="568"/>
      <c r="X784" s="568"/>
      <c r="Y784" s="568"/>
      <c r="Z784" s="568"/>
    </row>
    <row r="785" spans="1:26" ht="20.25" hidden="1" thickBot="1">
      <c r="A785" s="766">
        <v>12</v>
      </c>
      <c r="B785" s="767" t="s">
        <v>319</v>
      </c>
      <c r="C785" s="768"/>
      <c r="D785" s="768"/>
      <c r="E785" s="768"/>
      <c r="F785" s="768"/>
      <c r="G785" s="769"/>
      <c r="H785" s="770" t="s">
        <v>46</v>
      </c>
      <c r="I785" s="860">
        <f t="shared" ref="I785:J785" ca="1" si="317">I800</f>
        <v>0</v>
      </c>
      <c r="J785" s="771">
        <f t="shared" ca="1" si="317"/>
        <v>0</v>
      </c>
      <c r="K785" s="772">
        <f ca="1">IF(I785&gt;0,J785*100/I785,0)</f>
        <v>0</v>
      </c>
      <c r="L785" s="773"/>
      <c r="M785" s="773"/>
      <c r="N785" s="773"/>
      <c r="O785" s="773"/>
      <c r="P785" s="773"/>
      <c r="Q785" s="541"/>
      <c r="R785" s="541"/>
      <c r="S785" s="541"/>
      <c r="T785" s="541"/>
      <c r="U785" s="541"/>
      <c r="V785" s="541"/>
      <c r="W785" s="541"/>
      <c r="X785" s="541"/>
      <c r="Y785" s="541"/>
      <c r="Z785" s="541"/>
    </row>
    <row r="786" spans="1:26" ht="20.25" hidden="1" thickBot="1">
      <c r="A786" s="561"/>
      <c r="B786" s="538"/>
      <c r="C786" s="727" t="s">
        <v>16</v>
      </c>
      <c r="D786" s="811" t="s">
        <v>17</v>
      </c>
      <c r="E786" s="805"/>
      <c r="F786" s="805"/>
      <c r="G786" s="189"/>
      <c r="H786" s="562" t="s">
        <v>12</v>
      </c>
      <c r="I786" s="269"/>
      <c r="J786" s="269"/>
      <c r="K786" s="465"/>
      <c r="L786" s="195">
        <f t="shared" ref="L786:N786" ca="1" si="318">L787+L788</f>
        <v>0</v>
      </c>
      <c r="M786" s="195">
        <f t="shared" si="318"/>
        <v>0</v>
      </c>
      <c r="N786" s="195">
        <f t="shared" si="318"/>
        <v>0</v>
      </c>
      <c r="O786" s="195">
        <f t="shared" ref="O786:O791" ca="1" si="319">IF(L786&gt;0,N786*100/L786,0)</f>
        <v>0</v>
      </c>
      <c r="P786" s="195">
        <f t="shared" ref="P786:P791" si="320">IF(M786&gt;0,N786*100/M786,0)</f>
        <v>0</v>
      </c>
      <c r="Q786" s="541"/>
      <c r="R786" s="541"/>
      <c r="S786" s="541"/>
      <c r="T786" s="541"/>
      <c r="U786" s="541"/>
      <c r="V786" s="541"/>
      <c r="W786" s="541"/>
      <c r="X786" s="541"/>
      <c r="Y786" s="541"/>
      <c r="Z786" s="541"/>
    </row>
    <row r="787" spans="1:26" ht="19.5" hidden="1" thickBot="1">
      <c r="A787" s="563"/>
      <c r="B787" s="571"/>
      <c r="C787" s="723"/>
      <c r="D787" s="684"/>
      <c r="E787" s="723" t="s">
        <v>184</v>
      </c>
      <c r="F787" s="723"/>
      <c r="G787" s="567"/>
      <c r="H787" s="165" t="s">
        <v>12</v>
      </c>
      <c r="I787" s="583"/>
      <c r="J787" s="583"/>
      <c r="K787" s="93"/>
      <c r="L787" s="93">
        <f t="shared" ref="L787:N788" si="321">L790+L797</f>
        <v>0</v>
      </c>
      <c r="M787" s="93">
        <f t="shared" si="321"/>
        <v>0</v>
      </c>
      <c r="N787" s="93">
        <f t="shared" si="321"/>
        <v>0</v>
      </c>
      <c r="O787" s="93">
        <f t="shared" si="319"/>
        <v>0</v>
      </c>
      <c r="P787" s="93">
        <f t="shared" si="320"/>
        <v>0</v>
      </c>
      <c r="Q787" s="568"/>
      <c r="R787" s="568"/>
      <c r="S787" s="568"/>
      <c r="T787" s="568"/>
      <c r="U787" s="568"/>
      <c r="V787" s="568"/>
      <c r="W787" s="568"/>
      <c r="X787" s="568"/>
      <c r="Y787" s="568"/>
      <c r="Z787" s="568"/>
    </row>
    <row r="788" spans="1:26" ht="19.5" hidden="1" thickBot="1">
      <c r="A788" s="563"/>
      <c r="B788" s="571"/>
      <c r="C788" s="571"/>
      <c r="D788" s="580"/>
      <c r="E788" s="723" t="s">
        <v>185</v>
      </c>
      <c r="F788" s="723"/>
      <c r="G788" s="567"/>
      <c r="H788" s="165" t="s">
        <v>12</v>
      </c>
      <c r="I788" s="583"/>
      <c r="J788" s="583"/>
      <c r="K788" s="93"/>
      <c r="L788" s="93">
        <f t="shared" ca="1" si="321"/>
        <v>0</v>
      </c>
      <c r="M788" s="93">
        <f t="shared" si="321"/>
        <v>0</v>
      </c>
      <c r="N788" s="93">
        <f t="shared" si="321"/>
        <v>0</v>
      </c>
      <c r="O788" s="93">
        <f t="shared" ca="1" si="319"/>
        <v>0</v>
      </c>
      <c r="P788" s="93">
        <f t="shared" si="320"/>
        <v>0</v>
      </c>
      <c r="Q788" s="568"/>
      <c r="R788" s="568"/>
      <c r="S788" s="568"/>
      <c r="T788" s="568"/>
      <c r="U788" s="568"/>
      <c r="V788" s="568"/>
      <c r="W788" s="568"/>
      <c r="X788" s="568"/>
      <c r="Y788" s="568"/>
      <c r="Z788" s="568"/>
    </row>
    <row r="789" spans="1:26" ht="19.5" hidden="1" thickBot="1">
      <c r="A789" s="561"/>
      <c r="B789" s="538"/>
      <c r="C789" s="538"/>
      <c r="D789" s="570" t="s">
        <v>20</v>
      </c>
      <c r="E789" s="727"/>
      <c r="F789" s="727"/>
      <c r="G789" s="189"/>
      <c r="H789" s="161" t="s">
        <v>12</v>
      </c>
      <c r="I789" s="184"/>
      <c r="J789" s="184"/>
      <c r="K789" s="163"/>
      <c r="L789" s="465">
        <f t="shared" ref="L789:N789" ca="1" si="322">L790+L791</f>
        <v>0</v>
      </c>
      <c r="M789" s="465">
        <f t="shared" si="322"/>
        <v>0</v>
      </c>
      <c r="N789" s="465">
        <f t="shared" si="322"/>
        <v>0</v>
      </c>
      <c r="O789" s="465">
        <f t="shared" ca="1" si="319"/>
        <v>0</v>
      </c>
      <c r="P789" s="465">
        <f t="shared" si="320"/>
        <v>0</v>
      </c>
      <c r="Q789" s="541"/>
      <c r="R789" s="541"/>
      <c r="S789" s="541"/>
      <c r="T789" s="541"/>
      <c r="U789" s="541"/>
      <c r="V789" s="541"/>
      <c r="W789" s="541"/>
      <c r="X789" s="541"/>
      <c r="Y789" s="541"/>
      <c r="Z789" s="541"/>
    </row>
    <row r="790" spans="1:26" ht="19.5" hidden="1" thickBot="1">
      <c r="A790" s="563"/>
      <c r="B790" s="571"/>
      <c r="C790" s="571"/>
      <c r="D790" s="580"/>
      <c r="E790" s="723" t="s">
        <v>184</v>
      </c>
      <c r="F790" s="723"/>
      <c r="G790" s="567"/>
      <c r="H790" s="165" t="s">
        <v>12</v>
      </c>
      <c r="I790" s="583"/>
      <c r="J790" s="583"/>
      <c r="K790" s="93"/>
      <c r="L790" s="93">
        <v>0</v>
      </c>
      <c r="M790" s="93">
        <v>0</v>
      </c>
      <c r="N790" s="93">
        <v>0</v>
      </c>
      <c r="O790" s="93">
        <f t="shared" si="319"/>
        <v>0</v>
      </c>
      <c r="P790" s="93">
        <f t="shared" si="320"/>
        <v>0</v>
      </c>
      <c r="Q790" s="568"/>
      <c r="R790" s="568"/>
      <c r="S790" s="568"/>
      <c r="T790" s="568"/>
      <c r="U790" s="568"/>
      <c r="V790" s="568"/>
      <c r="W790" s="568"/>
      <c r="X790" s="568"/>
      <c r="Y790" s="568"/>
      <c r="Z790" s="568"/>
    </row>
    <row r="791" spans="1:26" ht="19.5" hidden="1" thickBot="1">
      <c r="A791" s="563"/>
      <c r="B791" s="571"/>
      <c r="C791" s="571"/>
      <c r="D791" s="580"/>
      <c r="E791" s="723" t="s">
        <v>185</v>
      </c>
      <c r="F791" s="723"/>
      <c r="G791" s="567"/>
      <c r="H791" s="165" t="s">
        <v>12</v>
      </c>
      <c r="I791" s="583"/>
      <c r="J791" s="583"/>
      <c r="K791" s="93"/>
      <c r="L791" s="93">
        <f ca="1">IFERROR(__xludf.DUMMYFUNCTION("IMPORTRANGE(""https://docs.google.com/spreadsheets/d/1QqKyyYR6Q21VydFLVH3TRQUabQu_ym0Zz7PgGX0-kHA/edit?usp=sharing"",""แผน!JJ18"")"),0)</f>
        <v>0</v>
      </c>
      <c r="M791" s="93">
        <v>0</v>
      </c>
      <c r="N791" s="93">
        <f>N792+N793+N794+N795</f>
        <v>0</v>
      </c>
      <c r="O791" s="93">
        <f t="shared" ca="1" si="319"/>
        <v>0</v>
      </c>
      <c r="P791" s="93">
        <f t="shared" si="320"/>
        <v>0</v>
      </c>
      <c r="Q791" s="568"/>
      <c r="R791" s="568"/>
      <c r="S791" s="568"/>
      <c r="T791" s="568"/>
      <c r="U791" s="568"/>
      <c r="V791" s="568"/>
      <c r="W791" s="568"/>
      <c r="X791" s="568"/>
      <c r="Y791" s="568"/>
      <c r="Z791" s="568"/>
    </row>
    <row r="792" spans="1:26" ht="19.5" hidden="1" thickBot="1">
      <c r="A792" s="537"/>
      <c r="B792" s="538"/>
      <c r="C792" s="727"/>
      <c r="D792" s="727"/>
      <c r="E792" s="727"/>
      <c r="F792" s="727" t="s">
        <v>186</v>
      </c>
      <c r="G792" s="189"/>
      <c r="H792" s="161" t="s">
        <v>12</v>
      </c>
      <c r="I792" s="269"/>
      <c r="J792" s="269"/>
      <c r="K792" s="465"/>
      <c r="L792" s="465"/>
      <c r="M792" s="465"/>
      <c r="N792" s="789">
        <v>0</v>
      </c>
      <c r="O792" s="465"/>
      <c r="P792" s="465"/>
      <c r="Q792" s="541"/>
      <c r="R792" s="541"/>
      <c r="S792" s="541"/>
      <c r="T792" s="541"/>
      <c r="U792" s="541"/>
      <c r="V792" s="541"/>
      <c r="W792" s="541"/>
      <c r="X792" s="541"/>
      <c r="Y792" s="541"/>
      <c r="Z792" s="541"/>
    </row>
    <row r="793" spans="1:26" ht="19.5" hidden="1" thickBot="1">
      <c r="A793" s="537"/>
      <c r="B793" s="538"/>
      <c r="C793" s="727"/>
      <c r="D793" s="727"/>
      <c r="E793" s="727"/>
      <c r="F793" s="727" t="s">
        <v>187</v>
      </c>
      <c r="G793" s="189"/>
      <c r="H793" s="161" t="s">
        <v>12</v>
      </c>
      <c r="I793" s="269"/>
      <c r="J793" s="269"/>
      <c r="K793" s="465"/>
      <c r="L793" s="465"/>
      <c r="M793" s="465"/>
      <c r="N793" s="789">
        <v>0</v>
      </c>
      <c r="O793" s="465"/>
      <c r="P793" s="465"/>
      <c r="Q793" s="541"/>
      <c r="R793" s="541"/>
      <c r="S793" s="541"/>
      <c r="T793" s="541"/>
      <c r="U793" s="541"/>
      <c r="V793" s="541"/>
      <c r="W793" s="541"/>
      <c r="X793" s="541"/>
      <c r="Y793" s="541"/>
      <c r="Z793" s="541"/>
    </row>
    <row r="794" spans="1:26" ht="19.5" hidden="1" thickBot="1">
      <c r="A794" s="537"/>
      <c r="B794" s="538"/>
      <c r="C794" s="727"/>
      <c r="D794" s="727"/>
      <c r="E794" s="727"/>
      <c r="F794" s="727" t="s">
        <v>188</v>
      </c>
      <c r="G794" s="189"/>
      <c r="H794" s="161" t="s">
        <v>12</v>
      </c>
      <c r="I794" s="269"/>
      <c r="J794" s="269"/>
      <c r="K794" s="465"/>
      <c r="L794" s="465"/>
      <c r="M794" s="465"/>
      <c r="N794" s="789">
        <v>0</v>
      </c>
      <c r="O794" s="465"/>
      <c r="P794" s="465"/>
      <c r="Q794" s="541"/>
      <c r="R794" s="541"/>
      <c r="S794" s="541"/>
      <c r="T794" s="541"/>
      <c r="U794" s="541"/>
      <c r="V794" s="541"/>
      <c r="W794" s="541"/>
      <c r="X794" s="541"/>
      <c r="Y794" s="541"/>
      <c r="Z794" s="541"/>
    </row>
    <row r="795" spans="1:26" ht="19.5" hidden="1" thickBot="1">
      <c r="A795" s="537"/>
      <c r="B795" s="538"/>
      <c r="C795" s="727"/>
      <c r="D795" s="727"/>
      <c r="E795" s="727"/>
      <c r="F795" s="727" t="s">
        <v>189</v>
      </c>
      <c r="G795" s="189"/>
      <c r="H795" s="161" t="s">
        <v>12</v>
      </c>
      <c r="I795" s="269"/>
      <c r="J795" s="269"/>
      <c r="K795" s="465"/>
      <c r="L795" s="465"/>
      <c r="M795" s="465"/>
      <c r="N795" s="789">
        <v>0</v>
      </c>
      <c r="O795" s="465"/>
      <c r="P795" s="465"/>
      <c r="Q795" s="541"/>
      <c r="R795" s="541"/>
      <c r="S795" s="541"/>
      <c r="T795" s="541"/>
      <c r="U795" s="541"/>
      <c r="V795" s="541"/>
      <c r="W795" s="541"/>
      <c r="X795" s="541"/>
      <c r="Y795" s="541"/>
      <c r="Z795" s="541"/>
    </row>
    <row r="796" spans="1:26" ht="19.5" hidden="1" thickBot="1">
      <c r="A796" s="561"/>
      <c r="B796" s="538"/>
      <c r="C796" s="727"/>
      <c r="D796" s="570" t="s">
        <v>21</v>
      </c>
      <c r="E796" s="727"/>
      <c r="F796" s="727"/>
      <c r="G796" s="189"/>
      <c r="H796" s="168" t="s">
        <v>12</v>
      </c>
      <c r="I796" s="184"/>
      <c r="J796" s="184"/>
      <c r="K796" s="163"/>
      <c r="L796" s="465">
        <f t="shared" ref="L796:N796" si="323">L797+L798</f>
        <v>0</v>
      </c>
      <c r="M796" s="465">
        <f t="shared" si="323"/>
        <v>0</v>
      </c>
      <c r="N796" s="465">
        <f t="shared" si="323"/>
        <v>0</v>
      </c>
      <c r="O796" s="465">
        <f t="shared" ref="O796:O798" si="324">IF(L796&gt;0,N796*100/L796,0)</f>
        <v>0</v>
      </c>
      <c r="P796" s="465">
        <f t="shared" ref="P796:P798" si="325">IF(M796&gt;0,N796*100/M796,0)</f>
        <v>0</v>
      </c>
      <c r="Q796" s="541"/>
      <c r="R796" s="541"/>
      <c r="S796" s="541"/>
      <c r="T796" s="541"/>
      <c r="U796" s="541"/>
      <c r="V796" s="541"/>
      <c r="W796" s="541"/>
      <c r="X796" s="541"/>
      <c r="Y796" s="541"/>
      <c r="Z796" s="541"/>
    </row>
    <row r="797" spans="1:26" ht="19.5" hidden="1" thickBot="1">
      <c r="A797" s="563"/>
      <c r="B797" s="571"/>
      <c r="C797" s="723"/>
      <c r="D797" s="723"/>
      <c r="E797" s="723" t="s">
        <v>18</v>
      </c>
      <c r="F797" s="723"/>
      <c r="G797" s="567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4"/>
        <v>0</v>
      </c>
      <c r="P797" s="93">
        <f t="shared" si="325"/>
        <v>0</v>
      </c>
      <c r="Q797" s="568"/>
      <c r="R797" s="568"/>
      <c r="S797" s="568"/>
      <c r="T797" s="568"/>
      <c r="U797" s="568"/>
      <c r="V797" s="568"/>
      <c r="W797" s="568"/>
      <c r="X797" s="568"/>
      <c r="Y797" s="568"/>
      <c r="Z797" s="568"/>
    </row>
    <row r="798" spans="1:26" ht="19.5" hidden="1" thickBot="1">
      <c r="A798" s="563"/>
      <c r="B798" s="571"/>
      <c r="C798" s="723"/>
      <c r="D798" s="723"/>
      <c r="E798" s="723" t="s">
        <v>19</v>
      </c>
      <c r="F798" s="723"/>
      <c r="G798" s="567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4"/>
        <v>0</v>
      </c>
      <c r="P798" s="93">
        <f t="shared" si="325"/>
        <v>0</v>
      </c>
      <c r="Q798" s="568"/>
      <c r="R798" s="568"/>
      <c r="S798" s="568"/>
      <c r="T798" s="568"/>
      <c r="U798" s="568"/>
      <c r="V798" s="568"/>
      <c r="W798" s="568"/>
      <c r="X798" s="568"/>
      <c r="Y798" s="568"/>
      <c r="Z798" s="568"/>
    </row>
    <row r="799" spans="1:26" ht="20.25" hidden="1" thickBot="1">
      <c r="A799" s="572"/>
      <c r="B799" s="584"/>
      <c r="C799" s="727" t="s">
        <v>16</v>
      </c>
      <c r="D799" s="855" t="s">
        <v>38</v>
      </c>
      <c r="E799" s="725"/>
      <c r="F799" s="725"/>
      <c r="G799" s="577"/>
      <c r="H799" s="774"/>
      <c r="I799" s="184"/>
      <c r="J799" s="184"/>
      <c r="K799" s="163"/>
      <c r="L799" s="163"/>
      <c r="M799" s="163"/>
      <c r="N799" s="163"/>
      <c r="O799" s="163"/>
      <c r="P799" s="163"/>
      <c r="Q799" s="541"/>
      <c r="R799" s="541"/>
      <c r="S799" s="541"/>
      <c r="T799" s="541"/>
      <c r="U799" s="541"/>
      <c r="V799" s="541"/>
      <c r="W799" s="541"/>
      <c r="X799" s="541"/>
      <c r="Y799" s="541"/>
      <c r="Z799" s="541"/>
    </row>
    <row r="800" spans="1:26" ht="19.5" hidden="1" thickBot="1">
      <c r="A800" s="572"/>
      <c r="B800" s="584"/>
      <c r="C800" s="584"/>
      <c r="D800" s="584"/>
      <c r="E800" s="592"/>
      <c r="F800" s="592" t="s">
        <v>320</v>
      </c>
      <c r="G800" s="726"/>
      <c r="H800" s="185" t="s">
        <v>46</v>
      </c>
      <c r="I800" s="184">
        <f ca="1">IFERROR(__xludf.DUMMYFUNCTION("IMPORTRANGE(""https://docs.google.com/spreadsheets/d/1QqKyyYR6Q21VydFLVH3TRQUabQu_ym0Zz7PgGX0-kHA/edit?usp=sharing"",""แผน!JN18"")"),0)</f>
        <v>0</v>
      </c>
      <c r="J800" s="184">
        <f ca="1">IFERROR(__xludf.DUMMYFUNCTION("IMPORTRANGE(""https://docs.google.com/spreadsheets/d/1MaWodYyGHDf7siQLGxnXhG4mBNTNIuy296niS2xXulU/edit?usp=sharing"",""RTK!H18"")"),0)</f>
        <v>0</v>
      </c>
      <c r="K800" s="465">
        <f ca="1">IF(I800&gt;0,J800*100/I800,0)</f>
        <v>0</v>
      </c>
      <c r="L800" s="465"/>
      <c r="M800" s="465"/>
      <c r="N800" s="465"/>
      <c r="O800" s="163"/>
      <c r="P800" s="163"/>
      <c r="Q800" s="541"/>
      <c r="R800" s="541"/>
      <c r="S800" s="541"/>
      <c r="T800" s="541"/>
      <c r="U800" s="541"/>
      <c r="V800" s="541"/>
      <c r="W800" s="541"/>
      <c r="X800" s="541"/>
      <c r="Y800" s="541"/>
      <c r="Z800" s="541"/>
    </row>
    <row r="801" spans="1:26" ht="19.5" hidden="1" thickBot="1">
      <c r="A801" s="572"/>
      <c r="B801" s="584"/>
      <c r="C801" s="584"/>
      <c r="D801" s="584"/>
      <c r="E801" s="592"/>
      <c r="F801" s="592"/>
      <c r="G801" s="726"/>
      <c r="H801" s="161" t="s">
        <v>34</v>
      </c>
      <c r="I801" s="184"/>
      <c r="J801" s="269">
        <f ca="1">IFERROR(__xludf.DUMMYFUNCTION("IMPORTRANGE(""https://docs.google.com/spreadsheets/d/1MaWodYyGHDf7siQLGxnXhG4mBNTNIuy296niS2xXulU/edit?usp=sharing"",""RTK!I18"")"),0)</f>
        <v>0</v>
      </c>
      <c r="K801" s="465"/>
      <c r="L801" s="465"/>
      <c r="M801" s="465"/>
      <c r="N801" s="465"/>
      <c r="O801" s="163"/>
      <c r="P801" s="163"/>
      <c r="Q801" s="541"/>
      <c r="R801" s="541"/>
      <c r="S801" s="541"/>
      <c r="T801" s="541"/>
      <c r="U801" s="541"/>
      <c r="V801" s="541"/>
      <c r="W801" s="541"/>
      <c r="X801" s="541"/>
      <c r="Y801" s="541"/>
      <c r="Z801" s="541"/>
    </row>
    <row r="802" spans="1:26" ht="19.5" hidden="1" thickBot="1">
      <c r="A802" s="578"/>
      <c r="B802" s="580"/>
      <c r="C802" s="580"/>
      <c r="D802" s="580"/>
      <c r="E802" s="684"/>
      <c r="F802" s="684" t="s">
        <v>321</v>
      </c>
      <c r="G802" s="581"/>
      <c r="H802" s="619" t="s">
        <v>46</v>
      </c>
      <c r="I802" s="166"/>
      <c r="J802" s="583"/>
      <c r="K802" s="167">
        <f>IF(I802&gt;0,J802*100/I802,0)</f>
        <v>0</v>
      </c>
      <c r="L802" s="167"/>
      <c r="M802" s="167"/>
      <c r="N802" s="167"/>
      <c r="O802" s="167"/>
      <c r="P802" s="167"/>
      <c r="Q802" s="568"/>
      <c r="R802" s="568"/>
      <c r="S802" s="568"/>
      <c r="T802" s="568"/>
      <c r="U802" s="568"/>
      <c r="V802" s="568"/>
      <c r="W802" s="568"/>
      <c r="X802" s="568"/>
      <c r="Y802" s="568"/>
      <c r="Z802" s="568"/>
    </row>
    <row r="803" spans="1:26" ht="19.5" hidden="1" thickBot="1">
      <c r="A803" s="578"/>
      <c r="B803" s="580"/>
      <c r="C803" s="580"/>
      <c r="D803" s="580"/>
      <c r="E803" s="684"/>
      <c r="F803" s="684"/>
      <c r="G803" s="581"/>
      <c r="H803" s="619" t="s">
        <v>34</v>
      </c>
      <c r="I803" s="166"/>
      <c r="J803" s="583"/>
      <c r="K803" s="167"/>
      <c r="L803" s="167"/>
      <c r="M803" s="167"/>
      <c r="N803" s="167"/>
      <c r="O803" s="167"/>
      <c r="P803" s="167"/>
      <c r="Q803" s="568"/>
      <c r="R803" s="568"/>
      <c r="S803" s="568"/>
      <c r="T803" s="568"/>
      <c r="U803" s="568"/>
      <c r="V803" s="568"/>
      <c r="W803" s="568"/>
      <c r="X803" s="568"/>
      <c r="Y803" s="568"/>
      <c r="Z803" s="568"/>
    </row>
    <row r="804" spans="1:26" ht="20.25" hidden="1" thickBot="1">
      <c r="A804" s="757">
        <v>13</v>
      </c>
      <c r="B804" s="758" t="s">
        <v>322</v>
      </c>
      <c r="C804" s="759"/>
      <c r="D804" s="775"/>
      <c r="E804" s="759"/>
      <c r="F804" s="759"/>
      <c r="G804" s="760"/>
      <c r="H804" s="761" t="s">
        <v>46</v>
      </c>
      <c r="I804" s="762"/>
      <c r="J804" s="762">
        <f>J819</f>
        <v>0</v>
      </c>
      <c r="K804" s="763">
        <f>IF(I804&gt;0,J804*100/I804,0)</f>
        <v>0</v>
      </c>
      <c r="L804" s="764"/>
      <c r="M804" s="764"/>
      <c r="N804" s="764"/>
      <c r="O804" s="764"/>
      <c r="P804" s="764"/>
      <c r="Q804" s="568"/>
      <c r="R804" s="568"/>
      <c r="S804" s="568"/>
      <c r="T804" s="568"/>
      <c r="U804" s="568"/>
      <c r="V804" s="568"/>
      <c r="W804" s="568"/>
      <c r="X804" s="568"/>
      <c r="Y804" s="568"/>
      <c r="Z804" s="568"/>
    </row>
    <row r="805" spans="1:26" ht="20.25" hidden="1" thickBot="1">
      <c r="A805" s="563"/>
      <c r="B805" s="723"/>
      <c r="C805" s="723" t="s">
        <v>16</v>
      </c>
      <c r="D805" s="812" t="s">
        <v>17</v>
      </c>
      <c r="E805" s="805"/>
      <c r="F805" s="805"/>
      <c r="G805" s="567"/>
      <c r="H805" s="612" t="s">
        <v>12</v>
      </c>
      <c r="I805" s="583"/>
      <c r="J805" s="583"/>
      <c r="K805" s="93"/>
      <c r="L805" s="613">
        <f t="shared" ref="L805:N805" si="326">L806+L807</f>
        <v>0</v>
      </c>
      <c r="M805" s="613">
        <f t="shared" si="326"/>
        <v>0</v>
      </c>
      <c r="N805" s="613">
        <f t="shared" si="326"/>
        <v>0</v>
      </c>
      <c r="O805" s="613">
        <f t="shared" ref="O805:O810" si="327">IF(L805&gt;0,N805*100/L805,0)</f>
        <v>0</v>
      </c>
      <c r="P805" s="613">
        <f t="shared" ref="P805:P810" si="328">IF(M805&gt;0,N805*100/M805,0)</f>
        <v>0</v>
      </c>
      <c r="Q805" s="568"/>
      <c r="R805" s="568"/>
      <c r="S805" s="568"/>
      <c r="T805" s="568"/>
      <c r="U805" s="568"/>
      <c r="V805" s="568"/>
      <c r="W805" s="568"/>
      <c r="X805" s="568"/>
      <c r="Y805" s="568"/>
      <c r="Z805" s="568"/>
    </row>
    <row r="806" spans="1:26" ht="19.5" hidden="1" thickBot="1">
      <c r="A806" s="563"/>
      <c r="B806" s="723"/>
      <c r="C806" s="723"/>
      <c r="D806" s="580"/>
      <c r="E806" s="723" t="s">
        <v>184</v>
      </c>
      <c r="F806" s="723"/>
      <c r="G806" s="567"/>
      <c r="H806" s="165" t="s">
        <v>12</v>
      </c>
      <c r="I806" s="583"/>
      <c r="J806" s="583"/>
      <c r="K806" s="93"/>
      <c r="L806" s="93">
        <f t="shared" ref="L806:N807" si="329">L809+L816</f>
        <v>0</v>
      </c>
      <c r="M806" s="93">
        <f t="shared" si="329"/>
        <v>0</v>
      </c>
      <c r="N806" s="93">
        <f t="shared" si="329"/>
        <v>0</v>
      </c>
      <c r="O806" s="93">
        <f t="shared" si="327"/>
        <v>0</v>
      </c>
      <c r="P806" s="93">
        <f t="shared" si="328"/>
        <v>0</v>
      </c>
      <c r="Q806" s="568"/>
      <c r="R806" s="568"/>
      <c r="S806" s="568"/>
      <c r="T806" s="568"/>
      <c r="U806" s="568"/>
      <c r="V806" s="568"/>
      <c r="W806" s="568"/>
      <c r="X806" s="568"/>
      <c r="Y806" s="568"/>
      <c r="Z806" s="568"/>
    </row>
    <row r="807" spans="1:26" ht="19.5" hidden="1" thickBot="1">
      <c r="A807" s="563"/>
      <c r="B807" s="723"/>
      <c r="C807" s="723"/>
      <c r="D807" s="580"/>
      <c r="E807" s="723" t="s">
        <v>185</v>
      </c>
      <c r="F807" s="723"/>
      <c r="G807" s="567"/>
      <c r="H807" s="165" t="s">
        <v>12</v>
      </c>
      <c r="I807" s="583"/>
      <c r="J807" s="583"/>
      <c r="K807" s="93"/>
      <c r="L807" s="93">
        <f t="shared" si="329"/>
        <v>0</v>
      </c>
      <c r="M807" s="93">
        <f t="shared" si="329"/>
        <v>0</v>
      </c>
      <c r="N807" s="93">
        <f t="shared" si="329"/>
        <v>0</v>
      </c>
      <c r="O807" s="93">
        <f t="shared" si="327"/>
        <v>0</v>
      </c>
      <c r="P807" s="93">
        <f t="shared" si="328"/>
        <v>0</v>
      </c>
      <c r="Q807" s="568"/>
      <c r="R807" s="568"/>
      <c r="S807" s="568"/>
      <c r="T807" s="568"/>
      <c r="U807" s="568"/>
      <c r="V807" s="568"/>
      <c r="W807" s="568"/>
      <c r="X807" s="568"/>
      <c r="Y807" s="568"/>
      <c r="Z807" s="568"/>
    </row>
    <row r="808" spans="1:26" ht="20.25" hidden="1" thickBot="1">
      <c r="A808" s="563"/>
      <c r="B808" s="571"/>
      <c r="C808" s="723"/>
      <c r="D808" s="857" t="s">
        <v>20</v>
      </c>
      <c r="E808" s="805"/>
      <c r="F808" s="805"/>
      <c r="G808" s="567"/>
      <c r="H808" s="612" t="s">
        <v>12</v>
      </c>
      <c r="I808" s="166"/>
      <c r="J808" s="166"/>
      <c r="K808" s="167"/>
      <c r="L808" s="613">
        <f t="shared" ref="L808:N808" si="330">L809+L810</f>
        <v>0</v>
      </c>
      <c r="M808" s="613">
        <f t="shared" si="330"/>
        <v>0</v>
      </c>
      <c r="N808" s="613">
        <f t="shared" si="330"/>
        <v>0</v>
      </c>
      <c r="O808" s="613">
        <f t="shared" si="327"/>
        <v>0</v>
      </c>
      <c r="P808" s="613">
        <f t="shared" si="328"/>
        <v>0</v>
      </c>
      <c r="Q808" s="568"/>
      <c r="R808" s="568"/>
      <c r="S808" s="568"/>
      <c r="T808" s="568"/>
      <c r="U808" s="568"/>
      <c r="V808" s="568"/>
      <c r="W808" s="568"/>
      <c r="X808" s="568"/>
      <c r="Y808" s="568"/>
      <c r="Z808" s="568"/>
    </row>
    <row r="809" spans="1:26" ht="19.5" hidden="1" thickBot="1">
      <c r="A809" s="563"/>
      <c r="B809" s="723"/>
      <c r="C809" s="723"/>
      <c r="D809" s="580"/>
      <c r="E809" s="723" t="s">
        <v>184</v>
      </c>
      <c r="F809" s="723"/>
      <c r="G809" s="567"/>
      <c r="H809" s="165" t="s">
        <v>12</v>
      </c>
      <c r="I809" s="583"/>
      <c r="J809" s="583"/>
      <c r="K809" s="93"/>
      <c r="L809" s="93">
        <v>0</v>
      </c>
      <c r="M809" s="93">
        <v>0</v>
      </c>
      <c r="N809" s="93">
        <v>0</v>
      </c>
      <c r="O809" s="93">
        <f t="shared" si="327"/>
        <v>0</v>
      </c>
      <c r="P809" s="93">
        <f t="shared" si="328"/>
        <v>0</v>
      </c>
      <c r="Q809" s="568"/>
      <c r="R809" s="568"/>
      <c r="S809" s="568"/>
      <c r="T809" s="568"/>
      <c r="U809" s="568"/>
      <c r="V809" s="568"/>
      <c r="W809" s="568"/>
      <c r="X809" s="568"/>
      <c r="Y809" s="568"/>
      <c r="Z809" s="568"/>
    </row>
    <row r="810" spans="1:26" ht="19.5" hidden="1" thickBot="1">
      <c r="A810" s="563"/>
      <c r="B810" s="723"/>
      <c r="C810" s="723"/>
      <c r="D810" s="580"/>
      <c r="E810" s="723" t="s">
        <v>185</v>
      </c>
      <c r="F810" s="723"/>
      <c r="G810" s="567"/>
      <c r="H810" s="165" t="s">
        <v>12</v>
      </c>
      <c r="I810" s="583"/>
      <c r="J810" s="583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7"/>
        <v>0</v>
      </c>
      <c r="P810" s="93">
        <f t="shared" si="328"/>
        <v>0</v>
      </c>
      <c r="Q810" s="568"/>
      <c r="R810" s="568"/>
      <c r="S810" s="568"/>
      <c r="T810" s="568"/>
      <c r="U810" s="568"/>
      <c r="V810" s="568"/>
      <c r="W810" s="568"/>
      <c r="X810" s="568"/>
      <c r="Y810" s="568"/>
      <c r="Z810" s="568"/>
    </row>
    <row r="811" spans="1:26" ht="19.5" hidden="1" thickBot="1">
      <c r="A811" s="615"/>
      <c r="B811" s="571"/>
      <c r="C811" s="723"/>
      <c r="D811" s="571"/>
      <c r="E811" s="723"/>
      <c r="F811" s="723" t="s">
        <v>186</v>
      </c>
      <c r="G811" s="567"/>
      <c r="H811" s="165" t="s">
        <v>12</v>
      </c>
      <c r="I811" s="583"/>
      <c r="J811" s="583"/>
      <c r="K811" s="93"/>
      <c r="L811" s="93"/>
      <c r="M811" s="93"/>
      <c r="N811" s="93"/>
      <c r="O811" s="93"/>
      <c r="P811" s="93"/>
      <c r="Q811" s="568"/>
      <c r="R811" s="568"/>
      <c r="S811" s="568"/>
      <c r="T811" s="568"/>
      <c r="U811" s="568"/>
      <c r="V811" s="568"/>
      <c r="W811" s="568"/>
      <c r="X811" s="568"/>
      <c r="Y811" s="568"/>
      <c r="Z811" s="568"/>
    </row>
    <row r="812" spans="1:26" ht="19.5" hidden="1" thickBot="1">
      <c r="A812" s="615"/>
      <c r="B812" s="571"/>
      <c r="C812" s="723"/>
      <c r="D812" s="571"/>
      <c r="E812" s="723"/>
      <c r="F812" s="723" t="s">
        <v>187</v>
      </c>
      <c r="G812" s="567"/>
      <c r="H812" s="165" t="s">
        <v>12</v>
      </c>
      <c r="I812" s="583"/>
      <c r="J812" s="583"/>
      <c r="K812" s="93"/>
      <c r="L812" s="93"/>
      <c r="M812" s="93"/>
      <c r="N812" s="93"/>
      <c r="O812" s="93"/>
      <c r="P812" s="93"/>
      <c r="Q812" s="568"/>
      <c r="R812" s="568"/>
      <c r="S812" s="568"/>
      <c r="T812" s="568"/>
      <c r="U812" s="568"/>
      <c r="V812" s="568"/>
      <c r="W812" s="568"/>
      <c r="X812" s="568"/>
      <c r="Y812" s="568"/>
      <c r="Z812" s="568"/>
    </row>
    <row r="813" spans="1:26" ht="19.5" hidden="1" thickBot="1">
      <c r="A813" s="615"/>
      <c r="B813" s="571"/>
      <c r="C813" s="723"/>
      <c r="D813" s="571"/>
      <c r="E813" s="723"/>
      <c r="F813" s="723" t="s">
        <v>188</v>
      </c>
      <c r="G813" s="567"/>
      <c r="H813" s="165" t="s">
        <v>12</v>
      </c>
      <c r="I813" s="583"/>
      <c r="J813" s="583"/>
      <c r="K813" s="93"/>
      <c r="L813" s="93"/>
      <c r="M813" s="93"/>
      <c r="N813" s="93"/>
      <c r="O813" s="93"/>
      <c r="P813" s="93"/>
      <c r="Q813" s="568"/>
      <c r="R813" s="568"/>
      <c r="S813" s="568"/>
      <c r="T813" s="568"/>
      <c r="U813" s="568"/>
      <c r="V813" s="568"/>
      <c r="W813" s="568"/>
      <c r="X813" s="568"/>
      <c r="Y813" s="568"/>
      <c r="Z813" s="568"/>
    </row>
    <row r="814" spans="1:26" ht="19.5" hidden="1" thickBot="1">
      <c r="A814" s="615"/>
      <c r="B814" s="571"/>
      <c r="C814" s="723"/>
      <c r="D814" s="571"/>
      <c r="E814" s="723"/>
      <c r="F814" s="723" t="s">
        <v>189</v>
      </c>
      <c r="G814" s="567"/>
      <c r="H814" s="165" t="s">
        <v>12</v>
      </c>
      <c r="I814" s="583"/>
      <c r="J814" s="583"/>
      <c r="K814" s="93"/>
      <c r="L814" s="93"/>
      <c r="M814" s="93"/>
      <c r="N814" s="93"/>
      <c r="O814" s="93"/>
      <c r="P814" s="93"/>
      <c r="Q814" s="568"/>
      <c r="R814" s="568"/>
      <c r="S814" s="568"/>
      <c r="T814" s="568"/>
      <c r="U814" s="568"/>
      <c r="V814" s="568"/>
      <c r="W814" s="568"/>
      <c r="X814" s="568"/>
      <c r="Y814" s="568"/>
      <c r="Z814" s="568"/>
    </row>
    <row r="815" spans="1:26" ht="20.25" hidden="1" thickBot="1">
      <c r="A815" s="563"/>
      <c r="B815" s="571"/>
      <c r="C815" s="723"/>
      <c r="D815" s="857" t="s">
        <v>21</v>
      </c>
      <c r="E815" s="805"/>
      <c r="F815" s="805"/>
      <c r="G815" s="567"/>
      <c r="H815" s="747" t="s">
        <v>12</v>
      </c>
      <c r="I815" s="166"/>
      <c r="J815" s="166"/>
      <c r="K815" s="167"/>
      <c r="L815" s="613">
        <f t="shared" ref="L815:N815" si="331">L816+L817</f>
        <v>0</v>
      </c>
      <c r="M815" s="613">
        <f t="shared" si="331"/>
        <v>0</v>
      </c>
      <c r="N815" s="613">
        <f t="shared" si="331"/>
        <v>0</v>
      </c>
      <c r="O815" s="613">
        <f t="shared" ref="O815:O817" si="332">IF(L815&gt;0,N815*100/L815,0)</f>
        <v>0</v>
      </c>
      <c r="P815" s="613">
        <f t="shared" ref="P815:P817" si="333">IF(M815&gt;0,N815*100/M815,0)</f>
        <v>0</v>
      </c>
      <c r="Q815" s="568"/>
      <c r="R815" s="568"/>
      <c r="S815" s="568"/>
      <c r="T815" s="568"/>
      <c r="U815" s="568"/>
      <c r="V815" s="568"/>
      <c r="W815" s="568"/>
      <c r="X815" s="568"/>
      <c r="Y815" s="568"/>
      <c r="Z815" s="568"/>
    </row>
    <row r="816" spans="1:26" ht="19.5" hidden="1" thickBot="1">
      <c r="A816" s="563"/>
      <c r="B816" s="571"/>
      <c r="C816" s="723"/>
      <c r="D816" s="571"/>
      <c r="E816" s="723" t="s">
        <v>18</v>
      </c>
      <c r="F816" s="723"/>
      <c r="G816" s="567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2"/>
        <v>0</v>
      </c>
      <c r="P816" s="93">
        <f t="shared" si="333"/>
        <v>0</v>
      </c>
      <c r="Q816" s="568"/>
      <c r="R816" s="568"/>
      <c r="S816" s="568"/>
      <c r="T816" s="568"/>
      <c r="U816" s="568"/>
      <c r="V816" s="568"/>
      <c r="W816" s="568"/>
      <c r="X816" s="568"/>
      <c r="Y816" s="568"/>
      <c r="Z816" s="568"/>
    </row>
    <row r="817" spans="1:26" ht="19.5" hidden="1" thickBot="1">
      <c r="A817" s="563"/>
      <c r="B817" s="571"/>
      <c r="C817" s="723"/>
      <c r="D817" s="571"/>
      <c r="E817" s="723" t="s">
        <v>19</v>
      </c>
      <c r="F817" s="723"/>
      <c r="G817" s="567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2"/>
        <v>0</v>
      </c>
      <c r="P817" s="93">
        <f t="shared" si="333"/>
        <v>0</v>
      </c>
      <c r="Q817" s="568"/>
      <c r="R817" s="568"/>
      <c r="S817" s="568"/>
      <c r="T817" s="568"/>
      <c r="U817" s="568"/>
      <c r="V817" s="568"/>
      <c r="W817" s="568"/>
      <c r="X817" s="568"/>
      <c r="Y817" s="568"/>
      <c r="Z817" s="568"/>
    </row>
    <row r="818" spans="1:26" ht="20.25" hidden="1" thickBot="1">
      <c r="A818" s="578"/>
      <c r="B818" s="580"/>
      <c r="C818" s="723" t="s">
        <v>16</v>
      </c>
      <c r="D818" s="858" t="s">
        <v>38</v>
      </c>
      <c r="E818" s="617"/>
      <c r="F818" s="617"/>
      <c r="G818" s="618"/>
      <c r="H818" s="581"/>
      <c r="I818" s="166"/>
      <c r="J818" s="166"/>
      <c r="K818" s="167"/>
      <c r="L818" s="167"/>
      <c r="M818" s="167"/>
      <c r="N818" s="167"/>
      <c r="O818" s="167"/>
      <c r="P818" s="167"/>
      <c r="Q818" s="568"/>
      <c r="R818" s="568"/>
      <c r="S818" s="568"/>
      <c r="T818" s="568"/>
      <c r="U818" s="568"/>
      <c r="V818" s="568"/>
      <c r="W818" s="568"/>
      <c r="X818" s="568"/>
      <c r="Y818" s="568"/>
      <c r="Z818" s="568"/>
    </row>
    <row r="819" spans="1:26" ht="19.5" hidden="1" thickBot="1">
      <c r="A819" s="777"/>
      <c r="B819" s="778"/>
      <c r="C819" s="780"/>
      <c r="D819" s="778"/>
      <c r="E819" s="780" t="s">
        <v>323</v>
      </c>
      <c r="F819" s="780"/>
      <c r="G819" s="781"/>
      <c r="H819" s="782" t="s">
        <v>46</v>
      </c>
      <c r="I819" s="783"/>
      <c r="J819" s="783"/>
      <c r="K819" s="784"/>
      <c r="L819" s="784"/>
      <c r="M819" s="784"/>
      <c r="N819" s="784"/>
      <c r="O819" s="784"/>
      <c r="P819" s="784"/>
      <c r="Q819" s="568"/>
      <c r="R819" s="568"/>
      <c r="S819" s="568"/>
      <c r="T819" s="568"/>
      <c r="U819" s="568"/>
      <c r="V819" s="568"/>
      <c r="W819" s="568"/>
      <c r="X819" s="568"/>
      <c r="Y819" s="568"/>
      <c r="Z819" s="568"/>
    </row>
    <row r="820" spans="1:26" ht="19.5">
      <c r="A820" s="861" t="s">
        <v>332</v>
      </c>
      <c r="B820" s="862"/>
      <c r="C820" s="862"/>
      <c r="D820" s="863"/>
      <c r="E820" s="862"/>
      <c r="F820" s="862"/>
      <c r="G820" s="864"/>
      <c r="H820" s="864"/>
      <c r="I820" s="865"/>
      <c r="J820" s="865"/>
      <c r="K820" s="866"/>
      <c r="L820" s="866"/>
      <c r="M820" s="866"/>
      <c r="N820" s="866"/>
      <c r="O820" s="866"/>
      <c r="P820" s="866"/>
      <c r="Q820" s="541"/>
      <c r="R820" s="541"/>
      <c r="S820" s="541"/>
      <c r="T820" s="541"/>
      <c r="U820" s="541"/>
      <c r="V820" s="541"/>
      <c r="W820" s="541"/>
      <c r="X820" s="541"/>
      <c r="Y820" s="541"/>
      <c r="Z820" s="541"/>
    </row>
    <row r="821" spans="1:26" ht="18.75">
      <c r="A821" s="708"/>
      <c r="B821" s="727" t="s">
        <v>325</v>
      </c>
      <c r="C821" s="727"/>
      <c r="D821" s="538"/>
      <c r="E821" s="727"/>
      <c r="F821" s="727"/>
      <c r="G821" s="189"/>
      <c r="H821" s="589" t="s">
        <v>12</v>
      </c>
      <c r="I821" s="269">
        <f ca="1">IFERROR(__xludf.DUMMYFUNCTION("IMPORTRANGE(""https://docs.google.com/spreadsheets/d/19vJNZY_5yjcGF2XGBMNZRCAIB0Kwfpjp8YEOfu-bneM/edit?usp=sharing"",""งานกองทุน!D18"")"),1260000)</f>
        <v>1260000</v>
      </c>
      <c r="J821" s="269">
        <f ca="1">IFERROR(__xludf.DUMMYFUNCTION("IMPORTRANGE(""https://docs.google.com/spreadsheets/d/19vJNZY_5yjcGF2XGBMNZRCAIB0Kwfpjp8YEOfu-bneM/edit?usp=sharing"",""งานกองทุน!F18"")"),0)</f>
        <v>0</v>
      </c>
      <c r="K821" s="465">
        <f t="shared" ref="K821:K828" ca="1" si="334">IF(I821&gt;0,J821*100/I821,0)</f>
        <v>0</v>
      </c>
      <c r="L821" s="465"/>
      <c r="M821" s="465"/>
      <c r="N821" s="465"/>
      <c r="O821" s="465"/>
      <c r="P821" s="465"/>
      <c r="Q821" s="541"/>
      <c r="R821" s="541"/>
      <c r="S821" s="541"/>
      <c r="T821" s="541"/>
      <c r="U821" s="541"/>
      <c r="V821" s="541"/>
      <c r="W821" s="541"/>
      <c r="X821" s="541"/>
      <c r="Y821" s="541"/>
      <c r="Z821" s="541"/>
    </row>
    <row r="822" spans="1:26" ht="18.75">
      <c r="A822" s="708"/>
      <c r="B822" s="727"/>
      <c r="C822" s="727"/>
      <c r="D822" s="538"/>
      <c r="E822" s="727"/>
      <c r="F822" s="727"/>
      <c r="G822" s="189"/>
      <c r="H822" s="589" t="s">
        <v>35</v>
      </c>
      <c r="I822" s="269">
        <f ca="1">IFERROR(__xludf.DUMMYFUNCTION("IMPORTRANGE(""https://docs.google.com/spreadsheets/d/19vJNZY_5yjcGF2XGBMNZRCAIB0Kwfpjp8YEOfu-bneM/edit?usp=sharing"",""งานกองทุน!C18"")"),63)</f>
        <v>63</v>
      </c>
      <c r="J822" s="269">
        <f ca="1">IFERROR(__xludf.DUMMYFUNCTION("IMPORTRANGE(""https://docs.google.com/spreadsheets/d/19vJNZY_5yjcGF2XGBMNZRCAIB0Kwfpjp8YEOfu-bneM/edit?usp=sharing"",""งานกองทุน!E18"")"),0)</f>
        <v>0</v>
      </c>
      <c r="K822" s="465">
        <f t="shared" ca="1" si="334"/>
        <v>0</v>
      </c>
      <c r="L822" s="465"/>
      <c r="M822" s="465"/>
      <c r="N822" s="465"/>
      <c r="O822" s="465"/>
      <c r="P822" s="465"/>
      <c r="Q822" s="541"/>
      <c r="R822" s="541"/>
      <c r="S822" s="541"/>
      <c r="T822" s="541"/>
      <c r="U822" s="541"/>
      <c r="V822" s="541"/>
      <c r="W822" s="541"/>
      <c r="X822" s="541"/>
      <c r="Y822" s="541"/>
      <c r="Z822" s="541"/>
    </row>
    <row r="823" spans="1:26" ht="18.75">
      <c r="A823" s="708"/>
      <c r="B823" s="727" t="s">
        <v>326</v>
      </c>
      <c r="C823" s="727"/>
      <c r="D823" s="538"/>
      <c r="E823" s="727"/>
      <c r="F823" s="727"/>
      <c r="G823" s="189"/>
      <c r="H823" s="589" t="s">
        <v>12</v>
      </c>
      <c r="I823" s="269">
        <f ca="1">IFERROR(__xludf.DUMMYFUNCTION("IMPORTRANGE(""https://docs.google.com/spreadsheets/d/19vJNZY_5yjcGF2XGBMNZRCAIB0Kwfpjp8YEOfu-bneM/edit?usp=sharing"",""งานกองทุน!I18"")"),4791810.1)</f>
        <v>4791810.0999999996</v>
      </c>
      <c r="J823" s="269">
        <f ca="1">IFERROR(__xludf.DUMMYFUNCTION("IMPORTRANGE(""https://docs.google.com/spreadsheets/d/19vJNZY_5yjcGF2XGBMNZRCAIB0Kwfpjp8YEOfu-bneM/edit?usp=sharing"",""งานกองทุน!K18"")"),91540.07)</f>
        <v>91540.07</v>
      </c>
      <c r="K823" s="465">
        <f t="shared" ca="1" si="334"/>
        <v>1.9103442767901009</v>
      </c>
      <c r="L823" s="465"/>
      <c r="M823" s="465"/>
      <c r="N823" s="465"/>
      <c r="O823" s="465"/>
      <c r="P823" s="465"/>
      <c r="Q823" s="541"/>
      <c r="R823" s="541"/>
      <c r="S823" s="541"/>
      <c r="T823" s="541"/>
      <c r="U823" s="541"/>
      <c r="V823" s="541"/>
      <c r="W823" s="541"/>
      <c r="X823" s="541"/>
      <c r="Y823" s="541"/>
      <c r="Z823" s="541"/>
    </row>
    <row r="824" spans="1:26" ht="18.75">
      <c r="A824" s="708"/>
      <c r="B824" s="727"/>
      <c r="C824" s="727"/>
      <c r="D824" s="538"/>
      <c r="E824" s="727"/>
      <c r="F824" s="727"/>
      <c r="G824" s="189"/>
      <c r="H824" s="589" t="s">
        <v>35</v>
      </c>
      <c r="I824" s="269">
        <f ca="1">IFERROR(__xludf.DUMMYFUNCTION("IMPORTRANGE(""https://docs.google.com/spreadsheets/d/19vJNZY_5yjcGF2XGBMNZRCAIB0Kwfpjp8YEOfu-bneM/edit?usp=sharing"",""งานกองทุน!H18"")"),261)</f>
        <v>261</v>
      </c>
      <c r="J824" s="269">
        <f ca="1">IFERROR(__xludf.DUMMYFUNCTION("IMPORTRANGE(""https://docs.google.com/spreadsheets/d/19vJNZY_5yjcGF2XGBMNZRCAIB0Kwfpjp8YEOfu-bneM/edit?usp=sharing"",""งานกองทุน!J18"")"),5)</f>
        <v>5</v>
      </c>
      <c r="K824" s="465">
        <f t="shared" ca="1" si="334"/>
        <v>1.9157088122605364</v>
      </c>
      <c r="L824" s="465"/>
      <c r="M824" s="465"/>
      <c r="N824" s="465"/>
      <c r="O824" s="465"/>
      <c r="P824" s="465"/>
      <c r="Q824" s="541"/>
      <c r="R824" s="541"/>
      <c r="S824" s="541"/>
      <c r="T824" s="541"/>
      <c r="U824" s="541"/>
      <c r="V824" s="541"/>
      <c r="W824" s="541"/>
      <c r="X824" s="541"/>
      <c r="Y824" s="541"/>
      <c r="Z824" s="541"/>
    </row>
    <row r="825" spans="1:26" ht="18.75">
      <c r="A825" s="708"/>
      <c r="B825" s="727" t="s">
        <v>327</v>
      </c>
      <c r="C825" s="727"/>
      <c r="D825" s="538"/>
      <c r="E825" s="727"/>
      <c r="F825" s="727"/>
      <c r="G825" s="189"/>
      <c r="H825" s="589" t="s">
        <v>12</v>
      </c>
      <c r="I825" s="269">
        <f ca="1">IFERROR(__xludf.DUMMYFUNCTION("IMPORTRANGE(""https://docs.google.com/spreadsheets/d/19vJNZY_5yjcGF2XGBMNZRCAIB0Kwfpjp8YEOfu-bneM/edit?usp=sharing"",""งานกองทุน!N18"")"),22604564.23)</f>
        <v>22604564.23</v>
      </c>
      <c r="J825" s="269">
        <f ca="1">IFERROR(__xludf.DUMMYFUNCTION("IMPORTRANGE(""https://docs.google.com/spreadsheets/d/19vJNZY_5yjcGF2XGBMNZRCAIB0Kwfpjp8YEOfu-bneM/edit?usp=sharing"",""งานกองทุน!P18"")"),918543.42)</f>
        <v>918543.42</v>
      </c>
      <c r="K825" s="465">
        <f t="shared" ca="1" si="334"/>
        <v>4.0635307571244432</v>
      </c>
      <c r="L825" s="465"/>
      <c r="M825" s="465"/>
      <c r="N825" s="465"/>
      <c r="O825" s="465"/>
      <c r="P825" s="465"/>
      <c r="Q825" s="541"/>
      <c r="R825" s="541"/>
      <c r="S825" s="541"/>
      <c r="T825" s="541"/>
      <c r="U825" s="541"/>
      <c r="V825" s="541"/>
      <c r="W825" s="541"/>
      <c r="X825" s="541"/>
      <c r="Y825" s="541"/>
      <c r="Z825" s="541"/>
    </row>
    <row r="826" spans="1:26" ht="18.75">
      <c r="A826" s="708"/>
      <c r="B826" s="727"/>
      <c r="C826" s="727"/>
      <c r="D826" s="538"/>
      <c r="E826" s="727"/>
      <c r="F826" s="727"/>
      <c r="G826" s="189"/>
      <c r="H826" s="589" t="s">
        <v>35</v>
      </c>
      <c r="I826" s="269">
        <f ca="1">IFERROR(__xludf.DUMMYFUNCTION("IMPORTRANGE(""https://docs.google.com/spreadsheets/d/19vJNZY_5yjcGF2XGBMNZRCAIB0Kwfpjp8YEOfu-bneM/edit?usp=sharing"",""งานกองทุน!M18"")"),1445)</f>
        <v>1445</v>
      </c>
      <c r="J826" s="269">
        <f ca="1">IFERROR(__xludf.DUMMYFUNCTION("IMPORTRANGE(""https://docs.google.com/spreadsheets/d/19vJNZY_5yjcGF2XGBMNZRCAIB0Kwfpjp8YEOfu-bneM/edit?usp=sharing"",""งานกองทุน!O18"")"),95)</f>
        <v>95</v>
      </c>
      <c r="K826" s="465">
        <f t="shared" ca="1" si="334"/>
        <v>6.5743944636678204</v>
      </c>
      <c r="L826" s="465"/>
      <c r="M826" s="465"/>
      <c r="N826" s="465"/>
      <c r="O826" s="465"/>
      <c r="P826" s="465"/>
      <c r="Q826" s="541"/>
      <c r="R826" s="541"/>
      <c r="S826" s="541"/>
      <c r="T826" s="541"/>
      <c r="U826" s="541"/>
      <c r="V826" s="541"/>
      <c r="W826" s="541"/>
      <c r="X826" s="541"/>
      <c r="Y826" s="541"/>
      <c r="Z826" s="541"/>
    </row>
    <row r="827" spans="1:26" ht="18.75">
      <c r="A827" s="708"/>
      <c r="B827" s="727" t="s">
        <v>328</v>
      </c>
      <c r="C827" s="727"/>
      <c r="D827" s="538"/>
      <c r="E827" s="727"/>
      <c r="F827" s="727"/>
      <c r="G827" s="189"/>
      <c r="H827" s="589" t="s">
        <v>12</v>
      </c>
      <c r="I827" s="269">
        <f ca="1">IFERROR(__xludf.DUMMYFUNCTION("IMPORTRANGE(""https://docs.google.com/spreadsheets/d/19vJNZY_5yjcGF2XGBMNZRCAIB0Kwfpjp8YEOfu-bneM/edit?usp=sharing"",""งานกองทุน!S18"")"),1930000)</f>
        <v>1930000</v>
      </c>
      <c r="J827" s="269">
        <f ca="1">IFERROR(__xludf.DUMMYFUNCTION("IMPORTRANGE(""https://docs.google.com/spreadsheets/d/19vJNZY_5yjcGF2XGBMNZRCAIB0Kwfpjp8YEOfu-bneM/edit?usp=sharing"",""งานกองทุน!U18"")"),0)</f>
        <v>0</v>
      </c>
      <c r="K827" s="465">
        <f t="shared" ca="1" si="334"/>
        <v>0</v>
      </c>
      <c r="L827" s="465"/>
      <c r="M827" s="465"/>
      <c r="N827" s="465"/>
      <c r="O827" s="465"/>
      <c r="P827" s="465"/>
      <c r="Q827" s="541"/>
      <c r="R827" s="541"/>
      <c r="S827" s="541"/>
      <c r="T827" s="541"/>
      <c r="U827" s="541"/>
      <c r="V827" s="541"/>
      <c r="W827" s="541"/>
      <c r="X827" s="541"/>
      <c r="Y827" s="541"/>
      <c r="Z827" s="541"/>
    </row>
    <row r="828" spans="1:26" ht="18.75">
      <c r="A828" s="711"/>
      <c r="B828" s="713"/>
      <c r="C828" s="713"/>
      <c r="D828" s="712"/>
      <c r="E828" s="713"/>
      <c r="F828" s="713"/>
      <c r="G828" s="790"/>
      <c r="H828" s="791" t="s">
        <v>35</v>
      </c>
      <c r="I828" s="468">
        <f ca="1">IFERROR(__xludf.DUMMYFUNCTION("IMPORTRANGE(""https://docs.google.com/spreadsheets/d/19vJNZY_5yjcGF2XGBMNZRCAIB0Kwfpjp8YEOfu-bneM/edit?usp=sharing"",""งานกองทุน!R18"")"),77)</f>
        <v>77</v>
      </c>
      <c r="J828" s="468">
        <f ca="1">IFERROR(__xludf.DUMMYFUNCTION("IMPORTRANGE(""https://docs.google.com/spreadsheets/d/19vJNZY_5yjcGF2XGBMNZRCAIB0Kwfpjp8YEOfu-bneM/edit?usp=sharing"",""งานกองทุน!T18"")"),5)</f>
        <v>5</v>
      </c>
      <c r="K828" s="469">
        <f t="shared" ca="1" si="334"/>
        <v>6.4935064935064934</v>
      </c>
      <c r="L828" s="469"/>
      <c r="M828" s="469"/>
      <c r="N828" s="469"/>
      <c r="O828" s="469"/>
      <c r="P828" s="469"/>
      <c r="Q828" s="541"/>
      <c r="R828" s="541"/>
      <c r="S828" s="541"/>
      <c r="T828" s="541"/>
      <c r="U828" s="541"/>
      <c r="V828" s="541"/>
      <c r="W828" s="541"/>
      <c r="X828" s="541"/>
      <c r="Y828" s="541"/>
      <c r="Z828" s="541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1" fitToHeight="0" pageOrder="overThenDown" orientation="portrait" cellComments="atEnd" r:id="rId1"/>
  <headerFooter>
    <oddFooter>&amp;Cหน้า &amp;P/&amp;N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C2B796-0845-4FB4-8E78-F226148BBC09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activeCell="S28" sqref="S28"/>
      <selection pane="bottomLeft" activeCell="M429" sqref="M429"/>
    </sheetView>
  </sheetViews>
  <sheetFormatPr defaultColWidth="12.5703125" defaultRowHeight="15.75" customHeight="1"/>
  <cols>
    <col min="1" max="1" width="4.7109375" customWidth="1"/>
    <col min="2" max="3" width="3.28515625" customWidth="1"/>
    <col min="4" max="6" width="5.85546875" customWidth="1"/>
    <col min="7" max="7" width="56.42578125" customWidth="1"/>
    <col min="8" max="8" width="9.42578125" customWidth="1"/>
    <col min="9" max="9" width="16.85546875" bestFit="1" customWidth="1"/>
    <col min="10" max="10" width="12.5703125" bestFit="1" customWidth="1"/>
    <col min="11" max="11" width="12.5703125" customWidth="1"/>
    <col min="12" max="13" width="21.28515625" bestFit="1" customWidth="1"/>
    <col min="14" max="14" width="18.7109375" bestFit="1" customWidth="1"/>
    <col min="15" max="15" width="20.140625" bestFit="1" customWidth="1"/>
    <col min="16" max="16" width="22" bestFit="1" customWidth="1"/>
  </cols>
  <sheetData>
    <row r="1" spans="1:26" ht="19.5">
      <c r="A1" s="792" t="s">
        <v>0</v>
      </c>
      <c r="B1" s="793"/>
      <c r="C1" s="793"/>
      <c r="D1" s="793"/>
      <c r="E1" s="793"/>
      <c r="F1" s="793"/>
      <c r="G1" s="793"/>
      <c r="H1" s="793"/>
      <c r="I1" s="793"/>
      <c r="J1" s="793"/>
      <c r="K1" s="793"/>
      <c r="L1" s="793"/>
      <c r="M1" s="793"/>
      <c r="N1" s="793"/>
      <c r="O1" s="793"/>
      <c r="P1" s="793"/>
    </row>
    <row r="2" spans="1:26" ht="19.5">
      <c r="A2" s="792" t="s">
        <v>338</v>
      </c>
      <c r="B2" s="793"/>
      <c r="C2" s="793"/>
      <c r="D2" s="793"/>
      <c r="E2" s="793"/>
      <c r="F2" s="793"/>
      <c r="G2" s="793"/>
      <c r="H2" s="793"/>
      <c r="I2" s="793"/>
      <c r="J2" s="793"/>
      <c r="K2" s="793"/>
      <c r="L2" s="793"/>
      <c r="M2" s="793"/>
      <c r="N2" s="793"/>
      <c r="O2" s="793"/>
      <c r="P2" s="793"/>
    </row>
    <row r="3" spans="1:26" ht="19.5">
      <c r="A3" s="792" t="s">
        <v>355</v>
      </c>
      <c r="B3" s="793"/>
      <c r="C3" s="793"/>
      <c r="D3" s="793"/>
      <c r="E3" s="793"/>
      <c r="F3" s="793"/>
      <c r="G3" s="793"/>
      <c r="H3" s="793"/>
      <c r="I3" s="793"/>
      <c r="J3" s="793"/>
      <c r="K3" s="793"/>
      <c r="L3" s="793"/>
      <c r="M3" s="793"/>
      <c r="N3" s="793"/>
      <c r="O3" s="793"/>
      <c r="P3" s="793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00" t="s">
        <v>2</v>
      </c>
      <c r="B5" s="793"/>
      <c r="C5" s="793"/>
      <c r="D5" s="793"/>
      <c r="E5" s="793"/>
      <c r="F5" s="793"/>
      <c r="G5" s="801"/>
      <c r="H5" s="794" t="s">
        <v>3</v>
      </c>
      <c r="I5" s="796" t="s">
        <v>4</v>
      </c>
      <c r="J5" s="797"/>
      <c r="K5" s="795"/>
      <c r="L5" s="798" t="s">
        <v>5</v>
      </c>
      <c r="M5" s="795"/>
      <c r="N5" s="799" t="s">
        <v>6</v>
      </c>
      <c r="O5" s="797"/>
      <c r="P5" s="795"/>
    </row>
    <row r="6" spans="1:26" ht="19.5">
      <c r="A6" s="802"/>
      <c r="B6" s="797"/>
      <c r="C6" s="797"/>
      <c r="D6" s="797"/>
      <c r="E6" s="797"/>
      <c r="F6" s="797"/>
      <c r="G6" s="795"/>
      <c r="H6" s="795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03" t="s">
        <v>15</v>
      </c>
      <c r="B7" s="797"/>
      <c r="C7" s="797"/>
      <c r="D7" s="797"/>
      <c r="E7" s="797"/>
      <c r="F7" s="797"/>
      <c r="G7" s="795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7947192</v>
      </c>
      <c r="M8" s="22">
        <f t="shared" ca="1" si="0"/>
        <v>4378990</v>
      </c>
      <c r="N8" s="22">
        <f t="shared" ca="1" si="0"/>
        <v>797742.02</v>
      </c>
      <c r="O8" s="22">
        <f t="shared" ref="O8:O16" ca="1" si="1">IF(L8&gt;0,N8*100/L8,0)</f>
        <v>10.038036327799807</v>
      </c>
      <c r="P8" s="22">
        <f t="shared" ref="P8:P16" ca="1" si="2">IF(M8&gt;0,N8*100/M8,0)</f>
        <v>18.217488964350228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7947192</v>
      </c>
      <c r="M10" s="30">
        <f t="shared" ca="1" si="3"/>
        <v>4378990</v>
      </c>
      <c r="N10" s="30">
        <f t="shared" ca="1" si="3"/>
        <v>797742.02</v>
      </c>
      <c r="O10" s="30">
        <f t="shared" ca="1" si="1"/>
        <v>10.038036327799807</v>
      </c>
      <c r="P10" s="30">
        <f t="shared" ca="1" si="2"/>
        <v>18.217488964350228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589" t="s">
        <v>12</v>
      </c>
      <c r="I11" s="269"/>
      <c r="J11" s="269"/>
      <c r="K11" s="465"/>
      <c r="L11" s="465">
        <f t="shared" ref="L11:N11" ca="1" si="4">L12+L13</f>
        <v>5552592</v>
      </c>
      <c r="M11" s="465">
        <f t="shared" ca="1" si="4"/>
        <v>1984390</v>
      </c>
      <c r="N11" s="465">
        <f t="shared" ca="1" si="4"/>
        <v>676142.02</v>
      </c>
      <c r="O11" s="465">
        <f t="shared" ca="1" si="1"/>
        <v>12.17705208666511</v>
      </c>
      <c r="P11" s="465">
        <f t="shared" ca="1" si="2"/>
        <v>34.07304108567368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2" t="s">
        <v>18</v>
      </c>
      <c r="F12" s="40"/>
      <c r="G12" s="42"/>
      <c r="H12" s="43" t="s">
        <v>12</v>
      </c>
      <c r="I12" s="583"/>
      <c r="J12" s="583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2" t="s">
        <v>19</v>
      </c>
      <c r="F13" s="40"/>
      <c r="G13" s="42"/>
      <c r="H13" s="43" t="s">
        <v>12</v>
      </c>
      <c r="I13" s="583"/>
      <c r="J13" s="583"/>
      <c r="K13" s="93"/>
      <c r="L13" s="93">
        <f t="shared" ca="1" si="5"/>
        <v>5552592</v>
      </c>
      <c r="M13" s="93">
        <f t="shared" ca="1" si="5"/>
        <v>1984390</v>
      </c>
      <c r="N13" s="93">
        <f t="shared" ca="1" si="5"/>
        <v>676142.02</v>
      </c>
      <c r="O13" s="93">
        <f t="shared" ca="1" si="1"/>
        <v>12.17705208666511</v>
      </c>
      <c r="P13" s="93">
        <f t="shared" ca="1" si="2"/>
        <v>34.07304108567368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589" t="s">
        <v>12</v>
      </c>
      <c r="I14" s="269"/>
      <c r="J14" s="269"/>
      <c r="K14" s="465"/>
      <c r="L14" s="465">
        <f t="shared" ref="L14:N14" ca="1" si="6">L15+L16</f>
        <v>2394600</v>
      </c>
      <c r="M14" s="465">
        <f t="shared" ca="1" si="6"/>
        <v>2394600</v>
      </c>
      <c r="N14" s="465">
        <f t="shared" ca="1" si="6"/>
        <v>121600</v>
      </c>
      <c r="O14" s="465">
        <f t="shared" ca="1" si="1"/>
        <v>5.0780923745093123</v>
      </c>
      <c r="P14" s="465">
        <f t="shared" ca="1" si="2"/>
        <v>5.0780923745093123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2" t="s">
        <v>18</v>
      </c>
      <c r="F15" s="40"/>
      <c r="G15" s="42"/>
      <c r="H15" s="43" t="s">
        <v>12</v>
      </c>
      <c r="I15" s="583"/>
      <c r="J15" s="583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2394600</v>
      </c>
      <c r="M16" s="52">
        <f t="shared" ca="1" si="7"/>
        <v>2394600</v>
      </c>
      <c r="N16" s="52">
        <f t="shared" ca="1" si="7"/>
        <v>121600</v>
      </c>
      <c r="O16" s="52">
        <f t="shared" ca="1" si="1"/>
        <v>5.0780923745093123</v>
      </c>
      <c r="P16" s="52">
        <f t="shared" ca="1" si="2"/>
        <v>5.0780923745093123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03" t="s">
        <v>22</v>
      </c>
      <c r="B17" s="797"/>
      <c r="C17" s="797"/>
      <c r="D17" s="797"/>
      <c r="E17" s="797"/>
      <c r="F17" s="797"/>
      <c r="G17" s="795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6257790</v>
      </c>
      <c r="M18" s="22">
        <f t="shared" ca="1" si="8"/>
        <v>4378990</v>
      </c>
      <c r="N18" s="22">
        <f t="shared" ca="1" si="8"/>
        <v>732637.02</v>
      </c>
      <c r="O18" s="22">
        <f t="shared" ref="O18:O26" ca="1" si="9">IF(L18&gt;0,N18*100/L18,0)</f>
        <v>11.707599967400633</v>
      </c>
      <c r="P18" s="22">
        <f t="shared" ref="P18:P26" ca="1" si="10">IF(M18&gt;0,N18*100/M18,0)</f>
        <v>16.730730602262167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6257790</v>
      </c>
      <c r="M20" s="30">
        <f t="shared" ca="1" si="11"/>
        <v>4378990</v>
      </c>
      <c r="N20" s="30">
        <f t="shared" ca="1" si="11"/>
        <v>732637.02</v>
      </c>
      <c r="O20" s="30">
        <f t="shared" ca="1" si="9"/>
        <v>11.707599967400633</v>
      </c>
      <c r="P20" s="30">
        <f t="shared" ca="1" si="10"/>
        <v>16.730730602262167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589" t="s">
        <v>12</v>
      </c>
      <c r="I21" s="269"/>
      <c r="J21" s="269"/>
      <c r="K21" s="465"/>
      <c r="L21" s="465">
        <f t="shared" ref="L21:N21" ca="1" si="12">L22+L23</f>
        <v>3863190</v>
      </c>
      <c r="M21" s="465">
        <f t="shared" ca="1" si="12"/>
        <v>1984390</v>
      </c>
      <c r="N21" s="465">
        <f t="shared" ca="1" si="12"/>
        <v>611037.02</v>
      </c>
      <c r="O21" s="465">
        <f t="shared" ca="1" si="9"/>
        <v>15.81690312927917</v>
      </c>
      <c r="P21" s="465">
        <f t="shared" ca="1" si="10"/>
        <v>30.792183996089477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2" t="s">
        <v>18</v>
      </c>
      <c r="F22" s="40"/>
      <c r="G22" s="42"/>
      <c r="H22" s="43" t="s">
        <v>12</v>
      </c>
      <c r="I22" s="583"/>
      <c r="J22" s="583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2" t="s">
        <v>19</v>
      </c>
      <c r="F23" s="40"/>
      <c r="G23" s="42"/>
      <c r="H23" s="43" t="s">
        <v>12</v>
      </c>
      <c r="I23" s="583"/>
      <c r="J23" s="583"/>
      <c r="K23" s="93"/>
      <c r="L23" s="93">
        <f t="shared" ca="1" si="13"/>
        <v>3863190</v>
      </c>
      <c r="M23" s="93">
        <f t="shared" ca="1" si="13"/>
        <v>1984390</v>
      </c>
      <c r="N23" s="93">
        <f t="shared" ca="1" si="13"/>
        <v>611037.02</v>
      </c>
      <c r="O23" s="93">
        <f t="shared" ca="1" si="9"/>
        <v>15.81690312927917</v>
      </c>
      <c r="P23" s="93">
        <f t="shared" ca="1" si="10"/>
        <v>30.792183996089477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589" t="s">
        <v>12</v>
      </c>
      <c r="I24" s="269"/>
      <c r="J24" s="269"/>
      <c r="K24" s="465"/>
      <c r="L24" s="465">
        <f t="shared" ref="L24:N24" ca="1" si="14">L25+L26</f>
        <v>2394600</v>
      </c>
      <c r="M24" s="465">
        <f t="shared" ca="1" si="14"/>
        <v>2394600</v>
      </c>
      <c r="N24" s="465">
        <f t="shared" ca="1" si="14"/>
        <v>121600</v>
      </c>
      <c r="O24" s="465">
        <f t="shared" ca="1" si="9"/>
        <v>5.0780923745093123</v>
      </c>
      <c r="P24" s="465">
        <f t="shared" ca="1" si="10"/>
        <v>5.0780923745093123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2" t="s">
        <v>18</v>
      </c>
      <c r="F25" s="40"/>
      <c r="G25" s="42"/>
      <c r="H25" s="43" t="s">
        <v>12</v>
      </c>
      <c r="I25" s="583"/>
      <c r="J25" s="583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2394600</v>
      </c>
      <c r="M26" s="52">
        <f t="shared" ca="1" si="15"/>
        <v>2394600</v>
      </c>
      <c r="N26" s="52">
        <f t="shared" ca="1" si="15"/>
        <v>121600</v>
      </c>
      <c r="O26" s="52">
        <f t="shared" ca="1" si="9"/>
        <v>5.0780923745093123</v>
      </c>
      <c r="P26" s="52">
        <f t="shared" ca="1" si="10"/>
        <v>5.0780923745093123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03" t="s">
        <v>23</v>
      </c>
      <c r="B27" s="797"/>
      <c r="C27" s="797"/>
      <c r="D27" s="797"/>
      <c r="E27" s="797"/>
      <c r="F27" s="797"/>
      <c r="G27" s="795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1689402</v>
      </c>
      <c r="M28" s="22">
        <f t="shared" si="16"/>
        <v>0</v>
      </c>
      <c r="N28" s="22">
        <f t="shared" si="16"/>
        <v>65105</v>
      </c>
      <c r="O28" s="22">
        <f t="shared" ref="O28:O37" ca="1" si="17">IF(L28&gt;0,N28*100/L28,0)</f>
        <v>3.8537304916177439</v>
      </c>
      <c r="P28" s="22">
        <f t="shared" ref="P28:P37" si="18">IF(M28&gt;0,N28*100/M28,0)</f>
        <v>0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1689402</v>
      </c>
      <c r="M30" s="30">
        <f t="shared" si="19"/>
        <v>0</v>
      </c>
      <c r="N30" s="30">
        <f t="shared" si="19"/>
        <v>65105</v>
      </c>
      <c r="O30" s="30">
        <f t="shared" ca="1" si="17"/>
        <v>3.8537304916177439</v>
      </c>
      <c r="P30" s="30">
        <f t="shared" si="18"/>
        <v>0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589" t="s">
        <v>12</v>
      </c>
      <c r="I31" s="269"/>
      <c r="J31" s="269"/>
      <c r="K31" s="465"/>
      <c r="L31" s="465">
        <f t="shared" ref="L31:N31" ca="1" si="20">L32+L33</f>
        <v>1689402</v>
      </c>
      <c r="M31" s="465">
        <f t="shared" si="20"/>
        <v>0</v>
      </c>
      <c r="N31" s="465">
        <f t="shared" si="20"/>
        <v>65105</v>
      </c>
      <c r="O31" s="465">
        <f t="shared" ca="1" si="17"/>
        <v>3.8537304916177439</v>
      </c>
      <c r="P31" s="465">
        <f t="shared" si="18"/>
        <v>0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2" t="s">
        <v>18</v>
      </c>
      <c r="F32" s="40"/>
      <c r="G32" s="42"/>
      <c r="H32" s="43" t="s">
        <v>12</v>
      </c>
      <c r="I32" s="583"/>
      <c r="J32" s="583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2" t="s">
        <v>19</v>
      </c>
      <c r="F33" s="40"/>
      <c r="G33" s="42"/>
      <c r="H33" s="43" t="s">
        <v>12</v>
      </c>
      <c r="I33" s="583"/>
      <c r="J33" s="583"/>
      <c r="K33" s="93"/>
      <c r="L33" s="93">
        <f t="shared" ca="1" si="21"/>
        <v>1689402</v>
      </c>
      <c r="M33" s="93">
        <f t="shared" si="21"/>
        <v>0</v>
      </c>
      <c r="N33" s="93">
        <f t="shared" si="21"/>
        <v>65105</v>
      </c>
      <c r="O33" s="93">
        <f t="shared" ca="1" si="17"/>
        <v>3.8537304916177439</v>
      </c>
      <c r="P33" s="93">
        <f t="shared" si="18"/>
        <v>0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589" t="s">
        <v>12</v>
      </c>
      <c r="I34" s="269"/>
      <c r="J34" s="269"/>
      <c r="K34" s="465"/>
      <c r="L34" s="465">
        <f t="shared" ref="L34:N34" ca="1" si="22">L35+L36</f>
        <v>0</v>
      </c>
      <c r="M34" s="465">
        <f t="shared" si="22"/>
        <v>0</v>
      </c>
      <c r="N34" s="465">
        <f t="shared" si="22"/>
        <v>0</v>
      </c>
      <c r="O34" s="465">
        <f t="shared" ca="1" si="17"/>
        <v>0</v>
      </c>
      <c r="P34" s="465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2" t="s">
        <v>18</v>
      </c>
      <c r="F35" s="40"/>
      <c r="G35" s="42"/>
      <c r="H35" s="43" t="s">
        <v>12</v>
      </c>
      <c r="I35" s="583"/>
      <c r="J35" s="583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53" t="s">
        <v>24</v>
      </c>
      <c r="B37" s="54"/>
      <c r="C37" s="54"/>
      <c r="D37" s="54"/>
      <c r="E37" s="54"/>
      <c r="F37" s="54"/>
      <c r="G37" s="55"/>
      <c r="H37" s="56"/>
      <c r="I37" s="392"/>
      <c r="J37" s="392"/>
      <c r="K37" s="58"/>
      <c r="L37" s="59">
        <f t="shared" ref="L37:N37" ca="1" si="24">L41+L53+L66+L88+L119+L132+L149+L165+L181+L261+L277+L298+L315+L328+L345+L389+L402</f>
        <v>6257790</v>
      </c>
      <c r="M37" s="59">
        <f t="shared" ca="1" si="24"/>
        <v>4378990</v>
      </c>
      <c r="N37" s="59">
        <f t="shared" ca="1" si="24"/>
        <v>732637.02</v>
      </c>
      <c r="O37" s="59">
        <f t="shared" ca="1" si="17"/>
        <v>11.707599967400633</v>
      </c>
      <c r="P37" s="59">
        <f t="shared" ca="1" si="18"/>
        <v>16.730730602262167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04" t="s">
        <v>27</v>
      </c>
      <c r="C40" s="805"/>
      <c r="D40" s="805"/>
      <c r="E40" s="805"/>
      <c r="F40" s="805"/>
      <c r="G40" s="806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15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591050</v>
      </c>
      <c r="M41" s="85">
        <f t="shared" ca="1" si="25"/>
        <v>296200</v>
      </c>
      <c r="N41" s="85">
        <f t="shared" ca="1" si="25"/>
        <v>132150</v>
      </c>
      <c r="O41" s="85">
        <f t="shared" ref="O41:O49" ca="1" si="26">IF(L41&gt;0,N41*100/L41,0)</f>
        <v>22.358514508078844</v>
      </c>
      <c r="P41" s="85">
        <f t="shared" ref="P41:P49" ca="1" si="27">IF(M41&gt;0,N41*100/M41,0)</f>
        <v>44.615124915597569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591050</v>
      </c>
      <c r="M43" s="92">
        <f t="shared" ca="1" si="28"/>
        <v>296200</v>
      </c>
      <c r="N43" s="92">
        <f t="shared" ca="1" si="28"/>
        <v>132150</v>
      </c>
      <c r="O43" s="92">
        <f t="shared" ca="1" si="26"/>
        <v>22.358514508078844</v>
      </c>
      <c r="P43" s="92">
        <f t="shared" ca="1" si="27"/>
        <v>44.615124915597569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589" t="s">
        <v>12</v>
      </c>
      <c r="I44" s="269"/>
      <c r="J44" s="269"/>
      <c r="K44" s="465"/>
      <c r="L44" s="465">
        <f t="shared" ref="L44:N44" ca="1" si="29">L45+L46</f>
        <v>591050</v>
      </c>
      <c r="M44" s="465">
        <f t="shared" ca="1" si="29"/>
        <v>296200</v>
      </c>
      <c r="N44" s="465">
        <f t="shared" ca="1" si="29"/>
        <v>132150</v>
      </c>
      <c r="O44" s="465">
        <f t="shared" ca="1" si="26"/>
        <v>22.358514508078844</v>
      </c>
      <c r="P44" s="465">
        <f t="shared" ca="1" si="27"/>
        <v>44.615124915597569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2" t="s">
        <v>18</v>
      </c>
      <c r="F45" s="40"/>
      <c r="G45" s="42"/>
      <c r="H45" s="43" t="s">
        <v>12</v>
      </c>
      <c r="I45" s="583"/>
      <c r="J45" s="583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2" t="s">
        <v>19</v>
      </c>
      <c r="F46" s="40"/>
      <c r="G46" s="42"/>
      <c r="H46" s="43" t="s">
        <v>12</v>
      </c>
      <c r="I46" s="583"/>
      <c r="J46" s="583"/>
      <c r="K46" s="93"/>
      <c r="L46" s="93">
        <f ca="1">IFERROR(__xludf.DUMMYFUNCTION("IMPORTRANGE(""https://docs.google.com/spreadsheets/d/1MeEWN-I1oV_STSDYn1IFDPWt_1FKiwhDph83XaGc0o0/edit?usp=sharing"",""งบพรบ!M19"")"),591050)</f>
        <v>591050</v>
      </c>
      <c r="M46" s="93">
        <f ca="1">IFERROR(__xludf.DUMMYFUNCTION("IMPORTRANGE(""https://docs.google.com/spreadsheets/d/1MeEWN-I1oV_STSDYn1IFDPWt_1FKiwhDph83XaGc0o0/edit?usp=sharing"",""งบพรบ!R19"")"),296200)</f>
        <v>296200</v>
      </c>
      <c r="N46" s="93">
        <f ca="1">IFERROR(__xludf.DUMMYFUNCTION("IMPORTRANGE(""https://docs.google.com/spreadsheets/d/1MeEWN-I1oV_STSDYn1IFDPWt_1FKiwhDph83XaGc0o0/edit?usp=sharing"",""งบพรบ!T19"")"),132150)</f>
        <v>132150</v>
      </c>
      <c r="O46" s="93">
        <f t="shared" ca="1" si="26"/>
        <v>22.358514508078844</v>
      </c>
      <c r="P46" s="93">
        <f t="shared" ca="1" si="27"/>
        <v>44.615124915597569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589" t="s">
        <v>12</v>
      </c>
      <c r="I47" s="269"/>
      <c r="J47" s="269"/>
      <c r="K47" s="465"/>
      <c r="L47" s="465">
        <f t="shared" ref="L47:N47" ca="1" si="30">L48+L49</f>
        <v>0</v>
      </c>
      <c r="M47" s="465">
        <f t="shared" ca="1" si="30"/>
        <v>0</v>
      </c>
      <c r="N47" s="465">
        <f t="shared" ca="1" si="30"/>
        <v>0</v>
      </c>
      <c r="O47" s="465">
        <f t="shared" ca="1" si="26"/>
        <v>0</v>
      </c>
      <c r="P47" s="465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2" t="s">
        <v>18</v>
      </c>
      <c r="F48" s="40"/>
      <c r="G48" s="42"/>
      <c r="H48" s="43" t="s">
        <v>12</v>
      </c>
      <c r="I48" s="583"/>
      <c r="J48" s="583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IFERROR(__xludf.DUMMYFUNCTION("IMPORTRANGE(""https://docs.google.com/spreadsheets/d/1MeEWN-I1oV_STSDYn1IFDPWt_1FKiwhDph83XaGc0o0/edit?usp=sharing"",""งบพรบ!P19"")"),0)</f>
        <v>0</v>
      </c>
      <c r="M49" s="52">
        <f ca="1">IFERROR(__xludf.DUMMYFUNCTION("IMPORTRANGE(""https://docs.google.com/spreadsheets/d/1MeEWN-I1oV_STSDYn1IFDPWt_1FKiwhDph83XaGc0o0/edit?usp=sharing"",""งบพรบ!S19"")"),0)</f>
        <v>0</v>
      </c>
      <c r="N49" s="52">
        <f ca="1">IFERROR(__xludf.DUMMYFUNCTION("IMPORTRANGE(""https://docs.google.com/spreadsheets/d/1MeEWN-I1oV_STSDYn1IFDPWt_1FKiwhDph83XaGc0o0/edit?usp=sharing"",""งบพรบ!U19"")"),0)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07" t="s">
        <v>28</v>
      </c>
      <c r="B50" s="797"/>
      <c r="C50" s="797"/>
      <c r="D50" s="797"/>
      <c r="E50" s="797"/>
      <c r="F50" s="797"/>
      <c r="G50" s="795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08" t="s">
        <v>29</v>
      </c>
      <c r="C51" s="805"/>
      <c r="D51" s="805"/>
      <c r="E51" s="805"/>
      <c r="F51" s="805"/>
      <c r="G51" s="806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16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742600</v>
      </c>
      <c r="M53" s="116">
        <f t="shared" ca="1" si="31"/>
        <v>371300</v>
      </c>
      <c r="N53" s="116">
        <f t="shared" ca="1" si="31"/>
        <v>227515.02</v>
      </c>
      <c r="O53" s="116">
        <f t="shared" ref="O53:O61" ca="1" si="32">IF(L53&gt;0,N53*100/L53,0)</f>
        <v>30.637627255588473</v>
      </c>
      <c r="P53" s="116">
        <f t="shared" ref="P53:P61" ca="1" si="33">IF(M53&gt;0,N53*100/M53,0)</f>
        <v>61.275254511176946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742600</v>
      </c>
      <c r="M55" s="123">
        <f t="shared" ca="1" si="34"/>
        <v>371300</v>
      </c>
      <c r="N55" s="123">
        <f t="shared" ca="1" si="34"/>
        <v>227515.02</v>
      </c>
      <c r="O55" s="123">
        <f t="shared" ca="1" si="32"/>
        <v>30.637627255588473</v>
      </c>
      <c r="P55" s="123">
        <f t="shared" ca="1" si="33"/>
        <v>61.275254511176946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589" t="s">
        <v>12</v>
      </c>
      <c r="I56" s="269"/>
      <c r="J56" s="269"/>
      <c r="K56" s="465"/>
      <c r="L56" s="465">
        <f t="shared" ref="L56:N56" ca="1" si="35">L57+L58</f>
        <v>742600</v>
      </c>
      <c r="M56" s="465">
        <f t="shared" ca="1" si="35"/>
        <v>371300</v>
      </c>
      <c r="N56" s="465">
        <f t="shared" ca="1" si="35"/>
        <v>227515.02</v>
      </c>
      <c r="O56" s="465">
        <f t="shared" ca="1" si="32"/>
        <v>30.637627255588473</v>
      </c>
      <c r="P56" s="465">
        <f t="shared" ca="1" si="33"/>
        <v>61.275254511176946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2" t="s">
        <v>18</v>
      </c>
      <c r="F57" s="40"/>
      <c r="G57" s="42"/>
      <c r="H57" s="43" t="s">
        <v>12</v>
      </c>
      <c r="I57" s="583"/>
      <c r="J57" s="583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2" t="s">
        <v>19</v>
      </c>
      <c r="F58" s="40"/>
      <c r="G58" s="42"/>
      <c r="H58" s="43" t="s">
        <v>12</v>
      </c>
      <c r="I58" s="583"/>
      <c r="J58" s="583"/>
      <c r="K58" s="93"/>
      <c r="L58" s="93">
        <f ca="1">IFERROR(__xludf.DUMMYFUNCTION("IMPORTRANGE(""https://docs.google.com/spreadsheets/d/1MeEWN-I1oV_STSDYn1IFDPWt_1FKiwhDph83XaGc0o0/edit?usp=sharing"",""งบพรบ!W19"")"),742600)</f>
        <v>742600</v>
      </c>
      <c r="M58" s="93">
        <f ca="1">IFERROR(__xludf.DUMMYFUNCTION("IMPORTRANGE(""https://docs.google.com/spreadsheets/d/1MeEWN-I1oV_STSDYn1IFDPWt_1FKiwhDph83XaGc0o0/edit?usp=sharing"",""งบพรบ!AB19"")"),371300)</f>
        <v>371300</v>
      </c>
      <c r="N58" s="93">
        <f ca="1">IFERROR(__xludf.DUMMYFUNCTION("IMPORTRANGE(""https://docs.google.com/spreadsheets/d/1MeEWN-I1oV_STSDYn1IFDPWt_1FKiwhDph83XaGc0o0/edit?usp=sharing"",""งบพรบ!AD19"")"),227515.02)</f>
        <v>227515.02</v>
      </c>
      <c r="O58" s="93">
        <f t="shared" ca="1" si="32"/>
        <v>30.637627255588473</v>
      </c>
      <c r="P58" s="93">
        <f t="shared" ca="1" si="33"/>
        <v>61.275254511176946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589" t="s">
        <v>12</v>
      </c>
      <c r="I59" s="269"/>
      <c r="J59" s="269"/>
      <c r="K59" s="465"/>
      <c r="L59" s="465">
        <f t="shared" ref="L59:N59" ca="1" si="36">L60+L61</f>
        <v>0</v>
      </c>
      <c r="M59" s="465">
        <f t="shared" ca="1" si="36"/>
        <v>0</v>
      </c>
      <c r="N59" s="465">
        <f t="shared" ca="1" si="36"/>
        <v>0</v>
      </c>
      <c r="O59" s="465">
        <f t="shared" ca="1" si="32"/>
        <v>0</v>
      </c>
      <c r="P59" s="465">
        <f t="shared" ca="1" si="33"/>
        <v>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2" t="s">
        <v>18</v>
      </c>
      <c r="F60" s="40"/>
      <c r="G60" s="42"/>
      <c r="H60" s="43" t="s">
        <v>12</v>
      </c>
      <c r="I60" s="583"/>
      <c r="J60" s="583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IFERROR(__xludf.DUMMYFUNCTION("IMPORTRANGE(""https://docs.google.com/spreadsheets/d/1MeEWN-I1oV_STSDYn1IFDPWt_1FKiwhDph83XaGc0o0/edit?usp=sharing"",""งบพรบ!Z19"")"),0)</f>
        <v>0</v>
      </c>
      <c r="M61" s="52">
        <f ca="1">IFERROR(__xludf.DUMMYFUNCTION("IMPORTRANGE(""https://docs.google.com/spreadsheets/d/1MeEWN-I1oV_STSDYn1IFDPWt_1FKiwhDph83XaGc0o0/edit?usp=sharing"",""งบพรบ!AC19"")"),0)</f>
        <v>0</v>
      </c>
      <c r="N61" s="52">
        <f ca="1">IFERROR(__xludf.DUMMYFUNCTION("IMPORTRANGE(""https://docs.google.com/spreadsheets/d/1MeEWN-I1oV_STSDYn1IFDPWt_1FKiwhDph83XaGc0o0/edit?usp=sharing"",""งบพรบ!AE19"")"),0)</f>
        <v>0</v>
      </c>
      <c r="O61" s="52">
        <f t="shared" ca="1" si="32"/>
        <v>0</v>
      </c>
      <c r="P61" s="52">
        <f t="shared" ca="1" si="33"/>
        <v>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>
      <c r="A64" s="138"/>
      <c r="B64" s="208" t="s">
        <v>33</v>
      </c>
      <c r="C64" s="140"/>
      <c r="D64" s="141"/>
      <c r="E64" s="140"/>
      <c r="F64" s="140"/>
      <c r="G64" s="142"/>
      <c r="H64" s="143" t="s">
        <v>34</v>
      </c>
      <c r="I64" s="144">
        <f t="shared" ref="I64:J65" ca="1" si="37">I76</f>
        <v>1</v>
      </c>
      <c r="J64" s="144">
        <f t="shared" si="37"/>
        <v>0</v>
      </c>
      <c r="K64" s="145">
        <f t="shared" ref="K64:K65" ca="1" si="38">IF(I64&gt;0,J64*100/I64,0)</f>
        <v>0</v>
      </c>
      <c r="L64" s="146"/>
      <c r="M64" s="146"/>
      <c r="N64" s="146"/>
      <c r="O64" s="146"/>
      <c r="P64" s="146"/>
    </row>
    <row r="65" spans="1:26" ht="19.5">
      <c r="A65" s="138"/>
      <c r="B65" s="140"/>
      <c r="C65" s="140"/>
      <c r="D65" s="141"/>
      <c r="E65" s="140"/>
      <c r="F65" s="140"/>
      <c r="G65" s="142"/>
      <c r="H65" s="143" t="s">
        <v>35</v>
      </c>
      <c r="I65" s="144">
        <f t="shared" ca="1" si="37"/>
        <v>40</v>
      </c>
      <c r="J65" s="144">
        <f t="shared" si="37"/>
        <v>0</v>
      </c>
      <c r="K65" s="145">
        <f t="shared" ca="1" si="38"/>
        <v>0</v>
      </c>
      <c r="L65" s="146"/>
      <c r="M65" s="146"/>
      <c r="N65" s="146"/>
      <c r="O65" s="146"/>
      <c r="P65" s="146"/>
    </row>
    <row r="66" spans="1:26" ht="19.5">
      <c r="A66" s="147"/>
      <c r="B66" s="148"/>
      <c r="C66" s="149" t="s">
        <v>16</v>
      </c>
      <c r="D66" s="817" t="s">
        <v>17</v>
      </c>
      <c r="E66" s="148"/>
      <c r="F66" s="148"/>
      <c r="G66" s="151"/>
      <c r="H66" s="152" t="s">
        <v>12</v>
      </c>
      <c r="I66" s="388"/>
      <c r="J66" s="388"/>
      <c r="K66" s="154"/>
      <c r="L66" s="155">
        <f t="shared" ref="L66:N66" ca="1" si="39">L67+L68</f>
        <v>440000</v>
      </c>
      <c r="M66" s="155">
        <f t="shared" ca="1" si="39"/>
        <v>213000</v>
      </c>
      <c r="N66" s="155">
        <f t="shared" ca="1" si="39"/>
        <v>39156</v>
      </c>
      <c r="O66" s="155">
        <f t="shared" ref="O66:O74" ca="1" si="40">IF(L66&gt;0,N66*100/L66,0)</f>
        <v>8.8990909090909085</v>
      </c>
      <c r="P66" s="155">
        <f t="shared" ref="P66:P74" ca="1" si="41">IF(M66&gt;0,N66*100/M66,0)</f>
        <v>18.383098591549295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2" t="s">
        <v>18</v>
      </c>
      <c r="F67" s="40"/>
      <c r="G67" s="157"/>
      <c r="H67" s="158" t="s">
        <v>12</v>
      </c>
      <c r="I67" s="583"/>
      <c r="J67" s="583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2" t="s">
        <v>19</v>
      </c>
      <c r="F68" s="40"/>
      <c r="G68" s="157"/>
      <c r="H68" s="158" t="s">
        <v>12</v>
      </c>
      <c r="I68" s="583"/>
      <c r="J68" s="583"/>
      <c r="K68" s="93"/>
      <c r="L68" s="93">
        <f t="shared" ca="1" si="42"/>
        <v>440000</v>
      </c>
      <c r="M68" s="93">
        <f t="shared" ca="1" si="42"/>
        <v>213000</v>
      </c>
      <c r="N68" s="93">
        <f t="shared" ca="1" si="42"/>
        <v>39156</v>
      </c>
      <c r="O68" s="93">
        <f t="shared" ca="1" si="40"/>
        <v>8.8990909090909085</v>
      </c>
      <c r="P68" s="93">
        <f t="shared" ca="1" si="41"/>
        <v>18.383098591549295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>
      <c r="A69" s="159"/>
      <c r="B69" s="33"/>
      <c r="C69" s="281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65">
        <f t="shared" ref="L69:N69" ca="1" si="43">L70+L71</f>
        <v>440000</v>
      </c>
      <c r="M69" s="465">
        <f t="shared" ca="1" si="43"/>
        <v>213000</v>
      </c>
      <c r="N69" s="465">
        <f t="shared" ca="1" si="43"/>
        <v>39156</v>
      </c>
      <c r="O69" s="465">
        <f t="shared" ca="1" si="40"/>
        <v>8.8990909090909085</v>
      </c>
      <c r="P69" s="465">
        <f t="shared" ca="1" si="41"/>
        <v>18.383098591549295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2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2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IFERROR(__xludf.DUMMYFUNCTION("IMPORTRANGE(""https://docs.google.com/spreadsheets/d/1MeEWN-I1oV_STSDYn1IFDPWt_1FKiwhDph83XaGc0o0/edit?usp=sharing"",""งบพรบ!AG19"")"),440000)</f>
        <v>440000</v>
      </c>
      <c r="M71" s="93">
        <f ca="1">IFERROR(__xludf.DUMMYFUNCTION("IMPORTRANGE(""https://docs.google.com/spreadsheets/d/1MeEWN-I1oV_STSDYn1IFDPWt_1FKiwhDph83XaGc0o0/edit?usp=sharing"",""งบพรบ!AL19"")"),213000)</f>
        <v>213000</v>
      </c>
      <c r="N71" s="93">
        <f ca="1">IFERROR(__xludf.DUMMYFUNCTION("IMPORTRANGE(""https://docs.google.com/spreadsheets/d/1MeEWN-I1oV_STSDYn1IFDPWt_1FKiwhDph83XaGc0o0/edit?usp=sharing"",""งบพรบ!AN19"")"),39156)</f>
        <v>39156</v>
      </c>
      <c r="O71" s="93">
        <f t="shared" ca="1" si="40"/>
        <v>8.8990909090909085</v>
      </c>
      <c r="P71" s="93">
        <f t="shared" ca="1" si="41"/>
        <v>18.383098591549295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>
      <c r="A72" s="159"/>
      <c r="B72" s="33"/>
      <c r="C72" s="281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65">
        <f t="shared" ref="L72:N72" ca="1" si="44">L73+L74</f>
        <v>0</v>
      </c>
      <c r="M72" s="465">
        <f t="shared" ca="1" si="44"/>
        <v>0</v>
      </c>
      <c r="N72" s="465">
        <f t="shared" ca="1" si="44"/>
        <v>0</v>
      </c>
      <c r="O72" s="465">
        <f t="shared" ca="1" si="40"/>
        <v>0</v>
      </c>
      <c r="P72" s="465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2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2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IFERROR(__xludf.DUMMYFUNCTION("IMPORTRANGE(""https://docs.google.com/spreadsheets/d/1MeEWN-I1oV_STSDYn1IFDPWt_1FKiwhDph83XaGc0o0/edit?usp=sharing"",""งบพรบ!AJ19"")"),0)</f>
        <v>0</v>
      </c>
      <c r="M74" s="93">
        <f ca="1">IFERROR(__xludf.DUMMYFUNCTION("IMPORTRANGE(""https://docs.google.com/spreadsheets/d/1MeEWN-I1oV_STSDYn1IFDPWt_1FKiwhDph83XaGc0o0/edit?usp=sharing"",""งบพรบ!AM19"")"),0)</f>
        <v>0</v>
      </c>
      <c r="N74" s="93">
        <f ca="1">IFERROR(__xludf.DUMMYFUNCTION("IMPORTRANGE(""https://docs.google.com/spreadsheets/d/1MeEWN-I1oV_STSDYn1IFDPWt_1FKiwhDph83XaGc0o0/edit?usp=sharing"",""งบพรบ!AO19"")"),0)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>
      <c r="A75" s="170"/>
      <c r="B75" s="171"/>
      <c r="C75" s="164" t="s">
        <v>16</v>
      </c>
      <c r="D75" s="818" t="s">
        <v>38</v>
      </c>
      <c r="E75" s="173"/>
      <c r="F75" s="173"/>
      <c r="G75" s="174"/>
      <c r="H75" s="726"/>
      <c r="I75" s="184"/>
      <c r="J75" s="184"/>
      <c r="K75" s="163"/>
      <c r="L75" s="163"/>
      <c r="M75" s="163"/>
      <c r="N75" s="163"/>
      <c r="O75" s="163"/>
      <c r="P75" s="163"/>
    </row>
    <row r="76" spans="1:26" ht="19.5">
      <c r="A76" s="170"/>
      <c r="B76" s="171"/>
      <c r="C76" s="171"/>
      <c r="D76" s="343" t="s">
        <v>39</v>
      </c>
      <c r="E76" s="415"/>
      <c r="F76" s="342"/>
      <c r="G76" s="179"/>
      <c r="H76" s="180" t="s">
        <v>34</v>
      </c>
      <c r="I76" s="269">
        <f t="shared" ref="I76:J77" ca="1" si="45">I78+I80+I82</f>
        <v>1</v>
      </c>
      <c r="J76" s="269">
        <f t="shared" si="45"/>
        <v>0</v>
      </c>
      <c r="K76" s="163">
        <f t="shared" ref="K76:K84" ca="1" si="46">IF(I76&gt;0,J76*100/I76,0)</f>
        <v>0</v>
      </c>
      <c r="L76" s="163"/>
      <c r="M76" s="163"/>
      <c r="N76" s="163"/>
      <c r="O76" s="163"/>
      <c r="P76" s="163"/>
    </row>
    <row r="77" spans="1:26" ht="19.5">
      <c r="A77" s="170"/>
      <c r="B77" s="171"/>
      <c r="C77" s="171"/>
      <c r="D77" s="171"/>
      <c r="E77" s="342"/>
      <c r="F77" s="342"/>
      <c r="G77" s="179"/>
      <c r="H77" s="180" t="s">
        <v>35</v>
      </c>
      <c r="I77" s="269">
        <f t="shared" ca="1" si="45"/>
        <v>40</v>
      </c>
      <c r="J77" s="269">
        <f t="shared" si="45"/>
        <v>0</v>
      </c>
      <c r="K77" s="163">
        <f t="shared" ca="1" si="46"/>
        <v>0</v>
      </c>
      <c r="L77" s="163"/>
      <c r="M77" s="163"/>
      <c r="N77" s="163"/>
      <c r="O77" s="163"/>
      <c r="P77" s="163"/>
    </row>
    <row r="78" spans="1:26" ht="18.75">
      <c r="A78" s="170"/>
      <c r="B78" s="171"/>
      <c r="C78" s="171"/>
      <c r="D78" s="171"/>
      <c r="E78" s="415" t="s">
        <v>40</v>
      </c>
      <c r="F78" s="415"/>
      <c r="G78" s="179"/>
      <c r="H78" s="728" t="s">
        <v>34</v>
      </c>
      <c r="I78" s="184">
        <f ca="1">IFERROR(__xludf.DUMMYFUNCTION("IMPORTRANGE(""https://docs.google.com/spreadsheets/d/1QqKyyYR6Q21VydFLVH3TRQUabQu_ym0Zz7PgGX0-kHA/edit?usp=sharing"",""แผน!H19"")"),1)</f>
        <v>1</v>
      </c>
      <c r="J78" s="214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>
      <c r="A79" s="170"/>
      <c r="B79" s="171"/>
      <c r="C79" s="171"/>
      <c r="D79" s="171"/>
      <c r="E79" s="342"/>
      <c r="F79" s="342"/>
      <c r="G79" s="179"/>
      <c r="H79" s="728" t="s">
        <v>35</v>
      </c>
      <c r="I79" s="184">
        <f ca="1">IFERROR(__xludf.DUMMYFUNCTION("IMPORTRANGE(""https://docs.google.com/spreadsheets/d/1QqKyyYR6Q21VydFLVH3TRQUabQu_ym0Zz7PgGX0-kHA/edit?usp=sharing"",""แผน!I19"")"),40)</f>
        <v>40</v>
      </c>
      <c r="J79" s="214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>
      <c r="A80" s="170"/>
      <c r="B80" s="171"/>
      <c r="C80" s="171"/>
      <c r="D80" s="171"/>
      <c r="E80" s="415" t="s">
        <v>41</v>
      </c>
      <c r="F80" s="415"/>
      <c r="G80" s="179"/>
      <c r="H80" s="728" t="s">
        <v>34</v>
      </c>
      <c r="I80" s="184">
        <f ca="1">IFERROR(__xludf.DUMMYFUNCTION("IMPORTRANGE(""https://docs.google.com/spreadsheets/d/1QqKyyYR6Q21VydFLVH3TRQUabQu_ym0Zz7PgGX0-kHA/edit?usp=sharing"",""แผน!F19"")"),0)</f>
        <v>0</v>
      </c>
      <c r="J80" s="214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>
      <c r="A81" s="170"/>
      <c r="B81" s="171"/>
      <c r="C81" s="171"/>
      <c r="D81" s="171"/>
      <c r="E81" s="342"/>
      <c r="F81" s="342"/>
      <c r="G81" s="179"/>
      <c r="H81" s="728" t="s">
        <v>35</v>
      </c>
      <c r="I81" s="184">
        <f ca="1">IFERROR(__xludf.DUMMYFUNCTION("IMPORTRANGE(""https://docs.google.com/spreadsheets/d/1QqKyyYR6Q21VydFLVH3TRQUabQu_ym0Zz7PgGX0-kHA/edit?usp=sharing"",""แผน!G19"")"),0)</f>
        <v>0</v>
      </c>
      <c r="J81" s="214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>
      <c r="A82" s="170"/>
      <c r="B82" s="171"/>
      <c r="C82" s="171"/>
      <c r="D82" s="171"/>
      <c r="E82" s="415" t="s">
        <v>42</v>
      </c>
      <c r="F82" s="415"/>
      <c r="G82" s="179"/>
      <c r="H82" s="728" t="s">
        <v>34</v>
      </c>
      <c r="I82" s="184">
        <f ca="1">IFERROR(__xludf.DUMMYFUNCTION("IMPORTRANGE(""https://docs.google.com/spreadsheets/d/1QqKyyYR6Q21VydFLVH3TRQUabQu_ym0Zz7PgGX0-kHA/edit?usp=sharing"",""แผน!D19"")"),0)</f>
        <v>0</v>
      </c>
      <c r="J82" s="214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>
      <c r="A83" s="170"/>
      <c r="B83" s="171"/>
      <c r="C83" s="171"/>
      <c r="D83" s="171"/>
      <c r="E83" s="342"/>
      <c r="F83" s="342"/>
      <c r="G83" s="179"/>
      <c r="H83" s="728" t="s">
        <v>35</v>
      </c>
      <c r="I83" s="184">
        <f ca="1">IFERROR(__xludf.DUMMYFUNCTION("IMPORTRANGE(""https://docs.google.com/spreadsheets/d/1QqKyyYR6Q21VydFLVH3TRQUabQu_ym0Zz7PgGX0-kHA/edit?usp=sharing"",""แผน!E19"")"),0)</f>
        <v>0</v>
      </c>
      <c r="J83" s="214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>
      <c r="A84" s="170"/>
      <c r="B84" s="171"/>
      <c r="C84" s="171"/>
      <c r="D84" s="343" t="s">
        <v>43</v>
      </c>
      <c r="E84" s="415"/>
      <c r="F84" s="342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IFERROR(__xludf.DUMMYFUNCTION("IMPORTRANGE(""https://docs.google.com/spreadsheets/d/1QqKyyYR6Q21VydFLVH3TRQUabQu_ym0Zz7PgGX0-kHA/edit?usp=sharing"",""แผน!J19"")"),1)</f>
        <v>1</v>
      </c>
      <c r="J84" s="214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8" t="s">
        <v>45</v>
      </c>
      <c r="C86" s="140"/>
      <c r="D86" s="141"/>
      <c r="E86" s="140"/>
      <c r="F86" s="140"/>
      <c r="G86" s="142"/>
      <c r="H86" s="143" t="s">
        <v>46</v>
      </c>
      <c r="I86" s="144">
        <f t="shared" ref="I86:J87" ca="1" si="47">I98</f>
        <v>150</v>
      </c>
      <c r="J86" s="144">
        <f t="shared" si="47"/>
        <v>0</v>
      </c>
      <c r="K86" s="145">
        <f t="shared" ref="K86:K87" ca="1" si="48">IF(I86&gt;0,J86*100/I86,0)</f>
        <v>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143" t="s">
        <v>35</v>
      </c>
      <c r="I87" s="144">
        <f t="shared" ca="1" si="47"/>
        <v>50</v>
      </c>
      <c r="J87" s="144">
        <f t="shared" si="47"/>
        <v>0</v>
      </c>
      <c r="K87" s="145">
        <f t="shared" ca="1" si="48"/>
        <v>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17" t="s">
        <v>17</v>
      </c>
      <c r="E88" s="148"/>
      <c r="F88" s="148"/>
      <c r="G88" s="151"/>
      <c r="H88" s="152" t="s">
        <v>12</v>
      </c>
      <c r="I88" s="388"/>
      <c r="J88" s="388"/>
      <c r="K88" s="154"/>
      <c r="L88" s="155">
        <f t="shared" ref="L88:N88" ca="1" si="49">L89+L90</f>
        <v>269500</v>
      </c>
      <c r="M88" s="155">
        <f t="shared" ca="1" si="49"/>
        <v>174200</v>
      </c>
      <c r="N88" s="155">
        <f t="shared" ca="1" si="49"/>
        <v>13000</v>
      </c>
      <c r="O88" s="155">
        <f t="shared" ref="O88:O96" ca="1" si="50">IF(L88&gt;0,N88*100/L88,0)</f>
        <v>4.8237476808905377</v>
      </c>
      <c r="P88" s="155">
        <f t="shared" ref="P88:P96" ca="1" si="51">IF(M88&gt;0,N88*100/M88,0)</f>
        <v>7.4626865671641793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2" t="s">
        <v>18</v>
      </c>
      <c r="F89" s="40"/>
      <c r="G89" s="157"/>
      <c r="H89" s="158" t="s">
        <v>12</v>
      </c>
      <c r="I89" s="583"/>
      <c r="J89" s="583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2" t="s">
        <v>19</v>
      </c>
      <c r="F90" s="40"/>
      <c r="G90" s="157"/>
      <c r="H90" s="158" t="s">
        <v>12</v>
      </c>
      <c r="I90" s="583"/>
      <c r="J90" s="583"/>
      <c r="K90" s="93"/>
      <c r="L90" s="93">
        <f t="shared" ca="1" si="52"/>
        <v>269500</v>
      </c>
      <c r="M90" s="93">
        <f t="shared" ca="1" si="52"/>
        <v>174200</v>
      </c>
      <c r="N90" s="93">
        <f t="shared" ca="1" si="52"/>
        <v>13000</v>
      </c>
      <c r="O90" s="93">
        <f t="shared" ca="1" si="50"/>
        <v>4.8237476808905377</v>
      </c>
      <c r="P90" s="93">
        <f t="shared" ca="1" si="51"/>
        <v>7.4626865671641793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1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65">
        <f t="shared" ref="L91:N91" ca="1" si="53">L92+L93</f>
        <v>269500</v>
      </c>
      <c r="M91" s="465">
        <f t="shared" ca="1" si="53"/>
        <v>174200</v>
      </c>
      <c r="N91" s="465">
        <f t="shared" ca="1" si="53"/>
        <v>13000</v>
      </c>
      <c r="O91" s="465">
        <f t="shared" ca="1" si="50"/>
        <v>4.8237476808905377</v>
      </c>
      <c r="P91" s="465">
        <f t="shared" ca="1" si="51"/>
        <v>7.4626865671641793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2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2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IFERROR(__xludf.DUMMYFUNCTION("IMPORTRANGE(""https://docs.google.com/spreadsheets/d/1MeEWN-I1oV_STSDYn1IFDPWt_1FKiwhDph83XaGc0o0/edit?usp=sharing"",""งบพรบ!AQ19"")"),269500)</f>
        <v>269500</v>
      </c>
      <c r="M93" s="93">
        <f ca="1">IFERROR(__xludf.DUMMYFUNCTION("IMPORTRANGE(""https://docs.google.com/spreadsheets/d/1MeEWN-I1oV_STSDYn1IFDPWt_1FKiwhDph83XaGc0o0/edit?usp=sharing"",""งบพรบ!AV19"")"),174200)</f>
        <v>174200</v>
      </c>
      <c r="N93" s="93">
        <f ca="1">IFERROR(__xludf.DUMMYFUNCTION("IMPORTRANGE(""https://docs.google.com/spreadsheets/d/1MeEWN-I1oV_STSDYn1IFDPWt_1FKiwhDph83XaGc0o0/edit?usp=sharing"",""งบพรบ!AX19"")"),13000)</f>
        <v>13000</v>
      </c>
      <c r="O93" s="93">
        <f t="shared" ca="1" si="50"/>
        <v>4.8237476808905377</v>
      </c>
      <c r="P93" s="93">
        <f t="shared" ca="1" si="51"/>
        <v>7.4626865671641793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1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65">
        <f t="shared" ref="L94:N94" ca="1" si="54">L95+L96</f>
        <v>0</v>
      </c>
      <c r="M94" s="465">
        <f t="shared" ca="1" si="54"/>
        <v>0</v>
      </c>
      <c r="N94" s="465">
        <f t="shared" ca="1" si="54"/>
        <v>0</v>
      </c>
      <c r="O94" s="465">
        <f t="shared" ca="1" si="50"/>
        <v>0</v>
      </c>
      <c r="P94" s="465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2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2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IFERROR(__xludf.DUMMYFUNCTION("IMPORTRANGE(""https://docs.google.com/spreadsheets/d/1MeEWN-I1oV_STSDYn1IFDPWt_1FKiwhDph83XaGc0o0/edit?usp=sharing"",""งบพรบ!AT19"")"),0)</f>
        <v>0</v>
      </c>
      <c r="M96" s="93">
        <f ca="1">IFERROR(__xludf.DUMMYFUNCTION("IMPORTRANGE(""https://docs.google.com/spreadsheets/d/1MeEWN-I1oV_STSDYn1IFDPWt_1FKiwhDph83XaGc0o0/edit?usp=sharing"",""งบพรบ!AW19"")"),0)</f>
        <v>0</v>
      </c>
      <c r="N96" s="93">
        <f ca="1">IFERROR(__xludf.DUMMYFUNCTION("IMPORTRANGE(""https://docs.google.com/spreadsheets/d/1MeEWN-I1oV_STSDYn1IFDPWt_1FKiwhDph83XaGc0o0/edit?usp=sharing"",""งบพรบ!AY19"")"),0)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18" t="s">
        <v>38</v>
      </c>
      <c r="E97" s="173"/>
      <c r="F97" s="173"/>
      <c r="G97" s="174"/>
      <c r="H97" s="726"/>
      <c r="I97" s="184"/>
      <c r="J97" s="269"/>
      <c r="K97" s="465"/>
      <c r="L97" s="465"/>
      <c r="M97" s="465"/>
      <c r="N97" s="465"/>
      <c r="O97" s="163"/>
      <c r="P97" s="163"/>
    </row>
    <row r="98" spans="1:16" ht="18.75">
      <c r="A98" s="170"/>
      <c r="B98" s="171"/>
      <c r="C98" s="171"/>
      <c r="D98" s="415" t="s">
        <v>47</v>
      </c>
      <c r="E98" s="415"/>
      <c r="F98" s="342"/>
      <c r="G98" s="179"/>
      <c r="H98" s="589" t="s">
        <v>46</v>
      </c>
      <c r="I98" s="269">
        <f ca="1">IFERROR(__xludf.DUMMYFUNCTION("IMPORTRANGE(""https://docs.google.com/spreadsheets/d/1QqKyyYR6Q21VydFLVH3TRQUabQu_ym0Zz7PgGX0-kHA/edit?usp=sharing"",""แผน!K19"")"),150)</f>
        <v>150</v>
      </c>
      <c r="J98" s="269">
        <f>J102</f>
        <v>0</v>
      </c>
      <c r="K98" s="465">
        <f t="shared" ref="K98:K100" ca="1" si="55">IF(I98&gt;0,J98*100/I98,0)</f>
        <v>0</v>
      </c>
      <c r="L98" s="465"/>
      <c r="M98" s="465"/>
      <c r="N98" s="465"/>
      <c r="O98" s="163"/>
      <c r="P98" s="163"/>
    </row>
    <row r="99" spans="1:16" ht="18.75">
      <c r="A99" s="170"/>
      <c r="B99" s="171"/>
      <c r="C99" s="171"/>
      <c r="D99" s="415" t="s">
        <v>48</v>
      </c>
      <c r="E99" s="415"/>
      <c r="F99" s="342"/>
      <c r="G99" s="179"/>
      <c r="H99" s="589" t="s">
        <v>35</v>
      </c>
      <c r="I99" s="269">
        <f ca="1">IFERROR(__xludf.DUMMYFUNCTION("IMPORTRANGE(""https://docs.google.com/spreadsheets/d/1QqKyyYR6Q21VydFLVH3TRQUabQu_ym0Zz7PgGX0-kHA/edit?usp=sharing"",""แผน!L19"")"),50)</f>
        <v>50</v>
      </c>
      <c r="J99" s="269">
        <f>J104</f>
        <v>0</v>
      </c>
      <c r="K99" s="465">
        <f t="shared" ca="1" si="55"/>
        <v>0</v>
      </c>
      <c r="L99" s="465"/>
      <c r="M99" s="465"/>
      <c r="N99" s="465"/>
      <c r="O99" s="163"/>
      <c r="P99" s="163"/>
    </row>
    <row r="100" spans="1:16" ht="18.75">
      <c r="A100" s="170"/>
      <c r="B100" s="171"/>
      <c r="C100" s="171"/>
      <c r="D100" s="171"/>
      <c r="E100" s="342"/>
      <c r="F100" s="342"/>
      <c r="G100" s="179"/>
      <c r="H100" s="589" t="s">
        <v>49</v>
      </c>
      <c r="I100" s="269">
        <f ca="1">IFERROR(__xludf.DUMMYFUNCTION("IMPORTRANGE(""https://docs.google.com/spreadsheets/d/1QqKyyYR6Q21VydFLVH3TRQUabQu_ym0Zz7PgGX0-kHA/edit?usp=sharing"",""แผน!M19"")"),0)</f>
        <v>0</v>
      </c>
      <c r="J100" s="269">
        <f>J107+J110</f>
        <v>0</v>
      </c>
      <c r="K100" s="465">
        <f t="shared" ca="1" si="55"/>
        <v>0</v>
      </c>
      <c r="L100" s="465"/>
      <c r="M100" s="465"/>
      <c r="N100" s="465"/>
      <c r="O100" s="163"/>
      <c r="P100" s="163"/>
    </row>
    <row r="101" spans="1:16" ht="19.5">
      <c r="A101" s="170"/>
      <c r="B101" s="171"/>
      <c r="C101" s="171"/>
      <c r="D101" s="342"/>
      <c r="E101" s="191" t="s">
        <v>50</v>
      </c>
      <c r="F101" s="342"/>
      <c r="G101" s="179"/>
      <c r="H101" s="589"/>
      <c r="I101" s="269"/>
      <c r="J101" s="269"/>
      <c r="K101" s="465"/>
      <c r="L101" s="465"/>
      <c r="M101" s="465"/>
      <c r="N101" s="465"/>
      <c r="O101" s="163"/>
      <c r="P101" s="163"/>
    </row>
    <row r="102" spans="1:16" ht="18.75">
      <c r="A102" s="170"/>
      <c r="B102" s="171"/>
      <c r="C102" s="171"/>
      <c r="D102" s="342"/>
      <c r="E102" s="592" t="s">
        <v>47</v>
      </c>
      <c r="F102" s="342"/>
      <c r="G102" s="179"/>
      <c r="H102" s="589" t="s">
        <v>46</v>
      </c>
      <c r="I102" s="269">
        <f ca="1">IFERROR(__xludf.DUMMYFUNCTION("IMPORTRANGE(""https://docs.google.com/spreadsheets/d/1QqKyyYR6Q21VydFLVH3TRQUabQu_ym0Zz7PgGX0-kHA/edit?usp=sharing"",""แผน!N19"")"),150)</f>
        <v>150</v>
      </c>
      <c r="J102" s="214">
        <v>0</v>
      </c>
      <c r="K102" s="465">
        <f t="shared" ref="K102:K104" ca="1" si="56">IF(I102&gt;0,J102*100/I102,0)</f>
        <v>0</v>
      </c>
      <c r="L102" s="465"/>
      <c r="M102" s="465"/>
      <c r="N102" s="465"/>
      <c r="O102" s="163"/>
      <c r="P102" s="163"/>
    </row>
    <row r="103" spans="1:16" ht="19.5">
      <c r="A103" s="170"/>
      <c r="B103" s="171"/>
      <c r="C103" s="171"/>
      <c r="D103" s="342"/>
      <c r="E103" s="415" t="s">
        <v>51</v>
      </c>
      <c r="F103" s="342"/>
      <c r="G103" s="179"/>
      <c r="H103" s="589" t="s">
        <v>35</v>
      </c>
      <c r="I103" s="269">
        <f ca="1">IFERROR(__xludf.DUMMYFUNCTION("IMPORTRANGE(""https://docs.google.com/spreadsheets/d/1QqKyyYR6Q21VydFLVH3TRQUabQu_ym0Zz7PgGX0-kHA/edit?usp=sharing"",""แผน!O19"")"),50)</f>
        <v>50</v>
      </c>
      <c r="J103" s="214">
        <v>0</v>
      </c>
      <c r="K103" s="465">
        <f t="shared" ca="1" si="56"/>
        <v>0</v>
      </c>
      <c r="L103" s="465"/>
      <c r="M103" s="465"/>
      <c r="N103" s="465"/>
      <c r="O103" s="163"/>
      <c r="P103" s="163"/>
    </row>
    <row r="104" spans="1:16" ht="18.75">
      <c r="A104" s="170"/>
      <c r="B104" s="171"/>
      <c r="C104" s="171"/>
      <c r="D104" s="342"/>
      <c r="E104" s="188" t="s">
        <v>52</v>
      </c>
      <c r="F104" s="342"/>
      <c r="G104" s="179"/>
      <c r="H104" s="589" t="s">
        <v>35</v>
      </c>
      <c r="I104" s="269">
        <f ca="1">IFERROR(__xludf.DUMMYFUNCTION("IMPORTRANGE(""https://docs.google.com/spreadsheets/d/1QqKyyYR6Q21VydFLVH3TRQUabQu_ym0Zz7PgGX0-kHA/edit?usp=sharing"",""แผน!O19"")"),50)</f>
        <v>50</v>
      </c>
      <c r="J104" s="214">
        <v>0</v>
      </c>
      <c r="K104" s="465">
        <f t="shared" ca="1" si="56"/>
        <v>0</v>
      </c>
      <c r="L104" s="465"/>
      <c r="M104" s="465"/>
      <c r="N104" s="465"/>
      <c r="O104" s="163"/>
      <c r="P104" s="163"/>
    </row>
    <row r="105" spans="1:16" ht="19.5">
      <c r="A105" s="170"/>
      <c r="B105" s="171"/>
      <c r="C105" s="171"/>
      <c r="D105" s="342"/>
      <c r="E105" s="191" t="s">
        <v>53</v>
      </c>
      <c r="F105" s="342"/>
      <c r="G105" s="179"/>
      <c r="H105" s="189"/>
      <c r="I105" s="269"/>
      <c r="J105" s="269"/>
      <c r="K105" s="465"/>
      <c r="L105" s="465"/>
      <c r="M105" s="465"/>
      <c r="N105" s="465"/>
      <c r="O105" s="163"/>
      <c r="P105" s="163"/>
    </row>
    <row r="106" spans="1:16" ht="19.5">
      <c r="A106" s="170"/>
      <c r="B106" s="171"/>
      <c r="C106" s="171"/>
      <c r="D106" s="342"/>
      <c r="E106" s="415" t="s">
        <v>54</v>
      </c>
      <c r="F106" s="342"/>
      <c r="G106" s="179"/>
      <c r="H106" s="589" t="s">
        <v>49</v>
      </c>
      <c r="I106" s="269">
        <f ca="1">IFERROR(__xludf.DUMMYFUNCTION("IMPORTRANGE(""https://docs.google.com/spreadsheets/d/1QqKyyYR6Q21VydFLVH3TRQUabQu_ym0Zz7PgGX0-kHA/edit?usp=sharing"",""แผน!P19"")"),0)</f>
        <v>0</v>
      </c>
      <c r="J106" s="214">
        <v>0</v>
      </c>
      <c r="K106" s="465">
        <f t="shared" ref="K106:K107" ca="1" si="57">IF(I106&gt;0,J106*100/I106,0)</f>
        <v>0</v>
      </c>
      <c r="L106" s="465"/>
      <c r="M106" s="465"/>
      <c r="N106" s="465"/>
      <c r="O106" s="163"/>
      <c r="P106" s="163"/>
    </row>
    <row r="107" spans="1:16" ht="18.75">
      <c r="A107" s="170"/>
      <c r="B107" s="171"/>
      <c r="C107" s="171"/>
      <c r="D107" s="342"/>
      <c r="E107" s="188" t="s">
        <v>55</v>
      </c>
      <c r="F107" s="342"/>
      <c r="G107" s="179"/>
      <c r="H107" s="589" t="s">
        <v>49</v>
      </c>
      <c r="I107" s="269">
        <f ca="1">IFERROR(__xludf.DUMMYFUNCTION("IMPORTRANGE(""https://docs.google.com/spreadsheets/d/1QqKyyYR6Q21VydFLVH3TRQUabQu_ym0Zz7PgGX0-kHA/edit?usp=sharing"",""แผน!P19"")"),0)</f>
        <v>0</v>
      </c>
      <c r="J107" s="214">
        <v>0</v>
      </c>
      <c r="K107" s="465">
        <f t="shared" ca="1" si="57"/>
        <v>0</v>
      </c>
      <c r="L107" s="465"/>
      <c r="M107" s="465"/>
      <c r="N107" s="465"/>
      <c r="O107" s="163"/>
      <c r="P107" s="163"/>
    </row>
    <row r="108" spans="1:16" ht="19.5">
      <c r="A108" s="170"/>
      <c r="B108" s="171"/>
      <c r="C108" s="171"/>
      <c r="D108" s="342"/>
      <c r="E108" s="191" t="s">
        <v>56</v>
      </c>
      <c r="F108" s="342"/>
      <c r="G108" s="179"/>
      <c r="H108" s="189"/>
      <c r="I108" s="269"/>
      <c r="J108" s="269"/>
      <c r="K108" s="465"/>
      <c r="L108" s="465"/>
      <c r="M108" s="465"/>
      <c r="N108" s="465"/>
      <c r="O108" s="163"/>
      <c r="P108" s="163"/>
    </row>
    <row r="109" spans="1:16" ht="19.5">
      <c r="A109" s="170"/>
      <c r="B109" s="171"/>
      <c r="C109" s="171"/>
      <c r="D109" s="342"/>
      <c r="E109" s="415" t="s">
        <v>57</v>
      </c>
      <c r="F109" s="342"/>
      <c r="G109" s="179"/>
      <c r="H109" s="589" t="s">
        <v>49</v>
      </c>
      <c r="I109" s="269">
        <f ca="1">IFERROR(__xludf.DUMMYFUNCTION("IMPORTRANGE(""https://docs.google.com/spreadsheets/d/1QqKyyYR6Q21VydFLVH3TRQUabQu_ym0Zz7PgGX0-kHA/edit?usp=sharing"",""แผน!Q19"")"),0)</f>
        <v>0</v>
      </c>
      <c r="J109" s="214">
        <v>0</v>
      </c>
      <c r="K109" s="465">
        <f t="shared" ref="K109:K116" ca="1" si="58">IF(I109&gt;0,J109*100/I109,0)</f>
        <v>0</v>
      </c>
      <c r="L109" s="465"/>
      <c r="M109" s="465"/>
      <c r="N109" s="465"/>
      <c r="O109" s="163"/>
      <c r="P109" s="163"/>
    </row>
    <row r="110" spans="1:16" ht="18.75">
      <c r="A110" s="170"/>
      <c r="B110" s="171"/>
      <c r="C110" s="171"/>
      <c r="D110" s="342"/>
      <c r="E110" s="190" t="s">
        <v>58</v>
      </c>
      <c r="F110" s="342"/>
      <c r="G110" s="179"/>
      <c r="H110" s="589" t="s">
        <v>49</v>
      </c>
      <c r="I110" s="269">
        <f ca="1">IFERROR(__xludf.DUMMYFUNCTION("IMPORTRANGE(""https://docs.google.com/spreadsheets/d/1QqKyyYR6Q21VydFLVH3TRQUabQu_ym0Zz7PgGX0-kHA/edit?usp=sharing"",""แผน!Q19"")"),0)</f>
        <v>0</v>
      </c>
      <c r="J110" s="214">
        <v>0</v>
      </c>
      <c r="K110" s="465">
        <f t="shared" ca="1" si="58"/>
        <v>0</v>
      </c>
      <c r="L110" s="465"/>
      <c r="M110" s="465"/>
      <c r="N110" s="465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342"/>
      <c r="G111" s="179"/>
      <c r="H111" s="731" t="s">
        <v>35</v>
      </c>
      <c r="I111" s="193">
        <f ca="1">IFERROR(__xludf.DUMMYFUNCTION("IMPORTRANGE(""https://docs.google.com/spreadsheets/d/1QqKyyYR6Q21VydFLVH3TRQUabQu_ym0Zz7PgGX0-kHA/edit?usp=sharing"",""แผน!R19"")"),50)</f>
        <v>50</v>
      </c>
      <c r="J111" s="647">
        <f>J114</f>
        <v>0</v>
      </c>
      <c r="K111" s="195">
        <f t="shared" ca="1" si="58"/>
        <v>0</v>
      </c>
      <c r="L111" s="465"/>
      <c r="M111" s="465"/>
      <c r="N111" s="465"/>
      <c r="O111" s="163"/>
      <c r="P111" s="163"/>
    </row>
    <row r="112" spans="1:16" ht="19.5">
      <c r="A112" s="170"/>
      <c r="B112" s="171"/>
      <c r="C112" s="171"/>
      <c r="D112" s="171"/>
      <c r="E112" s="342"/>
      <c r="F112" s="342"/>
      <c r="G112" s="179"/>
      <c r="H112" s="196" t="s">
        <v>49</v>
      </c>
      <c r="I112" s="193">
        <f t="shared" ref="I112:J112" ca="1" si="59">I115+I116</f>
        <v>0</v>
      </c>
      <c r="J112" s="647">
        <f t="shared" si="59"/>
        <v>0</v>
      </c>
      <c r="K112" s="195">
        <f t="shared" ca="1" si="58"/>
        <v>0</v>
      </c>
      <c r="L112" s="465"/>
      <c r="M112" s="465"/>
      <c r="N112" s="465"/>
      <c r="O112" s="163"/>
      <c r="P112" s="163"/>
    </row>
    <row r="113" spans="1:26" ht="19.5">
      <c r="A113" s="170"/>
      <c r="B113" s="171"/>
      <c r="C113" s="171"/>
      <c r="D113" s="171"/>
      <c r="E113" s="494" t="s">
        <v>60</v>
      </c>
      <c r="F113" s="342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IFERROR(__xludf.DUMMYFUNCTION("IMPORTRANGE(""https://docs.google.com/spreadsheets/d/1QqKyyYR6Q21VydFLVH3TRQUabQu_ym0Zz7PgGX0-kHA/edit?usp=sharing"",""แผน!R19"")"),50)</f>
        <v>50</v>
      </c>
      <c r="J113" s="214">
        <v>0</v>
      </c>
      <c r="K113" s="465">
        <f t="shared" ca="1" si="58"/>
        <v>0</v>
      </c>
      <c r="L113" s="465"/>
      <c r="M113" s="465"/>
      <c r="N113" s="465"/>
      <c r="O113" s="163"/>
      <c r="P113" s="163"/>
    </row>
    <row r="114" spans="1:26" ht="19.5">
      <c r="A114" s="170"/>
      <c r="B114" s="171"/>
      <c r="C114" s="171"/>
      <c r="D114" s="171"/>
      <c r="E114" s="415" t="s">
        <v>61</v>
      </c>
      <c r="F114" s="342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IFERROR(__xludf.DUMMYFUNCTION("IMPORTRANGE(""https://docs.google.com/spreadsheets/d/1QqKyyYR6Q21VydFLVH3TRQUabQu_ym0Zz7PgGX0-kHA/edit?usp=sharing"",""แผน!R19"")"),50)</f>
        <v>50</v>
      </c>
      <c r="J114" s="214">
        <v>0</v>
      </c>
      <c r="K114" s="465">
        <f t="shared" ca="1" si="58"/>
        <v>0</v>
      </c>
      <c r="L114" s="465"/>
      <c r="M114" s="465"/>
      <c r="N114" s="465"/>
      <c r="O114" s="163"/>
      <c r="P114" s="163"/>
    </row>
    <row r="115" spans="1:26" ht="18.75">
      <c r="A115" s="170"/>
      <c r="B115" s="171"/>
      <c r="C115" s="171"/>
      <c r="D115" s="171"/>
      <c r="E115" s="415" t="s">
        <v>62</v>
      </c>
      <c r="F115" s="342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IFERROR(__xludf.DUMMYFUNCTION("IMPORTRANGE(""https://docs.google.com/spreadsheets/d/1QqKyyYR6Q21VydFLVH3TRQUabQu_ym0Zz7PgGX0-kHA/edit?usp=sharing"",""แผน!S19"")"),0)</f>
        <v>0</v>
      </c>
      <c r="J115" s="214">
        <v>0</v>
      </c>
      <c r="K115" s="465">
        <f t="shared" ca="1" si="58"/>
        <v>0</v>
      </c>
      <c r="L115" s="465"/>
      <c r="M115" s="465"/>
      <c r="N115" s="465"/>
      <c r="O115" s="163"/>
      <c r="P115" s="163"/>
    </row>
    <row r="116" spans="1:26" ht="18.75">
      <c r="A116" s="170"/>
      <c r="B116" s="171"/>
      <c r="C116" s="171"/>
      <c r="D116" s="171"/>
      <c r="E116" s="415" t="s">
        <v>63</v>
      </c>
      <c r="F116" s="342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IFERROR(__xludf.DUMMYFUNCTION("IMPORTRANGE(""https://docs.google.com/spreadsheets/d/1QqKyyYR6Q21VydFLVH3TRQUabQu_ym0Zz7PgGX0-kHA/edit?usp=sharing"",""แผน!T19"")"),0)</f>
        <v>0</v>
      </c>
      <c r="J116" s="214">
        <v>0</v>
      </c>
      <c r="K116" s="465">
        <f t="shared" ca="1" si="58"/>
        <v>0</v>
      </c>
      <c r="L116" s="465"/>
      <c r="M116" s="465"/>
      <c r="N116" s="465"/>
      <c r="O116" s="163"/>
      <c r="P116" s="163"/>
    </row>
    <row r="117" spans="1:26" ht="19.5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>
      <c r="A118" s="138"/>
      <c r="B118" s="208" t="s">
        <v>65</v>
      </c>
      <c r="C118" s="204"/>
      <c r="D118" s="141"/>
      <c r="E118" s="140"/>
      <c r="F118" s="140"/>
      <c r="G118" s="142"/>
      <c r="H118" s="143"/>
      <c r="I118" s="205"/>
      <c r="J118" s="205"/>
      <c r="K118" s="146"/>
      <c r="L118" s="146"/>
      <c r="M118" s="146"/>
      <c r="N118" s="146"/>
      <c r="O118" s="146"/>
      <c r="P118" s="146"/>
    </row>
    <row r="119" spans="1:26" ht="19.5">
      <c r="A119" s="147"/>
      <c r="B119" s="148"/>
      <c r="C119" s="149" t="s">
        <v>16</v>
      </c>
      <c r="D119" s="817" t="s">
        <v>17</v>
      </c>
      <c r="E119" s="148"/>
      <c r="F119" s="148"/>
      <c r="G119" s="151"/>
      <c r="H119" s="152" t="s">
        <v>12</v>
      </c>
      <c r="I119" s="388"/>
      <c r="J119" s="388"/>
      <c r="K119" s="154"/>
      <c r="L119" s="155">
        <f t="shared" ref="L119:N119" ca="1" si="60">L120+L121</f>
        <v>2067000</v>
      </c>
      <c r="M119" s="155">
        <f t="shared" ca="1" si="60"/>
        <v>2067000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2" t="s">
        <v>18</v>
      </c>
      <c r="F120" s="40"/>
      <c r="G120" s="157"/>
      <c r="H120" s="158" t="s">
        <v>12</v>
      </c>
      <c r="I120" s="583"/>
      <c r="J120" s="583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2" t="s">
        <v>19</v>
      </c>
      <c r="F121" s="40"/>
      <c r="G121" s="157"/>
      <c r="H121" s="158" t="s">
        <v>12</v>
      </c>
      <c r="I121" s="583"/>
      <c r="J121" s="583"/>
      <c r="K121" s="93"/>
      <c r="L121" s="93">
        <f t="shared" ca="1" si="63"/>
        <v>2067000</v>
      </c>
      <c r="M121" s="93">
        <f t="shared" ca="1" si="63"/>
        <v>2067000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>
      <c r="A122" s="159"/>
      <c r="B122" s="33"/>
      <c r="C122" s="281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65">
        <f t="shared" ref="L122:N122" ca="1" si="64">L123+L124</f>
        <v>0</v>
      </c>
      <c r="M122" s="465">
        <f t="shared" ca="1" si="64"/>
        <v>0</v>
      </c>
      <c r="N122" s="465">
        <f t="shared" ca="1" si="64"/>
        <v>0</v>
      </c>
      <c r="O122" s="465">
        <f t="shared" ca="1" si="61"/>
        <v>0</v>
      </c>
      <c r="P122" s="465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2"/>
      <c r="D123" s="40"/>
      <c r="E123" s="222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2"/>
      <c r="D124" s="40"/>
      <c r="E124" s="222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IFERROR(__xludf.DUMMYFUNCTION("IMPORTRANGE(""https://docs.google.com/spreadsheets/d/1MeEWN-I1oV_STSDYn1IFDPWt_1FKiwhDph83XaGc0o0/edit?usp=sharing"",""งบพรบ!BA19"")"),0)</f>
        <v>0</v>
      </c>
      <c r="M124" s="93">
        <f ca="1">IFERROR(__xludf.DUMMYFUNCTION("IMPORTRANGE(""https://docs.google.com/spreadsheets/d/1MeEWN-I1oV_STSDYn1IFDPWt_1FKiwhDph83XaGc0o0/edit?usp=sharing"",""งบพรบ!BF19"")"),0)</f>
        <v>0</v>
      </c>
      <c r="N124" s="93">
        <f ca="1">IFERROR(__xludf.DUMMYFUNCTION("IMPORTRANGE(""https://docs.google.com/spreadsheets/d/1MeEWN-I1oV_STSDYn1IFDPWt_1FKiwhDph83XaGc0o0/edit?usp=sharing"",""งบพรบ!BH19"")"),0)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>
      <c r="A125" s="159"/>
      <c r="B125" s="33"/>
      <c r="C125" s="281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65">
        <f t="shared" ref="L125:N125" ca="1" si="65">L126+L127</f>
        <v>2067000</v>
      </c>
      <c r="M125" s="465">
        <f t="shared" ca="1" si="65"/>
        <v>2067000</v>
      </c>
      <c r="N125" s="465">
        <f t="shared" ca="1" si="65"/>
        <v>0</v>
      </c>
      <c r="O125" s="465">
        <f t="shared" ca="1" si="61"/>
        <v>0</v>
      </c>
      <c r="P125" s="465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2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2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IFERROR(__xludf.DUMMYFUNCTION("IMPORTRANGE(""https://docs.google.com/spreadsheets/d/1MeEWN-I1oV_STSDYn1IFDPWt_1FKiwhDph83XaGc0o0/edit?usp=sharing"",""งบพรบ!BD19"")"),2067000)</f>
        <v>2067000</v>
      </c>
      <c r="M127" s="93">
        <f ca="1">IFERROR(__xludf.DUMMYFUNCTION("IMPORTRANGE(""https://docs.google.com/spreadsheets/d/1MeEWN-I1oV_STSDYn1IFDPWt_1FKiwhDph83XaGc0o0/edit?usp=sharing"",""งบพรบ!BG19"")"),2067000)</f>
        <v>2067000</v>
      </c>
      <c r="N127" s="93">
        <f ca="1">IFERROR(__xludf.DUMMYFUNCTION("IMPORTRANGE(""https://docs.google.com/spreadsheets/d/1MeEWN-I1oV_STSDYn1IFDPWt_1FKiwhDph83XaGc0o0/edit?usp=sharing"",""งบพรบ!BI19"")"),0)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>
      <c r="A128" s="131" t="s">
        <v>66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>
      <c r="A129" s="138"/>
      <c r="B129" s="208" t="s">
        <v>67</v>
      </c>
      <c r="C129" s="204"/>
      <c r="D129" s="141"/>
      <c r="E129" s="140"/>
      <c r="F129" s="140"/>
      <c r="G129" s="140"/>
      <c r="H129" s="207"/>
      <c r="I129" s="205"/>
      <c r="J129" s="205"/>
      <c r="K129" s="146"/>
      <c r="L129" s="146"/>
      <c r="M129" s="146"/>
      <c r="N129" s="146"/>
      <c r="O129" s="146"/>
      <c r="P129" s="146"/>
    </row>
    <row r="130" spans="1:26" ht="19.5">
      <c r="A130" s="138"/>
      <c r="B130" s="208"/>
      <c r="C130" s="209" t="s">
        <v>68</v>
      </c>
      <c r="D130" s="141"/>
      <c r="E130" s="140"/>
      <c r="F130" s="140"/>
      <c r="G130" s="142"/>
      <c r="H130" s="143" t="s">
        <v>69</v>
      </c>
      <c r="I130" s="144">
        <f t="shared" ref="I130:J130" ca="1" si="66">I146</f>
        <v>2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>
      <c r="A131" s="138"/>
      <c r="B131" s="208"/>
      <c r="C131" s="209" t="s">
        <v>70</v>
      </c>
      <c r="D131" s="141"/>
      <c r="E131" s="140"/>
      <c r="F131" s="140"/>
      <c r="G131" s="142"/>
      <c r="H131" s="143" t="s">
        <v>35</v>
      </c>
      <c r="I131" s="144">
        <f t="shared" ref="I131:J131" ca="1" si="68">I143</f>
        <v>20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>
      <c r="A132" s="147"/>
      <c r="B132" s="148"/>
      <c r="C132" s="149" t="s">
        <v>16</v>
      </c>
      <c r="D132" s="817" t="s">
        <v>17</v>
      </c>
      <c r="E132" s="148"/>
      <c r="F132" s="148"/>
      <c r="G132" s="151"/>
      <c r="H132" s="152" t="s">
        <v>12</v>
      </c>
      <c r="I132" s="388"/>
      <c r="J132" s="388"/>
      <c r="K132" s="154"/>
      <c r="L132" s="155">
        <f t="shared" ref="L132:N132" ca="1" si="69">L133+L134</f>
        <v>303310</v>
      </c>
      <c r="M132" s="155">
        <f t="shared" ca="1" si="69"/>
        <v>267200</v>
      </c>
      <c r="N132" s="155">
        <f t="shared" ca="1" si="69"/>
        <v>0</v>
      </c>
      <c r="O132" s="155">
        <f t="shared" ref="O132:O140" ca="1" si="70">IF(L132&gt;0,N132*100/L132,0)</f>
        <v>0</v>
      </c>
      <c r="P132" s="155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2" t="s">
        <v>18</v>
      </c>
      <c r="F133" s="40"/>
      <c r="G133" s="157"/>
      <c r="H133" s="158" t="s">
        <v>12</v>
      </c>
      <c r="I133" s="583"/>
      <c r="J133" s="583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2" t="s">
        <v>19</v>
      </c>
      <c r="F134" s="40"/>
      <c r="G134" s="157"/>
      <c r="H134" s="158" t="s">
        <v>12</v>
      </c>
      <c r="I134" s="583"/>
      <c r="J134" s="583"/>
      <c r="K134" s="93"/>
      <c r="L134" s="93">
        <f t="shared" ca="1" si="72"/>
        <v>303310</v>
      </c>
      <c r="M134" s="93">
        <f t="shared" ca="1" si="72"/>
        <v>267200</v>
      </c>
      <c r="N134" s="93">
        <f t="shared" ca="1" si="72"/>
        <v>0</v>
      </c>
      <c r="O134" s="93">
        <f t="shared" ca="1" si="70"/>
        <v>0</v>
      </c>
      <c r="P134" s="93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>
      <c r="A135" s="159"/>
      <c r="B135" s="33"/>
      <c r="C135" s="281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65">
        <f t="shared" ref="L135:N135" ca="1" si="73">L136+L137</f>
        <v>97310</v>
      </c>
      <c r="M135" s="465">
        <f t="shared" ca="1" si="73"/>
        <v>61200</v>
      </c>
      <c r="N135" s="465">
        <f t="shared" ca="1" si="73"/>
        <v>0</v>
      </c>
      <c r="O135" s="465">
        <f t="shared" ca="1" si="70"/>
        <v>0</v>
      </c>
      <c r="P135" s="465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2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2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IFERROR(__xludf.DUMMYFUNCTION("IMPORTRANGE(""https://docs.google.com/spreadsheets/d/1MeEWN-I1oV_STSDYn1IFDPWt_1FKiwhDph83XaGc0o0/edit?usp=sharing"",""งบพรบ!BK19"")"),97310)</f>
        <v>97310</v>
      </c>
      <c r="M137" s="93">
        <f ca="1">IFERROR(__xludf.DUMMYFUNCTION("IMPORTRANGE(""https://docs.google.com/spreadsheets/d/1MeEWN-I1oV_STSDYn1IFDPWt_1FKiwhDph83XaGc0o0/edit?usp=sharing"",""งบพรบ!BP19"")"),61200)</f>
        <v>61200</v>
      </c>
      <c r="N137" s="93">
        <f ca="1">IFERROR(__xludf.DUMMYFUNCTION("IMPORTRANGE(""https://docs.google.com/spreadsheets/d/1MeEWN-I1oV_STSDYn1IFDPWt_1FKiwhDph83XaGc0o0/edit?usp=sharing"",""งบพรบ!BR19"")"),0)</f>
        <v>0</v>
      </c>
      <c r="O137" s="93">
        <f t="shared" ca="1" si="70"/>
        <v>0</v>
      </c>
      <c r="P137" s="93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>
      <c r="A138" s="159"/>
      <c r="B138" s="33"/>
      <c r="C138" s="281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65">
        <f t="shared" ref="L138:N138" ca="1" si="74">L139+L140</f>
        <v>206000</v>
      </c>
      <c r="M138" s="465">
        <f t="shared" ca="1" si="74"/>
        <v>206000</v>
      </c>
      <c r="N138" s="465">
        <f t="shared" ca="1" si="74"/>
        <v>0</v>
      </c>
      <c r="O138" s="465">
        <f t="shared" ca="1" si="70"/>
        <v>0</v>
      </c>
      <c r="P138" s="465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2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2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IFERROR(__xludf.DUMMYFUNCTION("IMPORTRANGE(""https://docs.google.com/spreadsheets/d/1MeEWN-I1oV_STSDYn1IFDPWt_1FKiwhDph83XaGc0o0/edit?usp=sharing"",""งบพรบ!BN19"")"),206000)</f>
        <v>206000</v>
      </c>
      <c r="M140" s="93">
        <f ca="1">IFERROR(__xludf.DUMMYFUNCTION("IMPORTRANGE(""https://docs.google.com/spreadsheets/d/1MeEWN-I1oV_STSDYn1IFDPWt_1FKiwhDph83XaGc0o0/edit?usp=sharing"",""งบพรบ!BQ19"")"),206000)</f>
        <v>206000</v>
      </c>
      <c r="N140" s="93">
        <f ca="1">IFERROR(__xludf.DUMMYFUNCTION("IMPORTRANGE(""https://docs.google.com/spreadsheets/d/1MeEWN-I1oV_STSDYn1IFDPWt_1FKiwhDph83XaGc0o0/edit?usp=sharing"",""งบพรบ!BS19"")"),0)</f>
        <v>0</v>
      </c>
      <c r="O140" s="93">
        <f t="shared" ca="1" si="70"/>
        <v>0</v>
      </c>
      <c r="P140" s="93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>
      <c r="A141" s="170"/>
      <c r="B141" s="171"/>
      <c r="C141" s="149" t="s">
        <v>16</v>
      </c>
      <c r="D141" s="818" t="s">
        <v>38</v>
      </c>
      <c r="E141" s="173"/>
      <c r="F141" s="173"/>
      <c r="G141" s="174"/>
      <c r="H141" s="168"/>
      <c r="I141" s="269"/>
      <c r="J141" s="269"/>
      <c r="K141" s="465"/>
      <c r="L141" s="465"/>
      <c r="M141" s="465"/>
      <c r="N141" s="465"/>
      <c r="O141" s="465"/>
      <c r="P141" s="465"/>
    </row>
    <row r="142" spans="1:26" ht="19.5">
      <c r="A142" s="159"/>
      <c r="B142" s="33"/>
      <c r="C142" s="210"/>
      <c r="D142" s="281" t="s">
        <v>71</v>
      </c>
      <c r="E142" s="34"/>
      <c r="F142" s="33"/>
      <c r="G142" s="213"/>
      <c r="H142" s="168"/>
      <c r="I142" s="269"/>
      <c r="J142" s="214">
        <v>0</v>
      </c>
      <c r="K142" s="465"/>
      <c r="L142" s="465"/>
      <c r="M142" s="465"/>
      <c r="N142" s="465"/>
      <c r="O142" s="465"/>
      <c r="P142" s="465"/>
    </row>
    <row r="143" spans="1:26" ht="19.5">
      <c r="A143" s="159"/>
      <c r="B143" s="33"/>
      <c r="C143" s="210"/>
      <c r="D143" s="281" t="s">
        <v>72</v>
      </c>
      <c r="E143" s="34"/>
      <c r="F143" s="33"/>
      <c r="G143" s="213"/>
      <c r="H143" s="168" t="s">
        <v>35</v>
      </c>
      <c r="I143" s="269">
        <f ca="1">I145</f>
        <v>20</v>
      </c>
      <c r="J143" s="269">
        <f ca="1">IF(AND(J144&gt;=I144,J145&gt;=I145),J145,0)</f>
        <v>0</v>
      </c>
      <c r="K143" s="465">
        <f t="shared" ref="K143:K146" ca="1" si="75">IF(I143&gt;0,J143*100/I143,0)</f>
        <v>0</v>
      </c>
      <c r="L143" s="465"/>
      <c r="M143" s="465"/>
      <c r="N143" s="465"/>
      <c r="O143" s="465"/>
      <c r="P143" s="465"/>
    </row>
    <row r="144" spans="1:26" ht="19.5">
      <c r="A144" s="159"/>
      <c r="B144" s="33"/>
      <c r="C144" s="210"/>
      <c r="D144" s="342"/>
      <c r="E144" s="281" t="s">
        <v>73</v>
      </c>
      <c r="F144" s="33"/>
      <c r="G144" s="213"/>
      <c r="H144" s="168" t="s">
        <v>35</v>
      </c>
      <c r="I144" s="269">
        <f ca="1">IFERROR(__xludf.DUMMYFUNCTION("IMPORTRANGE(""https://docs.google.com/spreadsheets/d/1QqKyyYR6Q21VydFLVH3TRQUabQu_ym0Zz7PgGX0-kHA/edit?usp=sharing"",""แผน!U19"")"),10)</f>
        <v>10</v>
      </c>
      <c r="J144" s="214">
        <v>0</v>
      </c>
      <c r="K144" s="465">
        <f t="shared" ca="1" si="75"/>
        <v>0</v>
      </c>
      <c r="L144" s="465"/>
      <c r="M144" s="465"/>
      <c r="N144" s="465"/>
      <c r="O144" s="465"/>
      <c r="P144" s="465"/>
    </row>
    <row r="145" spans="1:26" ht="19.5">
      <c r="A145" s="159"/>
      <c r="B145" s="33"/>
      <c r="C145" s="210"/>
      <c r="D145" s="342"/>
      <c r="E145" s="281" t="s">
        <v>74</v>
      </c>
      <c r="F145" s="33"/>
      <c r="G145" s="213"/>
      <c r="H145" s="168" t="s">
        <v>35</v>
      </c>
      <c r="I145" s="269">
        <f ca="1">IFERROR(__xludf.DUMMYFUNCTION("IMPORTRANGE(""https://docs.google.com/spreadsheets/d/1QqKyyYR6Q21VydFLVH3TRQUabQu_ym0Zz7PgGX0-kHA/edit?usp=sharing"",""แผน!V19"")"),20)</f>
        <v>20</v>
      </c>
      <c r="J145" s="214">
        <v>0</v>
      </c>
      <c r="K145" s="465">
        <f t="shared" ca="1" si="75"/>
        <v>0</v>
      </c>
      <c r="L145" s="465"/>
      <c r="M145" s="465"/>
      <c r="N145" s="465"/>
      <c r="O145" s="465"/>
      <c r="P145" s="465"/>
    </row>
    <row r="146" spans="1:26" ht="19.5">
      <c r="A146" s="159"/>
      <c r="B146" s="33"/>
      <c r="C146" s="210"/>
      <c r="D146" s="281" t="s">
        <v>75</v>
      </c>
      <c r="E146" s="34"/>
      <c r="F146" s="33"/>
      <c r="G146" s="213"/>
      <c r="H146" s="168" t="s">
        <v>69</v>
      </c>
      <c r="I146" s="269">
        <f ca="1">IFERROR(__xludf.DUMMYFUNCTION("IMPORTRANGE(""https://docs.google.com/spreadsheets/d/1QqKyyYR6Q21VydFLVH3TRQUabQu_ym0Zz7PgGX0-kHA/edit?usp=sharing"",""แผน!W19"")"),2)</f>
        <v>2</v>
      </c>
      <c r="J146" s="214">
        <v>0</v>
      </c>
      <c r="K146" s="465">
        <f t="shared" ca="1" si="75"/>
        <v>0</v>
      </c>
      <c r="L146" s="465"/>
      <c r="M146" s="465"/>
      <c r="N146" s="465"/>
      <c r="O146" s="465"/>
      <c r="P146" s="465"/>
    </row>
    <row r="147" spans="1:26" ht="19.5" hidden="1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 hidden="1">
      <c r="A148" s="216"/>
      <c r="B148" s="208" t="s">
        <v>77</v>
      </c>
      <c r="C148" s="208"/>
      <c r="D148" s="208"/>
      <c r="E148" s="819"/>
      <c r="F148" s="218"/>
      <c r="G148" s="219"/>
      <c r="H148" s="220" t="s">
        <v>35</v>
      </c>
      <c r="I148" s="144">
        <f t="shared" ref="I148:J148" ca="1" si="76">I159</f>
        <v>0</v>
      </c>
      <c r="J148" s="144">
        <f t="shared" si="76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1"/>
      <c r="R148" s="221"/>
      <c r="S148" s="221"/>
      <c r="T148" s="221"/>
      <c r="U148" s="221"/>
      <c r="V148" s="221"/>
      <c r="W148" s="221"/>
      <c r="X148" s="221"/>
      <c r="Y148" s="221"/>
      <c r="Z148" s="221"/>
    </row>
    <row r="149" spans="1:26" ht="19.5" hidden="1">
      <c r="A149" s="147"/>
      <c r="B149" s="148"/>
      <c r="C149" s="149" t="s">
        <v>16</v>
      </c>
      <c r="D149" s="817" t="s">
        <v>17</v>
      </c>
      <c r="E149" s="148"/>
      <c r="F149" s="148"/>
      <c r="G149" s="151"/>
      <c r="H149" s="152" t="s">
        <v>12</v>
      </c>
      <c r="I149" s="388"/>
      <c r="J149" s="388"/>
      <c r="K149" s="154"/>
      <c r="L149" s="155">
        <f t="shared" ref="L149:N149" ca="1" si="77">L150+L151</f>
        <v>0</v>
      </c>
      <c r="M149" s="155">
        <f t="shared" ca="1" si="77"/>
        <v>0</v>
      </c>
      <c r="N149" s="155">
        <f t="shared" ca="1" si="77"/>
        <v>0</v>
      </c>
      <c r="O149" s="155">
        <f t="shared" ref="O149:O157" ca="1" si="78">IF(L149&gt;0,N149*100/L149,0)</f>
        <v>0</v>
      </c>
      <c r="P149" s="155">
        <f t="shared" ref="P149:P157" ca="1" si="79">IF(M149&gt;0,N149*100/M149,0)</f>
        <v>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2" t="s">
        <v>18</v>
      </c>
      <c r="F150" s="40"/>
      <c r="G150" s="157"/>
      <c r="H150" s="158" t="s">
        <v>12</v>
      </c>
      <c r="I150" s="583"/>
      <c r="J150" s="583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2" t="s">
        <v>19</v>
      </c>
      <c r="F151" s="40"/>
      <c r="G151" s="157"/>
      <c r="H151" s="158" t="s">
        <v>12</v>
      </c>
      <c r="I151" s="583"/>
      <c r="J151" s="583"/>
      <c r="K151" s="93"/>
      <c r="L151" s="93">
        <f t="shared" ca="1" si="80"/>
        <v>0</v>
      </c>
      <c r="M151" s="93">
        <f t="shared" ca="1" si="80"/>
        <v>0</v>
      </c>
      <c r="N151" s="93">
        <f t="shared" ca="1" si="80"/>
        <v>0</v>
      </c>
      <c r="O151" s="93">
        <f t="shared" ca="1" si="78"/>
        <v>0</v>
      </c>
      <c r="P151" s="93">
        <f t="shared" ca="1" si="79"/>
        <v>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 hidden="1">
      <c r="A152" s="159"/>
      <c r="B152" s="33"/>
      <c r="C152" s="281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65">
        <f t="shared" ref="L152:N152" ca="1" si="81">L153+L154</f>
        <v>0</v>
      </c>
      <c r="M152" s="465">
        <f t="shared" ca="1" si="81"/>
        <v>0</v>
      </c>
      <c r="N152" s="465">
        <f t="shared" ca="1" si="81"/>
        <v>0</v>
      </c>
      <c r="O152" s="465">
        <f t="shared" ca="1" si="78"/>
        <v>0</v>
      </c>
      <c r="P152" s="465">
        <f t="shared" ca="1" si="79"/>
        <v>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2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2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IFERROR(__xludf.DUMMYFUNCTION("IMPORTRANGE(""https://docs.google.com/spreadsheets/d/1MeEWN-I1oV_STSDYn1IFDPWt_1FKiwhDph83XaGc0o0/edit?usp=sharing"",""งบพรบ!BU19"")"),0)</f>
        <v>0</v>
      </c>
      <c r="M154" s="93">
        <f ca="1">IFERROR(__xludf.DUMMYFUNCTION("IMPORTRANGE(""https://docs.google.com/spreadsheets/d/1MeEWN-I1oV_STSDYn1IFDPWt_1FKiwhDph83XaGc0o0/edit?usp=sharing"",""งบพรบ!BZ19"")"),0)</f>
        <v>0</v>
      </c>
      <c r="N154" s="93">
        <f ca="1">IFERROR(__xludf.DUMMYFUNCTION("IMPORTRANGE(""https://docs.google.com/spreadsheets/d/1MeEWN-I1oV_STSDYn1IFDPWt_1FKiwhDph83XaGc0o0/edit?usp=sharing"",""งบพรบ!CB19"")"),0)</f>
        <v>0</v>
      </c>
      <c r="O154" s="93">
        <f t="shared" ca="1" si="78"/>
        <v>0</v>
      </c>
      <c r="P154" s="93">
        <f t="shared" ca="1" si="79"/>
        <v>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 hidden="1">
      <c r="A155" s="159"/>
      <c r="B155" s="33"/>
      <c r="C155" s="281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65">
        <f t="shared" ref="L155:N155" ca="1" si="82">L156+L157</f>
        <v>0</v>
      </c>
      <c r="M155" s="465">
        <f t="shared" ca="1" si="82"/>
        <v>0</v>
      </c>
      <c r="N155" s="465">
        <f t="shared" ca="1" si="82"/>
        <v>0</v>
      </c>
      <c r="O155" s="465">
        <f t="shared" ca="1" si="78"/>
        <v>0</v>
      </c>
      <c r="P155" s="465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2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2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IFERROR(__xludf.DUMMYFUNCTION("IMPORTRANGE(""https://docs.google.com/spreadsheets/d/1MeEWN-I1oV_STSDYn1IFDPWt_1FKiwhDph83XaGc0o0/edit?usp=sharing"",""งบพรบ!BX19"")"),0)</f>
        <v>0</v>
      </c>
      <c r="M157" s="93">
        <f ca="1">IFERROR(__xludf.DUMMYFUNCTION("IMPORTRANGE(""https://docs.google.com/spreadsheets/d/1MeEWN-I1oV_STSDYn1IFDPWt_1FKiwhDph83XaGc0o0/edit?usp=sharing"",""งบพรบ!CA19"")"),0)</f>
        <v>0</v>
      </c>
      <c r="N157" s="93">
        <f ca="1">IFERROR(__xludf.DUMMYFUNCTION("IMPORTRANGE(""https://docs.google.com/spreadsheets/d/1MeEWN-I1oV_STSDYn1IFDPWt_1FKiwhDph83XaGc0o0/edit?usp=sharing"",""งบพรบ!CC19"")"),0)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 hidden="1">
      <c r="A158" s="170"/>
      <c r="B158" s="171"/>
      <c r="C158" s="164" t="s">
        <v>16</v>
      </c>
      <c r="D158" s="818" t="s">
        <v>38</v>
      </c>
      <c r="E158" s="173"/>
      <c r="F158" s="173"/>
      <c r="G158" s="174"/>
      <c r="H158" s="168"/>
      <c r="I158" s="269"/>
      <c r="J158" s="269"/>
      <c r="K158" s="465"/>
      <c r="L158" s="465"/>
      <c r="M158" s="465"/>
      <c r="N158" s="465"/>
      <c r="O158" s="465"/>
      <c r="P158" s="465"/>
    </row>
    <row r="159" spans="1:26" ht="19.5" hidden="1">
      <c r="A159" s="159"/>
      <c r="B159" s="33"/>
      <c r="C159" s="210"/>
      <c r="D159" s="281" t="s">
        <v>78</v>
      </c>
      <c r="E159" s="34"/>
      <c r="F159" s="33"/>
      <c r="G159" s="213"/>
      <c r="H159" s="168" t="s">
        <v>35</v>
      </c>
      <c r="I159" s="269">
        <f ca="1">IFERROR(__xludf.DUMMYFUNCTION("IMPORTRANGE(""https://docs.google.com/spreadsheets/d/1QqKyyYR6Q21VydFLVH3TRQUabQu_ym0Zz7PgGX0-kHA/edit?usp=sharing"",""แผน!X19"")"),0)</f>
        <v>0</v>
      </c>
      <c r="J159" s="214">
        <v>0</v>
      </c>
      <c r="K159" s="465">
        <f ca="1">IF(I159&gt;0,J159*100/I159,0)</f>
        <v>0</v>
      </c>
      <c r="L159" s="465"/>
      <c r="M159" s="465"/>
      <c r="N159" s="465"/>
      <c r="O159" s="465"/>
      <c r="P159" s="465"/>
    </row>
    <row r="160" spans="1:26" ht="19.5" hidden="1">
      <c r="A160" s="156"/>
      <c r="B160" s="40"/>
      <c r="C160" s="164"/>
      <c r="D160" s="222" t="s">
        <v>79</v>
      </c>
      <c r="E160" s="223"/>
      <c r="F160" s="40"/>
      <c r="G160" s="157"/>
      <c r="H160" s="169" t="s">
        <v>35</v>
      </c>
      <c r="I160" s="583"/>
      <c r="J160" s="583"/>
      <c r="K160" s="93"/>
      <c r="L160" s="93"/>
      <c r="M160" s="93"/>
      <c r="N160" s="93"/>
      <c r="O160" s="93"/>
      <c r="P160" s="93"/>
      <c r="Q160" s="224"/>
      <c r="R160" s="224"/>
      <c r="S160" s="224"/>
      <c r="T160" s="224"/>
      <c r="U160" s="224"/>
      <c r="V160" s="224"/>
      <c r="W160" s="224"/>
      <c r="X160" s="224"/>
      <c r="Y160" s="224"/>
      <c r="Z160" s="224"/>
    </row>
    <row r="161" spans="1:26" ht="19.5" hidden="1">
      <c r="A161" s="225"/>
      <c r="B161" s="226"/>
      <c r="C161" s="227"/>
      <c r="D161" s="228" t="s">
        <v>80</v>
      </c>
      <c r="E161" s="820"/>
      <c r="F161" s="226"/>
      <c r="G161" s="230"/>
      <c r="H161" s="231" t="s">
        <v>35</v>
      </c>
      <c r="I161" s="232"/>
      <c r="J161" s="232"/>
      <c r="K161" s="233"/>
      <c r="L161" s="233"/>
      <c r="M161" s="233"/>
      <c r="N161" s="233"/>
      <c r="O161" s="233"/>
      <c r="P161" s="233"/>
      <c r="Q161" s="224"/>
      <c r="R161" s="224"/>
      <c r="S161" s="224"/>
      <c r="T161" s="224"/>
      <c r="U161" s="224"/>
      <c r="V161" s="224"/>
      <c r="W161" s="224"/>
      <c r="X161" s="224"/>
      <c r="Y161" s="224"/>
      <c r="Z161" s="224"/>
    </row>
    <row r="162" spans="1:26" ht="19.5">
      <c r="A162" s="234" t="s">
        <v>81</v>
      </c>
      <c r="B162" s="235"/>
      <c r="C162" s="235"/>
      <c r="D162" s="235"/>
      <c r="E162" s="236"/>
      <c r="F162" s="236"/>
      <c r="G162" s="237"/>
      <c r="H162" s="238"/>
      <c r="I162" s="239"/>
      <c r="J162" s="239"/>
      <c r="K162" s="240"/>
      <c r="L162" s="240"/>
      <c r="M162" s="240"/>
      <c r="N162" s="240"/>
      <c r="O162" s="240"/>
      <c r="P162" s="240"/>
    </row>
    <row r="163" spans="1:26" ht="19.5">
      <c r="A163" s="241" t="s">
        <v>82</v>
      </c>
      <c r="B163" s="242"/>
      <c r="C163" s="242"/>
      <c r="D163" s="243"/>
      <c r="E163" s="243"/>
      <c r="F163" s="243"/>
      <c r="G163" s="244"/>
      <c r="H163" s="245"/>
      <c r="I163" s="246"/>
      <c r="J163" s="246"/>
      <c r="K163" s="247"/>
      <c r="L163" s="247"/>
      <c r="M163" s="247"/>
      <c r="N163" s="247"/>
      <c r="O163" s="247"/>
      <c r="P163" s="247"/>
    </row>
    <row r="164" spans="1:26" ht="19.5">
      <c r="A164" s="248"/>
      <c r="B164" s="249" t="s">
        <v>83</v>
      </c>
      <c r="C164" s="250"/>
      <c r="D164" s="173"/>
      <c r="E164" s="173"/>
      <c r="F164" s="173"/>
      <c r="G164" s="174"/>
      <c r="H164" s="251" t="s">
        <v>35</v>
      </c>
      <c r="I164" s="252">
        <f t="shared" ref="I164:J164" ca="1" si="83">I174+I177</f>
        <v>10</v>
      </c>
      <c r="J164" s="252">
        <f t="shared" si="83"/>
        <v>0</v>
      </c>
      <c r="K164" s="253">
        <f ca="1">IF(I164&gt;0,J164*100/I164,0)</f>
        <v>0</v>
      </c>
      <c r="L164" s="254"/>
      <c r="M164" s="254"/>
      <c r="N164" s="254"/>
      <c r="O164" s="254"/>
      <c r="P164" s="254"/>
    </row>
    <row r="165" spans="1:26" ht="19.5">
      <c r="A165" s="147"/>
      <c r="B165" s="148"/>
      <c r="C165" s="149" t="s">
        <v>16</v>
      </c>
      <c r="D165" s="817" t="s">
        <v>17</v>
      </c>
      <c r="E165" s="148"/>
      <c r="F165" s="148"/>
      <c r="G165" s="151"/>
      <c r="H165" s="152" t="s">
        <v>12</v>
      </c>
      <c r="I165" s="388"/>
      <c r="J165" s="388"/>
      <c r="K165" s="154"/>
      <c r="L165" s="155">
        <f t="shared" ref="L165:N165" ca="1" si="84">L166+L167</f>
        <v>21050</v>
      </c>
      <c r="M165" s="155">
        <f t="shared" ca="1" si="84"/>
        <v>21050</v>
      </c>
      <c r="N165" s="155">
        <f t="shared" ca="1" si="84"/>
        <v>0</v>
      </c>
      <c r="O165" s="155">
        <f t="shared" ref="O165:O173" ca="1" si="85">IF(L165&gt;0,N165*100/L165,0)</f>
        <v>0</v>
      </c>
      <c r="P165" s="155">
        <f t="shared" ref="P165:P173" ca="1" si="86">IF(M165&gt;0,N165*100/M165,0)</f>
        <v>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2" t="s">
        <v>18</v>
      </c>
      <c r="F166" s="40"/>
      <c r="G166" s="157"/>
      <c r="H166" s="158" t="s">
        <v>12</v>
      </c>
      <c r="I166" s="583"/>
      <c r="J166" s="583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2" t="s">
        <v>19</v>
      </c>
      <c r="F167" s="40"/>
      <c r="G167" s="157"/>
      <c r="H167" s="158" t="s">
        <v>12</v>
      </c>
      <c r="I167" s="583"/>
      <c r="J167" s="583"/>
      <c r="K167" s="93"/>
      <c r="L167" s="93">
        <f t="shared" ca="1" si="87"/>
        <v>21050</v>
      </c>
      <c r="M167" s="93">
        <f t="shared" ca="1" si="87"/>
        <v>21050</v>
      </c>
      <c r="N167" s="93">
        <f t="shared" ca="1" si="87"/>
        <v>0</v>
      </c>
      <c r="O167" s="93">
        <f t="shared" ca="1" si="85"/>
        <v>0</v>
      </c>
      <c r="P167" s="93">
        <f t="shared" ca="1" si="86"/>
        <v>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1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65">
        <f t="shared" ref="L168:N168" ca="1" si="88">L169+L170</f>
        <v>21050</v>
      </c>
      <c r="M168" s="465">
        <f t="shared" ca="1" si="88"/>
        <v>21050</v>
      </c>
      <c r="N168" s="465">
        <f t="shared" ca="1" si="88"/>
        <v>0</v>
      </c>
      <c r="O168" s="465">
        <f t="shared" ca="1" si="85"/>
        <v>0</v>
      </c>
      <c r="P168" s="465">
        <f t="shared" ca="1" si="86"/>
        <v>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2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2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IFERROR(__xludf.DUMMYFUNCTION("IMPORTRANGE(""https://docs.google.com/spreadsheets/d/1MeEWN-I1oV_STSDYn1IFDPWt_1FKiwhDph83XaGc0o0/edit?usp=sharing"",""งบพรบ!CE19"")"),21050)</f>
        <v>21050</v>
      </c>
      <c r="M170" s="93">
        <f ca="1">IFERROR(__xludf.DUMMYFUNCTION("IMPORTRANGE(""https://docs.google.com/spreadsheets/d/1MeEWN-I1oV_STSDYn1IFDPWt_1FKiwhDph83XaGc0o0/edit?usp=sharing"",""งบพรบ!CJ19"")"),21050)</f>
        <v>21050</v>
      </c>
      <c r="N170" s="93">
        <f ca="1">IFERROR(__xludf.DUMMYFUNCTION("IMPORTRANGE(""https://docs.google.com/spreadsheets/d/1MeEWN-I1oV_STSDYn1IFDPWt_1FKiwhDph83XaGc0o0/edit?usp=sharing"",""งบพรบ!CL19"")"),0)</f>
        <v>0</v>
      </c>
      <c r="O170" s="93">
        <f t="shared" ca="1" si="85"/>
        <v>0</v>
      </c>
      <c r="P170" s="93">
        <f t="shared" ca="1" si="86"/>
        <v>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1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65">
        <f t="shared" ref="L171:N171" ca="1" si="89">L172+L173</f>
        <v>0</v>
      </c>
      <c r="M171" s="465">
        <f t="shared" ca="1" si="89"/>
        <v>0</v>
      </c>
      <c r="N171" s="465">
        <f t="shared" ca="1" si="89"/>
        <v>0</v>
      </c>
      <c r="O171" s="465">
        <f t="shared" ca="1" si="85"/>
        <v>0</v>
      </c>
      <c r="P171" s="465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2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2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IFERROR(__xludf.DUMMYFUNCTION("IMPORTRANGE(""https://docs.google.com/spreadsheets/d/1MeEWN-I1oV_STSDYn1IFDPWt_1FKiwhDph83XaGc0o0/edit?usp=sharing"",""งบพรบ!CH19"")"),0)</f>
        <v>0</v>
      </c>
      <c r="M173" s="93">
        <f ca="1">IFERROR(__xludf.DUMMYFUNCTION("IMPORTRANGE(""https://docs.google.com/spreadsheets/d/1MeEWN-I1oV_STSDYn1IFDPWt_1FKiwhDph83XaGc0o0/edit?usp=sharing"",""งบพรบ!CK19"")"),0)</f>
        <v>0</v>
      </c>
      <c r="N173" s="93">
        <f ca="1">IFERROR(__xludf.DUMMYFUNCTION("IMPORTRANGE(""https://docs.google.com/spreadsheets/d/1MeEWN-I1oV_STSDYn1IFDPWt_1FKiwhDph83XaGc0o0/edit?usp=sharing"",""งบพรบ!CM19"")"),0)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5"/>
      <c r="B174" s="256"/>
      <c r="C174" s="257" t="s">
        <v>84</v>
      </c>
      <c r="D174" s="256"/>
      <c r="E174" s="256"/>
      <c r="F174" s="256"/>
      <c r="G174" s="258"/>
      <c r="H174" s="259" t="s">
        <v>35</v>
      </c>
      <c r="I174" s="260">
        <f t="shared" ref="I174:J174" ca="1" si="90">I176</f>
        <v>10</v>
      </c>
      <c r="J174" s="260">
        <f t="shared" si="90"/>
        <v>0</v>
      </c>
      <c r="K174" s="261">
        <f ca="1">IF(I174&gt;0,J174*100/I174,0)</f>
        <v>0</v>
      </c>
      <c r="L174" s="261"/>
      <c r="M174" s="261"/>
      <c r="N174" s="261"/>
      <c r="O174" s="261"/>
      <c r="P174" s="261"/>
    </row>
    <row r="175" spans="1:26" ht="19.5">
      <c r="A175" s="170"/>
      <c r="B175" s="171"/>
      <c r="C175" s="164" t="s">
        <v>16</v>
      </c>
      <c r="D175" s="818" t="s">
        <v>38</v>
      </c>
      <c r="E175" s="173"/>
      <c r="F175" s="173"/>
      <c r="G175" s="174"/>
      <c r="H175" s="726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10" t="s">
        <v>85</v>
      </c>
      <c r="E176" s="342"/>
      <c r="F176" s="342"/>
      <c r="G176" s="179"/>
      <c r="H176" s="589" t="s">
        <v>35</v>
      </c>
      <c r="I176" s="269">
        <f ca="1">IFERROR(__xludf.DUMMYFUNCTION("IMPORTRANGE(""https://docs.google.com/spreadsheets/d/1QqKyyYR6Q21VydFLVH3TRQUabQu_ym0Zz7PgGX0-kHA/edit?usp=sharing"",""แผน!Y19"")"),10)</f>
        <v>10</v>
      </c>
      <c r="J176" s="214">
        <v>0</v>
      </c>
      <c r="K176" s="163">
        <f ca="1">IF(I176&gt;0,J176*100/I176,0)</f>
        <v>0</v>
      </c>
      <c r="L176" s="163"/>
      <c r="M176" s="163"/>
      <c r="N176" s="163"/>
      <c r="O176" s="163"/>
      <c r="P176" s="163"/>
    </row>
    <row r="177" spans="1:26" ht="19.5" hidden="1">
      <c r="A177" s="255"/>
      <c r="B177" s="263"/>
      <c r="C177" s="264" t="s">
        <v>86</v>
      </c>
      <c r="D177" s="263"/>
      <c r="E177" s="256"/>
      <c r="F177" s="256"/>
      <c r="G177" s="258"/>
      <c r="H177" s="265" t="s">
        <v>35</v>
      </c>
      <c r="I177" s="260"/>
      <c r="J177" s="260">
        <f>J179</f>
        <v>0</v>
      </c>
      <c r="K177" s="261"/>
      <c r="L177" s="261"/>
      <c r="M177" s="261"/>
      <c r="N177" s="261"/>
      <c r="O177" s="261"/>
      <c r="P177" s="261"/>
    </row>
    <row r="178" spans="1:26" ht="19.5" hidden="1">
      <c r="A178" s="170"/>
      <c r="B178" s="171"/>
      <c r="C178" s="164" t="s">
        <v>16</v>
      </c>
      <c r="D178" s="266" t="s">
        <v>38</v>
      </c>
      <c r="E178" s="173"/>
      <c r="F178" s="173"/>
      <c r="G178" s="174"/>
      <c r="H178" s="726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267" t="s">
        <v>87</v>
      </c>
      <c r="E179" s="342"/>
      <c r="F179" s="268"/>
      <c r="G179" s="179"/>
      <c r="H179" s="43" t="s">
        <v>35</v>
      </c>
      <c r="I179" s="269"/>
      <c r="J179" s="269"/>
      <c r="K179" s="163"/>
      <c r="L179" s="163"/>
      <c r="M179" s="163"/>
      <c r="N179" s="163"/>
      <c r="O179" s="163"/>
      <c r="P179" s="163"/>
    </row>
    <row r="180" spans="1:26" ht="19.5">
      <c r="A180" s="248"/>
      <c r="B180" s="249" t="s">
        <v>88</v>
      </c>
      <c r="C180" s="250"/>
      <c r="D180" s="173"/>
      <c r="E180" s="173"/>
      <c r="F180" s="173"/>
      <c r="G180" s="174"/>
      <c r="H180" s="251" t="s">
        <v>35</v>
      </c>
      <c r="I180" s="821"/>
      <c r="J180" s="821">
        <f>J225+J226</f>
        <v>0</v>
      </c>
      <c r="K180" s="254">
        <f>IF(I180&gt;0,J180*100/I180,0)</f>
        <v>0</v>
      </c>
      <c r="L180" s="254"/>
      <c r="M180" s="254"/>
      <c r="N180" s="254"/>
      <c r="O180" s="254"/>
      <c r="P180" s="254"/>
    </row>
    <row r="181" spans="1:26" ht="19.5">
      <c r="A181" s="147"/>
      <c r="B181" s="148"/>
      <c r="C181" s="149" t="s">
        <v>16</v>
      </c>
      <c r="D181" s="817" t="s">
        <v>17</v>
      </c>
      <c r="E181" s="148"/>
      <c r="F181" s="148"/>
      <c r="G181" s="151"/>
      <c r="H181" s="152" t="s">
        <v>12</v>
      </c>
      <c r="I181" s="388"/>
      <c r="J181" s="388"/>
      <c r="K181" s="154"/>
      <c r="L181" s="155">
        <f t="shared" ref="L181:N181" ca="1" si="91">L182+L183</f>
        <v>962600</v>
      </c>
      <c r="M181" s="155">
        <f t="shared" ca="1" si="91"/>
        <v>470350</v>
      </c>
      <c r="N181" s="155">
        <f t="shared" ca="1" si="91"/>
        <v>156016</v>
      </c>
      <c r="O181" s="155">
        <f t="shared" ref="O181:O189" ca="1" si="92">IF(L181&gt;0,N181*100/L181,0)</f>
        <v>16.207770621234157</v>
      </c>
      <c r="P181" s="155">
        <f t="shared" ref="P181:P189" ca="1" si="93">IF(M181&gt;0,N181*100/M181,0)</f>
        <v>33.170192409907514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2" t="s">
        <v>18</v>
      </c>
      <c r="F182" s="40"/>
      <c r="G182" s="157"/>
      <c r="H182" s="158" t="s">
        <v>12</v>
      </c>
      <c r="I182" s="583"/>
      <c r="J182" s="583"/>
      <c r="K182" s="93"/>
      <c r="L182" s="93">
        <f t="shared" ref="L182:N183" si="94">L185+L188</f>
        <v>0</v>
      </c>
      <c r="M182" s="93">
        <f t="shared" si="94"/>
        <v>0</v>
      </c>
      <c r="N182" s="93">
        <f t="shared" si="94"/>
        <v>0</v>
      </c>
      <c r="O182" s="93">
        <f t="shared" si="92"/>
        <v>0</v>
      </c>
      <c r="P182" s="93">
        <f t="shared" si="93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2" t="s">
        <v>19</v>
      </c>
      <c r="F183" s="40"/>
      <c r="G183" s="157"/>
      <c r="H183" s="158" t="s">
        <v>12</v>
      </c>
      <c r="I183" s="583"/>
      <c r="J183" s="583"/>
      <c r="K183" s="93"/>
      <c r="L183" s="93">
        <f t="shared" ca="1" si="94"/>
        <v>962600</v>
      </c>
      <c r="M183" s="93">
        <f t="shared" ca="1" si="94"/>
        <v>470350</v>
      </c>
      <c r="N183" s="93">
        <f t="shared" ca="1" si="94"/>
        <v>156016</v>
      </c>
      <c r="O183" s="93">
        <f t="shared" ca="1" si="92"/>
        <v>16.207770621234157</v>
      </c>
      <c r="P183" s="93">
        <f t="shared" ca="1" si="93"/>
        <v>33.170192409907514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1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65">
        <f t="shared" ref="L184:N184" ca="1" si="95">L185+L186</f>
        <v>962600</v>
      </c>
      <c r="M184" s="465">
        <f t="shared" ca="1" si="95"/>
        <v>470350</v>
      </c>
      <c r="N184" s="465">
        <f t="shared" ca="1" si="95"/>
        <v>156016</v>
      </c>
      <c r="O184" s="465">
        <f t="shared" ca="1" si="92"/>
        <v>16.207770621234157</v>
      </c>
      <c r="P184" s="465">
        <f t="shared" ca="1" si="93"/>
        <v>33.170192409907514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2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2"/>
        <v>0</v>
      </c>
      <c r="P185" s="93">
        <f t="shared" si="93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2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IFERROR(__xludf.DUMMYFUNCTION("IMPORTRANGE(""https://docs.google.com/spreadsheets/d/1MeEWN-I1oV_STSDYn1IFDPWt_1FKiwhDph83XaGc0o0/edit?usp=sharing"",""งบพรบ!CO19"")"),962600)</f>
        <v>962600</v>
      </c>
      <c r="M186" s="93">
        <f ca="1">IFERROR(__xludf.DUMMYFUNCTION("IMPORTRANGE(""https://docs.google.com/spreadsheets/d/1MeEWN-I1oV_STSDYn1IFDPWt_1FKiwhDph83XaGc0o0/edit?usp=sharing"",""งบพรบ!CT19"")"),470350)</f>
        <v>470350</v>
      </c>
      <c r="N186" s="93">
        <f ca="1">IFERROR(__xludf.DUMMYFUNCTION("IMPORTRANGE(""https://docs.google.com/spreadsheets/d/1MeEWN-I1oV_STSDYn1IFDPWt_1FKiwhDph83XaGc0o0/edit?usp=sharing"",""งบพรบ!CV19"")"),156016)</f>
        <v>156016</v>
      </c>
      <c r="O186" s="93">
        <f t="shared" ca="1" si="92"/>
        <v>16.207770621234157</v>
      </c>
      <c r="P186" s="93">
        <f t="shared" ca="1" si="93"/>
        <v>33.170192409907514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1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65">
        <f t="shared" ref="L187:N187" ca="1" si="96">L188+L189</f>
        <v>0</v>
      </c>
      <c r="M187" s="465">
        <f t="shared" ca="1" si="96"/>
        <v>0</v>
      </c>
      <c r="N187" s="465">
        <f t="shared" ca="1" si="96"/>
        <v>0</v>
      </c>
      <c r="O187" s="465">
        <f t="shared" ca="1" si="92"/>
        <v>0</v>
      </c>
      <c r="P187" s="465">
        <f t="shared" ca="1" si="93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2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2"/>
        <v>0</v>
      </c>
      <c r="P188" s="93">
        <f t="shared" si="93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2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IFERROR(__xludf.DUMMYFUNCTION("IMPORTRANGE(""https://docs.google.com/spreadsheets/d/1MeEWN-I1oV_STSDYn1IFDPWt_1FKiwhDph83XaGc0o0/edit?usp=sharing"",""งบพรบ!CR19"")"),0)</f>
        <v>0</v>
      </c>
      <c r="M189" s="93">
        <f ca="1">IFERROR(__xludf.DUMMYFUNCTION("IMPORTRANGE(""https://docs.google.com/spreadsheets/d/1MeEWN-I1oV_STSDYn1IFDPWt_1FKiwhDph83XaGc0o0/edit?usp=sharing"",""งบพรบ!CU19"")"),0)</f>
        <v>0</v>
      </c>
      <c r="N189" s="93">
        <f ca="1">IFERROR(__xludf.DUMMYFUNCTION("IMPORTRANGE(""https://docs.google.com/spreadsheets/d/1MeEWN-I1oV_STSDYn1IFDPWt_1FKiwhDph83XaGc0o0/edit?usp=sharing"",""งบพรบ!CW19"")"),0)</f>
        <v>0</v>
      </c>
      <c r="O189" s="93">
        <f t="shared" ca="1" si="92"/>
        <v>0</v>
      </c>
      <c r="P189" s="93">
        <f t="shared" ca="1" si="93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5"/>
      <c r="B190" s="263"/>
      <c r="C190" s="339" t="s">
        <v>89</v>
      </c>
      <c r="D190" s="256"/>
      <c r="E190" s="256"/>
      <c r="F190" s="256"/>
      <c r="G190" s="258"/>
      <c r="H190" s="259" t="s">
        <v>90</v>
      </c>
      <c r="I190" s="271">
        <f t="shared" ref="I190:J190" ca="1" si="97">I193</f>
        <v>4</v>
      </c>
      <c r="J190" s="271">
        <f t="shared" si="97"/>
        <v>0</v>
      </c>
      <c r="K190" s="272">
        <f ca="1">IF(I190&gt;0,J190*100/I190,0)</f>
        <v>0</v>
      </c>
      <c r="L190" s="261"/>
      <c r="M190" s="261"/>
      <c r="N190" s="261"/>
      <c r="O190" s="261"/>
      <c r="P190" s="261"/>
    </row>
    <row r="191" spans="1:26" ht="19.5">
      <c r="A191" s="147"/>
      <c r="B191" s="148"/>
      <c r="C191" s="149" t="s">
        <v>16</v>
      </c>
      <c r="D191" s="822" t="s">
        <v>17</v>
      </c>
      <c r="E191" s="148"/>
      <c r="F191" s="148"/>
      <c r="G191" s="151"/>
      <c r="H191" s="274" t="s">
        <v>12</v>
      </c>
      <c r="I191" s="388"/>
      <c r="J191" s="388"/>
      <c r="K191" s="154"/>
      <c r="L191" s="155">
        <f ca="1">IFERROR(__xludf.DUMMYFUNCTION("IMPORTRANGE(""https://docs.google.com/spreadsheets/d/1QqKyyYR6Q21VydFLVH3TRQUabQu_ym0Zz7PgGX0-kHA/edit?usp=sharing"",""แผน!Z19"")"),6000)</f>
        <v>6000</v>
      </c>
      <c r="M191" s="155"/>
      <c r="N191" s="275">
        <v>0</v>
      </c>
      <c r="O191" s="155">
        <f ca="1">IF(L191&gt;0,N191*100/L191,0)</f>
        <v>0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0" t="s">
        <v>16</v>
      </c>
      <c r="D192" s="818" t="s">
        <v>38</v>
      </c>
      <c r="E192" s="173"/>
      <c r="F192" s="173"/>
      <c r="G192" s="174"/>
      <c r="H192" s="726"/>
      <c r="I192" s="269"/>
      <c r="J192" s="269"/>
      <c r="K192" s="465"/>
      <c r="L192" s="465"/>
      <c r="M192" s="465"/>
      <c r="N192" s="465"/>
      <c r="O192" s="465"/>
      <c r="P192" s="465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15" t="s">
        <v>91</v>
      </c>
      <c r="E193" s="342"/>
      <c r="F193" s="342"/>
      <c r="G193" s="179"/>
      <c r="H193" s="728" t="s">
        <v>90</v>
      </c>
      <c r="I193" s="269">
        <f ca="1">IFERROR(__xludf.DUMMYFUNCTION("IMPORTRANGE(""https://docs.google.com/spreadsheets/d/1QqKyyYR6Q21VydFLVH3TRQUabQu_ym0Zz7PgGX0-kHA/edit?usp=sharing"",""แผน!AC19"")"),4)</f>
        <v>4</v>
      </c>
      <c r="J193" s="214">
        <v>0</v>
      </c>
      <c r="K193" s="465">
        <f ca="1">IF(I193&gt;0,J193*100/I193,0)</f>
        <v>0</v>
      </c>
      <c r="L193" s="465"/>
      <c r="M193" s="465"/>
      <c r="N193" s="465"/>
      <c r="O193" s="465"/>
      <c r="P193" s="465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15" t="s">
        <v>92</v>
      </c>
      <c r="E194" s="342"/>
      <c r="F194" s="342"/>
      <c r="G194" s="179"/>
      <c r="H194" s="276" t="s">
        <v>35</v>
      </c>
      <c r="I194" s="269"/>
      <c r="J194" s="269">
        <f>J195+J196</f>
        <v>0</v>
      </c>
      <c r="K194" s="465"/>
      <c r="L194" s="465"/>
      <c r="M194" s="465"/>
      <c r="N194" s="465"/>
      <c r="O194" s="465"/>
      <c r="P194" s="465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15" t="s">
        <v>93</v>
      </c>
      <c r="F195" s="342"/>
      <c r="G195" s="179"/>
      <c r="H195" s="276" t="s">
        <v>35</v>
      </c>
      <c r="I195" s="269"/>
      <c r="J195" s="214">
        <v>0</v>
      </c>
      <c r="K195" s="465"/>
      <c r="L195" s="465"/>
      <c r="M195" s="465"/>
      <c r="N195" s="465"/>
      <c r="O195" s="465"/>
      <c r="P195" s="465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15" t="s">
        <v>94</v>
      </c>
      <c r="F196" s="342"/>
      <c r="G196" s="179"/>
      <c r="H196" s="276" t="s">
        <v>35</v>
      </c>
      <c r="I196" s="269"/>
      <c r="J196" s="214">
        <v>0</v>
      </c>
      <c r="K196" s="465"/>
      <c r="L196" s="465"/>
      <c r="M196" s="465"/>
      <c r="N196" s="465"/>
      <c r="O196" s="465"/>
      <c r="P196" s="465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5"/>
      <c r="B197" s="263"/>
      <c r="C197" s="339" t="s">
        <v>95</v>
      </c>
      <c r="D197" s="256"/>
      <c r="E197" s="256"/>
      <c r="F197" s="256"/>
      <c r="G197" s="258"/>
      <c r="H197" s="277" t="s">
        <v>96</v>
      </c>
      <c r="I197" s="271">
        <f t="shared" ref="I197:J197" ca="1" si="98">I204</f>
        <v>4</v>
      </c>
      <c r="J197" s="271">
        <f t="shared" si="98"/>
        <v>0</v>
      </c>
      <c r="K197" s="272">
        <f ca="1">IF(I197&gt;0,J197*100/I197,0)</f>
        <v>0</v>
      </c>
      <c r="L197" s="261"/>
      <c r="M197" s="261"/>
      <c r="N197" s="261"/>
      <c r="O197" s="261"/>
      <c r="P197" s="261"/>
    </row>
    <row r="198" spans="1:26" ht="19.5">
      <c r="A198" s="147"/>
      <c r="B198" s="148"/>
      <c r="C198" s="149" t="s">
        <v>16</v>
      </c>
      <c r="D198" s="822" t="s">
        <v>17</v>
      </c>
      <c r="E198" s="148"/>
      <c r="F198" s="148"/>
      <c r="G198" s="151"/>
      <c r="H198" s="274" t="s">
        <v>12</v>
      </c>
      <c r="I198" s="387"/>
      <c r="J198" s="387"/>
      <c r="K198" s="279"/>
      <c r="L198" s="155">
        <f ca="1">L199+L200+L201+L202</f>
        <v>57000</v>
      </c>
      <c r="M198" s="155"/>
      <c r="N198" s="155">
        <f>N199+N200+N201+N202</f>
        <v>0</v>
      </c>
      <c r="O198" s="155">
        <f ca="1">IF(L198&gt;0,N198*100/L198,0)</f>
        <v>0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0"/>
      <c r="C199" s="33"/>
      <c r="D199" s="281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65">
        <f ca="1">IFERROR(__xludf.DUMMYFUNCTION("IMPORTRANGE(""https://docs.google.com/spreadsheets/d/1QqKyyYR6Q21VydFLVH3TRQUabQu_ym0Zz7PgGX0-kHA/edit?usp=sharing"",""แผน!AE19"")"),4000)</f>
        <v>4000</v>
      </c>
      <c r="M199" s="465"/>
      <c r="N199" s="789">
        <v>0</v>
      </c>
      <c r="O199" s="465"/>
      <c r="P199" s="465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3"/>
      <c r="B200" s="280"/>
      <c r="C200" s="210"/>
      <c r="D200" s="281" t="s">
        <v>98</v>
      </c>
      <c r="E200" s="33"/>
      <c r="F200" s="33"/>
      <c r="G200" s="35"/>
      <c r="H200" s="589" t="s">
        <v>12</v>
      </c>
      <c r="I200" s="269"/>
      <c r="J200" s="269"/>
      <c r="K200" s="465"/>
      <c r="L200" s="465">
        <f ca="1">IFERROR(__xludf.DUMMYFUNCTION("IMPORTRANGE(""https://docs.google.com/spreadsheets/d/1QqKyyYR6Q21VydFLVH3TRQUabQu_ym0Zz7PgGX0-kHA/edit?usp=sharing"",""แผน!AF19"")"),32000)</f>
        <v>32000</v>
      </c>
      <c r="M200" s="465"/>
      <c r="N200" s="789">
        <v>0</v>
      </c>
      <c r="O200" s="465"/>
      <c r="P200" s="465"/>
      <c r="Q200" s="285"/>
      <c r="R200" s="285"/>
      <c r="S200" s="285"/>
      <c r="T200" s="285"/>
      <c r="U200" s="285"/>
      <c r="V200" s="285"/>
      <c r="W200" s="285"/>
      <c r="X200" s="285"/>
      <c r="Y200" s="285"/>
      <c r="Z200" s="285"/>
    </row>
    <row r="201" spans="1:26" ht="19.5">
      <c r="A201" s="283"/>
      <c r="B201" s="280"/>
      <c r="C201" s="210"/>
      <c r="D201" s="281" t="s">
        <v>99</v>
      </c>
      <c r="E201" s="33"/>
      <c r="F201" s="33"/>
      <c r="G201" s="35"/>
      <c r="H201" s="589" t="s">
        <v>12</v>
      </c>
      <c r="I201" s="269"/>
      <c r="J201" s="269"/>
      <c r="K201" s="465"/>
      <c r="L201" s="465">
        <f ca="1">IFERROR(__xludf.DUMMYFUNCTION("IMPORTRANGE(""https://docs.google.com/spreadsheets/d/1QqKyyYR6Q21VydFLVH3TRQUabQu_ym0Zz7PgGX0-kHA/edit?usp=sharing"",""แผน!AG19"")"),16000)</f>
        <v>16000</v>
      </c>
      <c r="M201" s="465"/>
      <c r="N201" s="789">
        <v>0</v>
      </c>
      <c r="O201" s="465"/>
      <c r="P201" s="465"/>
      <c r="Q201" s="285"/>
      <c r="R201" s="285"/>
      <c r="S201" s="285"/>
      <c r="T201" s="285"/>
      <c r="U201" s="285"/>
      <c r="V201" s="285"/>
      <c r="W201" s="285"/>
      <c r="X201" s="285"/>
      <c r="Y201" s="285"/>
      <c r="Z201" s="285"/>
    </row>
    <row r="202" spans="1:26" ht="19.5">
      <c r="A202" s="283"/>
      <c r="B202" s="280"/>
      <c r="C202" s="210"/>
      <c r="D202" s="281" t="s">
        <v>100</v>
      </c>
      <c r="E202" s="33"/>
      <c r="F202" s="33"/>
      <c r="G202" s="35"/>
      <c r="H202" s="589" t="s">
        <v>12</v>
      </c>
      <c r="I202" s="269"/>
      <c r="J202" s="269"/>
      <c r="K202" s="465"/>
      <c r="L202" s="465">
        <f ca="1">IFERROR(__xludf.DUMMYFUNCTION("IMPORTRANGE(""https://docs.google.com/spreadsheets/d/1QqKyyYR6Q21VydFLVH3TRQUabQu_ym0Zz7PgGX0-kHA/edit?usp=sharing"",""แผน!AH19"")"),5000)</f>
        <v>5000</v>
      </c>
      <c r="M202" s="465"/>
      <c r="N202" s="789">
        <v>0</v>
      </c>
      <c r="O202" s="465"/>
      <c r="P202" s="465"/>
      <c r="Q202" s="285"/>
      <c r="R202" s="285"/>
      <c r="S202" s="285"/>
      <c r="T202" s="285"/>
      <c r="U202" s="285"/>
      <c r="V202" s="285"/>
      <c r="W202" s="285"/>
      <c r="X202" s="285"/>
      <c r="Y202" s="285"/>
      <c r="Z202" s="285"/>
    </row>
    <row r="203" spans="1:26" ht="19.5">
      <c r="A203" s="170"/>
      <c r="B203" s="171"/>
      <c r="C203" s="210" t="s">
        <v>16</v>
      </c>
      <c r="D203" s="818" t="s">
        <v>38</v>
      </c>
      <c r="E203" s="173"/>
      <c r="F203" s="173"/>
      <c r="G203" s="174"/>
      <c r="H203" s="726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343" t="s">
        <v>101</v>
      </c>
      <c r="E204" s="342"/>
      <c r="F204" s="342"/>
      <c r="G204" s="179"/>
      <c r="H204" s="726" t="s">
        <v>96</v>
      </c>
      <c r="I204" s="269">
        <f ca="1">IFERROR(__xludf.DUMMYFUNCTION("IMPORTRANGE(""https://docs.google.com/spreadsheets/d/1QqKyyYR6Q21VydFLVH3TRQUabQu_ym0Zz7PgGX0-kHA/edit?usp=sharing"",""แผน!AI19"")"),4)</f>
        <v>4</v>
      </c>
      <c r="J204" s="214">
        <v>0</v>
      </c>
      <c r="K204" s="163">
        <f ca="1">IF(I204&gt;0,J204*100/I204,0)</f>
        <v>0</v>
      </c>
      <c r="L204" s="465"/>
      <c r="M204" s="465"/>
      <c r="N204" s="465"/>
      <c r="O204" s="465"/>
      <c r="P204" s="465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15" t="s">
        <v>59</v>
      </c>
      <c r="E205" s="342"/>
      <c r="F205" s="342"/>
      <c r="G205" s="179"/>
      <c r="H205" s="726"/>
      <c r="I205" s="269"/>
      <c r="J205" s="269"/>
      <c r="K205" s="163"/>
      <c r="L205" s="465"/>
      <c r="M205" s="465"/>
      <c r="N205" s="465"/>
      <c r="O205" s="465"/>
      <c r="P205" s="465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342"/>
      <c r="E206" s="494" t="s">
        <v>102</v>
      </c>
      <c r="F206" s="286"/>
      <c r="G206" s="287"/>
      <c r="H206" s="288" t="s">
        <v>96</v>
      </c>
      <c r="I206" s="269">
        <v>4</v>
      </c>
      <c r="J206" s="214">
        <v>0</v>
      </c>
      <c r="K206" s="163">
        <f t="shared" ref="K206:K208" si="99">IF(I206&gt;0,J206*100/I206,0)</f>
        <v>0</v>
      </c>
      <c r="L206" s="465"/>
      <c r="M206" s="465"/>
      <c r="N206" s="465"/>
      <c r="O206" s="465"/>
      <c r="P206" s="465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15"/>
      <c r="E207" s="415" t="s">
        <v>103</v>
      </c>
      <c r="F207" s="342"/>
      <c r="G207" s="342"/>
      <c r="H207" s="289" t="s">
        <v>104</v>
      </c>
      <c r="I207" s="269">
        <v>1</v>
      </c>
      <c r="J207" s="214">
        <v>0</v>
      </c>
      <c r="K207" s="163">
        <f t="shared" si="99"/>
        <v>0</v>
      </c>
      <c r="L207" s="465"/>
      <c r="M207" s="465"/>
      <c r="N207" s="465"/>
      <c r="O207" s="465"/>
      <c r="P207" s="465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 hidden="1">
      <c r="A208" s="255"/>
      <c r="B208" s="263"/>
      <c r="C208" s="339" t="s">
        <v>105</v>
      </c>
      <c r="D208" s="256"/>
      <c r="E208" s="256"/>
      <c r="F208" s="290"/>
      <c r="G208" s="258"/>
      <c r="H208" s="277" t="s">
        <v>96</v>
      </c>
      <c r="I208" s="271">
        <f t="shared" ref="I208:J208" ca="1" si="100">I215</f>
        <v>0</v>
      </c>
      <c r="J208" s="271">
        <f t="shared" si="100"/>
        <v>0</v>
      </c>
      <c r="K208" s="272">
        <f t="shared" ca="1" si="99"/>
        <v>0</v>
      </c>
      <c r="L208" s="261"/>
      <c r="M208" s="261"/>
      <c r="N208" s="261"/>
      <c r="O208" s="261"/>
      <c r="P208" s="261"/>
    </row>
    <row r="209" spans="1:26" ht="19.5" hidden="1">
      <c r="A209" s="147"/>
      <c r="B209" s="148"/>
      <c r="C209" s="149" t="s">
        <v>16</v>
      </c>
      <c r="D209" s="822" t="s">
        <v>17</v>
      </c>
      <c r="E209" s="148"/>
      <c r="F209" s="148"/>
      <c r="G209" s="151"/>
      <c r="H209" s="274" t="s">
        <v>12</v>
      </c>
      <c r="I209" s="387"/>
      <c r="J209" s="387"/>
      <c r="K209" s="279"/>
      <c r="L209" s="155">
        <f ca="1">L210+L211+L212</f>
        <v>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 hidden="1">
      <c r="A210" s="159"/>
      <c r="B210" s="280"/>
      <c r="C210" s="33"/>
      <c r="D210" s="281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65">
        <f ca="1">IFERROR(__xludf.DUMMYFUNCTION("IMPORTRANGE(""https://docs.google.com/spreadsheets/d/1QqKyyYR6Q21VydFLVH3TRQUabQu_ym0Zz7PgGX0-kHA/edit?usp=sharing"",""แผน!AK19"")"),0)</f>
        <v>0</v>
      </c>
      <c r="M210" s="465"/>
      <c r="N210" s="789">
        <v>0</v>
      </c>
      <c r="O210" s="465"/>
      <c r="P210" s="465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 hidden="1">
      <c r="A211" s="283"/>
      <c r="B211" s="280"/>
      <c r="C211" s="291"/>
      <c r="D211" s="281" t="s">
        <v>99</v>
      </c>
      <c r="E211" s="33"/>
      <c r="F211" s="33"/>
      <c r="G211" s="35"/>
      <c r="H211" s="161" t="s">
        <v>12</v>
      </c>
      <c r="I211" s="269"/>
      <c r="J211" s="269"/>
      <c r="K211" s="465"/>
      <c r="L211" s="465">
        <f ca="1">IFERROR(__xludf.DUMMYFUNCTION("IMPORTRANGE(""https://docs.google.com/spreadsheets/d/1QqKyyYR6Q21VydFLVH3TRQUabQu_ym0Zz7PgGX0-kHA/edit?usp=sharing"",""แผน!AL19"")"),0)</f>
        <v>0</v>
      </c>
      <c r="M211" s="465"/>
      <c r="N211" s="789">
        <v>0</v>
      </c>
      <c r="O211" s="465"/>
      <c r="P211" s="465"/>
      <c r="Q211" s="285"/>
      <c r="R211" s="285"/>
      <c r="S211" s="285"/>
      <c r="T211" s="285"/>
      <c r="U211" s="285"/>
      <c r="V211" s="285"/>
      <c r="W211" s="285"/>
      <c r="X211" s="285"/>
      <c r="Y211" s="285"/>
      <c r="Z211" s="285"/>
    </row>
    <row r="212" spans="1:26" ht="19.5" hidden="1">
      <c r="A212" s="283"/>
      <c r="B212" s="280"/>
      <c r="C212" s="291"/>
      <c r="D212" s="281" t="s">
        <v>98</v>
      </c>
      <c r="E212" s="33"/>
      <c r="F212" s="33"/>
      <c r="G212" s="35"/>
      <c r="H212" s="161" t="s">
        <v>12</v>
      </c>
      <c r="I212" s="269"/>
      <c r="J212" s="269"/>
      <c r="K212" s="465"/>
      <c r="L212" s="465">
        <f ca="1">IFERROR(__xludf.DUMMYFUNCTION("IMPORTRANGE(""https://docs.google.com/spreadsheets/d/1QqKyyYR6Q21VydFLVH3TRQUabQu_ym0Zz7PgGX0-kHA/edit?usp=sharing"",""แผน!AM19"")"),0)</f>
        <v>0</v>
      </c>
      <c r="M212" s="465"/>
      <c r="N212" s="789">
        <v>0</v>
      </c>
      <c r="O212" s="465"/>
      <c r="P212" s="465"/>
      <c r="Q212" s="285"/>
      <c r="R212" s="285"/>
      <c r="S212" s="285"/>
      <c r="T212" s="285"/>
      <c r="U212" s="285"/>
      <c r="V212" s="285"/>
      <c r="W212" s="285"/>
      <c r="X212" s="285"/>
      <c r="Y212" s="285"/>
      <c r="Z212" s="285"/>
    </row>
    <row r="213" spans="1:26" ht="19.5" hidden="1">
      <c r="A213" s="170"/>
      <c r="B213" s="171"/>
      <c r="C213" s="291" t="s">
        <v>16</v>
      </c>
      <c r="D213" s="818" t="s">
        <v>38</v>
      </c>
      <c r="E213" s="173"/>
      <c r="F213" s="173"/>
      <c r="G213" s="174"/>
      <c r="H213" s="726"/>
      <c r="I213" s="184"/>
      <c r="J213" s="269"/>
      <c r="K213" s="465"/>
      <c r="L213" s="465"/>
      <c r="M213" s="465"/>
      <c r="N213" s="465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 hidden="1">
      <c r="A214" s="170"/>
      <c r="B214" s="171"/>
      <c r="C214" s="171"/>
      <c r="D214" s="343" t="s">
        <v>106</v>
      </c>
      <c r="E214" s="342"/>
      <c r="F214" s="342"/>
      <c r="G214" s="179"/>
      <c r="H214" s="726" t="s">
        <v>96</v>
      </c>
      <c r="I214" s="269">
        <f ca="1">IFERROR(__xludf.DUMMYFUNCTION("IMPORTRANGE(""https://docs.google.com/spreadsheets/d/1QqKyyYR6Q21VydFLVH3TRQUabQu_ym0Zz7PgGX0-kHA/edit?usp=sharing"",""แผน!AN19"")"),0)</f>
        <v>0</v>
      </c>
      <c r="J214" s="214">
        <v>0</v>
      </c>
      <c r="K214" s="465">
        <f t="shared" ref="K214:K216" ca="1" si="101">IF(I214&gt;0,J214*100/I214,0)</f>
        <v>0</v>
      </c>
      <c r="L214" s="465"/>
      <c r="M214" s="465"/>
      <c r="N214" s="465"/>
      <c r="O214" s="465"/>
      <c r="P214" s="465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 hidden="1">
      <c r="A215" s="170"/>
      <c r="B215" s="171"/>
      <c r="C215" s="171"/>
      <c r="D215" s="343" t="s">
        <v>107</v>
      </c>
      <c r="E215" s="342"/>
      <c r="F215" s="342"/>
      <c r="G215" s="179"/>
      <c r="H215" s="726" t="s">
        <v>96</v>
      </c>
      <c r="I215" s="269">
        <f ca="1">IFERROR(__xludf.DUMMYFUNCTION("IMPORTRANGE(""https://docs.google.com/spreadsheets/d/1QqKyyYR6Q21VydFLVH3TRQUabQu_ym0Zz7PgGX0-kHA/edit?usp=sharing"",""แผน!AN19"")"),0)</f>
        <v>0</v>
      </c>
      <c r="J215" s="214">
        <v>0</v>
      </c>
      <c r="K215" s="465">
        <f t="shared" ca="1" si="101"/>
        <v>0</v>
      </c>
      <c r="L215" s="465"/>
      <c r="M215" s="465"/>
      <c r="N215" s="465"/>
      <c r="O215" s="465"/>
      <c r="P215" s="465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5"/>
      <c r="B216" s="263"/>
      <c r="C216" s="339" t="s">
        <v>108</v>
      </c>
      <c r="D216" s="256"/>
      <c r="E216" s="256"/>
      <c r="F216" s="290"/>
      <c r="G216" s="258"/>
      <c r="H216" s="259" t="s">
        <v>109</v>
      </c>
      <c r="I216" s="271">
        <f t="shared" ref="I216:J216" ca="1" si="102">I224</f>
        <v>50000</v>
      </c>
      <c r="J216" s="271">
        <f t="shared" si="102"/>
        <v>0</v>
      </c>
      <c r="K216" s="272">
        <f t="shared" ca="1" si="101"/>
        <v>0</v>
      </c>
      <c r="L216" s="261"/>
      <c r="M216" s="261"/>
      <c r="N216" s="261"/>
      <c r="O216" s="261"/>
      <c r="P216" s="261"/>
    </row>
    <row r="217" spans="1:26" ht="19.5">
      <c r="A217" s="147"/>
      <c r="B217" s="148"/>
      <c r="C217" s="149" t="s">
        <v>16</v>
      </c>
      <c r="D217" s="822" t="s">
        <v>17</v>
      </c>
      <c r="E217" s="148"/>
      <c r="F217" s="148"/>
      <c r="G217" s="151"/>
      <c r="H217" s="274" t="s">
        <v>12</v>
      </c>
      <c r="I217" s="387"/>
      <c r="J217" s="387"/>
      <c r="K217" s="279"/>
      <c r="L217" s="155">
        <f ca="1">L218+L219+L220</f>
        <v>18500</v>
      </c>
      <c r="M217" s="155"/>
      <c r="N217" s="155">
        <f>N218+N219+N220</f>
        <v>0</v>
      </c>
      <c r="O217" s="155">
        <f ca="1">IF(L217&gt;0,N217*100/L217,0)</f>
        <v>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0"/>
      <c r="C218" s="33"/>
      <c r="D218" s="281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65">
        <f ca="1">IFERROR(__xludf.DUMMYFUNCTION("IMPORTRANGE(""https://docs.google.com/spreadsheets/d/1QqKyyYR6Q21VydFLVH3TRQUabQu_ym0Zz7PgGX0-kHA/edit?usp=sharing"",""แผน!AP19"")"),5000)</f>
        <v>5000</v>
      </c>
      <c r="M218" s="465"/>
      <c r="N218" s="789">
        <v>0</v>
      </c>
      <c r="O218" s="465"/>
      <c r="P218" s="465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3"/>
      <c r="B219" s="280"/>
      <c r="C219" s="291"/>
      <c r="D219" s="281" t="s">
        <v>110</v>
      </c>
      <c r="E219" s="33"/>
      <c r="F219" s="33"/>
      <c r="G219" s="35"/>
      <c r="H219" s="161" t="s">
        <v>12</v>
      </c>
      <c r="I219" s="269"/>
      <c r="J219" s="269"/>
      <c r="K219" s="465"/>
      <c r="L219" s="465">
        <f ca="1">IFERROR(__xludf.DUMMYFUNCTION("IMPORTRANGE(""https://docs.google.com/spreadsheets/d/1QqKyyYR6Q21VydFLVH3TRQUabQu_ym0Zz7PgGX0-kHA/edit?usp=sharing"",""แผน!AQ19"")"),13500)</f>
        <v>13500</v>
      </c>
      <c r="M219" s="465"/>
      <c r="N219" s="789">
        <v>0</v>
      </c>
      <c r="O219" s="465"/>
      <c r="P219" s="465"/>
      <c r="Q219" s="285"/>
      <c r="R219" s="285"/>
      <c r="S219" s="285"/>
      <c r="T219" s="285"/>
      <c r="U219" s="285"/>
      <c r="V219" s="285"/>
      <c r="W219" s="285"/>
      <c r="X219" s="285"/>
      <c r="Y219" s="285"/>
      <c r="Z219" s="285"/>
    </row>
    <row r="220" spans="1:26" ht="19.5">
      <c r="A220" s="283"/>
      <c r="B220" s="280"/>
      <c r="C220" s="291"/>
      <c r="D220" s="281" t="s">
        <v>98</v>
      </c>
      <c r="E220" s="33"/>
      <c r="F220" s="33"/>
      <c r="G220" s="35"/>
      <c r="H220" s="161" t="s">
        <v>12</v>
      </c>
      <c r="I220" s="269"/>
      <c r="J220" s="269"/>
      <c r="K220" s="465"/>
      <c r="L220" s="465">
        <f ca="1">IFERROR(__xludf.DUMMYFUNCTION("IMPORTRANGE(""https://docs.google.com/spreadsheets/d/1QqKyyYR6Q21VydFLVH3TRQUabQu_ym0Zz7PgGX0-kHA/edit?usp=sharing"",""แผน!AR19"")"),0)</f>
        <v>0</v>
      </c>
      <c r="M220" s="465"/>
      <c r="N220" s="789">
        <v>0</v>
      </c>
      <c r="O220" s="465"/>
      <c r="P220" s="465"/>
      <c r="Q220" s="285"/>
      <c r="R220" s="285"/>
      <c r="S220" s="285"/>
      <c r="T220" s="285"/>
      <c r="U220" s="285"/>
      <c r="V220" s="285"/>
      <c r="W220" s="285"/>
      <c r="X220" s="285"/>
      <c r="Y220" s="285"/>
      <c r="Z220" s="285"/>
    </row>
    <row r="221" spans="1:26" ht="19.5">
      <c r="A221" s="170"/>
      <c r="B221" s="171"/>
      <c r="C221" s="291" t="s">
        <v>16</v>
      </c>
      <c r="D221" s="818" t="s">
        <v>38</v>
      </c>
      <c r="E221" s="173"/>
      <c r="F221" s="173"/>
      <c r="G221" s="174"/>
      <c r="H221" s="726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1" t="s">
        <v>111</v>
      </c>
      <c r="E222" s="342"/>
      <c r="F222" s="342"/>
      <c r="G222" s="179"/>
      <c r="H222" s="726"/>
      <c r="I222" s="269"/>
      <c r="J222" s="269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343" t="s">
        <v>112</v>
      </c>
      <c r="F223" s="342"/>
      <c r="G223" s="179"/>
      <c r="H223" s="728" t="s">
        <v>109</v>
      </c>
      <c r="I223" s="269">
        <f ca="1">IFERROR(__xludf.DUMMYFUNCTION("IMPORTRANGE(""https://docs.google.com/spreadsheets/d/1QqKyyYR6Q21VydFLVH3TRQUabQu_ym0Zz7PgGX0-kHA/edit?usp=sharing"",""แผน!AT19"")"),50000)</f>
        <v>50000</v>
      </c>
      <c r="J223" s="214">
        <v>0</v>
      </c>
      <c r="K223" s="163">
        <f t="shared" ref="K223:K226" ca="1" si="103">IF(I223&gt;0,J223*100/I223,0)</f>
        <v>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343" t="s">
        <v>113</v>
      </c>
      <c r="F224" s="342"/>
      <c r="G224" s="179"/>
      <c r="H224" s="728" t="s">
        <v>109</v>
      </c>
      <c r="I224" s="269">
        <f ca="1">IFERROR(__xludf.DUMMYFUNCTION("IMPORTRANGE(""https://docs.google.com/spreadsheets/d/1QqKyyYR6Q21VydFLVH3TRQUabQu_ym0Zz7PgGX0-kHA/edit?usp=sharing"",""แผน!AT19"")"),50000)</f>
        <v>50000</v>
      </c>
      <c r="J224" s="214">
        <v>0</v>
      </c>
      <c r="K224" s="163">
        <f t="shared" ca="1" si="103"/>
        <v>0</v>
      </c>
      <c r="L224" s="465"/>
      <c r="M224" s="465"/>
      <c r="N224" s="465"/>
      <c r="O224" s="465"/>
      <c r="P224" s="465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1" t="s">
        <v>114</v>
      </c>
      <c r="E225" s="342"/>
      <c r="F225" s="342"/>
      <c r="G225" s="179"/>
      <c r="H225" s="728" t="s">
        <v>35</v>
      </c>
      <c r="I225" s="269">
        <f ca="1">IFERROR(__xludf.DUMMYFUNCTION("IMPORTRANGE(""https://docs.google.com/spreadsheets/d/1QqKyyYR6Q21VydFLVH3TRQUabQu_ym0Zz7PgGX0-kHA/edit?usp=sharing"",""แผน!AS19"")"),0)</f>
        <v>0</v>
      </c>
      <c r="J225" s="214">
        <v>0</v>
      </c>
      <c r="K225" s="163">
        <f t="shared" ca="1" si="103"/>
        <v>0</v>
      </c>
      <c r="L225" s="465"/>
      <c r="M225" s="465"/>
      <c r="N225" s="465"/>
      <c r="O225" s="465"/>
      <c r="P225" s="465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5"/>
      <c r="B226" s="263"/>
      <c r="C226" s="823" t="s">
        <v>115</v>
      </c>
      <c r="D226" s="256"/>
      <c r="E226" s="256"/>
      <c r="F226" s="256"/>
      <c r="G226" s="258"/>
      <c r="H226" s="265" t="s">
        <v>35</v>
      </c>
      <c r="I226" s="824">
        <f t="shared" ref="I226:J226" ca="1" si="104">I237+I248</f>
        <v>80</v>
      </c>
      <c r="J226" s="824">
        <f t="shared" si="104"/>
        <v>0</v>
      </c>
      <c r="K226" s="825">
        <f t="shared" ca="1" si="103"/>
        <v>0</v>
      </c>
      <c r="L226" s="261"/>
      <c r="M226" s="261"/>
      <c r="N226" s="261"/>
      <c r="O226" s="261"/>
      <c r="P226" s="261"/>
    </row>
    <row r="227" spans="1:26" ht="19.5" hidden="1">
      <c r="A227" s="826"/>
      <c r="B227" s="827"/>
      <c r="C227" s="828" t="s">
        <v>16</v>
      </c>
      <c r="D227" s="829" t="s">
        <v>17</v>
      </c>
      <c r="E227" s="827"/>
      <c r="F227" s="827"/>
      <c r="G227" s="830"/>
      <c r="H227" s="831" t="s">
        <v>12</v>
      </c>
      <c r="I227" s="832"/>
      <c r="J227" s="832"/>
      <c r="K227" s="833"/>
      <c r="L227" s="834">
        <f t="shared" ref="L227:L231" ca="1" si="105">L238+L249</f>
        <v>381600</v>
      </c>
      <c r="M227" s="834"/>
      <c r="N227" s="834">
        <f t="shared" ref="N227:N231" si="106">N238+N249</f>
        <v>0</v>
      </c>
      <c r="O227" s="835"/>
      <c r="P227" s="835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542"/>
      <c r="C228" s="40"/>
      <c r="D228" s="222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5"/>
        <v>185000</v>
      </c>
      <c r="M228" s="93"/>
      <c r="N228" s="93">
        <f t="shared" si="106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836"/>
      <c r="B229" s="542"/>
      <c r="C229" s="837"/>
      <c r="D229" s="222" t="s">
        <v>98</v>
      </c>
      <c r="E229" s="40"/>
      <c r="F229" s="40"/>
      <c r="G229" s="42"/>
      <c r="H229" s="165" t="s">
        <v>12</v>
      </c>
      <c r="I229" s="583"/>
      <c r="J229" s="583"/>
      <c r="K229" s="93"/>
      <c r="L229" s="93">
        <f t="shared" ca="1" si="105"/>
        <v>111600</v>
      </c>
      <c r="M229" s="93"/>
      <c r="N229" s="93">
        <f t="shared" si="106"/>
        <v>0</v>
      </c>
      <c r="O229" s="93"/>
      <c r="P229" s="93"/>
      <c r="Q229" s="838"/>
      <c r="R229" s="838"/>
      <c r="S229" s="838"/>
      <c r="T229" s="838"/>
      <c r="U229" s="838"/>
      <c r="V229" s="838"/>
      <c r="W229" s="838"/>
      <c r="X229" s="838"/>
      <c r="Y229" s="838"/>
      <c r="Z229" s="838"/>
    </row>
    <row r="230" spans="1:26" ht="19.5" hidden="1">
      <c r="A230" s="836"/>
      <c r="B230" s="542"/>
      <c r="C230" s="837"/>
      <c r="D230" s="222" t="s">
        <v>116</v>
      </c>
      <c r="E230" s="40"/>
      <c r="F230" s="40"/>
      <c r="G230" s="42"/>
      <c r="H230" s="165" t="s">
        <v>12</v>
      </c>
      <c r="I230" s="583"/>
      <c r="J230" s="583"/>
      <c r="K230" s="93"/>
      <c r="L230" s="93">
        <f t="shared" ca="1" si="105"/>
        <v>65000</v>
      </c>
      <c r="M230" s="93"/>
      <c r="N230" s="93">
        <f t="shared" si="106"/>
        <v>0</v>
      </c>
      <c r="O230" s="93"/>
      <c r="P230" s="93"/>
      <c r="Q230" s="838"/>
      <c r="R230" s="838"/>
      <c r="S230" s="838"/>
      <c r="T230" s="838"/>
      <c r="U230" s="838"/>
      <c r="V230" s="838"/>
      <c r="W230" s="838"/>
      <c r="X230" s="838"/>
      <c r="Y230" s="838"/>
      <c r="Z230" s="838"/>
    </row>
    <row r="231" spans="1:26" ht="19.5" hidden="1">
      <c r="A231" s="836"/>
      <c r="B231" s="542"/>
      <c r="C231" s="837"/>
      <c r="D231" s="222" t="s">
        <v>100</v>
      </c>
      <c r="E231" s="40"/>
      <c r="F231" s="40"/>
      <c r="G231" s="42"/>
      <c r="H231" s="165" t="s">
        <v>12</v>
      </c>
      <c r="I231" s="583"/>
      <c r="J231" s="583"/>
      <c r="K231" s="93"/>
      <c r="L231" s="93">
        <f t="shared" ca="1" si="105"/>
        <v>20000</v>
      </c>
      <c r="M231" s="93"/>
      <c r="N231" s="93">
        <f t="shared" si="106"/>
        <v>0</v>
      </c>
      <c r="O231" s="93"/>
      <c r="P231" s="93"/>
      <c r="Q231" s="838"/>
      <c r="R231" s="838"/>
      <c r="S231" s="838"/>
      <c r="T231" s="838"/>
      <c r="U231" s="838"/>
      <c r="V231" s="838"/>
      <c r="W231" s="838"/>
      <c r="X231" s="838"/>
      <c r="Y231" s="838"/>
      <c r="Z231" s="838"/>
    </row>
    <row r="232" spans="1:26" ht="19.5" hidden="1">
      <c r="A232" s="839"/>
      <c r="B232" s="840"/>
      <c r="C232" s="837" t="s">
        <v>16</v>
      </c>
      <c r="D232" s="266" t="s">
        <v>38</v>
      </c>
      <c r="E232" s="841"/>
      <c r="F232" s="841"/>
      <c r="G232" s="842"/>
      <c r="H232" s="581"/>
      <c r="I232" s="166"/>
      <c r="J232" s="583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839"/>
      <c r="B233" s="840"/>
      <c r="C233" s="840"/>
      <c r="D233" s="268" t="s">
        <v>117</v>
      </c>
      <c r="E233" s="536"/>
      <c r="F233" s="536"/>
      <c r="G233" s="843"/>
      <c r="H233" s="582" t="s">
        <v>35</v>
      </c>
      <c r="I233" s="583">
        <f t="shared" ref="I233:J233" ca="1" si="107">I244+I255</f>
        <v>80</v>
      </c>
      <c r="J233" s="583">
        <f t="shared" si="107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839"/>
      <c r="B234" s="840"/>
      <c r="C234" s="840"/>
      <c r="D234" s="844" t="s">
        <v>43</v>
      </c>
      <c r="E234" s="536"/>
      <c r="F234" s="536"/>
      <c r="G234" s="843"/>
      <c r="H234" s="582"/>
      <c r="I234" s="583"/>
      <c r="J234" s="583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839"/>
      <c r="B235" s="840"/>
      <c r="C235" s="840"/>
      <c r="D235" s="840"/>
      <c r="E235" s="267" t="s">
        <v>118</v>
      </c>
      <c r="F235" s="536"/>
      <c r="G235" s="843"/>
      <c r="H235" s="582" t="s">
        <v>35</v>
      </c>
      <c r="I235" s="583">
        <f t="shared" ref="I235:J236" si="108">I246+I257</f>
        <v>80</v>
      </c>
      <c r="J235" s="583">
        <f t="shared" si="108"/>
        <v>0</v>
      </c>
      <c r="K235" s="93">
        <f t="shared" ref="K235:K237" si="109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839"/>
      <c r="B236" s="840"/>
      <c r="C236" s="840"/>
      <c r="D236" s="840"/>
      <c r="E236" s="267" t="s">
        <v>119</v>
      </c>
      <c r="F236" s="536"/>
      <c r="G236" s="843"/>
      <c r="H236" s="582" t="s">
        <v>69</v>
      </c>
      <c r="I236" s="583">
        <f t="shared" si="108"/>
        <v>2</v>
      </c>
      <c r="J236" s="583">
        <f t="shared" si="108"/>
        <v>0</v>
      </c>
      <c r="K236" s="93">
        <f t="shared" si="109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>
      <c r="A237" s="255"/>
      <c r="B237" s="263"/>
      <c r="C237" s="339" t="s">
        <v>339</v>
      </c>
      <c r="D237" s="256"/>
      <c r="E237" s="256"/>
      <c r="F237" s="256"/>
      <c r="G237" s="258"/>
      <c r="H237" s="259" t="s">
        <v>35</v>
      </c>
      <c r="I237" s="271">
        <f t="shared" ref="I237:J237" ca="1" si="110">I244</f>
        <v>40</v>
      </c>
      <c r="J237" s="271">
        <f t="shared" si="110"/>
        <v>0</v>
      </c>
      <c r="K237" s="272">
        <f t="shared" ca="1" si="109"/>
        <v>0</v>
      </c>
      <c r="L237" s="261"/>
      <c r="M237" s="261"/>
      <c r="N237" s="261"/>
      <c r="O237" s="261"/>
      <c r="P237" s="261"/>
    </row>
    <row r="238" spans="1:26" ht="19.5">
      <c r="A238" s="147"/>
      <c r="B238" s="148"/>
      <c r="C238" s="149" t="s">
        <v>16</v>
      </c>
      <c r="D238" s="817" t="s">
        <v>17</v>
      </c>
      <c r="E238" s="148"/>
      <c r="F238" s="148"/>
      <c r="G238" s="151"/>
      <c r="H238" s="274" t="s">
        <v>12</v>
      </c>
      <c r="I238" s="387"/>
      <c r="J238" s="387"/>
      <c r="K238" s="279"/>
      <c r="L238" s="155">
        <f ca="1">L239+L240+L241+L242</f>
        <v>104000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>
      <c r="A239" s="313"/>
      <c r="B239" s="314"/>
      <c r="C239" s="315"/>
      <c r="D239" s="324" t="s">
        <v>97</v>
      </c>
      <c r="E239" s="315"/>
      <c r="F239" s="315"/>
      <c r="G239" s="317"/>
      <c r="H239" s="318" t="s">
        <v>12</v>
      </c>
      <c r="I239" s="319"/>
      <c r="J239" s="319"/>
      <c r="K239" s="320"/>
      <c r="L239" s="321">
        <f ca="1">IFERROR(__xludf.DUMMYFUNCTION("IMPORTRANGE(""https://docs.google.com/spreadsheets/d/1QqKyyYR6Q21VydFLVH3TRQUabQu_ym0Zz7PgGX0-kHA/edit?usp=sharing"",""แผน!AV19"")"),20000)</f>
        <v>20000</v>
      </c>
      <c r="M239" s="321"/>
      <c r="N239" s="340">
        <v>0</v>
      </c>
      <c r="O239" s="321"/>
      <c r="P239" s="321"/>
      <c r="Q239" s="312"/>
      <c r="R239" s="312"/>
      <c r="S239" s="312"/>
      <c r="T239" s="312"/>
      <c r="U239" s="312"/>
      <c r="V239" s="312"/>
      <c r="W239" s="312"/>
      <c r="X239" s="312"/>
      <c r="Y239" s="312"/>
      <c r="Z239" s="312"/>
    </row>
    <row r="240" spans="1:26" ht="19.5">
      <c r="A240" s="322"/>
      <c r="B240" s="314"/>
      <c r="C240" s="323"/>
      <c r="D240" s="324" t="s">
        <v>98</v>
      </c>
      <c r="E240" s="315"/>
      <c r="F240" s="315"/>
      <c r="G240" s="317"/>
      <c r="H240" s="318" t="s">
        <v>12</v>
      </c>
      <c r="I240" s="325"/>
      <c r="J240" s="325"/>
      <c r="K240" s="321"/>
      <c r="L240" s="321">
        <f ca="1">IFERROR(__xludf.DUMMYFUNCTION("IMPORTRANGE(""https://docs.google.com/spreadsheets/d/1QqKyyYR6Q21VydFLVH3TRQUabQu_ym0Zz7PgGX0-kHA/edit?usp=sharing"",""แผน!AW19"")"),54000)</f>
        <v>54000</v>
      </c>
      <c r="M240" s="321"/>
      <c r="N240" s="340">
        <v>0</v>
      </c>
      <c r="O240" s="321"/>
      <c r="P240" s="321"/>
      <c r="Q240" s="326"/>
      <c r="R240" s="326"/>
      <c r="S240" s="326"/>
      <c r="T240" s="326"/>
      <c r="U240" s="326"/>
      <c r="V240" s="326"/>
      <c r="W240" s="326"/>
      <c r="X240" s="326"/>
      <c r="Y240" s="326"/>
      <c r="Z240" s="326"/>
    </row>
    <row r="241" spans="1:26" ht="19.5">
      <c r="A241" s="322"/>
      <c r="B241" s="314"/>
      <c r="C241" s="323"/>
      <c r="D241" s="324" t="s">
        <v>116</v>
      </c>
      <c r="E241" s="315"/>
      <c r="F241" s="315"/>
      <c r="G241" s="317"/>
      <c r="H241" s="318" t="s">
        <v>12</v>
      </c>
      <c r="I241" s="325"/>
      <c r="J241" s="325"/>
      <c r="K241" s="321"/>
      <c r="L241" s="321">
        <f ca="1">IFERROR(__xludf.DUMMYFUNCTION("IMPORTRANGE(""https://docs.google.com/spreadsheets/d/1QqKyyYR6Q21VydFLVH3TRQUabQu_ym0Zz7PgGX0-kHA/edit?usp=sharing"",""แผน!AX19"")"),20000)</f>
        <v>20000</v>
      </c>
      <c r="M241" s="321"/>
      <c r="N241" s="340">
        <v>0</v>
      </c>
      <c r="O241" s="321"/>
      <c r="P241" s="321"/>
      <c r="Q241" s="326"/>
      <c r="R241" s="326"/>
      <c r="S241" s="326"/>
      <c r="T241" s="326"/>
      <c r="U241" s="326"/>
      <c r="V241" s="326"/>
      <c r="W241" s="326"/>
      <c r="X241" s="326"/>
      <c r="Y241" s="326"/>
      <c r="Z241" s="326"/>
    </row>
    <row r="242" spans="1:26" ht="19.5">
      <c r="A242" s="322"/>
      <c r="B242" s="314"/>
      <c r="C242" s="323"/>
      <c r="D242" s="324" t="s">
        <v>100</v>
      </c>
      <c r="E242" s="315"/>
      <c r="F242" s="315"/>
      <c r="G242" s="317"/>
      <c r="H242" s="318" t="s">
        <v>12</v>
      </c>
      <c r="I242" s="325"/>
      <c r="J242" s="325"/>
      <c r="K242" s="321"/>
      <c r="L242" s="321">
        <f ca="1">IFERROR(__xludf.DUMMYFUNCTION("IMPORTRANGE(""https://docs.google.com/spreadsheets/d/1QqKyyYR6Q21VydFLVH3TRQUabQu_ym0Zz7PgGX0-kHA/edit?usp=sharing"",""แผน!AY19"")"),10000)</f>
        <v>10000</v>
      </c>
      <c r="M242" s="321"/>
      <c r="N242" s="340">
        <v>0</v>
      </c>
      <c r="O242" s="321"/>
      <c r="P242" s="321"/>
      <c r="Q242" s="326"/>
      <c r="R242" s="326"/>
      <c r="S242" s="326"/>
      <c r="T242" s="326"/>
      <c r="U242" s="326"/>
      <c r="V242" s="326"/>
      <c r="W242" s="326"/>
      <c r="X242" s="326"/>
      <c r="Y242" s="326"/>
      <c r="Z242" s="326"/>
    </row>
    <row r="243" spans="1:26" ht="19.5">
      <c r="A243" s="170"/>
      <c r="B243" s="171"/>
      <c r="C243" s="291" t="s">
        <v>16</v>
      </c>
      <c r="D243" s="818" t="s">
        <v>38</v>
      </c>
      <c r="E243" s="173"/>
      <c r="F243" s="173"/>
      <c r="G243" s="174"/>
      <c r="H243" s="726"/>
      <c r="I243" s="184"/>
      <c r="J243" s="269"/>
      <c r="K243" s="465"/>
      <c r="L243" s="465"/>
      <c r="M243" s="465"/>
      <c r="N243" s="465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>
      <c r="A244" s="170"/>
      <c r="B244" s="171"/>
      <c r="C244" s="171"/>
      <c r="D244" s="415" t="s">
        <v>117</v>
      </c>
      <c r="E244" s="342"/>
      <c r="F244" s="342"/>
      <c r="G244" s="179"/>
      <c r="H244" s="728" t="s">
        <v>35</v>
      </c>
      <c r="I244" s="269">
        <f ca="1">IFERROR(__xludf.DUMMYFUNCTION("IMPORTRANGE(""https://docs.google.com/spreadsheets/d/1QqKyyYR6Q21VydFLVH3TRQUabQu_ym0Zz7PgGX0-kHA/edit?usp=sharing"",""แผน!BE19"")"),40)</f>
        <v>40</v>
      </c>
      <c r="J244" s="214">
        <v>0</v>
      </c>
      <c r="K244" s="465">
        <f ca="1">IF(I244&gt;0,J244*100/I244,0)</f>
        <v>0</v>
      </c>
      <c r="L244" s="465"/>
      <c r="M244" s="465"/>
      <c r="N244" s="465"/>
      <c r="O244" s="465"/>
      <c r="P244" s="465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>
      <c r="A245" s="170"/>
      <c r="B245" s="171"/>
      <c r="C245" s="171"/>
      <c r="D245" s="341" t="s">
        <v>43</v>
      </c>
      <c r="E245" s="342"/>
      <c r="F245" s="342"/>
      <c r="G245" s="179"/>
      <c r="H245" s="728"/>
      <c r="I245" s="269"/>
      <c r="J245" s="269"/>
      <c r="K245" s="465"/>
      <c r="L245" s="465"/>
      <c r="M245" s="465"/>
      <c r="N245" s="465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>
      <c r="A246" s="170"/>
      <c r="B246" s="171"/>
      <c r="C246" s="171"/>
      <c r="D246" s="171"/>
      <c r="E246" s="343" t="s">
        <v>118</v>
      </c>
      <c r="F246" s="342"/>
      <c r="G246" s="179"/>
      <c r="H246" s="728" t="s">
        <v>35</v>
      </c>
      <c r="I246" s="269">
        <v>40</v>
      </c>
      <c r="J246" s="214">
        <v>0</v>
      </c>
      <c r="K246" s="465">
        <f t="shared" ref="K246:K248" si="111">IF(I246&gt;0,J246*100/I246,0)</f>
        <v>0</v>
      </c>
      <c r="L246" s="465"/>
      <c r="M246" s="465"/>
      <c r="N246" s="465"/>
      <c r="O246" s="465"/>
      <c r="P246" s="465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>
      <c r="A247" s="170"/>
      <c r="B247" s="171"/>
      <c r="C247" s="171"/>
      <c r="D247" s="171"/>
      <c r="E247" s="343" t="s">
        <v>119</v>
      </c>
      <c r="F247" s="342"/>
      <c r="G247" s="179"/>
      <c r="H247" s="728" t="s">
        <v>69</v>
      </c>
      <c r="I247" s="269">
        <v>1</v>
      </c>
      <c r="J247" s="214">
        <v>0</v>
      </c>
      <c r="K247" s="465">
        <f t="shared" si="111"/>
        <v>0</v>
      </c>
      <c r="L247" s="465"/>
      <c r="M247" s="465"/>
      <c r="N247" s="465"/>
      <c r="O247" s="465"/>
      <c r="P247" s="465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>
      <c r="A248" s="255"/>
      <c r="B248" s="263"/>
      <c r="C248" s="339" t="s">
        <v>340</v>
      </c>
      <c r="D248" s="256"/>
      <c r="E248" s="256"/>
      <c r="F248" s="256"/>
      <c r="G248" s="258"/>
      <c r="H248" s="259" t="s">
        <v>35</v>
      </c>
      <c r="I248" s="271">
        <f t="shared" ref="I248:J248" ca="1" si="112">I255</f>
        <v>40</v>
      </c>
      <c r="J248" s="271">
        <f t="shared" si="112"/>
        <v>0</v>
      </c>
      <c r="K248" s="272">
        <f t="shared" ca="1" si="111"/>
        <v>0</v>
      </c>
      <c r="L248" s="261"/>
      <c r="M248" s="261"/>
      <c r="N248" s="261"/>
      <c r="O248" s="261"/>
      <c r="P248" s="261"/>
    </row>
    <row r="249" spans="1:26" ht="19.5">
      <c r="A249" s="147"/>
      <c r="B249" s="148"/>
      <c r="C249" s="149" t="s">
        <v>16</v>
      </c>
      <c r="D249" s="822" t="s">
        <v>17</v>
      </c>
      <c r="E249" s="148"/>
      <c r="F249" s="148"/>
      <c r="G249" s="151"/>
      <c r="H249" s="274" t="s">
        <v>12</v>
      </c>
      <c r="I249" s="387"/>
      <c r="J249" s="387"/>
      <c r="K249" s="279"/>
      <c r="L249" s="155">
        <f ca="1">L250+L251+L252+L253</f>
        <v>277600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>
      <c r="A250" s="313"/>
      <c r="B250" s="314"/>
      <c r="C250" s="315"/>
      <c r="D250" s="324" t="s">
        <v>97</v>
      </c>
      <c r="E250" s="315"/>
      <c r="F250" s="315"/>
      <c r="G250" s="317"/>
      <c r="H250" s="318" t="s">
        <v>12</v>
      </c>
      <c r="I250" s="319"/>
      <c r="J250" s="319"/>
      <c r="K250" s="320"/>
      <c r="L250" s="321">
        <f ca="1">IFERROR(__xludf.DUMMYFUNCTION("IMPORTRANGE(""https://docs.google.com/spreadsheets/d/1QqKyyYR6Q21VydFLVH3TRQUabQu_ym0Zz7PgGX0-kHA/edit?usp=sharing"",""แผน!AZ19"")"),165000)</f>
        <v>165000</v>
      </c>
      <c r="M250" s="321"/>
      <c r="N250" s="340">
        <v>0</v>
      </c>
      <c r="O250" s="321"/>
      <c r="P250" s="321"/>
      <c r="Q250" s="312"/>
      <c r="R250" s="312"/>
      <c r="S250" s="312"/>
      <c r="T250" s="312"/>
      <c r="U250" s="312"/>
      <c r="V250" s="312"/>
      <c r="W250" s="312"/>
      <c r="X250" s="312"/>
      <c r="Y250" s="312"/>
      <c r="Z250" s="312"/>
    </row>
    <row r="251" spans="1:26" ht="19.5">
      <c r="A251" s="322"/>
      <c r="B251" s="314"/>
      <c r="C251" s="323"/>
      <c r="D251" s="324" t="s">
        <v>98</v>
      </c>
      <c r="E251" s="315"/>
      <c r="F251" s="315"/>
      <c r="G251" s="317"/>
      <c r="H251" s="318" t="s">
        <v>12</v>
      </c>
      <c r="I251" s="325"/>
      <c r="J251" s="325"/>
      <c r="K251" s="321"/>
      <c r="L251" s="321">
        <f ca="1">IFERROR(__xludf.DUMMYFUNCTION("IMPORTRANGE(""https://docs.google.com/spreadsheets/d/1QqKyyYR6Q21VydFLVH3TRQUabQu_ym0Zz7PgGX0-kHA/edit?usp=sharing"",""แผน!BA19"")"),57600)</f>
        <v>57600</v>
      </c>
      <c r="M251" s="321"/>
      <c r="N251" s="340">
        <v>0</v>
      </c>
      <c r="O251" s="321"/>
      <c r="P251" s="321"/>
      <c r="Q251" s="326"/>
      <c r="R251" s="326"/>
      <c r="S251" s="326"/>
      <c r="T251" s="326"/>
      <c r="U251" s="326"/>
      <c r="V251" s="326"/>
      <c r="W251" s="326"/>
      <c r="X251" s="326"/>
      <c r="Y251" s="326"/>
      <c r="Z251" s="326"/>
    </row>
    <row r="252" spans="1:26" ht="19.5">
      <c r="A252" s="322"/>
      <c r="B252" s="314"/>
      <c r="C252" s="323"/>
      <c r="D252" s="324" t="s">
        <v>116</v>
      </c>
      <c r="E252" s="315"/>
      <c r="F252" s="315"/>
      <c r="G252" s="317"/>
      <c r="H252" s="318" t="s">
        <v>12</v>
      </c>
      <c r="I252" s="325"/>
      <c r="J252" s="325"/>
      <c r="K252" s="321"/>
      <c r="L252" s="321">
        <f ca="1">IFERROR(__xludf.DUMMYFUNCTION("IMPORTRANGE(""https://docs.google.com/spreadsheets/d/1QqKyyYR6Q21VydFLVH3TRQUabQu_ym0Zz7PgGX0-kHA/edit?usp=sharing"",""แผน!BB19"")"),45000)</f>
        <v>45000</v>
      </c>
      <c r="M252" s="321"/>
      <c r="N252" s="340">
        <v>0</v>
      </c>
      <c r="O252" s="321"/>
      <c r="P252" s="321"/>
      <c r="Q252" s="326"/>
      <c r="R252" s="326"/>
      <c r="S252" s="326"/>
      <c r="T252" s="326"/>
      <c r="U252" s="326"/>
      <c r="V252" s="326"/>
      <c r="W252" s="326"/>
      <c r="X252" s="326"/>
      <c r="Y252" s="326"/>
      <c r="Z252" s="326"/>
    </row>
    <row r="253" spans="1:26" ht="19.5">
      <c r="A253" s="322"/>
      <c r="B253" s="314"/>
      <c r="C253" s="323"/>
      <c r="D253" s="324" t="s">
        <v>100</v>
      </c>
      <c r="E253" s="315"/>
      <c r="F253" s="315"/>
      <c r="G253" s="317"/>
      <c r="H253" s="318" t="s">
        <v>12</v>
      </c>
      <c r="I253" s="325"/>
      <c r="J253" s="325"/>
      <c r="K253" s="321"/>
      <c r="L253" s="321">
        <f ca="1">IFERROR(__xludf.DUMMYFUNCTION("IMPORTRANGE(""https://docs.google.com/spreadsheets/d/1QqKyyYR6Q21VydFLVH3TRQUabQu_ym0Zz7PgGX0-kHA/edit?usp=sharing"",""แผน!BC19"")"),10000)</f>
        <v>10000</v>
      </c>
      <c r="M253" s="321"/>
      <c r="N253" s="340">
        <v>0</v>
      </c>
      <c r="O253" s="321"/>
      <c r="P253" s="321"/>
      <c r="Q253" s="326"/>
      <c r="R253" s="326"/>
      <c r="S253" s="326"/>
      <c r="T253" s="326"/>
      <c r="U253" s="326"/>
      <c r="V253" s="326"/>
      <c r="W253" s="326"/>
      <c r="X253" s="326"/>
      <c r="Y253" s="326"/>
      <c r="Z253" s="326"/>
    </row>
    <row r="254" spans="1:26" ht="19.5">
      <c r="A254" s="170"/>
      <c r="B254" s="171"/>
      <c r="C254" s="291" t="s">
        <v>16</v>
      </c>
      <c r="D254" s="818" t="s">
        <v>38</v>
      </c>
      <c r="E254" s="173"/>
      <c r="F254" s="173"/>
      <c r="G254" s="174"/>
      <c r="H254" s="726"/>
      <c r="I254" s="184"/>
      <c r="J254" s="269"/>
      <c r="K254" s="465"/>
      <c r="L254" s="465"/>
      <c r="M254" s="465"/>
      <c r="N254" s="465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>
      <c r="A255" s="170"/>
      <c r="B255" s="171"/>
      <c r="C255" s="171"/>
      <c r="D255" s="415" t="s">
        <v>117</v>
      </c>
      <c r="E255" s="342"/>
      <c r="F255" s="342"/>
      <c r="G255" s="179"/>
      <c r="H255" s="728" t="s">
        <v>35</v>
      </c>
      <c r="I255" s="269">
        <f ca="1">IFERROR(__xludf.DUMMYFUNCTION("IMPORTRANGE(""https://docs.google.com/spreadsheets/d/1QqKyyYR6Q21VydFLVH3TRQUabQu_ym0Zz7PgGX0-kHA/edit?usp=sharing"",""แผน!BF19"")"),40)</f>
        <v>40</v>
      </c>
      <c r="J255" s="214">
        <v>0</v>
      </c>
      <c r="K255" s="465">
        <f ca="1">IF(I255&gt;0,J255*100/I255,0)</f>
        <v>0</v>
      </c>
      <c r="L255" s="465"/>
      <c r="M255" s="465"/>
      <c r="N255" s="465"/>
      <c r="O255" s="465"/>
      <c r="P255" s="465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>
      <c r="A256" s="170"/>
      <c r="B256" s="171"/>
      <c r="C256" s="171"/>
      <c r="D256" s="341" t="s">
        <v>43</v>
      </c>
      <c r="E256" s="342"/>
      <c r="F256" s="342"/>
      <c r="G256" s="179"/>
      <c r="H256" s="728"/>
      <c r="I256" s="269"/>
      <c r="J256" s="269"/>
      <c r="K256" s="465"/>
      <c r="L256" s="465"/>
      <c r="M256" s="465"/>
      <c r="N256" s="465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>
      <c r="A257" s="170"/>
      <c r="B257" s="171"/>
      <c r="C257" s="171"/>
      <c r="D257" s="171"/>
      <c r="E257" s="343" t="s">
        <v>118</v>
      </c>
      <c r="F257" s="342"/>
      <c r="G257" s="179"/>
      <c r="H257" s="728" t="s">
        <v>35</v>
      </c>
      <c r="I257" s="269">
        <v>40</v>
      </c>
      <c r="J257" s="214">
        <v>0</v>
      </c>
      <c r="K257" s="465">
        <f t="shared" ref="K257:K258" si="113">IF(I257&gt;0,J257*100/I257,0)</f>
        <v>0</v>
      </c>
      <c r="L257" s="465"/>
      <c r="M257" s="465"/>
      <c r="N257" s="465"/>
      <c r="O257" s="465"/>
      <c r="P257" s="465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>
      <c r="A258" s="170"/>
      <c r="B258" s="171"/>
      <c r="C258" s="171"/>
      <c r="D258" s="171"/>
      <c r="E258" s="343" t="s">
        <v>119</v>
      </c>
      <c r="F258" s="342"/>
      <c r="G258" s="179"/>
      <c r="H258" s="728" t="s">
        <v>69</v>
      </c>
      <c r="I258" s="269">
        <v>1</v>
      </c>
      <c r="J258" s="214">
        <v>0</v>
      </c>
      <c r="K258" s="465">
        <f t="shared" si="113"/>
        <v>0</v>
      </c>
      <c r="L258" s="465"/>
      <c r="M258" s="465"/>
      <c r="N258" s="465"/>
      <c r="O258" s="465"/>
      <c r="P258" s="465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1" t="s">
        <v>122</v>
      </c>
      <c r="B259" s="242"/>
      <c r="C259" s="242"/>
      <c r="D259" s="243"/>
      <c r="E259" s="243"/>
      <c r="F259" s="243"/>
      <c r="G259" s="244"/>
      <c r="H259" s="245"/>
      <c r="I259" s="246"/>
      <c r="J259" s="246"/>
      <c r="K259" s="247"/>
      <c r="L259" s="247"/>
      <c r="M259" s="247"/>
      <c r="N259" s="247"/>
      <c r="O259" s="247"/>
      <c r="P259" s="247"/>
    </row>
    <row r="260" spans="1:26" ht="19.5">
      <c r="A260" s="248"/>
      <c r="B260" s="249" t="s">
        <v>123</v>
      </c>
      <c r="C260" s="250"/>
      <c r="D260" s="173"/>
      <c r="E260" s="173"/>
      <c r="F260" s="173"/>
      <c r="G260" s="174"/>
      <c r="H260" s="251" t="s">
        <v>35</v>
      </c>
      <c r="I260" s="252">
        <f t="shared" ref="I260:J260" ca="1" si="114">I271</f>
        <v>22</v>
      </c>
      <c r="J260" s="252">
        <f t="shared" si="114"/>
        <v>0</v>
      </c>
      <c r="K260" s="253">
        <f ca="1">IF(I260&gt;0,J260*100/I260,0)</f>
        <v>0</v>
      </c>
      <c r="L260" s="254"/>
      <c r="M260" s="254"/>
      <c r="N260" s="254"/>
      <c r="O260" s="254"/>
      <c r="P260" s="254"/>
    </row>
    <row r="261" spans="1:26" ht="19.5">
      <c r="A261" s="147"/>
      <c r="B261" s="148"/>
      <c r="C261" s="149" t="s">
        <v>16</v>
      </c>
      <c r="D261" s="817" t="s">
        <v>17</v>
      </c>
      <c r="E261" s="148"/>
      <c r="F261" s="148"/>
      <c r="G261" s="151"/>
      <c r="H261" s="152" t="s">
        <v>12</v>
      </c>
      <c r="I261" s="388"/>
      <c r="J261" s="388"/>
      <c r="K261" s="154"/>
      <c r="L261" s="155">
        <f t="shared" ref="L261:N261" ca="1" si="115">L262+L263</f>
        <v>26900</v>
      </c>
      <c r="M261" s="155">
        <f t="shared" ca="1" si="115"/>
        <v>23900</v>
      </c>
      <c r="N261" s="155">
        <f t="shared" ca="1" si="115"/>
        <v>0</v>
      </c>
      <c r="O261" s="155">
        <f t="shared" ref="O261:O269" ca="1" si="116">IF(L261&gt;0,N261*100/L261,0)</f>
        <v>0</v>
      </c>
      <c r="P261" s="155">
        <f t="shared" ref="P261:P269" ca="1" si="117">IF(M261&gt;0,N261*100/M261,0)</f>
        <v>0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2" t="s">
        <v>18</v>
      </c>
      <c r="F262" s="40"/>
      <c r="G262" s="157"/>
      <c r="H262" s="158" t="s">
        <v>12</v>
      </c>
      <c r="I262" s="583"/>
      <c r="J262" s="583"/>
      <c r="K262" s="93"/>
      <c r="L262" s="93">
        <f t="shared" ref="L262:N263" si="118">L265+L268</f>
        <v>0</v>
      </c>
      <c r="M262" s="93">
        <f t="shared" si="118"/>
        <v>0</v>
      </c>
      <c r="N262" s="93">
        <f t="shared" si="118"/>
        <v>0</v>
      </c>
      <c r="O262" s="93">
        <f t="shared" si="116"/>
        <v>0</v>
      </c>
      <c r="P262" s="93">
        <f t="shared" si="117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2" t="s">
        <v>19</v>
      </c>
      <c r="F263" s="40"/>
      <c r="G263" s="157"/>
      <c r="H263" s="158" t="s">
        <v>12</v>
      </c>
      <c r="I263" s="583"/>
      <c r="J263" s="583"/>
      <c r="K263" s="93"/>
      <c r="L263" s="93">
        <f t="shared" ca="1" si="118"/>
        <v>26900</v>
      </c>
      <c r="M263" s="93">
        <f t="shared" ca="1" si="118"/>
        <v>23900</v>
      </c>
      <c r="N263" s="93">
        <f t="shared" ca="1" si="118"/>
        <v>0</v>
      </c>
      <c r="O263" s="93">
        <f t="shared" ca="1" si="116"/>
        <v>0</v>
      </c>
      <c r="P263" s="93">
        <f t="shared" ca="1" si="117"/>
        <v>0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1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65">
        <f t="shared" ref="L264:N264" ca="1" si="119">L265+L266</f>
        <v>26900</v>
      </c>
      <c r="M264" s="465">
        <f t="shared" ca="1" si="119"/>
        <v>23900</v>
      </c>
      <c r="N264" s="465">
        <f t="shared" ca="1" si="119"/>
        <v>0</v>
      </c>
      <c r="O264" s="465">
        <f t="shared" ca="1" si="116"/>
        <v>0</v>
      </c>
      <c r="P264" s="465">
        <f t="shared" ca="1" si="117"/>
        <v>0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2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6"/>
        <v>0</v>
      </c>
      <c r="P265" s="93">
        <f t="shared" si="117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2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IFERROR(__xludf.DUMMYFUNCTION("IMPORTRANGE(""https://docs.google.com/spreadsheets/d/1MeEWN-I1oV_STSDYn1IFDPWt_1FKiwhDph83XaGc0o0/edit?usp=sharing"",""งบพรบ!CY19"")"),26900)</f>
        <v>26900</v>
      </c>
      <c r="M266" s="93">
        <f ca="1">IFERROR(__xludf.DUMMYFUNCTION("IMPORTRANGE(""https://docs.google.com/spreadsheets/d/1MeEWN-I1oV_STSDYn1IFDPWt_1FKiwhDph83XaGc0o0/edit?usp=sharing"",""งบพรบ!DD19"")"),23900)</f>
        <v>23900</v>
      </c>
      <c r="N266" s="93">
        <f ca="1">IFERROR(__xludf.DUMMYFUNCTION("IMPORTRANGE(""https://docs.google.com/spreadsheets/d/1MeEWN-I1oV_STSDYn1IFDPWt_1FKiwhDph83XaGc0o0/edit?usp=sharing"",""งบพรบ!DF19"")"),0)</f>
        <v>0</v>
      </c>
      <c r="O266" s="93">
        <f t="shared" ca="1" si="116"/>
        <v>0</v>
      </c>
      <c r="P266" s="93">
        <f t="shared" ca="1" si="117"/>
        <v>0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1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65">
        <f t="shared" ref="L267:N267" ca="1" si="120">L268+L269</f>
        <v>0</v>
      </c>
      <c r="M267" s="465">
        <f t="shared" ca="1" si="120"/>
        <v>0</v>
      </c>
      <c r="N267" s="465">
        <f t="shared" ca="1" si="120"/>
        <v>0</v>
      </c>
      <c r="O267" s="465">
        <f t="shared" ca="1" si="116"/>
        <v>0</v>
      </c>
      <c r="P267" s="465">
        <f t="shared" ca="1" si="117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2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6"/>
        <v>0</v>
      </c>
      <c r="P268" s="93">
        <f t="shared" si="117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2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IFERROR(__xludf.DUMMYFUNCTION("IMPORTRANGE(""https://docs.google.com/spreadsheets/d/1MeEWN-I1oV_STSDYn1IFDPWt_1FKiwhDph83XaGc0o0/edit?usp=sharing"",""งบพรบ!DB19"")"),0)</f>
        <v>0</v>
      </c>
      <c r="M269" s="93">
        <f ca="1">IFERROR(__xludf.DUMMYFUNCTION("IMPORTRANGE(""https://docs.google.com/spreadsheets/d/1MeEWN-I1oV_STSDYn1IFDPWt_1FKiwhDph83XaGc0o0/edit?usp=sharing"",""งบพรบ!DE19"")"),0)</f>
        <v>0</v>
      </c>
      <c r="N269" s="93">
        <f ca="1">IFERROR(__xludf.DUMMYFUNCTION("IMPORTRANGE(""https://docs.google.com/spreadsheets/d/1MeEWN-I1oV_STSDYn1IFDPWt_1FKiwhDph83XaGc0o0/edit?usp=sharing"",""งบพรบ!DG19"")"),0)</f>
        <v>0</v>
      </c>
      <c r="O269" s="93">
        <f t="shared" ca="1" si="116"/>
        <v>0</v>
      </c>
      <c r="P269" s="93">
        <f t="shared" ca="1" si="117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1" t="s">
        <v>16</v>
      </c>
      <c r="D270" s="818" t="s">
        <v>38</v>
      </c>
      <c r="E270" s="173"/>
      <c r="F270" s="173"/>
      <c r="G270" s="174"/>
      <c r="H270" s="726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44" t="s">
        <v>124</v>
      </c>
      <c r="E271" s="342"/>
      <c r="F271" s="268"/>
      <c r="G271" s="179"/>
      <c r="H271" s="345" t="s">
        <v>35</v>
      </c>
      <c r="I271" s="269">
        <f ca="1">IFERROR(__xludf.DUMMYFUNCTION("IMPORTRANGE(""https://docs.google.com/spreadsheets/d/1QqKyyYR6Q21VydFLVH3TRQUabQu_ym0Zz7PgGX0-kHA/edit?usp=sharing"",""แผน!EA19"")"),22)</f>
        <v>22</v>
      </c>
      <c r="J271" s="214">
        <v>0</v>
      </c>
      <c r="K271" s="163">
        <f ca="1">IF(I271&gt;0,J271*100/I271,0)</f>
        <v>0</v>
      </c>
      <c r="L271" s="163"/>
      <c r="M271" s="163"/>
      <c r="N271" s="163"/>
      <c r="O271" s="163"/>
      <c r="P271" s="163"/>
    </row>
    <row r="272" spans="1:26" ht="18.75" hidden="1">
      <c r="A272" s="346"/>
      <c r="B272" s="347"/>
      <c r="C272" s="347"/>
      <c r="D272" s="348" t="s">
        <v>125</v>
      </c>
      <c r="E272" s="349"/>
      <c r="F272" s="349"/>
      <c r="G272" s="350"/>
      <c r="H272" s="50" t="s">
        <v>35</v>
      </c>
      <c r="I272" s="468">
        <v>0</v>
      </c>
      <c r="J272" s="468">
        <v>0</v>
      </c>
      <c r="K272" s="353">
        <v>0</v>
      </c>
      <c r="L272" s="353"/>
      <c r="M272" s="353"/>
      <c r="N272" s="353"/>
      <c r="O272" s="353"/>
      <c r="P272" s="353"/>
    </row>
    <row r="273" spans="1:26" ht="19.5">
      <c r="A273" s="354" t="s">
        <v>126</v>
      </c>
      <c r="B273" s="355"/>
      <c r="C273" s="355"/>
      <c r="D273" s="355"/>
      <c r="E273" s="356"/>
      <c r="F273" s="356"/>
      <c r="G273" s="357"/>
      <c r="H273" s="358"/>
      <c r="I273" s="359"/>
      <c r="J273" s="359"/>
      <c r="K273" s="360"/>
      <c r="L273" s="360"/>
      <c r="M273" s="360"/>
      <c r="N273" s="360"/>
      <c r="O273" s="360"/>
      <c r="P273" s="360"/>
    </row>
    <row r="274" spans="1:26" ht="19.5">
      <c r="A274" s="361" t="s">
        <v>127</v>
      </c>
      <c r="B274" s="362"/>
      <c r="C274" s="363"/>
      <c r="D274" s="362"/>
      <c r="E274" s="362"/>
      <c r="F274" s="362"/>
      <c r="G274" s="362"/>
      <c r="H274" s="364"/>
      <c r="I274" s="365"/>
      <c r="J274" s="366"/>
      <c r="K274" s="367"/>
      <c r="L274" s="367"/>
      <c r="M274" s="367"/>
      <c r="N274" s="367"/>
      <c r="O274" s="367"/>
      <c r="P274" s="367"/>
    </row>
    <row r="275" spans="1:26" ht="19.5">
      <c r="A275" s="368"/>
      <c r="B275" s="377" t="s">
        <v>128</v>
      </c>
      <c r="C275" s="370"/>
      <c r="D275" s="371"/>
      <c r="E275" s="370"/>
      <c r="F275" s="370"/>
      <c r="G275" s="372"/>
      <c r="H275" s="373" t="s">
        <v>35</v>
      </c>
      <c r="I275" s="374">
        <f t="shared" ref="I275:J275" ca="1" si="121">I288</f>
        <v>5</v>
      </c>
      <c r="J275" s="374">
        <f t="shared" ca="1" si="121"/>
        <v>0</v>
      </c>
      <c r="K275" s="375">
        <f t="shared" ref="K275:K276" ca="1" si="122">IF(I275&gt;0,J275*100/I275,0)</f>
        <v>0</v>
      </c>
      <c r="L275" s="376"/>
      <c r="M275" s="376"/>
      <c r="N275" s="376"/>
      <c r="O275" s="376"/>
      <c r="P275" s="376"/>
    </row>
    <row r="276" spans="1:26" ht="19.5">
      <c r="A276" s="368"/>
      <c r="B276" s="377"/>
      <c r="C276" s="370"/>
      <c r="D276" s="371"/>
      <c r="E276" s="370"/>
      <c r="F276" s="370"/>
      <c r="G276" s="372"/>
      <c r="H276" s="373" t="s">
        <v>46</v>
      </c>
      <c r="I276" s="374">
        <f t="shared" ref="I276:J276" ca="1" si="123">I287</f>
        <v>50</v>
      </c>
      <c r="J276" s="374">
        <f t="shared" si="123"/>
        <v>0</v>
      </c>
      <c r="K276" s="375">
        <f t="shared" ca="1" si="122"/>
        <v>0</v>
      </c>
      <c r="L276" s="376"/>
      <c r="M276" s="376"/>
      <c r="N276" s="376"/>
      <c r="O276" s="376"/>
      <c r="P276" s="376"/>
    </row>
    <row r="277" spans="1:26" ht="19.5">
      <c r="A277" s="147"/>
      <c r="B277" s="148"/>
      <c r="C277" s="149" t="s">
        <v>16</v>
      </c>
      <c r="D277" s="817" t="s">
        <v>17</v>
      </c>
      <c r="E277" s="148"/>
      <c r="F277" s="148"/>
      <c r="G277" s="151"/>
      <c r="H277" s="152" t="s">
        <v>12</v>
      </c>
      <c r="I277" s="388"/>
      <c r="J277" s="388"/>
      <c r="K277" s="154"/>
      <c r="L277" s="155">
        <f t="shared" ref="L277:N277" ca="1" si="124">L278+L279</f>
        <v>24630</v>
      </c>
      <c r="M277" s="155">
        <f t="shared" ca="1" si="124"/>
        <v>9410</v>
      </c>
      <c r="N277" s="155">
        <f t="shared" ca="1" si="124"/>
        <v>0</v>
      </c>
      <c r="O277" s="155">
        <f t="shared" ref="O277:O285" ca="1" si="125">IF(L277&gt;0,N277*100/L277,0)</f>
        <v>0</v>
      </c>
      <c r="P277" s="155">
        <f t="shared" ref="P277:P285" ca="1" si="126">IF(M277&gt;0,N277*100/M277,0)</f>
        <v>0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2" t="s">
        <v>18</v>
      </c>
      <c r="F278" s="40"/>
      <c r="G278" s="157"/>
      <c r="H278" s="158" t="s">
        <v>12</v>
      </c>
      <c r="I278" s="583"/>
      <c r="J278" s="583"/>
      <c r="K278" s="93"/>
      <c r="L278" s="93">
        <f t="shared" ref="L278:N279" si="127">L281+L284</f>
        <v>0</v>
      </c>
      <c r="M278" s="93">
        <f t="shared" si="127"/>
        <v>0</v>
      </c>
      <c r="N278" s="93">
        <f t="shared" si="127"/>
        <v>0</v>
      </c>
      <c r="O278" s="93">
        <f t="shared" si="125"/>
        <v>0</v>
      </c>
      <c r="P278" s="93">
        <f t="shared" si="126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2" t="s">
        <v>19</v>
      </c>
      <c r="F279" s="40"/>
      <c r="G279" s="157"/>
      <c r="H279" s="158" t="s">
        <v>12</v>
      </c>
      <c r="I279" s="583"/>
      <c r="J279" s="583"/>
      <c r="K279" s="93"/>
      <c r="L279" s="93">
        <f t="shared" ca="1" si="127"/>
        <v>24630</v>
      </c>
      <c r="M279" s="93">
        <f t="shared" ca="1" si="127"/>
        <v>9410</v>
      </c>
      <c r="N279" s="93">
        <f t="shared" ca="1" si="127"/>
        <v>0</v>
      </c>
      <c r="O279" s="93">
        <f t="shared" ca="1" si="125"/>
        <v>0</v>
      </c>
      <c r="P279" s="93">
        <f t="shared" ca="1" si="126"/>
        <v>0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>
      <c r="A280" s="159"/>
      <c r="B280" s="33"/>
      <c r="C280" s="281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65">
        <f t="shared" ref="L280:N280" ca="1" si="128">L281+L282</f>
        <v>24630</v>
      </c>
      <c r="M280" s="465">
        <f t="shared" ca="1" si="128"/>
        <v>9410</v>
      </c>
      <c r="N280" s="465">
        <f t="shared" ca="1" si="128"/>
        <v>0</v>
      </c>
      <c r="O280" s="465">
        <f t="shared" ca="1" si="125"/>
        <v>0</v>
      </c>
      <c r="P280" s="465">
        <f t="shared" ca="1" si="126"/>
        <v>0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2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5"/>
        <v>0</v>
      </c>
      <c r="P281" s="93">
        <f t="shared" si="126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2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IFERROR(__xludf.DUMMYFUNCTION("IMPORTRANGE(""https://docs.google.com/spreadsheets/d/1MeEWN-I1oV_STSDYn1IFDPWt_1FKiwhDph83XaGc0o0/edit?usp=sharing"",""งบพรบ!DI19"")"),24630)</f>
        <v>24630</v>
      </c>
      <c r="M282" s="93">
        <f ca="1">IFERROR(__xludf.DUMMYFUNCTION("IMPORTRANGE(""https://docs.google.com/spreadsheets/d/1MeEWN-I1oV_STSDYn1IFDPWt_1FKiwhDph83XaGc0o0/edit?usp=sharing"",""งบพรบ!DN19"")"),9410)</f>
        <v>9410</v>
      </c>
      <c r="N282" s="93">
        <f ca="1">IFERROR(__xludf.DUMMYFUNCTION("IMPORTRANGE(""https://docs.google.com/spreadsheets/d/1MeEWN-I1oV_STSDYn1IFDPWt_1FKiwhDph83XaGc0o0/edit?usp=sharing"",""งบพรบ!DP19"")"),0)</f>
        <v>0</v>
      </c>
      <c r="O282" s="93">
        <f t="shared" ca="1" si="125"/>
        <v>0</v>
      </c>
      <c r="P282" s="93">
        <f t="shared" ca="1" si="126"/>
        <v>0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>
      <c r="A283" s="159"/>
      <c r="B283" s="33"/>
      <c r="C283" s="281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65">
        <f t="shared" ref="L283:N283" ca="1" si="129">L284+L285</f>
        <v>0</v>
      </c>
      <c r="M283" s="465">
        <f t="shared" ca="1" si="129"/>
        <v>0</v>
      </c>
      <c r="N283" s="465">
        <f t="shared" ca="1" si="129"/>
        <v>0</v>
      </c>
      <c r="O283" s="465">
        <f t="shared" ca="1" si="125"/>
        <v>0</v>
      </c>
      <c r="P283" s="465">
        <f t="shared" ca="1" si="126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2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5"/>
        <v>0</v>
      </c>
      <c r="P284" s="93">
        <f t="shared" si="126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2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IFERROR(__xludf.DUMMYFUNCTION("IMPORTRANGE(""https://docs.google.com/spreadsheets/d/1MeEWN-I1oV_STSDYn1IFDPWt_1FKiwhDph83XaGc0o0/edit?usp=sharing"",""งบพรบ!DL19"")"),0)</f>
        <v>0</v>
      </c>
      <c r="M285" s="93">
        <f ca="1">IFERROR(__xludf.DUMMYFUNCTION("IMPORTRANGE(""https://docs.google.com/spreadsheets/d/1MeEWN-I1oV_STSDYn1IFDPWt_1FKiwhDph83XaGc0o0/edit?usp=sharing"",""งบพรบ!DO19"")"),0)</f>
        <v>0</v>
      </c>
      <c r="N285" s="93">
        <f ca="1">IFERROR(__xludf.DUMMYFUNCTION("IMPORTRANGE(""https://docs.google.com/spreadsheets/d/1MeEWN-I1oV_STSDYn1IFDPWt_1FKiwhDph83XaGc0o0/edit?usp=sharing"",""งบพรบ!DQ19"")"),0)</f>
        <v>0</v>
      </c>
      <c r="O285" s="93">
        <f t="shared" ca="1" si="125"/>
        <v>0</v>
      </c>
      <c r="P285" s="93">
        <f t="shared" ca="1" si="126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>
      <c r="A286" s="170"/>
      <c r="B286" s="171"/>
      <c r="C286" s="164" t="s">
        <v>16</v>
      </c>
      <c r="D286" s="818" t="s">
        <v>38</v>
      </c>
      <c r="E286" s="173"/>
      <c r="F286" s="173"/>
      <c r="G286" s="174"/>
      <c r="H286" s="726"/>
      <c r="I286" s="184"/>
      <c r="J286" s="184"/>
      <c r="K286" s="163"/>
      <c r="L286" s="163"/>
      <c r="M286" s="163"/>
      <c r="N286" s="163"/>
      <c r="O286" s="163"/>
      <c r="P286" s="163"/>
    </row>
    <row r="287" spans="1:26" ht="18.75">
      <c r="A287" s="170"/>
      <c r="B287" s="171"/>
      <c r="C287" s="171"/>
      <c r="D287" s="592" t="s">
        <v>129</v>
      </c>
      <c r="E287" s="171"/>
      <c r="F287" s="342"/>
      <c r="G287" s="179"/>
      <c r="H287" s="185" t="s">
        <v>46</v>
      </c>
      <c r="I287" s="269">
        <f ca="1">IFERROR(__xludf.DUMMYFUNCTION("IMPORTRANGE(""https://docs.google.com/spreadsheets/d/1QqKyyYR6Q21VydFLVH3TRQUabQu_ym0Zz7PgGX0-kHA/edit?usp=sharing"",""แผน!EC19"")"),50)</f>
        <v>50</v>
      </c>
      <c r="J287" s="214">
        <v>0</v>
      </c>
      <c r="K287" s="163">
        <f t="shared" ref="K287:K288" ca="1" si="130">IF(I287&gt;0,J287*100/I287,0)</f>
        <v>0</v>
      </c>
      <c r="L287" s="163"/>
      <c r="M287" s="163"/>
      <c r="N287" s="163"/>
      <c r="O287" s="163"/>
      <c r="P287" s="163"/>
    </row>
    <row r="288" spans="1:26" ht="19.5">
      <c r="A288" s="170"/>
      <c r="B288" s="171"/>
      <c r="C288" s="171"/>
      <c r="D288" s="592" t="s">
        <v>130</v>
      </c>
      <c r="E288" s="171"/>
      <c r="F288" s="342"/>
      <c r="G288" s="179"/>
      <c r="H288" s="180" t="s">
        <v>35</v>
      </c>
      <c r="I288" s="647">
        <f ca="1">IFERROR(__xludf.DUMMYFUNCTION("IMPORTRANGE(""https://docs.google.com/spreadsheets/d/1QqKyyYR6Q21VydFLVH3TRQUabQu_ym0Zz7PgGX0-kHA/edit?usp=sharing"",""แผน!EB19"")"),5)</f>
        <v>5</v>
      </c>
      <c r="J288" s="647">
        <f ca="1">IF(AND(J291&gt;=I288,J294&gt;=I288),J294,0)</f>
        <v>0</v>
      </c>
      <c r="K288" s="379">
        <f t="shared" ca="1" si="130"/>
        <v>0</v>
      </c>
      <c r="L288" s="163"/>
      <c r="M288" s="163"/>
      <c r="N288" s="163"/>
      <c r="O288" s="163"/>
      <c r="P288" s="163"/>
    </row>
    <row r="289" spans="1:26" ht="19.5">
      <c r="A289" s="170"/>
      <c r="B289" s="171"/>
      <c r="C289" s="171"/>
      <c r="D289" s="380"/>
      <c r="E289" s="381" t="s">
        <v>131</v>
      </c>
      <c r="F289" s="342"/>
      <c r="G289" s="179"/>
      <c r="H289" s="728"/>
      <c r="I289" s="184"/>
      <c r="J289" s="269"/>
      <c r="K289" s="163"/>
      <c r="L289" s="163"/>
      <c r="M289" s="163"/>
      <c r="N289" s="163"/>
      <c r="O289" s="163"/>
      <c r="P289" s="163"/>
    </row>
    <row r="290" spans="1:26" ht="19.5">
      <c r="A290" s="170"/>
      <c r="B290" s="171"/>
      <c r="C290" s="171"/>
      <c r="D290" s="380"/>
      <c r="E290" s="592" t="s">
        <v>132</v>
      </c>
      <c r="F290" s="342"/>
      <c r="G290" s="179"/>
      <c r="H290" s="728" t="s">
        <v>35</v>
      </c>
      <c r="I290" s="184">
        <f ca="1">IFERROR(__xludf.DUMMYFUNCTION("IMPORTRANGE(""https://docs.google.com/spreadsheets/d/1QqKyyYR6Q21VydFLVH3TRQUabQu_ym0Zz7PgGX0-kHA/edit?usp=sharing"",""แผน!EB19"")"),5)</f>
        <v>5</v>
      </c>
      <c r="J290" s="214">
        <v>0</v>
      </c>
      <c r="K290" s="163">
        <f t="shared" ref="K290:K291" ca="1" si="131">IF(I290&gt;0,J290*100/I290,0)</f>
        <v>0</v>
      </c>
      <c r="L290" s="163"/>
      <c r="M290" s="163"/>
      <c r="N290" s="163"/>
      <c r="O290" s="163"/>
      <c r="P290" s="163"/>
    </row>
    <row r="291" spans="1:26" ht="19.5">
      <c r="A291" s="170"/>
      <c r="B291" s="171"/>
      <c r="C291" s="171"/>
      <c r="D291" s="342"/>
      <c r="E291" s="592" t="s">
        <v>133</v>
      </c>
      <c r="F291" s="342"/>
      <c r="G291" s="179"/>
      <c r="H291" s="728" t="s">
        <v>35</v>
      </c>
      <c r="I291" s="184">
        <f ca="1">IFERROR(__xludf.DUMMYFUNCTION("IMPORTRANGE(""https://docs.google.com/spreadsheets/d/1QqKyyYR6Q21VydFLVH3TRQUabQu_ym0Zz7PgGX0-kHA/edit?usp=sharing"",""แผน!EB19"")"),5)</f>
        <v>5</v>
      </c>
      <c r="J291" s="214">
        <v>0</v>
      </c>
      <c r="K291" s="163">
        <f t="shared" ca="1" si="131"/>
        <v>0</v>
      </c>
      <c r="L291" s="163"/>
      <c r="M291" s="163"/>
      <c r="N291" s="163"/>
      <c r="O291" s="163"/>
      <c r="P291" s="163"/>
    </row>
    <row r="292" spans="1:26" ht="19.5">
      <c r="A292" s="382"/>
      <c r="B292" s="383"/>
      <c r="C292" s="383"/>
      <c r="D292" s="384"/>
      <c r="E292" s="385" t="s">
        <v>134</v>
      </c>
      <c r="F292" s="286"/>
      <c r="G292" s="287"/>
      <c r="H292" s="386"/>
      <c r="I292" s="387"/>
      <c r="J292" s="388"/>
      <c r="K292" s="279"/>
      <c r="L292" s="279"/>
      <c r="M292" s="279"/>
      <c r="N292" s="279"/>
      <c r="O292" s="279"/>
      <c r="P292" s="279"/>
    </row>
    <row r="293" spans="1:26" ht="19.5">
      <c r="A293" s="170"/>
      <c r="B293" s="171"/>
      <c r="C293" s="171"/>
      <c r="D293" s="380"/>
      <c r="E293" s="592" t="s">
        <v>132</v>
      </c>
      <c r="F293" s="342"/>
      <c r="G293" s="179"/>
      <c r="H293" s="728" t="s">
        <v>35</v>
      </c>
      <c r="I293" s="184">
        <f ca="1">IFERROR(__xludf.DUMMYFUNCTION("IMPORTRANGE(""https://docs.google.com/spreadsheets/d/1QqKyyYR6Q21VydFLVH3TRQUabQu_ym0Zz7PgGX0-kHA/edit?usp=sharing"",""แผน!EB19"")"),5)</f>
        <v>5</v>
      </c>
      <c r="J293" s="214">
        <v>0</v>
      </c>
      <c r="K293" s="163">
        <f t="shared" ref="K293:K294" ca="1" si="132">IF(I293&gt;0,J293*100/I293,0)</f>
        <v>0</v>
      </c>
      <c r="L293" s="163"/>
      <c r="M293" s="163"/>
      <c r="N293" s="163"/>
      <c r="O293" s="163"/>
      <c r="P293" s="163"/>
    </row>
    <row r="294" spans="1:26" ht="19.5">
      <c r="A294" s="346"/>
      <c r="B294" s="347"/>
      <c r="C294" s="347"/>
      <c r="D294" s="349"/>
      <c r="E294" s="698" t="s">
        <v>136</v>
      </c>
      <c r="F294" s="349"/>
      <c r="G294" s="350"/>
      <c r="H294" s="390" t="s">
        <v>35</v>
      </c>
      <c r="I294" s="391">
        <f ca="1">IFERROR(__xludf.DUMMYFUNCTION("IMPORTRANGE(""https://docs.google.com/spreadsheets/d/1QqKyyYR6Q21VydFLVH3TRQUabQu_ym0Zz7PgGX0-kHA/edit?usp=sharing"",""แผน!EB19"")"),5)</f>
        <v>5</v>
      </c>
      <c r="J294" s="392">
        <v>0</v>
      </c>
      <c r="K294" s="353">
        <f t="shared" ca="1" si="132"/>
        <v>0</v>
      </c>
      <c r="L294" s="353"/>
      <c r="M294" s="353"/>
      <c r="N294" s="353"/>
      <c r="O294" s="353"/>
      <c r="P294" s="353"/>
    </row>
    <row r="295" spans="1:26" ht="19.5">
      <c r="A295" s="393" t="s">
        <v>137</v>
      </c>
      <c r="B295" s="394"/>
      <c r="C295" s="394"/>
      <c r="D295" s="394"/>
      <c r="E295" s="395"/>
      <c r="F295" s="395"/>
      <c r="G295" s="396"/>
      <c r="H295" s="397"/>
      <c r="I295" s="398"/>
      <c r="J295" s="398"/>
      <c r="K295" s="399"/>
      <c r="L295" s="399"/>
      <c r="M295" s="399"/>
      <c r="N295" s="399"/>
      <c r="O295" s="399"/>
      <c r="P295" s="399"/>
    </row>
    <row r="296" spans="1:26" ht="19.5" hidden="1">
      <c r="A296" s="400" t="s">
        <v>138</v>
      </c>
      <c r="B296" s="401"/>
      <c r="C296" s="401"/>
      <c r="D296" s="402"/>
      <c r="E296" s="402"/>
      <c r="F296" s="402"/>
      <c r="G296" s="403"/>
      <c r="H296" s="404"/>
      <c r="I296" s="405"/>
      <c r="J296" s="405"/>
      <c r="K296" s="406"/>
      <c r="L296" s="406"/>
      <c r="M296" s="406"/>
      <c r="N296" s="406"/>
      <c r="O296" s="406"/>
      <c r="P296" s="406"/>
    </row>
    <row r="297" spans="1:26" ht="19.5" hidden="1">
      <c r="A297" s="407"/>
      <c r="B297" s="408" t="s">
        <v>139</v>
      </c>
      <c r="C297" s="409"/>
      <c r="D297" s="409"/>
      <c r="E297" s="409"/>
      <c r="F297" s="409"/>
      <c r="G297" s="410"/>
      <c r="H297" s="411" t="s">
        <v>35</v>
      </c>
      <c r="I297" s="412">
        <f t="shared" ref="I297:J297" ca="1" si="133">I309</f>
        <v>0</v>
      </c>
      <c r="J297" s="412">
        <f t="shared" si="133"/>
        <v>0</v>
      </c>
      <c r="K297" s="413">
        <f ca="1">IF(I297&gt;0,J297*100/I297,0)</f>
        <v>0</v>
      </c>
      <c r="L297" s="414"/>
      <c r="M297" s="414"/>
      <c r="N297" s="414"/>
      <c r="O297" s="414"/>
      <c r="P297" s="414"/>
    </row>
    <row r="298" spans="1:26" ht="19.5" hidden="1">
      <c r="A298" s="147"/>
      <c r="B298" s="148"/>
      <c r="C298" s="149" t="s">
        <v>16</v>
      </c>
      <c r="D298" s="817" t="s">
        <v>17</v>
      </c>
      <c r="E298" s="148"/>
      <c r="F298" s="148"/>
      <c r="G298" s="151"/>
      <c r="H298" s="152" t="s">
        <v>12</v>
      </c>
      <c r="I298" s="388"/>
      <c r="J298" s="388"/>
      <c r="K298" s="154"/>
      <c r="L298" s="155">
        <f t="shared" ref="L298:N298" ca="1" si="134">L299+L300</f>
        <v>0</v>
      </c>
      <c r="M298" s="155">
        <f t="shared" ca="1" si="134"/>
        <v>0</v>
      </c>
      <c r="N298" s="155">
        <f t="shared" ca="1" si="134"/>
        <v>0</v>
      </c>
      <c r="O298" s="155">
        <f t="shared" ref="O298:O306" ca="1" si="135">IF(L298&gt;0,N298*100/L298,0)</f>
        <v>0</v>
      </c>
      <c r="P298" s="155">
        <f t="shared" ref="P298:P306" ca="1" si="136">IF(M298&gt;0,N298*100/M298,0)</f>
        <v>0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2" t="s">
        <v>18</v>
      </c>
      <c r="F299" s="40"/>
      <c r="G299" s="157"/>
      <c r="H299" s="158" t="s">
        <v>12</v>
      </c>
      <c r="I299" s="583"/>
      <c r="J299" s="583"/>
      <c r="K299" s="93"/>
      <c r="L299" s="93">
        <f t="shared" ref="L299:N300" si="137">L302+L305</f>
        <v>0</v>
      </c>
      <c r="M299" s="93">
        <f t="shared" si="137"/>
        <v>0</v>
      </c>
      <c r="N299" s="93">
        <f t="shared" si="137"/>
        <v>0</v>
      </c>
      <c r="O299" s="93">
        <f t="shared" si="135"/>
        <v>0</v>
      </c>
      <c r="P299" s="93">
        <f t="shared" si="136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2" t="s">
        <v>19</v>
      </c>
      <c r="F300" s="40"/>
      <c r="G300" s="157"/>
      <c r="H300" s="158" t="s">
        <v>12</v>
      </c>
      <c r="I300" s="583"/>
      <c r="J300" s="583"/>
      <c r="K300" s="93"/>
      <c r="L300" s="93">
        <f t="shared" ca="1" si="137"/>
        <v>0</v>
      </c>
      <c r="M300" s="93">
        <f t="shared" ca="1" si="137"/>
        <v>0</v>
      </c>
      <c r="N300" s="93">
        <f t="shared" ca="1" si="137"/>
        <v>0</v>
      </c>
      <c r="O300" s="93">
        <f t="shared" ca="1" si="135"/>
        <v>0</v>
      </c>
      <c r="P300" s="93">
        <f t="shared" ca="1" si="136"/>
        <v>0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 hidden="1">
      <c r="A301" s="159"/>
      <c r="B301" s="33"/>
      <c r="C301" s="281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65">
        <f t="shared" ref="L301:N301" ca="1" si="138">L302+L303</f>
        <v>0</v>
      </c>
      <c r="M301" s="465">
        <f t="shared" ca="1" si="138"/>
        <v>0</v>
      </c>
      <c r="N301" s="465">
        <f t="shared" ca="1" si="138"/>
        <v>0</v>
      </c>
      <c r="O301" s="465">
        <f t="shared" ca="1" si="135"/>
        <v>0</v>
      </c>
      <c r="P301" s="465">
        <f t="shared" ca="1" si="136"/>
        <v>0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2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5"/>
        <v>0</v>
      </c>
      <c r="P302" s="93">
        <f t="shared" si="136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2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IFERROR(__xludf.DUMMYFUNCTION("IMPORTRANGE(""https://docs.google.com/spreadsheets/d/1MeEWN-I1oV_STSDYn1IFDPWt_1FKiwhDph83XaGc0o0/edit?usp=sharing"",""งบพรบ!DS19"")"),0)</f>
        <v>0</v>
      </c>
      <c r="M303" s="93">
        <f ca="1">IFERROR(__xludf.DUMMYFUNCTION("IMPORTRANGE(""https://docs.google.com/spreadsheets/d/1MeEWN-I1oV_STSDYn1IFDPWt_1FKiwhDph83XaGc0o0/edit?usp=sharing"",""งบพรบ!DX19"")"),0)</f>
        <v>0</v>
      </c>
      <c r="N303" s="93">
        <f ca="1">IFERROR(__xludf.DUMMYFUNCTION("IMPORTRANGE(""https://docs.google.com/spreadsheets/d/1MeEWN-I1oV_STSDYn1IFDPWt_1FKiwhDph83XaGc0o0/edit?usp=sharing"",""งบพรบ!DZ19"")"),0)</f>
        <v>0</v>
      </c>
      <c r="O303" s="93">
        <f t="shared" ca="1" si="135"/>
        <v>0</v>
      </c>
      <c r="P303" s="93">
        <f t="shared" ca="1" si="136"/>
        <v>0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 hidden="1">
      <c r="A304" s="159"/>
      <c r="B304" s="33"/>
      <c r="C304" s="281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65">
        <f t="shared" ref="L304:N304" ca="1" si="139">L305+L306</f>
        <v>0</v>
      </c>
      <c r="M304" s="465">
        <f t="shared" ca="1" si="139"/>
        <v>0</v>
      </c>
      <c r="N304" s="465">
        <f t="shared" ca="1" si="139"/>
        <v>0</v>
      </c>
      <c r="O304" s="465">
        <f t="shared" ca="1" si="135"/>
        <v>0</v>
      </c>
      <c r="P304" s="465">
        <f t="shared" ca="1" si="136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2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5"/>
        <v>0</v>
      </c>
      <c r="P305" s="93">
        <f t="shared" si="136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2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IFERROR(__xludf.DUMMYFUNCTION("IMPORTRANGE(""https://docs.google.com/spreadsheets/d/1MeEWN-I1oV_STSDYn1IFDPWt_1FKiwhDph83XaGc0o0/edit?usp=sharing"",""งบพรบ!DV19"")"),0)</f>
        <v>0</v>
      </c>
      <c r="M306" s="93">
        <f ca="1">IFERROR(__xludf.DUMMYFUNCTION("IMPORTRANGE(""https://docs.google.com/spreadsheets/d/1MeEWN-I1oV_STSDYn1IFDPWt_1FKiwhDph83XaGc0o0/edit?usp=sharing"",""งบพรบ!DY19"")"),0)</f>
        <v>0</v>
      </c>
      <c r="N306" s="93">
        <f ca="1">IFERROR(__xludf.DUMMYFUNCTION("IMPORTRANGE(""https://docs.google.com/spreadsheets/d/1MeEWN-I1oV_STSDYn1IFDPWt_1FKiwhDph83XaGc0o0/edit?usp=sharing"",""งบพรบ!EA19"")"),0)</f>
        <v>0</v>
      </c>
      <c r="O306" s="93">
        <f t="shared" ca="1" si="135"/>
        <v>0</v>
      </c>
      <c r="P306" s="93">
        <f t="shared" ca="1" si="136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 hidden="1">
      <c r="A307" s="170"/>
      <c r="B307" s="171"/>
      <c r="C307" s="164" t="s">
        <v>16</v>
      </c>
      <c r="D307" s="818" t="s">
        <v>38</v>
      </c>
      <c r="E307" s="173"/>
      <c r="F307" s="173"/>
      <c r="G307" s="174"/>
      <c r="H307" s="726"/>
      <c r="I307" s="269"/>
      <c r="J307" s="269"/>
      <c r="K307" s="465"/>
      <c r="L307" s="465"/>
      <c r="M307" s="465"/>
      <c r="N307" s="465"/>
      <c r="O307" s="465"/>
      <c r="P307" s="465"/>
    </row>
    <row r="308" spans="1:26" ht="18.75" hidden="1">
      <c r="A308" s="170"/>
      <c r="B308" s="171"/>
      <c r="C308" s="171"/>
      <c r="D308" s="415" t="s">
        <v>140</v>
      </c>
      <c r="E308" s="415"/>
      <c r="F308" s="415"/>
      <c r="G308" s="179"/>
      <c r="H308" s="728"/>
      <c r="I308" s="269"/>
      <c r="J308" s="214">
        <v>0</v>
      </c>
      <c r="K308" s="465"/>
      <c r="L308" s="465"/>
      <c r="M308" s="465"/>
      <c r="N308" s="465"/>
      <c r="O308" s="465"/>
      <c r="P308" s="465"/>
    </row>
    <row r="309" spans="1:26" ht="18.75" hidden="1">
      <c r="A309" s="170"/>
      <c r="B309" s="171"/>
      <c r="C309" s="171"/>
      <c r="D309" s="415" t="s">
        <v>141</v>
      </c>
      <c r="E309" s="415"/>
      <c r="F309" s="415"/>
      <c r="G309" s="179"/>
      <c r="H309" s="728" t="s">
        <v>35</v>
      </c>
      <c r="I309" s="269">
        <f ca="1">IFERROR(__xludf.DUMMYFUNCTION("IMPORTRANGE(""https://docs.google.com/spreadsheets/d/1QqKyyYR6Q21VydFLVH3TRQUabQu_ym0Zz7PgGX0-kHA/edit?usp=sharing"",""แผน!ED19"")"),0)</f>
        <v>0</v>
      </c>
      <c r="J309" s="214">
        <v>0</v>
      </c>
      <c r="K309" s="465">
        <f t="shared" ref="K309:K312" ca="1" si="140">IF(I309&gt;0,J309*100/I309,0)</f>
        <v>0</v>
      </c>
      <c r="L309" s="465"/>
      <c r="M309" s="465"/>
      <c r="N309" s="465"/>
      <c r="O309" s="465"/>
      <c r="P309" s="465"/>
    </row>
    <row r="310" spans="1:26" ht="18.75" hidden="1">
      <c r="A310" s="170"/>
      <c r="B310" s="171"/>
      <c r="C310" s="171"/>
      <c r="D310" s="415" t="s">
        <v>142</v>
      </c>
      <c r="E310" s="415"/>
      <c r="F310" s="415"/>
      <c r="G310" s="179"/>
      <c r="H310" s="728" t="s">
        <v>35</v>
      </c>
      <c r="I310" s="269">
        <f ca="1">IFERROR(__xludf.DUMMYFUNCTION("IMPORTRANGE(""https://docs.google.com/spreadsheets/d/1QqKyyYR6Q21VydFLVH3TRQUabQu_ym0Zz7PgGX0-kHA/edit?usp=sharing"",""แผน!ED19"")"),0)</f>
        <v>0</v>
      </c>
      <c r="J310" s="214">
        <v>0</v>
      </c>
      <c r="K310" s="465">
        <f t="shared" ca="1" si="140"/>
        <v>0</v>
      </c>
      <c r="L310" s="465"/>
      <c r="M310" s="465"/>
      <c r="N310" s="465"/>
      <c r="O310" s="465"/>
      <c r="P310" s="465"/>
    </row>
    <row r="311" spans="1:26" ht="18.75" hidden="1">
      <c r="A311" s="170"/>
      <c r="B311" s="171"/>
      <c r="C311" s="171"/>
      <c r="D311" s="415" t="s">
        <v>59</v>
      </c>
      <c r="E311" s="415"/>
      <c r="F311" s="415"/>
      <c r="G311" s="179"/>
      <c r="H311" s="728" t="s">
        <v>35</v>
      </c>
      <c r="I311" s="269">
        <f ca="1">IFERROR(__xludf.DUMMYFUNCTION("IMPORTRANGE(""https://docs.google.com/spreadsheets/d/1QqKyyYR6Q21VydFLVH3TRQUabQu_ym0Zz7PgGX0-kHA/edit?usp=sharing"",""แผน!ED19"")"),0)</f>
        <v>0</v>
      </c>
      <c r="J311" s="214">
        <v>0</v>
      </c>
      <c r="K311" s="465">
        <f t="shared" ca="1" si="140"/>
        <v>0</v>
      </c>
      <c r="L311" s="465"/>
      <c r="M311" s="465"/>
      <c r="N311" s="465"/>
      <c r="O311" s="465"/>
      <c r="P311" s="465"/>
    </row>
    <row r="312" spans="1:26" ht="18.75" hidden="1">
      <c r="A312" s="170"/>
      <c r="B312" s="171"/>
      <c r="C312" s="171"/>
      <c r="D312" s="415" t="s">
        <v>143</v>
      </c>
      <c r="E312" s="415"/>
      <c r="F312" s="415"/>
      <c r="G312" s="179"/>
      <c r="H312" s="728" t="s">
        <v>35</v>
      </c>
      <c r="I312" s="269">
        <f ca="1">IFERROR(__xludf.DUMMYFUNCTION("IMPORTRANGE(""https://docs.google.com/spreadsheets/d/1QqKyyYR6Q21VydFLVH3TRQUabQu_ym0Zz7PgGX0-kHA/edit?usp=sharing"",""แผน!EE19"")"),0)</f>
        <v>0</v>
      </c>
      <c r="J312" s="214">
        <v>0</v>
      </c>
      <c r="K312" s="465">
        <f t="shared" ca="1" si="140"/>
        <v>0</v>
      </c>
      <c r="L312" s="465"/>
      <c r="M312" s="465"/>
      <c r="N312" s="465"/>
      <c r="O312" s="465"/>
      <c r="P312" s="465"/>
    </row>
    <row r="313" spans="1:26" ht="19.5" hidden="1">
      <c r="A313" s="400" t="s">
        <v>144</v>
      </c>
      <c r="B313" s="401"/>
      <c r="C313" s="401"/>
      <c r="D313" s="402"/>
      <c r="E313" s="401"/>
      <c r="F313" s="401"/>
      <c r="G313" s="401"/>
      <c r="H313" s="417"/>
      <c r="I313" s="405"/>
      <c r="J313" s="405"/>
      <c r="K313" s="406"/>
      <c r="L313" s="406"/>
      <c r="M313" s="406"/>
      <c r="N313" s="406"/>
      <c r="O313" s="406"/>
      <c r="P313" s="406"/>
    </row>
    <row r="314" spans="1:26" ht="19.5" hidden="1">
      <c r="A314" s="418"/>
      <c r="B314" s="408" t="s">
        <v>145</v>
      </c>
      <c r="C314" s="419"/>
      <c r="D314" s="420"/>
      <c r="E314" s="409"/>
      <c r="F314" s="409"/>
      <c r="G314" s="410"/>
      <c r="H314" s="411" t="s">
        <v>146</v>
      </c>
      <c r="I314" s="412">
        <f t="shared" ref="I314:J314" ca="1" si="141">I325</f>
        <v>0</v>
      </c>
      <c r="J314" s="412">
        <f t="shared" si="141"/>
        <v>0</v>
      </c>
      <c r="K314" s="413">
        <f ca="1">IF(I314&gt;0,J314*100/I314,0)</f>
        <v>0</v>
      </c>
      <c r="L314" s="414"/>
      <c r="M314" s="414"/>
      <c r="N314" s="414"/>
      <c r="O314" s="414"/>
      <c r="P314" s="414"/>
    </row>
    <row r="315" spans="1:26" ht="19.5" hidden="1">
      <c r="A315" s="147"/>
      <c r="B315" s="148"/>
      <c r="C315" s="149" t="s">
        <v>16</v>
      </c>
      <c r="D315" s="817" t="s">
        <v>17</v>
      </c>
      <c r="E315" s="148"/>
      <c r="F315" s="148"/>
      <c r="G315" s="151"/>
      <c r="H315" s="152" t="s">
        <v>12</v>
      </c>
      <c r="I315" s="388"/>
      <c r="J315" s="388"/>
      <c r="K315" s="154"/>
      <c r="L315" s="155">
        <f t="shared" ref="L315:N315" ca="1" si="142">L316+L317</f>
        <v>0</v>
      </c>
      <c r="M315" s="155">
        <f t="shared" ca="1" si="142"/>
        <v>0</v>
      </c>
      <c r="N315" s="155">
        <f t="shared" ca="1" si="142"/>
        <v>0</v>
      </c>
      <c r="O315" s="155">
        <f t="shared" ref="O315:O323" ca="1" si="143">IF(L315&gt;0,N315*100/L315,0)</f>
        <v>0</v>
      </c>
      <c r="P315" s="155">
        <f t="shared" ref="P315:P323" ca="1" si="144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2" t="s">
        <v>18</v>
      </c>
      <c r="F316" s="40"/>
      <c r="G316" s="157"/>
      <c r="H316" s="158" t="s">
        <v>12</v>
      </c>
      <c r="I316" s="583"/>
      <c r="J316" s="583"/>
      <c r="K316" s="93"/>
      <c r="L316" s="93">
        <f t="shared" ref="L316:N317" si="145">L319+L322</f>
        <v>0</v>
      </c>
      <c r="M316" s="93">
        <f t="shared" si="145"/>
        <v>0</v>
      </c>
      <c r="N316" s="93">
        <f t="shared" si="145"/>
        <v>0</v>
      </c>
      <c r="O316" s="93">
        <f t="shared" si="143"/>
        <v>0</v>
      </c>
      <c r="P316" s="93">
        <f t="shared" si="144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2" t="s">
        <v>19</v>
      </c>
      <c r="F317" s="40"/>
      <c r="G317" s="157"/>
      <c r="H317" s="158" t="s">
        <v>12</v>
      </c>
      <c r="I317" s="583"/>
      <c r="J317" s="583"/>
      <c r="K317" s="93"/>
      <c r="L317" s="93">
        <f t="shared" ca="1" si="145"/>
        <v>0</v>
      </c>
      <c r="M317" s="93">
        <f t="shared" ca="1" si="145"/>
        <v>0</v>
      </c>
      <c r="N317" s="93">
        <f t="shared" ca="1" si="145"/>
        <v>0</v>
      </c>
      <c r="O317" s="93">
        <f t="shared" ca="1" si="143"/>
        <v>0</v>
      </c>
      <c r="P317" s="93">
        <f t="shared" ca="1" si="144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1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65">
        <f t="shared" ref="L318:N318" ca="1" si="146">L319+L320</f>
        <v>0</v>
      </c>
      <c r="M318" s="465">
        <f t="shared" ca="1" si="146"/>
        <v>0</v>
      </c>
      <c r="N318" s="465">
        <f t="shared" ca="1" si="146"/>
        <v>0</v>
      </c>
      <c r="O318" s="465">
        <f t="shared" ca="1" si="143"/>
        <v>0</v>
      </c>
      <c r="P318" s="465">
        <f t="shared" ca="1" si="144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2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3"/>
        <v>0</v>
      </c>
      <c r="P319" s="93">
        <f t="shared" si="144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2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IFERROR(__xludf.DUMMYFUNCTION("IMPORTRANGE(""https://docs.google.com/spreadsheets/d/1MeEWN-I1oV_STSDYn1IFDPWt_1FKiwhDph83XaGc0o0/edit?usp=sharing"",""งบพรบ!EC19"")"),0)</f>
        <v>0</v>
      </c>
      <c r="M320" s="93">
        <f ca="1">IFERROR(__xludf.DUMMYFUNCTION("IMPORTRANGE(""https://docs.google.com/spreadsheets/d/1MeEWN-I1oV_STSDYn1IFDPWt_1FKiwhDph83XaGc0o0/edit?usp=sharing"",""งบพรบ!EH19"")"),0)</f>
        <v>0</v>
      </c>
      <c r="N320" s="93">
        <f ca="1">IFERROR(__xludf.DUMMYFUNCTION("IMPORTRANGE(""https://docs.google.com/spreadsheets/d/1MeEWN-I1oV_STSDYn1IFDPWt_1FKiwhDph83XaGc0o0/edit?usp=sharing"",""งบพรบ!EJ19"")"),0)</f>
        <v>0</v>
      </c>
      <c r="O320" s="93">
        <f t="shared" ca="1" si="143"/>
        <v>0</v>
      </c>
      <c r="P320" s="93">
        <f t="shared" ca="1" si="144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1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65">
        <f t="shared" ref="L321:N321" ca="1" si="147">L322+L323</f>
        <v>0</v>
      </c>
      <c r="M321" s="465">
        <f t="shared" ca="1" si="147"/>
        <v>0</v>
      </c>
      <c r="N321" s="465">
        <f t="shared" ca="1" si="147"/>
        <v>0</v>
      </c>
      <c r="O321" s="465">
        <f t="shared" ca="1" si="143"/>
        <v>0</v>
      </c>
      <c r="P321" s="465">
        <f t="shared" ca="1" si="144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2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3"/>
        <v>0</v>
      </c>
      <c r="P322" s="93">
        <f t="shared" si="144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2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IFERROR(__xludf.DUMMYFUNCTION("IMPORTRANGE(""https://docs.google.com/spreadsheets/d/1MeEWN-I1oV_STSDYn1IFDPWt_1FKiwhDph83XaGc0o0/edit?usp=sharing"",""งบพรบ!EF19"")"),0)</f>
        <v>0</v>
      </c>
      <c r="M323" s="93">
        <f ca="1">IFERROR(__xludf.DUMMYFUNCTION("IMPORTRANGE(""https://docs.google.com/spreadsheets/d/1MeEWN-I1oV_STSDYn1IFDPWt_1FKiwhDph83XaGc0o0/edit?usp=sharing"",""งบพรบ!EI19"")"),0)</f>
        <v>0</v>
      </c>
      <c r="N323" s="93">
        <f ca="1">IFERROR(__xludf.DUMMYFUNCTION("IMPORTRANGE(""https://docs.google.com/spreadsheets/d/1MeEWN-I1oV_STSDYn1IFDPWt_1FKiwhDph83XaGc0o0/edit?usp=sharing"",""งบพรบ!EK19"")"),0)</f>
        <v>0</v>
      </c>
      <c r="O323" s="93">
        <f t="shared" ca="1" si="143"/>
        <v>0</v>
      </c>
      <c r="P323" s="93">
        <f t="shared" ca="1" si="144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18" t="s">
        <v>38</v>
      </c>
      <c r="E324" s="173"/>
      <c r="F324" s="173"/>
      <c r="G324" s="174"/>
      <c r="H324" s="726"/>
      <c r="I324" s="184"/>
      <c r="J324" s="269"/>
      <c r="K324" s="465"/>
      <c r="L324" s="465"/>
      <c r="M324" s="465"/>
      <c r="N324" s="465"/>
      <c r="O324" s="163"/>
      <c r="P324" s="163"/>
    </row>
    <row r="325" spans="1:26" ht="18.75" hidden="1">
      <c r="A325" s="170"/>
      <c r="B325" s="171"/>
      <c r="C325" s="171"/>
      <c r="D325" s="343" t="s">
        <v>147</v>
      </c>
      <c r="E325" s="342"/>
      <c r="F325" s="415"/>
      <c r="G325" s="179"/>
      <c r="H325" s="589" t="s">
        <v>146</v>
      </c>
      <c r="I325" s="269">
        <f ca="1">IFERROR(__xludf.DUMMYFUNCTION("IMPORTRANGE(""https://docs.google.com/spreadsheets/d/1QqKyyYR6Q21VydFLVH3TRQUabQu_ym0Zz7PgGX0-kHA/edit?usp=sharing"",""แผน!EF19"")"),0)</f>
        <v>0</v>
      </c>
      <c r="J325" s="214">
        <v>0</v>
      </c>
      <c r="K325" s="465">
        <f ca="1">IF(I325&gt;0,J325*100/I325,0)</f>
        <v>0</v>
      </c>
      <c r="L325" s="465"/>
      <c r="M325" s="465"/>
      <c r="N325" s="465"/>
      <c r="O325" s="163"/>
      <c r="P325" s="163"/>
    </row>
    <row r="326" spans="1:26" ht="19.5">
      <c r="A326" s="400" t="s">
        <v>148</v>
      </c>
      <c r="B326" s="401"/>
      <c r="C326" s="401"/>
      <c r="D326" s="402"/>
      <c r="E326" s="401"/>
      <c r="F326" s="401"/>
      <c r="G326" s="401"/>
      <c r="H326" s="417"/>
      <c r="I326" s="405"/>
      <c r="J326" s="405"/>
      <c r="K326" s="406"/>
      <c r="L326" s="406"/>
      <c r="M326" s="406"/>
      <c r="N326" s="406"/>
      <c r="O326" s="406"/>
      <c r="P326" s="406"/>
    </row>
    <row r="327" spans="1:26" ht="19.5">
      <c r="A327" s="407"/>
      <c r="B327" s="408" t="s">
        <v>149</v>
      </c>
      <c r="C327" s="420"/>
      <c r="D327" s="409"/>
      <c r="E327" s="409"/>
      <c r="F327" s="409"/>
      <c r="G327" s="410"/>
      <c r="H327" s="411" t="s">
        <v>35</v>
      </c>
      <c r="I327" s="412">
        <f ca="1">IFERROR(__xludf.DUMMYFUNCTION("IMPORTRANGE(""https://docs.google.com/spreadsheets/d/1QqKyyYR6Q21VydFLVH3TRQUabQu_ym0Zz7PgGX0-kHA/edit?usp=sharing"",""แผน!EG19"")"),1600)</f>
        <v>1600</v>
      </c>
      <c r="J327" s="412">
        <f ca="1">J338+J341+J342+J343</f>
        <v>552</v>
      </c>
      <c r="K327" s="413">
        <f ca="1">IF(I327&gt;0,J327*100/I327,0)</f>
        <v>34.5</v>
      </c>
      <c r="L327" s="414"/>
      <c r="M327" s="414"/>
      <c r="N327" s="414"/>
      <c r="O327" s="414"/>
      <c r="P327" s="414"/>
    </row>
    <row r="328" spans="1:26" ht="19.5">
      <c r="A328" s="147"/>
      <c r="B328" s="148"/>
      <c r="C328" s="149" t="s">
        <v>16</v>
      </c>
      <c r="D328" s="817" t="s">
        <v>17</v>
      </c>
      <c r="E328" s="148"/>
      <c r="F328" s="148"/>
      <c r="G328" s="151"/>
      <c r="H328" s="152" t="s">
        <v>12</v>
      </c>
      <c r="I328" s="388"/>
      <c r="J328" s="388"/>
      <c r="K328" s="154"/>
      <c r="L328" s="155">
        <f t="shared" ref="L328:N328" ca="1" si="148">L329+L330</f>
        <v>172000</v>
      </c>
      <c r="M328" s="155">
        <f t="shared" ca="1" si="148"/>
        <v>86000</v>
      </c>
      <c r="N328" s="155">
        <f t="shared" ca="1" si="148"/>
        <v>7400</v>
      </c>
      <c r="O328" s="155">
        <f t="shared" ref="O328:O336" ca="1" si="149">IF(L328&gt;0,N328*100/L328,0)</f>
        <v>4.3023255813953485</v>
      </c>
      <c r="P328" s="155">
        <f t="shared" ref="P328:P336" ca="1" si="150">IF(M328&gt;0,N328*100/M328,0)</f>
        <v>8.604651162790697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2" t="s">
        <v>18</v>
      </c>
      <c r="F329" s="40"/>
      <c r="G329" s="157"/>
      <c r="H329" s="158" t="s">
        <v>12</v>
      </c>
      <c r="I329" s="583"/>
      <c r="J329" s="583"/>
      <c r="K329" s="93"/>
      <c r="L329" s="93">
        <f t="shared" ref="L329:N330" si="151">L332+L335</f>
        <v>0</v>
      </c>
      <c r="M329" s="93">
        <f t="shared" si="151"/>
        <v>0</v>
      </c>
      <c r="N329" s="93">
        <f t="shared" si="151"/>
        <v>0</v>
      </c>
      <c r="O329" s="93">
        <f t="shared" si="149"/>
        <v>0</v>
      </c>
      <c r="P329" s="93">
        <f t="shared" si="150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2" t="s">
        <v>19</v>
      </c>
      <c r="F330" s="40"/>
      <c r="G330" s="157"/>
      <c r="H330" s="158" t="s">
        <v>12</v>
      </c>
      <c r="I330" s="583"/>
      <c r="J330" s="583"/>
      <c r="K330" s="93"/>
      <c r="L330" s="93">
        <f t="shared" ca="1" si="151"/>
        <v>172000</v>
      </c>
      <c r="M330" s="93">
        <f t="shared" ca="1" si="151"/>
        <v>86000</v>
      </c>
      <c r="N330" s="93">
        <f t="shared" ca="1" si="151"/>
        <v>7400</v>
      </c>
      <c r="O330" s="93">
        <f t="shared" ca="1" si="149"/>
        <v>4.3023255813953485</v>
      </c>
      <c r="P330" s="93">
        <f t="shared" ca="1" si="150"/>
        <v>8.604651162790697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1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65">
        <f t="shared" ref="L331:N331" ca="1" si="152">L332+L333</f>
        <v>172000</v>
      </c>
      <c r="M331" s="465">
        <f t="shared" ca="1" si="152"/>
        <v>86000</v>
      </c>
      <c r="N331" s="465">
        <f t="shared" ca="1" si="152"/>
        <v>7400</v>
      </c>
      <c r="O331" s="465">
        <f t="shared" ca="1" si="149"/>
        <v>4.3023255813953485</v>
      </c>
      <c r="P331" s="465">
        <f t="shared" ca="1" si="150"/>
        <v>8.604651162790697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2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49"/>
        <v>0</v>
      </c>
      <c r="P332" s="93">
        <f t="shared" si="150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2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IFERROR(__xludf.DUMMYFUNCTION("IMPORTRANGE(""https://docs.google.com/spreadsheets/d/1MeEWN-I1oV_STSDYn1IFDPWt_1FKiwhDph83XaGc0o0/edit?usp=sharing"",""งบพรบ!EM19"")"),172000)</f>
        <v>172000</v>
      </c>
      <c r="M333" s="93">
        <f ca="1">IFERROR(__xludf.DUMMYFUNCTION("IMPORTRANGE(""https://docs.google.com/spreadsheets/d/1MeEWN-I1oV_STSDYn1IFDPWt_1FKiwhDph83XaGc0o0/edit?usp=sharing"",""งบพรบ!ER19"")"),86000)</f>
        <v>86000</v>
      </c>
      <c r="N333" s="93">
        <f ca="1">IFERROR(__xludf.DUMMYFUNCTION("IMPORTRANGE(""https://docs.google.com/spreadsheets/d/1MeEWN-I1oV_STSDYn1IFDPWt_1FKiwhDph83XaGc0o0/edit?usp=sharing"",""งบพรบ!ET19"")"),7400)</f>
        <v>7400</v>
      </c>
      <c r="O333" s="93">
        <f t="shared" ca="1" si="149"/>
        <v>4.3023255813953485</v>
      </c>
      <c r="P333" s="93">
        <f t="shared" ca="1" si="150"/>
        <v>8.604651162790697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1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65">
        <f t="shared" ref="L334:N334" ca="1" si="153">L335+L336</f>
        <v>0</v>
      </c>
      <c r="M334" s="465">
        <f t="shared" ca="1" si="153"/>
        <v>0</v>
      </c>
      <c r="N334" s="465">
        <f t="shared" ca="1" si="153"/>
        <v>0</v>
      </c>
      <c r="O334" s="465">
        <f t="shared" ca="1" si="149"/>
        <v>0</v>
      </c>
      <c r="P334" s="465">
        <f t="shared" ca="1" si="150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2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49"/>
        <v>0</v>
      </c>
      <c r="P335" s="93">
        <f t="shared" si="150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2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IFERROR(__xludf.DUMMYFUNCTION("IMPORTRANGE(""https://docs.google.com/spreadsheets/d/1MeEWN-I1oV_STSDYn1IFDPWt_1FKiwhDph83XaGc0o0/edit?usp=sharing"",""งบพรบ!EP19"")"),0)</f>
        <v>0</v>
      </c>
      <c r="M336" s="93">
        <f ca="1">IFERROR(__xludf.DUMMYFUNCTION("IMPORTRANGE(""https://docs.google.com/spreadsheets/d/1MeEWN-I1oV_STSDYn1IFDPWt_1FKiwhDph83XaGc0o0/edit?usp=sharing"",""งบพรบ!ES19"")"),0)</f>
        <v>0</v>
      </c>
      <c r="N336" s="93">
        <f ca="1">IFERROR(__xludf.DUMMYFUNCTION("IMPORTRANGE(""https://docs.google.com/spreadsheets/d/1MeEWN-I1oV_STSDYn1IFDPWt_1FKiwhDph83XaGc0o0/edit?usp=sharing"",""งบพรบ!EU19"")"),0)</f>
        <v>0</v>
      </c>
      <c r="O336" s="93">
        <f t="shared" ca="1" si="149"/>
        <v>0</v>
      </c>
      <c r="P336" s="93">
        <f t="shared" ca="1" si="150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18" t="s">
        <v>38</v>
      </c>
      <c r="E337" s="173"/>
      <c r="F337" s="173"/>
      <c r="G337" s="174"/>
      <c r="H337" s="726"/>
      <c r="I337" s="184"/>
      <c r="J337" s="269"/>
      <c r="K337" s="465"/>
      <c r="L337" s="465"/>
      <c r="M337" s="465"/>
      <c r="N337" s="465"/>
      <c r="O337" s="163"/>
      <c r="P337" s="163"/>
    </row>
    <row r="338" spans="1:26" ht="18.75">
      <c r="A338" s="283"/>
      <c r="B338" s="33"/>
      <c r="C338" s="280"/>
      <c r="D338" s="415" t="s">
        <v>150</v>
      </c>
      <c r="E338" s="171"/>
      <c r="F338" s="33"/>
      <c r="G338" s="35"/>
      <c r="H338" s="276" t="s">
        <v>35</v>
      </c>
      <c r="I338" s="269">
        <f ca="1">IFERROR(__xludf.DUMMYFUNCTION("IMPORTRANGE(""https://docs.google.com/spreadsheets/d/1QqKyyYR6Q21VydFLVH3TRQUabQu_ym0Zz7PgGX0-kHA/edit?usp=sharing"",""แผน!EG19"")"),1600)</f>
        <v>1600</v>
      </c>
      <c r="J338" s="269">
        <f ca="1">IFERROR(__xludf.DUMMYFUNCTION("IMPORTRANGE(""https://docs.google.com/spreadsheets/d/1kVcqe37tkHyjCSG3S0O1AXqVkqjo8mSIZil3BcpIysc/edit?usp=sharing"",""ศูนย์!D19"")"),415)</f>
        <v>415</v>
      </c>
      <c r="K338" s="465">
        <f ca="1">IF(I338&gt;0,J338*100/I338,0)</f>
        <v>25.9375</v>
      </c>
      <c r="L338" s="465"/>
      <c r="M338" s="465"/>
      <c r="N338" s="465"/>
      <c r="O338" s="465"/>
      <c r="P338" s="465"/>
    </row>
    <row r="339" spans="1:26" ht="18.75">
      <c r="A339" s="283"/>
      <c r="B339" s="33"/>
      <c r="C339" s="280"/>
      <c r="D339" s="415" t="s">
        <v>151</v>
      </c>
      <c r="E339" s="171"/>
      <c r="F339" s="33"/>
      <c r="G339" s="35"/>
      <c r="H339" s="276"/>
      <c r="I339" s="269"/>
      <c r="J339" s="269"/>
      <c r="K339" s="465"/>
      <c r="L339" s="465"/>
      <c r="M339" s="465"/>
      <c r="N339" s="465"/>
      <c r="O339" s="465"/>
      <c r="P339" s="465"/>
    </row>
    <row r="340" spans="1:26" ht="18.75">
      <c r="A340" s="283"/>
      <c r="B340" s="33"/>
      <c r="C340" s="280"/>
      <c r="D340" s="342"/>
      <c r="E340" s="415" t="s">
        <v>152</v>
      </c>
      <c r="F340" s="33"/>
      <c r="G340" s="35"/>
      <c r="H340" s="276" t="s">
        <v>153</v>
      </c>
      <c r="I340" s="269">
        <f ca="1">IFERROR(__xludf.DUMMYFUNCTION("IMPORTRANGE(""https://docs.google.com/spreadsheets/d/1QqKyyYR6Q21VydFLVH3TRQUabQu_ym0Zz7PgGX0-kHA/edit?usp=sharing"",""แผน!EH19"")"),7)</f>
        <v>7</v>
      </c>
      <c r="J340" s="269">
        <f ca="1">IFERROR(__xludf.DUMMYFUNCTION("IMPORTRANGE(""https://docs.google.com/spreadsheets/d/1kVcqe37tkHyjCSG3S0O1AXqVkqjo8mSIZil3BcpIysc/edit?usp=sharing"",""ศูนย์!E19"")"),2)</f>
        <v>2</v>
      </c>
      <c r="K340" s="465">
        <f ca="1">IF(I340&gt;0,J340*100/I340,0)</f>
        <v>28.571428571428573</v>
      </c>
      <c r="L340" s="465"/>
      <c r="M340" s="465"/>
      <c r="N340" s="465"/>
      <c r="O340" s="465"/>
      <c r="P340" s="465"/>
    </row>
    <row r="341" spans="1:26" ht="18.75">
      <c r="A341" s="283"/>
      <c r="B341" s="33"/>
      <c r="C341" s="280"/>
      <c r="D341" s="342"/>
      <c r="E341" s="415" t="s">
        <v>154</v>
      </c>
      <c r="F341" s="33"/>
      <c r="G341" s="35"/>
      <c r="H341" s="276" t="s">
        <v>35</v>
      </c>
      <c r="I341" s="269"/>
      <c r="J341" s="269">
        <f ca="1">IFERROR(__xludf.DUMMYFUNCTION("IMPORTRANGE(""https://docs.google.com/spreadsheets/d/1kVcqe37tkHyjCSG3S0O1AXqVkqjo8mSIZil3BcpIysc/edit?usp=sharing"",""ศูนย์!F19"")"),134)</f>
        <v>134</v>
      </c>
      <c r="K341" s="465"/>
      <c r="L341" s="465"/>
      <c r="M341" s="465"/>
      <c r="N341" s="465"/>
      <c r="O341" s="465"/>
      <c r="P341" s="465"/>
    </row>
    <row r="342" spans="1:26" ht="18.75">
      <c r="A342" s="283"/>
      <c r="B342" s="33"/>
      <c r="C342" s="280"/>
      <c r="D342" s="415" t="s">
        <v>155</v>
      </c>
      <c r="E342" s="342"/>
      <c r="F342" s="342"/>
      <c r="G342" s="35"/>
      <c r="H342" s="276" t="s">
        <v>35</v>
      </c>
      <c r="I342" s="269"/>
      <c r="J342" s="269">
        <f ca="1">IFERROR(__xludf.DUMMYFUNCTION("IMPORTRANGE(""https://docs.google.com/spreadsheets/d/1kVcqe37tkHyjCSG3S0O1AXqVkqjo8mSIZil3BcpIysc/edit?usp=sharing"",""ศูนย์!G19"")"),3)</f>
        <v>3</v>
      </c>
      <c r="K342" s="465"/>
      <c r="L342" s="465"/>
      <c r="M342" s="465"/>
      <c r="N342" s="465"/>
      <c r="O342" s="465"/>
      <c r="P342" s="465"/>
    </row>
    <row r="343" spans="1:26" ht="18.75">
      <c r="A343" s="283"/>
      <c r="B343" s="33"/>
      <c r="C343" s="280"/>
      <c r="D343" s="415" t="s">
        <v>156</v>
      </c>
      <c r="E343" s="342"/>
      <c r="F343" s="342"/>
      <c r="G343" s="35"/>
      <c r="H343" s="276" t="s">
        <v>35</v>
      </c>
      <c r="I343" s="269"/>
      <c r="J343" s="269">
        <f ca="1">IFERROR(__xludf.DUMMYFUNCTION("IMPORTRANGE(""https://docs.google.com/spreadsheets/d/1kVcqe37tkHyjCSG3S0O1AXqVkqjo8mSIZil3BcpIysc/edit?usp=sharing"",""ศูนย์!H19"")"),0)</f>
        <v>0</v>
      </c>
      <c r="K343" s="465"/>
      <c r="L343" s="465"/>
      <c r="M343" s="465"/>
      <c r="N343" s="465"/>
      <c r="O343" s="465"/>
      <c r="P343" s="465"/>
    </row>
    <row r="344" spans="1:26" ht="19.5">
      <c r="A344" s="407"/>
      <c r="B344" s="408" t="s">
        <v>157</v>
      </c>
      <c r="C344" s="420"/>
      <c r="D344" s="409"/>
      <c r="E344" s="409"/>
      <c r="F344" s="409"/>
      <c r="G344" s="410"/>
      <c r="H344" s="411"/>
      <c r="I344" s="421"/>
      <c r="J344" s="421"/>
      <c r="K344" s="414"/>
      <c r="L344" s="414"/>
      <c r="M344" s="414"/>
      <c r="N344" s="414"/>
      <c r="O344" s="414"/>
      <c r="P344" s="414"/>
    </row>
    <row r="345" spans="1:26" ht="19.5">
      <c r="A345" s="147"/>
      <c r="B345" s="148"/>
      <c r="C345" s="149" t="s">
        <v>16</v>
      </c>
      <c r="D345" s="817" t="s">
        <v>17</v>
      </c>
      <c r="E345" s="148"/>
      <c r="F345" s="148"/>
      <c r="G345" s="151"/>
      <c r="H345" s="152" t="s">
        <v>12</v>
      </c>
      <c r="I345" s="388"/>
      <c r="J345" s="388"/>
      <c r="K345" s="154"/>
      <c r="L345" s="155">
        <f t="shared" ref="L345:N345" ca="1" si="154">L346+L347</f>
        <v>637150</v>
      </c>
      <c r="M345" s="155">
        <f t="shared" ca="1" si="154"/>
        <v>379380</v>
      </c>
      <c r="N345" s="155">
        <f t="shared" ca="1" si="154"/>
        <v>157400</v>
      </c>
      <c r="O345" s="155">
        <f t="shared" ref="O345:O353" ca="1" si="155">IF(L345&gt;0,N345*100/L345,0)</f>
        <v>24.703758926469433</v>
      </c>
      <c r="P345" s="155">
        <f t="shared" ref="P345:P353" ca="1" si="156">IF(M345&gt;0,N345*100/M345,0)</f>
        <v>41.488744794137801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2" t="s">
        <v>18</v>
      </c>
      <c r="F346" s="40"/>
      <c r="G346" s="157"/>
      <c r="H346" s="158" t="s">
        <v>12</v>
      </c>
      <c r="I346" s="583"/>
      <c r="J346" s="583"/>
      <c r="K346" s="93"/>
      <c r="L346" s="93">
        <f t="shared" ref="L346:N347" si="157">L349+L352</f>
        <v>0</v>
      </c>
      <c r="M346" s="93">
        <f t="shared" si="157"/>
        <v>0</v>
      </c>
      <c r="N346" s="93">
        <f t="shared" si="157"/>
        <v>0</v>
      </c>
      <c r="O346" s="93">
        <f t="shared" si="155"/>
        <v>0</v>
      </c>
      <c r="P346" s="93">
        <f t="shared" si="156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2" t="s">
        <v>19</v>
      </c>
      <c r="F347" s="40"/>
      <c r="G347" s="157"/>
      <c r="H347" s="158" t="s">
        <v>12</v>
      </c>
      <c r="I347" s="583"/>
      <c r="J347" s="583"/>
      <c r="K347" s="93"/>
      <c r="L347" s="93">
        <f t="shared" ca="1" si="157"/>
        <v>637150</v>
      </c>
      <c r="M347" s="93">
        <f t="shared" ca="1" si="157"/>
        <v>379380</v>
      </c>
      <c r="N347" s="93">
        <f t="shared" ca="1" si="157"/>
        <v>157400</v>
      </c>
      <c r="O347" s="93">
        <f t="shared" ca="1" si="155"/>
        <v>24.703758926469433</v>
      </c>
      <c r="P347" s="93">
        <f t="shared" ca="1" si="156"/>
        <v>41.488744794137801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1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65">
        <f t="shared" ref="L348:N348" ca="1" si="158">L349+L350</f>
        <v>515550</v>
      </c>
      <c r="M348" s="465">
        <f t="shared" ca="1" si="158"/>
        <v>257780</v>
      </c>
      <c r="N348" s="465">
        <f t="shared" ca="1" si="158"/>
        <v>35800</v>
      </c>
      <c r="O348" s="465">
        <f t="shared" ca="1" si="155"/>
        <v>6.9440403452623416</v>
      </c>
      <c r="P348" s="465">
        <f t="shared" ca="1" si="156"/>
        <v>13.887811311971449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2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5"/>
        <v>0</v>
      </c>
      <c r="P349" s="93">
        <f t="shared" si="156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2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IFERROR(__xludf.DUMMYFUNCTION("IMPORTRANGE(""https://docs.google.com/spreadsheets/d/1MeEWN-I1oV_STSDYn1IFDPWt_1FKiwhDph83XaGc0o0/edit?usp=sharing"",""งบพรบ!EW19"")"),515550)</f>
        <v>515550</v>
      </c>
      <c r="M350" s="93">
        <f ca="1">IFERROR(__xludf.DUMMYFUNCTION("IMPORTRANGE(""https://docs.google.com/spreadsheets/d/1MeEWN-I1oV_STSDYn1IFDPWt_1FKiwhDph83XaGc0o0/edit?usp=sharing"",""งบพรบ!FB19"")"),257780)</f>
        <v>257780</v>
      </c>
      <c r="N350" s="93">
        <f ca="1">IFERROR(__xludf.DUMMYFUNCTION("IMPORTRANGE(""https://docs.google.com/spreadsheets/d/1MeEWN-I1oV_STSDYn1IFDPWt_1FKiwhDph83XaGc0o0/edit?usp=sharing"",""งบพรบ!FD19"")"),35800)</f>
        <v>35800</v>
      </c>
      <c r="O350" s="93">
        <f t="shared" ca="1" si="155"/>
        <v>6.9440403452623416</v>
      </c>
      <c r="P350" s="93">
        <f t="shared" ca="1" si="156"/>
        <v>13.887811311971449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1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65">
        <f t="shared" ref="L351:N351" ca="1" si="159">L352+L353</f>
        <v>121600</v>
      </c>
      <c r="M351" s="465">
        <f t="shared" ca="1" si="159"/>
        <v>121600</v>
      </c>
      <c r="N351" s="465">
        <f t="shared" ca="1" si="159"/>
        <v>121600</v>
      </c>
      <c r="O351" s="465">
        <f t="shared" ca="1" si="155"/>
        <v>100</v>
      </c>
      <c r="P351" s="465">
        <f t="shared" ca="1" si="156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2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5"/>
        <v>0</v>
      </c>
      <c r="P352" s="93">
        <f t="shared" si="156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2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IFERROR(__xludf.DUMMYFUNCTION("IMPORTRANGE(""https://docs.google.com/spreadsheets/d/1MeEWN-I1oV_STSDYn1IFDPWt_1FKiwhDph83XaGc0o0/edit?usp=sharing"",""งบพรบ!EZ19"")"),121600)</f>
        <v>121600</v>
      </c>
      <c r="M353" s="93">
        <f ca="1">IFERROR(__xludf.DUMMYFUNCTION("IMPORTRANGE(""https://docs.google.com/spreadsheets/d/1MeEWN-I1oV_STSDYn1IFDPWt_1FKiwhDph83XaGc0o0/edit?usp=sharing"",""งบพรบ!FC19"")"),121600)</f>
        <v>121600</v>
      </c>
      <c r="N353" s="93">
        <f ca="1">IFERROR(__xludf.DUMMYFUNCTION("IMPORTRANGE(""https://docs.google.com/spreadsheets/d/1MeEWN-I1oV_STSDYn1IFDPWt_1FKiwhDph83XaGc0o0/edit?usp=sharing"",""งบพรบ!FE19"")"),121600)</f>
        <v>121600</v>
      </c>
      <c r="O353" s="93">
        <f t="shared" ca="1" si="155"/>
        <v>100</v>
      </c>
      <c r="P353" s="93">
        <f t="shared" ca="1" si="156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5"/>
      <c r="B354" s="263"/>
      <c r="C354" s="256"/>
      <c r="D354" s="845" t="s">
        <v>158</v>
      </c>
      <c r="E354" s="256"/>
      <c r="F354" s="256"/>
      <c r="G354" s="258"/>
      <c r="H354" s="423"/>
      <c r="I354" s="260"/>
      <c r="J354" s="260"/>
      <c r="K354" s="261"/>
      <c r="L354" s="261"/>
      <c r="M354" s="261"/>
      <c r="N354" s="261"/>
      <c r="O354" s="261"/>
      <c r="P354" s="261"/>
    </row>
    <row r="355" spans="1:26" ht="19.5">
      <c r="A355" s="424"/>
      <c r="B355" s="425"/>
      <c r="C355" s="426"/>
      <c r="D355" s="846" t="s">
        <v>159</v>
      </c>
      <c r="E355" s="428"/>
      <c r="F355" s="428"/>
      <c r="G355" s="429"/>
      <c r="H355" s="430" t="s">
        <v>35</v>
      </c>
      <c r="I355" s="432">
        <f ca="1">IFERROR(__xludf.DUMMYFUNCTION("IMPORTRANGE(""https://docs.google.com/spreadsheets/d/1QqKyyYR6Q21VydFLVH3TRQUabQu_ym0Zz7PgGX0-kHA/edit?usp=sharing"",""แผน!EP19"")"),200)</f>
        <v>200</v>
      </c>
      <c r="J355" s="432">
        <f ca="1">J362</f>
        <v>29</v>
      </c>
      <c r="K355" s="433">
        <f ca="1">IF(I355&gt;0,J355*100/I355,0)</f>
        <v>14.5</v>
      </c>
      <c r="L355" s="434"/>
      <c r="M355" s="434"/>
      <c r="N355" s="434"/>
      <c r="O355" s="434"/>
      <c r="P355" s="434"/>
    </row>
    <row r="356" spans="1:26" ht="19.5">
      <c r="A356" s="424"/>
      <c r="B356" s="425"/>
      <c r="C356" s="426"/>
      <c r="D356" s="435" t="s">
        <v>160</v>
      </c>
      <c r="E356" s="428"/>
      <c r="F356" s="428"/>
      <c r="G356" s="429"/>
      <c r="H356" s="436"/>
      <c r="I356" s="437"/>
      <c r="J356" s="437"/>
      <c r="K356" s="434"/>
      <c r="L356" s="434"/>
      <c r="M356" s="434"/>
      <c r="N356" s="434"/>
      <c r="O356" s="434"/>
      <c r="P356" s="434"/>
    </row>
    <row r="357" spans="1:26" ht="19.5">
      <c r="A357" s="170"/>
      <c r="B357" s="171"/>
      <c r="C357" s="164" t="s">
        <v>16</v>
      </c>
      <c r="D357" s="818" t="s">
        <v>38</v>
      </c>
      <c r="E357" s="173"/>
      <c r="F357" s="173"/>
      <c r="G357" s="174"/>
      <c r="H357" s="726"/>
      <c r="I357" s="269"/>
      <c r="J357" s="269"/>
      <c r="K357" s="465"/>
      <c r="L357" s="163"/>
      <c r="M357" s="163"/>
      <c r="N357" s="163"/>
      <c r="O357" s="163"/>
      <c r="P357" s="163"/>
    </row>
    <row r="358" spans="1:26" ht="18.75">
      <c r="A358" s="170"/>
      <c r="B358" s="342"/>
      <c r="C358" s="171"/>
      <c r="D358" s="342"/>
      <c r="E358" s="343" t="s">
        <v>161</v>
      </c>
      <c r="F358" s="342"/>
      <c r="G358" s="179"/>
      <c r="H358" s="185" t="s">
        <v>35</v>
      </c>
      <c r="I358" s="269">
        <v>0</v>
      </c>
      <c r="J358" s="269">
        <f ca="1">IFERROR(__xludf.DUMMYFUNCTION("IMPORTRANGE(""https://docs.google.com/spreadsheets/d/1XWAQStnk-4SwqDmLtmXYiTMKHgktTP8We1SCoS47DrQ/edit?usp=sharing"",""จัดที่ดิน!W19"")"),38)</f>
        <v>38</v>
      </c>
      <c r="K358" s="465">
        <f t="shared" ref="K358:K365" si="160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342"/>
      <c r="C359" s="171"/>
      <c r="D359" s="342"/>
      <c r="E359" s="342"/>
      <c r="F359" s="342"/>
      <c r="G359" s="179"/>
      <c r="H359" s="185" t="s">
        <v>46</v>
      </c>
      <c r="I359" s="269">
        <f ca="1">IFERROR(__xludf.DUMMYFUNCTION("IMPORTRANGE(""https://docs.google.com/spreadsheets/d/1QqKyyYR6Q21VydFLVH3TRQUabQu_ym0Zz7PgGX0-kHA/edit?usp=sharing"",""แผน!EO19"")"),1600)</f>
        <v>1600</v>
      </c>
      <c r="J359" s="269">
        <f ca="1">IFERROR(__xludf.DUMMYFUNCTION("IMPORTRANGE(""https://docs.google.com/spreadsheets/d/1XWAQStnk-4SwqDmLtmXYiTMKHgktTP8We1SCoS47DrQ/edit?usp=sharing"",""จัดที่ดิน!X19"")"),140.34)</f>
        <v>140.34</v>
      </c>
      <c r="K359" s="465">
        <f t="shared" ca="1" si="160"/>
        <v>8.7712500000000002</v>
      </c>
      <c r="L359" s="163"/>
      <c r="M359" s="163"/>
      <c r="N359" s="163"/>
      <c r="O359" s="163"/>
      <c r="P359" s="163"/>
    </row>
    <row r="360" spans="1:26" ht="18.75">
      <c r="A360" s="170"/>
      <c r="B360" s="342"/>
      <c r="C360" s="171"/>
      <c r="D360" s="342"/>
      <c r="E360" s="343" t="s">
        <v>162</v>
      </c>
      <c r="F360" s="342"/>
      <c r="G360" s="179"/>
      <c r="H360" s="728" t="s">
        <v>35</v>
      </c>
      <c r="I360" s="269">
        <f ca="1">IFERROR(__xludf.DUMMYFUNCTION("IMPORTRANGE(""https://docs.google.com/spreadsheets/d/1QqKyyYR6Q21VydFLVH3TRQUabQu_ym0Zz7PgGX0-kHA/edit?usp=sharing"",""แผน!EP19"")"),200)</f>
        <v>200</v>
      </c>
      <c r="J360" s="269">
        <f ca="1">IFERROR(__xludf.DUMMYFUNCTION("IMPORTRANGE(""https://docs.google.com/spreadsheets/d/1XWAQStnk-4SwqDmLtmXYiTMKHgktTP8We1SCoS47DrQ/edit?usp=sharing"",""จัดที่ดิน!Y19"")"),29)</f>
        <v>29</v>
      </c>
      <c r="K360" s="465">
        <f t="shared" ca="1" si="160"/>
        <v>14.5</v>
      </c>
      <c r="L360" s="163"/>
      <c r="M360" s="163"/>
      <c r="N360" s="163"/>
      <c r="O360" s="163"/>
      <c r="P360" s="163"/>
    </row>
    <row r="361" spans="1:26" ht="18.75">
      <c r="A361" s="170"/>
      <c r="B361" s="342"/>
      <c r="C361" s="171"/>
      <c r="D361" s="342"/>
      <c r="E361" s="342"/>
      <c r="F361" s="342"/>
      <c r="G361" s="179"/>
      <c r="H361" s="728" t="s">
        <v>46</v>
      </c>
      <c r="I361" s="269">
        <v>0</v>
      </c>
      <c r="J361" s="269">
        <f ca="1">IFERROR(__xludf.DUMMYFUNCTION("IMPORTRANGE(""https://docs.google.com/spreadsheets/d/1XWAQStnk-4SwqDmLtmXYiTMKHgktTP8We1SCoS47DrQ/edit?usp=sharing"",""จัดที่ดิน!Z19"")"),105.4)</f>
        <v>105.4</v>
      </c>
      <c r="K361" s="465">
        <f t="shared" si="160"/>
        <v>0</v>
      </c>
      <c r="L361" s="163"/>
      <c r="M361" s="163"/>
      <c r="N361" s="163"/>
      <c r="O361" s="163"/>
      <c r="P361" s="163"/>
    </row>
    <row r="362" spans="1:26" ht="18.75">
      <c r="A362" s="170"/>
      <c r="B362" s="342"/>
      <c r="C362" s="171"/>
      <c r="D362" s="342"/>
      <c r="E362" s="343" t="s">
        <v>163</v>
      </c>
      <c r="F362" s="342"/>
      <c r="G362" s="179"/>
      <c r="H362" s="728" t="s">
        <v>35</v>
      </c>
      <c r="I362" s="269">
        <f ca="1">IFERROR(__xludf.DUMMYFUNCTION("IMPORTRANGE(""https://docs.google.com/spreadsheets/d/1QqKyyYR6Q21VydFLVH3TRQUabQu_ym0Zz7PgGX0-kHA/edit?usp=sharing"",""แผน!EP19"")"),200)</f>
        <v>200</v>
      </c>
      <c r="J362" s="269">
        <f ca="1">IFERROR(__xludf.DUMMYFUNCTION("IMPORTRANGE(""https://docs.google.com/spreadsheets/d/1XWAQStnk-4SwqDmLtmXYiTMKHgktTP8We1SCoS47DrQ/edit?usp=sharing"",""จัดที่ดิน!AA19"")"),29)</f>
        <v>29</v>
      </c>
      <c r="K362" s="465">
        <f t="shared" ca="1" si="160"/>
        <v>14.5</v>
      </c>
      <c r="L362" s="163"/>
      <c r="M362" s="163"/>
      <c r="N362" s="163"/>
      <c r="O362" s="163"/>
      <c r="P362" s="163"/>
    </row>
    <row r="363" spans="1:26" ht="18.75">
      <c r="A363" s="438" t="s">
        <v>164</v>
      </c>
      <c r="B363" s="342"/>
      <c r="C363" s="171"/>
      <c r="D363" s="342"/>
      <c r="E363" s="415"/>
      <c r="F363" s="342"/>
      <c r="G363" s="179"/>
      <c r="H363" s="728" t="s">
        <v>46</v>
      </c>
      <c r="I363" s="269">
        <v>0</v>
      </c>
      <c r="J363" s="269">
        <f ca="1">IFERROR(__xludf.DUMMYFUNCTION("IMPORTRANGE(""https://docs.google.com/spreadsheets/d/1XWAQStnk-4SwqDmLtmXYiTMKHgktTP8We1SCoS47DrQ/edit?usp=sharing"",""จัดที่ดิน!AB19"")"),105.4)</f>
        <v>105.4</v>
      </c>
      <c r="K363" s="465">
        <f t="shared" si="160"/>
        <v>0</v>
      </c>
      <c r="L363" s="163"/>
      <c r="M363" s="163"/>
      <c r="N363" s="163"/>
      <c r="O363" s="163"/>
      <c r="P363" s="163"/>
    </row>
    <row r="364" spans="1:26" ht="19.5">
      <c r="A364" s="439"/>
      <c r="B364" s="440"/>
      <c r="C364" s="441"/>
      <c r="D364" s="442" t="s">
        <v>165</v>
      </c>
      <c r="E364" s="443"/>
      <c r="F364" s="443"/>
      <c r="G364" s="444"/>
      <c r="H364" s="445" t="s">
        <v>35</v>
      </c>
      <c r="I364" s="446">
        <f t="shared" ref="I364:J364" ca="1" si="161">I365+I374</f>
        <v>500</v>
      </c>
      <c r="J364" s="446">
        <f t="shared" ca="1" si="161"/>
        <v>32</v>
      </c>
      <c r="K364" s="447">
        <f t="shared" ca="1" si="160"/>
        <v>6.4</v>
      </c>
      <c r="L364" s="448"/>
      <c r="M364" s="448"/>
      <c r="N364" s="448"/>
      <c r="O364" s="448"/>
      <c r="P364" s="448"/>
      <c r="Q364" s="449"/>
      <c r="R364" s="449"/>
      <c r="S364" s="449"/>
      <c r="T364" s="449"/>
      <c r="U364" s="449"/>
      <c r="V364" s="449"/>
      <c r="W364" s="449"/>
      <c r="X364" s="449"/>
      <c r="Y364" s="449"/>
      <c r="Z364" s="449"/>
    </row>
    <row r="365" spans="1:26" ht="19.5">
      <c r="A365" s="450"/>
      <c r="B365" s="451"/>
      <c r="C365" s="453"/>
      <c r="D365" s="453" t="s">
        <v>166</v>
      </c>
      <c r="E365" s="454"/>
      <c r="F365" s="454"/>
      <c r="G365" s="455"/>
      <c r="H365" s="456" t="s">
        <v>35</v>
      </c>
      <c r="I365" s="458">
        <f ca="1">IFERROR(__xludf.DUMMYFUNCTION("IMPORTRANGE(""https://docs.google.com/spreadsheets/d/1QqKyyYR6Q21VydFLVH3TRQUabQu_ym0Zz7PgGX0-kHA/edit?usp=sharing"",""แผน!EJ19"")"),60)</f>
        <v>60</v>
      </c>
      <c r="J365" s="458">
        <f ca="1">J372</f>
        <v>0</v>
      </c>
      <c r="K365" s="459">
        <f t="shared" ca="1" si="160"/>
        <v>0</v>
      </c>
      <c r="L365" s="460"/>
      <c r="M365" s="460"/>
      <c r="N365" s="460"/>
      <c r="O365" s="460"/>
      <c r="P365" s="460"/>
      <c r="Q365" s="449"/>
      <c r="R365" s="449"/>
      <c r="S365" s="449"/>
      <c r="T365" s="449"/>
      <c r="U365" s="449"/>
      <c r="V365" s="449"/>
      <c r="W365" s="449"/>
      <c r="X365" s="449"/>
      <c r="Y365" s="449"/>
      <c r="Z365" s="449"/>
    </row>
    <row r="366" spans="1:26" ht="19.5">
      <c r="A366" s="450"/>
      <c r="B366" s="451"/>
      <c r="C366" s="453"/>
      <c r="D366" s="461" t="s">
        <v>167</v>
      </c>
      <c r="E366" s="454"/>
      <c r="F366" s="454"/>
      <c r="G366" s="455"/>
      <c r="H366" s="462"/>
      <c r="I366" s="463"/>
      <c r="J366" s="463"/>
      <c r="K366" s="460"/>
      <c r="L366" s="460"/>
      <c r="M366" s="460"/>
      <c r="N366" s="460"/>
      <c r="O366" s="460"/>
      <c r="P366" s="460"/>
      <c r="Q366" s="449"/>
      <c r="R366" s="449"/>
      <c r="S366" s="449"/>
      <c r="T366" s="449"/>
      <c r="U366" s="449"/>
      <c r="V366" s="449"/>
      <c r="W366" s="449"/>
      <c r="X366" s="449"/>
      <c r="Y366" s="449"/>
      <c r="Z366" s="449"/>
    </row>
    <row r="367" spans="1:26" ht="19.5">
      <c r="A367" s="170"/>
      <c r="B367" s="171"/>
      <c r="C367" s="164" t="s">
        <v>16</v>
      </c>
      <c r="D367" s="818" t="s">
        <v>38</v>
      </c>
      <c r="E367" s="173"/>
      <c r="F367" s="173"/>
      <c r="G367" s="174"/>
      <c r="H367" s="726"/>
      <c r="I367" s="269"/>
      <c r="J367" s="269"/>
      <c r="K367" s="465"/>
      <c r="L367" s="163"/>
      <c r="M367" s="163"/>
      <c r="N367" s="163"/>
      <c r="O367" s="163"/>
      <c r="P367" s="163"/>
    </row>
    <row r="368" spans="1:26" ht="18.75">
      <c r="A368" s="170"/>
      <c r="B368" s="342"/>
      <c r="C368" s="171"/>
      <c r="D368" s="342"/>
      <c r="E368" s="343" t="s">
        <v>161</v>
      </c>
      <c r="F368" s="342"/>
      <c r="G368" s="179"/>
      <c r="H368" s="185" t="s">
        <v>35</v>
      </c>
      <c r="I368" s="269">
        <v>0</v>
      </c>
      <c r="J368" s="269">
        <f ca="1">IFERROR(__xludf.DUMMYFUNCTION("IMPORTRANGE(""https://docs.google.com/spreadsheets/d/1XWAQStnk-4SwqDmLtmXYiTMKHgktTP8We1SCoS47DrQ/edit?usp=sharing"",""จัดที่ดิน!E19"")"),9)</f>
        <v>9</v>
      </c>
      <c r="K368" s="465">
        <f t="shared" ref="K368:K374" si="162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342"/>
      <c r="C369" s="171"/>
      <c r="D369" s="342"/>
      <c r="E369" s="342"/>
      <c r="F369" s="342"/>
      <c r="G369" s="179"/>
      <c r="H369" s="185" t="s">
        <v>46</v>
      </c>
      <c r="I369" s="269">
        <f ca="1">IFERROR(__xludf.DUMMYFUNCTION("IMPORTRANGE(""https://docs.google.com/spreadsheets/d/1QqKyyYR6Q21VydFLVH3TRQUabQu_ym0Zz7PgGX0-kHA/edit?usp=sharing"",""แผน!EI19"")"),600)</f>
        <v>600</v>
      </c>
      <c r="J369" s="269">
        <f ca="1">IFERROR(__xludf.DUMMYFUNCTION("IMPORTRANGE(""https://docs.google.com/spreadsheets/d/1XWAQStnk-4SwqDmLtmXYiTMKHgktTP8We1SCoS47DrQ/edit?usp=sharing"",""จัดที่ดิน!F19"")"),34.94)</f>
        <v>34.94</v>
      </c>
      <c r="K369" s="465">
        <f t="shared" ca="1" si="162"/>
        <v>5.8233333333333333</v>
      </c>
      <c r="L369" s="163"/>
      <c r="M369" s="163"/>
      <c r="N369" s="163"/>
      <c r="O369" s="163"/>
      <c r="P369" s="163"/>
    </row>
    <row r="370" spans="1:26" ht="18.75">
      <c r="A370" s="170"/>
      <c r="B370" s="342"/>
      <c r="C370" s="171"/>
      <c r="D370" s="342"/>
      <c r="E370" s="343" t="s">
        <v>162</v>
      </c>
      <c r="F370" s="342"/>
      <c r="G370" s="179"/>
      <c r="H370" s="728" t="s">
        <v>35</v>
      </c>
      <c r="I370" s="269">
        <f ca="1">IFERROR(__xludf.DUMMYFUNCTION("IMPORTRANGE(""https://docs.google.com/spreadsheets/d/1QqKyyYR6Q21VydFLVH3TRQUabQu_ym0Zz7PgGX0-kHA/edit?usp=sharing"",""แผน!EJ19"")"),60)</f>
        <v>60</v>
      </c>
      <c r="J370" s="269">
        <f ca="1">IFERROR(__xludf.DUMMYFUNCTION("IMPORTRANGE(""https://docs.google.com/spreadsheets/d/1XWAQStnk-4SwqDmLtmXYiTMKHgktTP8We1SCoS47DrQ/edit?usp=sharing"",""จัดที่ดิน!G19"")"),0)</f>
        <v>0</v>
      </c>
      <c r="K370" s="465">
        <f t="shared" ca="1" si="162"/>
        <v>0</v>
      </c>
      <c r="L370" s="163"/>
      <c r="M370" s="163"/>
      <c r="N370" s="163"/>
      <c r="O370" s="163"/>
      <c r="P370" s="163"/>
    </row>
    <row r="371" spans="1:26" ht="18.75">
      <c r="A371" s="170"/>
      <c r="B371" s="342"/>
      <c r="C371" s="171"/>
      <c r="D371" s="342"/>
      <c r="E371" s="342"/>
      <c r="F371" s="342"/>
      <c r="G371" s="179"/>
      <c r="H371" s="728" t="s">
        <v>46</v>
      </c>
      <c r="I371" s="269">
        <v>0</v>
      </c>
      <c r="J371" s="269">
        <f ca="1">IFERROR(__xludf.DUMMYFUNCTION("IMPORTRANGE(""https://docs.google.com/spreadsheets/d/1XWAQStnk-4SwqDmLtmXYiTMKHgktTP8We1SCoS47DrQ/edit?usp=sharing"",""จัดที่ดิน!H19"")"),0)</f>
        <v>0</v>
      </c>
      <c r="K371" s="465">
        <f t="shared" si="162"/>
        <v>0</v>
      </c>
      <c r="L371" s="163"/>
      <c r="M371" s="163"/>
      <c r="N371" s="163"/>
      <c r="O371" s="163"/>
      <c r="P371" s="163"/>
    </row>
    <row r="372" spans="1:26" ht="18.75">
      <c r="A372" s="170"/>
      <c r="B372" s="342"/>
      <c r="C372" s="171"/>
      <c r="D372" s="342"/>
      <c r="E372" s="343" t="s">
        <v>163</v>
      </c>
      <c r="F372" s="342"/>
      <c r="G372" s="179"/>
      <c r="H372" s="728" t="s">
        <v>35</v>
      </c>
      <c r="I372" s="269">
        <f ca="1">IFERROR(__xludf.DUMMYFUNCTION("IMPORTRANGE(""https://docs.google.com/spreadsheets/d/1QqKyyYR6Q21VydFLVH3TRQUabQu_ym0Zz7PgGX0-kHA/edit?usp=sharing"",""แผน!EJ19"")"),60)</f>
        <v>60</v>
      </c>
      <c r="J372" s="269">
        <f ca="1">IFERROR(__xludf.DUMMYFUNCTION("IMPORTRANGE(""https://docs.google.com/spreadsheets/d/1XWAQStnk-4SwqDmLtmXYiTMKHgktTP8We1SCoS47DrQ/edit?usp=sharing"",""จัดที่ดิน!I19"")"),0)</f>
        <v>0</v>
      </c>
      <c r="K372" s="465">
        <f t="shared" ca="1" si="162"/>
        <v>0</v>
      </c>
      <c r="L372" s="163"/>
      <c r="M372" s="163"/>
      <c r="N372" s="163"/>
      <c r="O372" s="163"/>
      <c r="P372" s="163"/>
    </row>
    <row r="373" spans="1:26" ht="18.75">
      <c r="A373" s="438" t="s">
        <v>164</v>
      </c>
      <c r="B373" s="342"/>
      <c r="C373" s="171"/>
      <c r="D373" s="342"/>
      <c r="E373" s="415"/>
      <c r="F373" s="342"/>
      <c r="G373" s="179"/>
      <c r="H373" s="728" t="s">
        <v>46</v>
      </c>
      <c r="I373" s="269">
        <v>0</v>
      </c>
      <c r="J373" s="269">
        <f ca="1">IFERROR(__xludf.DUMMYFUNCTION("IMPORTRANGE(""https://docs.google.com/spreadsheets/d/1XWAQStnk-4SwqDmLtmXYiTMKHgktTP8We1SCoS47DrQ/edit?usp=sharing"",""จัดที่ดิน!J19"")"),0)</f>
        <v>0</v>
      </c>
      <c r="K373" s="465">
        <f t="shared" si="162"/>
        <v>0</v>
      </c>
      <c r="L373" s="163"/>
      <c r="M373" s="163"/>
      <c r="N373" s="163"/>
      <c r="O373" s="163"/>
      <c r="P373" s="163"/>
    </row>
    <row r="374" spans="1:26" ht="19.5">
      <c r="A374" s="450"/>
      <c r="B374" s="451"/>
      <c r="C374" s="453"/>
      <c r="D374" s="453" t="s">
        <v>168</v>
      </c>
      <c r="E374" s="454"/>
      <c r="F374" s="454"/>
      <c r="G374" s="455"/>
      <c r="H374" s="456" t="s">
        <v>35</v>
      </c>
      <c r="I374" s="464">
        <f ca="1">IFERROR(__xludf.DUMMYFUNCTION("IMPORTRANGE(""https://docs.google.com/spreadsheets/d/1QqKyyYR6Q21VydFLVH3TRQUabQu_ym0Zz7PgGX0-kHA/edit?usp=sharing"",""แผน!EU19"")"),440)</f>
        <v>440</v>
      </c>
      <c r="J374" s="458">
        <f ca="1">J381</f>
        <v>32</v>
      </c>
      <c r="K374" s="459">
        <f t="shared" ca="1" si="162"/>
        <v>7.2727272727272725</v>
      </c>
      <c r="L374" s="460"/>
      <c r="M374" s="460"/>
      <c r="N374" s="460"/>
      <c r="O374" s="460"/>
      <c r="P374" s="460"/>
      <c r="Q374" s="449"/>
      <c r="R374" s="449"/>
      <c r="S374" s="449"/>
      <c r="T374" s="449"/>
      <c r="U374" s="449"/>
      <c r="V374" s="449"/>
      <c r="W374" s="449"/>
      <c r="X374" s="449"/>
      <c r="Y374" s="449"/>
      <c r="Z374" s="449"/>
    </row>
    <row r="375" spans="1:26" ht="19.5">
      <c r="A375" s="450"/>
      <c r="B375" s="451"/>
      <c r="C375" s="453"/>
      <c r="D375" s="461" t="s">
        <v>169</v>
      </c>
      <c r="E375" s="454"/>
      <c r="F375" s="454"/>
      <c r="G375" s="455"/>
      <c r="H375" s="462"/>
      <c r="I375" s="463"/>
      <c r="J375" s="463"/>
      <c r="K375" s="460"/>
      <c r="L375" s="460"/>
      <c r="M375" s="460"/>
      <c r="N375" s="460"/>
      <c r="O375" s="460"/>
      <c r="P375" s="460"/>
      <c r="Q375" s="449"/>
      <c r="R375" s="449"/>
      <c r="S375" s="449"/>
      <c r="T375" s="449"/>
      <c r="U375" s="449"/>
      <c r="V375" s="449"/>
      <c r="W375" s="449"/>
      <c r="X375" s="449"/>
      <c r="Y375" s="449"/>
      <c r="Z375" s="449"/>
    </row>
    <row r="376" spans="1:26" ht="19.5">
      <c r="A376" s="170"/>
      <c r="B376" s="171"/>
      <c r="C376" s="164" t="s">
        <v>16</v>
      </c>
      <c r="D376" s="818" t="s">
        <v>38</v>
      </c>
      <c r="E376" s="173"/>
      <c r="F376" s="173"/>
      <c r="G376" s="174"/>
      <c r="H376" s="726"/>
      <c r="I376" s="269"/>
      <c r="J376" s="269"/>
      <c r="K376" s="465"/>
      <c r="L376" s="163"/>
      <c r="M376" s="163"/>
      <c r="N376" s="163"/>
      <c r="O376" s="163"/>
      <c r="P376" s="163"/>
    </row>
    <row r="377" spans="1:26" ht="18.75">
      <c r="A377" s="170"/>
      <c r="B377" s="342"/>
      <c r="C377" s="171"/>
      <c r="D377" s="342"/>
      <c r="E377" s="343" t="s">
        <v>161</v>
      </c>
      <c r="F377" s="342"/>
      <c r="G377" s="179"/>
      <c r="H377" s="185" t="s">
        <v>35</v>
      </c>
      <c r="I377" s="269">
        <v>0</v>
      </c>
      <c r="J377" s="269">
        <f ca="1">IFERROR(__xludf.DUMMYFUNCTION("IMPORTRANGE(""https://docs.google.com/spreadsheets/d/1XWAQStnk-4SwqDmLtmXYiTMKHgktTP8We1SCoS47DrQ/edit?usp=sharing"",""จัดที่ดิน!AH19"")"),29)</f>
        <v>29</v>
      </c>
      <c r="K377" s="465">
        <f t="shared" ref="K377:K382" si="163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342"/>
      <c r="C378" s="171"/>
      <c r="D378" s="342"/>
      <c r="E378" s="342"/>
      <c r="F378" s="342"/>
      <c r="G378" s="179"/>
      <c r="H378" s="185" t="s">
        <v>46</v>
      </c>
      <c r="I378" s="269">
        <f ca="1">IFERROR(__xludf.DUMMYFUNCTION("IMPORTRANGE(""https://docs.google.com/spreadsheets/d/1QqKyyYR6Q21VydFLVH3TRQUabQu_ym0Zz7PgGX0-kHA/edit?usp=sharing"",""แผน!ET19"")"),1000)</f>
        <v>1000</v>
      </c>
      <c r="J378" s="269">
        <f ca="1">IFERROR(__xludf.DUMMYFUNCTION("IMPORTRANGE(""https://docs.google.com/spreadsheets/d/1XWAQStnk-4SwqDmLtmXYiTMKHgktTP8We1SCoS47DrQ/edit?usp=sharing"",""จัดที่ดิน!AI19"")"),105.4)</f>
        <v>105.4</v>
      </c>
      <c r="K378" s="465">
        <f t="shared" ca="1" si="163"/>
        <v>10.54</v>
      </c>
      <c r="L378" s="163"/>
      <c r="M378" s="163"/>
      <c r="N378" s="163"/>
      <c r="O378" s="163"/>
      <c r="P378" s="163"/>
    </row>
    <row r="379" spans="1:26" ht="18.75">
      <c r="A379" s="170"/>
      <c r="B379" s="342"/>
      <c r="C379" s="171"/>
      <c r="D379" s="342"/>
      <c r="E379" s="343" t="s">
        <v>162</v>
      </c>
      <c r="F379" s="342"/>
      <c r="G379" s="179"/>
      <c r="H379" s="728" t="s">
        <v>35</v>
      </c>
      <c r="I379" s="269">
        <f ca="1">IFERROR(__xludf.DUMMYFUNCTION("IMPORTRANGE(""https://docs.google.com/spreadsheets/d/1QqKyyYR6Q21VydFLVH3TRQUabQu_ym0Zz7PgGX0-kHA/edit?usp=sharing"",""แผน!EU19"")"),440)</f>
        <v>440</v>
      </c>
      <c r="J379" s="269">
        <f ca="1">IFERROR(__xludf.DUMMYFUNCTION("IMPORTRANGE(""https://docs.google.com/spreadsheets/d/1XWAQStnk-4SwqDmLtmXYiTMKHgktTP8We1SCoS47DrQ/edit?usp=sharing"",""จัดที่ดิน!AJ19"")"),32)</f>
        <v>32</v>
      </c>
      <c r="K379" s="465">
        <f t="shared" ca="1" si="163"/>
        <v>7.2727272727272725</v>
      </c>
      <c r="L379" s="163"/>
      <c r="M379" s="163"/>
      <c r="N379" s="163"/>
      <c r="O379" s="163"/>
      <c r="P379" s="163"/>
    </row>
    <row r="380" spans="1:26" ht="18.75">
      <c r="A380" s="170"/>
      <c r="B380" s="342"/>
      <c r="C380" s="171"/>
      <c r="D380" s="342"/>
      <c r="E380" s="342"/>
      <c r="F380" s="342"/>
      <c r="G380" s="179"/>
      <c r="H380" s="728" t="s">
        <v>46</v>
      </c>
      <c r="I380" s="269">
        <v>0</v>
      </c>
      <c r="J380" s="269">
        <f ca="1">IFERROR(__xludf.DUMMYFUNCTION("IMPORTRANGE(""https://docs.google.com/spreadsheets/d/1XWAQStnk-4SwqDmLtmXYiTMKHgktTP8We1SCoS47DrQ/edit?usp=sharing"",""จัดที่ดิน!AK19"")"),110.83)</f>
        <v>110.83</v>
      </c>
      <c r="K380" s="465">
        <f t="shared" si="163"/>
        <v>0</v>
      </c>
      <c r="L380" s="163"/>
      <c r="M380" s="163"/>
      <c r="N380" s="163"/>
      <c r="O380" s="163"/>
      <c r="P380" s="163"/>
    </row>
    <row r="381" spans="1:26" ht="18.75">
      <c r="A381" s="170"/>
      <c r="B381" s="342"/>
      <c r="C381" s="171"/>
      <c r="D381" s="342"/>
      <c r="E381" s="343" t="s">
        <v>163</v>
      </c>
      <c r="F381" s="342"/>
      <c r="G381" s="179"/>
      <c r="H381" s="728" t="s">
        <v>35</v>
      </c>
      <c r="I381" s="269">
        <f ca="1">IFERROR(__xludf.DUMMYFUNCTION("IMPORTRANGE(""https://docs.google.com/spreadsheets/d/1QqKyyYR6Q21VydFLVH3TRQUabQu_ym0Zz7PgGX0-kHA/edit?usp=sharing"",""แผน!EU19"")"),440)</f>
        <v>440</v>
      </c>
      <c r="J381" s="269">
        <f ca="1">IFERROR(__xludf.DUMMYFUNCTION("IMPORTRANGE(""https://docs.google.com/spreadsheets/d/1XWAQStnk-4SwqDmLtmXYiTMKHgktTP8We1SCoS47DrQ/edit?usp=sharing"",""จัดที่ดิน!AL19"")"),32)</f>
        <v>32</v>
      </c>
      <c r="K381" s="465">
        <f t="shared" ca="1" si="163"/>
        <v>7.2727272727272725</v>
      </c>
      <c r="L381" s="163"/>
      <c r="M381" s="163"/>
      <c r="N381" s="163"/>
      <c r="O381" s="163"/>
      <c r="P381" s="163"/>
    </row>
    <row r="382" spans="1:26" ht="18.75">
      <c r="A382" s="438" t="s">
        <v>164</v>
      </c>
      <c r="B382" s="342"/>
      <c r="C382" s="171"/>
      <c r="D382" s="342"/>
      <c r="E382" s="415"/>
      <c r="F382" s="342"/>
      <c r="G382" s="179"/>
      <c r="H382" s="728" t="s">
        <v>46</v>
      </c>
      <c r="I382" s="269">
        <v>0</v>
      </c>
      <c r="J382" s="269">
        <f ca="1">IFERROR(__xludf.DUMMYFUNCTION("IMPORTRANGE(""https://docs.google.com/spreadsheets/d/1XWAQStnk-4SwqDmLtmXYiTMKHgktTP8We1SCoS47DrQ/edit?usp=sharing"",""จัดที่ดิน!AM19"")"),110.83)</f>
        <v>110.83</v>
      </c>
      <c r="K382" s="465">
        <f t="shared" si="163"/>
        <v>0</v>
      </c>
      <c r="L382" s="163"/>
      <c r="M382" s="163"/>
      <c r="N382" s="163"/>
      <c r="O382" s="163"/>
      <c r="P382" s="163"/>
    </row>
    <row r="383" spans="1:26" ht="19.5">
      <c r="A383" s="255"/>
      <c r="B383" s="263"/>
      <c r="C383" s="256"/>
      <c r="D383" s="845" t="s">
        <v>170</v>
      </c>
      <c r="E383" s="256"/>
      <c r="F383" s="256"/>
      <c r="G383" s="258"/>
      <c r="H383" s="423"/>
      <c r="I383" s="260"/>
      <c r="J383" s="260"/>
      <c r="K383" s="261"/>
      <c r="L383" s="261"/>
      <c r="M383" s="261"/>
      <c r="N383" s="261"/>
      <c r="O383" s="261"/>
      <c r="P383" s="261"/>
    </row>
    <row r="384" spans="1:26" ht="19.5">
      <c r="A384" s="170"/>
      <c r="B384" s="171"/>
      <c r="C384" s="33" t="s">
        <v>16</v>
      </c>
      <c r="D384" s="818" t="s">
        <v>38</v>
      </c>
      <c r="E384" s="173"/>
      <c r="F384" s="173"/>
      <c r="G384" s="174"/>
      <c r="H384" s="726"/>
      <c r="I384" s="269"/>
      <c r="J384" s="269"/>
      <c r="K384" s="465"/>
      <c r="L384" s="163"/>
      <c r="M384" s="163"/>
      <c r="N384" s="163"/>
      <c r="O384" s="163"/>
      <c r="P384" s="163"/>
    </row>
    <row r="385" spans="1:26" ht="18.75">
      <c r="A385" s="346"/>
      <c r="B385" s="349"/>
      <c r="C385" s="347"/>
      <c r="D385" s="349"/>
      <c r="E385" s="466" t="s">
        <v>163</v>
      </c>
      <c r="F385" s="349"/>
      <c r="G385" s="350"/>
      <c r="H385" s="467" t="s">
        <v>35</v>
      </c>
      <c r="I385" s="468">
        <f ca="1">IFERROR(__xludf.DUMMYFUNCTION("IMPORTRANGE(""https://docs.google.com/spreadsheets/d/1QqKyyYR6Q21VydFLVH3TRQUabQu_ym0Zz7PgGX0-kHA/edit?usp=sharing"",""แผน!EW19"")"),50)</f>
        <v>50</v>
      </c>
      <c r="J385" s="468">
        <f ca="1">IFERROR(__xludf.DUMMYFUNCTION("IMPORTRANGE(""https://docs.google.com/spreadsheets/d/1XWAQStnk-4SwqDmLtmXYiTMKHgktTP8We1SCoS47DrQ/edit?usp=sharing"",""จัดที่ดิน!AP19"")"),4)</f>
        <v>4</v>
      </c>
      <c r="K385" s="469">
        <f ca="1">IF(I385&gt;0,J385*100/I385,0)</f>
        <v>8</v>
      </c>
      <c r="L385" s="353"/>
      <c r="M385" s="353"/>
      <c r="N385" s="353"/>
      <c r="O385" s="353"/>
      <c r="P385" s="353"/>
    </row>
    <row r="386" spans="1:26" ht="19.5" hidden="1">
      <c r="A386" s="470" t="s">
        <v>171</v>
      </c>
      <c r="B386" s="471"/>
      <c r="C386" s="471"/>
      <c r="D386" s="471"/>
      <c r="E386" s="472"/>
      <c r="F386" s="472"/>
      <c r="G386" s="473"/>
      <c r="H386" s="474"/>
      <c r="I386" s="475"/>
      <c r="J386" s="475"/>
      <c r="K386" s="476"/>
      <c r="L386" s="476"/>
      <c r="M386" s="476"/>
      <c r="N386" s="476"/>
      <c r="O386" s="476"/>
      <c r="P386" s="476"/>
    </row>
    <row r="387" spans="1:26" ht="19.5" hidden="1">
      <c r="A387" s="477" t="s">
        <v>172</v>
      </c>
      <c r="B387" s="478"/>
      <c r="C387" s="478"/>
      <c r="D387" s="479"/>
      <c r="E387" s="478"/>
      <c r="F387" s="478"/>
      <c r="G387" s="478"/>
      <c r="H387" s="480"/>
      <c r="I387" s="481"/>
      <c r="J387" s="481"/>
      <c r="K387" s="482"/>
      <c r="L387" s="482"/>
      <c r="M387" s="482"/>
      <c r="N387" s="482"/>
      <c r="O387" s="482"/>
      <c r="P387" s="482"/>
    </row>
    <row r="388" spans="1:26" ht="19.5" hidden="1">
      <c r="A388" s="483"/>
      <c r="B388" s="484" t="s">
        <v>173</v>
      </c>
      <c r="C388" s="485"/>
      <c r="D388" s="486"/>
      <c r="E388" s="486"/>
      <c r="F388" s="486"/>
      <c r="G388" s="487"/>
      <c r="H388" s="488" t="s">
        <v>69</v>
      </c>
      <c r="I388" s="489">
        <f t="shared" ref="I388:J388" si="164">I400</f>
        <v>0</v>
      </c>
      <c r="J388" s="489">
        <f t="shared" si="164"/>
        <v>0</v>
      </c>
      <c r="K388" s="490">
        <f>IF(I388&gt;0,J388*100/I388,0)</f>
        <v>0</v>
      </c>
      <c r="L388" s="491"/>
      <c r="M388" s="491"/>
      <c r="N388" s="491"/>
      <c r="O388" s="491"/>
      <c r="P388" s="491"/>
    </row>
    <row r="389" spans="1:26" ht="19.5" hidden="1">
      <c r="A389" s="147"/>
      <c r="B389" s="148"/>
      <c r="C389" s="149" t="s">
        <v>16</v>
      </c>
      <c r="D389" s="817" t="s">
        <v>17</v>
      </c>
      <c r="E389" s="148"/>
      <c r="F389" s="148"/>
      <c r="G389" s="151"/>
      <c r="H389" s="152" t="s">
        <v>12</v>
      </c>
      <c r="I389" s="388"/>
      <c r="J389" s="388"/>
      <c r="K389" s="154"/>
      <c r="L389" s="155">
        <f t="shared" ref="L389:N389" ca="1" si="165">L390+L391</f>
        <v>0</v>
      </c>
      <c r="M389" s="155">
        <f t="shared" ca="1" si="165"/>
        <v>0</v>
      </c>
      <c r="N389" s="155">
        <f t="shared" ca="1" si="165"/>
        <v>0</v>
      </c>
      <c r="O389" s="155">
        <f t="shared" ref="O389:O397" ca="1" si="166">IF(L389&gt;0,N389*100/L389,0)</f>
        <v>0</v>
      </c>
      <c r="P389" s="155">
        <f t="shared" ref="P389:P397" ca="1" si="167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2" t="s">
        <v>18</v>
      </c>
      <c r="F390" s="40"/>
      <c r="G390" s="157"/>
      <c r="H390" s="158" t="s">
        <v>12</v>
      </c>
      <c r="I390" s="583"/>
      <c r="J390" s="583"/>
      <c r="K390" s="93"/>
      <c r="L390" s="93">
        <f t="shared" ref="L390:N391" si="168">L393+L396</f>
        <v>0</v>
      </c>
      <c r="M390" s="93">
        <f t="shared" si="168"/>
        <v>0</v>
      </c>
      <c r="N390" s="93">
        <f t="shared" si="168"/>
        <v>0</v>
      </c>
      <c r="O390" s="93">
        <f t="shared" si="166"/>
        <v>0</v>
      </c>
      <c r="P390" s="93">
        <f t="shared" si="167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2" t="s">
        <v>19</v>
      </c>
      <c r="F391" s="40"/>
      <c r="G391" s="157"/>
      <c r="H391" s="158" t="s">
        <v>12</v>
      </c>
      <c r="I391" s="583"/>
      <c r="J391" s="583"/>
      <c r="K391" s="93"/>
      <c r="L391" s="93">
        <f t="shared" ca="1" si="168"/>
        <v>0</v>
      </c>
      <c r="M391" s="93">
        <f t="shared" ca="1" si="168"/>
        <v>0</v>
      </c>
      <c r="N391" s="93">
        <f t="shared" ca="1" si="168"/>
        <v>0</v>
      </c>
      <c r="O391" s="93">
        <f t="shared" ca="1" si="166"/>
        <v>0</v>
      </c>
      <c r="P391" s="93">
        <f t="shared" ca="1" si="167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1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65">
        <f t="shared" ref="L392:N392" ca="1" si="169">L393+L394</f>
        <v>0</v>
      </c>
      <c r="M392" s="465">
        <f t="shared" ca="1" si="169"/>
        <v>0</v>
      </c>
      <c r="N392" s="465">
        <f t="shared" ca="1" si="169"/>
        <v>0</v>
      </c>
      <c r="O392" s="465">
        <f t="shared" ca="1" si="166"/>
        <v>0</v>
      </c>
      <c r="P392" s="465">
        <f t="shared" ca="1" si="167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2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6"/>
        <v>0</v>
      </c>
      <c r="P393" s="93">
        <f t="shared" si="167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2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IFERROR(__xludf.DUMMYFUNCTION("IMPORTRANGE(""https://docs.google.com/spreadsheets/d/1MeEWN-I1oV_STSDYn1IFDPWt_1FKiwhDph83XaGc0o0/edit?usp=sharing"",""งบพรบ!FG19"")"),0)</f>
        <v>0</v>
      </c>
      <c r="M394" s="93">
        <f ca="1">IFERROR(__xludf.DUMMYFUNCTION("IMPORTRANGE(""https://docs.google.com/spreadsheets/d/1MeEWN-I1oV_STSDYn1IFDPWt_1FKiwhDph83XaGc0o0/edit?usp=sharing"",""งบพรบ!FL19"")"),0)</f>
        <v>0</v>
      </c>
      <c r="N394" s="93">
        <f ca="1">IFERROR(__xludf.DUMMYFUNCTION("IMPORTRANGE(""https://docs.google.com/spreadsheets/d/1MeEWN-I1oV_STSDYn1IFDPWt_1FKiwhDph83XaGc0o0/edit?usp=sharing"",""งบพรบ!FN19"")"),0)</f>
        <v>0</v>
      </c>
      <c r="O394" s="93">
        <f t="shared" ca="1" si="166"/>
        <v>0</v>
      </c>
      <c r="P394" s="93">
        <f t="shared" ca="1" si="167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1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65">
        <f t="shared" ref="L395:N395" ca="1" si="170">L396+L397</f>
        <v>0</v>
      </c>
      <c r="M395" s="465">
        <f t="shared" ca="1" si="170"/>
        <v>0</v>
      </c>
      <c r="N395" s="465">
        <f t="shared" ca="1" si="170"/>
        <v>0</v>
      </c>
      <c r="O395" s="465">
        <f t="shared" ca="1" si="166"/>
        <v>0</v>
      </c>
      <c r="P395" s="465">
        <f t="shared" ca="1" si="167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2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6"/>
        <v>0</v>
      </c>
      <c r="P396" s="93">
        <f t="shared" si="167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2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IFERROR(__xludf.DUMMYFUNCTION("IMPORTRANGE(""https://docs.google.com/spreadsheets/d/1MeEWN-I1oV_STSDYn1IFDPWt_1FKiwhDph83XaGc0o0/edit?usp=sharing"",""งบพรบ!FJ19"")"),0)</f>
        <v>0</v>
      </c>
      <c r="M397" s="93">
        <f ca="1">IFERROR(__xludf.DUMMYFUNCTION("IMPORTRANGE(""https://docs.google.com/spreadsheets/d/1MeEWN-I1oV_STSDYn1IFDPWt_1FKiwhDph83XaGc0o0/edit?usp=sharing"",""งบพรบ!FM19"")"),0)</f>
        <v>0</v>
      </c>
      <c r="N397" s="93">
        <f ca="1">IFERROR(__xludf.DUMMYFUNCTION("IMPORTRANGE(""https://docs.google.com/spreadsheets/d/1MeEWN-I1oV_STSDYn1IFDPWt_1FKiwhDph83XaGc0o0/edit?usp=sharing"",""งบพรบ!FO19"")"),0)</f>
        <v>0</v>
      </c>
      <c r="O397" s="93">
        <f t="shared" ca="1" si="166"/>
        <v>0</v>
      </c>
      <c r="P397" s="93">
        <f t="shared" ca="1" si="167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18" t="s">
        <v>38</v>
      </c>
      <c r="E398" s="173"/>
      <c r="F398" s="173"/>
      <c r="G398" s="174"/>
      <c r="H398" s="726"/>
      <c r="I398" s="184"/>
      <c r="J398" s="269"/>
      <c r="K398" s="465"/>
      <c r="L398" s="465"/>
      <c r="M398" s="465"/>
      <c r="N398" s="465"/>
      <c r="O398" s="163"/>
      <c r="P398" s="163"/>
    </row>
    <row r="399" spans="1:26" ht="18.75" hidden="1">
      <c r="A399" s="492"/>
      <c r="B399" s="148"/>
      <c r="C399" s="493"/>
      <c r="D399" s="494" t="s">
        <v>174</v>
      </c>
      <c r="E399" s="383"/>
      <c r="F399" s="148"/>
      <c r="G399" s="151"/>
      <c r="H399" s="495" t="s">
        <v>9</v>
      </c>
      <c r="I399" s="269">
        <v>0</v>
      </c>
      <c r="J399" s="214">
        <v>0</v>
      </c>
      <c r="K399" s="465">
        <f t="shared" ref="K399:K401" si="171">IF(I399&gt;0,J399*100/I399,0)</f>
        <v>0</v>
      </c>
      <c r="L399" s="496"/>
      <c r="M399" s="496"/>
      <c r="N399" s="496"/>
      <c r="O399" s="496"/>
      <c r="P399" s="496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3"/>
      <c r="B400" s="33"/>
      <c r="C400" s="280"/>
      <c r="D400" s="415" t="s">
        <v>175</v>
      </c>
      <c r="E400" s="171"/>
      <c r="F400" s="33"/>
      <c r="G400" s="35"/>
      <c r="H400" s="276" t="s">
        <v>69</v>
      </c>
      <c r="I400" s="269">
        <v>0</v>
      </c>
      <c r="J400" s="214">
        <v>0</v>
      </c>
      <c r="K400" s="465">
        <f t="shared" si="171"/>
        <v>0</v>
      </c>
      <c r="L400" s="465"/>
      <c r="M400" s="465"/>
      <c r="N400" s="465"/>
      <c r="O400" s="465"/>
      <c r="P400" s="465"/>
    </row>
    <row r="401" spans="1:26" ht="19.5" hidden="1">
      <c r="A401" s="483"/>
      <c r="B401" s="484" t="s">
        <v>176</v>
      </c>
      <c r="C401" s="485"/>
      <c r="D401" s="486"/>
      <c r="E401" s="486"/>
      <c r="F401" s="486"/>
      <c r="G401" s="487"/>
      <c r="H401" s="488" t="s">
        <v>69</v>
      </c>
      <c r="I401" s="489">
        <f t="shared" ref="I401:J401" si="172">I412</f>
        <v>0</v>
      </c>
      <c r="J401" s="489">
        <f t="shared" si="172"/>
        <v>0</v>
      </c>
      <c r="K401" s="490">
        <f t="shared" si="171"/>
        <v>0</v>
      </c>
      <c r="L401" s="491"/>
      <c r="M401" s="491"/>
      <c r="N401" s="491"/>
      <c r="O401" s="491"/>
      <c r="P401" s="491"/>
    </row>
    <row r="402" spans="1:26" ht="19.5" hidden="1">
      <c r="A402" s="147"/>
      <c r="B402" s="148"/>
      <c r="C402" s="149" t="s">
        <v>16</v>
      </c>
      <c r="D402" s="817" t="s">
        <v>17</v>
      </c>
      <c r="E402" s="148"/>
      <c r="F402" s="148"/>
      <c r="G402" s="151"/>
      <c r="H402" s="152" t="s">
        <v>12</v>
      </c>
      <c r="I402" s="388"/>
      <c r="J402" s="388"/>
      <c r="K402" s="154"/>
      <c r="L402" s="155">
        <f t="shared" ref="L402:N402" ca="1" si="173">L403+L404</f>
        <v>0</v>
      </c>
      <c r="M402" s="155">
        <f t="shared" ca="1" si="173"/>
        <v>0</v>
      </c>
      <c r="N402" s="155">
        <f t="shared" ca="1" si="173"/>
        <v>0</v>
      </c>
      <c r="O402" s="155">
        <f t="shared" ref="O402:O410" ca="1" si="174">IF(L402&gt;0,N402*100/L402,0)</f>
        <v>0</v>
      </c>
      <c r="P402" s="155">
        <f t="shared" ref="P402:P410" ca="1" si="175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2" t="s">
        <v>18</v>
      </c>
      <c r="F403" s="40"/>
      <c r="G403" s="157"/>
      <c r="H403" s="158" t="s">
        <v>12</v>
      </c>
      <c r="I403" s="583"/>
      <c r="J403" s="583"/>
      <c r="K403" s="93"/>
      <c r="L403" s="93">
        <f t="shared" ref="L403:N404" si="176">L406+L409</f>
        <v>0</v>
      </c>
      <c r="M403" s="93">
        <f t="shared" si="176"/>
        <v>0</v>
      </c>
      <c r="N403" s="93">
        <f t="shared" si="176"/>
        <v>0</v>
      </c>
      <c r="O403" s="93">
        <f t="shared" si="174"/>
        <v>0</v>
      </c>
      <c r="P403" s="93">
        <f t="shared" si="175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2" t="s">
        <v>19</v>
      </c>
      <c r="F404" s="40"/>
      <c r="G404" s="157"/>
      <c r="H404" s="158" t="s">
        <v>12</v>
      </c>
      <c r="I404" s="583"/>
      <c r="J404" s="583"/>
      <c r="K404" s="93"/>
      <c r="L404" s="93">
        <f t="shared" ca="1" si="176"/>
        <v>0</v>
      </c>
      <c r="M404" s="93">
        <f t="shared" ca="1" si="176"/>
        <v>0</v>
      </c>
      <c r="N404" s="93">
        <f t="shared" ca="1" si="176"/>
        <v>0</v>
      </c>
      <c r="O404" s="93">
        <f t="shared" ca="1" si="174"/>
        <v>0</v>
      </c>
      <c r="P404" s="93">
        <f t="shared" ca="1" si="175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1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65">
        <f t="shared" ref="L405:N405" ca="1" si="177">L406+L407</f>
        <v>0</v>
      </c>
      <c r="M405" s="465">
        <f t="shared" ca="1" si="177"/>
        <v>0</v>
      </c>
      <c r="N405" s="465">
        <f t="shared" ca="1" si="177"/>
        <v>0</v>
      </c>
      <c r="O405" s="465">
        <f t="shared" ca="1" si="174"/>
        <v>0</v>
      </c>
      <c r="P405" s="465">
        <f t="shared" ca="1" si="175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2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4"/>
        <v>0</v>
      </c>
      <c r="P406" s="93">
        <f t="shared" si="175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2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IFERROR(__xludf.DUMMYFUNCTION("IMPORTRANGE(""https://docs.google.com/spreadsheets/d/1MeEWN-I1oV_STSDYn1IFDPWt_1FKiwhDph83XaGc0o0/edit?usp=sharing"",""งบพรบ!FQ19"")"),0)</f>
        <v>0</v>
      </c>
      <c r="M407" s="93">
        <f ca="1">IFERROR(__xludf.DUMMYFUNCTION("IMPORTRANGE(""https://docs.google.com/spreadsheets/d/1MeEWN-I1oV_STSDYn1IFDPWt_1FKiwhDph83XaGc0o0/edit?usp=sharing"",""งบพรบ!FV19"")"),0)</f>
        <v>0</v>
      </c>
      <c r="N407" s="93">
        <f ca="1">IFERROR(__xludf.DUMMYFUNCTION("IMPORTRANGE(""https://docs.google.com/spreadsheets/d/1MeEWN-I1oV_STSDYn1IFDPWt_1FKiwhDph83XaGc0o0/edit?usp=sharing"",""งบพรบ!FX19"")"),0)</f>
        <v>0</v>
      </c>
      <c r="O407" s="93">
        <f t="shared" ca="1" si="174"/>
        <v>0</v>
      </c>
      <c r="P407" s="93">
        <f t="shared" ca="1" si="175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1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65">
        <f t="shared" ref="L408:N408" ca="1" si="178">L409+L410</f>
        <v>0</v>
      </c>
      <c r="M408" s="465">
        <f t="shared" ca="1" si="178"/>
        <v>0</v>
      </c>
      <c r="N408" s="465">
        <f t="shared" ca="1" si="178"/>
        <v>0</v>
      </c>
      <c r="O408" s="465">
        <f t="shared" ca="1" si="174"/>
        <v>0</v>
      </c>
      <c r="P408" s="465">
        <f t="shared" ca="1" si="175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2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4"/>
        <v>0</v>
      </c>
      <c r="P409" s="93">
        <f t="shared" si="175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2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IFERROR(__xludf.DUMMYFUNCTION("IMPORTRANGE(""https://docs.google.com/spreadsheets/d/1MeEWN-I1oV_STSDYn1IFDPWt_1FKiwhDph83XaGc0o0/edit?usp=sharing"",""งบพรบ!FT19"")"),0)</f>
        <v>0</v>
      </c>
      <c r="M410" s="93">
        <f ca="1">IFERROR(__xludf.DUMMYFUNCTION("IMPORTRANGE(""https://docs.google.com/spreadsheets/d/1MeEWN-I1oV_STSDYn1IFDPWt_1FKiwhDph83XaGc0o0/edit?usp=sharing"",""งบพรบ!FW19"")"),0)</f>
        <v>0</v>
      </c>
      <c r="N410" s="93">
        <f ca="1">IFERROR(__xludf.DUMMYFUNCTION("IMPORTRANGE(""https://docs.google.com/spreadsheets/d/1MeEWN-I1oV_STSDYn1IFDPWt_1FKiwhDph83XaGc0o0/edit?usp=sharing"",""งบพรบ!FY19"")"),0)</f>
        <v>0</v>
      </c>
      <c r="O410" s="93">
        <f t="shared" ca="1" si="174"/>
        <v>0</v>
      </c>
      <c r="P410" s="93">
        <f t="shared" ca="1" si="175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47" t="s">
        <v>38</v>
      </c>
      <c r="E411" s="498"/>
      <c r="F411" s="498"/>
      <c r="G411" s="499"/>
      <c r="H411" s="726"/>
      <c r="I411" s="269"/>
      <c r="J411" s="269"/>
      <c r="K411" s="465"/>
      <c r="L411" s="163"/>
      <c r="M411" s="163"/>
      <c r="N411" s="163"/>
      <c r="O411" s="163"/>
      <c r="P411" s="163"/>
    </row>
    <row r="412" spans="1:26" ht="18.75" hidden="1">
      <c r="A412" s="170"/>
      <c r="B412" s="342"/>
      <c r="C412" s="342"/>
      <c r="D412" s="415" t="s">
        <v>177</v>
      </c>
      <c r="E412" s="342"/>
      <c r="F412" s="342"/>
      <c r="G412" s="179"/>
      <c r="H412" s="500" t="s">
        <v>69</v>
      </c>
      <c r="I412" s="269">
        <v>0</v>
      </c>
      <c r="J412" s="214">
        <v>0</v>
      </c>
      <c r="K412" s="465">
        <f t="shared" ref="K412:K413" si="179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01"/>
      <c r="B413" s="502"/>
      <c r="C413" s="502"/>
      <c r="D413" s="503" t="s">
        <v>178</v>
      </c>
      <c r="E413" s="502"/>
      <c r="F413" s="502"/>
      <c r="G413" s="504"/>
      <c r="H413" s="505" t="s">
        <v>179</v>
      </c>
      <c r="I413" s="506">
        <v>0</v>
      </c>
      <c r="J413" s="507">
        <v>0</v>
      </c>
      <c r="K413" s="508">
        <f t="shared" si="179"/>
        <v>0</v>
      </c>
      <c r="L413" s="509"/>
      <c r="M413" s="509"/>
      <c r="N413" s="509"/>
      <c r="O413" s="509"/>
      <c r="P413" s="509"/>
    </row>
    <row r="414" spans="1:26" ht="19.5">
      <c r="A414" s="510" t="s">
        <v>180</v>
      </c>
      <c r="B414" s="511"/>
      <c r="C414" s="511"/>
      <c r="D414" s="511"/>
      <c r="E414" s="511"/>
      <c r="F414" s="511"/>
      <c r="G414" s="512"/>
      <c r="H414" s="513"/>
      <c r="I414" s="514"/>
      <c r="J414" s="514"/>
      <c r="K414" s="515"/>
      <c r="L414" s="516">
        <f t="shared" ref="L414:N414" ca="1" si="180">L419+L444+L467+L502+L523+L544+L629+L655+L685+L737+L754+L770+L786+L805</f>
        <v>1689402</v>
      </c>
      <c r="M414" s="516">
        <f t="shared" si="180"/>
        <v>0</v>
      </c>
      <c r="N414" s="516">
        <f t="shared" si="180"/>
        <v>65105</v>
      </c>
      <c r="O414" s="516">
        <f ca="1">IF(L414&gt;0,N414*100/L414,0)</f>
        <v>3.8537304916177439</v>
      </c>
      <c r="P414" s="516">
        <f>IF(M414&gt;0,N414*100/M414,0)</f>
        <v>0</v>
      </c>
    </row>
    <row r="415" spans="1:26" ht="19.5">
      <c r="A415" s="517" t="s">
        <v>181</v>
      </c>
      <c r="B415" s="518"/>
      <c r="C415" s="518"/>
      <c r="D415" s="518"/>
      <c r="E415" s="518"/>
      <c r="F415" s="518"/>
      <c r="G415" s="518"/>
      <c r="H415" s="519"/>
      <c r="I415" s="520"/>
      <c r="J415" s="520"/>
      <c r="K415" s="521"/>
      <c r="L415" s="522"/>
      <c r="M415" s="522"/>
      <c r="N415" s="522"/>
      <c r="O415" s="522"/>
      <c r="P415" s="522"/>
    </row>
    <row r="416" spans="1:26" ht="19.5">
      <c r="A416" s="517" t="s">
        <v>182</v>
      </c>
      <c r="B416" s="518"/>
      <c r="C416" s="518"/>
      <c r="D416" s="518"/>
      <c r="E416" s="518"/>
      <c r="F416" s="518"/>
      <c r="G416" s="523"/>
      <c r="H416" s="524"/>
      <c r="I416" s="525"/>
      <c r="J416" s="525"/>
      <c r="K416" s="522"/>
      <c r="L416" s="522"/>
      <c r="M416" s="522"/>
      <c r="N416" s="522"/>
      <c r="O416" s="522"/>
      <c r="P416" s="522"/>
    </row>
    <row r="417" spans="1:26" ht="22.5" customHeight="1">
      <c r="A417" s="526">
        <v>1</v>
      </c>
      <c r="B417" s="528" t="s">
        <v>183</v>
      </c>
      <c r="C417" s="528"/>
      <c r="D417" s="529"/>
      <c r="E417" s="529"/>
      <c r="F417" s="529"/>
      <c r="G417" s="530"/>
      <c r="H417" s="531" t="s">
        <v>35</v>
      </c>
      <c r="I417" s="532">
        <f t="shared" ref="I417:J418" ca="1" si="181">I433</f>
        <v>20</v>
      </c>
      <c r="J417" s="532">
        <f t="shared" ca="1" si="181"/>
        <v>0</v>
      </c>
      <c r="K417" s="533">
        <f t="shared" ref="K417:K418" ca="1" si="182">IF(I417&gt;0,J417*100/I417,0)</f>
        <v>0</v>
      </c>
      <c r="L417" s="534"/>
      <c r="M417" s="534"/>
      <c r="N417" s="534"/>
      <c r="O417" s="534"/>
      <c r="P417" s="534"/>
    </row>
    <row r="418" spans="1:26" ht="19.5">
      <c r="A418" s="535"/>
      <c r="B418" s="526"/>
      <c r="C418" s="528"/>
      <c r="D418" s="529"/>
      <c r="E418" s="529"/>
      <c r="F418" s="529"/>
      <c r="G418" s="530"/>
      <c r="H418" s="531" t="s">
        <v>49</v>
      </c>
      <c r="I418" s="532">
        <f t="shared" ca="1" si="181"/>
        <v>1</v>
      </c>
      <c r="J418" s="532">
        <f t="shared" si="181"/>
        <v>0</v>
      </c>
      <c r="K418" s="533">
        <f t="shared" ca="1" si="182"/>
        <v>0</v>
      </c>
      <c r="L418" s="534"/>
      <c r="M418" s="534"/>
      <c r="N418" s="534"/>
      <c r="O418" s="534"/>
      <c r="P418" s="534"/>
    </row>
    <row r="419" spans="1:26" ht="19.5">
      <c r="A419" s="147"/>
      <c r="B419" s="148"/>
      <c r="C419" s="148" t="s">
        <v>16</v>
      </c>
      <c r="D419" s="848" t="s">
        <v>17</v>
      </c>
      <c r="E419" s="810"/>
      <c r="F419" s="810"/>
      <c r="G419" s="151"/>
      <c r="H419" s="274" t="s">
        <v>12</v>
      </c>
      <c r="I419" s="388"/>
      <c r="J419" s="388"/>
      <c r="K419" s="154"/>
      <c r="L419" s="155">
        <f t="shared" ref="L419:N419" ca="1" si="183">L420+L421</f>
        <v>78660</v>
      </c>
      <c r="M419" s="155">
        <f t="shared" si="183"/>
        <v>0</v>
      </c>
      <c r="N419" s="155">
        <f t="shared" si="183"/>
        <v>1000</v>
      </c>
      <c r="O419" s="155">
        <f t="shared" ref="O419:O424" ca="1" si="184">IF(L419&gt;0,N419*100/L419,0)</f>
        <v>1.2712941774726672</v>
      </c>
      <c r="P419" s="155">
        <f t="shared" ref="P419:P424" si="185">IF(M419&gt;0,N419*100/M419,0)</f>
        <v>0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536"/>
      <c r="E420" s="222" t="s">
        <v>184</v>
      </c>
      <c r="F420" s="40"/>
      <c r="G420" s="157"/>
      <c r="H420" s="165" t="s">
        <v>12</v>
      </c>
      <c r="I420" s="583"/>
      <c r="J420" s="583"/>
      <c r="K420" s="93"/>
      <c r="L420" s="93">
        <f t="shared" ref="L420:N421" si="186">L423+L430</f>
        <v>0</v>
      </c>
      <c r="M420" s="93">
        <f t="shared" si="186"/>
        <v>0</v>
      </c>
      <c r="N420" s="93">
        <f t="shared" si="186"/>
        <v>0</v>
      </c>
      <c r="O420" s="93">
        <f t="shared" si="184"/>
        <v>0</v>
      </c>
      <c r="P420" s="93">
        <f t="shared" si="185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536"/>
      <c r="E421" s="222" t="s">
        <v>185</v>
      </c>
      <c r="F421" s="40"/>
      <c r="G421" s="157"/>
      <c r="H421" s="165" t="s">
        <v>12</v>
      </c>
      <c r="I421" s="583"/>
      <c r="J421" s="583"/>
      <c r="K421" s="93"/>
      <c r="L421" s="93">
        <f t="shared" ca="1" si="186"/>
        <v>78660</v>
      </c>
      <c r="M421" s="93">
        <f t="shared" si="186"/>
        <v>0</v>
      </c>
      <c r="N421" s="93">
        <f t="shared" si="186"/>
        <v>1000</v>
      </c>
      <c r="O421" s="93">
        <f t="shared" ca="1" si="184"/>
        <v>1.2712941774726672</v>
      </c>
      <c r="P421" s="93">
        <f t="shared" si="185"/>
        <v>0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0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65">
        <f t="shared" ref="L422:N422" ca="1" si="187">L423+L424</f>
        <v>78660</v>
      </c>
      <c r="M422" s="465">
        <f t="shared" si="187"/>
        <v>0</v>
      </c>
      <c r="N422" s="465">
        <f t="shared" si="187"/>
        <v>1000</v>
      </c>
      <c r="O422" s="465">
        <f t="shared" ca="1" si="184"/>
        <v>1.2712941774726672</v>
      </c>
      <c r="P422" s="465">
        <f t="shared" si="185"/>
        <v>0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536"/>
      <c r="E423" s="222" t="s">
        <v>184</v>
      </c>
      <c r="F423" s="40"/>
      <c r="G423" s="157"/>
      <c r="H423" s="165" t="s">
        <v>12</v>
      </c>
      <c r="I423" s="583"/>
      <c r="J423" s="583"/>
      <c r="K423" s="93"/>
      <c r="L423" s="93">
        <v>0</v>
      </c>
      <c r="M423" s="93">
        <v>0</v>
      </c>
      <c r="N423" s="93">
        <v>0</v>
      </c>
      <c r="O423" s="93">
        <f t="shared" si="184"/>
        <v>0</v>
      </c>
      <c r="P423" s="93">
        <f t="shared" si="185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536"/>
      <c r="E424" s="222" t="s">
        <v>185</v>
      </c>
      <c r="F424" s="40"/>
      <c r="G424" s="157"/>
      <c r="H424" s="165" t="s">
        <v>12</v>
      </c>
      <c r="I424" s="583"/>
      <c r="J424" s="583"/>
      <c r="K424" s="93"/>
      <c r="L424" s="93">
        <f ca="1">IFERROR(__xludf.DUMMYFUNCTION("IMPORTRANGE(""https://docs.google.com/spreadsheets/d/1QqKyyYR6Q21VydFLVH3TRQUabQu_ym0Zz7PgGX0-kHA/edit?usp=sharing"",""แผน!EY19"")"),78660)</f>
        <v>78660</v>
      </c>
      <c r="M424" s="93">
        <v>0</v>
      </c>
      <c r="N424" s="93">
        <f>N425+N426+N427+N428</f>
        <v>1000</v>
      </c>
      <c r="O424" s="93">
        <f t="shared" ca="1" si="184"/>
        <v>1.2712941774726672</v>
      </c>
      <c r="P424" s="93">
        <f t="shared" si="185"/>
        <v>0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37"/>
      <c r="B425" s="538"/>
      <c r="C425" s="727"/>
      <c r="D425" s="727"/>
      <c r="E425" s="727"/>
      <c r="F425" s="727" t="s">
        <v>186</v>
      </c>
      <c r="G425" s="189"/>
      <c r="H425" s="161" t="s">
        <v>12</v>
      </c>
      <c r="I425" s="269"/>
      <c r="J425" s="269"/>
      <c r="K425" s="465"/>
      <c r="L425" s="465"/>
      <c r="M425" s="465"/>
      <c r="N425" s="789">
        <v>0</v>
      </c>
      <c r="O425" s="465"/>
      <c r="P425" s="465"/>
      <c r="Q425" s="541"/>
      <c r="R425" s="541"/>
      <c r="S425" s="541"/>
      <c r="T425" s="541"/>
      <c r="U425" s="541"/>
      <c r="V425" s="541"/>
      <c r="W425" s="541"/>
      <c r="X425" s="541"/>
      <c r="Y425" s="541"/>
      <c r="Z425" s="541"/>
    </row>
    <row r="426" spans="1:26" ht="18.75">
      <c r="A426" s="537"/>
      <c r="B426" s="538"/>
      <c r="C426" s="727"/>
      <c r="D426" s="727"/>
      <c r="E426" s="727"/>
      <c r="F426" s="727" t="s">
        <v>187</v>
      </c>
      <c r="G426" s="189"/>
      <c r="H426" s="161" t="s">
        <v>12</v>
      </c>
      <c r="I426" s="269"/>
      <c r="J426" s="269"/>
      <c r="K426" s="465"/>
      <c r="L426" s="465"/>
      <c r="M426" s="465"/>
      <c r="N426" s="789">
        <v>0</v>
      </c>
      <c r="O426" s="465"/>
      <c r="P426" s="465"/>
      <c r="Q426" s="541"/>
      <c r="R426" s="541"/>
      <c r="S426" s="541"/>
      <c r="T426" s="541"/>
      <c r="U426" s="541"/>
      <c r="V426" s="541"/>
      <c r="W426" s="541"/>
      <c r="X426" s="541"/>
      <c r="Y426" s="541"/>
      <c r="Z426" s="541"/>
    </row>
    <row r="427" spans="1:26" ht="18.75">
      <c r="A427" s="537"/>
      <c r="B427" s="538"/>
      <c r="C427" s="727"/>
      <c r="D427" s="727"/>
      <c r="E427" s="727"/>
      <c r="F427" s="727" t="s">
        <v>188</v>
      </c>
      <c r="G427" s="189"/>
      <c r="H427" s="161" t="s">
        <v>12</v>
      </c>
      <c r="I427" s="269"/>
      <c r="J427" s="269"/>
      <c r="K427" s="465"/>
      <c r="L427" s="465"/>
      <c r="M427" s="465"/>
      <c r="N427" s="789">
        <v>0</v>
      </c>
      <c r="O427" s="465"/>
      <c r="P427" s="465"/>
      <c r="Q427" s="541"/>
      <c r="R427" s="541"/>
      <c r="S427" s="541"/>
      <c r="T427" s="541"/>
      <c r="U427" s="541"/>
      <c r="V427" s="541"/>
      <c r="W427" s="541"/>
      <c r="X427" s="541"/>
      <c r="Y427" s="541"/>
      <c r="Z427" s="541"/>
    </row>
    <row r="428" spans="1:26" ht="18.75">
      <c r="A428" s="283"/>
      <c r="B428" s="280"/>
      <c r="C428" s="33"/>
      <c r="D428" s="33"/>
      <c r="E428" s="33"/>
      <c r="F428" s="281" t="s">
        <v>189</v>
      </c>
      <c r="G428" s="213"/>
      <c r="H428" s="161" t="s">
        <v>12</v>
      </c>
      <c r="I428" s="269"/>
      <c r="J428" s="269"/>
      <c r="K428" s="465"/>
      <c r="L428" s="465"/>
      <c r="M428" s="465"/>
      <c r="N428" s="789">
        <v>1000</v>
      </c>
      <c r="O428" s="465"/>
      <c r="P428" s="465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0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65">
        <f t="shared" ref="L429:N429" ca="1" si="188">L430+L431</f>
        <v>0</v>
      </c>
      <c r="M429" s="465">
        <f t="shared" si="188"/>
        <v>0</v>
      </c>
      <c r="N429" s="465">
        <f t="shared" si="188"/>
        <v>0</v>
      </c>
      <c r="O429" s="465">
        <f t="shared" ref="O429:O431" ca="1" si="189">IF(L429&gt;0,N429*100/L429,0)</f>
        <v>0</v>
      </c>
      <c r="P429" s="465">
        <f t="shared" ref="P429:P431" si="190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542"/>
      <c r="C430" s="40"/>
      <c r="D430" s="40"/>
      <c r="E430" s="222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89"/>
        <v>0</v>
      </c>
      <c r="P430" s="93">
        <f t="shared" si="190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542"/>
      <c r="C431" s="40"/>
      <c r="D431" s="40"/>
      <c r="E431" s="222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IFERROR(__xludf.DUMMYFUNCTION("IMPORTRANGE(""https://docs.google.com/spreadsheets/d/1QqKyyYR6Q21VydFLVH3TRQUabQu_ym0Zz7PgGX0-kHA/edit?usp=sharing"",""แผน!FB19"")"),0)</f>
        <v>0</v>
      </c>
      <c r="M431" s="93">
        <v>0</v>
      </c>
      <c r="N431" s="93">
        <v>0</v>
      </c>
      <c r="O431" s="93">
        <f t="shared" ca="1" si="189"/>
        <v>0</v>
      </c>
      <c r="P431" s="93">
        <f t="shared" si="190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382"/>
      <c r="B432" s="383"/>
      <c r="C432" s="148" t="s">
        <v>16</v>
      </c>
      <c r="D432" s="849" t="s">
        <v>38</v>
      </c>
      <c r="E432" s="544"/>
      <c r="F432" s="544"/>
      <c r="G432" s="545"/>
      <c r="H432" s="546"/>
      <c r="I432" s="388"/>
      <c r="J432" s="388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190</v>
      </c>
      <c r="E433" s="342"/>
      <c r="F433" s="342"/>
      <c r="G433" s="179"/>
      <c r="H433" s="196" t="s">
        <v>35</v>
      </c>
      <c r="I433" s="647">
        <f ca="1">I435</f>
        <v>20</v>
      </c>
      <c r="J433" s="647">
        <f ca="1">IF(AND(J435=I435,J437=I437,J439=I439),I437+I439,IF(AND(J435=I437,J437=I437),I437,IF(AND(J435=I439,J439=I439),I439,0)))</f>
        <v>0</v>
      </c>
      <c r="K433" s="195">
        <f t="shared" ref="K433:K435" ca="1" si="191">IF(I433&gt;0,J433*100/I433,0)</f>
        <v>0</v>
      </c>
      <c r="L433" s="465"/>
      <c r="M433" s="465"/>
      <c r="N433" s="465"/>
      <c r="O433" s="465"/>
      <c r="P433" s="465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191</v>
      </c>
      <c r="E434" s="342"/>
      <c r="F434" s="342"/>
      <c r="G434" s="179"/>
      <c r="H434" s="196" t="s">
        <v>49</v>
      </c>
      <c r="I434" s="647">
        <f t="shared" ref="I434:J434" ca="1" si="192">I438+I440</f>
        <v>1</v>
      </c>
      <c r="J434" s="647">
        <f t="shared" si="192"/>
        <v>0</v>
      </c>
      <c r="K434" s="195">
        <f t="shared" ca="1" si="191"/>
        <v>0</v>
      </c>
      <c r="L434" s="465"/>
      <c r="M434" s="465"/>
      <c r="N434" s="465"/>
      <c r="O434" s="465"/>
      <c r="P434" s="465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15" t="s">
        <v>192</v>
      </c>
      <c r="E435" s="342"/>
      <c r="F435" s="342"/>
      <c r="G435" s="179"/>
      <c r="H435" s="589" t="s">
        <v>35</v>
      </c>
      <c r="I435" s="547">
        <f ca="1">IFERROR(__xludf.DUMMYFUNCTION("IMPORTRANGE(""https://docs.google.com/spreadsheets/d/1QqKyyYR6Q21VydFLVH3TRQUabQu_ym0Zz7PgGX0-kHA/edit?usp=sharing"",""แผน!FC19"")"),20)</f>
        <v>20</v>
      </c>
      <c r="J435" s="548">
        <v>0</v>
      </c>
      <c r="K435" s="465">
        <f t="shared" ca="1" si="191"/>
        <v>0</v>
      </c>
      <c r="L435" s="465"/>
      <c r="M435" s="465"/>
      <c r="N435" s="465"/>
      <c r="O435" s="465"/>
      <c r="P435" s="465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15" t="s">
        <v>193</v>
      </c>
      <c r="E436" s="342"/>
      <c r="F436" s="342"/>
      <c r="G436" s="179"/>
      <c r="H436" s="589"/>
      <c r="I436" s="269"/>
      <c r="J436" s="269"/>
      <c r="K436" s="465"/>
      <c r="L436" s="465"/>
      <c r="M436" s="465"/>
      <c r="N436" s="465"/>
      <c r="O436" s="465"/>
      <c r="P436" s="465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15" t="s">
        <v>194</v>
      </c>
      <c r="E437" s="342"/>
      <c r="F437" s="342"/>
      <c r="G437" s="179"/>
      <c r="H437" s="589" t="s">
        <v>35</v>
      </c>
      <c r="I437" s="547">
        <f ca="1">IFERROR(__xludf.DUMMYFUNCTION("IMPORTRANGE(""https://docs.google.com/spreadsheets/d/1QqKyyYR6Q21VydFLVH3TRQUabQu_ym0Zz7PgGX0-kHA/edit?usp=sharing"",""แผน!FD19"")"),0)</f>
        <v>0</v>
      </c>
      <c r="J437" s="548">
        <v>0</v>
      </c>
      <c r="K437" s="465">
        <f t="shared" ref="K437:K443" ca="1" si="193">IF(I437&gt;0,J437*100/I437,0)</f>
        <v>0</v>
      </c>
      <c r="L437" s="465"/>
      <c r="M437" s="465"/>
      <c r="N437" s="465"/>
      <c r="O437" s="465"/>
      <c r="P437" s="465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15" t="s">
        <v>195</v>
      </c>
      <c r="E438" s="342"/>
      <c r="F438" s="342"/>
      <c r="G438" s="179"/>
      <c r="H438" s="589" t="s">
        <v>49</v>
      </c>
      <c r="I438" s="269">
        <f ca="1">IFERROR(__xludf.DUMMYFUNCTION("IMPORTRANGE(""https://docs.google.com/spreadsheets/d/1QqKyyYR6Q21VydFLVH3TRQUabQu_ym0Zz7PgGX0-kHA/edit?usp=sharing"",""แผน!FE19"")"),0)</f>
        <v>0</v>
      </c>
      <c r="J438" s="214">
        <v>0</v>
      </c>
      <c r="K438" s="465">
        <f t="shared" ca="1" si="193"/>
        <v>0</v>
      </c>
      <c r="L438" s="465"/>
      <c r="M438" s="465"/>
      <c r="N438" s="465"/>
      <c r="O438" s="465"/>
      <c r="P438" s="465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15" t="s">
        <v>196</v>
      </c>
      <c r="E439" s="342"/>
      <c r="F439" s="342"/>
      <c r="G439" s="179"/>
      <c r="H439" s="589" t="s">
        <v>35</v>
      </c>
      <c r="I439" s="547">
        <f ca="1">IFERROR(__xludf.DUMMYFUNCTION("IMPORTRANGE(""https://docs.google.com/spreadsheets/d/1QqKyyYR6Q21VydFLVH3TRQUabQu_ym0Zz7PgGX0-kHA/edit?usp=sharing"",""แผน!FF19"")"),20)</f>
        <v>20</v>
      </c>
      <c r="J439" s="548">
        <v>0</v>
      </c>
      <c r="K439" s="465">
        <f t="shared" ca="1" si="193"/>
        <v>0</v>
      </c>
      <c r="L439" s="465"/>
      <c r="M439" s="465"/>
      <c r="N439" s="465"/>
      <c r="O439" s="465"/>
      <c r="P439" s="465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15" t="s">
        <v>197</v>
      </c>
      <c r="E440" s="342"/>
      <c r="F440" s="342"/>
      <c r="G440" s="179"/>
      <c r="H440" s="589" t="s">
        <v>49</v>
      </c>
      <c r="I440" s="269">
        <f ca="1">IFERROR(__xludf.DUMMYFUNCTION("IMPORTRANGE(""https://docs.google.com/spreadsheets/d/1QqKyyYR6Q21VydFLVH3TRQUabQu_ym0Zz7PgGX0-kHA/edit?usp=sharing"",""แผน!FG19"")"),1)</f>
        <v>1</v>
      </c>
      <c r="J440" s="214">
        <v>0</v>
      </c>
      <c r="K440" s="465">
        <f t="shared" ca="1" si="193"/>
        <v>0</v>
      </c>
      <c r="L440" s="465"/>
      <c r="M440" s="465"/>
      <c r="N440" s="465"/>
      <c r="O440" s="465"/>
      <c r="P440" s="465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 hidden="1">
      <c r="A441" s="170"/>
      <c r="B441" s="171"/>
      <c r="C441" s="171"/>
      <c r="D441" s="415" t="s">
        <v>198</v>
      </c>
      <c r="E441" s="342"/>
      <c r="F441" s="342"/>
      <c r="G441" s="179"/>
      <c r="H441" s="589" t="s">
        <v>35</v>
      </c>
      <c r="I441" s="269">
        <f ca="1">IFERROR(__xludf.DUMMYFUNCTION("IMPORTRANGE(""https://docs.google.com/spreadsheets/d/1QqKyyYR6Q21VydFLVH3TRQUabQu_ym0Zz7PgGX0-kHA/edit?usp=sharing"",""แผน!FH19"")"),0)</f>
        <v>0</v>
      </c>
      <c r="J441" s="269">
        <v>0</v>
      </c>
      <c r="K441" s="465">
        <f t="shared" ca="1" si="193"/>
        <v>0</v>
      </c>
      <c r="L441" s="465"/>
      <c r="M441" s="465"/>
      <c r="N441" s="465"/>
      <c r="O441" s="465"/>
      <c r="P441" s="465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49">
        <v>2</v>
      </c>
      <c r="B442" s="550" t="s">
        <v>199</v>
      </c>
      <c r="C442" s="551"/>
      <c r="D442" s="551"/>
      <c r="E442" s="551"/>
      <c r="F442" s="551"/>
      <c r="G442" s="552"/>
      <c r="H442" s="553" t="s">
        <v>35</v>
      </c>
      <c r="I442" s="554">
        <f t="shared" ref="I442:J442" ca="1" si="194">I460</f>
        <v>45</v>
      </c>
      <c r="J442" s="554">
        <f t="shared" si="194"/>
        <v>0</v>
      </c>
      <c r="K442" s="555">
        <f t="shared" ca="1" si="193"/>
        <v>0</v>
      </c>
      <c r="L442" s="556"/>
      <c r="M442" s="556"/>
      <c r="N442" s="556"/>
      <c r="O442" s="556"/>
      <c r="P442" s="556"/>
      <c r="Q442" s="541"/>
      <c r="R442" s="541"/>
      <c r="S442" s="541"/>
      <c r="T442" s="541"/>
      <c r="U442" s="541"/>
      <c r="V442" s="541"/>
      <c r="W442" s="541"/>
      <c r="X442" s="541"/>
      <c r="Y442" s="541"/>
      <c r="Z442" s="541"/>
    </row>
    <row r="443" spans="1:26" ht="19.5">
      <c r="A443" s="557"/>
      <c r="B443" s="558"/>
      <c r="C443" s="559"/>
      <c r="D443" s="559"/>
      <c r="E443" s="559"/>
      <c r="F443" s="559"/>
      <c r="G443" s="560"/>
      <c r="H443" s="531" t="s">
        <v>46</v>
      </c>
      <c r="I443" s="532">
        <f t="shared" ref="I443:J443" ca="1" si="195">I462</f>
        <v>110</v>
      </c>
      <c r="J443" s="532">
        <f t="shared" si="195"/>
        <v>0</v>
      </c>
      <c r="K443" s="533">
        <f t="shared" ca="1" si="193"/>
        <v>0</v>
      </c>
      <c r="L443" s="534"/>
      <c r="M443" s="534"/>
      <c r="N443" s="534"/>
      <c r="O443" s="534"/>
      <c r="P443" s="534"/>
      <c r="Q443" s="541"/>
      <c r="R443" s="541"/>
      <c r="S443" s="541"/>
      <c r="T443" s="541"/>
      <c r="U443" s="541"/>
      <c r="V443" s="541"/>
      <c r="W443" s="541"/>
      <c r="X443" s="541"/>
      <c r="Y443" s="541"/>
      <c r="Z443" s="541"/>
    </row>
    <row r="444" spans="1:26" ht="19.5">
      <c r="A444" s="561"/>
      <c r="B444" s="727"/>
      <c r="C444" s="727" t="s">
        <v>16</v>
      </c>
      <c r="D444" s="811" t="s">
        <v>17</v>
      </c>
      <c r="E444" s="805"/>
      <c r="F444" s="805"/>
      <c r="G444" s="189"/>
      <c r="H444" s="562" t="s">
        <v>12</v>
      </c>
      <c r="I444" s="269"/>
      <c r="J444" s="269"/>
      <c r="K444" s="465"/>
      <c r="L444" s="195">
        <f t="shared" ref="L444:N444" ca="1" si="196">L445+L446</f>
        <v>358780</v>
      </c>
      <c r="M444" s="195">
        <f t="shared" si="196"/>
        <v>0</v>
      </c>
      <c r="N444" s="195">
        <f t="shared" si="196"/>
        <v>13240</v>
      </c>
      <c r="O444" s="195">
        <f t="shared" ref="O444:O449" ca="1" si="197">IF(L444&gt;0,N444*100/L444,0)</f>
        <v>3.6902837393388706</v>
      </c>
      <c r="P444" s="195">
        <f t="shared" ref="P444:P449" si="198">IF(M444&gt;0,N444*100/M444,0)</f>
        <v>0</v>
      </c>
      <c r="Q444" s="541"/>
      <c r="R444" s="541"/>
      <c r="S444" s="541"/>
      <c r="T444" s="541"/>
      <c r="U444" s="541"/>
      <c r="V444" s="541"/>
      <c r="W444" s="541"/>
      <c r="X444" s="541"/>
      <c r="Y444" s="541"/>
      <c r="Z444" s="541"/>
    </row>
    <row r="445" spans="1:26" ht="18.75" hidden="1">
      <c r="A445" s="563"/>
      <c r="B445" s="723"/>
      <c r="C445" s="723"/>
      <c r="D445" s="684"/>
      <c r="E445" s="723" t="s">
        <v>184</v>
      </c>
      <c r="F445" s="723"/>
      <c r="G445" s="567"/>
      <c r="H445" s="165" t="s">
        <v>12</v>
      </c>
      <c r="I445" s="583"/>
      <c r="J445" s="583"/>
      <c r="K445" s="93"/>
      <c r="L445" s="93">
        <f t="shared" ref="L445:N446" si="199">L448+L455</f>
        <v>0</v>
      </c>
      <c r="M445" s="93">
        <f t="shared" si="199"/>
        <v>0</v>
      </c>
      <c r="N445" s="93">
        <f t="shared" si="199"/>
        <v>0</v>
      </c>
      <c r="O445" s="93">
        <f t="shared" si="197"/>
        <v>0</v>
      </c>
      <c r="P445" s="93">
        <f t="shared" si="198"/>
        <v>0</v>
      </c>
      <c r="Q445" s="568"/>
      <c r="R445" s="568"/>
      <c r="S445" s="568"/>
      <c r="T445" s="568"/>
      <c r="U445" s="568"/>
      <c r="V445" s="568"/>
      <c r="W445" s="568"/>
      <c r="X445" s="568"/>
      <c r="Y445" s="568"/>
      <c r="Z445" s="568"/>
    </row>
    <row r="446" spans="1:26" ht="18.75" hidden="1">
      <c r="A446" s="563"/>
      <c r="B446" s="571"/>
      <c r="C446" s="723"/>
      <c r="D446" s="684"/>
      <c r="E446" s="723" t="s">
        <v>185</v>
      </c>
      <c r="F446" s="723"/>
      <c r="G446" s="567"/>
      <c r="H446" s="165" t="s">
        <v>12</v>
      </c>
      <c r="I446" s="583"/>
      <c r="J446" s="583"/>
      <c r="K446" s="93"/>
      <c r="L446" s="93">
        <f t="shared" ca="1" si="199"/>
        <v>358780</v>
      </c>
      <c r="M446" s="93">
        <f t="shared" si="199"/>
        <v>0</v>
      </c>
      <c r="N446" s="93">
        <f t="shared" si="199"/>
        <v>13240</v>
      </c>
      <c r="O446" s="93">
        <f t="shared" ca="1" si="197"/>
        <v>3.6902837393388706</v>
      </c>
      <c r="P446" s="93">
        <f t="shared" si="198"/>
        <v>0</v>
      </c>
      <c r="Q446" s="568"/>
      <c r="R446" s="568"/>
      <c r="S446" s="568"/>
      <c r="T446" s="568"/>
      <c r="U446" s="568"/>
      <c r="V446" s="568"/>
      <c r="W446" s="568"/>
      <c r="X446" s="568"/>
      <c r="Y446" s="568"/>
      <c r="Z446" s="568"/>
    </row>
    <row r="447" spans="1:26" ht="18.75">
      <c r="A447" s="561"/>
      <c r="B447" s="538"/>
      <c r="C447" s="727"/>
      <c r="D447" s="570" t="s">
        <v>20</v>
      </c>
      <c r="E447" s="727"/>
      <c r="F447" s="727"/>
      <c r="G447" s="189"/>
      <c r="H447" s="161" t="s">
        <v>12</v>
      </c>
      <c r="I447" s="184"/>
      <c r="J447" s="184"/>
      <c r="K447" s="163"/>
      <c r="L447" s="465">
        <f t="shared" ref="L447:N447" ca="1" si="200">L448+L449</f>
        <v>358780</v>
      </c>
      <c r="M447" s="465">
        <f t="shared" si="200"/>
        <v>0</v>
      </c>
      <c r="N447" s="465">
        <f t="shared" si="200"/>
        <v>13240</v>
      </c>
      <c r="O447" s="465">
        <f t="shared" ca="1" si="197"/>
        <v>3.6902837393388706</v>
      </c>
      <c r="P447" s="465">
        <f t="shared" si="198"/>
        <v>0</v>
      </c>
      <c r="Q447" s="541"/>
      <c r="R447" s="541"/>
      <c r="S447" s="541"/>
      <c r="T447" s="541"/>
      <c r="U447" s="541"/>
      <c r="V447" s="541"/>
      <c r="W447" s="541"/>
      <c r="X447" s="541"/>
      <c r="Y447" s="541"/>
      <c r="Z447" s="541"/>
    </row>
    <row r="448" spans="1:26" ht="18.75" hidden="1">
      <c r="A448" s="563"/>
      <c r="B448" s="571"/>
      <c r="C448" s="723"/>
      <c r="D448" s="684"/>
      <c r="E448" s="723" t="s">
        <v>184</v>
      </c>
      <c r="F448" s="723"/>
      <c r="G448" s="567"/>
      <c r="H448" s="165" t="s">
        <v>12</v>
      </c>
      <c r="I448" s="583"/>
      <c r="J448" s="583"/>
      <c r="K448" s="93"/>
      <c r="L448" s="93">
        <v>0</v>
      </c>
      <c r="M448" s="93">
        <v>0</v>
      </c>
      <c r="N448" s="93">
        <v>0</v>
      </c>
      <c r="O448" s="93">
        <f t="shared" si="197"/>
        <v>0</v>
      </c>
      <c r="P448" s="93">
        <f t="shared" si="198"/>
        <v>0</v>
      </c>
      <c r="Q448" s="568"/>
      <c r="R448" s="568"/>
      <c r="S448" s="568"/>
      <c r="T448" s="568"/>
      <c r="U448" s="568"/>
      <c r="V448" s="568"/>
      <c r="W448" s="568"/>
      <c r="X448" s="568"/>
      <c r="Y448" s="568"/>
      <c r="Z448" s="568"/>
    </row>
    <row r="449" spans="1:26" ht="18.75" hidden="1">
      <c r="A449" s="563"/>
      <c r="B449" s="571"/>
      <c r="C449" s="723"/>
      <c r="D449" s="684"/>
      <c r="E449" s="723" t="s">
        <v>185</v>
      </c>
      <c r="F449" s="723"/>
      <c r="G449" s="567"/>
      <c r="H449" s="165" t="s">
        <v>12</v>
      </c>
      <c r="I449" s="583"/>
      <c r="J449" s="583"/>
      <c r="K449" s="93"/>
      <c r="L449" s="93">
        <f ca="1">IFERROR(__xludf.DUMMYFUNCTION("IMPORTRANGE(""https://docs.google.com/spreadsheets/d/1QqKyyYR6Q21VydFLVH3TRQUabQu_ym0Zz7PgGX0-kHA/edit?usp=sharing"",""แผน!FJ19"")"),358780)</f>
        <v>358780</v>
      </c>
      <c r="M449" s="93">
        <v>0</v>
      </c>
      <c r="N449" s="93">
        <f>N450+N451+N452+N453</f>
        <v>13240</v>
      </c>
      <c r="O449" s="93">
        <f t="shared" ca="1" si="197"/>
        <v>3.6902837393388706</v>
      </c>
      <c r="P449" s="93">
        <f t="shared" si="198"/>
        <v>0</v>
      </c>
      <c r="Q449" s="568"/>
      <c r="R449" s="568"/>
      <c r="S449" s="568"/>
      <c r="T449" s="568"/>
      <c r="U449" s="568"/>
      <c r="V449" s="568"/>
      <c r="W449" s="568"/>
      <c r="X449" s="568"/>
      <c r="Y449" s="568"/>
      <c r="Z449" s="568"/>
    </row>
    <row r="450" spans="1:26" ht="18.75">
      <c r="A450" s="537"/>
      <c r="B450" s="538"/>
      <c r="C450" s="727"/>
      <c r="D450" s="727"/>
      <c r="E450" s="727"/>
      <c r="F450" s="727" t="s">
        <v>186</v>
      </c>
      <c r="G450" s="189"/>
      <c r="H450" s="161" t="s">
        <v>12</v>
      </c>
      <c r="I450" s="269"/>
      <c r="J450" s="269"/>
      <c r="K450" s="465"/>
      <c r="L450" s="465"/>
      <c r="M450" s="465"/>
      <c r="N450" s="789">
        <v>0</v>
      </c>
      <c r="O450" s="465"/>
      <c r="P450" s="465"/>
      <c r="Q450" s="541"/>
      <c r="R450" s="541"/>
      <c r="S450" s="541"/>
      <c r="T450" s="541"/>
      <c r="U450" s="541"/>
      <c r="V450" s="541"/>
      <c r="W450" s="541"/>
      <c r="X450" s="541"/>
      <c r="Y450" s="541"/>
      <c r="Z450" s="541"/>
    </row>
    <row r="451" spans="1:26" ht="18.75">
      <c r="A451" s="537"/>
      <c r="B451" s="538"/>
      <c r="C451" s="727"/>
      <c r="D451" s="727"/>
      <c r="E451" s="727"/>
      <c r="F451" s="727" t="s">
        <v>187</v>
      </c>
      <c r="G451" s="189"/>
      <c r="H451" s="161" t="s">
        <v>12</v>
      </c>
      <c r="I451" s="269"/>
      <c r="J451" s="269"/>
      <c r="K451" s="465"/>
      <c r="L451" s="465"/>
      <c r="M451" s="465"/>
      <c r="N451" s="789">
        <v>0</v>
      </c>
      <c r="O451" s="465"/>
      <c r="P451" s="465"/>
      <c r="Q451" s="541"/>
      <c r="R451" s="541"/>
      <c r="S451" s="541"/>
      <c r="T451" s="541"/>
      <c r="U451" s="541"/>
      <c r="V451" s="541"/>
      <c r="W451" s="541"/>
      <c r="X451" s="541"/>
      <c r="Y451" s="541"/>
      <c r="Z451" s="541"/>
    </row>
    <row r="452" spans="1:26" ht="18.75">
      <c r="A452" s="537"/>
      <c r="B452" s="538"/>
      <c r="C452" s="538"/>
      <c r="D452" s="538"/>
      <c r="E452" s="538"/>
      <c r="F452" s="727" t="s">
        <v>188</v>
      </c>
      <c r="G452" s="189"/>
      <c r="H452" s="161" t="s">
        <v>12</v>
      </c>
      <c r="I452" s="269"/>
      <c r="J452" s="269"/>
      <c r="K452" s="465"/>
      <c r="L452" s="465"/>
      <c r="M452" s="465"/>
      <c r="N452" s="789">
        <v>13000</v>
      </c>
      <c r="O452" s="465"/>
      <c r="P452" s="465"/>
      <c r="Q452" s="541"/>
      <c r="R452" s="541"/>
      <c r="S452" s="541"/>
      <c r="T452" s="541"/>
      <c r="U452" s="541"/>
      <c r="V452" s="541"/>
      <c r="W452" s="541"/>
      <c r="X452" s="541"/>
      <c r="Y452" s="541"/>
      <c r="Z452" s="541"/>
    </row>
    <row r="453" spans="1:26" ht="18.75">
      <c r="A453" s="537"/>
      <c r="B453" s="538"/>
      <c r="C453" s="538"/>
      <c r="D453" s="538"/>
      <c r="E453" s="538"/>
      <c r="F453" s="727" t="s">
        <v>189</v>
      </c>
      <c r="G453" s="189"/>
      <c r="H453" s="161" t="s">
        <v>12</v>
      </c>
      <c r="I453" s="269"/>
      <c r="J453" s="269"/>
      <c r="K453" s="465"/>
      <c r="L453" s="465"/>
      <c r="M453" s="465"/>
      <c r="N453" s="789">
        <v>240</v>
      </c>
      <c r="O453" s="465"/>
      <c r="P453" s="465"/>
      <c r="Q453" s="541"/>
      <c r="R453" s="541"/>
      <c r="S453" s="541"/>
      <c r="T453" s="541"/>
      <c r="U453" s="541"/>
      <c r="V453" s="541"/>
      <c r="W453" s="541"/>
      <c r="X453" s="541"/>
      <c r="Y453" s="541"/>
      <c r="Z453" s="541"/>
    </row>
    <row r="454" spans="1:26" ht="18.75">
      <c r="A454" s="561"/>
      <c r="B454" s="538"/>
      <c r="C454" s="538"/>
      <c r="D454" s="570" t="s">
        <v>21</v>
      </c>
      <c r="E454" s="538"/>
      <c r="F454" s="727"/>
      <c r="G454" s="189"/>
      <c r="H454" s="168" t="s">
        <v>12</v>
      </c>
      <c r="I454" s="184"/>
      <c r="J454" s="184"/>
      <c r="K454" s="163"/>
      <c r="L454" s="465">
        <f t="shared" ref="L454:N454" ca="1" si="201">L455+L456</f>
        <v>0</v>
      </c>
      <c r="M454" s="465">
        <f t="shared" si="201"/>
        <v>0</v>
      </c>
      <c r="N454" s="465">
        <f t="shared" si="201"/>
        <v>0</v>
      </c>
      <c r="O454" s="465">
        <f t="shared" ref="O454:O456" ca="1" si="202">IF(L454&gt;0,N454*100/L454,0)</f>
        <v>0</v>
      </c>
      <c r="P454" s="465">
        <f t="shared" ref="P454:P456" si="203">IF(M454&gt;0,N454*100/M454,0)</f>
        <v>0</v>
      </c>
      <c r="Q454" s="541"/>
      <c r="R454" s="541"/>
      <c r="S454" s="541"/>
      <c r="T454" s="541"/>
      <c r="U454" s="541"/>
      <c r="V454" s="541"/>
      <c r="W454" s="541"/>
      <c r="X454" s="541"/>
      <c r="Y454" s="541"/>
      <c r="Z454" s="541"/>
    </row>
    <row r="455" spans="1:26" ht="18.75" hidden="1">
      <c r="A455" s="563"/>
      <c r="B455" s="571"/>
      <c r="C455" s="571"/>
      <c r="D455" s="571"/>
      <c r="E455" s="571" t="s">
        <v>18</v>
      </c>
      <c r="F455" s="723"/>
      <c r="G455" s="567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2"/>
        <v>0</v>
      </c>
      <c r="P455" s="93">
        <f t="shared" si="203"/>
        <v>0</v>
      </c>
      <c r="Q455" s="568"/>
      <c r="R455" s="568"/>
      <c r="S455" s="568"/>
      <c r="T455" s="568"/>
      <c r="U455" s="568"/>
      <c r="V455" s="568"/>
      <c r="W455" s="568"/>
      <c r="X455" s="568"/>
      <c r="Y455" s="568"/>
      <c r="Z455" s="568"/>
    </row>
    <row r="456" spans="1:26" ht="18.75" hidden="1">
      <c r="A456" s="563"/>
      <c r="B456" s="571"/>
      <c r="C456" s="571"/>
      <c r="D456" s="571"/>
      <c r="E456" s="571" t="s">
        <v>19</v>
      </c>
      <c r="F456" s="723"/>
      <c r="G456" s="567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IFERROR(__xludf.DUMMYFUNCTION("IMPORTRANGE(""https://docs.google.com/spreadsheets/d/1QqKyyYR6Q21VydFLVH3TRQUabQu_ym0Zz7PgGX0-kHA/edit?usp=sharing"",""แผน!FM19"")"),0)</f>
        <v>0</v>
      </c>
      <c r="M456" s="93">
        <v>0</v>
      </c>
      <c r="N456" s="93">
        <v>0</v>
      </c>
      <c r="O456" s="93">
        <f t="shared" ca="1" si="202"/>
        <v>0</v>
      </c>
      <c r="P456" s="93">
        <f t="shared" si="203"/>
        <v>0</v>
      </c>
      <c r="Q456" s="568"/>
      <c r="R456" s="568"/>
      <c r="S456" s="568"/>
      <c r="T456" s="568"/>
      <c r="U456" s="568"/>
      <c r="V456" s="568"/>
      <c r="W456" s="568"/>
      <c r="X456" s="568"/>
      <c r="Y456" s="568"/>
      <c r="Z456" s="568"/>
    </row>
    <row r="457" spans="1:26" ht="19.5">
      <c r="A457" s="572"/>
      <c r="B457" s="584"/>
      <c r="C457" s="538" t="s">
        <v>16</v>
      </c>
      <c r="D457" s="850" t="s">
        <v>38</v>
      </c>
      <c r="E457" s="575"/>
      <c r="F457" s="725"/>
      <c r="G457" s="577"/>
      <c r="H457" s="726"/>
      <c r="I457" s="269"/>
      <c r="J457" s="269"/>
      <c r="K457" s="465"/>
      <c r="L457" s="465"/>
      <c r="M457" s="465"/>
      <c r="N457" s="465"/>
      <c r="O457" s="465"/>
      <c r="P457" s="465"/>
      <c r="Q457" s="541"/>
      <c r="R457" s="541"/>
      <c r="S457" s="541"/>
      <c r="T457" s="541"/>
      <c r="U457" s="541"/>
      <c r="V457" s="541"/>
      <c r="W457" s="541"/>
      <c r="X457" s="541"/>
      <c r="Y457" s="541"/>
      <c r="Z457" s="541"/>
    </row>
    <row r="458" spans="1:26" ht="18.75" hidden="1">
      <c r="A458" s="578"/>
      <c r="B458" s="580"/>
      <c r="C458" s="580"/>
      <c r="D458" s="580" t="s">
        <v>200</v>
      </c>
      <c r="E458" s="580"/>
      <c r="F458" s="684"/>
      <c r="G458" s="581"/>
      <c r="H458" s="582" t="s">
        <v>35</v>
      </c>
      <c r="I458" s="583">
        <v>0</v>
      </c>
      <c r="J458" s="583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568"/>
      <c r="R458" s="568"/>
      <c r="S458" s="568"/>
      <c r="T458" s="568"/>
      <c r="U458" s="568"/>
      <c r="V458" s="568"/>
      <c r="W458" s="568"/>
      <c r="X458" s="568"/>
      <c r="Y458" s="568"/>
      <c r="Z458" s="568"/>
    </row>
    <row r="459" spans="1:26" ht="18.75" hidden="1">
      <c r="A459" s="578"/>
      <c r="B459" s="580"/>
      <c r="C459" s="580"/>
      <c r="D459" s="580" t="s">
        <v>201</v>
      </c>
      <c r="E459" s="580"/>
      <c r="F459" s="684"/>
      <c r="G459" s="581"/>
      <c r="H459" s="582"/>
      <c r="I459" s="583"/>
      <c r="J459" s="583"/>
      <c r="K459" s="93"/>
      <c r="L459" s="93"/>
      <c r="M459" s="93"/>
      <c r="N459" s="93"/>
      <c r="O459" s="93"/>
      <c r="P459" s="93"/>
      <c r="Q459" s="568"/>
      <c r="R459" s="568"/>
      <c r="S459" s="568"/>
      <c r="T459" s="568"/>
      <c r="U459" s="568"/>
      <c r="V459" s="568"/>
      <c r="W459" s="568"/>
      <c r="X459" s="568"/>
      <c r="Y459" s="568"/>
      <c r="Z459" s="568"/>
    </row>
    <row r="460" spans="1:26" ht="18.75">
      <c r="A460" s="572"/>
      <c r="B460" s="584"/>
      <c r="C460" s="584"/>
      <c r="D460" s="584" t="s">
        <v>202</v>
      </c>
      <c r="E460" s="584"/>
      <c r="F460" s="592"/>
      <c r="G460" s="726"/>
      <c r="H460" s="728" t="s">
        <v>35</v>
      </c>
      <c r="I460" s="269">
        <f ca="1">IFERROR(__xludf.DUMMYFUNCTION("IMPORTRANGE(""https://docs.google.com/spreadsheets/d/1QqKyyYR6Q21VydFLVH3TRQUabQu_ym0Zz7PgGX0-kHA/edit?usp=sharing"",""แผน!FN19"")"),45)</f>
        <v>45</v>
      </c>
      <c r="J460" s="214">
        <v>0</v>
      </c>
      <c r="K460" s="465">
        <f ca="1">IF(I460&gt;0,J460*100/I460,0)</f>
        <v>0</v>
      </c>
      <c r="L460" s="465"/>
      <c r="M460" s="465"/>
      <c r="N460" s="465"/>
      <c r="O460" s="465"/>
      <c r="P460" s="465"/>
      <c r="Q460" s="541"/>
      <c r="R460" s="541"/>
      <c r="S460" s="541"/>
      <c r="T460" s="541"/>
      <c r="U460" s="541"/>
      <c r="V460" s="541"/>
      <c r="W460" s="541"/>
      <c r="X460" s="541"/>
      <c r="Y460" s="541"/>
      <c r="Z460" s="541"/>
    </row>
    <row r="461" spans="1:26" ht="18.75">
      <c r="A461" s="572"/>
      <c r="B461" s="584"/>
      <c r="C461" s="584"/>
      <c r="D461" s="584" t="s">
        <v>203</v>
      </c>
      <c r="E461" s="592"/>
      <c r="F461" s="592"/>
      <c r="G461" s="726"/>
      <c r="H461" s="728"/>
      <c r="I461" s="269"/>
      <c r="J461" s="269"/>
      <c r="K461" s="465"/>
      <c r="L461" s="465"/>
      <c r="M461" s="465"/>
      <c r="N461" s="465"/>
      <c r="O461" s="465"/>
      <c r="P461" s="465"/>
      <c r="Q461" s="541"/>
      <c r="R461" s="541"/>
      <c r="S461" s="541"/>
      <c r="T461" s="541"/>
      <c r="U461" s="541"/>
      <c r="V461" s="541"/>
      <c r="W461" s="541"/>
      <c r="X461" s="541"/>
      <c r="Y461" s="541"/>
      <c r="Z461" s="541"/>
    </row>
    <row r="462" spans="1:26" ht="18.75">
      <c r="A462" s="572"/>
      <c r="B462" s="584"/>
      <c r="C462" s="584"/>
      <c r="D462" s="584" t="s">
        <v>204</v>
      </c>
      <c r="E462" s="592"/>
      <c r="F462" s="592"/>
      <c r="G462" s="726"/>
      <c r="H462" s="728" t="s">
        <v>46</v>
      </c>
      <c r="I462" s="269">
        <f ca="1">IFERROR(__xludf.DUMMYFUNCTION("IMPORTRANGE(""https://docs.google.com/spreadsheets/d/1QqKyyYR6Q21VydFLVH3TRQUabQu_ym0Zz7PgGX0-kHA/edit?usp=sharing"",""แผน!FO19"")"),110)</f>
        <v>110</v>
      </c>
      <c r="J462" s="214">
        <v>0</v>
      </c>
      <c r="K462" s="465">
        <f ca="1">IF(I462&gt;0,J462*100/I462,0)</f>
        <v>0</v>
      </c>
      <c r="L462" s="465"/>
      <c r="M462" s="465"/>
      <c r="N462" s="465"/>
      <c r="O462" s="465"/>
      <c r="P462" s="465"/>
      <c r="Q462" s="541"/>
      <c r="R462" s="541"/>
      <c r="S462" s="541"/>
      <c r="T462" s="541"/>
      <c r="U462" s="541"/>
      <c r="V462" s="541"/>
      <c r="W462" s="541"/>
      <c r="X462" s="541"/>
      <c r="Y462" s="541"/>
      <c r="Z462" s="541"/>
    </row>
    <row r="463" spans="1:26" ht="18.75">
      <c r="A463" s="572"/>
      <c r="B463" s="584"/>
      <c r="C463" s="584"/>
      <c r="D463" s="584" t="s">
        <v>59</v>
      </c>
      <c r="E463" s="592"/>
      <c r="F463" s="727"/>
      <c r="G463" s="189"/>
      <c r="H463" s="728" t="s">
        <v>46</v>
      </c>
      <c r="I463" s="269">
        <f ca="1">IFERROR(__xludf.DUMMYFUNCTION("IMPORTRANGE(""https://docs.google.com/spreadsheets/d/1QqKyyYR6Q21VydFLVH3TRQUabQu_ym0Zz7PgGX0-kHA/edit?usp=sharing"",""แผน!FO19"")"),110)</f>
        <v>110</v>
      </c>
      <c r="J463" s="214">
        <v>0</v>
      </c>
      <c r="K463" s="465"/>
      <c r="L463" s="465"/>
      <c r="M463" s="465"/>
      <c r="N463" s="465"/>
      <c r="O463" s="465"/>
      <c r="P463" s="465"/>
      <c r="Q463" s="541"/>
      <c r="R463" s="541"/>
      <c r="S463" s="541"/>
      <c r="T463" s="541"/>
      <c r="U463" s="541"/>
      <c r="V463" s="541"/>
      <c r="W463" s="541"/>
      <c r="X463" s="541"/>
      <c r="Y463" s="541"/>
      <c r="Z463" s="541"/>
    </row>
    <row r="464" spans="1:26" ht="19.5">
      <c r="A464" s="572"/>
      <c r="B464" s="584"/>
      <c r="C464" s="584"/>
      <c r="D464" s="584"/>
      <c r="E464" s="592"/>
      <c r="F464" s="592"/>
      <c r="G464" s="586"/>
      <c r="H464" s="728" t="s">
        <v>35</v>
      </c>
      <c r="I464" s="269">
        <f ca="1">IFERROR(__xludf.DUMMYFUNCTION("IMPORTRANGE(""https://docs.google.com/spreadsheets/d/1QqKyyYR6Q21VydFLVH3TRQUabQu_ym0Zz7PgGX0-kHA/edit?usp=sharing"",""แผน!FN19"")"),45)</f>
        <v>45</v>
      </c>
      <c r="J464" s="214">
        <v>0</v>
      </c>
      <c r="K464" s="465"/>
      <c r="L464" s="465"/>
      <c r="M464" s="465"/>
      <c r="N464" s="465"/>
      <c r="O464" s="465"/>
      <c r="P464" s="465"/>
      <c r="Q464" s="541"/>
      <c r="R464" s="541"/>
      <c r="S464" s="541"/>
      <c r="T464" s="541"/>
      <c r="U464" s="541"/>
      <c r="V464" s="541"/>
      <c r="W464" s="541"/>
      <c r="X464" s="541"/>
      <c r="Y464" s="541"/>
      <c r="Z464" s="541"/>
    </row>
    <row r="465" spans="1:26" ht="19.5">
      <c r="A465" s="549">
        <v>3</v>
      </c>
      <c r="B465" s="550" t="s">
        <v>205</v>
      </c>
      <c r="C465" s="551"/>
      <c r="D465" s="551"/>
      <c r="E465" s="551"/>
      <c r="F465" s="551"/>
      <c r="G465" s="552"/>
      <c r="H465" s="553" t="s">
        <v>35</v>
      </c>
      <c r="I465" s="554">
        <f ca="1">IFERROR(__xludf.DUMMYFUNCTION("IMPORTRANGE(""https://docs.google.com/spreadsheets/d/1QqKyyYR6Q21VydFLVH3TRQUabQu_ym0Zz7PgGX0-kHA/edit?usp=sharing"",""แผน!FX19"")"),61)</f>
        <v>61</v>
      </c>
      <c r="J465" s="554">
        <f>J485+J489+J492</f>
        <v>0</v>
      </c>
      <c r="K465" s="555">
        <f t="shared" ref="K465:K466" ca="1" si="204">IF(I465&gt;0,J465*100/I465,0)</f>
        <v>0</v>
      </c>
      <c r="L465" s="556"/>
      <c r="M465" s="556"/>
      <c r="N465" s="556"/>
      <c r="O465" s="556"/>
      <c r="P465" s="556"/>
      <c r="Q465" s="541"/>
      <c r="R465" s="541"/>
      <c r="S465" s="541"/>
      <c r="T465" s="541"/>
      <c r="U465" s="541"/>
      <c r="V465" s="541"/>
      <c r="W465" s="541"/>
      <c r="X465" s="541"/>
      <c r="Y465" s="541"/>
      <c r="Z465" s="541"/>
    </row>
    <row r="466" spans="1:26" ht="19.5">
      <c r="A466" s="557"/>
      <c r="B466" s="558"/>
      <c r="C466" s="559"/>
      <c r="D466" s="559"/>
      <c r="E466" s="559"/>
      <c r="F466" s="559"/>
      <c r="G466" s="560"/>
      <c r="H466" s="531" t="s">
        <v>46</v>
      </c>
      <c r="I466" s="532">
        <f ca="1">IFERROR(__xludf.DUMMYFUNCTION("IMPORTRANGE(""https://docs.google.com/spreadsheets/d/1QqKyyYR6Q21VydFLVH3TRQUabQu_ym0Zz7PgGX0-kHA/edit?usp=sharing"",""แผน!FW19"")"),600)</f>
        <v>600</v>
      </c>
      <c r="J466" s="532">
        <f>J483+J487</f>
        <v>0</v>
      </c>
      <c r="K466" s="533">
        <f t="shared" ca="1" si="204"/>
        <v>0</v>
      </c>
      <c r="L466" s="534"/>
      <c r="M466" s="534"/>
      <c r="N466" s="534"/>
      <c r="O466" s="534"/>
      <c r="P466" s="534"/>
      <c r="Q466" s="541"/>
      <c r="R466" s="541"/>
      <c r="S466" s="541"/>
      <c r="T466" s="541"/>
      <c r="U466" s="541"/>
      <c r="V466" s="541"/>
      <c r="W466" s="541"/>
      <c r="X466" s="541"/>
      <c r="Y466" s="541"/>
      <c r="Z466" s="541"/>
    </row>
    <row r="467" spans="1:26" ht="19.5">
      <c r="A467" s="561"/>
      <c r="B467" s="727"/>
      <c r="C467" s="727" t="s">
        <v>16</v>
      </c>
      <c r="D467" s="811" t="s">
        <v>17</v>
      </c>
      <c r="E467" s="805"/>
      <c r="F467" s="805"/>
      <c r="G467" s="189"/>
      <c r="H467" s="562" t="s">
        <v>12</v>
      </c>
      <c r="I467" s="269"/>
      <c r="J467" s="269"/>
      <c r="K467" s="465"/>
      <c r="L467" s="195">
        <f t="shared" ref="L467:N467" ca="1" si="205">L468+L469</f>
        <v>481323</v>
      </c>
      <c r="M467" s="195">
        <f t="shared" si="205"/>
        <v>0</v>
      </c>
      <c r="N467" s="195">
        <f t="shared" si="205"/>
        <v>19570</v>
      </c>
      <c r="O467" s="195">
        <f t="shared" ref="O467:O472" ca="1" si="206">IF(L467&gt;0,N467*100/L467,0)</f>
        <v>4.0658767605121717</v>
      </c>
      <c r="P467" s="195">
        <f t="shared" ref="P467:P472" si="207">IF(M467&gt;0,N467*100/M467,0)</f>
        <v>0</v>
      </c>
      <c r="Q467" s="541"/>
      <c r="R467" s="541"/>
      <c r="S467" s="541"/>
      <c r="T467" s="541"/>
      <c r="U467" s="541"/>
      <c r="V467" s="541"/>
      <c r="W467" s="541"/>
      <c r="X467" s="541"/>
      <c r="Y467" s="541"/>
      <c r="Z467" s="541"/>
    </row>
    <row r="468" spans="1:26" ht="18.75" hidden="1">
      <c r="A468" s="563"/>
      <c r="B468" s="723"/>
      <c r="C468" s="723"/>
      <c r="D468" s="684"/>
      <c r="E468" s="723" t="s">
        <v>184</v>
      </c>
      <c r="F468" s="723"/>
      <c r="G468" s="567"/>
      <c r="H468" s="165" t="s">
        <v>12</v>
      </c>
      <c r="I468" s="583"/>
      <c r="J468" s="583"/>
      <c r="K468" s="93"/>
      <c r="L468" s="93">
        <f t="shared" ref="L468:N469" si="208">L471+L478</f>
        <v>0</v>
      </c>
      <c r="M468" s="93">
        <f t="shared" si="208"/>
        <v>0</v>
      </c>
      <c r="N468" s="93">
        <f t="shared" si="208"/>
        <v>0</v>
      </c>
      <c r="O468" s="93">
        <f t="shared" si="206"/>
        <v>0</v>
      </c>
      <c r="P468" s="93">
        <f t="shared" si="207"/>
        <v>0</v>
      </c>
      <c r="Q468" s="568"/>
      <c r="R468" s="568"/>
      <c r="S468" s="568"/>
      <c r="T468" s="568"/>
      <c r="U468" s="568"/>
      <c r="V468" s="568"/>
      <c r="W468" s="568"/>
      <c r="X468" s="568"/>
      <c r="Y468" s="568"/>
      <c r="Z468" s="568"/>
    </row>
    <row r="469" spans="1:26" ht="18.75" hidden="1">
      <c r="A469" s="563"/>
      <c r="B469" s="571"/>
      <c r="C469" s="723"/>
      <c r="D469" s="684"/>
      <c r="E469" s="723" t="s">
        <v>185</v>
      </c>
      <c r="F469" s="723"/>
      <c r="G469" s="567"/>
      <c r="H469" s="165" t="s">
        <v>12</v>
      </c>
      <c r="I469" s="583"/>
      <c r="J469" s="583"/>
      <c r="K469" s="93"/>
      <c r="L469" s="93">
        <f t="shared" ca="1" si="208"/>
        <v>481323</v>
      </c>
      <c r="M469" s="93">
        <f t="shared" si="208"/>
        <v>0</v>
      </c>
      <c r="N469" s="93">
        <f t="shared" si="208"/>
        <v>19570</v>
      </c>
      <c r="O469" s="93">
        <f t="shared" ca="1" si="206"/>
        <v>4.0658767605121717</v>
      </c>
      <c r="P469" s="93">
        <f t="shared" si="207"/>
        <v>0</v>
      </c>
      <c r="Q469" s="568"/>
      <c r="R469" s="568"/>
      <c r="S469" s="568"/>
      <c r="T469" s="568"/>
      <c r="U469" s="568"/>
      <c r="V469" s="568"/>
      <c r="W469" s="568"/>
      <c r="X469" s="568"/>
      <c r="Y469" s="568"/>
      <c r="Z469" s="568"/>
    </row>
    <row r="470" spans="1:26" ht="18.75">
      <c r="A470" s="561"/>
      <c r="B470" s="538"/>
      <c r="C470" s="727"/>
      <c r="D470" s="570" t="s">
        <v>20</v>
      </c>
      <c r="E470" s="727"/>
      <c r="F470" s="727"/>
      <c r="G470" s="189"/>
      <c r="H470" s="161" t="s">
        <v>12</v>
      </c>
      <c r="I470" s="184"/>
      <c r="J470" s="184"/>
      <c r="K470" s="163"/>
      <c r="L470" s="465">
        <f t="shared" ref="L470:N470" ca="1" si="209">L471+L472</f>
        <v>481323</v>
      </c>
      <c r="M470" s="465">
        <f t="shared" si="209"/>
        <v>0</v>
      </c>
      <c r="N470" s="465">
        <f t="shared" si="209"/>
        <v>19570</v>
      </c>
      <c r="O470" s="465">
        <f t="shared" ca="1" si="206"/>
        <v>4.0658767605121717</v>
      </c>
      <c r="P470" s="465">
        <f t="shared" si="207"/>
        <v>0</v>
      </c>
      <c r="Q470" s="541"/>
      <c r="R470" s="541"/>
      <c r="S470" s="541"/>
      <c r="T470" s="541"/>
      <c r="U470" s="541"/>
      <c r="V470" s="541"/>
      <c r="W470" s="541"/>
      <c r="X470" s="541"/>
      <c r="Y470" s="541"/>
      <c r="Z470" s="541"/>
    </row>
    <row r="471" spans="1:26" ht="18.75" hidden="1">
      <c r="A471" s="563"/>
      <c r="B471" s="571"/>
      <c r="C471" s="723"/>
      <c r="D471" s="684"/>
      <c r="E471" s="723" t="s">
        <v>184</v>
      </c>
      <c r="F471" s="723"/>
      <c r="G471" s="567"/>
      <c r="H471" s="165" t="s">
        <v>12</v>
      </c>
      <c r="I471" s="583"/>
      <c r="J471" s="583"/>
      <c r="K471" s="93"/>
      <c r="L471" s="93">
        <v>0</v>
      </c>
      <c r="M471" s="93">
        <v>0</v>
      </c>
      <c r="N471" s="93">
        <v>0</v>
      </c>
      <c r="O471" s="93">
        <f t="shared" si="206"/>
        <v>0</v>
      </c>
      <c r="P471" s="93">
        <f t="shared" si="207"/>
        <v>0</v>
      </c>
      <c r="Q471" s="568"/>
      <c r="R471" s="568"/>
      <c r="S471" s="568"/>
      <c r="T471" s="568"/>
      <c r="U471" s="568"/>
      <c r="V471" s="568"/>
      <c r="W471" s="568"/>
      <c r="X471" s="568"/>
      <c r="Y471" s="568"/>
      <c r="Z471" s="568"/>
    </row>
    <row r="472" spans="1:26" ht="18.75" hidden="1">
      <c r="A472" s="563"/>
      <c r="B472" s="571"/>
      <c r="C472" s="723"/>
      <c r="D472" s="684"/>
      <c r="E472" s="723" t="s">
        <v>185</v>
      </c>
      <c r="F472" s="723"/>
      <c r="G472" s="567"/>
      <c r="H472" s="165" t="s">
        <v>12</v>
      </c>
      <c r="I472" s="583"/>
      <c r="J472" s="583"/>
      <c r="K472" s="93"/>
      <c r="L472" s="93">
        <f ca="1">IFERROR(__xludf.DUMMYFUNCTION("IMPORTRANGE(""https://docs.google.com/spreadsheets/d/1QqKyyYR6Q21VydFLVH3TRQUabQu_ym0Zz7PgGX0-kHA/edit?usp=sharing"",""แผน!FS19"")"),481323)</f>
        <v>481323</v>
      </c>
      <c r="M472" s="93">
        <v>0</v>
      </c>
      <c r="N472" s="93">
        <f>N473+N474+N475+N476</f>
        <v>19570</v>
      </c>
      <c r="O472" s="93">
        <f t="shared" ca="1" si="206"/>
        <v>4.0658767605121717</v>
      </c>
      <c r="P472" s="93">
        <f t="shared" si="207"/>
        <v>0</v>
      </c>
      <c r="Q472" s="568"/>
      <c r="R472" s="568"/>
      <c r="S472" s="568"/>
      <c r="T472" s="568"/>
      <c r="U472" s="568"/>
      <c r="V472" s="568"/>
      <c r="W472" s="568"/>
      <c r="X472" s="568"/>
      <c r="Y472" s="568"/>
      <c r="Z472" s="568"/>
    </row>
    <row r="473" spans="1:26" ht="18.75">
      <c r="A473" s="537"/>
      <c r="B473" s="538"/>
      <c r="C473" s="727"/>
      <c r="D473" s="727"/>
      <c r="E473" s="727"/>
      <c r="F473" s="727" t="s">
        <v>186</v>
      </c>
      <c r="G473" s="189"/>
      <c r="H473" s="161" t="s">
        <v>12</v>
      </c>
      <c r="I473" s="269"/>
      <c r="J473" s="269"/>
      <c r="K473" s="465"/>
      <c r="L473" s="465"/>
      <c r="M473" s="465"/>
      <c r="N473" s="789">
        <v>19570</v>
      </c>
      <c r="O473" s="465"/>
      <c r="P473" s="465"/>
      <c r="Q473" s="541"/>
      <c r="R473" s="541"/>
      <c r="S473" s="541"/>
      <c r="T473" s="541"/>
      <c r="U473" s="541"/>
      <c r="V473" s="541"/>
      <c r="W473" s="541"/>
      <c r="X473" s="541"/>
      <c r="Y473" s="541"/>
      <c r="Z473" s="541"/>
    </row>
    <row r="474" spans="1:26" ht="18.75">
      <c r="A474" s="537"/>
      <c r="B474" s="538"/>
      <c r="C474" s="727"/>
      <c r="D474" s="727"/>
      <c r="E474" s="727"/>
      <c r="F474" s="727" t="s">
        <v>187</v>
      </c>
      <c r="G474" s="189"/>
      <c r="H474" s="161" t="s">
        <v>12</v>
      </c>
      <c r="I474" s="269"/>
      <c r="J474" s="269"/>
      <c r="K474" s="465"/>
      <c r="L474" s="465"/>
      <c r="M474" s="465"/>
      <c r="N474" s="789">
        <v>0</v>
      </c>
      <c r="O474" s="465"/>
      <c r="P474" s="465"/>
      <c r="Q474" s="541"/>
      <c r="R474" s="541"/>
      <c r="S474" s="541"/>
      <c r="T474" s="541"/>
      <c r="U474" s="541"/>
      <c r="V474" s="541"/>
      <c r="W474" s="541"/>
      <c r="X474" s="541"/>
      <c r="Y474" s="541"/>
      <c r="Z474" s="541"/>
    </row>
    <row r="475" spans="1:26" ht="18.75">
      <c r="A475" s="537"/>
      <c r="B475" s="538"/>
      <c r="C475" s="538"/>
      <c r="D475" s="538"/>
      <c r="E475" s="538"/>
      <c r="F475" s="727" t="s">
        <v>188</v>
      </c>
      <c r="G475" s="189"/>
      <c r="H475" s="161" t="s">
        <v>12</v>
      </c>
      <c r="I475" s="269"/>
      <c r="J475" s="269"/>
      <c r="K475" s="465"/>
      <c r="L475" s="465"/>
      <c r="M475" s="465"/>
      <c r="N475" s="789">
        <v>0</v>
      </c>
      <c r="O475" s="465"/>
      <c r="P475" s="465"/>
      <c r="Q475" s="541"/>
      <c r="R475" s="541"/>
      <c r="S475" s="541"/>
      <c r="T475" s="541"/>
      <c r="U475" s="541"/>
      <c r="V475" s="541"/>
      <c r="W475" s="541"/>
      <c r="X475" s="541"/>
      <c r="Y475" s="541"/>
      <c r="Z475" s="541"/>
    </row>
    <row r="476" spans="1:26" ht="18.75">
      <c r="A476" s="537"/>
      <c r="B476" s="538"/>
      <c r="C476" s="538"/>
      <c r="D476" s="538"/>
      <c r="E476" s="538"/>
      <c r="F476" s="727" t="s">
        <v>189</v>
      </c>
      <c r="G476" s="189"/>
      <c r="H476" s="161" t="s">
        <v>12</v>
      </c>
      <c r="I476" s="269"/>
      <c r="J476" s="269"/>
      <c r="K476" s="465"/>
      <c r="L476" s="465"/>
      <c r="M476" s="465"/>
      <c r="N476" s="789">
        <v>0</v>
      </c>
      <c r="O476" s="465"/>
      <c r="P476" s="465"/>
      <c r="Q476" s="541"/>
      <c r="R476" s="541"/>
      <c r="S476" s="541"/>
      <c r="T476" s="541"/>
      <c r="U476" s="541"/>
      <c r="V476" s="541"/>
      <c r="W476" s="541"/>
      <c r="X476" s="541"/>
      <c r="Y476" s="541"/>
      <c r="Z476" s="541"/>
    </row>
    <row r="477" spans="1:26" ht="18.75">
      <c r="A477" s="561"/>
      <c r="B477" s="538"/>
      <c r="C477" s="538"/>
      <c r="D477" s="570" t="s">
        <v>21</v>
      </c>
      <c r="E477" s="538"/>
      <c r="F477" s="538"/>
      <c r="G477" s="189"/>
      <c r="H477" s="168" t="s">
        <v>12</v>
      </c>
      <c r="I477" s="184"/>
      <c r="J477" s="184"/>
      <c r="K477" s="163"/>
      <c r="L477" s="465">
        <f t="shared" ref="L477:N477" ca="1" si="210">L478+L479</f>
        <v>0</v>
      </c>
      <c r="M477" s="465">
        <f t="shared" si="210"/>
        <v>0</v>
      </c>
      <c r="N477" s="465">
        <f t="shared" si="210"/>
        <v>0</v>
      </c>
      <c r="O477" s="465">
        <f t="shared" ref="O477:O479" ca="1" si="211">IF(L477&gt;0,N477*100/L477,0)</f>
        <v>0</v>
      </c>
      <c r="P477" s="465">
        <f t="shared" ref="P477:P479" si="212">IF(M477&gt;0,N477*100/M477,0)</f>
        <v>0</v>
      </c>
      <c r="Q477" s="541"/>
      <c r="R477" s="541"/>
      <c r="S477" s="541"/>
      <c r="T477" s="541"/>
      <c r="U477" s="541"/>
      <c r="V477" s="541"/>
      <c r="W477" s="541"/>
      <c r="X477" s="541"/>
      <c r="Y477" s="541"/>
      <c r="Z477" s="541"/>
    </row>
    <row r="478" spans="1:26" ht="18.75" hidden="1">
      <c r="A478" s="563"/>
      <c r="B478" s="571"/>
      <c r="C478" s="571"/>
      <c r="D478" s="571"/>
      <c r="E478" s="571" t="s">
        <v>18</v>
      </c>
      <c r="F478" s="571"/>
      <c r="G478" s="567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1"/>
        <v>0</v>
      </c>
      <c r="P478" s="93">
        <f t="shared" si="212"/>
        <v>0</v>
      </c>
      <c r="Q478" s="568"/>
      <c r="R478" s="568"/>
      <c r="S478" s="568"/>
      <c r="T478" s="568"/>
      <c r="U478" s="568"/>
      <c r="V478" s="568"/>
      <c r="W478" s="568"/>
      <c r="X478" s="568"/>
      <c r="Y478" s="568"/>
      <c r="Z478" s="568"/>
    </row>
    <row r="479" spans="1:26" ht="18.75" hidden="1">
      <c r="A479" s="563"/>
      <c r="B479" s="571"/>
      <c r="C479" s="571"/>
      <c r="D479" s="571"/>
      <c r="E479" s="571" t="s">
        <v>19</v>
      </c>
      <c r="F479" s="571"/>
      <c r="G479" s="567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IFERROR(__xludf.DUMMYFUNCTION("IMPORTRANGE(""https://docs.google.com/spreadsheets/d/1QqKyyYR6Q21VydFLVH3TRQUabQu_ym0Zz7PgGX0-kHA/edit?usp=sharing"",""แผน!FV19"")"),0)</f>
        <v>0</v>
      </c>
      <c r="M479" s="93">
        <v>0</v>
      </c>
      <c r="N479" s="93">
        <v>0</v>
      </c>
      <c r="O479" s="93">
        <f t="shared" ca="1" si="211"/>
        <v>0</v>
      </c>
      <c r="P479" s="93">
        <f t="shared" si="212"/>
        <v>0</v>
      </c>
      <c r="Q479" s="568"/>
      <c r="R479" s="568"/>
      <c r="S479" s="568"/>
      <c r="T479" s="568"/>
      <c r="U479" s="568"/>
      <c r="V479" s="568"/>
      <c r="W479" s="568"/>
      <c r="X479" s="568"/>
      <c r="Y479" s="568"/>
      <c r="Z479" s="568"/>
    </row>
    <row r="480" spans="1:26" ht="19.5">
      <c r="A480" s="572"/>
      <c r="B480" s="584"/>
      <c r="C480" s="538" t="s">
        <v>16</v>
      </c>
      <c r="D480" s="851" t="s">
        <v>38</v>
      </c>
      <c r="E480" s="575"/>
      <c r="F480" s="725"/>
      <c r="G480" s="577"/>
      <c r="H480" s="726"/>
      <c r="I480" s="269"/>
      <c r="J480" s="269"/>
      <c r="K480" s="465"/>
      <c r="L480" s="465"/>
      <c r="M480" s="465"/>
      <c r="N480" s="465"/>
      <c r="O480" s="465"/>
      <c r="P480" s="465"/>
      <c r="Q480" s="541"/>
      <c r="R480" s="541"/>
      <c r="S480" s="541"/>
      <c r="T480" s="541"/>
      <c r="U480" s="541"/>
      <c r="V480" s="541"/>
      <c r="W480" s="541"/>
      <c r="X480" s="541"/>
      <c r="Y480" s="541"/>
      <c r="Z480" s="541"/>
    </row>
    <row r="481" spans="1:26" ht="19.5">
      <c r="A481" s="572"/>
      <c r="B481" s="584"/>
      <c r="C481" s="584"/>
      <c r="D481" s="591" t="s">
        <v>206</v>
      </c>
      <c r="E481" s="584"/>
      <c r="F481" s="584"/>
      <c r="G481" s="726"/>
      <c r="H481" s="189"/>
      <c r="I481" s="269"/>
      <c r="J481" s="269"/>
      <c r="K481" s="465"/>
      <c r="L481" s="465"/>
      <c r="M481" s="465"/>
      <c r="N481" s="465"/>
      <c r="O481" s="465"/>
      <c r="P481" s="465"/>
      <c r="Q481" s="541"/>
      <c r="R481" s="541"/>
      <c r="S481" s="541"/>
      <c r="T481" s="541"/>
      <c r="U481" s="541"/>
      <c r="V481" s="541"/>
      <c r="W481" s="541"/>
      <c r="X481" s="541"/>
      <c r="Y481" s="541"/>
      <c r="Z481" s="541"/>
    </row>
    <row r="482" spans="1:26" ht="18.75">
      <c r="A482" s="572"/>
      <c r="B482" s="584"/>
      <c r="C482" s="584"/>
      <c r="D482" s="584"/>
      <c r="E482" s="584" t="s">
        <v>207</v>
      </c>
      <c r="F482" s="584"/>
      <c r="G482" s="726"/>
      <c r="H482" s="189"/>
      <c r="I482" s="269"/>
      <c r="J482" s="269"/>
      <c r="K482" s="465"/>
      <c r="L482" s="465"/>
      <c r="M482" s="465"/>
      <c r="N482" s="465"/>
      <c r="O482" s="465"/>
      <c r="P482" s="465"/>
      <c r="Q482" s="541"/>
      <c r="R482" s="541"/>
      <c r="S482" s="541"/>
      <c r="T482" s="541"/>
      <c r="U482" s="541"/>
      <c r="V482" s="541"/>
      <c r="W482" s="541"/>
      <c r="X482" s="541"/>
      <c r="Y482" s="541"/>
      <c r="Z482" s="541"/>
    </row>
    <row r="483" spans="1:26" ht="18.75">
      <c r="A483" s="572"/>
      <c r="B483" s="584"/>
      <c r="C483" s="584"/>
      <c r="D483" s="584"/>
      <c r="E483" s="584"/>
      <c r="F483" s="584" t="s">
        <v>208</v>
      </c>
      <c r="G483" s="726"/>
      <c r="H483" s="589" t="s">
        <v>46</v>
      </c>
      <c r="I483" s="269">
        <f ca="1">IFERROR(__xludf.DUMMYFUNCTION("IMPORTRANGE(""https://docs.google.com/spreadsheets/d/1QqKyyYR6Q21VydFLVH3TRQUabQu_ym0Zz7PgGX0-kHA/edit?usp=sharing"",""แผน!FY19"")"),540)</f>
        <v>540</v>
      </c>
      <c r="J483" s="214">
        <v>0</v>
      </c>
      <c r="K483" s="465">
        <f ca="1">IF(I483&gt;0,J483*100/I483,0)</f>
        <v>0</v>
      </c>
      <c r="L483" s="465"/>
      <c r="M483" s="465"/>
      <c r="N483" s="465"/>
      <c r="O483" s="465"/>
      <c r="P483" s="465"/>
      <c r="Q483" s="541"/>
      <c r="R483" s="541"/>
      <c r="S483" s="541"/>
      <c r="T483" s="541"/>
      <c r="U483" s="541"/>
      <c r="V483" s="541"/>
      <c r="W483" s="541"/>
      <c r="X483" s="541"/>
      <c r="Y483" s="541"/>
      <c r="Z483" s="541"/>
    </row>
    <row r="484" spans="1:26" ht="18.75">
      <c r="A484" s="572"/>
      <c r="B484" s="584"/>
      <c r="C484" s="584"/>
      <c r="D484" s="584"/>
      <c r="E484" s="584"/>
      <c r="F484" s="584" t="s">
        <v>209</v>
      </c>
      <c r="G484" s="726"/>
      <c r="H484" s="589" t="s">
        <v>35</v>
      </c>
      <c r="I484" s="269"/>
      <c r="J484" s="214">
        <v>0</v>
      </c>
      <c r="K484" s="465"/>
      <c r="L484" s="465"/>
      <c r="M484" s="465"/>
      <c r="N484" s="465"/>
      <c r="O484" s="465"/>
      <c r="P484" s="465"/>
      <c r="Q484" s="541"/>
      <c r="R484" s="541"/>
      <c r="S484" s="541"/>
      <c r="T484" s="541"/>
      <c r="U484" s="541"/>
      <c r="V484" s="541"/>
      <c r="W484" s="541"/>
      <c r="X484" s="541"/>
      <c r="Y484" s="541"/>
      <c r="Z484" s="541"/>
    </row>
    <row r="485" spans="1:26" ht="18.75">
      <c r="A485" s="572"/>
      <c r="B485" s="584"/>
      <c r="C485" s="584"/>
      <c r="D485" s="584"/>
      <c r="E485" s="584"/>
      <c r="F485" s="584" t="s">
        <v>210</v>
      </c>
      <c r="G485" s="726"/>
      <c r="H485" s="589" t="s">
        <v>35</v>
      </c>
      <c r="I485" s="269">
        <f ca="1">IFERROR(__xludf.DUMMYFUNCTION("IMPORTRANGE(""https://docs.google.com/spreadsheets/d/1QqKyyYR6Q21VydFLVH3TRQUabQu_ym0Zz7PgGX0-kHA/edit?usp=sharing"",""แผน!FZ19"")"),54)</f>
        <v>54</v>
      </c>
      <c r="J485" s="214">
        <v>0</v>
      </c>
      <c r="K485" s="465">
        <f ca="1">IF(I485&gt;0,J485*100/I485,0)</f>
        <v>0</v>
      </c>
      <c r="L485" s="465"/>
      <c r="M485" s="465"/>
      <c r="N485" s="465"/>
      <c r="O485" s="465"/>
      <c r="P485" s="465"/>
      <c r="Q485" s="541"/>
      <c r="R485" s="541"/>
      <c r="S485" s="541"/>
      <c r="T485" s="541"/>
      <c r="U485" s="541"/>
      <c r="V485" s="541"/>
      <c r="W485" s="541"/>
      <c r="X485" s="541"/>
      <c r="Y485" s="541"/>
      <c r="Z485" s="541"/>
    </row>
    <row r="486" spans="1:26" ht="18.75">
      <c r="A486" s="572"/>
      <c r="B486" s="584"/>
      <c r="C486" s="584"/>
      <c r="D486" s="584"/>
      <c r="E486" s="584" t="s">
        <v>62</v>
      </c>
      <c r="F486" s="584"/>
      <c r="G486" s="726"/>
      <c r="H486" s="589"/>
      <c r="I486" s="269"/>
      <c r="J486" s="269"/>
      <c r="K486" s="465"/>
      <c r="L486" s="465"/>
      <c r="M486" s="465"/>
      <c r="N486" s="465"/>
      <c r="O486" s="465"/>
      <c r="P486" s="465"/>
      <c r="Q486" s="541"/>
      <c r="R486" s="541"/>
      <c r="S486" s="541"/>
      <c r="T486" s="541"/>
      <c r="U486" s="541"/>
      <c r="V486" s="541"/>
      <c r="W486" s="541"/>
      <c r="X486" s="541"/>
      <c r="Y486" s="541"/>
      <c r="Z486" s="541"/>
    </row>
    <row r="487" spans="1:26" ht="18.75">
      <c r="A487" s="572"/>
      <c r="B487" s="584"/>
      <c r="C487" s="584"/>
      <c r="D487" s="584"/>
      <c r="E487" s="584"/>
      <c r="F487" s="584" t="s">
        <v>208</v>
      </c>
      <c r="G487" s="726"/>
      <c r="H487" s="589" t="s">
        <v>46</v>
      </c>
      <c r="I487" s="269">
        <f ca="1">IFERROR(__xludf.DUMMYFUNCTION("IMPORTRANGE(""https://docs.google.com/spreadsheets/d/1QqKyyYR6Q21VydFLVH3TRQUabQu_ym0Zz7PgGX0-kHA/edit?usp=sharing"",""แผน!GA19"")"),60)</f>
        <v>60</v>
      </c>
      <c r="J487" s="214">
        <v>0</v>
      </c>
      <c r="K487" s="465">
        <f ca="1">IF(I487&gt;0,J487*100/I487,0)</f>
        <v>0</v>
      </c>
      <c r="L487" s="465"/>
      <c r="M487" s="465"/>
      <c r="N487" s="465"/>
      <c r="O487" s="465"/>
      <c r="P487" s="465"/>
      <c r="Q487" s="541"/>
      <c r="R487" s="541"/>
      <c r="S487" s="541"/>
      <c r="T487" s="541"/>
      <c r="U487" s="541"/>
      <c r="V487" s="541"/>
      <c r="W487" s="541"/>
      <c r="X487" s="541"/>
      <c r="Y487" s="541"/>
      <c r="Z487" s="541"/>
    </row>
    <row r="488" spans="1:26" ht="18.75">
      <c r="A488" s="572"/>
      <c r="B488" s="584"/>
      <c r="C488" s="584"/>
      <c r="D488" s="584"/>
      <c r="E488" s="584"/>
      <c r="F488" s="584" t="s">
        <v>211</v>
      </c>
      <c r="G488" s="726"/>
      <c r="H488" s="589" t="s">
        <v>35</v>
      </c>
      <c r="I488" s="269"/>
      <c r="J488" s="214">
        <v>0</v>
      </c>
      <c r="K488" s="465"/>
      <c r="L488" s="465"/>
      <c r="M488" s="465"/>
      <c r="N488" s="465"/>
      <c r="O488" s="465"/>
      <c r="P488" s="465"/>
      <c r="Q488" s="541"/>
      <c r="R488" s="541"/>
      <c r="S488" s="541"/>
      <c r="T488" s="541"/>
      <c r="U488" s="541"/>
      <c r="V488" s="541"/>
      <c r="W488" s="541"/>
      <c r="X488" s="541"/>
      <c r="Y488" s="541"/>
      <c r="Z488" s="541"/>
    </row>
    <row r="489" spans="1:26" ht="18.75">
      <c r="A489" s="572"/>
      <c r="B489" s="584"/>
      <c r="C489" s="584"/>
      <c r="D489" s="584"/>
      <c r="E489" s="584"/>
      <c r="F489" s="584" t="s">
        <v>212</v>
      </c>
      <c r="G489" s="726"/>
      <c r="H489" s="589" t="s">
        <v>35</v>
      </c>
      <c r="I489" s="269">
        <f ca="1">IFERROR(__xludf.DUMMYFUNCTION("IMPORTRANGE(""https://docs.google.com/spreadsheets/d/1QqKyyYR6Q21VydFLVH3TRQUabQu_ym0Zz7PgGX0-kHA/edit?usp=sharing"",""แผน!GB19"")"),6)</f>
        <v>6</v>
      </c>
      <c r="J489" s="214">
        <v>0</v>
      </c>
      <c r="K489" s="465">
        <f ca="1">IF(I489&gt;0,J489*100/I489,0)</f>
        <v>0</v>
      </c>
      <c r="L489" s="465"/>
      <c r="M489" s="465"/>
      <c r="N489" s="465"/>
      <c r="O489" s="465"/>
      <c r="P489" s="465"/>
      <c r="Q489" s="541"/>
      <c r="R489" s="541"/>
      <c r="S489" s="541"/>
      <c r="T489" s="541"/>
      <c r="U489" s="541"/>
      <c r="V489" s="541"/>
      <c r="W489" s="541"/>
      <c r="X489" s="541"/>
      <c r="Y489" s="541"/>
      <c r="Z489" s="541"/>
    </row>
    <row r="490" spans="1:26" ht="18.75">
      <c r="A490" s="572"/>
      <c r="B490" s="584"/>
      <c r="C490" s="584"/>
      <c r="D490" s="584"/>
      <c r="E490" s="584" t="s">
        <v>63</v>
      </c>
      <c r="F490" s="592"/>
      <c r="G490" s="726"/>
      <c r="H490" s="589"/>
      <c r="I490" s="269"/>
      <c r="J490" s="269"/>
      <c r="K490" s="465"/>
      <c r="L490" s="465"/>
      <c r="M490" s="465"/>
      <c r="N490" s="465"/>
      <c r="O490" s="465"/>
      <c r="P490" s="465"/>
      <c r="Q490" s="541"/>
      <c r="R490" s="541"/>
      <c r="S490" s="541"/>
      <c r="T490" s="541"/>
      <c r="U490" s="541"/>
      <c r="V490" s="541"/>
      <c r="W490" s="541"/>
      <c r="X490" s="541"/>
      <c r="Y490" s="541"/>
      <c r="Z490" s="541"/>
    </row>
    <row r="491" spans="1:26" ht="18.75">
      <c r="A491" s="572"/>
      <c r="B491" s="584"/>
      <c r="C491" s="584"/>
      <c r="D491" s="584"/>
      <c r="E491" s="584"/>
      <c r="F491" s="584" t="s">
        <v>213</v>
      </c>
      <c r="G491" s="726"/>
      <c r="H491" s="589" t="s">
        <v>35</v>
      </c>
      <c r="I491" s="269"/>
      <c r="J491" s="214">
        <v>0</v>
      </c>
      <c r="K491" s="465"/>
      <c r="L491" s="465"/>
      <c r="M491" s="465"/>
      <c r="N491" s="465"/>
      <c r="O491" s="465"/>
      <c r="P491" s="465"/>
      <c r="Q491" s="541"/>
      <c r="R491" s="541"/>
      <c r="S491" s="541"/>
      <c r="T491" s="541"/>
      <c r="U491" s="541"/>
      <c r="V491" s="541"/>
      <c r="W491" s="541"/>
      <c r="X491" s="541"/>
      <c r="Y491" s="541"/>
      <c r="Z491" s="541"/>
    </row>
    <row r="492" spans="1:26" ht="18.75">
      <c r="A492" s="572"/>
      <c r="B492" s="584"/>
      <c r="C492" s="584"/>
      <c r="D492" s="584"/>
      <c r="E492" s="584"/>
      <c r="F492" s="584" t="s">
        <v>214</v>
      </c>
      <c r="G492" s="726"/>
      <c r="H492" s="589" t="s">
        <v>35</v>
      </c>
      <c r="I492" s="269">
        <f ca="1">IFERROR(__xludf.DUMMYFUNCTION("IMPORTRANGE(""https://docs.google.com/spreadsheets/d/1QqKyyYR6Q21VydFLVH3TRQUabQu_ym0Zz7PgGX0-kHA/edit?usp=sharing"",""แผน!GC19"")"),1)</f>
        <v>1</v>
      </c>
      <c r="J492" s="214">
        <v>0</v>
      </c>
      <c r="K492" s="465">
        <f ca="1">IF(I492&gt;0,J492*100/I492,0)</f>
        <v>0</v>
      </c>
      <c r="L492" s="465"/>
      <c r="M492" s="465"/>
      <c r="N492" s="465"/>
      <c r="O492" s="465"/>
      <c r="P492" s="465"/>
      <c r="Q492" s="541"/>
      <c r="R492" s="541"/>
      <c r="S492" s="541"/>
      <c r="T492" s="541"/>
      <c r="U492" s="541"/>
      <c r="V492" s="541"/>
      <c r="W492" s="541"/>
      <c r="X492" s="541"/>
      <c r="Y492" s="541"/>
      <c r="Z492" s="541"/>
    </row>
    <row r="493" spans="1:26" ht="19.5">
      <c r="A493" s="572"/>
      <c r="B493" s="584"/>
      <c r="C493" s="584"/>
      <c r="D493" s="591" t="s">
        <v>59</v>
      </c>
      <c r="E493" s="584"/>
      <c r="F493" s="592"/>
      <c r="G493" s="726"/>
      <c r="H493" s="189"/>
      <c r="I493" s="269"/>
      <c r="J493" s="269"/>
      <c r="K493" s="465"/>
      <c r="L493" s="465"/>
      <c r="M493" s="465"/>
      <c r="N493" s="465"/>
      <c r="O493" s="465"/>
      <c r="P493" s="465"/>
      <c r="Q493" s="541"/>
      <c r="R493" s="541"/>
      <c r="S493" s="541"/>
      <c r="T493" s="541"/>
      <c r="U493" s="541"/>
      <c r="V493" s="541"/>
      <c r="W493" s="541"/>
      <c r="X493" s="541"/>
      <c r="Y493" s="541"/>
      <c r="Z493" s="541"/>
    </row>
    <row r="494" spans="1:26" ht="18.75">
      <c r="A494" s="572"/>
      <c r="B494" s="584"/>
      <c r="C494" s="584"/>
      <c r="D494" s="584"/>
      <c r="E494" s="584" t="s">
        <v>207</v>
      </c>
      <c r="F494" s="592"/>
      <c r="G494" s="726"/>
      <c r="H494" s="189"/>
      <c r="I494" s="269"/>
      <c r="J494" s="269"/>
      <c r="K494" s="465"/>
      <c r="L494" s="465"/>
      <c r="M494" s="465"/>
      <c r="N494" s="465"/>
      <c r="O494" s="465"/>
      <c r="P494" s="465"/>
      <c r="Q494" s="541"/>
      <c r="R494" s="541"/>
      <c r="S494" s="541"/>
      <c r="T494" s="541"/>
      <c r="U494" s="541"/>
      <c r="V494" s="541"/>
      <c r="W494" s="541"/>
      <c r="X494" s="541"/>
      <c r="Y494" s="541"/>
      <c r="Z494" s="541"/>
    </row>
    <row r="495" spans="1:26" ht="18.75">
      <c r="A495" s="572"/>
      <c r="B495" s="584"/>
      <c r="C495" s="584"/>
      <c r="D495" s="584"/>
      <c r="E495" s="584"/>
      <c r="F495" s="592" t="s">
        <v>215</v>
      </c>
      <c r="G495" s="726"/>
      <c r="H495" s="589" t="s">
        <v>46</v>
      </c>
      <c r="I495" s="269">
        <f ca="1">IFERROR(__xludf.DUMMYFUNCTION("IMPORTRANGE(""https://docs.google.com/spreadsheets/d/1QqKyyYR6Q21VydFLVH3TRQUabQu_ym0Zz7PgGX0-kHA/edit?usp=sharing"",""แผน!FY19"")"),540)</f>
        <v>540</v>
      </c>
      <c r="J495" s="214">
        <v>0</v>
      </c>
      <c r="K495" s="465">
        <f ca="1">IF(I495&gt;0,J495*100/I495,0)</f>
        <v>0</v>
      </c>
      <c r="L495" s="465"/>
      <c r="M495" s="465"/>
      <c r="N495" s="465"/>
      <c r="O495" s="465"/>
      <c r="P495" s="465"/>
      <c r="Q495" s="541"/>
      <c r="R495" s="541"/>
      <c r="S495" s="541"/>
      <c r="T495" s="541"/>
      <c r="U495" s="541"/>
      <c r="V495" s="541"/>
      <c r="W495" s="541"/>
      <c r="X495" s="541"/>
      <c r="Y495" s="541"/>
      <c r="Z495" s="541"/>
    </row>
    <row r="496" spans="1:26" ht="18.75">
      <c r="A496" s="572"/>
      <c r="B496" s="584"/>
      <c r="C496" s="584"/>
      <c r="D496" s="584"/>
      <c r="E496" s="584"/>
      <c r="F496" s="592" t="s">
        <v>216</v>
      </c>
      <c r="G496" s="726"/>
      <c r="H496" s="589" t="s">
        <v>46</v>
      </c>
      <c r="I496" s="269"/>
      <c r="J496" s="214">
        <v>0</v>
      </c>
      <c r="K496" s="465"/>
      <c r="L496" s="465"/>
      <c r="M496" s="465"/>
      <c r="N496" s="465"/>
      <c r="O496" s="465"/>
      <c r="P496" s="465"/>
      <c r="Q496" s="541"/>
      <c r="R496" s="541"/>
      <c r="S496" s="541"/>
      <c r="T496" s="541"/>
      <c r="U496" s="541"/>
      <c r="V496" s="541"/>
      <c r="W496" s="541"/>
      <c r="X496" s="541"/>
      <c r="Y496" s="541"/>
      <c r="Z496" s="541"/>
    </row>
    <row r="497" spans="1:26" ht="18.75">
      <c r="A497" s="572"/>
      <c r="B497" s="584"/>
      <c r="C497" s="584"/>
      <c r="D497" s="584"/>
      <c r="E497" s="584" t="s">
        <v>62</v>
      </c>
      <c r="F497" s="592"/>
      <c r="G497" s="726"/>
      <c r="H497" s="189"/>
      <c r="I497" s="269"/>
      <c r="J497" s="269"/>
      <c r="K497" s="465"/>
      <c r="L497" s="465"/>
      <c r="M497" s="465"/>
      <c r="N497" s="465"/>
      <c r="O497" s="465"/>
      <c r="P497" s="465"/>
      <c r="Q497" s="541"/>
      <c r="R497" s="541"/>
      <c r="S497" s="541"/>
      <c r="T497" s="541"/>
      <c r="U497" s="541"/>
      <c r="V497" s="541"/>
      <c r="W497" s="541"/>
      <c r="X497" s="541"/>
      <c r="Y497" s="541"/>
      <c r="Z497" s="541"/>
    </row>
    <row r="498" spans="1:26" ht="18.75">
      <c r="A498" s="572"/>
      <c r="B498" s="584"/>
      <c r="C498" s="584"/>
      <c r="D498" s="584"/>
      <c r="E498" s="592"/>
      <c r="F498" s="592" t="s">
        <v>217</v>
      </c>
      <c r="G498" s="726"/>
      <c r="H498" s="589" t="s">
        <v>46</v>
      </c>
      <c r="I498" s="269">
        <f ca="1">IFERROR(__xludf.DUMMYFUNCTION("IMPORTRANGE(""https://docs.google.com/spreadsheets/d/1QqKyyYR6Q21VydFLVH3TRQUabQu_ym0Zz7PgGX0-kHA/edit?usp=sharing"",""แผน!GA19"")"),60)</f>
        <v>60</v>
      </c>
      <c r="J498" s="214">
        <v>0</v>
      </c>
      <c r="K498" s="465">
        <f ca="1">IF(I498&gt;0,J498*100/I498,0)</f>
        <v>0</v>
      </c>
      <c r="L498" s="465"/>
      <c r="M498" s="465"/>
      <c r="N498" s="465"/>
      <c r="O498" s="465"/>
      <c r="P498" s="465"/>
      <c r="Q498" s="541"/>
      <c r="R498" s="541"/>
      <c r="S498" s="541"/>
      <c r="T498" s="541"/>
      <c r="U498" s="541"/>
      <c r="V498" s="541"/>
      <c r="W498" s="541"/>
      <c r="X498" s="541"/>
      <c r="Y498" s="541"/>
      <c r="Z498" s="541"/>
    </row>
    <row r="499" spans="1:26" ht="18.75">
      <c r="A499" s="572"/>
      <c r="B499" s="584"/>
      <c r="C499" s="584"/>
      <c r="D499" s="584"/>
      <c r="E499" s="592"/>
      <c r="F499" s="592" t="s">
        <v>218</v>
      </c>
      <c r="G499" s="726"/>
      <c r="H499" s="589" t="s">
        <v>46</v>
      </c>
      <c r="I499" s="269"/>
      <c r="J499" s="214">
        <v>0</v>
      </c>
      <c r="K499" s="465"/>
      <c r="L499" s="465"/>
      <c r="M499" s="465"/>
      <c r="N499" s="465"/>
      <c r="O499" s="465"/>
      <c r="P499" s="465"/>
      <c r="Q499" s="541"/>
      <c r="R499" s="541"/>
      <c r="S499" s="541"/>
      <c r="T499" s="541"/>
      <c r="U499" s="541"/>
      <c r="V499" s="541"/>
      <c r="W499" s="541"/>
      <c r="X499" s="541"/>
      <c r="Y499" s="541"/>
      <c r="Z499" s="541"/>
    </row>
    <row r="500" spans="1:26" ht="19.5" hidden="1">
      <c r="A500" s="593">
        <v>4</v>
      </c>
      <c r="B500" s="594" t="s">
        <v>219</v>
      </c>
      <c r="C500" s="595"/>
      <c r="D500" s="596"/>
      <c r="E500" s="596"/>
      <c r="F500" s="596"/>
      <c r="G500" s="597"/>
      <c r="H500" s="598" t="s">
        <v>109</v>
      </c>
      <c r="I500" s="599"/>
      <c r="J500" s="599">
        <f t="shared" ref="J500:J501" si="213">J516</f>
        <v>0</v>
      </c>
      <c r="K500" s="600">
        <f t="shared" ref="K500:K501" si="214">IF(I500&gt;0,J500*100/I500,0)</f>
        <v>0</v>
      </c>
      <c r="L500" s="601"/>
      <c r="M500" s="601"/>
      <c r="N500" s="601"/>
      <c r="O500" s="601"/>
      <c r="P500" s="601"/>
      <c r="Q500" s="568"/>
      <c r="R500" s="568"/>
      <c r="S500" s="568"/>
      <c r="T500" s="568"/>
      <c r="U500" s="568"/>
      <c r="V500" s="568"/>
      <c r="W500" s="568"/>
      <c r="X500" s="568"/>
      <c r="Y500" s="568"/>
      <c r="Z500" s="568"/>
    </row>
    <row r="501" spans="1:26" ht="19.5" hidden="1">
      <c r="A501" s="602"/>
      <c r="B501" s="604" t="s">
        <v>220</v>
      </c>
      <c r="C501" s="604"/>
      <c r="D501" s="605"/>
      <c r="E501" s="605"/>
      <c r="F501" s="605"/>
      <c r="G501" s="606"/>
      <c r="H501" s="607" t="s">
        <v>35</v>
      </c>
      <c r="I501" s="608"/>
      <c r="J501" s="608">
        <f t="shared" si="213"/>
        <v>0</v>
      </c>
      <c r="K501" s="609">
        <f t="shared" si="214"/>
        <v>0</v>
      </c>
      <c r="L501" s="610"/>
      <c r="M501" s="610"/>
      <c r="N501" s="610"/>
      <c r="O501" s="610"/>
      <c r="P501" s="610"/>
      <c r="Q501" s="568"/>
      <c r="R501" s="568"/>
      <c r="S501" s="568"/>
      <c r="T501" s="568"/>
      <c r="U501" s="568"/>
      <c r="V501" s="568"/>
      <c r="W501" s="568"/>
      <c r="X501" s="568"/>
      <c r="Y501" s="568"/>
      <c r="Z501" s="568"/>
    </row>
    <row r="502" spans="1:26" ht="19.5" hidden="1">
      <c r="A502" s="563"/>
      <c r="B502" s="723"/>
      <c r="C502" s="723" t="s">
        <v>16</v>
      </c>
      <c r="D502" s="812" t="s">
        <v>17</v>
      </c>
      <c r="E502" s="805"/>
      <c r="F502" s="805"/>
      <c r="G502" s="567"/>
      <c r="H502" s="612" t="s">
        <v>12</v>
      </c>
      <c r="I502" s="583"/>
      <c r="J502" s="583"/>
      <c r="K502" s="93"/>
      <c r="L502" s="613">
        <f t="shared" ref="L502:N502" si="215">L503+L504</f>
        <v>0</v>
      </c>
      <c r="M502" s="613">
        <f t="shared" si="215"/>
        <v>0</v>
      </c>
      <c r="N502" s="613">
        <f t="shared" si="215"/>
        <v>0</v>
      </c>
      <c r="O502" s="613">
        <f t="shared" ref="O502:O507" si="216">IF(L502&gt;0,N502*100/L502,0)</f>
        <v>0</v>
      </c>
      <c r="P502" s="613">
        <f t="shared" ref="P502:P507" si="217">IF(M502&gt;0,N502*100/M502,0)</f>
        <v>0</v>
      </c>
      <c r="Q502" s="568"/>
      <c r="R502" s="568"/>
      <c r="S502" s="568"/>
      <c r="T502" s="568"/>
      <c r="U502" s="568"/>
      <c r="V502" s="568"/>
      <c r="W502" s="568"/>
      <c r="X502" s="568"/>
      <c r="Y502" s="568"/>
      <c r="Z502" s="568"/>
    </row>
    <row r="503" spans="1:26" ht="18.75" hidden="1">
      <c r="A503" s="563"/>
      <c r="B503" s="723"/>
      <c r="C503" s="723"/>
      <c r="D503" s="684"/>
      <c r="E503" s="723" t="s">
        <v>184</v>
      </c>
      <c r="F503" s="723"/>
      <c r="G503" s="567"/>
      <c r="H503" s="165" t="s">
        <v>12</v>
      </c>
      <c r="I503" s="583"/>
      <c r="J503" s="583"/>
      <c r="K503" s="93"/>
      <c r="L503" s="93">
        <f t="shared" ref="L503:N504" si="218">L506+L513</f>
        <v>0</v>
      </c>
      <c r="M503" s="93">
        <f t="shared" si="218"/>
        <v>0</v>
      </c>
      <c r="N503" s="93">
        <f t="shared" si="218"/>
        <v>0</v>
      </c>
      <c r="O503" s="93">
        <f t="shared" si="216"/>
        <v>0</v>
      </c>
      <c r="P503" s="93">
        <f t="shared" si="217"/>
        <v>0</v>
      </c>
      <c r="Q503" s="568"/>
      <c r="R503" s="568"/>
      <c r="S503" s="568"/>
      <c r="T503" s="568"/>
      <c r="U503" s="568"/>
      <c r="V503" s="568"/>
      <c r="W503" s="568"/>
      <c r="X503" s="568"/>
      <c r="Y503" s="568"/>
      <c r="Z503" s="568"/>
    </row>
    <row r="504" spans="1:26" ht="18.75" hidden="1">
      <c r="A504" s="563"/>
      <c r="B504" s="571"/>
      <c r="C504" s="723"/>
      <c r="D504" s="684"/>
      <c r="E504" s="723" t="s">
        <v>185</v>
      </c>
      <c r="F504" s="723"/>
      <c r="G504" s="567"/>
      <c r="H504" s="165" t="s">
        <v>12</v>
      </c>
      <c r="I504" s="583"/>
      <c r="J504" s="583"/>
      <c r="K504" s="93"/>
      <c r="L504" s="93">
        <f t="shared" si="218"/>
        <v>0</v>
      </c>
      <c r="M504" s="93">
        <f t="shared" si="218"/>
        <v>0</v>
      </c>
      <c r="N504" s="93">
        <f t="shared" si="218"/>
        <v>0</v>
      </c>
      <c r="O504" s="93">
        <f t="shared" si="216"/>
        <v>0</v>
      </c>
      <c r="P504" s="93">
        <f t="shared" si="217"/>
        <v>0</v>
      </c>
      <c r="Q504" s="568"/>
      <c r="R504" s="568"/>
      <c r="S504" s="568"/>
      <c r="T504" s="568"/>
      <c r="U504" s="568"/>
      <c r="V504" s="568"/>
      <c r="W504" s="568"/>
      <c r="X504" s="568"/>
      <c r="Y504" s="568"/>
      <c r="Z504" s="568"/>
    </row>
    <row r="505" spans="1:26" ht="18.75" hidden="1">
      <c r="A505" s="563"/>
      <c r="B505" s="571"/>
      <c r="C505" s="723"/>
      <c r="D505" s="614" t="s">
        <v>20</v>
      </c>
      <c r="E505" s="723"/>
      <c r="F505" s="723"/>
      <c r="G505" s="567"/>
      <c r="H505" s="165" t="s">
        <v>12</v>
      </c>
      <c r="I505" s="166"/>
      <c r="J505" s="166"/>
      <c r="K505" s="167"/>
      <c r="L505" s="93">
        <f t="shared" ref="L505:N505" si="219">L506+L507</f>
        <v>0</v>
      </c>
      <c r="M505" s="93">
        <f t="shared" si="219"/>
        <v>0</v>
      </c>
      <c r="N505" s="93">
        <f t="shared" si="219"/>
        <v>0</v>
      </c>
      <c r="O505" s="93">
        <f t="shared" si="216"/>
        <v>0</v>
      </c>
      <c r="P505" s="93">
        <f t="shared" si="217"/>
        <v>0</v>
      </c>
      <c r="Q505" s="568"/>
      <c r="R505" s="568"/>
      <c r="S505" s="568"/>
      <c r="T505" s="568"/>
      <c r="U505" s="568"/>
      <c r="V505" s="568"/>
      <c r="W505" s="568"/>
      <c r="X505" s="568"/>
      <c r="Y505" s="568"/>
      <c r="Z505" s="568"/>
    </row>
    <row r="506" spans="1:26" ht="18.75" hidden="1">
      <c r="A506" s="563"/>
      <c r="B506" s="571"/>
      <c r="C506" s="723"/>
      <c r="D506" s="684"/>
      <c r="E506" s="723" t="s">
        <v>184</v>
      </c>
      <c r="F506" s="723"/>
      <c r="G506" s="567"/>
      <c r="H506" s="165" t="s">
        <v>12</v>
      </c>
      <c r="I506" s="583"/>
      <c r="J506" s="583"/>
      <c r="K506" s="93"/>
      <c r="L506" s="93">
        <v>0</v>
      </c>
      <c r="M506" s="93">
        <v>0</v>
      </c>
      <c r="N506" s="93">
        <v>0</v>
      </c>
      <c r="O506" s="93">
        <f t="shared" si="216"/>
        <v>0</v>
      </c>
      <c r="P506" s="93">
        <f t="shared" si="217"/>
        <v>0</v>
      </c>
      <c r="Q506" s="568"/>
      <c r="R506" s="568"/>
      <c r="S506" s="568"/>
      <c r="T506" s="568"/>
      <c r="U506" s="568"/>
      <c r="V506" s="568"/>
      <c r="W506" s="568"/>
      <c r="X506" s="568"/>
      <c r="Y506" s="568"/>
      <c r="Z506" s="568"/>
    </row>
    <row r="507" spans="1:26" ht="18.75" hidden="1">
      <c r="A507" s="563"/>
      <c r="B507" s="571"/>
      <c r="C507" s="723"/>
      <c r="D507" s="684"/>
      <c r="E507" s="723" t="s">
        <v>185</v>
      </c>
      <c r="F507" s="723"/>
      <c r="G507" s="567"/>
      <c r="H507" s="165" t="s">
        <v>12</v>
      </c>
      <c r="I507" s="583"/>
      <c r="J507" s="583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6"/>
        <v>0</v>
      </c>
      <c r="P507" s="93">
        <f t="shared" si="217"/>
        <v>0</v>
      </c>
      <c r="Q507" s="568"/>
      <c r="R507" s="568"/>
      <c r="S507" s="568"/>
      <c r="T507" s="568"/>
      <c r="U507" s="568"/>
      <c r="V507" s="568"/>
      <c r="W507" s="568"/>
      <c r="X507" s="568"/>
      <c r="Y507" s="568"/>
      <c r="Z507" s="568"/>
    </row>
    <row r="508" spans="1:26" ht="18.75" hidden="1">
      <c r="A508" s="615"/>
      <c r="B508" s="571"/>
      <c r="C508" s="723"/>
      <c r="D508" s="723"/>
      <c r="E508" s="723"/>
      <c r="F508" s="723" t="s">
        <v>186</v>
      </c>
      <c r="G508" s="567"/>
      <c r="H508" s="165" t="s">
        <v>12</v>
      </c>
      <c r="I508" s="583"/>
      <c r="J508" s="583"/>
      <c r="K508" s="93"/>
      <c r="L508" s="93"/>
      <c r="M508" s="93"/>
      <c r="N508" s="93">
        <v>0</v>
      </c>
      <c r="O508" s="93"/>
      <c r="P508" s="93"/>
      <c r="Q508" s="568"/>
      <c r="R508" s="568"/>
      <c r="S508" s="568"/>
      <c r="T508" s="568"/>
      <c r="U508" s="568"/>
      <c r="V508" s="568"/>
      <c r="W508" s="568"/>
      <c r="X508" s="568"/>
      <c r="Y508" s="568"/>
      <c r="Z508" s="568"/>
    </row>
    <row r="509" spans="1:26" ht="18.75" hidden="1">
      <c r="A509" s="615"/>
      <c r="B509" s="571"/>
      <c r="C509" s="723"/>
      <c r="D509" s="723"/>
      <c r="E509" s="723"/>
      <c r="F509" s="723" t="s">
        <v>187</v>
      </c>
      <c r="G509" s="567"/>
      <c r="H509" s="165" t="s">
        <v>12</v>
      </c>
      <c r="I509" s="583"/>
      <c r="J509" s="583"/>
      <c r="K509" s="93"/>
      <c r="L509" s="93"/>
      <c r="M509" s="93"/>
      <c r="N509" s="93">
        <v>0</v>
      </c>
      <c r="O509" s="93"/>
      <c r="P509" s="93"/>
      <c r="Q509" s="568"/>
      <c r="R509" s="568"/>
      <c r="S509" s="568"/>
      <c r="T509" s="568"/>
      <c r="U509" s="568"/>
      <c r="V509" s="568"/>
      <c r="W509" s="568"/>
      <c r="X509" s="568"/>
      <c r="Y509" s="568"/>
      <c r="Z509" s="568"/>
    </row>
    <row r="510" spans="1:26" ht="18.75" hidden="1">
      <c r="A510" s="615"/>
      <c r="B510" s="571"/>
      <c r="C510" s="571"/>
      <c r="D510" s="571"/>
      <c r="E510" s="723"/>
      <c r="F510" s="723" t="s">
        <v>188</v>
      </c>
      <c r="G510" s="567"/>
      <c r="H510" s="165" t="s">
        <v>12</v>
      </c>
      <c r="I510" s="583"/>
      <c r="J510" s="583"/>
      <c r="K510" s="93"/>
      <c r="L510" s="93"/>
      <c r="M510" s="93"/>
      <c r="N510" s="93">
        <v>0</v>
      </c>
      <c r="O510" s="93"/>
      <c r="P510" s="93"/>
      <c r="Q510" s="568"/>
      <c r="R510" s="568"/>
      <c r="S510" s="568"/>
      <c r="T510" s="568"/>
      <c r="U510" s="568"/>
      <c r="V510" s="568"/>
      <c r="W510" s="568"/>
      <c r="X510" s="568"/>
      <c r="Y510" s="568"/>
      <c r="Z510" s="568"/>
    </row>
    <row r="511" spans="1:26" ht="18.75" hidden="1">
      <c r="A511" s="615"/>
      <c r="B511" s="571"/>
      <c r="C511" s="571"/>
      <c r="D511" s="571"/>
      <c r="E511" s="723"/>
      <c r="F511" s="723" t="s">
        <v>189</v>
      </c>
      <c r="G511" s="567"/>
      <c r="H511" s="165" t="s">
        <v>12</v>
      </c>
      <c r="I511" s="583"/>
      <c r="J511" s="583"/>
      <c r="K511" s="93"/>
      <c r="L511" s="93"/>
      <c r="M511" s="93"/>
      <c r="N511" s="93">
        <v>0</v>
      </c>
      <c r="O511" s="93"/>
      <c r="P511" s="93"/>
      <c r="Q511" s="568"/>
      <c r="R511" s="568"/>
      <c r="S511" s="568"/>
      <c r="T511" s="568"/>
      <c r="U511" s="568"/>
      <c r="V511" s="568"/>
      <c r="W511" s="568"/>
      <c r="X511" s="568"/>
      <c r="Y511" s="568"/>
      <c r="Z511" s="568"/>
    </row>
    <row r="512" spans="1:26" ht="18.75" hidden="1">
      <c r="A512" s="563"/>
      <c r="B512" s="571"/>
      <c r="C512" s="571"/>
      <c r="D512" s="614" t="s">
        <v>21</v>
      </c>
      <c r="E512" s="571"/>
      <c r="F512" s="723"/>
      <c r="G512" s="567"/>
      <c r="H512" s="169" t="s">
        <v>12</v>
      </c>
      <c r="I512" s="166"/>
      <c r="J512" s="166"/>
      <c r="K512" s="167"/>
      <c r="L512" s="93">
        <f t="shared" ref="L512:N512" si="220">L513+L514</f>
        <v>0</v>
      </c>
      <c r="M512" s="93">
        <f t="shared" si="220"/>
        <v>0</v>
      </c>
      <c r="N512" s="93">
        <f t="shared" si="220"/>
        <v>0</v>
      </c>
      <c r="O512" s="93">
        <f t="shared" ref="O512:O514" si="221">IF(L512&gt;0,N512*100/L512,0)</f>
        <v>0</v>
      </c>
      <c r="P512" s="93">
        <f t="shared" ref="P512:P514" si="222">IF(M512&gt;0,N512*100/M512,0)</f>
        <v>0</v>
      </c>
      <c r="Q512" s="568"/>
      <c r="R512" s="568"/>
      <c r="S512" s="568"/>
      <c r="T512" s="568"/>
      <c r="U512" s="568"/>
      <c r="V512" s="568"/>
      <c r="W512" s="568"/>
      <c r="X512" s="568"/>
      <c r="Y512" s="568"/>
      <c r="Z512" s="568"/>
    </row>
    <row r="513" spans="1:26" ht="18.75" hidden="1">
      <c r="A513" s="563"/>
      <c r="B513" s="571"/>
      <c r="C513" s="571"/>
      <c r="D513" s="571"/>
      <c r="E513" s="571" t="s">
        <v>18</v>
      </c>
      <c r="F513" s="723"/>
      <c r="G513" s="567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1"/>
        <v>0</v>
      </c>
      <c r="P513" s="93">
        <f t="shared" si="222"/>
        <v>0</v>
      </c>
      <c r="Q513" s="568"/>
      <c r="R513" s="568"/>
      <c r="S513" s="568"/>
      <c r="T513" s="568"/>
      <c r="U513" s="568"/>
      <c r="V513" s="568"/>
      <c r="W513" s="568"/>
      <c r="X513" s="568"/>
      <c r="Y513" s="568"/>
      <c r="Z513" s="568"/>
    </row>
    <row r="514" spans="1:26" ht="18.75" hidden="1">
      <c r="A514" s="563"/>
      <c r="B514" s="571"/>
      <c r="C514" s="571"/>
      <c r="D514" s="723"/>
      <c r="E514" s="571" t="s">
        <v>19</v>
      </c>
      <c r="F514" s="723"/>
      <c r="G514" s="567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1"/>
        <v>0</v>
      </c>
      <c r="P514" s="93">
        <f t="shared" si="222"/>
        <v>0</v>
      </c>
      <c r="Q514" s="568"/>
      <c r="R514" s="568"/>
      <c r="S514" s="568"/>
      <c r="T514" s="568"/>
      <c r="U514" s="568"/>
      <c r="V514" s="568"/>
      <c r="W514" s="568"/>
      <c r="X514" s="568"/>
      <c r="Y514" s="568"/>
      <c r="Z514" s="568"/>
    </row>
    <row r="515" spans="1:26" ht="19.5" hidden="1">
      <c r="A515" s="578"/>
      <c r="B515" s="580"/>
      <c r="C515" s="571" t="s">
        <v>16</v>
      </c>
      <c r="D515" s="852" t="s">
        <v>38</v>
      </c>
      <c r="E515" s="617"/>
      <c r="F515" s="617"/>
      <c r="G515" s="618"/>
      <c r="H515" s="581"/>
      <c r="I515" s="166"/>
      <c r="J515" s="166"/>
      <c r="K515" s="167"/>
      <c r="L515" s="167"/>
      <c r="M515" s="167"/>
      <c r="N515" s="167"/>
      <c r="O515" s="167"/>
      <c r="P515" s="167"/>
      <c r="Q515" s="568"/>
      <c r="R515" s="568"/>
      <c r="S515" s="568"/>
      <c r="T515" s="568"/>
      <c r="U515" s="568"/>
      <c r="V515" s="568"/>
      <c r="W515" s="568"/>
      <c r="X515" s="568"/>
      <c r="Y515" s="568"/>
      <c r="Z515" s="568"/>
    </row>
    <row r="516" spans="1:26" ht="18.75" hidden="1">
      <c r="A516" s="578"/>
      <c r="B516" s="580"/>
      <c r="C516" s="580"/>
      <c r="D516" s="580" t="s">
        <v>221</v>
      </c>
      <c r="E516" s="684"/>
      <c r="F516" s="684"/>
      <c r="G516" s="581"/>
      <c r="H516" s="619" t="s">
        <v>109</v>
      </c>
      <c r="I516" s="583"/>
      <c r="J516" s="583">
        <v>0</v>
      </c>
      <c r="K516" s="167">
        <f t="shared" ref="K516:K517" si="223">IF(I516&gt;0,J516*100/I516,0)</f>
        <v>0</v>
      </c>
      <c r="L516" s="167"/>
      <c r="M516" s="167"/>
      <c r="N516" s="167"/>
      <c r="O516" s="167"/>
      <c r="P516" s="167"/>
      <c r="Q516" s="568"/>
      <c r="R516" s="568"/>
      <c r="S516" s="568"/>
      <c r="T516" s="568"/>
      <c r="U516" s="568"/>
      <c r="V516" s="568"/>
      <c r="W516" s="568"/>
      <c r="X516" s="568"/>
      <c r="Y516" s="568"/>
      <c r="Z516" s="568"/>
    </row>
    <row r="517" spans="1:26" ht="19.5" hidden="1">
      <c r="A517" s="578"/>
      <c r="B517" s="580"/>
      <c r="C517" s="580"/>
      <c r="D517" s="580" t="s">
        <v>222</v>
      </c>
      <c r="E517" s="684"/>
      <c r="F517" s="684"/>
      <c r="G517" s="581"/>
      <c r="H517" s="620" t="s">
        <v>35</v>
      </c>
      <c r="I517" s="621"/>
      <c r="J517" s="621">
        <f>J518+J519</f>
        <v>0</v>
      </c>
      <c r="K517" s="622">
        <f t="shared" si="223"/>
        <v>0</v>
      </c>
      <c r="L517" s="167"/>
      <c r="M517" s="167"/>
      <c r="N517" s="167"/>
      <c r="O517" s="167"/>
      <c r="P517" s="167"/>
      <c r="Q517" s="568"/>
      <c r="R517" s="568"/>
      <c r="S517" s="568"/>
      <c r="T517" s="568"/>
      <c r="U517" s="568"/>
      <c r="V517" s="568"/>
      <c r="W517" s="568"/>
      <c r="X517" s="568"/>
      <c r="Y517" s="568"/>
      <c r="Z517" s="568"/>
    </row>
    <row r="518" spans="1:26" ht="18.75" hidden="1">
      <c r="A518" s="578"/>
      <c r="B518" s="580"/>
      <c r="C518" s="580"/>
      <c r="D518" s="580"/>
      <c r="E518" s="580" t="s">
        <v>223</v>
      </c>
      <c r="F518" s="684"/>
      <c r="G518" s="581"/>
      <c r="H518" s="582" t="s">
        <v>35</v>
      </c>
      <c r="I518" s="583"/>
      <c r="J518" s="583"/>
      <c r="K518" s="167"/>
      <c r="L518" s="167"/>
      <c r="M518" s="167"/>
      <c r="N518" s="167"/>
      <c r="O518" s="167"/>
      <c r="P518" s="167"/>
      <c r="Q518" s="568"/>
      <c r="R518" s="568"/>
      <c r="S518" s="568"/>
      <c r="T518" s="568"/>
      <c r="U518" s="568"/>
      <c r="V518" s="568"/>
      <c r="W518" s="568"/>
      <c r="X518" s="568"/>
      <c r="Y518" s="568"/>
      <c r="Z518" s="568"/>
    </row>
    <row r="519" spans="1:26" ht="18.75" hidden="1">
      <c r="A519" s="578"/>
      <c r="B519" s="580"/>
      <c r="C519" s="580"/>
      <c r="D519" s="580"/>
      <c r="E519" s="580" t="s">
        <v>224</v>
      </c>
      <c r="F519" s="684"/>
      <c r="G519" s="581"/>
      <c r="H519" s="619" t="s">
        <v>35</v>
      </c>
      <c r="I519" s="583"/>
      <c r="J519" s="583"/>
      <c r="K519" s="167"/>
      <c r="L519" s="167"/>
      <c r="M519" s="167"/>
      <c r="N519" s="167"/>
      <c r="O519" s="167"/>
      <c r="P519" s="167"/>
      <c r="Q519" s="568"/>
      <c r="R519" s="568"/>
      <c r="S519" s="568"/>
      <c r="T519" s="568"/>
      <c r="U519" s="568"/>
      <c r="V519" s="568"/>
      <c r="W519" s="568"/>
      <c r="X519" s="568"/>
      <c r="Y519" s="568"/>
      <c r="Z519" s="568"/>
    </row>
    <row r="520" spans="1:26" ht="19.5">
      <c r="A520" s="623" t="s">
        <v>137</v>
      </c>
      <c r="B520" s="624"/>
      <c r="C520" s="624"/>
      <c r="D520" s="625"/>
      <c r="E520" s="625"/>
      <c r="F520" s="625"/>
      <c r="G520" s="626"/>
      <c r="H520" s="627"/>
      <c r="I520" s="628"/>
      <c r="J520" s="628"/>
      <c r="K520" s="629"/>
      <c r="L520" s="629"/>
      <c r="M520" s="629"/>
      <c r="N520" s="629"/>
      <c r="O520" s="629"/>
      <c r="P520" s="629"/>
    </row>
    <row r="521" spans="1:26" ht="19.5" hidden="1">
      <c r="A521" s="630">
        <v>5</v>
      </c>
      <c r="B521" s="631" t="s">
        <v>225</v>
      </c>
      <c r="C521" s="632"/>
      <c r="D521" s="633"/>
      <c r="E521" s="633"/>
      <c r="F521" s="633"/>
      <c r="G521" s="633"/>
      <c r="H521" s="634"/>
      <c r="I521" s="635"/>
      <c r="J521" s="635"/>
      <c r="K521" s="636"/>
      <c r="L521" s="636"/>
      <c r="M521" s="636"/>
      <c r="N521" s="636"/>
      <c r="O521" s="636"/>
      <c r="P521" s="636"/>
      <c r="Q521" s="541"/>
      <c r="R521" s="541"/>
      <c r="S521" s="541"/>
      <c r="T521" s="541"/>
      <c r="U521" s="541"/>
      <c r="V521" s="541"/>
      <c r="W521" s="541"/>
      <c r="X521" s="541"/>
      <c r="Y521" s="541"/>
      <c r="Z521" s="541"/>
    </row>
    <row r="522" spans="1:26" ht="19.5" hidden="1">
      <c r="A522" s="637"/>
      <c r="B522" s="638" t="s">
        <v>226</v>
      </c>
      <c r="C522" s="639"/>
      <c r="D522" s="639"/>
      <c r="E522" s="639"/>
      <c r="F522" s="639"/>
      <c r="G522" s="640"/>
      <c r="H522" s="641" t="s">
        <v>35</v>
      </c>
      <c r="I522" s="672">
        <f t="shared" ref="I522:J522" ca="1" si="224">I537</f>
        <v>0</v>
      </c>
      <c r="J522" s="672">
        <f t="shared" ca="1" si="224"/>
        <v>0</v>
      </c>
      <c r="K522" s="643">
        <f ca="1">IF(I522&gt;0,J522*100/I522,0)</f>
        <v>0</v>
      </c>
      <c r="L522" s="644"/>
      <c r="M522" s="644"/>
      <c r="N522" s="644"/>
      <c r="O522" s="644"/>
      <c r="P522" s="644"/>
      <c r="Q522" s="541"/>
      <c r="R522" s="541"/>
      <c r="S522" s="541"/>
      <c r="T522" s="541"/>
      <c r="U522" s="541"/>
      <c r="V522" s="541"/>
      <c r="W522" s="541"/>
      <c r="X522" s="541"/>
      <c r="Y522" s="541"/>
      <c r="Z522" s="541"/>
    </row>
    <row r="523" spans="1:26" ht="19.5" hidden="1">
      <c r="A523" s="561"/>
      <c r="B523" s="727"/>
      <c r="C523" s="727" t="s">
        <v>16</v>
      </c>
      <c r="D523" s="811" t="s">
        <v>17</v>
      </c>
      <c r="E523" s="805"/>
      <c r="F523" s="805"/>
      <c r="G523" s="189"/>
      <c r="H523" s="562" t="s">
        <v>12</v>
      </c>
      <c r="I523" s="269"/>
      <c r="J523" s="269"/>
      <c r="K523" s="465"/>
      <c r="L523" s="195">
        <f t="shared" ref="L523:N523" ca="1" si="225">L524+L525</f>
        <v>0</v>
      </c>
      <c r="M523" s="195">
        <f t="shared" si="225"/>
        <v>0</v>
      </c>
      <c r="N523" s="195">
        <f t="shared" si="225"/>
        <v>0</v>
      </c>
      <c r="O523" s="195">
        <f t="shared" ref="O523:O528" ca="1" si="226">IF(L523&gt;0,N523*100/L523,0)</f>
        <v>0</v>
      </c>
      <c r="P523" s="195">
        <f t="shared" ref="P523:P528" si="227">IF(M523&gt;0,N523*100/M523,0)</f>
        <v>0</v>
      </c>
      <c r="Q523" s="541"/>
      <c r="R523" s="541"/>
      <c r="S523" s="541"/>
      <c r="T523" s="541"/>
      <c r="U523" s="541"/>
      <c r="V523" s="541"/>
      <c r="W523" s="541"/>
      <c r="X523" s="541"/>
      <c r="Y523" s="541"/>
      <c r="Z523" s="541"/>
    </row>
    <row r="524" spans="1:26" ht="18.75" hidden="1">
      <c r="A524" s="563"/>
      <c r="B524" s="723"/>
      <c r="C524" s="723"/>
      <c r="D524" s="684"/>
      <c r="E524" s="723" t="s">
        <v>184</v>
      </c>
      <c r="F524" s="723"/>
      <c r="G524" s="567"/>
      <c r="H524" s="165" t="s">
        <v>12</v>
      </c>
      <c r="I524" s="583"/>
      <c r="J524" s="583"/>
      <c r="K524" s="93"/>
      <c r="L524" s="93">
        <f t="shared" ref="L524:N525" si="228">L527+L534</f>
        <v>0</v>
      </c>
      <c r="M524" s="93">
        <f t="shared" si="228"/>
        <v>0</v>
      </c>
      <c r="N524" s="93">
        <f t="shared" si="228"/>
        <v>0</v>
      </c>
      <c r="O524" s="93">
        <f t="shared" si="226"/>
        <v>0</v>
      </c>
      <c r="P524" s="93">
        <f t="shared" si="227"/>
        <v>0</v>
      </c>
      <c r="Q524" s="568"/>
      <c r="R524" s="568"/>
      <c r="S524" s="568"/>
      <c r="T524" s="568"/>
      <c r="U524" s="568"/>
      <c r="V524" s="568"/>
      <c r="W524" s="568"/>
      <c r="X524" s="568"/>
      <c r="Y524" s="568"/>
      <c r="Z524" s="568"/>
    </row>
    <row r="525" spans="1:26" ht="18.75" hidden="1">
      <c r="A525" s="563"/>
      <c r="B525" s="571"/>
      <c r="C525" s="723"/>
      <c r="D525" s="684"/>
      <c r="E525" s="723" t="s">
        <v>185</v>
      </c>
      <c r="F525" s="723"/>
      <c r="G525" s="567"/>
      <c r="H525" s="165" t="s">
        <v>12</v>
      </c>
      <c r="I525" s="583"/>
      <c r="J525" s="583"/>
      <c r="K525" s="93"/>
      <c r="L525" s="93">
        <f t="shared" ca="1" si="228"/>
        <v>0</v>
      </c>
      <c r="M525" s="93">
        <f t="shared" si="228"/>
        <v>0</v>
      </c>
      <c r="N525" s="93">
        <f t="shared" si="228"/>
        <v>0</v>
      </c>
      <c r="O525" s="93">
        <f t="shared" ca="1" si="226"/>
        <v>0</v>
      </c>
      <c r="P525" s="93">
        <f t="shared" si="227"/>
        <v>0</v>
      </c>
      <c r="Q525" s="568"/>
      <c r="R525" s="568"/>
      <c r="S525" s="568"/>
      <c r="T525" s="568"/>
      <c r="U525" s="568"/>
      <c r="V525" s="568"/>
      <c r="W525" s="568"/>
      <c r="X525" s="568"/>
      <c r="Y525" s="568"/>
      <c r="Z525" s="568"/>
    </row>
    <row r="526" spans="1:26" ht="18.75" hidden="1">
      <c r="A526" s="561"/>
      <c r="B526" s="538"/>
      <c r="C526" s="727"/>
      <c r="D526" s="570" t="s">
        <v>20</v>
      </c>
      <c r="E526" s="727"/>
      <c r="F526" s="727"/>
      <c r="G526" s="189"/>
      <c r="H526" s="161" t="s">
        <v>12</v>
      </c>
      <c r="I526" s="184"/>
      <c r="J526" s="184"/>
      <c r="K526" s="163"/>
      <c r="L526" s="465">
        <f t="shared" ref="L526:N526" ca="1" si="229">L527+L528</f>
        <v>0</v>
      </c>
      <c r="M526" s="465">
        <f t="shared" si="229"/>
        <v>0</v>
      </c>
      <c r="N526" s="465">
        <f t="shared" si="229"/>
        <v>0</v>
      </c>
      <c r="O526" s="465">
        <f t="shared" ca="1" si="226"/>
        <v>0</v>
      </c>
      <c r="P526" s="465">
        <f t="shared" si="227"/>
        <v>0</v>
      </c>
      <c r="Q526" s="541"/>
      <c r="R526" s="541"/>
      <c r="S526" s="541"/>
      <c r="T526" s="541"/>
      <c r="U526" s="541"/>
      <c r="V526" s="541"/>
      <c r="W526" s="541"/>
      <c r="X526" s="541"/>
      <c r="Y526" s="541"/>
      <c r="Z526" s="541"/>
    </row>
    <row r="527" spans="1:26" ht="18.75" hidden="1">
      <c r="A527" s="563"/>
      <c r="B527" s="571"/>
      <c r="C527" s="723"/>
      <c r="D527" s="684"/>
      <c r="E527" s="723" t="s">
        <v>184</v>
      </c>
      <c r="F527" s="723"/>
      <c r="G527" s="567"/>
      <c r="H527" s="165" t="s">
        <v>12</v>
      </c>
      <c r="I527" s="583"/>
      <c r="J527" s="583"/>
      <c r="K527" s="93"/>
      <c r="L527" s="93">
        <v>0</v>
      </c>
      <c r="M527" s="93">
        <v>0</v>
      </c>
      <c r="N527" s="93">
        <v>0</v>
      </c>
      <c r="O527" s="93">
        <f t="shared" si="226"/>
        <v>0</v>
      </c>
      <c r="P527" s="93">
        <f t="shared" si="227"/>
        <v>0</v>
      </c>
      <c r="Q527" s="568"/>
      <c r="R527" s="568"/>
      <c r="S527" s="568"/>
      <c r="T527" s="568"/>
      <c r="U527" s="568"/>
      <c r="V527" s="568"/>
      <c r="W527" s="568"/>
      <c r="X527" s="568"/>
      <c r="Y527" s="568"/>
      <c r="Z527" s="568"/>
    </row>
    <row r="528" spans="1:26" ht="18.75" hidden="1">
      <c r="A528" s="563"/>
      <c r="B528" s="571"/>
      <c r="C528" s="723"/>
      <c r="D528" s="684"/>
      <c r="E528" s="723" t="s">
        <v>185</v>
      </c>
      <c r="F528" s="723"/>
      <c r="G528" s="567"/>
      <c r="H528" s="165" t="s">
        <v>12</v>
      </c>
      <c r="I528" s="583"/>
      <c r="J528" s="583"/>
      <c r="K528" s="93"/>
      <c r="L528" s="93">
        <f ca="1">IFERROR(__xludf.DUMMYFUNCTION("IMPORTRANGE(""https://docs.google.com/spreadsheets/d/1QqKyyYR6Q21VydFLVH3TRQUabQu_ym0Zz7PgGX0-kHA/edit?usp=sharing"",""แผน!GQ19"")"),0)</f>
        <v>0</v>
      </c>
      <c r="M528" s="93">
        <v>0</v>
      </c>
      <c r="N528" s="93">
        <f>N529+N530+N531+N532</f>
        <v>0</v>
      </c>
      <c r="O528" s="93">
        <f t="shared" ca="1" si="226"/>
        <v>0</v>
      </c>
      <c r="P528" s="93">
        <f t="shared" si="227"/>
        <v>0</v>
      </c>
      <c r="Q528" s="568"/>
      <c r="R528" s="568"/>
      <c r="S528" s="568"/>
      <c r="T528" s="568"/>
      <c r="U528" s="568"/>
      <c r="V528" s="568"/>
      <c r="W528" s="568"/>
      <c r="X528" s="568"/>
      <c r="Y528" s="568"/>
      <c r="Z528" s="568"/>
    </row>
    <row r="529" spans="1:26" ht="18.75" hidden="1">
      <c r="A529" s="537"/>
      <c r="B529" s="538"/>
      <c r="C529" s="727"/>
      <c r="D529" s="727"/>
      <c r="E529" s="727"/>
      <c r="F529" s="727" t="s">
        <v>186</v>
      </c>
      <c r="G529" s="189"/>
      <c r="H529" s="161" t="s">
        <v>12</v>
      </c>
      <c r="I529" s="269"/>
      <c r="J529" s="269"/>
      <c r="K529" s="465"/>
      <c r="L529" s="465"/>
      <c r="M529" s="465"/>
      <c r="N529" s="789">
        <v>0</v>
      </c>
      <c r="O529" s="465"/>
      <c r="P529" s="465"/>
      <c r="Q529" s="541"/>
      <c r="R529" s="541"/>
      <c r="S529" s="541"/>
      <c r="T529" s="541"/>
      <c r="U529" s="541"/>
      <c r="V529" s="541"/>
      <c r="W529" s="541"/>
      <c r="X529" s="541"/>
      <c r="Y529" s="541"/>
      <c r="Z529" s="541"/>
    </row>
    <row r="530" spans="1:26" ht="18.75" hidden="1">
      <c r="A530" s="537"/>
      <c r="B530" s="538"/>
      <c r="C530" s="727"/>
      <c r="D530" s="727"/>
      <c r="E530" s="727"/>
      <c r="F530" s="727" t="s">
        <v>187</v>
      </c>
      <c r="G530" s="189"/>
      <c r="H530" s="161" t="s">
        <v>12</v>
      </c>
      <c r="I530" s="269"/>
      <c r="J530" s="269"/>
      <c r="K530" s="465"/>
      <c r="L530" s="465"/>
      <c r="M530" s="465"/>
      <c r="N530" s="789">
        <v>0</v>
      </c>
      <c r="O530" s="465"/>
      <c r="P530" s="465"/>
      <c r="Q530" s="541"/>
      <c r="R530" s="541"/>
      <c r="S530" s="541"/>
      <c r="T530" s="541"/>
      <c r="U530" s="541"/>
      <c r="V530" s="541"/>
      <c r="W530" s="541"/>
      <c r="X530" s="541"/>
      <c r="Y530" s="541"/>
      <c r="Z530" s="541"/>
    </row>
    <row r="531" spans="1:26" ht="18.75" hidden="1">
      <c r="A531" s="537"/>
      <c r="B531" s="538"/>
      <c r="C531" s="727"/>
      <c r="D531" s="727"/>
      <c r="E531" s="727"/>
      <c r="F531" s="727" t="s">
        <v>188</v>
      </c>
      <c r="G531" s="189"/>
      <c r="H531" s="161" t="s">
        <v>12</v>
      </c>
      <c r="I531" s="269"/>
      <c r="J531" s="269"/>
      <c r="K531" s="465"/>
      <c r="L531" s="465"/>
      <c r="M531" s="465"/>
      <c r="N531" s="789">
        <v>0</v>
      </c>
      <c r="O531" s="465"/>
      <c r="P531" s="465"/>
      <c r="Q531" s="541"/>
      <c r="R531" s="541"/>
      <c r="S531" s="541"/>
      <c r="T531" s="541"/>
      <c r="U531" s="541"/>
      <c r="V531" s="541"/>
      <c r="W531" s="541"/>
      <c r="X531" s="541"/>
      <c r="Y531" s="541"/>
      <c r="Z531" s="541"/>
    </row>
    <row r="532" spans="1:26" ht="18.75" hidden="1">
      <c r="A532" s="537"/>
      <c r="B532" s="538"/>
      <c r="C532" s="727"/>
      <c r="D532" s="727"/>
      <c r="E532" s="727"/>
      <c r="F532" s="727" t="s">
        <v>189</v>
      </c>
      <c r="G532" s="189"/>
      <c r="H532" s="161" t="s">
        <v>12</v>
      </c>
      <c r="I532" s="269"/>
      <c r="J532" s="269"/>
      <c r="K532" s="465"/>
      <c r="L532" s="465"/>
      <c r="M532" s="465"/>
      <c r="N532" s="789">
        <v>0</v>
      </c>
      <c r="O532" s="465"/>
      <c r="P532" s="465"/>
      <c r="Q532" s="541"/>
      <c r="R532" s="541"/>
      <c r="S532" s="541"/>
      <c r="T532" s="541"/>
      <c r="U532" s="541"/>
      <c r="V532" s="541"/>
      <c r="W532" s="541"/>
      <c r="X532" s="541"/>
      <c r="Y532" s="541"/>
      <c r="Z532" s="541"/>
    </row>
    <row r="533" spans="1:26" ht="18.75" hidden="1">
      <c r="A533" s="561"/>
      <c r="B533" s="538"/>
      <c r="C533" s="727"/>
      <c r="D533" s="570" t="s">
        <v>21</v>
      </c>
      <c r="E533" s="727"/>
      <c r="F533" s="727"/>
      <c r="G533" s="189"/>
      <c r="H533" s="168" t="s">
        <v>12</v>
      </c>
      <c r="I533" s="184"/>
      <c r="J533" s="184"/>
      <c r="K533" s="163"/>
      <c r="L533" s="465">
        <f t="shared" ref="L533:N533" ca="1" si="230">L534+L535</f>
        <v>0</v>
      </c>
      <c r="M533" s="465">
        <f t="shared" si="230"/>
        <v>0</v>
      </c>
      <c r="N533" s="465">
        <f t="shared" si="230"/>
        <v>0</v>
      </c>
      <c r="O533" s="465">
        <f t="shared" ref="O533:O535" ca="1" si="231">IF(L533&gt;0,N533*100/L533,0)</f>
        <v>0</v>
      </c>
      <c r="P533" s="465">
        <f t="shared" ref="P533:P535" si="232">IF(M533&gt;0,N533*100/M533,0)</f>
        <v>0</v>
      </c>
      <c r="Q533" s="541"/>
      <c r="R533" s="541"/>
      <c r="S533" s="541"/>
      <c r="T533" s="541"/>
      <c r="U533" s="541"/>
      <c r="V533" s="541"/>
      <c r="W533" s="541"/>
      <c r="X533" s="541"/>
      <c r="Y533" s="541"/>
      <c r="Z533" s="541"/>
    </row>
    <row r="534" spans="1:26" ht="18.75" hidden="1">
      <c r="A534" s="563"/>
      <c r="B534" s="571"/>
      <c r="C534" s="723"/>
      <c r="D534" s="723"/>
      <c r="E534" s="723" t="s">
        <v>18</v>
      </c>
      <c r="F534" s="723"/>
      <c r="G534" s="567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1"/>
        <v>0</v>
      </c>
      <c r="P534" s="93">
        <f t="shared" si="232"/>
        <v>0</v>
      </c>
      <c r="Q534" s="568"/>
      <c r="R534" s="568"/>
      <c r="S534" s="568"/>
      <c r="T534" s="568"/>
      <c r="U534" s="568"/>
      <c r="V534" s="568"/>
      <c r="W534" s="568"/>
      <c r="X534" s="568"/>
      <c r="Y534" s="568"/>
      <c r="Z534" s="568"/>
    </row>
    <row r="535" spans="1:26" ht="18.75" hidden="1">
      <c r="A535" s="563"/>
      <c r="B535" s="571"/>
      <c r="C535" s="723"/>
      <c r="D535" s="723"/>
      <c r="E535" s="723" t="s">
        <v>19</v>
      </c>
      <c r="F535" s="723"/>
      <c r="G535" s="567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IFERROR(__xludf.DUMMYFUNCTION("IMPORTRANGE(""https://docs.google.com/spreadsheets/d/1QqKyyYR6Q21VydFLVH3TRQUabQu_ym0Zz7PgGX0-kHA/edit?usp=sharing"",""แผน!GT19"")"),0)</f>
        <v>0</v>
      </c>
      <c r="M535" s="93">
        <v>0</v>
      </c>
      <c r="N535" s="93">
        <v>0</v>
      </c>
      <c r="O535" s="93">
        <f t="shared" ca="1" si="231"/>
        <v>0</v>
      </c>
      <c r="P535" s="93">
        <f t="shared" si="232"/>
        <v>0</v>
      </c>
      <c r="Q535" s="568"/>
      <c r="R535" s="568"/>
      <c r="S535" s="568"/>
      <c r="T535" s="568"/>
      <c r="U535" s="568"/>
      <c r="V535" s="568"/>
      <c r="W535" s="568"/>
      <c r="X535" s="568"/>
      <c r="Y535" s="568"/>
      <c r="Z535" s="568"/>
    </row>
    <row r="536" spans="1:26" ht="19.5" hidden="1">
      <c r="A536" s="572"/>
      <c r="B536" s="584"/>
      <c r="C536" s="727" t="s">
        <v>16</v>
      </c>
      <c r="D536" s="853" t="s">
        <v>38</v>
      </c>
      <c r="E536" s="725"/>
      <c r="F536" s="725"/>
      <c r="G536" s="577"/>
      <c r="H536" s="726"/>
      <c r="I536" s="184"/>
      <c r="J536" s="184"/>
      <c r="K536" s="163"/>
      <c r="L536" s="163"/>
      <c r="M536" s="163"/>
      <c r="N536" s="163"/>
      <c r="O536" s="163"/>
      <c r="P536" s="163"/>
      <c r="Q536" s="541"/>
      <c r="R536" s="541"/>
      <c r="S536" s="541"/>
      <c r="T536" s="541"/>
      <c r="U536" s="541"/>
      <c r="V536" s="541"/>
      <c r="W536" s="541"/>
      <c r="X536" s="541"/>
      <c r="Y536" s="541"/>
      <c r="Z536" s="541"/>
    </row>
    <row r="537" spans="1:26" ht="19.5" hidden="1">
      <c r="A537" s="537"/>
      <c r="B537" s="538"/>
      <c r="C537" s="727"/>
      <c r="D537" s="727" t="s">
        <v>227</v>
      </c>
      <c r="E537" s="727"/>
      <c r="F537" s="727"/>
      <c r="G537" s="189"/>
      <c r="H537" s="589" t="s">
        <v>35</v>
      </c>
      <c r="I537" s="647">
        <f ca="1">IFERROR(__xludf.DUMMYFUNCTION("IMPORTRANGE(""https://docs.google.com/spreadsheets/d/1QqKyyYR6Q21VydFLVH3TRQUabQu_ym0Zz7PgGX0-kHA/edit?usp=sharing"",""แผน!GU19"")"),0)</f>
        <v>0</v>
      </c>
      <c r="J537" s="647">
        <f ca="1">IF(AND(J538=I538,J539=I539,J540=I540,J541=I541),I537,0)</f>
        <v>0</v>
      </c>
      <c r="K537" s="465">
        <f t="shared" ref="K537:K543" ca="1" si="233">IF(I537&gt;0,J537*100/I537,0)</f>
        <v>0</v>
      </c>
      <c r="L537" s="465"/>
      <c r="M537" s="465"/>
      <c r="N537" s="465"/>
      <c r="O537" s="465"/>
      <c r="P537" s="465"/>
      <c r="Q537" s="648"/>
      <c r="R537" s="648"/>
      <c r="S537" s="648"/>
      <c r="T537" s="648"/>
      <c r="U537" s="648"/>
      <c r="V537" s="648"/>
      <c r="W537" s="648"/>
      <c r="X537" s="648"/>
      <c r="Y537" s="648"/>
      <c r="Z537" s="648"/>
    </row>
    <row r="538" spans="1:26" ht="18.75" hidden="1">
      <c r="A538" s="537"/>
      <c r="B538" s="538"/>
      <c r="C538" s="727"/>
      <c r="D538" s="727"/>
      <c r="E538" s="727" t="s">
        <v>228</v>
      </c>
      <c r="F538" s="727"/>
      <c r="G538" s="189"/>
      <c r="H538" s="589" t="s">
        <v>35</v>
      </c>
      <c r="I538" s="269">
        <f ca="1">IFERROR(__xludf.DUMMYFUNCTION("IMPORTRANGE(""https://docs.google.com/spreadsheets/d/1QqKyyYR6Q21VydFLVH3TRQUabQu_ym0Zz7PgGX0-kHA/edit?usp=sharing"",""แผน!GV19"")"),0)</f>
        <v>0</v>
      </c>
      <c r="J538" s="214">
        <v>0</v>
      </c>
      <c r="K538" s="465">
        <f t="shared" ca="1" si="233"/>
        <v>0</v>
      </c>
      <c r="L538" s="465"/>
      <c r="M538" s="465"/>
      <c r="N538" s="465"/>
      <c r="O538" s="465"/>
      <c r="P538" s="465"/>
      <c r="Q538" s="648"/>
      <c r="R538" s="648"/>
      <c r="S538" s="648"/>
      <c r="T538" s="648"/>
      <c r="U538" s="648"/>
      <c r="V538" s="648"/>
      <c r="W538" s="648"/>
      <c r="X538" s="648"/>
      <c r="Y538" s="648"/>
      <c r="Z538" s="648"/>
    </row>
    <row r="539" spans="1:26" ht="18.75" hidden="1">
      <c r="A539" s="537"/>
      <c r="B539" s="538"/>
      <c r="C539" s="727"/>
      <c r="D539" s="727"/>
      <c r="E539" s="727" t="s">
        <v>229</v>
      </c>
      <c r="F539" s="727"/>
      <c r="G539" s="189"/>
      <c r="H539" s="589" t="s">
        <v>35</v>
      </c>
      <c r="I539" s="269">
        <f ca="1">IFERROR(__xludf.DUMMYFUNCTION("IMPORTRANGE(""https://docs.google.com/spreadsheets/d/1QqKyyYR6Q21VydFLVH3TRQUabQu_ym0Zz7PgGX0-kHA/edit?usp=sharing"",""แผน!GW19"")"),0)</f>
        <v>0</v>
      </c>
      <c r="J539" s="214">
        <v>0</v>
      </c>
      <c r="K539" s="465">
        <f t="shared" ca="1" si="233"/>
        <v>0</v>
      </c>
      <c r="L539" s="465"/>
      <c r="M539" s="465"/>
      <c r="N539" s="465"/>
      <c r="O539" s="465"/>
      <c r="P539" s="465"/>
      <c r="Q539" s="648"/>
      <c r="R539" s="648"/>
      <c r="S539" s="648"/>
      <c r="T539" s="648"/>
      <c r="U539" s="648"/>
      <c r="V539" s="648"/>
      <c r="W539" s="648"/>
      <c r="X539" s="648"/>
      <c r="Y539" s="648"/>
      <c r="Z539" s="648"/>
    </row>
    <row r="540" spans="1:26" ht="18.75" hidden="1">
      <c r="A540" s="537"/>
      <c r="B540" s="538"/>
      <c r="C540" s="727"/>
      <c r="D540" s="727"/>
      <c r="E540" s="727" t="s">
        <v>230</v>
      </c>
      <c r="F540" s="727"/>
      <c r="G540" s="189"/>
      <c r="H540" s="589" t="s">
        <v>35</v>
      </c>
      <c r="I540" s="269">
        <f ca="1">IFERROR(__xludf.DUMMYFUNCTION("IMPORTRANGE(""https://docs.google.com/spreadsheets/d/1QqKyyYR6Q21VydFLVH3TRQUabQu_ym0Zz7PgGX0-kHA/edit?usp=sharing"",""แผน!GX19"")"),0)</f>
        <v>0</v>
      </c>
      <c r="J540" s="214">
        <v>0</v>
      </c>
      <c r="K540" s="465">
        <f t="shared" ca="1" si="233"/>
        <v>0</v>
      </c>
      <c r="L540" s="465"/>
      <c r="M540" s="465"/>
      <c r="N540" s="465"/>
      <c r="O540" s="465"/>
      <c r="P540" s="465"/>
      <c r="Q540" s="648"/>
      <c r="R540" s="648"/>
      <c r="S540" s="648"/>
      <c r="T540" s="648"/>
      <c r="U540" s="648"/>
      <c r="V540" s="648"/>
      <c r="W540" s="648"/>
      <c r="X540" s="648"/>
      <c r="Y540" s="648"/>
      <c r="Z540" s="648"/>
    </row>
    <row r="541" spans="1:26" ht="18.75" hidden="1">
      <c r="A541" s="537"/>
      <c r="B541" s="538"/>
      <c r="C541" s="727"/>
      <c r="D541" s="727"/>
      <c r="E541" s="733" t="s">
        <v>231</v>
      </c>
      <c r="F541" s="727"/>
      <c r="G541" s="189"/>
      <c r="H541" s="589" t="s">
        <v>35</v>
      </c>
      <c r="I541" s="269">
        <f ca="1">IFERROR(__xludf.DUMMYFUNCTION("IMPORTRANGE(""https://docs.google.com/spreadsheets/d/1QqKyyYR6Q21VydFLVH3TRQUabQu_ym0Zz7PgGX0-kHA/edit?usp=sharing"",""แผน!GY19"")"),0)</f>
        <v>0</v>
      </c>
      <c r="J541" s="214">
        <v>0</v>
      </c>
      <c r="K541" s="465">
        <f t="shared" ca="1" si="233"/>
        <v>0</v>
      </c>
      <c r="L541" s="465"/>
      <c r="M541" s="465"/>
      <c r="N541" s="465"/>
      <c r="O541" s="465"/>
      <c r="P541" s="465"/>
      <c r="Q541" s="648"/>
      <c r="R541" s="648"/>
      <c r="S541" s="648"/>
      <c r="T541" s="648"/>
      <c r="U541" s="648"/>
      <c r="V541" s="648"/>
      <c r="W541" s="648"/>
      <c r="X541" s="648"/>
      <c r="Y541" s="648"/>
      <c r="Z541" s="648"/>
    </row>
    <row r="542" spans="1:26" ht="18.75" hidden="1">
      <c r="A542" s="537"/>
      <c r="B542" s="538"/>
      <c r="C542" s="727"/>
      <c r="D542" s="727" t="s">
        <v>59</v>
      </c>
      <c r="E542" s="727"/>
      <c r="F542" s="727"/>
      <c r="G542" s="189"/>
      <c r="H542" s="589" t="s">
        <v>35</v>
      </c>
      <c r="I542" s="269">
        <f ca="1">IFERROR(__xludf.DUMMYFUNCTION("IMPORTRANGE(""https://docs.google.com/spreadsheets/d/1QqKyyYR6Q21VydFLVH3TRQUabQu_ym0Zz7PgGX0-kHA/edit?usp=sharing"",""แผน!GZ19"")"),0)</f>
        <v>0</v>
      </c>
      <c r="J542" s="214">
        <v>0</v>
      </c>
      <c r="K542" s="465">
        <f t="shared" ca="1" si="233"/>
        <v>0</v>
      </c>
      <c r="L542" s="465"/>
      <c r="M542" s="465"/>
      <c r="N542" s="465"/>
      <c r="O542" s="465"/>
      <c r="P542" s="465"/>
      <c r="Q542" s="648"/>
      <c r="R542" s="648"/>
      <c r="S542" s="648"/>
      <c r="T542" s="648"/>
      <c r="U542" s="648"/>
      <c r="V542" s="648"/>
      <c r="W542" s="648"/>
      <c r="X542" s="648"/>
      <c r="Y542" s="648"/>
      <c r="Z542" s="648"/>
    </row>
    <row r="543" spans="1:26" ht="19.5">
      <c r="A543" s="630">
        <v>6</v>
      </c>
      <c r="B543" s="651" t="s">
        <v>232</v>
      </c>
      <c r="C543" s="633"/>
      <c r="D543" s="633"/>
      <c r="E543" s="633"/>
      <c r="F543" s="633"/>
      <c r="G543" s="634"/>
      <c r="H543" s="652" t="s">
        <v>46</v>
      </c>
      <c r="I543" s="653">
        <f t="shared" ref="I543:J543" ca="1" si="234">I559</f>
        <v>41986</v>
      </c>
      <c r="J543" s="653">
        <f t="shared" si="234"/>
        <v>0</v>
      </c>
      <c r="K543" s="654">
        <f t="shared" ca="1" si="233"/>
        <v>0</v>
      </c>
      <c r="L543" s="636"/>
      <c r="M543" s="636"/>
      <c r="N543" s="636"/>
      <c r="O543" s="636"/>
      <c r="P543" s="636"/>
      <c r="Q543" s="541"/>
      <c r="R543" s="541"/>
      <c r="S543" s="541"/>
      <c r="T543" s="541"/>
      <c r="U543" s="541"/>
      <c r="V543" s="541"/>
      <c r="W543" s="541"/>
      <c r="X543" s="541"/>
      <c r="Y543" s="541"/>
      <c r="Z543" s="541"/>
    </row>
    <row r="544" spans="1:26" ht="19.5">
      <c r="A544" s="655"/>
      <c r="B544" s="656"/>
      <c r="C544" s="656" t="s">
        <v>16</v>
      </c>
      <c r="D544" s="854" t="s">
        <v>17</v>
      </c>
      <c r="E544" s="810"/>
      <c r="F544" s="810"/>
      <c r="G544" s="657"/>
      <c r="H544" s="274" t="s">
        <v>12</v>
      </c>
      <c r="I544" s="388"/>
      <c r="J544" s="388"/>
      <c r="K544" s="154"/>
      <c r="L544" s="155">
        <f t="shared" ref="L544:N544" ca="1" si="235">L545+L546</f>
        <v>396294</v>
      </c>
      <c r="M544" s="155">
        <f t="shared" si="235"/>
        <v>0</v>
      </c>
      <c r="N544" s="155">
        <f t="shared" si="235"/>
        <v>15295</v>
      </c>
      <c r="O544" s="155">
        <f t="shared" ref="O544:O549" ca="1" si="236">IF(L544&gt;0,N544*100/L544,0)</f>
        <v>3.8595083448147083</v>
      </c>
      <c r="P544" s="155">
        <f t="shared" ref="P544:P549" si="237">IF(M544&gt;0,N544*100/M544,0)</f>
        <v>0</v>
      </c>
      <c r="Q544" s="541"/>
      <c r="R544" s="541"/>
      <c r="S544" s="541"/>
      <c r="T544" s="541"/>
      <c r="U544" s="541"/>
      <c r="V544" s="541"/>
      <c r="W544" s="541"/>
      <c r="X544" s="541"/>
      <c r="Y544" s="541"/>
      <c r="Z544" s="541"/>
    </row>
    <row r="545" spans="1:26" ht="18.75" hidden="1">
      <c r="A545" s="563"/>
      <c r="B545" s="723"/>
      <c r="C545" s="723"/>
      <c r="D545" s="723"/>
      <c r="E545" s="723" t="s">
        <v>184</v>
      </c>
      <c r="F545" s="723"/>
      <c r="G545" s="567"/>
      <c r="H545" s="165" t="s">
        <v>12</v>
      </c>
      <c r="I545" s="583"/>
      <c r="J545" s="583"/>
      <c r="K545" s="93"/>
      <c r="L545" s="93">
        <f t="shared" ref="L545:L546" si="238">L548+L556</f>
        <v>0</v>
      </c>
      <c r="M545" s="93">
        <f t="shared" ref="M545:N546" si="239">M548+M555</f>
        <v>0</v>
      </c>
      <c r="N545" s="93">
        <f t="shared" si="239"/>
        <v>0</v>
      </c>
      <c r="O545" s="93">
        <f t="shared" si="236"/>
        <v>0</v>
      </c>
      <c r="P545" s="93">
        <f t="shared" si="237"/>
        <v>0</v>
      </c>
      <c r="Q545" s="568"/>
      <c r="R545" s="568"/>
      <c r="S545" s="568"/>
      <c r="T545" s="568"/>
      <c r="U545" s="568"/>
      <c r="V545" s="568"/>
      <c r="W545" s="568"/>
      <c r="X545" s="568"/>
      <c r="Y545" s="568"/>
      <c r="Z545" s="568"/>
    </row>
    <row r="546" spans="1:26" ht="18.75" hidden="1">
      <c r="A546" s="563"/>
      <c r="B546" s="571"/>
      <c r="C546" s="723"/>
      <c r="D546" s="723"/>
      <c r="E546" s="723" t="s">
        <v>185</v>
      </c>
      <c r="F546" s="723"/>
      <c r="G546" s="567"/>
      <c r="H546" s="165" t="s">
        <v>12</v>
      </c>
      <c r="I546" s="583"/>
      <c r="J546" s="583"/>
      <c r="K546" s="93"/>
      <c r="L546" s="93">
        <f t="shared" ca="1" si="238"/>
        <v>396294</v>
      </c>
      <c r="M546" s="93">
        <f t="shared" si="239"/>
        <v>0</v>
      </c>
      <c r="N546" s="93">
        <f t="shared" si="239"/>
        <v>15295</v>
      </c>
      <c r="O546" s="93">
        <f t="shared" ca="1" si="236"/>
        <v>3.8595083448147083</v>
      </c>
      <c r="P546" s="93">
        <f t="shared" si="237"/>
        <v>0</v>
      </c>
      <c r="Q546" s="568"/>
      <c r="R546" s="568"/>
      <c r="S546" s="568"/>
      <c r="T546" s="568"/>
      <c r="U546" s="568"/>
      <c r="V546" s="568"/>
      <c r="W546" s="568"/>
      <c r="X546" s="568"/>
      <c r="Y546" s="568"/>
      <c r="Z546" s="568"/>
    </row>
    <row r="547" spans="1:26" ht="18.75">
      <c r="A547" s="561"/>
      <c r="B547" s="538"/>
      <c r="C547" s="727"/>
      <c r="D547" s="570" t="s">
        <v>20</v>
      </c>
      <c r="E547" s="727"/>
      <c r="F547" s="727"/>
      <c r="G547" s="189"/>
      <c r="H547" s="161" t="s">
        <v>12</v>
      </c>
      <c r="I547" s="184"/>
      <c r="J547" s="184"/>
      <c r="K547" s="163"/>
      <c r="L547" s="465">
        <f t="shared" ref="L547:N547" ca="1" si="240">L548+L549</f>
        <v>396294</v>
      </c>
      <c r="M547" s="465">
        <f t="shared" si="240"/>
        <v>0</v>
      </c>
      <c r="N547" s="465">
        <f t="shared" si="240"/>
        <v>15295</v>
      </c>
      <c r="O547" s="465">
        <f t="shared" ca="1" si="236"/>
        <v>3.8595083448147083</v>
      </c>
      <c r="P547" s="465">
        <f t="shared" si="237"/>
        <v>0</v>
      </c>
      <c r="Q547" s="541"/>
      <c r="R547" s="541"/>
      <c r="S547" s="541"/>
      <c r="T547" s="541"/>
      <c r="U547" s="541"/>
      <c r="V547" s="541"/>
      <c r="W547" s="541"/>
      <c r="X547" s="541"/>
      <c r="Y547" s="541"/>
      <c r="Z547" s="541"/>
    </row>
    <row r="548" spans="1:26" ht="18.75" hidden="1">
      <c r="A548" s="563"/>
      <c r="B548" s="571"/>
      <c r="C548" s="723"/>
      <c r="D548" s="684"/>
      <c r="E548" s="723" t="s">
        <v>184</v>
      </c>
      <c r="F548" s="723"/>
      <c r="G548" s="567"/>
      <c r="H548" s="165" t="s">
        <v>12</v>
      </c>
      <c r="I548" s="583"/>
      <c r="J548" s="583"/>
      <c r="K548" s="93"/>
      <c r="L548" s="93">
        <v>0</v>
      </c>
      <c r="M548" s="93">
        <v>0</v>
      </c>
      <c r="N548" s="93">
        <v>0</v>
      </c>
      <c r="O548" s="93">
        <f t="shared" si="236"/>
        <v>0</v>
      </c>
      <c r="P548" s="93">
        <f t="shared" si="237"/>
        <v>0</v>
      </c>
      <c r="Q548" s="568"/>
      <c r="R548" s="568"/>
      <c r="S548" s="568"/>
      <c r="T548" s="568"/>
      <c r="U548" s="568"/>
      <c r="V548" s="568"/>
      <c r="W548" s="568"/>
      <c r="X548" s="568"/>
      <c r="Y548" s="568"/>
      <c r="Z548" s="568"/>
    </row>
    <row r="549" spans="1:26" ht="18.75" hidden="1">
      <c r="A549" s="563"/>
      <c r="B549" s="571"/>
      <c r="C549" s="723"/>
      <c r="D549" s="684"/>
      <c r="E549" s="723" t="s">
        <v>185</v>
      </c>
      <c r="F549" s="723"/>
      <c r="G549" s="567"/>
      <c r="H549" s="165" t="s">
        <v>12</v>
      </c>
      <c r="I549" s="583"/>
      <c r="J549" s="583"/>
      <c r="K549" s="93"/>
      <c r="L549" s="93">
        <f ca="1">IFERROR(__xludf.DUMMYFUNCTION("IMPORTRANGE(""https://docs.google.com/spreadsheets/d/1QqKyyYR6Q21VydFLVH3TRQUabQu_ym0Zz7PgGX0-kHA/edit?usp=sharing"",""แผน!HB19"")"),396294)</f>
        <v>396294</v>
      </c>
      <c r="M549" s="93">
        <v>0</v>
      </c>
      <c r="N549" s="93">
        <f>N550+N551+N552+N553+N554</f>
        <v>15295</v>
      </c>
      <c r="O549" s="93">
        <f t="shared" ca="1" si="236"/>
        <v>3.8595083448147083</v>
      </c>
      <c r="P549" s="93">
        <f t="shared" si="237"/>
        <v>0</v>
      </c>
      <c r="Q549" s="568"/>
      <c r="R549" s="568"/>
      <c r="S549" s="568"/>
      <c r="T549" s="568"/>
      <c r="U549" s="568"/>
      <c r="V549" s="568"/>
      <c r="W549" s="568"/>
      <c r="X549" s="568"/>
      <c r="Y549" s="568"/>
      <c r="Z549" s="568"/>
    </row>
    <row r="550" spans="1:26" ht="18.75">
      <c r="A550" s="537"/>
      <c r="B550" s="538"/>
      <c r="C550" s="727"/>
      <c r="D550" s="727"/>
      <c r="E550" s="727"/>
      <c r="F550" s="727" t="s">
        <v>186</v>
      </c>
      <c r="G550" s="189"/>
      <c r="H550" s="161" t="s">
        <v>12</v>
      </c>
      <c r="I550" s="269"/>
      <c r="J550" s="269"/>
      <c r="K550" s="465"/>
      <c r="L550" s="465"/>
      <c r="M550" s="465"/>
      <c r="N550" s="789">
        <v>0</v>
      </c>
      <c r="O550" s="465"/>
      <c r="P550" s="465"/>
      <c r="Q550" s="541"/>
      <c r="R550" s="541"/>
      <c r="S550" s="541"/>
      <c r="T550" s="541"/>
      <c r="U550" s="541"/>
      <c r="V550" s="541"/>
      <c r="W550" s="541"/>
      <c r="X550" s="541"/>
      <c r="Y550" s="541"/>
      <c r="Z550" s="541"/>
    </row>
    <row r="551" spans="1:26" ht="18.75">
      <c r="A551" s="537"/>
      <c r="B551" s="538"/>
      <c r="C551" s="538"/>
      <c r="D551" s="538"/>
      <c r="E551" s="727"/>
      <c r="F551" s="727" t="s">
        <v>187</v>
      </c>
      <c r="G551" s="189"/>
      <c r="H551" s="161" t="s">
        <v>12</v>
      </c>
      <c r="I551" s="269"/>
      <c r="J551" s="269"/>
      <c r="K551" s="465"/>
      <c r="L551" s="465"/>
      <c r="M551" s="465"/>
      <c r="N551" s="789">
        <v>0</v>
      </c>
      <c r="O551" s="465"/>
      <c r="P551" s="465"/>
      <c r="Q551" s="541"/>
      <c r="R551" s="541"/>
      <c r="S551" s="541"/>
      <c r="T551" s="541"/>
      <c r="U551" s="541"/>
      <c r="V551" s="541"/>
      <c r="W551" s="541"/>
      <c r="X551" s="541"/>
      <c r="Y551" s="541"/>
      <c r="Z551" s="541"/>
    </row>
    <row r="552" spans="1:26" ht="18.75">
      <c r="A552" s="537"/>
      <c r="B552" s="538"/>
      <c r="C552" s="727"/>
      <c r="D552" s="727"/>
      <c r="E552" s="727"/>
      <c r="F552" s="727" t="s">
        <v>188</v>
      </c>
      <c r="G552" s="189"/>
      <c r="H552" s="161" t="s">
        <v>12</v>
      </c>
      <c r="I552" s="269"/>
      <c r="J552" s="269"/>
      <c r="K552" s="465"/>
      <c r="L552" s="465"/>
      <c r="M552" s="465"/>
      <c r="N552" s="789">
        <v>13000</v>
      </c>
      <c r="O552" s="465"/>
      <c r="P552" s="465"/>
      <c r="Q552" s="541"/>
      <c r="R552" s="541"/>
      <c r="S552" s="541"/>
      <c r="T552" s="541"/>
      <c r="U552" s="541"/>
      <c r="V552" s="541"/>
      <c r="W552" s="541"/>
      <c r="X552" s="541"/>
      <c r="Y552" s="541"/>
      <c r="Z552" s="541"/>
    </row>
    <row r="553" spans="1:26" ht="18.75">
      <c r="A553" s="537"/>
      <c r="B553" s="538"/>
      <c r="C553" s="538"/>
      <c r="D553" s="538"/>
      <c r="E553" s="727"/>
      <c r="F553" s="727" t="s">
        <v>189</v>
      </c>
      <c r="G553" s="189"/>
      <c r="H553" s="161" t="s">
        <v>12</v>
      </c>
      <c r="I553" s="269"/>
      <c r="J553" s="269"/>
      <c r="K553" s="465"/>
      <c r="L553" s="465"/>
      <c r="M553" s="465"/>
      <c r="N553" s="789">
        <v>2295</v>
      </c>
      <c r="O553" s="465"/>
      <c r="P553" s="465"/>
      <c r="Q553" s="541"/>
      <c r="R553" s="541"/>
      <c r="S553" s="541"/>
      <c r="T553" s="541"/>
      <c r="U553" s="541"/>
      <c r="V553" s="541"/>
      <c r="W553" s="541"/>
      <c r="X553" s="541"/>
      <c r="Y553" s="541"/>
      <c r="Z553" s="541"/>
    </row>
    <row r="554" spans="1:26" ht="18.75">
      <c r="A554" s="537"/>
      <c r="B554" s="538"/>
      <c r="C554" s="538"/>
      <c r="D554" s="538"/>
      <c r="E554" s="727"/>
      <c r="F554" s="727" t="s">
        <v>233</v>
      </c>
      <c r="G554" s="189"/>
      <c r="H554" s="161" t="s">
        <v>12</v>
      </c>
      <c r="I554" s="269"/>
      <c r="J554" s="269"/>
      <c r="K554" s="465"/>
      <c r="L554" s="465"/>
      <c r="M554" s="465"/>
      <c r="N554" s="789">
        <v>0</v>
      </c>
      <c r="O554" s="465"/>
      <c r="P554" s="465"/>
      <c r="Q554" s="541"/>
      <c r="R554" s="541"/>
      <c r="S554" s="541"/>
      <c r="T554" s="541"/>
      <c r="U554" s="541"/>
      <c r="V554" s="541"/>
      <c r="W554" s="541"/>
      <c r="X554" s="541"/>
      <c r="Y554" s="541"/>
      <c r="Z554" s="541"/>
    </row>
    <row r="555" spans="1:26" ht="18.75">
      <c r="A555" s="561"/>
      <c r="B555" s="538"/>
      <c r="C555" s="538"/>
      <c r="D555" s="570" t="s">
        <v>21</v>
      </c>
      <c r="E555" s="727"/>
      <c r="F555" s="727"/>
      <c r="G555" s="189"/>
      <c r="H555" s="168" t="s">
        <v>12</v>
      </c>
      <c r="I555" s="184"/>
      <c r="J555" s="184"/>
      <c r="K555" s="163"/>
      <c r="L555" s="465">
        <f t="shared" ref="L555:N555" ca="1" si="241">L556+L557</f>
        <v>0</v>
      </c>
      <c r="M555" s="465">
        <f t="shared" si="241"/>
        <v>0</v>
      </c>
      <c r="N555" s="465">
        <f t="shared" si="241"/>
        <v>0</v>
      </c>
      <c r="O555" s="465">
        <f t="shared" ref="O555:O557" ca="1" si="242">IF(L555&gt;0,N555*100/L555,0)</f>
        <v>0</v>
      </c>
      <c r="P555" s="465">
        <f t="shared" ref="P555:P557" si="243">IF(M555&gt;0,N555*100/M555,0)</f>
        <v>0</v>
      </c>
      <c r="Q555" s="541"/>
      <c r="R555" s="541"/>
      <c r="S555" s="541"/>
      <c r="T555" s="541"/>
      <c r="U555" s="541"/>
      <c r="V555" s="541"/>
      <c r="W555" s="541"/>
      <c r="X555" s="541"/>
      <c r="Y555" s="541"/>
      <c r="Z555" s="541"/>
    </row>
    <row r="556" spans="1:26" ht="18.75" hidden="1">
      <c r="A556" s="563"/>
      <c r="B556" s="571"/>
      <c r="C556" s="571"/>
      <c r="D556" s="723"/>
      <c r="E556" s="723" t="s">
        <v>18</v>
      </c>
      <c r="F556" s="723"/>
      <c r="G556" s="567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2"/>
        <v>0</v>
      </c>
      <c r="P556" s="93">
        <f t="shared" si="243"/>
        <v>0</v>
      </c>
      <c r="Q556" s="568"/>
      <c r="R556" s="568"/>
      <c r="S556" s="568"/>
      <c r="T556" s="568"/>
      <c r="U556" s="568"/>
      <c r="V556" s="568"/>
      <c r="W556" s="568"/>
      <c r="X556" s="568"/>
      <c r="Y556" s="568"/>
      <c r="Z556" s="568"/>
    </row>
    <row r="557" spans="1:26" ht="18.75" hidden="1">
      <c r="A557" s="563"/>
      <c r="B557" s="571"/>
      <c r="C557" s="571"/>
      <c r="D557" s="723"/>
      <c r="E557" s="723" t="s">
        <v>19</v>
      </c>
      <c r="F557" s="723"/>
      <c r="G557" s="567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IFERROR(__xludf.DUMMYFUNCTION("IMPORTRANGE(""https://docs.google.com/spreadsheets/d/1QqKyyYR6Q21VydFLVH3TRQUabQu_ym0Zz7PgGX0-kHA/edit?usp=sharing"",""แผน!HF19"")"),0)</f>
        <v>0</v>
      </c>
      <c r="M557" s="93">
        <v>0</v>
      </c>
      <c r="N557" s="93">
        <v>0</v>
      </c>
      <c r="O557" s="93">
        <f t="shared" ca="1" si="242"/>
        <v>0</v>
      </c>
      <c r="P557" s="93">
        <f t="shared" si="243"/>
        <v>0</v>
      </c>
      <c r="Q557" s="568"/>
      <c r="R557" s="568"/>
      <c r="S557" s="568"/>
      <c r="T557" s="568"/>
      <c r="U557" s="568"/>
      <c r="V557" s="568"/>
      <c r="W557" s="568"/>
      <c r="X557" s="568"/>
      <c r="Y557" s="568"/>
      <c r="Z557" s="568"/>
    </row>
    <row r="558" spans="1:26" ht="19.5">
      <c r="A558" s="572"/>
      <c r="B558" s="584"/>
      <c r="C558" s="538" t="s">
        <v>16</v>
      </c>
      <c r="D558" s="853" t="s">
        <v>38</v>
      </c>
      <c r="E558" s="725"/>
      <c r="F558" s="725"/>
      <c r="G558" s="577"/>
      <c r="H558" s="726"/>
      <c r="I558" s="184"/>
      <c r="J558" s="184"/>
      <c r="K558" s="163"/>
      <c r="L558" s="163"/>
      <c r="M558" s="163"/>
      <c r="N558" s="163"/>
      <c r="O558" s="163"/>
      <c r="P558" s="163"/>
      <c r="Q558" s="541"/>
      <c r="R558" s="541"/>
      <c r="S558" s="541"/>
      <c r="T558" s="541"/>
      <c r="U558" s="541"/>
      <c r="V558" s="541"/>
      <c r="W558" s="541"/>
      <c r="X558" s="541"/>
      <c r="Y558" s="541"/>
      <c r="Z558" s="541"/>
    </row>
    <row r="559" spans="1:26" ht="19.5">
      <c r="A559" s="658"/>
      <c r="B559" s="659" t="s">
        <v>234</v>
      </c>
      <c r="C559" s="660"/>
      <c r="D559" s="660"/>
      <c r="E559" s="639"/>
      <c r="F559" s="639"/>
      <c r="G559" s="640"/>
      <c r="H559" s="661" t="s">
        <v>46</v>
      </c>
      <c r="I559" s="672">
        <f t="shared" ref="I559:J559" ca="1" si="244">I576</f>
        <v>41986</v>
      </c>
      <c r="J559" s="672">
        <f t="shared" si="244"/>
        <v>0</v>
      </c>
      <c r="K559" s="643">
        <f t="shared" ref="K559:K561" ca="1" si="245">IF(I559&gt;0,J559*100/I559,0)</f>
        <v>0</v>
      </c>
      <c r="L559" s="644"/>
      <c r="M559" s="644"/>
      <c r="N559" s="644"/>
      <c r="O559" s="644"/>
      <c r="P559" s="644"/>
      <c r="Q559" s="541"/>
      <c r="R559" s="541"/>
      <c r="S559" s="541"/>
      <c r="T559" s="541"/>
      <c r="U559" s="541"/>
      <c r="V559" s="541"/>
      <c r="W559" s="541"/>
      <c r="X559" s="541"/>
      <c r="Y559" s="541"/>
      <c r="Z559" s="541"/>
    </row>
    <row r="560" spans="1:26" ht="19.5">
      <c r="A560" s="572"/>
      <c r="B560" s="584"/>
      <c r="C560" s="591" t="s">
        <v>235</v>
      </c>
      <c r="D560" s="584"/>
      <c r="E560" s="592"/>
      <c r="F560" s="592"/>
      <c r="G560" s="726"/>
      <c r="H560" s="731" t="s">
        <v>46</v>
      </c>
      <c r="I560" s="193">
        <f ca="1">IFERROR(__xludf.DUMMYFUNCTION("IMPORTRANGE(""https://docs.google.com/spreadsheets/d/1QqKyyYR6Q21VydFLVH3TRQUabQu_ym0Zz7PgGX0-kHA/edit?usp=sharing"",""แผน!HH19"")"),41986)</f>
        <v>41986</v>
      </c>
      <c r="J560" s="193">
        <f t="shared" ref="J560:J561" si="246">J562+J564+J566</f>
        <v>0</v>
      </c>
      <c r="K560" s="379">
        <f t="shared" ca="1" si="245"/>
        <v>0</v>
      </c>
      <c r="L560" s="163"/>
      <c r="M560" s="163"/>
      <c r="N560" s="163"/>
      <c r="O560" s="163"/>
      <c r="P560" s="163"/>
      <c r="Q560" s="541"/>
      <c r="R560" s="541"/>
      <c r="S560" s="541"/>
      <c r="T560" s="541"/>
      <c r="U560" s="541"/>
      <c r="V560" s="541"/>
      <c r="W560" s="541"/>
      <c r="X560" s="541"/>
      <c r="Y560" s="541"/>
      <c r="Z560" s="541"/>
    </row>
    <row r="561" spans="1:26" ht="19.5">
      <c r="A561" s="572"/>
      <c r="B561" s="584"/>
      <c r="C561" s="584"/>
      <c r="D561" s="592"/>
      <c r="E561" s="592"/>
      <c r="F561" s="592"/>
      <c r="G561" s="726"/>
      <c r="H561" s="731" t="s">
        <v>34</v>
      </c>
      <c r="I561" s="193">
        <f ca="1">IFERROR(__xludf.DUMMYFUNCTION("IMPORTRANGE(""https://docs.google.com/spreadsheets/d/1QqKyyYR6Q21VydFLVH3TRQUabQu_ym0Zz7PgGX0-kHA/edit?usp=sharing"",""แผน!HG19"")"),12241)</f>
        <v>12241</v>
      </c>
      <c r="J561" s="193">
        <f t="shared" si="246"/>
        <v>0</v>
      </c>
      <c r="K561" s="379">
        <f t="shared" ca="1" si="245"/>
        <v>0</v>
      </c>
      <c r="L561" s="163"/>
      <c r="M561" s="163"/>
      <c r="N561" s="163"/>
      <c r="O561" s="163"/>
      <c r="P561" s="163"/>
      <c r="Q561" s="541"/>
      <c r="R561" s="541"/>
      <c r="S561" s="541"/>
      <c r="T561" s="541"/>
      <c r="U561" s="541"/>
      <c r="V561" s="541"/>
      <c r="W561" s="541"/>
      <c r="X561" s="541"/>
      <c r="Y561" s="541"/>
      <c r="Z561" s="541"/>
    </row>
    <row r="562" spans="1:26" ht="18.75">
      <c r="A562" s="572"/>
      <c r="B562" s="584"/>
      <c r="C562" s="584"/>
      <c r="D562" s="592" t="s">
        <v>236</v>
      </c>
      <c r="E562" s="592"/>
      <c r="F562" s="592"/>
      <c r="G562" s="726"/>
      <c r="H562" s="728" t="s">
        <v>46</v>
      </c>
      <c r="I562" s="184"/>
      <c r="J562" s="214">
        <v>0</v>
      </c>
      <c r="K562" s="163"/>
      <c r="L562" s="163"/>
      <c r="M562" s="163"/>
      <c r="N562" s="163"/>
      <c r="O562" s="163"/>
      <c r="P562" s="163"/>
      <c r="Q562" s="541"/>
      <c r="R562" s="541"/>
      <c r="S562" s="541"/>
      <c r="T562" s="541"/>
      <c r="U562" s="541"/>
      <c r="V562" s="541"/>
      <c r="W562" s="541"/>
      <c r="X562" s="541"/>
      <c r="Y562" s="541"/>
      <c r="Z562" s="541"/>
    </row>
    <row r="563" spans="1:26" ht="18.75">
      <c r="A563" s="572"/>
      <c r="B563" s="584"/>
      <c r="C563" s="584"/>
      <c r="D563" s="584"/>
      <c r="E563" s="592"/>
      <c r="F563" s="592"/>
      <c r="G563" s="726"/>
      <c r="H563" s="728" t="s">
        <v>34</v>
      </c>
      <c r="I563" s="184"/>
      <c r="J563" s="214">
        <v>0</v>
      </c>
      <c r="K563" s="163"/>
      <c r="L563" s="163"/>
      <c r="M563" s="163"/>
      <c r="N563" s="163"/>
      <c r="O563" s="163"/>
      <c r="P563" s="163"/>
      <c r="Q563" s="541"/>
      <c r="R563" s="541"/>
      <c r="S563" s="541"/>
      <c r="T563" s="541"/>
      <c r="U563" s="541"/>
      <c r="V563" s="541"/>
      <c r="W563" s="541"/>
      <c r="X563" s="541"/>
      <c r="Y563" s="541"/>
      <c r="Z563" s="541"/>
    </row>
    <row r="564" spans="1:26" ht="18.75">
      <c r="A564" s="572"/>
      <c r="B564" s="584"/>
      <c r="C564" s="584"/>
      <c r="D564" s="592" t="s">
        <v>237</v>
      </c>
      <c r="E564" s="592"/>
      <c r="F564" s="592"/>
      <c r="G564" s="726"/>
      <c r="H564" s="728" t="s">
        <v>46</v>
      </c>
      <c r="I564" s="184"/>
      <c r="J564" s="214">
        <v>0</v>
      </c>
      <c r="K564" s="163"/>
      <c r="L564" s="163"/>
      <c r="M564" s="163"/>
      <c r="N564" s="163"/>
      <c r="O564" s="163"/>
      <c r="P564" s="163"/>
      <c r="Q564" s="541"/>
      <c r="R564" s="541"/>
      <c r="S564" s="541"/>
      <c r="T564" s="541"/>
      <c r="U564" s="541"/>
      <c r="V564" s="541"/>
      <c r="W564" s="541"/>
      <c r="X564" s="541"/>
      <c r="Y564" s="541"/>
      <c r="Z564" s="541"/>
    </row>
    <row r="565" spans="1:26" ht="18.75">
      <c r="A565" s="572"/>
      <c r="B565" s="584"/>
      <c r="C565" s="584"/>
      <c r="D565" s="592"/>
      <c r="E565" s="592"/>
      <c r="F565" s="592"/>
      <c r="G565" s="726"/>
      <c r="H565" s="728" t="s">
        <v>34</v>
      </c>
      <c r="I565" s="184"/>
      <c r="J565" s="214">
        <v>0</v>
      </c>
      <c r="K565" s="163"/>
      <c r="L565" s="163"/>
      <c r="M565" s="163"/>
      <c r="N565" s="163"/>
      <c r="O565" s="163"/>
      <c r="P565" s="163"/>
      <c r="Q565" s="541"/>
      <c r="R565" s="541"/>
      <c r="S565" s="541"/>
      <c r="T565" s="541"/>
      <c r="U565" s="541"/>
      <c r="V565" s="541"/>
      <c r="W565" s="541"/>
      <c r="X565" s="541"/>
      <c r="Y565" s="541"/>
      <c r="Z565" s="541"/>
    </row>
    <row r="566" spans="1:26" ht="18.75">
      <c r="A566" s="572"/>
      <c r="B566" s="584"/>
      <c r="C566" s="584"/>
      <c r="D566" s="592" t="s">
        <v>238</v>
      </c>
      <c r="E566" s="592"/>
      <c r="F566" s="592"/>
      <c r="G566" s="726"/>
      <c r="H566" s="728" t="s">
        <v>46</v>
      </c>
      <c r="I566" s="184"/>
      <c r="J566" s="214">
        <v>0</v>
      </c>
      <c r="K566" s="163"/>
      <c r="L566" s="163"/>
      <c r="M566" s="163"/>
      <c r="N566" s="163"/>
      <c r="O566" s="163"/>
      <c r="P566" s="163"/>
      <c r="Q566" s="541"/>
      <c r="R566" s="541"/>
      <c r="S566" s="541"/>
      <c r="T566" s="541"/>
      <c r="U566" s="541"/>
      <c r="V566" s="541"/>
      <c r="W566" s="541"/>
      <c r="X566" s="541"/>
      <c r="Y566" s="541"/>
      <c r="Z566" s="541"/>
    </row>
    <row r="567" spans="1:26" ht="18.75">
      <c r="A567" s="572"/>
      <c r="B567" s="584"/>
      <c r="C567" s="584"/>
      <c r="D567" s="592"/>
      <c r="E567" s="592"/>
      <c r="F567" s="592"/>
      <c r="G567" s="726"/>
      <c r="H567" s="728" t="s">
        <v>34</v>
      </c>
      <c r="I567" s="184"/>
      <c r="J567" s="214">
        <v>0</v>
      </c>
      <c r="K567" s="163"/>
      <c r="L567" s="163"/>
      <c r="M567" s="163"/>
      <c r="N567" s="163"/>
      <c r="O567" s="163"/>
      <c r="P567" s="163"/>
      <c r="Q567" s="541"/>
      <c r="R567" s="541"/>
      <c r="S567" s="541"/>
      <c r="T567" s="541"/>
      <c r="U567" s="541"/>
      <c r="V567" s="541"/>
      <c r="W567" s="541"/>
      <c r="X567" s="541"/>
      <c r="Y567" s="541"/>
      <c r="Z567" s="541"/>
    </row>
    <row r="568" spans="1:26" ht="19.5">
      <c r="A568" s="572"/>
      <c r="B568" s="584"/>
      <c r="C568" s="591" t="s">
        <v>239</v>
      </c>
      <c r="D568" s="592"/>
      <c r="E568" s="592"/>
      <c r="F568" s="592"/>
      <c r="G568" s="726"/>
      <c r="H568" s="731" t="s">
        <v>46</v>
      </c>
      <c r="I568" s="193">
        <f ca="1">IFERROR(__xludf.DUMMYFUNCTION("IMPORTRANGE(""https://docs.google.com/spreadsheets/d/1QqKyyYR6Q21VydFLVH3TRQUabQu_ym0Zz7PgGX0-kHA/edit?usp=sharing"",""แผน!HH19"")"),41986)</f>
        <v>41986</v>
      </c>
      <c r="J568" s="647">
        <f t="shared" ref="J568:J569" si="247">J570+J572+J574</f>
        <v>0</v>
      </c>
      <c r="K568" s="379">
        <f t="shared" ref="K568:K569" ca="1" si="248">IF(I568&gt;0,J568*100/I568,0)</f>
        <v>0</v>
      </c>
      <c r="L568" s="163"/>
      <c r="M568" s="163"/>
      <c r="N568" s="163"/>
      <c r="O568" s="163"/>
      <c r="P568" s="163"/>
      <c r="Q568" s="541"/>
      <c r="R568" s="541"/>
      <c r="S568" s="541"/>
      <c r="T568" s="541"/>
      <c r="U568" s="541"/>
      <c r="V568" s="541"/>
      <c r="W568" s="541"/>
      <c r="X568" s="541"/>
      <c r="Y568" s="541"/>
      <c r="Z568" s="541"/>
    </row>
    <row r="569" spans="1:26" ht="19.5">
      <c r="A569" s="572"/>
      <c r="B569" s="584"/>
      <c r="C569" s="584"/>
      <c r="D569" s="584"/>
      <c r="E569" s="592"/>
      <c r="F569" s="592"/>
      <c r="G569" s="726"/>
      <c r="H569" s="731" t="s">
        <v>34</v>
      </c>
      <c r="I569" s="193">
        <f ca="1">IFERROR(__xludf.DUMMYFUNCTION("IMPORTRANGE(""https://docs.google.com/spreadsheets/d/1QqKyyYR6Q21VydFLVH3TRQUabQu_ym0Zz7PgGX0-kHA/edit?usp=sharing"",""แผน!HG19"")"),12241)</f>
        <v>12241</v>
      </c>
      <c r="J569" s="647">
        <f t="shared" si="247"/>
        <v>0</v>
      </c>
      <c r="K569" s="379">
        <f t="shared" ca="1" si="248"/>
        <v>0</v>
      </c>
      <c r="L569" s="163"/>
      <c r="M569" s="163"/>
      <c r="N569" s="163"/>
      <c r="O569" s="163"/>
      <c r="P569" s="163"/>
      <c r="Q569" s="541"/>
      <c r="R569" s="541"/>
      <c r="S569" s="541"/>
      <c r="T569" s="541"/>
      <c r="U569" s="541"/>
      <c r="V569" s="541"/>
      <c r="W569" s="541"/>
      <c r="X569" s="541"/>
      <c r="Y569" s="541"/>
      <c r="Z569" s="541"/>
    </row>
    <row r="570" spans="1:26" ht="18.75">
      <c r="A570" s="572"/>
      <c r="B570" s="584"/>
      <c r="C570" s="584"/>
      <c r="D570" s="592" t="s">
        <v>240</v>
      </c>
      <c r="E570" s="584"/>
      <c r="F570" s="592"/>
      <c r="G570" s="726"/>
      <c r="H570" s="728" t="s">
        <v>46</v>
      </c>
      <c r="I570" s="184"/>
      <c r="J570" s="214">
        <v>0</v>
      </c>
      <c r="K570" s="163"/>
      <c r="L570" s="163"/>
      <c r="M570" s="163"/>
      <c r="N570" s="163"/>
      <c r="O570" s="163"/>
      <c r="P570" s="163"/>
      <c r="Q570" s="541"/>
      <c r="R570" s="541"/>
      <c r="S570" s="541"/>
      <c r="T570" s="541"/>
      <c r="U570" s="541"/>
      <c r="V570" s="541"/>
      <c r="W570" s="541"/>
      <c r="X570" s="541"/>
      <c r="Y570" s="541"/>
      <c r="Z570" s="541"/>
    </row>
    <row r="571" spans="1:26" ht="18.75">
      <c r="A571" s="572"/>
      <c r="B571" s="584"/>
      <c r="C571" s="584"/>
      <c r="D571" s="584"/>
      <c r="E571" s="592"/>
      <c r="F571" s="592"/>
      <c r="G571" s="726"/>
      <c r="H571" s="728" t="s">
        <v>34</v>
      </c>
      <c r="I571" s="184"/>
      <c r="J571" s="214">
        <v>0</v>
      </c>
      <c r="K571" s="163"/>
      <c r="L571" s="163"/>
      <c r="M571" s="163"/>
      <c r="N571" s="163"/>
      <c r="O571" s="163"/>
      <c r="P571" s="163"/>
      <c r="Q571" s="541"/>
      <c r="R571" s="541"/>
      <c r="S571" s="541"/>
      <c r="T571" s="541"/>
      <c r="U571" s="541"/>
      <c r="V571" s="541"/>
      <c r="W571" s="541"/>
      <c r="X571" s="541"/>
      <c r="Y571" s="541"/>
      <c r="Z571" s="541"/>
    </row>
    <row r="572" spans="1:26" ht="18.75">
      <c r="A572" s="572"/>
      <c r="B572" s="584"/>
      <c r="C572" s="584"/>
      <c r="D572" s="592" t="s">
        <v>241</v>
      </c>
      <c r="E572" s="592"/>
      <c r="F572" s="592"/>
      <c r="G572" s="726"/>
      <c r="H572" s="728" t="s">
        <v>46</v>
      </c>
      <c r="I572" s="184"/>
      <c r="J572" s="214">
        <v>0</v>
      </c>
      <c r="K572" s="163"/>
      <c r="L572" s="163"/>
      <c r="M572" s="163"/>
      <c r="N572" s="163"/>
      <c r="O572" s="163"/>
      <c r="P572" s="163"/>
      <c r="Q572" s="541"/>
      <c r="R572" s="541"/>
      <c r="S572" s="541"/>
      <c r="T572" s="541"/>
      <c r="U572" s="541"/>
      <c r="V572" s="541"/>
      <c r="W572" s="541"/>
      <c r="X572" s="541"/>
      <c r="Y572" s="541"/>
      <c r="Z572" s="541"/>
    </row>
    <row r="573" spans="1:26" ht="18.75">
      <c r="A573" s="572"/>
      <c r="B573" s="584"/>
      <c r="C573" s="584"/>
      <c r="D573" s="592"/>
      <c r="E573" s="592"/>
      <c r="F573" s="592"/>
      <c r="G573" s="726"/>
      <c r="H573" s="728" t="s">
        <v>34</v>
      </c>
      <c r="I573" s="184"/>
      <c r="J573" s="214">
        <v>0</v>
      </c>
      <c r="K573" s="163"/>
      <c r="L573" s="163"/>
      <c r="M573" s="163"/>
      <c r="N573" s="163"/>
      <c r="O573" s="163"/>
      <c r="P573" s="163"/>
      <c r="Q573" s="541"/>
      <c r="R573" s="541"/>
      <c r="S573" s="541"/>
      <c r="T573" s="541"/>
      <c r="U573" s="541"/>
      <c r="V573" s="541"/>
      <c r="W573" s="541"/>
      <c r="X573" s="541"/>
      <c r="Y573" s="541"/>
      <c r="Z573" s="541"/>
    </row>
    <row r="574" spans="1:26" ht="18.75">
      <c r="A574" s="572"/>
      <c r="B574" s="584"/>
      <c r="C574" s="584"/>
      <c r="D574" s="592" t="s">
        <v>242</v>
      </c>
      <c r="E574" s="592"/>
      <c r="F574" s="592"/>
      <c r="G574" s="726"/>
      <c r="H574" s="728" t="s">
        <v>46</v>
      </c>
      <c r="I574" s="184"/>
      <c r="J574" s="214">
        <v>0</v>
      </c>
      <c r="K574" s="163"/>
      <c r="L574" s="163"/>
      <c r="M574" s="163"/>
      <c r="N574" s="163"/>
      <c r="O574" s="163"/>
      <c r="P574" s="163"/>
      <c r="Q574" s="541"/>
      <c r="R574" s="541"/>
      <c r="S574" s="541"/>
      <c r="T574" s="541"/>
      <c r="U574" s="541"/>
      <c r="V574" s="541"/>
      <c r="W574" s="541"/>
      <c r="X574" s="541"/>
      <c r="Y574" s="541"/>
      <c r="Z574" s="541"/>
    </row>
    <row r="575" spans="1:26" ht="18.75">
      <c r="A575" s="572"/>
      <c r="B575" s="584"/>
      <c r="C575" s="584"/>
      <c r="D575" s="584"/>
      <c r="E575" s="592"/>
      <c r="F575" s="592"/>
      <c r="G575" s="726"/>
      <c r="H575" s="728" t="s">
        <v>34</v>
      </c>
      <c r="I575" s="184"/>
      <c r="J575" s="214">
        <v>0</v>
      </c>
      <c r="K575" s="163"/>
      <c r="L575" s="163"/>
      <c r="M575" s="163"/>
      <c r="N575" s="163"/>
      <c r="O575" s="163"/>
      <c r="P575" s="163"/>
      <c r="Q575" s="541"/>
      <c r="R575" s="541"/>
      <c r="S575" s="541"/>
      <c r="T575" s="541"/>
      <c r="U575" s="541"/>
      <c r="V575" s="541"/>
      <c r="W575" s="541"/>
      <c r="X575" s="541"/>
      <c r="Y575" s="541"/>
      <c r="Z575" s="541"/>
    </row>
    <row r="576" spans="1:26" ht="19.5">
      <c r="A576" s="572"/>
      <c r="B576" s="584"/>
      <c r="C576" s="591" t="s">
        <v>243</v>
      </c>
      <c r="D576" s="584"/>
      <c r="E576" s="584"/>
      <c r="F576" s="592"/>
      <c r="G576" s="726"/>
      <c r="H576" s="731" t="s">
        <v>46</v>
      </c>
      <c r="I576" s="193">
        <f ca="1">IFERROR(__xludf.DUMMYFUNCTION("IMPORTRANGE(""https://docs.google.com/spreadsheets/d/1QqKyyYR6Q21VydFLVH3TRQUabQu_ym0Zz7PgGX0-kHA/edit?usp=sharing"",""แผน!HH19"")"),41986)</f>
        <v>41986</v>
      </c>
      <c r="J576" s="647">
        <f t="shared" ref="J576:J577" si="249">J578+J580+J582+J588+J590</f>
        <v>0</v>
      </c>
      <c r="K576" s="379">
        <f t="shared" ref="K576:K577" ca="1" si="250">IF(I576&gt;0,J576*100/I576,0)</f>
        <v>0</v>
      </c>
      <c r="L576" s="163"/>
      <c r="M576" s="163"/>
      <c r="N576" s="163"/>
      <c r="O576" s="163"/>
      <c r="P576" s="163"/>
      <c r="Q576" s="541"/>
      <c r="R576" s="541"/>
      <c r="S576" s="541"/>
      <c r="T576" s="541"/>
      <c r="U576" s="541"/>
      <c r="V576" s="541"/>
      <c r="W576" s="541"/>
      <c r="X576" s="541"/>
      <c r="Y576" s="541"/>
      <c r="Z576" s="541"/>
    </row>
    <row r="577" spans="1:26" ht="19.5">
      <c r="A577" s="572"/>
      <c r="B577" s="584"/>
      <c r="C577" s="584"/>
      <c r="D577" s="584"/>
      <c r="E577" s="592"/>
      <c r="F577" s="592"/>
      <c r="G577" s="726"/>
      <c r="H577" s="731" t="s">
        <v>34</v>
      </c>
      <c r="I577" s="193">
        <f ca="1">IFERROR(__xludf.DUMMYFUNCTION("IMPORTRANGE(""https://docs.google.com/spreadsheets/d/1QqKyyYR6Q21VydFLVH3TRQUabQu_ym0Zz7PgGX0-kHA/edit?usp=sharing"",""แผน!HG19"")"),12241)</f>
        <v>12241</v>
      </c>
      <c r="J577" s="647">
        <f t="shared" si="249"/>
        <v>0</v>
      </c>
      <c r="K577" s="379">
        <f t="shared" ca="1" si="250"/>
        <v>0</v>
      </c>
      <c r="L577" s="163"/>
      <c r="M577" s="163"/>
      <c r="N577" s="163"/>
      <c r="O577" s="163"/>
      <c r="P577" s="163"/>
      <c r="Q577" s="541"/>
      <c r="R577" s="541"/>
      <c r="S577" s="541"/>
      <c r="T577" s="541"/>
      <c r="U577" s="541"/>
      <c r="V577" s="541"/>
      <c r="W577" s="541"/>
      <c r="X577" s="541"/>
      <c r="Y577" s="541"/>
      <c r="Z577" s="541"/>
    </row>
    <row r="578" spans="1:26" ht="18.75">
      <c r="A578" s="572"/>
      <c r="B578" s="584"/>
      <c r="C578" s="584"/>
      <c r="D578" s="592" t="s">
        <v>244</v>
      </c>
      <c r="E578" s="592"/>
      <c r="F578" s="592"/>
      <c r="G578" s="726"/>
      <c r="H578" s="728" t="s">
        <v>46</v>
      </c>
      <c r="I578" s="184"/>
      <c r="J578" s="214">
        <v>0</v>
      </c>
      <c r="K578" s="163"/>
      <c r="L578" s="163"/>
      <c r="M578" s="163"/>
      <c r="N578" s="163"/>
      <c r="O578" s="163"/>
      <c r="P578" s="163"/>
      <c r="Q578" s="541"/>
      <c r="R578" s="541"/>
      <c r="S578" s="541"/>
      <c r="T578" s="541"/>
      <c r="U578" s="541"/>
      <c r="V578" s="541"/>
      <c r="W578" s="541"/>
      <c r="X578" s="541"/>
      <c r="Y578" s="541"/>
      <c r="Z578" s="541"/>
    </row>
    <row r="579" spans="1:26" ht="18.75">
      <c r="A579" s="572"/>
      <c r="B579" s="584"/>
      <c r="C579" s="584"/>
      <c r="D579" s="584"/>
      <c r="E579" s="592"/>
      <c r="F579" s="592"/>
      <c r="G579" s="726"/>
      <c r="H579" s="728" t="s">
        <v>34</v>
      </c>
      <c r="I579" s="184"/>
      <c r="J579" s="214">
        <v>0</v>
      </c>
      <c r="K579" s="163"/>
      <c r="L579" s="163"/>
      <c r="M579" s="163"/>
      <c r="N579" s="163"/>
      <c r="O579" s="163"/>
      <c r="P579" s="163"/>
      <c r="Q579" s="541"/>
      <c r="R579" s="541"/>
      <c r="S579" s="541"/>
      <c r="T579" s="541"/>
      <c r="U579" s="541"/>
      <c r="V579" s="541"/>
      <c r="W579" s="541"/>
      <c r="X579" s="541"/>
      <c r="Y579" s="541"/>
      <c r="Z579" s="541"/>
    </row>
    <row r="580" spans="1:26" ht="18.75">
      <c r="A580" s="572"/>
      <c r="B580" s="584"/>
      <c r="C580" s="584"/>
      <c r="D580" s="592" t="s">
        <v>245</v>
      </c>
      <c r="E580" s="592"/>
      <c r="F580" s="592"/>
      <c r="G580" s="726"/>
      <c r="H580" s="728" t="s">
        <v>46</v>
      </c>
      <c r="I580" s="184"/>
      <c r="J580" s="214">
        <v>0</v>
      </c>
      <c r="K580" s="163"/>
      <c r="L580" s="163"/>
      <c r="M580" s="163"/>
      <c r="N580" s="163"/>
      <c r="O580" s="163"/>
      <c r="P580" s="163"/>
      <c r="Q580" s="541"/>
      <c r="R580" s="541"/>
      <c r="S580" s="541"/>
      <c r="T580" s="541"/>
      <c r="U580" s="541"/>
      <c r="V580" s="541"/>
      <c r="W580" s="541"/>
      <c r="X580" s="541"/>
      <c r="Y580" s="541"/>
      <c r="Z580" s="541"/>
    </row>
    <row r="581" spans="1:26" ht="18.75">
      <c r="A581" s="572"/>
      <c r="B581" s="584"/>
      <c r="C581" s="584"/>
      <c r="D581" s="584"/>
      <c r="E581" s="592"/>
      <c r="F581" s="592"/>
      <c r="G581" s="726"/>
      <c r="H581" s="728" t="s">
        <v>34</v>
      </c>
      <c r="I581" s="184"/>
      <c r="J581" s="214">
        <v>0</v>
      </c>
      <c r="K581" s="163"/>
      <c r="L581" s="163"/>
      <c r="M581" s="163"/>
      <c r="N581" s="163"/>
      <c r="O581" s="163"/>
      <c r="P581" s="163"/>
      <c r="Q581" s="541"/>
      <c r="R581" s="541"/>
      <c r="S581" s="541"/>
      <c r="T581" s="541"/>
      <c r="U581" s="541"/>
      <c r="V581" s="541"/>
      <c r="W581" s="541"/>
      <c r="X581" s="541"/>
      <c r="Y581" s="541"/>
      <c r="Z581" s="541"/>
    </row>
    <row r="582" spans="1:26" ht="19.5">
      <c r="A582" s="572"/>
      <c r="B582" s="584"/>
      <c r="C582" s="584"/>
      <c r="D582" s="592" t="s">
        <v>246</v>
      </c>
      <c r="E582" s="592"/>
      <c r="F582" s="592"/>
      <c r="G582" s="726"/>
      <c r="H582" s="728" t="s">
        <v>46</v>
      </c>
      <c r="I582" s="184"/>
      <c r="J582" s="647">
        <f t="shared" ref="J582:J583" si="251">J584+J586</f>
        <v>0</v>
      </c>
      <c r="K582" s="379"/>
      <c r="L582" s="163"/>
      <c r="M582" s="163"/>
      <c r="N582" s="163"/>
      <c r="O582" s="163"/>
      <c r="P582" s="163"/>
      <c r="Q582" s="541"/>
      <c r="R582" s="541"/>
      <c r="S582" s="541"/>
      <c r="T582" s="541"/>
      <c r="U582" s="541"/>
      <c r="V582" s="541"/>
      <c r="W582" s="541"/>
      <c r="X582" s="541"/>
      <c r="Y582" s="541"/>
      <c r="Z582" s="541"/>
    </row>
    <row r="583" spans="1:26" ht="19.5">
      <c r="A583" s="572"/>
      <c r="B583" s="584"/>
      <c r="C583" s="584"/>
      <c r="D583" s="584"/>
      <c r="E583" s="592"/>
      <c r="F583" s="592"/>
      <c r="G583" s="726"/>
      <c r="H583" s="728" t="s">
        <v>34</v>
      </c>
      <c r="I583" s="184"/>
      <c r="J583" s="647">
        <f t="shared" si="251"/>
        <v>0</v>
      </c>
      <c r="K583" s="379"/>
      <c r="L583" s="163"/>
      <c r="M583" s="163"/>
      <c r="N583" s="163"/>
      <c r="O583" s="163"/>
      <c r="P583" s="163"/>
      <c r="Q583" s="541"/>
      <c r="R583" s="541"/>
      <c r="S583" s="541"/>
      <c r="T583" s="541"/>
      <c r="U583" s="541"/>
      <c r="V583" s="541"/>
      <c r="W583" s="541"/>
      <c r="X583" s="541"/>
      <c r="Y583" s="541"/>
      <c r="Z583" s="541"/>
    </row>
    <row r="584" spans="1:26" ht="18.75">
      <c r="A584" s="572"/>
      <c r="B584" s="584"/>
      <c r="C584" s="584"/>
      <c r="D584" s="584"/>
      <c r="E584" s="592" t="s">
        <v>247</v>
      </c>
      <c r="F584" s="592"/>
      <c r="G584" s="726"/>
      <c r="H584" s="728" t="s">
        <v>46</v>
      </c>
      <c r="I584" s="184"/>
      <c r="J584" s="214">
        <v>0</v>
      </c>
      <c r="K584" s="163"/>
      <c r="L584" s="163"/>
      <c r="M584" s="163"/>
      <c r="N584" s="163"/>
      <c r="O584" s="163"/>
      <c r="P584" s="163"/>
      <c r="Q584" s="541"/>
      <c r="R584" s="541"/>
      <c r="S584" s="541"/>
      <c r="T584" s="541"/>
      <c r="U584" s="541"/>
      <c r="V584" s="541"/>
      <c r="W584" s="541"/>
      <c r="X584" s="541"/>
      <c r="Y584" s="541"/>
      <c r="Z584" s="541"/>
    </row>
    <row r="585" spans="1:26" ht="18.75">
      <c r="A585" s="572"/>
      <c r="B585" s="584"/>
      <c r="C585" s="584"/>
      <c r="D585" s="584"/>
      <c r="E585" s="592"/>
      <c r="F585" s="592"/>
      <c r="G585" s="726"/>
      <c r="H585" s="728" t="s">
        <v>34</v>
      </c>
      <c r="I585" s="184"/>
      <c r="J585" s="214">
        <v>0</v>
      </c>
      <c r="K585" s="163"/>
      <c r="L585" s="163"/>
      <c r="M585" s="163"/>
      <c r="N585" s="163"/>
      <c r="O585" s="163"/>
      <c r="P585" s="163"/>
      <c r="Q585" s="541"/>
      <c r="R585" s="541"/>
      <c r="S585" s="541"/>
      <c r="T585" s="541"/>
      <c r="U585" s="541"/>
      <c r="V585" s="541"/>
      <c r="W585" s="541"/>
      <c r="X585" s="541"/>
      <c r="Y585" s="541"/>
      <c r="Z585" s="541"/>
    </row>
    <row r="586" spans="1:26" ht="18.75">
      <c r="A586" s="572"/>
      <c r="B586" s="584"/>
      <c r="C586" s="584"/>
      <c r="D586" s="584"/>
      <c r="E586" s="592" t="s">
        <v>248</v>
      </c>
      <c r="F586" s="592"/>
      <c r="G586" s="726"/>
      <c r="H586" s="728" t="s">
        <v>46</v>
      </c>
      <c r="I586" s="184"/>
      <c r="J586" s="214">
        <v>0</v>
      </c>
      <c r="K586" s="163"/>
      <c r="L586" s="163"/>
      <c r="M586" s="163"/>
      <c r="N586" s="163"/>
      <c r="O586" s="163"/>
      <c r="P586" s="163"/>
      <c r="Q586" s="541"/>
      <c r="R586" s="541"/>
      <c r="S586" s="541"/>
      <c r="T586" s="541"/>
      <c r="U586" s="541"/>
      <c r="V586" s="541"/>
      <c r="W586" s="541"/>
      <c r="X586" s="541"/>
      <c r="Y586" s="541"/>
      <c r="Z586" s="541"/>
    </row>
    <row r="587" spans="1:26" ht="18.75">
      <c r="A587" s="572"/>
      <c r="B587" s="584"/>
      <c r="C587" s="584"/>
      <c r="D587" s="584"/>
      <c r="E587" s="584"/>
      <c r="F587" s="592"/>
      <c r="G587" s="726"/>
      <c r="H587" s="728" t="s">
        <v>34</v>
      </c>
      <c r="I587" s="184"/>
      <c r="J587" s="214">
        <v>0</v>
      </c>
      <c r="K587" s="163"/>
      <c r="L587" s="163"/>
      <c r="M587" s="163"/>
      <c r="N587" s="163"/>
      <c r="O587" s="163"/>
      <c r="P587" s="163"/>
      <c r="Q587" s="541"/>
      <c r="R587" s="541"/>
      <c r="S587" s="541"/>
      <c r="T587" s="541"/>
      <c r="U587" s="541"/>
      <c r="V587" s="541"/>
      <c r="W587" s="541"/>
      <c r="X587" s="541"/>
      <c r="Y587" s="541"/>
      <c r="Z587" s="541"/>
    </row>
    <row r="588" spans="1:26" ht="18.75">
      <c r="A588" s="572"/>
      <c r="B588" s="584"/>
      <c r="C588" s="584"/>
      <c r="D588" s="592" t="s">
        <v>249</v>
      </c>
      <c r="E588" s="592"/>
      <c r="F588" s="592"/>
      <c r="G588" s="726"/>
      <c r="H588" s="728" t="s">
        <v>46</v>
      </c>
      <c r="I588" s="184"/>
      <c r="J588" s="214">
        <v>0</v>
      </c>
      <c r="K588" s="163"/>
      <c r="L588" s="163"/>
      <c r="M588" s="163"/>
      <c r="N588" s="163"/>
      <c r="O588" s="163"/>
      <c r="P588" s="163"/>
      <c r="Q588" s="541"/>
      <c r="R588" s="541"/>
      <c r="S588" s="541"/>
      <c r="T588" s="541"/>
      <c r="U588" s="541"/>
      <c r="V588" s="541"/>
      <c r="W588" s="541"/>
      <c r="X588" s="541"/>
      <c r="Y588" s="541"/>
      <c r="Z588" s="541"/>
    </row>
    <row r="589" spans="1:26" ht="18.75">
      <c r="A589" s="572"/>
      <c r="B589" s="584"/>
      <c r="C589" s="584"/>
      <c r="D589" s="584"/>
      <c r="E589" s="584"/>
      <c r="F589" s="592"/>
      <c r="G589" s="726"/>
      <c r="H589" s="728" t="s">
        <v>34</v>
      </c>
      <c r="I589" s="184"/>
      <c r="J589" s="214">
        <v>0</v>
      </c>
      <c r="K589" s="163"/>
      <c r="L589" s="163"/>
      <c r="M589" s="163"/>
      <c r="N589" s="163"/>
      <c r="O589" s="163"/>
      <c r="P589" s="163"/>
      <c r="Q589" s="541"/>
      <c r="R589" s="541"/>
      <c r="S589" s="541"/>
      <c r="T589" s="541"/>
      <c r="U589" s="541"/>
      <c r="V589" s="541"/>
      <c r="W589" s="541"/>
      <c r="X589" s="541"/>
      <c r="Y589" s="541"/>
      <c r="Z589" s="541"/>
    </row>
    <row r="590" spans="1:26" ht="18.75">
      <c r="A590" s="572"/>
      <c r="B590" s="584"/>
      <c r="C590" s="584"/>
      <c r="D590" s="592" t="s">
        <v>250</v>
      </c>
      <c r="E590" s="592"/>
      <c r="F590" s="592"/>
      <c r="G590" s="726"/>
      <c r="H590" s="728" t="s">
        <v>46</v>
      </c>
      <c r="I590" s="184"/>
      <c r="J590" s="214">
        <v>0</v>
      </c>
      <c r="K590" s="163"/>
      <c r="L590" s="163"/>
      <c r="M590" s="163"/>
      <c r="N590" s="163"/>
      <c r="O590" s="163"/>
      <c r="P590" s="163"/>
      <c r="Q590" s="541"/>
      <c r="R590" s="541"/>
      <c r="S590" s="541"/>
      <c r="T590" s="541"/>
      <c r="U590" s="541"/>
      <c r="V590" s="541"/>
      <c r="W590" s="541"/>
      <c r="X590" s="541"/>
      <c r="Y590" s="541"/>
      <c r="Z590" s="541"/>
    </row>
    <row r="591" spans="1:26" ht="18.75">
      <c r="A591" s="662"/>
      <c r="B591" s="663"/>
      <c r="C591" s="663"/>
      <c r="D591" s="663"/>
      <c r="E591" s="541"/>
      <c r="F591" s="541"/>
      <c r="G591" s="664"/>
      <c r="H591" s="665" t="s">
        <v>34</v>
      </c>
      <c r="I591" s="666"/>
      <c r="J591" s="667">
        <v>0</v>
      </c>
      <c r="K591" s="668"/>
      <c r="L591" s="668"/>
      <c r="M591" s="668"/>
      <c r="N591" s="668"/>
      <c r="O591" s="668"/>
      <c r="P591" s="668"/>
      <c r="Q591" s="541"/>
      <c r="R591" s="541"/>
      <c r="S591" s="541"/>
      <c r="T591" s="541"/>
      <c r="U591" s="541"/>
      <c r="V591" s="541"/>
      <c r="W591" s="541"/>
      <c r="X591" s="541"/>
      <c r="Y591" s="541"/>
      <c r="Z591" s="541"/>
    </row>
    <row r="592" spans="1:26" ht="19.5">
      <c r="A592" s="658"/>
      <c r="B592" s="659" t="s">
        <v>251</v>
      </c>
      <c r="C592" s="660"/>
      <c r="D592" s="660"/>
      <c r="E592" s="639"/>
      <c r="F592" s="639"/>
      <c r="G592" s="640"/>
      <c r="H592" s="661" t="s">
        <v>46</v>
      </c>
      <c r="I592" s="672">
        <f t="shared" ref="I592:J592" ca="1" si="252">I593</f>
        <v>1776</v>
      </c>
      <c r="J592" s="672">
        <f t="shared" si="252"/>
        <v>0</v>
      </c>
      <c r="K592" s="643">
        <f t="shared" ref="K592:K594" ca="1" si="253">IF(I592&gt;0,J592*100/I592,0)</f>
        <v>0</v>
      </c>
      <c r="L592" s="644"/>
      <c r="M592" s="644"/>
      <c r="N592" s="644"/>
      <c r="O592" s="644"/>
      <c r="P592" s="644"/>
      <c r="Q592" s="541"/>
      <c r="R592" s="541"/>
      <c r="S592" s="541"/>
      <c r="T592" s="541"/>
      <c r="U592" s="541"/>
      <c r="V592" s="541"/>
      <c r="W592" s="541"/>
      <c r="X592" s="541"/>
      <c r="Y592" s="541"/>
      <c r="Z592" s="541"/>
    </row>
    <row r="593" spans="1:26" ht="19.5">
      <c r="A593" s="572"/>
      <c r="B593" s="584"/>
      <c r="C593" s="591" t="s">
        <v>252</v>
      </c>
      <c r="D593" s="584"/>
      <c r="E593" s="584"/>
      <c r="F593" s="592"/>
      <c r="G593" s="726"/>
      <c r="H593" s="731" t="s">
        <v>46</v>
      </c>
      <c r="I593" s="193">
        <f ca="1">IFERROR(__xludf.DUMMYFUNCTION("IMPORTRANGE(""https://docs.google.com/spreadsheets/d/1QqKyyYR6Q21VydFLVH3TRQUabQu_ym0Zz7PgGX0-kHA/edit?usp=sharing"",""แผน!HJ19"")"),1776)</f>
        <v>1776</v>
      </c>
      <c r="J593" s="193">
        <f t="shared" ref="J593:J594" si="254">J595+J603+J609</f>
        <v>0</v>
      </c>
      <c r="K593" s="379">
        <f t="shared" ca="1" si="253"/>
        <v>0</v>
      </c>
      <c r="L593" s="163"/>
      <c r="M593" s="163"/>
      <c r="N593" s="163"/>
      <c r="O593" s="163"/>
      <c r="P593" s="163"/>
      <c r="Q593" s="541"/>
      <c r="R593" s="541"/>
      <c r="S593" s="541"/>
      <c r="T593" s="541"/>
      <c r="U593" s="541"/>
      <c r="V593" s="541"/>
      <c r="W593" s="541"/>
      <c r="X593" s="541"/>
      <c r="Y593" s="541"/>
      <c r="Z593" s="541"/>
    </row>
    <row r="594" spans="1:26" ht="19.5">
      <c r="A594" s="572"/>
      <c r="B594" s="584"/>
      <c r="C594" s="584"/>
      <c r="D594" s="584"/>
      <c r="E594" s="592"/>
      <c r="F594" s="592"/>
      <c r="G594" s="726"/>
      <c r="H594" s="731" t="s">
        <v>34</v>
      </c>
      <c r="I594" s="193">
        <f ca="1">IFERROR(__xludf.DUMMYFUNCTION("IMPORTRANGE(""https://docs.google.com/spreadsheets/d/1QqKyyYR6Q21VydFLVH3TRQUabQu_ym0Zz7PgGX0-kHA/edit?usp=sharing"",""แผน!HI19"")"),190)</f>
        <v>190</v>
      </c>
      <c r="J594" s="193">
        <f t="shared" si="254"/>
        <v>0</v>
      </c>
      <c r="K594" s="379">
        <f t="shared" ca="1" si="253"/>
        <v>0</v>
      </c>
      <c r="L594" s="163"/>
      <c r="M594" s="163"/>
      <c r="N594" s="163"/>
      <c r="O594" s="163"/>
      <c r="P594" s="163"/>
      <c r="Q594" s="541"/>
      <c r="R594" s="541"/>
      <c r="S594" s="541"/>
      <c r="T594" s="541"/>
      <c r="U594" s="541"/>
      <c r="V594" s="541"/>
      <c r="W594" s="541"/>
      <c r="X594" s="541"/>
      <c r="Y594" s="541"/>
      <c r="Z594" s="541"/>
    </row>
    <row r="595" spans="1:26" ht="18.75">
      <c r="A595" s="572"/>
      <c r="B595" s="584"/>
      <c r="C595" s="584" t="s">
        <v>253</v>
      </c>
      <c r="D595" s="584"/>
      <c r="E595" s="584"/>
      <c r="F595" s="592"/>
      <c r="G595" s="726"/>
      <c r="H595" s="728" t="s">
        <v>46</v>
      </c>
      <c r="I595" s="184"/>
      <c r="J595" s="184">
        <f t="shared" ref="J595:J596" si="255">J597+J599</f>
        <v>0</v>
      </c>
      <c r="K595" s="163"/>
      <c r="L595" s="163"/>
      <c r="M595" s="163"/>
      <c r="N595" s="163"/>
      <c r="O595" s="163"/>
      <c r="P595" s="163"/>
      <c r="Q595" s="541"/>
      <c r="R595" s="541"/>
      <c r="S595" s="541"/>
      <c r="T595" s="541"/>
      <c r="U595" s="541"/>
      <c r="V595" s="541"/>
      <c r="W595" s="541"/>
      <c r="X595" s="541"/>
      <c r="Y595" s="541"/>
      <c r="Z595" s="541"/>
    </row>
    <row r="596" spans="1:26" ht="18.75">
      <c r="A596" s="572"/>
      <c r="B596" s="584"/>
      <c r="C596" s="584"/>
      <c r="D596" s="584"/>
      <c r="E596" s="592"/>
      <c r="F596" s="592"/>
      <c r="G596" s="726"/>
      <c r="H596" s="728" t="s">
        <v>34</v>
      </c>
      <c r="I596" s="184"/>
      <c r="J596" s="184">
        <f t="shared" si="255"/>
        <v>0</v>
      </c>
      <c r="K596" s="163"/>
      <c r="L596" s="163"/>
      <c r="M596" s="163"/>
      <c r="N596" s="163"/>
      <c r="O596" s="163"/>
      <c r="P596" s="163"/>
      <c r="Q596" s="541"/>
      <c r="R596" s="541"/>
      <c r="S596" s="541"/>
      <c r="T596" s="541"/>
      <c r="U596" s="541"/>
      <c r="V596" s="541"/>
      <c r="W596" s="541"/>
      <c r="X596" s="541"/>
      <c r="Y596" s="541"/>
      <c r="Z596" s="541"/>
    </row>
    <row r="597" spans="1:26" ht="18.75">
      <c r="A597" s="572"/>
      <c r="B597" s="584"/>
      <c r="C597" s="584"/>
      <c r="D597" s="710" t="s">
        <v>254</v>
      </c>
      <c r="E597" s="592"/>
      <c r="F597" s="592"/>
      <c r="G597" s="726"/>
      <c r="H597" s="728" t="s">
        <v>46</v>
      </c>
      <c r="I597" s="184"/>
      <c r="J597" s="214">
        <v>0</v>
      </c>
      <c r="K597" s="163"/>
      <c r="L597" s="163"/>
      <c r="M597" s="163"/>
      <c r="N597" s="163"/>
      <c r="O597" s="163"/>
      <c r="P597" s="163"/>
      <c r="Q597" s="541"/>
      <c r="R597" s="541"/>
      <c r="S597" s="541"/>
      <c r="T597" s="541"/>
      <c r="U597" s="541"/>
      <c r="V597" s="541"/>
      <c r="W597" s="541"/>
      <c r="X597" s="541"/>
      <c r="Y597" s="541"/>
      <c r="Z597" s="541"/>
    </row>
    <row r="598" spans="1:26" ht="18.75">
      <c r="A598" s="572"/>
      <c r="B598" s="584"/>
      <c r="C598" s="584"/>
      <c r="D598" s="584"/>
      <c r="E598" s="592"/>
      <c r="F598" s="592"/>
      <c r="G598" s="726"/>
      <c r="H598" s="728" t="s">
        <v>34</v>
      </c>
      <c r="I598" s="269"/>
      <c r="J598" s="214">
        <v>0</v>
      </c>
      <c r="K598" s="163"/>
      <c r="L598" s="163"/>
      <c r="M598" s="163"/>
      <c r="N598" s="163"/>
      <c r="O598" s="163"/>
      <c r="P598" s="163"/>
      <c r="Q598" s="541"/>
      <c r="R598" s="541"/>
      <c r="S598" s="541"/>
      <c r="T598" s="541"/>
      <c r="U598" s="541"/>
      <c r="V598" s="541"/>
      <c r="W598" s="541"/>
      <c r="X598" s="541"/>
      <c r="Y598" s="541"/>
      <c r="Z598" s="541"/>
    </row>
    <row r="599" spans="1:26" ht="18.75">
      <c r="A599" s="572"/>
      <c r="B599" s="584"/>
      <c r="C599" s="584"/>
      <c r="D599" s="710" t="s">
        <v>255</v>
      </c>
      <c r="E599" s="592"/>
      <c r="F599" s="592"/>
      <c r="G599" s="726"/>
      <c r="H599" s="728" t="s">
        <v>46</v>
      </c>
      <c r="I599" s="269"/>
      <c r="J599" s="214">
        <v>0</v>
      </c>
      <c r="K599" s="163"/>
      <c r="L599" s="163"/>
      <c r="M599" s="163"/>
      <c r="N599" s="163"/>
      <c r="O599" s="163"/>
      <c r="P599" s="163"/>
      <c r="Q599" s="541"/>
      <c r="R599" s="541"/>
      <c r="S599" s="541"/>
      <c r="T599" s="541"/>
      <c r="U599" s="541"/>
      <c r="V599" s="541"/>
      <c r="W599" s="541"/>
      <c r="X599" s="541"/>
      <c r="Y599" s="541"/>
      <c r="Z599" s="541"/>
    </row>
    <row r="600" spans="1:26" ht="18.75">
      <c r="A600" s="572"/>
      <c r="B600" s="584"/>
      <c r="C600" s="584"/>
      <c r="D600" s="584"/>
      <c r="E600" s="592"/>
      <c r="F600" s="592"/>
      <c r="G600" s="726"/>
      <c r="H600" s="728" t="s">
        <v>34</v>
      </c>
      <c r="I600" s="269"/>
      <c r="J600" s="214">
        <v>0</v>
      </c>
      <c r="K600" s="163"/>
      <c r="L600" s="163"/>
      <c r="M600" s="163"/>
      <c r="N600" s="163"/>
      <c r="O600" s="163"/>
      <c r="P600" s="163"/>
      <c r="Q600" s="541"/>
      <c r="R600" s="541"/>
      <c r="S600" s="541"/>
      <c r="T600" s="541"/>
      <c r="U600" s="541"/>
      <c r="V600" s="541"/>
      <c r="W600" s="541"/>
      <c r="X600" s="541"/>
      <c r="Y600" s="541"/>
      <c r="Z600" s="541"/>
    </row>
    <row r="601" spans="1:26" ht="18.75">
      <c r="A601" s="572"/>
      <c r="B601" s="584"/>
      <c r="C601" s="584"/>
      <c r="D601" s="710" t="s">
        <v>256</v>
      </c>
      <c r="E601" s="592"/>
      <c r="F601" s="592"/>
      <c r="G601" s="726"/>
      <c r="H601" s="728" t="s">
        <v>46</v>
      </c>
      <c r="I601" s="269"/>
      <c r="J601" s="214">
        <v>0</v>
      </c>
      <c r="K601" s="163"/>
      <c r="L601" s="163"/>
      <c r="M601" s="163"/>
      <c r="N601" s="163"/>
      <c r="O601" s="163"/>
      <c r="P601" s="163"/>
      <c r="Q601" s="541"/>
      <c r="R601" s="541"/>
      <c r="S601" s="541"/>
      <c r="T601" s="541"/>
      <c r="U601" s="541"/>
      <c r="V601" s="541"/>
      <c r="W601" s="541"/>
      <c r="X601" s="541"/>
      <c r="Y601" s="541"/>
      <c r="Z601" s="541"/>
    </row>
    <row r="602" spans="1:26" ht="18.75">
      <c r="A602" s="572"/>
      <c r="B602" s="584"/>
      <c r="C602" s="584"/>
      <c r="D602" s="584"/>
      <c r="E602" s="592"/>
      <c r="F602" s="592"/>
      <c r="G602" s="726"/>
      <c r="H602" s="728" t="s">
        <v>34</v>
      </c>
      <c r="I602" s="269"/>
      <c r="J602" s="214">
        <v>0</v>
      </c>
      <c r="K602" s="163"/>
      <c r="L602" s="163"/>
      <c r="M602" s="163"/>
      <c r="N602" s="163"/>
      <c r="O602" s="163"/>
      <c r="P602" s="163"/>
      <c r="Q602" s="541"/>
      <c r="R602" s="541"/>
      <c r="S602" s="541"/>
      <c r="T602" s="541"/>
      <c r="U602" s="541"/>
      <c r="V602" s="541"/>
      <c r="W602" s="541"/>
      <c r="X602" s="541"/>
      <c r="Y602" s="541"/>
      <c r="Z602" s="541"/>
    </row>
    <row r="603" spans="1:26" ht="18.75">
      <c r="A603" s="572"/>
      <c r="B603" s="584"/>
      <c r="C603" s="669" t="s">
        <v>257</v>
      </c>
      <c r="D603" s="584"/>
      <c r="E603" s="584"/>
      <c r="F603" s="592"/>
      <c r="G603" s="726"/>
      <c r="H603" s="728" t="s">
        <v>46</v>
      </c>
      <c r="I603" s="269"/>
      <c r="J603" s="269">
        <f t="shared" ref="J603:J604" si="256">J605+J607</f>
        <v>0</v>
      </c>
      <c r="K603" s="163"/>
      <c r="L603" s="163"/>
      <c r="M603" s="163"/>
      <c r="N603" s="163"/>
      <c r="O603" s="163"/>
      <c r="P603" s="163"/>
      <c r="Q603" s="541"/>
      <c r="R603" s="541"/>
      <c r="S603" s="541"/>
      <c r="T603" s="541"/>
      <c r="U603" s="541"/>
      <c r="V603" s="541"/>
      <c r="W603" s="541"/>
      <c r="X603" s="541"/>
      <c r="Y603" s="541"/>
      <c r="Z603" s="541"/>
    </row>
    <row r="604" spans="1:26" ht="18.75">
      <c r="A604" s="572"/>
      <c r="B604" s="584"/>
      <c r="C604" s="584"/>
      <c r="D604" s="584"/>
      <c r="E604" s="592"/>
      <c r="F604" s="592"/>
      <c r="G604" s="726"/>
      <c r="H604" s="728" t="s">
        <v>34</v>
      </c>
      <c r="I604" s="269"/>
      <c r="J604" s="269">
        <f t="shared" si="256"/>
        <v>0</v>
      </c>
      <c r="K604" s="163"/>
      <c r="L604" s="163"/>
      <c r="M604" s="163"/>
      <c r="N604" s="163"/>
      <c r="O604" s="163"/>
      <c r="P604" s="163"/>
      <c r="Q604" s="541"/>
      <c r="R604" s="541"/>
      <c r="S604" s="541"/>
      <c r="T604" s="541"/>
      <c r="U604" s="541"/>
      <c r="V604" s="541"/>
      <c r="W604" s="541"/>
      <c r="X604" s="541"/>
      <c r="Y604" s="541"/>
      <c r="Z604" s="541"/>
    </row>
    <row r="605" spans="1:26" ht="18.75">
      <c r="A605" s="572"/>
      <c r="B605" s="584"/>
      <c r="C605" s="584"/>
      <c r="D605" s="669" t="s">
        <v>258</v>
      </c>
      <c r="E605" s="592"/>
      <c r="F605" s="592"/>
      <c r="G605" s="726"/>
      <c r="H605" s="728" t="s">
        <v>46</v>
      </c>
      <c r="I605" s="269"/>
      <c r="J605" s="214">
        <v>0</v>
      </c>
      <c r="K605" s="163"/>
      <c r="L605" s="163"/>
      <c r="M605" s="163"/>
      <c r="N605" s="163"/>
      <c r="O605" s="163"/>
      <c r="P605" s="163"/>
      <c r="Q605" s="541"/>
      <c r="R605" s="541"/>
      <c r="S605" s="541"/>
      <c r="T605" s="541"/>
      <c r="U605" s="541"/>
      <c r="V605" s="541"/>
      <c r="W605" s="541"/>
      <c r="X605" s="541"/>
      <c r="Y605" s="541"/>
      <c r="Z605" s="541"/>
    </row>
    <row r="606" spans="1:26" ht="18.75">
      <c r="A606" s="572"/>
      <c r="B606" s="584"/>
      <c r="C606" s="584"/>
      <c r="D606" s="584"/>
      <c r="E606" s="584"/>
      <c r="F606" s="592"/>
      <c r="G606" s="726"/>
      <c r="H606" s="728" t="s">
        <v>34</v>
      </c>
      <c r="I606" s="269"/>
      <c r="J606" s="214">
        <v>0</v>
      </c>
      <c r="K606" s="163"/>
      <c r="L606" s="163"/>
      <c r="M606" s="163"/>
      <c r="N606" s="163"/>
      <c r="O606" s="163"/>
      <c r="P606" s="163"/>
      <c r="Q606" s="541"/>
      <c r="R606" s="541"/>
      <c r="S606" s="541"/>
      <c r="T606" s="541"/>
      <c r="U606" s="541"/>
      <c r="V606" s="541"/>
      <c r="W606" s="541"/>
      <c r="X606" s="541"/>
      <c r="Y606" s="541"/>
      <c r="Z606" s="541"/>
    </row>
    <row r="607" spans="1:26" ht="18.75">
      <c r="A607" s="572"/>
      <c r="B607" s="584"/>
      <c r="C607" s="584"/>
      <c r="D607" s="669" t="s">
        <v>259</v>
      </c>
      <c r="E607" s="584"/>
      <c r="F607" s="592"/>
      <c r="G607" s="726"/>
      <c r="H607" s="728" t="s">
        <v>46</v>
      </c>
      <c r="I607" s="269"/>
      <c r="J607" s="214">
        <v>0</v>
      </c>
      <c r="K607" s="163"/>
      <c r="L607" s="163"/>
      <c r="M607" s="163"/>
      <c r="N607" s="163"/>
      <c r="O607" s="163"/>
      <c r="P607" s="163"/>
      <c r="Q607" s="541"/>
      <c r="R607" s="541"/>
      <c r="S607" s="541"/>
      <c r="T607" s="541"/>
      <c r="U607" s="541"/>
      <c r="V607" s="541"/>
      <c r="W607" s="541"/>
      <c r="X607" s="541"/>
      <c r="Y607" s="541"/>
      <c r="Z607" s="541"/>
    </row>
    <row r="608" spans="1:26" ht="18.75">
      <c r="A608" s="572"/>
      <c r="B608" s="584"/>
      <c r="C608" s="584"/>
      <c r="D608" s="584"/>
      <c r="E608" s="592"/>
      <c r="F608" s="592"/>
      <c r="G608" s="726"/>
      <c r="H608" s="728" t="s">
        <v>34</v>
      </c>
      <c r="I608" s="269"/>
      <c r="J608" s="214">
        <v>0</v>
      </c>
      <c r="K608" s="163"/>
      <c r="L608" s="163"/>
      <c r="M608" s="163"/>
      <c r="N608" s="163"/>
      <c r="O608" s="163"/>
      <c r="P608" s="163"/>
      <c r="Q608" s="541"/>
      <c r="R608" s="541"/>
      <c r="S608" s="541"/>
      <c r="T608" s="541"/>
      <c r="U608" s="541"/>
      <c r="V608" s="541"/>
      <c r="W608" s="541"/>
      <c r="X608" s="541"/>
      <c r="Y608" s="541"/>
      <c r="Z608" s="541"/>
    </row>
    <row r="609" spans="1:26" ht="18.75">
      <c r="A609" s="572"/>
      <c r="B609" s="584"/>
      <c r="C609" s="584" t="s">
        <v>260</v>
      </c>
      <c r="D609" s="584"/>
      <c r="E609" s="584"/>
      <c r="F609" s="592"/>
      <c r="G609" s="726"/>
      <c r="H609" s="728" t="s">
        <v>46</v>
      </c>
      <c r="I609" s="269"/>
      <c r="J609" s="214">
        <v>0</v>
      </c>
      <c r="K609" s="163"/>
      <c r="L609" s="163"/>
      <c r="M609" s="163"/>
      <c r="N609" s="163"/>
      <c r="O609" s="163"/>
      <c r="P609" s="163"/>
      <c r="Q609" s="541"/>
      <c r="R609" s="541"/>
      <c r="S609" s="541"/>
      <c r="T609" s="541"/>
      <c r="U609" s="541"/>
      <c r="V609" s="541"/>
      <c r="W609" s="541"/>
      <c r="X609" s="541"/>
      <c r="Y609" s="541"/>
      <c r="Z609" s="541"/>
    </row>
    <row r="610" spans="1:26" ht="18.75">
      <c r="A610" s="572"/>
      <c r="B610" s="584"/>
      <c r="C610" s="584"/>
      <c r="D610" s="584"/>
      <c r="E610" s="592"/>
      <c r="F610" s="592"/>
      <c r="G610" s="726"/>
      <c r="H610" s="728" t="s">
        <v>34</v>
      </c>
      <c r="I610" s="269"/>
      <c r="J610" s="214">
        <v>0</v>
      </c>
      <c r="K610" s="163"/>
      <c r="L610" s="163"/>
      <c r="M610" s="163"/>
      <c r="N610" s="163"/>
      <c r="O610" s="163"/>
      <c r="P610" s="163"/>
      <c r="Q610" s="541"/>
      <c r="R610" s="541"/>
      <c r="S610" s="541"/>
      <c r="T610" s="541"/>
      <c r="U610" s="541"/>
      <c r="V610" s="541"/>
      <c r="W610" s="541"/>
      <c r="X610" s="541"/>
      <c r="Y610" s="541"/>
      <c r="Z610" s="541"/>
    </row>
    <row r="611" spans="1:26" ht="19.5">
      <c r="A611" s="658"/>
      <c r="B611" s="670" t="s">
        <v>261</v>
      </c>
      <c r="C611" s="660"/>
      <c r="D611" s="660"/>
      <c r="E611" s="639"/>
      <c r="F611" s="639"/>
      <c r="G611" s="640"/>
      <c r="H611" s="671" t="s">
        <v>46</v>
      </c>
      <c r="I611" s="672">
        <v>0</v>
      </c>
      <c r="J611" s="672">
        <f>J614+J616</f>
        <v>0</v>
      </c>
      <c r="K611" s="643">
        <f t="shared" ref="K611:K613" si="257">IF(I611&gt;0,J611*100/I611,0)</f>
        <v>0</v>
      </c>
      <c r="L611" s="644"/>
      <c r="M611" s="644"/>
      <c r="N611" s="644"/>
      <c r="O611" s="644"/>
      <c r="P611" s="644"/>
      <c r="Q611" s="541"/>
      <c r="R611" s="541"/>
      <c r="S611" s="541"/>
      <c r="T611" s="541"/>
      <c r="U611" s="541"/>
      <c r="V611" s="541"/>
      <c r="W611" s="541"/>
      <c r="X611" s="541"/>
      <c r="Y611" s="541"/>
      <c r="Z611" s="541"/>
    </row>
    <row r="612" spans="1:26" ht="19.5" hidden="1">
      <c r="A612" s="673"/>
      <c r="B612" s="683"/>
      <c r="C612" s="675" t="s">
        <v>262</v>
      </c>
      <c r="D612" s="683"/>
      <c r="E612" s="683"/>
      <c r="F612" s="676"/>
      <c r="G612" s="677"/>
      <c r="H612" s="678" t="s">
        <v>46</v>
      </c>
      <c r="I612" s="680">
        <v>0</v>
      </c>
      <c r="J612" s="680">
        <f t="shared" ref="J612:J613" si="258">J614+J616</f>
        <v>0</v>
      </c>
      <c r="K612" s="681">
        <f t="shared" si="257"/>
        <v>0</v>
      </c>
      <c r="L612" s="682"/>
      <c r="M612" s="682"/>
      <c r="N612" s="682"/>
      <c r="O612" s="682"/>
      <c r="P612" s="682"/>
      <c r="Q612" s="568"/>
      <c r="R612" s="568"/>
      <c r="S612" s="568"/>
      <c r="T612" s="568"/>
      <c r="U612" s="568"/>
      <c r="V612" s="568"/>
      <c r="W612" s="568"/>
      <c r="X612" s="568"/>
      <c r="Y612" s="568"/>
      <c r="Z612" s="568"/>
    </row>
    <row r="613" spans="1:26" ht="19.5" hidden="1">
      <c r="A613" s="673"/>
      <c r="B613" s="683"/>
      <c r="C613" s="683" t="s">
        <v>263</v>
      </c>
      <c r="D613" s="683"/>
      <c r="E613" s="683"/>
      <c r="F613" s="676"/>
      <c r="G613" s="677"/>
      <c r="H613" s="678" t="s">
        <v>34</v>
      </c>
      <c r="I613" s="680">
        <v>0</v>
      </c>
      <c r="J613" s="680">
        <f t="shared" si="258"/>
        <v>0</v>
      </c>
      <c r="K613" s="681">
        <f t="shared" si="257"/>
        <v>0</v>
      </c>
      <c r="L613" s="682"/>
      <c r="M613" s="682"/>
      <c r="N613" s="682"/>
      <c r="O613" s="682"/>
      <c r="P613" s="682"/>
      <c r="Q613" s="568"/>
      <c r="R613" s="568"/>
      <c r="S613" s="568"/>
      <c r="T613" s="568"/>
      <c r="U613" s="568"/>
      <c r="V613" s="568"/>
      <c r="W613" s="568"/>
      <c r="X613" s="568"/>
      <c r="Y613" s="568"/>
      <c r="Z613" s="568"/>
    </row>
    <row r="614" spans="1:26" ht="18.75" hidden="1">
      <c r="A614" s="578"/>
      <c r="B614" s="580"/>
      <c r="C614" s="580"/>
      <c r="D614" s="684" t="s">
        <v>264</v>
      </c>
      <c r="E614" s="580"/>
      <c r="F614" s="684"/>
      <c r="G614" s="581"/>
      <c r="H614" s="582" t="s">
        <v>46</v>
      </c>
      <c r="I614" s="583"/>
      <c r="J614" s="583">
        <v>0</v>
      </c>
      <c r="K614" s="167"/>
      <c r="L614" s="167"/>
      <c r="M614" s="167"/>
      <c r="N614" s="167"/>
      <c r="O614" s="167"/>
      <c r="P614" s="167"/>
      <c r="Q614" s="568"/>
      <c r="R614" s="568"/>
      <c r="S614" s="568"/>
      <c r="T614" s="568"/>
      <c r="U614" s="568"/>
      <c r="V614" s="568"/>
      <c r="W614" s="568"/>
      <c r="X614" s="568"/>
      <c r="Y614" s="568"/>
      <c r="Z614" s="568"/>
    </row>
    <row r="615" spans="1:26" ht="18.75" hidden="1">
      <c r="A615" s="578"/>
      <c r="B615" s="580"/>
      <c r="C615" s="580"/>
      <c r="D615" s="580"/>
      <c r="E615" s="580"/>
      <c r="F615" s="684"/>
      <c r="G615" s="581"/>
      <c r="H615" s="582" t="s">
        <v>34</v>
      </c>
      <c r="I615" s="583"/>
      <c r="J615" s="583">
        <v>0</v>
      </c>
      <c r="K615" s="167"/>
      <c r="L615" s="167"/>
      <c r="M615" s="167"/>
      <c r="N615" s="167"/>
      <c r="O615" s="167"/>
      <c r="P615" s="167"/>
      <c r="Q615" s="568"/>
      <c r="R615" s="568"/>
      <c r="S615" s="568"/>
      <c r="T615" s="568"/>
      <c r="U615" s="568"/>
      <c r="V615" s="568"/>
      <c r="W615" s="568"/>
      <c r="X615" s="568"/>
      <c r="Y615" s="568"/>
      <c r="Z615" s="568"/>
    </row>
    <row r="616" spans="1:26" ht="18.75" hidden="1">
      <c r="A616" s="578"/>
      <c r="B616" s="580"/>
      <c r="C616" s="580"/>
      <c r="D616" s="685" t="s">
        <v>264</v>
      </c>
      <c r="E616" s="684"/>
      <c r="F616" s="684"/>
      <c r="G616" s="581"/>
      <c r="H616" s="582" t="s">
        <v>46</v>
      </c>
      <c r="I616" s="583"/>
      <c r="J616" s="583">
        <v>0</v>
      </c>
      <c r="K616" s="167"/>
      <c r="L616" s="167"/>
      <c r="M616" s="167"/>
      <c r="N616" s="167"/>
      <c r="O616" s="167"/>
      <c r="P616" s="167"/>
      <c r="Q616" s="568"/>
      <c r="R616" s="568"/>
      <c r="S616" s="568"/>
      <c r="T616" s="568"/>
      <c r="U616" s="568"/>
      <c r="V616" s="568"/>
      <c r="W616" s="568"/>
      <c r="X616" s="568"/>
      <c r="Y616" s="568"/>
      <c r="Z616" s="568"/>
    </row>
    <row r="617" spans="1:26" ht="18.75" hidden="1">
      <c r="A617" s="578"/>
      <c r="B617" s="580"/>
      <c r="C617" s="580"/>
      <c r="D617" s="580"/>
      <c r="E617" s="684"/>
      <c r="F617" s="684"/>
      <c r="G617" s="581"/>
      <c r="H617" s="582" t="s">
        <v>34</v>
      </c>
      <c r="I617" s="583"/>
      <c r="J617" s="583">
        <v>0</v>
      </c>
      <c r="K617" s="167"/>
      <c r="L617" s="167"/>
      <c r="M617" s="167"/>
      <c r="N617" s="167"/>
      <c r="O617" s="167"/>
      <c r="P617" s="167"/>
      <c r="Q617" s="568"/>
      <c r="R617" s="568"/>
      <c r="S617" s="568"/>
      <c r="T617" s="568"/>
      <c r="U617" s="568"/>
      <c r="V617" s="568"/>
      <c r="W617" s="568"/>
      <c r="X617" s="568"/>
      <c r="Y617" s="568"/>
      <c r="Z617" s="568"/>
    </row>
    <row r="618" spans="1:26" ht="18.75" hidden="1">
      <c r="A618" s="578"/>
      <c r="B618" s="580"/>
      <c r="C618" s="580"/>
      <c r="D618" s="685" t="s">
        <v>265</v>
      </c>
      <c r="E618" s="684"/>
      <c r="F618" s="684"/>
      <c r="G618" s="581"/>
      <c r="H618" s="582" t="s">
        <v>46</v>
      </c>
      <c r="I618" s="583"/>
      <c r="J618" s="583">
        <v>0</v>
      </c>
      <c r="K618" s="167"/>
      <c r="L618" s="167"/>
      <c r="M618" s="167"/>
      <c r="N618" s="167"/>
      <c r="O618" s="167"/>
      <c r="P618" s="167"/>
      <c r="Q618" s="568"/>
      <c r="R618" s="568"/>
      <c r="S618" s="568"/>
      <c r="T618" s="568"/>
      <c r="U618" s="568"/>
      <c r="V618" s="568"/>
      <c r="W618" s="568"/>
      <c r="X618" s="568"/>
      <c r="Y618" s="568"/>
      <c r="Z618" s="568"/>
    </row>
    <row r="619" spans="1:26" ht="18.75" hidden="1">
      <c r="A619" s="578"/>
      <c r="B619" s="580"/>
      <c r="C619" s="580"/>
      <c r="D619" s="580"/>
      <c r="E619" s="684"/>
      <c r="F619" s="684"/>
      <c r="G619" s="581"/>
      <c r="H619" s="582" t="s">
        <v>34</v>
      </c>
      <c r="I619" s="583"/>
      <c r="J619" s="583">
        <v>0</v>
      </c>
      <c r="K619" s="167"/>
      <c r="L619" s="167"/>
      <c r="M619" s="167"/>
      <c r="N619" s="167"/>
      <c r="O619" s="167"/>
      <c r="P619" s="167"/>
      <c r="Q619" s="568"/>
      <c r="R619" s="568"/>
      <c r="S619" s="568"/>
      <c r="T619" s="568"/>
      <c r="U619" s="568"/>
      <c r="V619" s="568"/>
      <c r="W619" s="568"/>
      <c r="X619" s="568"/>
      <c r="Y619" s="568"/>
      <c r="Z619" s="568"/>
    </row>
    <row r="620" spans="1:26" ht="19.5">
      <c r="A620" s="686"/>
      <c r="B620" s="695"/>
      <c r="C620" s="688" t="s">
        <v>266</v>
      </c>
      <c r="D620" s="695"/>
      <c r="E620" s="695"/>
      <c r="F620" s="689"/>
      <c r="G620" s="690"/>
      <c r="H620" s="691" t="s">
        <v>46</v>
      </c>
      <c r="I620" s="692">
        <f ca="1">IFERROR(__xludf.DUMMYFUNCTION("IMPORTRANGE(""https://docs.google.com/spreadsheets/d/1QqKyyYR6Q21VydFLVH3TRQUabQu_ym0Zz7PgGX0-kHA/edit?usp=sharing"",""แผน!HL19"")"),0)</f>
        <v>0</v>
      </c>
      <c r="J620" s="692">
        <f t="shared" ref="J620:J621" si="259">J622+J624+J626</f>
        <v>0</v>
      </c>
      <c r="K620" s="693">
        <f t="shared" ref="K620:K621" ca="1" si="260">IF(I620&gt;0,J620*100/I620,0)</f>
        <v>0</v>
      </c>
      <c r="L620" s="694"/>
      <c r="M620" s="694"/>
      <c r="N620" s="694"/>
      <c r="O620" s="694"/>
      <c r="P620" s="694"/>
      <c r="Q620" s="541"/>
      <c r="R620" s="541"/>
      <c r="S620" s="541"/>
      <c r="T620" s="541"/>
      <c r="U620" s="541"/>
      <c r="V620" s="541"/>
      <c r="W620" s="541"/>
      <c r="X620" s="541"/>
      <c r="Y620" s="541"/>
      <c r="Z620" s="541"/>
    </row>
    <row r="621" spans="1:26" ht="19.5">
      <c r="A621" s="686"/>
      <c r="B621" s="695"/>
      <c r="C621" s="695" t="s">
        <v>267</v>
      </c>
      <c r="D621" s="695"/>
      <c r="E621" s="695"/>
      <c r="F621" s="689"/>
      <c r="G621" s="690"/>
      <c r="H621" s="691" t="s">
        <v>34</v>
      </c>
      <c r="I621" s="692">
        <f ca="1">IFERROR(__xludf.DUMMYFUNCTION("IMPORTRANGE(""https://docs.google.com/spreadsheets/d/1QqKyyYR6Q21VydFLVH3TRQUabQu_ym0Zz7PgGX0-kHA/edit?usp=sharing"",""แผน!HK19"")"),0)</f>
        <v>0</v>
      </c>
      <c r="J621" s="692">
        <f t="shared" si="259"/>
        <v>0</v>
      </c>
      <c r="K621" s="693">
        <f t="shared" ca="1" si="260"/>
        <v>0</v>
      </c>
      <c r="L621" s="694"/>
      <c r="M621" s="694"/>
      <c r="N621" s="694"/>
      <c r="O621" s="694"/>
      <c r="P621" s="694"/>
      <c r="Q621" s="541"/>
      <c r="R621" s="541"/>
      <c r="S621" s="541"/>
      <c r="T621" s="541"/>
      <c r="U621" s="541"/>
      <c r="V621" s="541"/>
      <c r="W621" s="541"/>
      <c r="X621" s="541"/>
      <c r="Y621" s="541"/>
      <c r="Z621" s="541"/>
    </row>
    <row r="622" spans="1:26" ht="18.75">
      <c r="A622" s="572"/>
      <c r="B622" s="584"/>
      <c r="C622" s="584"/>
      <c r="D622" s="710" t="s">
        <v>268</v>
      </c>
      <c r="E622" s="592"/>
      <c r="F622" s="592"/>
      <c r="G622" s="726"/>
      <c r="H622" s="728" t="s">
        <v>46</v>
      </c>
      <c r="I622" s="269"/>
      <c r="J622" s="214">
        <v>0</v>
      </c>
      <c r="K622" s="163"/>
      <c r="L622" s="163"/>
      <c r="M622" s="163"/>
      <c r="N622" s="163"/>
      <c r="O622" s="163"/>
      <c r="P622" s="163"/>
      <c r="Q622" s="541"/>
      <c r="R622" s="541"/>
      <c r="S622" s="541"/>
      <c r="T622" s="541"/>
      <c r="U622" s="541"/>
      <c r="V622" s="541"/>
      <c r="W622" s="541"/>
      <c r="X622" s="541"/>
      <c r="Y622" s="541"/>
      <c r="Z622" s="541"/>
    </row>
    <row r="623" spans="1:26" ht="18.75">
      <c r="A623" s="572"/>
      <c r="B623" s="584"/>
      <c r="C623" s="584"/>
      <c r="D623" s="584"/>
      <c r="E623" s="592"/>
      <c r="F623" s="592"/>
      <c r="G623" s="726"/>
      <c r="H623" s="728" t="s">
        <v>34</v>
      </c>
      <c r="I623" s="269"/>
      <c r="J623" s="214">
        <v>0</v>
      </c>
      <c r="K623" s="163"/>
      <c r="L623" s="163"/>
      <c r="M623" s="163"/>
      <c r="N623" s="163"/>
      <c r="O623" s="163"/>
      <c r="P623" s="163"/>
      <c r="Q623" s="541"/>
      <c r="R623" s="541"/>
      <c r="S623" s="541"/>
      <c r="T623" s="541"/>
      <c r="U623" s="541"/>
      <c r="V623" s="541"/>
      <c r="W623" s="541"/>
      <c r="X623" s="541"/>
      <c r="Y623" s="541"/>
      <c r="Z623" s="541"/>
    </row>
    <row r="624" spans="1:26" ht="18.75">
      <c r="A624" s="572"/>
      <c r="B624" s="584"/>
      <c r="C624" s="584"/>
      <c r="D624" s="710" t="s">
        <v>264</v>
      </c>
      <c r="E624" s="592"/>
      <c r="F624" s="592"/>
      <c r="G624" s="726"/>
      <c r="H624" s="728" t="s">
        <v>46</v>
      </c>
      <c r="I624" s="269"/>
      <c r="J624" s="214">
        <v>0</v>
      </c>
      <c r="K624" s="163"/>
      <c r="L624" s="163"/>
      <c r="M624" s="163"/>
      <c r="N624" s="163"/>
      <c r="O624" s="163"/>
      <c r="P624" s="163"/>
      <c r="Q624" s="541"/>
      <c r="R624" s="541"/>
      <c r="S624" s="541"/>
      <c r="T624" s="541"/>
      <c r="U624" s="541"/>
      <c r="V624" s="541"/>
      <c r="W624" s="541"/>
      <c r="X624" s="541"/>
      <c r="Y624" s="541"/>
      <c r="Z624" s="541"/>
    </row>
    <row r="625" spans="1:26" ht="18.75">
      <c r="A625" s="572"/>
      <c r="B625" s="584"/>
      <c r="C625" s="584"/>
      <c r="D625" s="584"/>
      <c r="E625" s="592"/>
      <c r="F625" s="592"/>
      <c r="G625" s="726"/>
      <c r="H625" s="728" t="s">
        <v>34</v>
      </c>
      <c r="I625" s="269"/>
      <c r="J625" s="214">
        <v>0</v>
      </c>
      <c r="K625" s="163"/>
      <c r="L625" s="163"/>
      <c r="M625" s="163"/>
      <c r="N625" s="163"/>
      <c r="O625" s="163"/>
      <c r="P625" s="163"/>
      <c r="Q625" s="541"/>
      <c r="R625" s="541"/>
      <c r="S625" s="541"/>
      <c r="T625" s="541"/>
      <c r="U625" s="541"/>
      <c r="V625" s="541"/>
      <c r="W625" s="541"/>
      <c r="X625" s="541"/>
      <c r="Y625" s="541"/>
      <c r="Z625" s="541"/>
    </row>
    <row r="626" spans="1:26" ht="18.75">
      <c r="A626" s="572"/>
      <c r="B626" s="584"/>
      <c r="C626" s="584"/>
      <c r="D626" s="710" t="s">
        <v>269</v>
      </c>
      <c r="E626" s="592"/>
      <c r="F626" s="592"/>
      <c r="G626" s="726"/>
      <c r="H626" s="728" t="s">
        <v>46</v>
      </c>
      <c r="I626" s="269"/>
      <c r="J626" s="214">
        <v>0</v>
      </c>
      <c r="K626" s="163"/>
      <c r="L626" s="163"/>
      <c r="M626" s="163"/>
      <c r="N626" s="163"/>
      <c r="O626" s="163"/>
      <c r="P626" s="163"/>
      <c r="Q626" s="541"/>
      <c r="R626" s="541"/>
      <c r="S626" s="541"/>
      <c r="T626" s="541"/>
      <c r="U626" s="541"/>
      <c r="V626" s="541"/>
      <c r="W626" s="541"/>
      <c r="X626" s="541"/>
      <c r="Y626" s="541"/>
      <c r="Z626" s="541"/>
    </row>
    <row r="627" spans="1:26" ht="18.75">
      <c r="A627" s="696"/>
      <c r="B627" s="697"/>
      <c r="C627" s="697"/>
      <c r="D627" s="697"/>
      <c r="E627" s="698"/>
      <c r="F627" s="698"/>
      <c r="G627" s="699"/>
      <c r="H627" s="390" t="s">
        <v>34</v>
      </c>
      <c r="I627" s="468"/>
      <c r="J627" s="392">
        <v>0</v>
      </c>
      <c r="K627" s="353"/>
      <c r="L627" s="353"/>
      <c r="M627" s="353"/>
      <c r="N627" s="353"/>
      <c r="O627" s="353"/>
      <c r="P627" s="353"/>
      <c r="Q627" s="541"/>
      <c r="R627" s="541"/>
      <c r="S627" s="541"/>
      <c r="T627" s="541"/>
      <c r="U627" s="541"/>
      <c r="V627" s="541"/>
      <c r="W627" s="541"/>
      <c r="X627" s="541"/>
      <c r="Y627" s="541"/>
      <c r="Z627" s="541"/>
    </row>
    <row r="628" spans="1:26" ht="19.5">
      <c r="A628" s="700">
        <v>7</v>
      </c>
      <c r="B628" s="701" t="s">
        <v>270</v>
      </c>
      <c r="C628" s="702"/>
      <c r="D628" s="702"/>
      <c r="E628" s="702"/>
      <c r="F628" s="702"/>
      <c r="G628" s="703"/>
      <c r="H628" s="704" t="s">
        <v>35</v>
      </c>
      <c r="I628" s="705">
        <f t="shared" ref="I628:J628" ca="1" si="261">I651</f>
        <v>70</v>
      </c>
      <c r="J628" s="705">
        <f t="shared" ca="1" si="261"/>
        <v>0</v>
      </c>
      <c r="K628" s="706">
        <f ca="1">IF(I628&gt;0,J628*100/I628,0)</f>
        <v>0</v>
      </c>
      <c r="L628" s="707"/>
      <c r="M628" s="707"/>
      <c r="N628" s="707"/>
      <c r="O628" s="707"/>
      <c r="P628" s="707"/>
      <c r="Q628" s="541"/>
      <c r="R628" s="541"/>
      <c r="S628" s="541"/>
      <c r="T628" s="541"/>
      <c r="U628" s="541"/>
      <c r="V628" s="541"/>
      <c r="W628" s="541"/>
      <c r="X628" s="541"/>
      <c r="Y628" s="541"/>
      <c r="Z628" s="541"/>
    </row>
    <row r="629" spans="1:26" ht="19.5">
      <c r="A629" s="561"/>
      <c r="B629" s="727"/>
      <c r="C629" s="727" t="s">
        <v>16</v>
      </c>
      <c r="D629" s="811" t="s">
        <v>17</v>
      </c>
      <c r="E629" s="805"/>
      <c r="F629" s="805"/>
      <c r="G629" s="189"/>
      <c r="H629" s="562" t="s">
        <v>12</v>
      </c>
      <c r="I629" s="269"/>
      <c r="J629" s="269"/>
      <c r="K629" s="465"/>
      <c r="L629" s="195">
        <f t="shared" ref="L629:N629" ca="1" si="262">L630+L631</f>
        <v>374345</v>
      </c>
      <c r="M629" s="195">
        <f t="shared" si="262"/>
        <v>0</v>
      </c>
      <c r="N629" s="195">
        <f t="shared" si="262"/>
        <v>16000</v>
      </c>
      <c r="O629" s="195">
        <f t="shared" ref="O629:O634" ca="1" si="263">IF(L629&gt;0,N629*100/L629,0)</f>
        <v>4.274132150823438</v>
      </c>
      <c r="P629" s="195">
        <f t="shared" ref="P629:P634" si="264">IF(M629&gt;0,N629*100/M629,0)</f>
        <v>0</v>
      </c>
      <c r="Q629" s="541"/>
      <c r="R629" s="541"/>
      <c r="S629" s="541"/>
      <c r="T629" s="541"/>
      <c r="U629" s="541"/>
      <c r="V629" s="541"/>
      <c r="W629" s="541"/>
      <c r="X629" s="541"/>
      <c r="Y629" s="541"/>
      <c r="Z629" s="541"/>
    </row>
    <row r="630" spans="1:26" ht="18.75" hidden="1">
      <c r="A630" s="563"/>
      <c r="B630" s="723"/>
      <c r="C630" s="723"/>
      <c r="D630" s="684"/>
      <c r="E630" s="723" t="s">
        <v>184</v>
      </c>
      <c r="F630" s="723"/>
      <c r="G630" s="567"/>
      <c r="H630" s="165" t="s">
        <v>12</v>
      </c>
      <c r="I630" s="583"/>
      <c r="J630" s="583"/>
      <c r="K630" s="93"/>
      <c r="L630" s="93">
        <f t="shared" ref="L630:N631" si="265">L633+L640</f>
        <v>0</v>
      </c>
      <c r="M630" s="93">
        <f t="shared" si="265"/>
        <v>0</v>
      </c>
      <c r="N630" s="93">
        <f t="shared" si="265"/>
        <v>0</v>
      </c>
      <c r="O630" s="93">
        <f t="shared" si="263"/>
        <v>0</v>
      </c>
      <c r="P630" s="93">
        <f t="shared" si="264"/>
        <v>0</v>
      </c>
      <c r="Q630" s="568"/>
      <c r="R630" s="568"/>
      <c r="S630" s="568"/>
      <c r="T630" s="568"/>
      <c r="U630" s="568"/>
      <c r="V630" s="568"/>
      <c r="W630" s="568"/>
      <c r="X630" s="568"/>
      <c r="Y630" s="568"/>
      <c r="Z630" s="568"/>
    </row>
    <row r="631" spans="1:26" ht="18.75" hidden="1">
      <c r="A631" s="563"/>
      <c r="B631" s="571"/>
      <c r="C631" s="723"/>
      <c r="D631" s="684"/>
      <c r="E631" s="723" t="s">
        <v>185</v>
      </c>
      <c r="F631" s="723"/>
      <c r="G631" s="567"/>
      <c r="H631" s="165" t="s">
        <v>12</v>
      </c>
      <c r="I631" s="583"/>
      <c r="J631" s="583"/>
      <c r="K631" s="93"/>
      <c r="L631" s="93">
        <f t="shared" ca="1" si="265"/>
        <v>374345</v>
      </c>
      <c r="M631" s="93">
        <f t="shared" si="265"/>
        <v>0</v>
      </c>
      <c r="N631" s="93">
        <f t="shared" si="265"/>
        <v>16000</v>
      </c>
      <c r="O631" s="93">
        <f t="shared" ca="1" si="263"/>
        <v>4.274132150823438</v>
      </c>
      <c r="P631" s="93">
        <f t="shared" si="264"/>
        <v>0</v>
      </c>
      <c r="Q631" s="568"/>
      <c r="R631" s="568"/>
      <c r="S631" s="568"/>
      <c r="T631" s="568"/>
      <c r="U631" s="568"/>
      <c r="V631" s="568"/>
      <c r="W631" s="568"/>
      <c r="X631" s="568"/>
      <c r="Y631" s="568"/>
      <c r="Z631" s="568"/>
    </row>
    <row r="632" spans="1:26" ht="18.75">
      <c r="A632" s="561"/>
      <c r="B632" s="538"/>
      <c r="C632" s="727"/>
      <c r="D632" s="570" t="s">
        <v>20</v>
      </c>
      <c r="E632" s="727"/>
      <c r="F632" s="727"/>
      <c r="G632" s="189"/>
      <c r="H632" s="161" t="s">
        <v>12</v>
      </c>
      <c r="I632" s="184"/>
      <c r="J632" s="184"/>
      <c r="K632" s="163"/>
      <c r="L632" s="465">
        <f t="shared" ref="L632:N632" ca="1" si="266">L633+L634</f>
        <v>374345</v>
      </c>
      <c r="M632" s="465">
        <f t="shared" si="266"/>
        <v>0</v>
      </c>
      <c r="N632" s="465">
        <f t="shared" si="266"/>
        <v>16000</v>
      </c>
      <c r="O632" s="465">
        <f t="shared" ca="1" si="263"/>
        <v>4.274132150823438</v>
      </c>
      <c r="P632" s="465">
        <f t="shared" si="264"/>
        <v>0</v>
      </c>
      <c r="Q632" s="541"/>
      <c r="R632" s="541"/>
      <c r="S632" s="541"/>
      <c r="T632" s="541"/>
      <c r="U632" s="541"/>
      <c r="V632" s="541"/>
      <c r="W632" s="541"/>
      <c r="X632" s="541"/>
      <c r="Y632" s="541"/>
      <c r="Z632" s="541"/>
    </row>
    <row r="633" spans="1:26" ht="18.75" hidden="1">
      <c r="A633" s="563"/>
      <c r="B633" s="571"/>
      <c r="C633" s="723"/>
      <c r="D633" s="684"/>
      <c r="E633" s="723" t="s">
        <v>184</v>
      </c>
      <c r="F633" s="723"/>
      <c r="G633" s="567"/>
      <c r="H633" s="165" t="s">
        <v>12</v>
      </c>
      <c r="I633" s="583"/>
      <c r="J633" s="583"/>
      <c r="K633" s="93"/>
      <c r="L633" s="93">
        <v>0</v>
      </c>
      <c r="M633" s="93">
        <v>0</v>
      </c>
      <c r="N633" s="93">
        <v>0</v>
      </c>
      <c r="O633" s="93">
        <f t="shared" si="263"/>
        <v>0</v>
      </c>
      <c r="P633" s="93">
        <f t="shared" si="264"/>
        <v>0</v>
      </c>
      <c r="Q633" s="568"/>
      <c r="R633" s="568"/>
      <c r="S633" s="568"/>
      <c r="T633" s="568"/>
      <c r="U633" s="568"/>
      <c r="V633" s="568"/>
      <c r="W633" s="568"/>
      <c r="X633" s="568"/>
      <c r="Y633" s="568"/>
      <c r="Z633" s="568"/>
    </row>
    <row r="634" spans="1:26" ht="18.75" hidden="1">
      <c r="A634" s="563"/>
      <c r="B634" s="571"/>
      <c r="C634" s="723"/>
      <c r="D634" s="684"/>
      <c r="E634" s="723" t="s">
        <v>185</v>
      </c>
      <c r="F634" s="723"/>
      <c r="G634" s="567"/>
      <c r="H634" s="165" t="s">
        <v>12</v>
      </c>
      <c r="I634" s="583"/>
      <c r="J634" s="583"/>
      <c r="K634" s="93"/>
      <c r="L634" s="93">
        <f ca="1">IFERROR(__xludf.DUMMYFUNCTION("IMPORTRANGE(""https://docs.google.com/spreadsheets/d/1QqKyyYR6Q21VydFLVH3TRQUabQu_ym0Zz7PgGX0-kHA/edit?usp=sharing"",""แผน!HN19"")"),374345)</f>
        <v>374345</v>
      </c>
      <c r="M634" s="93">
        <v>0</v>
      </c>
      <c r="N634" s="93">
        <f>N635+N636+N637+N638</f>
        <v>16000</v>
      </c>
      <c r="O634" s="93">
        <f t="shared" ca="1" si="263"/>
        <v>4.274132150823438</v>
      </c>
      <c r="P634" s="93">
        <f t="shared" si="264"/>
        <v>0</v>
      </c>
      <c r="Q634" s="568"/>
      <c r="R634" s="568"/>
      <c r="S634" s="568"/>
      <c r="T634" s="568"/>
      <c r="U634" s="568"/>
      <c r="V634" s="568"/>
      <c r="W634" s="568"/>
      <c r="X634" s="568"/>
      <c r="Y634" s="568"/>
      <c r="Z634" s="568"/>
    </row>
    <row r="635" spans="1:26" ht="18.75">
      <c r="A635" s="537"/>
      <c r="B635" s="538"/>
      <c r="C635" s="727"/>
      <c r="D635" s="727"/>
      <c r="E635" s="727"/>
      <c r="F635" s="727" t="s">
        <v>186</v>
      </c>
      <c r="G635" s="189"/>
      <c r="H635" s="161" t="s">
        <v>12</v>
      </c>
      <c r="I635" s="269"/>
      <c r="J635" s="269"/>
      <c r="K635" s="465"/>
      <c r="L635" s="465"/>
      <c r="M635" s="465"/>
      <c r="N635" s="789">
        <v>0</v>
      </c>
      <c r="O635" s="465"/>
      <c r="P635" s="465"/>
      <c r="Q635" s="541"/>
      <c r="R635" s="541"/>
      <c r="S635" s="541"/>
      <c r="T635" s="541"/>
      <c r="U635" s="541"/>
      <c r="V635" s="541"/>
      <c r="W635" s="541"/>
      <c r="X635" s="541"/>
      <c r="Y635" s="541"/>
      <c r="Z635" s="541"/>
    </row>
    <row r="636" spans="1:26" ht="18.75">
      <c r="A636" s="537"/>
      <c r="B636" s="538"/>
      <c r="C636" s="727"/>
      <c r="D636" s="727"/>
      <c r="E636" s="727"/>
      <c r="F636" s="727" t="s">
        <v>187</v>
      </c>
      <c r="G636" s="189"/>
      <c r="H636" s="161" t="s">
        <v>12</v>
      </c>
      <c r="I636" s="269"/>
      <c r="J636" s="269"/>
      <c r="K636" s="465"/>
      <c r="L636" s="465"/>
      <c r="M636" s="465"/>
      <c r="N636" s="789">
        <v>0</v>
      </c>
      <c r="O636" s="465"/>
      <c r="P636" s="465"/>
      <c r="Q636" s="541"/>
      <c r="R636" s="541"/>
      <c r="S636" s="541"/>
      <c r="T636" s="541"/>
      <c r="U636" s="541"/>
      <c r="V636" s="541"/>
      <c r="W636" s="541"/>
      <c r="X636" s="541"/>
      <c r="Y636" s="541"/>
      <c r="Z636" s="541"/>
    </row>
    <row r="637" spans="1:26" ht="18.75">
      <c r="A637" s="537"/>
      <c r="B637" s="538"/>
      <c r="C637" s="727"/>
      <c r="D637" s="727"/>
      <c r="E637" s="727"/>
      <c r="F637" s="727" t="s">
        <v>188</v>
      </c>
      <c r="G637" s="189"/>
      <c r="H637" s="161" t="s">
        <v>12</v>
      </c>
      <c r="I637" s="269"/>
      <c r="J637" s="269"/>
      <c r="K637" s="465"/>
      <c r="L637" s="465"/>
      <c r="M637" s="465"/>
      <c r="N637" s="789">
        <v>13000</v>
      </c>
      <c r="O637" s="465"/>
      <c r="P637" s="465"/>
      <c r="Q637" s="541"/>
      <c r="R637" s="541"/>
      <c r="S637" s="541"/>
      <c r="T637" s="541"/>
      <c r="U637" s="541"/>
      <c r="V637" s="541"/>
      <c r="W637" s="541"/>
      <c r="X637" s="541"/>
      <c r="Y637" s="541"/>
      <c r="Z637" s="541"/>
    </row>
    <row r="638" spans="1:26" ht="18.75">
      <c r="A638" s="537"/>
      <c r="B638" s="538"/>
      <c r="C638" s="727"/>
      <c r="D638" s="727"/>
      <c r="E638" s="727"/>
      <c r="F638" s="727" t="s">
        <v>189</v>
      </c>
      <c r="G638" s="189"/>
      <c r="H638" s="161" t="s">
        <v>12</v>
      </c>
      <c r="I638" s="269"/>
      <c r="J638" s="269"/>
      <c r="K638" s="465"/>
      <c r="L638" s="465"/>
      <c r="M638" s="465"/>
      <c r="N638" s="789">
        <v>3000</v>
      </c>
      <c r="O638" s="465"/>
      <c r="P638" s="465"/>
      <c r="Q638" s="541"/>
      <c r="R638" s="541"/>
      <c r="S638" s="541"/>
      <c r="T638" s="541"/>
      <c r="U638" s="541"/>
      <c r="V638" s="541"/>
      <c r="W638" s="541"/>
      <c r="X638" s="541"/>
      <c r="Y638" s="541"/>
      <c r="Z638" s="541"/>
    </row>
    <row r="639" spans="1:26" ht="18.75">
      <c r="A639" s="561"/>
      <c r="B639" s="538"/>
      <c r="C639" s="727"/>
      <c r="D639" s="570" t="s">
        <v>21</v>
      </c>
      <c r="E639" s="727"/>
      <c r="F639" s="727"/>
      <c r="G639" s="189"/>
      <c r="H639" s="168" t="s">
        <v>12</v>
      </c>
      <c r="I639" s="184"/>
      <c r="J639" s="184"/>
      <c r="K639" s="163"/>
      <c r="L639" s="465">
        <f t="shared" ref="L639:N639" ca="1" si="267">L640+L641</f>
        <v>0</v>
      </c>
      <c r="M639" s="465">
        <f t="shared" si="267"/>
        <v>0</v>
      </c>
      <c r="N639" s="465">
        <f t="shared" si="267"/>
        <v>0</v>
      </c>
      <c r="O639" s="465">
        <f t="shared" ref="O639:O641" ca="1" si="268">IF(L639&gt;0,N639*100/L639,0)</f>
        <v>0</v>
      </c>
      <c r="P639" s="465">
        <f t="shared" ref="P639:P641" si="269">IF(M639&gt;0,N639*100/M639,0)</f>
        <v>0</v>
      </c>
      <c r="Q639" s="541"/>
      <c r="R639" s="541"/>
      <c r="S639" s="541"/>
      <c r="T639" s="541"/>
      <c r="U639" s="541"/>
      <c r="V639" s="541"/>
      <c r="W639" s="541"/>
      <c r="X639" s="541"/>
      <c r="Y639" s="541"/>
      <c r="Z639" s="541"/>
    </row>
    <row r="640" spans="1:26" ht="18.75" hidden="1">
      <c r="A640" s="563"/>
      <c r="B640" s="571"/>
      <c r="C640" s="723"/>
      <c r="D640" s="723"/>
      <c r="E640" s="723" t="s">
        <v>18</v>
      </c>
      <c r="F640" s="723"/>
      <c r="G640" s="567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8"/>
        <v>0</v>
      </c>
      <c r="P640" s="93">
        <f t="shared" si="269"/>
        <v>0</v>
      </c>
      <c r="Q640" s="568"/>
      <c r="R640" s="568"/>
      <c r="S640" s="568"/>
      <c r="T640" s="568"/>
      <c r="U640" s="568"/>
      <c r="V640" s="568"/>
      <c r="W640" s="568"/>
      <c r="X640" s="568"/>
      <c r="Y640" s="568"/>
      <c r="Z640" s="568"/>
    </row>
    <row r="641" spans="1:26" ht="18.75" hidden="1">
      <c r="A641" s="563"/>
      <c r="B641" s="571"/>
      <c r="C641" s="723"/>
      <c r="D641" s="723"/>
      <c r="E641" s="723" t="s">
        <v>19</v>
      </c>
      <c r="F641" s="723"/>
      <c r="G641" s="567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IFERROR(__xludf.DUMMYFUNCTION("IMPORTRANGE(""https://docs.google.com/spreadsheets/d/1QqKyyYR6Q21VydFLVH3TRQUabQu_ym0Zz7PgGX0-kHA/edit?usp=sharing"",""แผน!HQ19"")"),0)</f>
        <v>0</v>
      </c>
      <c r="M641" s="93">
        <v>0</v>
      </c>
      <c r="N641" s="93">
        <v>0</v>
      </c>
      <c r="O641" s="93">
        <f t="shared" ca="1" si="268"/>
        <v>0</v>
      </c>
      <c r="P641" s="93">
        <f t="shared" si="269"/>
        <v>0</v>
      </c>
      <c r="Q641" s="568"/>
      <c r="R641" s="568"/>
      <c r="S641" s="568"/>
      <c r="T641" s="568"/>
      <c r="U641" s="568"/>
      <c r="V641" s="568"/>
      <c r="W641" s="568"/>
      <c r="X641" s="568"/>
      <c r="Y641" s="568"/>
      <c r="Z641" s="568"/>
    </row>
    <row r="642" spans="1:26" ht="19.5">
      <c r="A642" s="572"/>
      <c r="B642" s="584"/>
      <c r="C642" s="727" t="s">
        <v>16</v>
      </c>
      <c r="D642" s="853" t="s">
        <v>38</v>
      </c>
      <c r="E642" s="725"/>
      <c r="F642" s="725"/>
      <c r="G642" s="577"/>
      <c r="H642" s="726"/>
      <c r="I642" s="184"/>
      <c r="J642" s="184"/>
      <c r="K642" s="163"/>
      <c r="L642" s="163"/>
      <c r="M642" s="163"/>
      <c r="N642" s="163"/>
      <c r="O642" s="163"/>
      <c r="P642" s="163"/>
      <c r="Q642" s="541"/>
      <c r="R642" s="541"/>
      <c r="S642" s="541"/>
      <c r="T642" s="541"/>
      <c r="U642" s="541"/>
      <c r="V642" s="541"/>
      <c r="W642" s="541"/>
      <c r="X642" s="541"/>
      <c r="Y642" s="541"/>
      <c r="Z642" s="541"/>
    </row>
    <row r="643" spans="1:26" ht="18.75">
      <c r="A643" s="708"/>
      <c r="B643" s="538"/>
      <c r="C643" s="727"/>
      <c r="D643" s="592"/>
      <c r="E643" s="710" t="s">
        <v>271</v>
      </c>
      <c r="F643" s="592"/>
      <c r="G643" s="726"/>
      <c r="H643" s="728" t="s">
        <v>272</v>
      </c>
      <c r="I643" s="269">
        <f ca="1">IFERROR(__xludf.DUMMYFUNCTION("IMPORTRANGE(""https://docs.google.com/spreadsheets/d/1QqKyyYR6Q21VydFLVH3TRQUabQu_ym0Zz7PgGX0-kHA/edit?usp=sharing"",""แผน!HR19"")"),1)</f>
        <v>1</v>
      </c>
      <c r="J643" s="214">
        <v>0</v>
      </c>
      <c r="K643" s="163">
        <f t="shared" ref="K643:K652" ca="1" si="270">IF(I643&gt;0,J643*100/I643,0)</f>
        <v>0</v>
      </c>
      <c r="L643" s="163"/>
      <c r="M643" s="163"/>
      <c r="N643" s="465"/>
      <c r="O643" s="163"/>
      <c r="P643" s="163"/>
      <c r="Q643" s="541"/>
      <c r="R643" s="541"/>
      <c r="S643" s="541"/>
      <c r="T643" s="541"/>
      <c r="U643" s="541"/>
      <c r="V643" s="541"/>
      <c r="W643" s="541"/>
      <c r="X643" s="541"/>
      <c r="Y643" s="541"/>
      <c r="Z643" s="541"/>
    </row>
    <row r="644" spans="1:26" ht="18.75">
      <c r="A644" s="708"/>
      <c r="B644" s="538"/>
      <c r="C644" s="727"/>
      <c r="D644" s="592"/>
      <c r="E644" s="710" t="s">
        <v>273</v>
      </c>
      <c r="F644" s="592"/>
      <c r="G644" s="726"/>
      <c r="H644" s="728" t="s">
        <v>274</v>
      </c>
      <c r="I644" s="269">
        <f ca="1">IFERROR(__xludf.DUMMYFUNCTION("IMPORTRANGE(""https://docs.google.com/spreadsheets/d/1QqKyyYR6Q21VydFLVH3TRQUabQu_ym0Zz7PgGX0-kHA/edit?usp=sharing"",""แผน!HR19"")"),1)</f>
        <v>1</v>
      </c>
      <c r="J644" s="214">
        <v>0</v>
      </c>
      <c r="K644" s="163">
        <f t="shared" ca="1" si="270"/>
        <v>0</v>
      </c>
      <c r="L644" s="163"/>
      <c r="M644" s="163"/>
      <c r="N644" s="465"/>
      <c r="O644" s="163"/>
      <c r="P644" s="163"/>
      <c r="Q644" s="541"/>
      <c r="R644" s="541"/>
      <c r="S644" s="541"/>
      <c r="T644" s="541"/>
      <c r="U644" s="541"/>
      <c r="V644" s="541"/>
      <c r="W644" s="541"/>
      <c r="X644" s="541"/>
      <c r="Y644" s="541"/>
      <c r="Z644" s="541"/>
    </row>
    <row r="645" spans="1:26" ht="18.75">
      <c r="A645" s="708"/>
      <c r="B645" s="538"/>
      <c r="C645" s="727"/>
      <c r="D645" s="592"/>
      <c r="E645" s="710" t="s">
        <v>275</v>
      </c>
      <c r="F645" s="592"/>
      <c r="G645" s="726"/>
      <c r="H645" s="728" t="s">
        <v>34</v>
      </c>
      <c r="I645" s="269">
        <v>0</v>
      </c>
      <c r="J645" s="269">
        <f ca="1">IFERROR(__xludf.DUMMYFUNCTION("IMPORTRANGE(""https://docs.google.com/spreadsheets/d/1XWAQStnk-4SwqDmLtmXYiTMKHgktTP8We1SCoS47DrQ/edit?usp=sharing"",""จัดที่ดิน!AS19"")"),0)</f>
        <v>0</v>
      </c>
      <c r="K645" s="163">
        <f t="shared" si="270"/>
        <v>0</v>
      </c>
      <c r="L645" s="163"/>
      <c r="M645" s="163"/>
      <c r="N645" s="465"/>
      <c r="O645" s="163"/>
      <c r="P645" s="163"/>
      <c r="Q645" s="541"/>
      <c r="R645" s="541"/>
      <c r="S645" s="541"/>
      <c r="T645" s="541"/>
      <c r="U645" s="541"/>
      <c r="V645" s="541"/>
      <c r="W645" s="541"/>
      <c r="X645" s="541"/>
      <c r="Y645" s="541"/>
      <c r="Z645" s="541"/>
    </row>
    <row r="646" spans="1:26" ht="18.75">
      <c r="A646" s="708"/>
      <c r="B646" s="538"/>
      <c r="C646" s="727"/>
      <c r="D646" s="592"/>
      <c r="E646" s="592"/>
      <c r="F646" s="592"/>
      <c r="G646" s="726"/>
      <c r="H646" s="728" t="s">
        <v>46</v>
      </c>
      <c r="I646" s="269">
        <v>0</v>
      </c>
      <c r="J646" s="269">
        <f ca="1">IFERROR(__xludf.DUMMYFUNCTION("IMPORTRANGE(""https://docs.google.com/spreadsheets/d/1XWAQStnk-4SwqDmLtmXYiTMKHgktTP8We1SCoS47DrQ/edit?usp=sharing"",""จัดที่ดิน!AT19"")"),0)</f>
        <v>0</v>
      </c>
      <c r="K646" s="465">
        <f t="shared" si="270"/>
        <v>0</v>
      </c>
      <c r="L646" s="163"/>
      <c r="M646" s="163"/>
      <c r="N646" s="465"/>
      <c r="O646" s="163"/>
      <c r="P646" s="163"/>
      <c r="Q646" s="541"/>
      <c r="R646" s="541"/>
      <c r="S646" s="541"/>
      <c r="T646" s="541"/>
      <c r="U646" s="541"/>
      <c r="V646" s="541"/>
      <c r="W646" s="541"/>
      <c r="X646" s="541"/>
      <c r="Y646" s="541"/>
      <c r="Z646" s="541"/>
    </row>
    <row r="647" spans="1:26" ht="18.75">
      <c r="A647" s="708"/>
      <c r="B647" s="538"/>
      <c r="C647" s="727"/>
      <c r="D647" s="592"/>
      <c r="E647" s="710" t="s">
        <v>162</v>
      </c>
      <c r="F647" s="592"/>
      <c r="G647" s="726"/>
      <c r="H647" s="728" t="s">
        <v>35</v>
      </c>
      <c r="I647" s="269">
        <f ca="1">IFERROR(__xludf.DUMMYFUNCTION("IMPORTRANGE(""https://docs.google.com/spreadsheets/d/1QqKyyYR6Q21VydFLVH3TRQUabQu_ym0Zz7PgGX0-kHA/edit?usp=sharing"",""แผน!HS19"")"),70)</f>
        <v>70</v>
      </c>
      <c r="J647" s="269">
        <f ca="1">IFERROR(__xludf.DUMMYFUNCTION("IMPORTRANGE(""https://docs.google.com/spreadsheets/d/1XWAQStnk-4SwqDmLtmXYiTMKHgktTP8We1SCoS47DrQ/edit?usp=sharing"",""จัดที่ดิน!AU19"")"),0)</f>
        <v>0</v>
      </c>
      <c r="K647" s="163">
        <f t="shared" ca="1" si="270"/>
        <v>0</v>
      </c>
      <c r="L647" s="163"/>
      <c r="M647" s="163"/>
      <c r="N647" s="163"/>
      <c r="O647" s="163"/>
      <c r="P647" s="163"/>
      <c r="Q647" s="541"/>
      <c r="R647" s="541"/>
      <c r="S647" s="541"/>
      <c r="T647" s="541"/>
      <c r="U647" s="541"/>
      <c r="V647" s="541"/>
      <c r="W647" s="541"/>
      <c r="X647" s="541"/>
      <c r="Y647" s="541"/>
      <c r="Z647" s="541"/>
    </row>
    <row r="648" spans="1:26" ht="18.75">
      <c r="A648" s="708"/>
      <c r="B648" s="538"/>
      <c r="C648" s="727"/>
      <c r="D648" s="592"/>
      <c r="E648" s="592"/>
      <c r="F648" s="592"/>
      <c r="G648" s="726"/>
      <c r="H648" s="728" t="s">
        <v>46</v>
      </c>
      <c r="I648" s="269">
        <v>0</v>
      </c>
      <c r="J648" s="269">
        <f ca="1">IFERROR(__xludf.DUMMYFUNCTION("IMPORTRANGE(""https://docs.google.com/spreadsheets/d/1XWAQStnk-4SwqDmLtmXYiTMKHgktTP8We1SCoS47DrQ/edit?usp=sharing"",""จัดที่ดิน!AV19"")"),0)</f>
        <v>0</v>
      </c>
      <c r="K648" s="465">
        <f t="shared" si="270"/>
        <v>0</v>
      </c>
      <c r="L648" s="163"/>
      <c r="M648" s="163"/>
      <c r="N648" s="163"/>
      <c r="O648" s="163"/>
      <c r="P648" s="163"/>
      <c r="Q648" s="541"/>
      <c r="R648" s="541"/>
      <c r="S648" s="541"/>
      <c r="T648" s="541"/>
      <c r="U648" s="541"/>
      <c r="V648" s="541"/>
      <c r="W648" s="541"/>
      <c r="X648" s="541"/>
      <c r="Y648" s="541"/>
      <c r="Z648" s="541"/>
    </row>
    <row r="649" spans="1:26" ht="18.75">
      <c r="A649" s="708"/>
      <c r="B649" s="538"/>
      <c r="C649" s="727"/>
      <c r="D649" s="592"/>
      <c r="E649" s="710" t="s">
        <v>276</v>
      </c>
      <c r="F649" s="592"/>
      <c r="G649" s="726"/>
      <c r="H649" s="728" t="s">
        <v>35</v>
      </c>
      <c r="I649" s="269">
        <f ca="1">IFERROR(__xludf.DUMMYFUNCTION("IMPORTRANGE(""https://docs.google.com/spreadsheets/d/1QqKyyYR6Q21VydFLVH3TRQUabQu_ym0Zz7PgGX0-kHA/edit?usp=sharing"",""แผน!HS19"")"),70)</f>
        <v>70</v>
      </c>
      <c r="J649" s="269">
        <f ca="1">IFERROR(__xludf.DUMMYFUNCTION("IMPORTRANGE(""https://docs.google.com/spreadsheets/d/1XWAQStnk-4SwqDmLtmXYiTMKHgktTP8We1SCoS47DrQ/edit?usp=sharing"",""จัดที่ดิน!AW19"")"),0)</f>
        <v>0</v>
      </c>
      <c r="K649" s="163">
        <f t="shared" ca="1" si="270"/>
        <v>0</v>
      </c>
      <c r="L649" s="163"/>
      <c r="M649" s="163"/>
      <c r="N649" s="163"/>
      <c r="O649" s="163"/>
      <c r="P649" s="163"/>
      <c r="Q649" s="541"/>
      <c r="R649" s="541"/>
      <c r="S649" s="541"/>
      <c r="T649" s="541"/>
      <c r="U649" s="541"/>
      <c r="V649" s="541"/>
      <c r="W649" s="541"/>
      <c r="X649" s="541"/>
      <c r="Y649" s="541"/>
      <c r="Z649" s="541"/>
    </row>
    <row r="650" spans="1:26" ht="18.75">
      <c r="A650" s="708"/>
      <c r="B650" s="538"/>
      <c r="C650" s="727"/>
      <c r="D650" s="592"/>
      <c r="E650" s="592"/>
      <c r="F650" s="592"/>
      <c r="G650" s="726"/>
      <c r="H650" s="728" t="s">
        <v>46</v>
      </c>
      <c r="I650" s="269">
        <v>0</v>
      </c>
      <c r="J650" s="269">
        <f ca="1">IFERROR(__xludf.DUMMYFUNCTION("IMPORTRANGE(""https://docs.google.com/spreadsheets/d/1XWAQStnk-4SwqDmLtmXYiTMKHgktTP8We1SCoS47DrQ/edit?usp=sharing"",""จัดที่ดิน!AX19"")"),0)</f>
        <v>0</v>
      </c>
      <c r="K650" s="465">
        <f t="shared" si="270"/>
        <v>0</v>
      </c>
      <c r="L650" s="163"/>
      <c r="M650" s="163"/>
      <c r="N650" s="163"/>
      <c r="O650" s="163"/>
      <c r="P650" s="163"/>
      <c r="Q650" s="541"/>
      <c r="R650" s="541"/>
      <c r="S650" s="541"/>
      <c r="T650" s="541"/>
      <c r="U650" s="541"/>
      <c r="V650" s="541"/>
      <c r="W650" s="541"/>
      <c r="X650" s="541"/>
      <c r="Y650" s="541"/>
      <c r="Z650" s="541"/>
    </row>
    <row r="651" spans="1:26" ht="18.75">
      <c r="A651" s="708"/>
      <c r="B651" s="538"/>
      <c r="C651" s="727"/>
      <c r="D651" s="592"/>
      <c r="E651" s="710" t="s">
        <v>277</v>
      </c>
      <c r="F651" s="592"/>
      <c r="G651" s="726"/>
      <c r="H651" s="728" t="s">
        <v>35</v>
      </c>
      <c r="I651" s="269">
        <f ca="1">IFERROR(__xludf.DUMMYFUNCTION("IMPORTRANGE(""https://docs.google.com/spreadsheets/d/1QqKyyYR6Q21VydFLVH3TRQUabQu_ym0Zz7PgGX0-kHA/edit?usp=sharing"",""แผน!HS19"")"),70)</f>
        <v>70</v>
      </c>
      <c r="J651" s="269">
        <f ca="1">IFERROR(__xludf.DUMMYFUNCTION("IMPORTRANGE(""https://docs.google.com/spreadsheets/d/1XWAQStnk-4SwqDmLtmXYiTMKHgktTP8We1SCoS47DrQ/edit?usp=sharing"",""จัดที่ดิน!AY19"")"),0)</f>
        <v>0</v>
      </c>
      <c r="K651" s="163">
        <f t="shared" ca="1" si="270"/>
        <v>0</v>
      </c>
      <c r="L651" s="163"/>
      <c r="M651" s="163"/>
      <c r="N651" s="163"/>
      <c r="O651" s="163"/>
      <c r="P651" s="163"/>
      <c r="Q651" s="541"/>
      <c r="R651" s="541"/>
      <c r="S651" s="541"/>
      <c r="T651" s="541"/>
      <c r="U651" s="541"/>
      <c r="V651" s="541"/>
      <c r="W651" s="541"/>
      <c r="X651" s="541"/>
      <c r="Y651" s="541"/>
      <c r="Z651" s="541"/>
    </row>
    <row r="652" spans="1:26" ht="18.75">
      <c r="A652" s="711"/>
      <c r="B652" s="712"/>
      <c r="C652" s="713"/>
      <c r="D652" s="698"/>
      <c r="E652" s="698"/>
      <c r="F652" s="698"/>
      <c r="G652" s="699"/>
      <c r="H652" s="467" t="s">
        <v>46</v>
      </c>
      <c r="I652" s="468">
        <v>0</v>
      </c>
      <c r="J652" s="468">
        <f ca="1">IFERROR(__xludf.DUMMYFUNCTION("IMPORTRANGE(""https://docs.google.com/spreadsheets/d/1XWAQStnk-4SwqDmLtmXYiTMKHgktTP8We1SCoS47DrQ/edit?usp=sharing"",""จัดที่ดิน!AZ19"")"),0)</f>
        <v>0</v>
      </c>
      <c r="K652" s="469">
        <f t="shared" si="270"/>
        <v>0</v>
      </c>
      <c r="L652" s="353"/>
      <c r="M652" s="353"/>
      <c r="N652" s="353"/>
      <c r="O652" s="353"/>
      <c r="P652" s="353"/>
      <c r="Q652" s="541"/>
      <c r="R652" s="541"/>
      <c r="S652" s="541"/>
      <c r="T652" s="541"/>
      <c r="U652" s="541"/>
      <c r="V652" s="541"/>
      <c r="W652" s="541"/>
      <c r="X652" s="541"/>
      <c r="Y652" s="541"/>
      <c r="Z652" s="541"/>
    </row>
    <row r="653" spans="1:26" ht="19.5" hidden="1">
      <c r="A653" s="714">
        <v>8</v>
      </c>
      <c r="B653" s="701" t="s">
        <v>278</v>
      </c>
      <c r="C653" s="702"/>
      <c r="D653" s="702"/>
      <c r="E653" s="702"/>
      <c r="F653" s="702"/>
      <c r="G653" s="703"/>
      <c r="H653" s="703"/>
      <c r="I653" s="715"/>
      <c r="J653" s="715"/>
      <c r="K653" s="707"/>
      <c r="L653" s="707"/>
      <c r="M653" s="707"/>
      <c r="N653" s="707"/>
      <c r="O653" s="707"/>
      <c r="P653" s="707"/>
      <c r="Q653" s="541"/>
      <c r="R653" s="541"/>
      <c r="S653" s="541"/>
      <c r="T653" s="541"/>
      <c r="U653" s="541"/>
      <c r="V653" s="541"/>
      <c r="W653" s="541"/>
      <c r="X653" s="541"/>
      <c r="Y653" s="541"/>
      <c r="Z653" s="541"/>
    </row>
    <row r="654" spans="1:26" ht="19.5" hidden="1">
      <c r="A654" s="639"/>
      <c r="B654" s="638" t="s">
        <v>279</v>
      </c>
      <c r="C654" s="639"/>
      <c r="D654" s="639"/>
      <c r="E654" s="639"/>
      <c r="F654" s="639"/>
      <c r="G654" s="640"/>
      <c r="H654" s="671" t="s">
        <v>46</v>
      </c>
      <c r="I654" s="672">
        <f t="shared" ref="I654:J654" ca="1" si="271">I669</f>
        <v>0</v>
      </c>
      <c r="J654" s="672">
        <f t="shared" si="271"/>
        <v>0</v>
      </c>
      <c r="K654" s="643">
        <f ca="1">IF(I654&gt;0,J654*100/I654,0)</f>
        <v>0</v>
      </c>
      <c r="L654" s="644"/>
      <c r="M654" s="644"/>
      <c r="N654" s="644"/>
      <c r="O654" s="644"/>
      <c r="P654" s="644"/>
      <c r="Q654" s="541"/>
      <c r="R654" s="541"/>
      <c r="S654" s="541"/>
      <c r="T654" s="541"/>
      <c r="U654" s="541"/>
      <c r="V654" s="541"/>
      <c r="W654" s="541"/>
      <c r="X654" s="541"/>
      <c r="Y654" s="541"/>
      <c r="Z654" s="541"/>
    </row>
    <row r="655" spans="1:26" ht="19.5" hidden="1">
      <c r="A655" s="561"/>
      <c r="B655" s="727"/>
      <c r="C655" s="727" t="s">
        <v>16</v>
      </c>
      <c r="D655" s="811" t="s">
        <v>17</v>
      </c>
      <c r="E655" s="805"/>
      <c r="F655" s="805"/>
      <c r="G655" s="189"/>
      <c r="H655" s="562" t="s">
        <v>12</v>
      </c>
      <c r="I655" s="269"/>
      <c r="J655" s="269"/>
      <c r="K655" s="465"/>
      <c r="L655" s="195">
        <f t="shared" ref="L655:N655" ca="1" si="272">L656+L657</f>
        <v>0</v>
      </c>
      <c r="M655" s="195">
        <f t="shared" si="272"/>
        <v>0</v>
      </c>
      <c r="N655" s="195">
        <f t="shared" si="272"/>
        <v>0</v>
      </c>
      <c r="O655" s="195">
        <f t="shared" ref="O655:O660" ca="1" si="273">IF(L655&gt;0,N655*100/L655,0)</f>
        <v>0</v>
      </c>
      <c r="P655" s="195">
        <f t="shared" ref="P655:P660" si="274">IF(M655&gt;0,N655*100/M655,0)</f>
        <v>0</v>
      </c>
      <c r="Q655" s="541"/>
      <c r="R655" s="541"/>
      <c r="S655" s="541"/>
      <c r="T655" s="541"/>
      <c r="U655" s="541"/>
      <c r="V655" s="541"/>
      <c r="W655" s="541"/>
      <c r="X655" s="541"/>
      <c r="Y655" s="541"/>
      <c r="Z655" s="541"/>
    </row>
    <row r="656" spans="1:26" ht="18.75" hidden="1">
      <c r="A656" s="563"/>
      <c r="B656" s="723"/>
      <c r="C656" s="723"/>
      <c r="D656" s="684"/>
      <c r="E656" s="723" t="s">
        <v>184</v>
      </c>
      <c r="F656" s="723"/>
      <c r="G656" s="567"/>
      <c r="H656" s="165" t="s">
        <v>12</v>
      </c>
      <c r="I656" s="583"/>
      <c r="J656" s="583"/>
      <c r="K656" s="93"/>
      <c r="L656" s="93">
        <f t="shared" ref="L656:N657" si="275">L659+L666</f>
        <v>0</v>
      </c>
      <c r="M656" s="93">
        <f t="shared" si="275"/>
        <v>0</v>
      </c>
      <c r="N656" s="93">
        <f t="shared" si="275"/>
        <v>0</v>
      </c>
      <c r="O656" s="93">
        <f t="shared" si="273"/>
        <v>0</v>
      </c>
      <c r="P656" s="93">
        <f t="shared" si="274"/>
        <v>0</v>
      </c>
      <c r="Q656" s="568"/>
      <c r="R656" s="568"/>
      <c r="S656" s="568"/>
      <c r="T656" s="568"/>
      <c r="U656" s="568"/>
      <c r="V656" s="568"/>
      <c r="W656" s="568"/>
      <c r="X656" s="568"/>
      <c r="Y656" s="568"/>
      <c r="Z656" s="568"/>
    </row>
    <row r="657" spans="1:26" ht="18.75" hidden="1">
      <c r="A657" s="563"/>
      <c r="B657" s="571"/>
      <c r="C657" s="723"/>
      <c r="D657" s="684"/>
      <c r="E657" s="723" t="s">
        <v>185</v>
      </c>
      <c r="F657" s="723"/>
      <c r="G657" s="567"/>
      <c r="H657" s="165" t="s">
        <v>12</v>
      </c>
      <c r="I657" s="583"/>
      <c r="J657" s="583"/>
      <c r="K657" s="93"/>
      <c r="L657" s="93">
        <f t="shared" ca="1" si="275"/>
        <v>0</v>
      </c>
      <c r="M657" s="93">
        <f t="shared" si="275"/>
        <v>0</v>
      </c>
      <c r="N657" s="93">
        <f t="shared" si="275"/>
        <v>0</v>
      </c>
      <c r="O657" s="93">
        <f t="shared" ca="1" si="273"/>
        <v>0</v>
      </c>
      <c r="P657" s="93">
        <f t="shared" si="274"/>
        <v>0</v>
      </c>
      <c r="Q657" s="568"/>
      <c r="R657" s="568"/>
      <c r="S657" s="568"/>
      <c r="T657" s="568"/>
      <c r="U657" s="568"/>
      <c r="V657" s="568"/>
      <c r="W657" s="568"/>
      <c r="X657" s="568"/>
      <c r="Y657" s="568"/>
      <c r="Z657" s="568"/>
    </row>
    <row r="658" spans="1:26" ht="18.75" hidden="1">
      <c r="A658" s="561"/>
      <c r="B658" s="538"/>
      <c r="C658" s="727"/>
      <c r="D658" s="570" t="s">
        <v>20</v>
      </c>
      <c r="E658" s="727"/>
      <c r="F658" s="727"/>
      <c r="G658" s="189"/>
      <c r="H658" s="161" t="s">
        <v>12</v>
      </c>
      <c r="I658" s="184"/>
      <c r="J658" s="184"/>
      <c r="K658" s="163"/>
      <c r="L658" s="465">
        <f t="shared" ref="L658:N658" ca="1" si="276">L659+L660</f>
        <v>0</v>
      </c>
      <c r="M658" s="465">
        <f t="shared" si="276"/>
        <v>0</v>
      </c>
      <c r="N658" s="465">
        <f t="shared" si="276"/>
        <v>0</v>
      </c>
      <c r="O658" s="465">
        <f t="shared" ca="1" si="273"/>
        <v>0</v>
      </c>
      <c r="P658" s="465">
        <f t="shared" si="274"/>
        <v>0</v>
      </c>
      <c r="Q658" s="541"/>
      <c r="R658" s="541"/>
      <c r="S658" s="541"/>
      <c r="T658" s="541"/>
      <c r="U658" s="541"/>
      <c r="V658" s="541"/>
      <c r="W658" s="541"/>
      <c r="X658" s="541"/>
      <c r="Y658" s="541"/>
      <c r="Z658" s="541"/>
    </row>
    <row r="659" spans="1:26" ht="18.75" hidden="1">
      <c r="A659" s="563"/>
      <c r="B659" s="571"/>
      <c r="C659" s="723"/>
      <c r="D659" s="684"/>
      <c r="E659" s="723" t="s">
        <v>184</v>
      </c>
      <c r="F659" s="723"/>
      <c r="G659" s="567"/>
      <c r="H659" s="165" t="s">
        <v>12</v>
      </c>
      <c r="I659" s="583"/>
      <c r="J659" s="583"/>
      <c r="K659" s="93"/>
      <c r="L659" s="93">
        <v>0</v>
      </c>
      <c r="M659" s="93">
        <v>0</v>
      </c>
      <c r="N659" s="93">
        <v>0</v>
      </c>
      <c r="O659" s="93">
        <f t="shared" si="273"/>
        <v>0</v>
      </c>
      <c r="P659" s="93">
        <f t="shared" si="274"/>
        <v>0</v>
      </c>
      <c r="Q659" s="568"/>
      <c r="R659" s="568"/>
      <c r="S659" s="568"/>
      <c r="T659" s="568"/>
      <c r="U659" s="568"/>
      <c r="V659" s="568"/>
      <c r="W659" s="568"/>
      <c r="X659" s="568"/>
      <c r="Y659" s="568"/>
      <c r="Z659" s="568"/>
    </row>
    <row r="660" spans="1:26" ht="18.75" hidden="1">
      <c r="A660" s="563"/>
      <c r="B660" s="571"/>
      <c r="C660" s="723"/>
      <c r="D660" s="684"/>
      <c r="E660" s="723" t="s">
        <v>185</v>
      </c>
      <c r="F660" s="723"/>
      <c r="G660" s="567"/>
      <c r="H660" s="165" t="s">
        <v>12</v>
      </c>
      <c r="I660" s="583"/>
      <c r="J660" s="583"/>
      <c r="K660" s="93"/>
      <c r="L660" s="93">
        <f ca="1">IFERROR(__xludf.DUMMYFUNCTION("IMPORTRANGE(""https://docs.google.com/spreadsheets/d/1QqKyyYR6Q21VydFLVH3TRQUabQu_ym0Zz7PgGX0-kHA/edit?usp=sharing"",""แผน!HV19"")"),0)</f>
        <v>0</v>
      </c>
      <c r="M660" s="93">
        <v>0</v>
      </c>
      <c r="N660" s="93">
        <f>N661+N662+N663+N664</f>
        <v>0</v>
      </c>
      <c r="O660" s="93">
        <f t="shared" ca="1" si="273"/>
        <v>0</v>
      </c>
      <c r="P660" s="93">
        <f t="shared" si="274"/>
        <v>0</v>
      </c>
      <c r="Q660" s="568"/>
      <c r="R660" s="568"/>
      <c r="S660" s="568"/>
      <c r="T660" s="568"/>
      <c r="U660" s="568"/>
      <c r="V660" s="568"/>
      <c r="W660" s="568"/>
      <c r="X660" s="568"/>
      <c r="Y660" s="568"/>
      <c r="Z660" s="568"/>
    </row>
    <row r="661" spans="1:26" ht="18.75" hidden="1">
      <c r="A661" s="537"/>
      <c r="B661" s="538"/>
      <c r="C661" s="727"/>
      <c r="D661" s="727"/>
      <c r="E661" s="727"/>
      <c r="F661" s="727" t="s">
        <v>186</v>
      </c>
      <c r="G661" s="189"/>
      <c r="H661" s="161" t="s">
        <v>12</v>
      </c>
      <c r="I661" s="269"/>
      <c r="J661" s="269"/>
      <c r="K661" s="465"/>
      <c r="L661" s="465"/>
      <c r="M661" s="465"/>
      <c r="N661" s="789">
        <v>0</v>
      </c>
      <c r="O661" s="465"/>
      <c r="P661" s="465"/>
      <c r="Q661" s="541"/>
      <c r="R661" s="541"/>
      <c r="S661" s="541"/>
      <c r="T661" s="541"/>
      <c r="U661" s="541"/>
      <c r="V661" s="541"/>
      <c r="W661" s="541"/>
      <c r="X661" s="541"/>
      <c r="Y661" s="541"/>
      <c r="Z661" s="541"/>
    </row>
    <row r="662" spans="1:26" ht="18.75" hidden="1">
      <c r="A662" s="537"/>
      <c r="B662" s="538"/>
      <c r="C662" s="727"/>
      <c r="D662" s="727"/>
      <c r="E662" s="727"/>
      <c r="F662" s="727" t="s">
        <v>187</v>
      </c>
      <c r="G662" s="189"/>
      <c r="H662" s="161" t="s">
        <v>12</v>
      </c>
      <c r="I662" s="269"/>
      <c r="J662" s="269"/>
      <c r="K662" s="465"/>
      <c r="L662" s="465"/>
      <c r="M662" s="465"/>
      <c r="N662" s="789">
        <v>0</v>
      </c>
      <c r="O662" s="465"/>
      <c r="P662" s="465"/>
      <c r="Q662" s="541"/>
      <c r="R662" s="541"/>
      <c r="S662" s="541"/>
      <c r="T662" s="541"/>
      <c r="U662" s="541"/>
      <c r="V662" s="541"/>
      <c r="W662" s="541"/>
      <c r="X662" s="541"/>
      <c r="Y662" s="541"/>
      <c r="Z662" s="541"/>
    </row>
    <row r="663" spans="1:26" ht="18.75" hidden="1">
      <c r="A663" s="537"/>
      <c r="B663" s="538"/>
      <c r="C663" s="538"/>
      <c r="D663" s="727"/>
      <c r="E663" s="727"/>
      <c r="F663" s="727" t="s">
        <v>188</v>
      </c>
      <c r="G663" s="189"/>
      <c r="H663" s="161" t="s">
        <v>12</v>
      </c>
      <c r="I663" s="269"/>
      <c r="J663" s="269"/>
      <c r="K663" s="465"/>
      <c r="L663" s="465"/>
      <c r="M663" s="465"/>
      <c r="N663" s="789">
        <v>0</v>
      </c>
      <c r="O663" s="465"/>
      <c r="P663" s="465"/>
      <c r="Q663" s="541"/>
      <c r="R663" s="541"/>
      <c r="S663" s="541"/>
      <c r="T663" s="541"/>
      <c r="U663" s="541"/>
      <c r="V663" s="541"/>
      <c r="W663" s="541"/>
      <c r="X663" s="541"/>
      <c r="Y663" s="541"/>
      <c r="Z663" s="541"/>
    </row>
    <row r="664" spans="1:26" ht="18.75" hidden="1">
      <c r="A664" s="537"/>
      <c r="B664" s="538"/>
      <c r="C664" s="538"/>
      <c r="D664" s="538"/>
      <c r="E664" s="727"/>
      <c r="F664" s="727" t="s">
        <v>189</v>
      </c>
      <c r="G664" s="189"/>
      <c r="H664" s="161" t="s">
        <v>12</v>
      </c>
      <c r="I664" s="269"/>
      <c r="J664" s="269"/>
      <c r="K664" s="465"/>
      <c r="L664" s="465"/>
      <c r="M664" s="465"/>
      <c r="N664" s="789">
        <v>0</v>
      </c>
      <c r="O664" s="465"/>
      <c r="P664" s="465"/>
      <c r="Q664" s="541"/>
      <c r="R664" s="541"/>
      <c r="S664" s="541"/>
      <c r="T664" s="541"/>
      <c r="U664" s="541"/>
      <c r="V664" s="541"/>
      <c r="W664" s="541"/>
      <c r="X664" s="541"/>
      <c r="Y664" s="541"/>
      <c r="Z664" s="541"/>
    </row>
    <row r="665" spans="1:26" ht="18.75" hidden="1">
      <c r="A665" s="561"/>
      <c r="B665" s="538"/>
      <c r="C665" s="538"/>
      <c r="D665" s="570" t="s">
        <v>21</v>
      </c>
      <c r="E665" s="727"/>
      <c r="F665" s="727"/>
      <c r="G665" s="189"/>
      <c r="H665" s="168" t="s">
        <v>12</v>
      </c>
      <c r="I665" s="184"/>
      <c r="J665" s="184"/>
      <c r="K665" s="163"/>
      <c r="L665" s="465">
        <f t="shared" ref="L665:N665" si="277">L666+L667</f>
        <v>0</v>
      </c>
      <c r="M665" s="465">
        <f t="shared" si="277"/>
        <v>0</v>
      </c>
      <c r="N665" s="465">
        <f t="shared" si="277"/>
        <v>0</v>
      </c>
      <c r="O665" s="465">
        <f t="shared" ref="O665:O667" si="278">IF(L665&gt;0,N665*100/L665,0)</f>
        <v>0</v>
      </c>
      <c r="P665" s="465">
        <f t="shared" ref="P665:P667" si="279">IF(M665&gt;0,N665*100/M665,0)</f>
        <v>0</v>
      </c>
      <c r="Q665" s="541"/>
      <c r="R665" s="541"/>
      <c r="S665" s="541"/>
      <c r="T665" s="541"/>
      <c r="U665" s="541"/>
      <c r="V665" s="541"/>
      <c r="W665" s="541"/>
      <c r="X665" s="541"/>
      <c r="Y665" s="541"/>
      <c r="Z665" s="541"/>
    </row>
    <row r="666" spans="1:26" ht="18.75" hidden="1">
      <c r="A666" s="563"/>
      <c r="B666" s="571"/>
      <c r="C666" s="571"/>
      <c r="D666" s="571"/>
      <c r="E666" s="723" t="s">
        <v>18</v>
      </c>
      <c r="F666" s="723"/>
      <c r="G666" s="567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8"/>
        <v>0</v>
      </c>
      <c r="P666" s="93">
        <f t="shared" si="279"/>
        <v>0</v>
      </c>
      <c r="Q666" s="568"/>
      <c r="R666" s="568"/>
      <c r="S666" s="568"/>
      <c r="T666" s="568"/>
      <c r="U666" s="568"/>
      <c r="V666" s="568"/>
      <c r="W666" s="568"/>
      <c r="X666" s="568"/>
      <c r="Y666" s="568"/>
      <c r="Z666" s="568"/>
    </row>
    <row r="667" spans="1:26" ht="18.75" hidden="1">
      <c r="A667" s="563"/>
      <c r="B667" s="571"/>
      <c r="C667" s="571"/>
      <c r="D667" s="571"/>
      <c r="E667" s="723" t="s">
        <v>19</v>
      </c>
      <c r="F667" s="723"/>
      <c r="G667" s="567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8"/>
        <v>0</v>
      </c>
      <c r="P667" s="93">
        <f t="shared" si="279"/>
        <v>0</v>
      </c>
      <c r="Q667" s="568"/>
      <c r="R667" s="568"/>
      <c r="S667" s="568"/>
      <c r="T667" s="568"/>
      <c r="U667" s="568"/>
      <c r="V667" s="568"/>
      <c r="W667" s="568"/>
      <c r="X667" s="568"/>
      <c r="Y667" s="568"/>
      <c r="Z667" s="568"/>
    </row>
    <row r="668" spans="1:26" ht="19.5" hidden="1">
      <c r="A668" s="572"/>
      <c r="B668" s="584"/>
      <c r="C668" s="538" t="s">
        <v>16</v>
      </c>
      <c r="D668" s="850" t="s">
        <v>38</v>
      </c>
      <c r="E668" s="725"/>
      <c r="F668" s="725"/>
      <c r="G668" s="577"/>
      <c r="H668" s="726"/>
      <c r="I668" s="184"/>
      <c r="J668" s="184"/>
      <c r="K668" s="163"/>
      <c r="L668" s="163"/>
      <c r="M668" s="163"/>
      <c r="N668" s="163"/>
      <c r="O668" s="163"/>
      <c r="P668" s="163"/>
      <c r="Q668" s="541"/>
      <c r="R668" s="541"/>
      <c r="S668" s="541"/>
      <c r="T668" s="541"/>
      <c r="U668" s="541"/>
      <c r="V668" s="541"/>
      <c r="W668" s="541"/>
      <c r="X668" s="541"/>
      <c r="Y668" s="541"/>
      <c r="Z668" s="541"/>
    </row>
    <row r="669" spans="1:26" ht="19.5" hidden="1">
      <c r="A669" s="572"/>
      <c r="B669" s="584"/>
      <c r="C669" s="584"/>
      <c r="D669" s="584" t="s">
        <v>280</v>
      </c>
      <c r="E669" s="592"/>
      <c r="F669" s="592"/>
      <c r="G669" s="726"/>
      <c r="H669" s="731" t="s">
        <v>46</v>
      </c>
      <c r="I669" s="647">
        <f ca="1">IFERROR(__xludf.DUMMYFUNCTION("IMPORTRANGE(""https://docs.google.com/spreadsheets/d/1QqKyyYR6Q21VydFLVH3TRQUabQu_ym0Zz7PgGX0-kHA/edit?usp=sharing"",""แผน!IA19"")"),0)</f>
        <v>0</v>
      </c>
      <c r="J669" s="647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41"/>
      <c r="R669" s="541"/>
      <c r="S669" s="541"/>
      <c r="T669" s="541"/>
      <c r="U669" s="541"/>
      <c r="V669" s="541"/>
      <c r="W669" s="541"/>
      <c r="X669" s="541"/>
      <c r="Y669" s="541"/>
      <c r="Z669" s="541"/>
    </row>
    <row r="670" spans="1:26" ht="18.75" hidden="1">
      <c r="A670" s="572"/>
      <c r="B670" s="584"/>
      <c r="C670" s="584"/>
      <c r="D670" s="584"/>
      <c r="E670" s="592" t="s">
        <v>281</v>
      </c>
      <c r="F670" s="592"/>
      <c r="G670" s="726"/>
      <c r="H670" s="728" t="s">
        <v>69</v>
      </c>
      <c r="I670" s="269">
        <f ca="1">IFERROR(__xludf.DUMMYFUNCTION("IMPORTRANGE(""https://docs.google.com/spreadsheets/d/1QqKyyYR6Q21VydFLVH3TRQUabQu_ym0Zz7PgGX0-kHA/edit?usp=sharing"",""แผน!HZ19"")"),0)</f>
        <v>0</v>
      </c>
      <c r="J670" s="214">
        <v>0</v>
      </c>
      <c r="K670" s="465">
        <f ca="1">IF(I670&gt;0,(J670*100)/I670,0)</f>
        <v>0</v>
      </c>
      <c r="L670" s="163"/>
      <c r="M670" s="163"/>
      <c r="N670" s="163"/>
      <c r="O670" s="163"/>
      <c r="P670" s="163"/>
      <c r="Q670" s="541"/>
      <c r="R670" s="541"/>
      <c r="S670" s="541"/>
      <c r="T670" s="541"/>
      <c r="U670" s="541"/>
      <c r="V670" s="541"/>
      <c r="W670" s="541"/>
      <c r="X670" s="541"/>
      <c r="Y670" s="541"/>
      <c r="Z670" s="541"/>
    </row>
    <row r="671" spans="1:26" ht="18.75" hidden="1">
      <c r="A671" s="572"/>
      <c r="B671" s="584"/>
      <c r="C671" s="584"/>
      <c r="D671" s="584"/>
      <c r="E671" s="592" t="s">
        <v>282</v>
      </c>
      <c r="F671" s="592"/>
      <c r="G671" s="726"/>
      <c r="H671" s="728" t="s">
        <v>69</v>
      </c>
      <c r="I671" s="269">
        <f ca="1">IFERROR(__xludf.DUMMYFUNCTION("IMPORTRANGE(""https://docs.google.com/spreadsheets/d/1QqKyyYR6Q21VydFLVH3TRQUabQu_ym0Zz7PgGX0-kHA/edit?usp=sharing"",""แผน!HZ19"")"),0)</f>
        <v>0</v>
      </c>
      <c r="J671" s="214">
        <v>0</v>
      </c>
      <c r="K671" s="465">
        <f ca="1">IF(I$671&gt;0,J671*100/I$671,0)</f>
        <v>0</v>
      </c>
      <c r="L671" s="163"/>
      <c r="M671" s="163"/>
      <c r="N671" s="163"/>
      <c r="O671" s="163"/>
      <c r="P671" s="163"/>
      <c r="Q671" s="541"/>
      <c r="R671" s="541"/>
      <c r="S671" s="541"/>
      <c r="T671" s="541"/>
      <c r="U671" s="541"/>
      <c r="V671" s="541"/>
      <c r="W671" s="541"/>
      <c r="X671" s="541"/>
      <c r="Y671" s="541"/>
      <c r="Z671" s="541"/>
    </row>
    <row r="672" spans="1:26" ht="18.75" hidden="1">
      <c r="A672" s="572"/>
      <c r="B672" s="584"/>
      <c r="C672" s="584"/>
      <c r="D672" s="584"/>
      <c r="E672" s="592" t="s">
        <v>283</v>
      </c>
      <c r="F672" s="592"/>
      <c r="G672" s="726"/>
      <c r="H672" s="728" t="s">
        <v>46</v>
      </c>
      <c r="I672" s="269"/>
      <c r="J672" s="214">
        <v>0</v>
      </c>
      <c r="K672" s="465">
        <f t="shared" ref="K672:K675" ca="1" si="280">IF(I$669&gt;0,J672*100/I$669,0)</f>
        <v>0</v>
      </c>
      <c r="L672" s="163"/>
      <c r="M672" s="163"/>
      <c r="N672" s="163"/>
      <c r="O672" s="163"/>
      <c r="P672" s="163"/>
      <c r="Q672" s="541"/>
      <c r="R672" s="541"/>
      <c r="S672" s="541"/>
      <c r="T672" s="541"/>
      <c r="U672" s="541"/>
      <c r="V672" s="541"/>
      <c r="W672" s="541"/>
      <c r="X672" s="541"/>
      <c r="Y672" s="541"/>
      <c r="Z672" s="541"/>
    </row>
    <row r="673" spans="1:26" ht="18.75" hidden="1">
      <c r="A673" s="572"/>
      <c r="B673" s="584"/>
      <c r="C673" s="584"/>
      <c r="D673" s="584"/>
      <c r="E673" s="592" t="s">
        <v>284</v>
      </c>
      <c r="F673" s="592"/>
      <c r="G673" s="726"/>
      <c r="H673" s="728" t="s">
        <v>46</v>
      </c>
      <c r="I673" s="269"/>
      <c r="J673" s="214">
        <v>0</v>
      </c>
      <c r="K673" s="465">
        <f t="shared" ca="1" si="280"/>
        <v>0</v>
      </c>
      <c r="L673" s="163"/>
      <c r="M673" s="163"/>
      <c r="N673" s="163"/>
      <c r="O673" s="163"/>
      <c r="P673" s="163"/>
      <c r="Q673" s="541"/>
      <c r="R673" s="541"/>
      <c r="S673" s="541"/>
      <c r="T673" s="541"/>
      <c r="U673" s="541"/>
      <c r="V673" s="541"/>
      <c r="W673" s="541"/>
      <c r="X673" s="541"/>
      <c r="Y673" s="541"/>
      <c r="Z673" s="541"/>
    </row>
    <row r="674" spans="1:26" ht="18.75" hidden="1">
      <c r="A674" s="572"/>
      <c r="B674" s="584"/>
      <c r="C674" s="584"/>
      <c r="D674" s="584"/>
      <c r="E674" s="592" t="s">
        <v>285</v>
      </c>
      <c r="F674" s="592"/>
      <c r="G674" s="726"/>
      <c r="H674" s="728" t="s">
        <v>46</v>
      </c>
      <c r="I674" s="269"/>
      <c r="J674" s="214">
        <v>0</v>
      </c>
      <c r="K674" s="465">
        <f t="shared" ca="1" si="280"/>
        <v>0</v>
      </c>
      <c r="L674" s="163"/>
      <c r="M674" s="163"/>
      <c r="N674" s="163"/>
      <c r="O674" s="163"/>
      <c r="P674" s="163"/>
      <c r="Q674" s="541"/>
      <c r="R674" s="541"/>
      <c r="S674" s="541"/>
      <c r="T674" s="541"/>
      <c r="U674" s="541"/>
      <c r="V674" s="541"/>
      <c r="W674" s="541"/>
      <c r="X674" s="541"/>
      <c r="Y674" s="541"/>
      <c r="Z674" s="541"/>
    </row>
    <row r="675" spans="1:26" ht="19.5" hidden="1">
      <c r="A675" s="572"/>
      <c r="B675" s="584"/>
      <c r="C675" s="584"/>
      <c r="D675" s="584"/>
      <c r="E675" s="592" t="s">
        <v>286</v>
      </c>
      <c r="F675" s="592"/>
      <c r="G675" s="726"/>
      <c r="H675" s="728" t="s">
        <v>46</v>
      </c>
      <c r="I675" s="269"/>
      <c r="J675" s="647">
        <f>J676+J677</f>
        <v>0</v>
      </c>
      <c r="K675" s="195">
        <f t="shared" ca="1" si="280"/>
        <v>0</v>
      </c>
      <c r="L675" s="163"/>
      <c r="M675" s="163"/>
      <c r="N675" s="163"/>
      <c r="O675" s="163"/>
      <c r="P675" s="163"/>
      <c r="Q675" s="541"/>
      <c r="R675" s="541"/>
      <c r="S675" s="541"/>
      <c r="T675" s="541"/>
      <c r="U675" s="541"/>
      <c r="V675" s="541"/>
      <c r="W675" s="541"/>
      <c r="X675" s="541"/>
      <c r="Y675" s="541"/>
      <c r="Z675" s="541"/>
    </row>
    <row r="676" spans="1:26" ht="18.75" hidden="1">
      <c r="A676" s="572"/>
      <c r="B676" s="584"/>
      <c r="C676" s="584"/>
      <c r="D676" s="584"/>
      <c r="E676" s="592"/>
      <c r="F676" s="592" t="s">
        <v>287</v>
      </c>
      <c r="G676" s="726"/>
      <c r="H676" s="728" t="s">
        <v>46</v>
      </c>
      <c r="I676" s="269"/>
      <c r="J676" s="214">
        <v>0</v>
      </c>
      <c r="K676" s="465"/>
      <c r="L676" s="163"/>
      <c r="M676" s="163"/>
      <c r="N676" s="163"/>
      <c r="O676" s="163"/>
      <c r="P676" s="163"/>
      <c r="Q676" s="541"/>
      <c r="R676" s="541"/>
      <c r="S676" s="541"/>
      <c r="T676" s="541"/>
      <c r="U676" s="541"/>
      <c r="V676" s="541"/>
      <c r="W676" s="541"/>
      <c r="X676" s="541"/>
      <c r="Y676" s="541"/>
      <c r="Z676" s="541"/>
    </row>
    <row r="677" spans="1:26" ht="18.75" hidden="1">
      <c r="A677" s="572"/>
      <c r="B677" s="584"/>
      <c r="C677" s="584"/>
      <c r="D677" s="584"/>
      <c r="E677" s="592"/>
      <c r="F677" s="592" t="s">
        <v>288</v>
      </c>
      <c r="G677" s="726"/>
      <c r="H677" s="728" t="s">
        <v>46</v>
      </c>
      <c r="I677" s="269"/>
      <c r="J677" s="214">
        <v>0</v>
      </c>
      <c r="K677" s="465"/>
      <c r="L677" s="163"/>
      <c r="M677" s="163"/>
      <c r="N677" s="163"/>
      <c r="O677" s="163"/>
      <c r="P677" s="163"/>
      <c r="Q677" s="541"/>
      <c r="R677" s="541"/>
      <c r="S677" s="541"/>
      <c r="T677" s="541"/>
      <c r="U677" s="541"/>
      <c r="V677" s="541"/>
      <c r="W677" s="541"/>
      <c r="X677" s="541"/>
      <c r="Y677" s="541"/>
      <c r="Z677" s="541"/>
    </row>
    <row r="678" spans="1:26" ht="19.5" hidden="1">
      <c r="A678" s="572"/>
      <c r="B678" s="584"/>
      <c r="C678" s="584"/>
      <c r="D678" s="584" t="s">
        <v>289</v>
      </c>
      <c r="E678" s="592"/>
      <c r="F678" s="592"/>
      <c r="G678" s="726"/>
      <c r="H678" s="728" t="s">
        <v>46</v>
      </c>
      <c r="I678" s="647">
        <f ca="1">IFERROR(__xludf.DUMMYFUNCTION("IMPORTRANGE(""https://docs.google.com/spreadsheets/d/1QqKyyYR6Q21VydFLVH3TRQUabQu_ym0Zz7PgGX0-kHA/edit?usp=sharing"",""แผน!IB19"")"),0)</f>
        <v>0</v>
      </c>
      <c r="J678" s="647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41"/>
      <c r="R678" s="541"/>
      <c r="S678" s="541"/>
      <c r="T678" s="541"/>
      <c r="U678" s="541"/>
      <c r="V678" s="541"/>
      <c r="W678" s="541"/>
      <c r="X678" s="541"/>
      <c r="Y678" s="541"/>
      <c r="Z678" s="541"/>
    </row>
    <row r="679" spans="1:26" ht="18.75" hidden="1">
      <c r="A679" s="572"/>
      <c r="B679" s="584"/>
      <c r="C679" s="584"/>
      <c r="D679" s="584"/>
      <c r="E679" s="592" t="s">
        <v>290</v>
      </c>
      <c r="F679" s="592"/>
      <c r="G679" s="726"/>
      <c r="H679" s="728" t="s">
        <v>46</v>
      </c>
      <c r="I679" s="269"/>
      <c r="J679" s="269">
        <f>J680+J681</f>
        <v>0</v>
      </c>
      <c r="K679" s="465"/>
      <c r="L679" s="163"/>
      <c r="M679" s="163"/>
      <c r="N679" s="163"/>
      <c r="O679" s="163"/>
      <c r="P679" s="163"/>
      <c r="Q679" s="541"/>
      <c r="R679" s="541"/>
      <c r="S679" s="541"/>
      <c r="T679" s="541"/>
      <c r="U679" s="541"/>
      <c r="V679" s="541"/>
      <c r="W679" s="541"/>
      <c r="X679" s="541"/>
      <c r="Y679" s="541"/>
      <c r="Z679" s="541"/>
    </row>
    <row r="680" spans="1:26" ht="18.75" hidden="1">
      <c r="A680" s="572"/>
      <c r="B680" s="584"/>
      <c r="C680" s="584"/>
      <c r="D680" s="584"/>
      <c r="E680" s="592"/>
      <c r="F680" s="592" t="s">
        <v>287</v>
      </c>
      <c r="G680" s="726"/>
      <c r="H680" s="728" t="s">
        <v>46</v>
      </c>
      <c r="I680" s="269"/>
      <c r="J680" s="214">
        <v>0</v>
      </c>
      <c r="K680" s="465"/>
      <c r="L680" s="163"/>
      <c r="M680" s="163"/>
      <c r="N680" s="163"/>
      <c r="O680" s="163"/>
      <c r="P680" s="163"/>
      <c r="Q680" s="541"/>
      <c r="R680" s="541"/>
      <c r="S680" s="541"/>
      <c r="T680" s="541"/>
      <c r="U680" s="541"/>
      <c r="V680" s="541"/>
      <c r="W680" s="541"/>
      <c r="X680" s="541"/>
      <c r="Y680" s="541"/>
      <c r="Z680" s="541"/>
    </row>
    <row r="681" spans="1:26" ht="18.75" hidden="1">
      <c r="A681" s="572"/>
      <c r="B681" s="584"/>
      <c r="C681" s="584"/>
      <c r="D681" s="584"/>
      <c r="E681" s="592"/>
      <c r="F681" s="592" t="s">
        <v>288</v>
      </c>
      <c r="G681" s="726"/>
      <c r="H681" s="728" t="s">
        <v>46</v>
      </c>
      <c r="I681" s="269"/>
      <c r="J681" s="214">
        <v>0</v>
      </c>
      <c r="K681" s="465"/>
      <c r="L681" s="163"/>
      <c r="M681" s="163"/>
      <c r="N681" s="163"/>
      <c r="O681" s="163"/>
      <c r="P681" s="163"/>
      <c r="Q681" s="541"/>
      <c r="R681" s="541"/>
      <c r="S681" s="541"/>
      <c r="T681" s="541"/>
      <c r="U681" s="541"/>
      <c r="V681" s="541"/>
      <c r="W681" s="541"/>
      <c r="X681" s="541"/>
      <c r="Y681" s="541"/>
      <c r="Z681" s="541"/>
    </row>
    <row r="682" spans="1:26" ht="18.75" hidden="1">
      <c r="A682" s="572"/>
      <c r="B682" s="584"/>
      <c r="C682" s="584"/>
      <c r="D682" s="584"/>
      <c r="E682" s="592" t="s">
        <v>291</v>
      </c>
      <c r="F682" s="592"/>
      <c r="G682" s="726"/>
      <c r="H682" s="728" t="s">
        <v>46</v>
      </c>
      <c r="I682" s="269"/>
      <c r="J682" s="214">
        <v>0</v>
      </c>
      <c r="K682" s="465"/>
      <c r="L682" s="163"/>
      <c r="M682" s="163"/>
      <c r="N682" s="163"/>
      <c r="O682" s="163"/>
      <c r="P682" s="163"/>
      <c r="Q682" s="541"/>
      <c r="R682" s="541"/>
      <c r="S682" s="541"/>
      <c r="T682" s="541"/>
      <c r="U682" s="541"/>
      <c r="V682" s="541"/>
      <c r="W682" s="541"/>
      <c r="X682" s="541"/>
      <c r="Y682" s="541"/>
      <c r="Z682" s="541"/>
    </row>
    <row r="683" spans="1:26" ht="18.75" hidden="1">
      <c r="A683" s="572"/>
      <c r="B683" s="584"/>
      <c r="C683" s="584"/>
      <c r="D683" s="584"/>
      <c r="E683" s="592"/>
      <c r="F683" s="592" t="s">
        <v>292</v>
      </c>
      <c r="G683" s="726"/>
      <c r="H683" s="728" t="s">
        <v>46</v>
      </c>
      <c r="I683" s="269"/>
      <c r="J683" s="214">
        <v>0</v>
      </c>
      <c r="K683" s="465"/>
      <c r="L683" s="163"/>
      <c r="M683" s="163"/>
      <c r="N683" s="163"/>
      <c r="O683" s="163"/>
      <c r="P683" s="163"/>
      <c r="Q683" s="541"/>
      <c r="R683" s="541"/>
      <c r="S683" s="541"/>
      <c r="T683" s="541"/>
      <c r="U683" s="541"/>
      <c r="V683" s="541"/>
      <c r="W683" s="541"/>
      <c r="X683" s="541"/>
      <c r="Y683" s="541"/>
      <c r="Z683" s="541"/>
    </row>
    <row r="684" spans="1:26" ht="19.5" hidden="1">
      <c r="A684" s="717"/>
      <c r="B684" s="718" t="s">
        <v>293</v>
      </c>
      <c r="C684" s="717"/>
      <c r="D684" s="717"/>
      <c r="E684" s="717"/>
      <c r="F684" s="717"/>
      <c r="G684" s="719"/>
      <c r="H684" s="719"/>
      <c r="I684" s="720"/>
      <c r="J684" s="720"/>
      <c r="K684" s="721"/>
      <c r="L684" s="721"/>
      <c r="M684" s="721"/>
      <c r="N684" s="721"/>
      <c r="O684" s="721"/>
      <c r="P684" s="721"/>
      <c r="Q684" s="541"/>
      <c r="R684" s="541"/>
      <c r="S684" s="541"/>
      <c r="T684" s="541"/>
      <c r="U684" s="541"/>
      <c r="V684" s="541"/>
      <c r="W684" s="541"/>
      <c r="X684" s="541"/>
      <c r="Y684" s="541"/>
      <c r="Z684" s="541"/>
    </row>
    <row r="685" spans="1:26" ht="19.5" hidden="1">
      <c r="A685" s="561"/>
      <c r="B685" s="727"/>
      <c r="C685" s="727" t="s">
        <v>16</v>
      </c>
      <c r="D685" s="811" t="s">
        <v>17</v>
      </c>
      <c r="E685" s="805"/>
      <c r="F685" s="805"/>
      <c r="G685" s="189"/>
      <c r="H685" s="562" t="s">
        <v>12</v>
      </c>
      <c r="I685" s="269"/>
      <c r="J685" s="269"/>
      <c r="K685" s="465"/>
      <c r="L685" s="195">
        <f t="shared" ref="L685:N685" ca="1" si="281">L686+L687</f>
        <v>0</v>
      </c>
      <c r="M685" s="195">
        <f t="shared" si="281"/>
        <v>0</v>
      </c>
      <c r="N685" s="195">
        <f t="shared" si="281"/>
        <v>0</v>
      </c>
      <c r="O685" s="195">
        <f t="shared" ref="O685:O688" ca="1" si="282">IF(L685&gt;0,N685*100/L685,0)</f>
        <v>0</v>
      </c>
      <c r="P685" s="195">
        <f t="shared" ref="P685:P688" si="283">IF(M685&gt;0,N685*100/M685,0)</f>
        <v>0</v>
      </c>
      <c r="Q685" s="541"/>
      <c r="R685" s="541"/>
      <c r="S685" s="541"/>
      <c r="T685" s="541"/>
      <c r="U685" s="541"/>
      <c r="V685" s="541"/>
      <c r="W685" s="541"/>
      <c r="X685" s="541"/>
      <c r="Y685" s="541"/>
      <c r="Z685" s="541"/>
    </row>
    <row r="686" spans="1:26" ht="18.75" hidden="1">
      <c r="A686" s="563"/>
      <c r="B686" s="723"/>
      <c r="C686" s="723"/>
      <c r="D686" s="684"/>
      <c r="E686" s="723" t="s">
        <v>184</v>
      </c>
      <c r="F686" s="723"/>
      <c r="G686" s="567"/>
      <c r="H686" s="165" t="s">
        <v>12</v>
      </c>
      <c r="I686" s="583"/>
      <c r="J686" s="583"/>
      <c r="K686" s="93"/>
      <c r="L686" s="93">
        <f t="shared" ref="L686:N687" si="284">L689+L696</f>
        <v>0</v>
      </c>
      <c r="M686" s="93">
        <f t="shared" si="284"/>
        <v>0</v>
      </c>
      <c r="N686" s="93">
        <f t="shared" si="284"/>
        <v>0</v>
      </c>
      <c r="O686" s="93">
        <f t="shared" si="282"/>
        <v>0</v>
      </c>
      <c r="P686" s="93">
        <f t="shared" si="283"/>
        <v>0</v>
      </c>
      <c r="Q686" s="568"/>
      <c r="R686" s="568"/>
      <c r="S686" s="568"/>
      <c r="T686" s="568"/>
      <c r="U686" s="568"/>
      <c r="V686" s="568"/>
      <c r="W686" s="568"/>
      <c r="X686" s="568"/>
      <c r="Y686" s="568"/>
      <c r="Z686" s="568"/>
    </row>
    <row r="687" spans="1:26" ht="18.75" hidden="1">
      <c r="A687" s="563"/>
      <c r="B687" s="571"/>
      <c r="C687" s="723"/>
      <c r="D687" s="684"/>
      <c r="E687" s="723" t="s">
        <v>185</v>
      </c>
      <c r="F687" s="723"/>
      <c r="G687" s="567"/>
      <c r="H687" s="165" t="s">
        <v>12</v>
      </c>
      <c r="I687" s="583"/>
      <c r="J687" s="583"/>
      <c r="K687" s="93"/>
      <c r="L687" s="93">
        <f t="shared" ca="1" si="284"/>
        <v>0</v>
      </c>
      <c r="M687" s="93">
        <f t="shared" si="284"/>
        <v>0</v>
      </c>
      <c r="N687" s="93">
        <f t="shared" si="284"/>
        <v>0</v>
      </c>
      <c r="O687" s="93">
        <f t="shared" ca="1" si="282"/>
        <v>0</v>
      </c>
      <c r="P687" s="93">
        <f t="shared" si="283"/>
        <v>0</v>
      </c>
      <c r="Q687" s="568"/>
      <c r="R687" s="568"/>
      <c r="S687" s="568"/>
      <c r="T687" s="568"/>
      <c r="U687" s="568"/>
      <c r="V687" s="568"/>
      <c r="W687" s="568"/>
      <c r="X687" s="568"/>
      <c r="Y687" s="568"/>
      <c r="Z687" s="568"/>
    </row>
    <row r="688" spans="1:26" ht="18.75" hidden="1">
      <c r="A688" s="561"/>
      <c r="B688" s="538"/>
      <c r="C688" s="727"/>
      <c r="D688" s="570" t="s">
        <v>20</v>
      </c>
      <c r="E688" s="727"/>
      <c r="F688" s="727"/>
      <c r="G688" s="189"/>
      <c r="H688" s="161" t="s">
        <v>12</v>
      </c>
      <c r="I688" s="184"/>
      <c r="J688" s="184"/>
      <c r="K688" s="163"/>
      <c r="L688" s="465">
        <f t="shared" ref="L688:N688" ca="1" si="285">L689+L690</f>
        <v>0</v>
      </c>
      <c r="M688" s="465">
        <f t="shared" si="285"/>
        <v>0</v>
      </c>
      <c r="N688" s="465">
        <f t="shared" si="285"/>
        <v>0</v>
      </c>
      <c r="O688" s="465">
        <f t="shared" ca="1" si="282"/>
        <v>0</v>
      </c>
      <c r="P688" s="465">
        <f t="shared" si="283"/>
        <v>0</v>
      </c>
      <c r="Q688" s="541"/>
      <c r="R688" s="541"/>
      <c r="S688" s="541"/>
      <c r="T688" s="541"/>
      <c r="U688" s="541"/>
      <c r="V688" s="541"/>
      <c r="W688" s="541"/>
      <c r="X688" s="541"/>
      <c r="Y688" s="541"/>
      <c r="Z688" s="541"/>
    </row>
    <row r="689" spans="1:26" ht="18.75" hidden="1">
      <c r="A689" s="563"/>
      <c r="B689" s="571"/>
      <c r="C689" s="723"/>
      <c r="D689" s="684"/>
      <c r="E689" s="723" t="s">
        <v>184</v>
      </c>
      <c r="F689" s="723"/>
      <c r="G689" s="567"/>
      <c r="H689" s="165" t="s">
        <v>12</v>
      </c>
      <c r="I689" s="583"/>
      <c r="J689" s="583"/>
      <c r="K689" s="93"/>
      <c r="L689" s="93">
        <v>0</v>
      </c>
      <c r="M689" s="93">
        <v>0</v>
      </c>
      <c r="N689" s="93">
        <v>0</v>
      </c>
      <c r="O689" s="93"/>
      <c r="P689" s="93"/>
      <c r="Q689" s="568"/>
      <c r="R689" s="568"/>
      <c r="S689" s="568"/>
      <c r="T689" s="568"/>
      <c r="U689" s="568"/>
      <c r="V689" s="568"/>
      <c r="W689" s="568"/>
      <c r="X689" s="568"/>
      <c r="Y689" s="568"/>
      <c r="Z689" s="568"/>
    </row>
    <row r="690" spans="1:26" ht="18.75" hidden="1">
      <c r="A690" s="563"/>
      <c r="B690" s="571"/>
      <c r="C690" s="723"/>
      <c r="D690" s="684"/>
      <c r="E690" s="723" t="s">
        <v>185</v>
      </c>
      <c r="F690" s="723"/>
      <c r="G690" s="567"/>
      <c r="H690" s="165" t="s">
        <v>12</v>
      </c>
      <c r="I690" s="583"/>
      <c r="J690" s="583"/>
      <c r="K690" s="93"/>
      <c r="L690" s="93">
        <f ca="1">IFERROR(__xludf.DUMMYFUNCTION("IMPORTRANGE(""https://docs.google.com/spreadsheets/d/1QqKyyYR6Q21VydFLVH3TRQUabQu_ym0Zz7PgGX0-kHA/edit?usp=sharing"",""แผน!HW19"")"),0)</f>
        <v>0</v>
      </c>
      <c r="M690" s="93">
        <v>0</v>
      </c>
      <c r="N690" s="93">
        <f>N691+N692+N693+N694</f>
        <v>0</v>
      </c>
      <c r="O690" s="93">
        <f ca="1">IF(L690&gt;0,N690*100/L690,0)</f>
        <v>0</v>
      </c>
      <c r="P690" s="93">
        <f>IF(M690&gt;0,N690*100/M690,0)</f>
        <v>0</v>
      </c>
      <c r="Q690" s="568"/>
      <c r="R690" s="568"/>
      <c r="S690" s="568"/>
      <c r="T690" s="568"/>
      <c r="U690" s="568"/>
      <c r="V690" s="568"/>
      <c r="W690" s="568"/>
      <c r="X690" s="568"/>
      <c r="Y690" s="568"/>
      <c r="Z690" s="568"/>
    </row>
    <row r="691" spans="1:26" ht="18.75" hidden="1">
      <c r="A691" s="537"/>
      <c r="B691" s="538"/>
      <c r="C691" s="727"/>
      <c r="D691" s="727"/>
      <c r="E691" s="727"/>
      <c r="F691" s="727" t="s">
        <v>186</v>
      </c>
      <c r="G691" s="189"/>
      <c r="H691" s="161" t="s">
        <v>12</v>
      </c>
      <c r="I691" s="269"/>
      <c r="J691" s="269"/>
      <c r="K691" s="465"/>
      <c r="L691" s="465"/>
      <c r="M691" s="465"/>
      <c r="N691" s="789">
        <v>0</v>
      </c>
      <c r="O691" s="465"/>
      <c r="P691" s="465"/>
      <c r="Q691" s="541"/>
      <c r="R691" s="541"/>
      <c r="S691" s="541"/>
      <c r="T691" s="541"/>
      <c r="U691" s="541"/>
      <c r="V691" s="541"/>
      <c r="W691" s="541"/>
      <c r="X691" s="541"/>
      <c r="Y691" s="541"/>
      <c r="Z691" s="541"/>
    </row>
    <row r="692" spans="1:26" ht="18.75" hidden="1">
      <c r="A692" s="537"/>
      <c r="B692" s="538"/>
      <c r="C692" s="727"/>
      <c r="D692" s="727"/>
      <c r="E692" s="727"/>
      <c r="F692" s="727" t="s">
        <v>187</v>
      </c>
      <c r="G692" s="189"/>
      <c r="H692" s="161" t="s">
        <v>12</v>
      </c>
      <c r="I692" s="269"/>
      <c r="J692" s="269"/>
      <c r="K692" s="465"/>
      <c r="L692" s="465"/>
      <c r="M692" s="465"/>
      <c r="N692" s="789">
        <v>0</v>
      </c>
      <c r="O692" s="465"/>
      <c r="P692" s="465"/>
      <c r="Q692" s="541"/>
      <c r="R692" s="541"/>
      <c r="S692" s="541"/>
      <c r="T692" s="541"/>
      <c r="U692" s="541"/>
      <c r="V692" s="541"/>
      <c r="W692" s="541"/>
      <c r="X692" s="541"/>
      <c r="Y692" s="541"/>
      <c r="Z692" s="541"/>
    </row>
    <row r="693" spans="1:26" ht="18.75" hidden="1">
      <c r="A693" s="537"/>
      <c r="B693" s="538"/>
      <c r="C693" s="727"/>
      <c r="D693" s="727"/>
      <c r="E693" s="727"/>
      <c r="F693" s="727" t="s">
        <v>188</v>
      </c>
      <c r="G693" s="189"/>
      <c r="H693" s="161" t="s">
        <v>12</v>
      </c>
      <c r="I693" s="269"/>
      <c r="J693" s="269"/>
      <c r="K693" s="465"/>
      <c r="L693" s="465"/>
      <c r="M693" s="465"/>
      <c r="N693" s="789">
        <v>0</v>
      </c>
      <c r="O693" s="465"/>
      <c r="P693" s="465"/>
      <c r="Q693" s="541"/>
      <c r="R693" s="541"/>
      <c r="S693" s="541"/>
      <c r="T693" s="541"/>
      <c r="U693" s="541"/>
      <c r="V693" s="541"/>
      <c r="W693" s="541"/>
      <c r="X693" s="541"/>
      <c r="Y693" s="541"/>
      <c r="Z693" s="541"/>
    </row>
    <row r="694" spans="1:26" ht="18.75" hidden="1">
      <c r="A694" s="537"/>
      <c r="B694" s="538"/>
      <c r="C694" s="727"/>
      <c r="D694" s="727"/>
      <c r="E694" s="727"/>
      <c r="F694" s="727" t="s">
        <v>189</v>
      </c>
      <c r="G694" s="189"/>
      <c r="H694" s="161" t="s">
        <v>12</v>
      </c>
      <c r="I694" s="269"/>
      <c r="J694" s="269"/>
      <c r="K694" s="465"/>
      <c r="L694" s="465"/>
      <c r="M694" s="465"/>
      <c r="N694" s="789">
        <v>0</v>
      </c>
      <c r="O694" s="465"/>
      <c r="P694" s="465"/>
      <c r="Q694" s="541"/>
      <c r="R694" s="541"/>
      <c r="S694" s="541"/>
      <c r="T694" s="541"/>
      <c r="U694" s="541"/>
      <c r="V694" s="541"/>
      <c r="W694" s="541"/>
      <c r="X694" s="541"/>
      <c r="Y694" s="541"/>
      <c r="Z694" s="541"/>
    </row>
    <row r="695" spans="1:26" ht="18.75" hidden="1">
      <c r="A695" s="561"/>
      <c r="B695" s="538"/>
      <c r="C695" s="727"/>
      <c r="D695" s="570" t="s">
        <v>21</v>
      </c>
      <c r="E695" s="727"/>
      <c r="F695" s="727"/>
      <c r="G695" s="189"/>
      <c r="H695" s="168" t="s">
        <v>12</v>
      </c>
      <c r="I695" s="184"/>
      <c r="J695" s="184"/>
      <c r="K695" s="163"/>
      <c r="L695" s="465">
        <f t="shared" ref="L695:N695" si="286">L696+L697</f>
        <v>0</v>
      </c>
      <c r="M695" s="465">
        <f t="shared" si="286"/>
        <v>0</v>
      </c>
      <c r="N695" s="465">
        <f t="shared" si="286"/>
        <v>0</v>
      </c>
      <c r="O695" s="465">
        <f t="shared" ref="O695:O697" si="287">IF(L695&gt;0,N695*100/L695,0)</f>
        <v>0</v>
      </c>
      <c r="P695" s="465">
        <f t="shared" ref="P695:P697" si="288">IF(M695&gt;0,N695*100/M695,0)</f>
        <v>0</v>
      </c>
      <c r="Q695" s="541"/>
      <c r="R695" s="541"/>
      <c r="S695" s="541"/>
      <c r="T695" s="541"/>
      <c r="U695" s="541"/>
      <c r="V695" s="541"/>
      <c r="W695" s="541"/>
      <c r="X695" s="541"/>
      <c r="Y695" s="541"/>
      <c r="Z695" s="541"/>
    </row>
    <row r="696" spans="1:26" ht="18.75" hidden="1">
      <c r="A696" s="563"/>
      <c r="B696" s="571"/>
      <c r="C696" s="723"/>
      <c r="D696" s="723"/>
      <c r="E696" s="723" t="s">
        <v>18</v>
      </c>
      <c r="F696" s="723"/>
      <c r="G696" s="567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7"/>
        <v>0</v>
      </c>
      <c r="P696" s="93">
        <f t="shared" si="288"/>
        <v>0</v>
      </c>
      <c r="Q696" s="568"/>
      <c r="R696" s="568"/>
      <c r="S696" s="568"/>
      <c r="T696" s="568"/>
      <c r="U696" s="568"/>
      <c r="V696" s="568"/>
      <c r="W696" s="568"/>
      <c r="X696" s="568"/>
      <c r="Y696" s="568"/>
      <c r="Z696" s="568"/>
    </row>
    <row r="697" spans="1:26" ht="18.75" hidden="1">
      <c r="A697" s="563"/>
      <c r="B697" s="571"/>
      <c r="C697" s="723"/>
      <c r="D697" s="723"/>
      <c r="E697" s="723" t="s">
        <v>19</v>
      </c>
      <c r="F697" s="723"/>
      <c r="G697" s="567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7"/>
        <v>0</v>
      </c>
      <c r="P697" s="93">
        <f t="shared" si="288"/>
        <v>0</v>
      </c>
      <c r="Q697" s="568"/>
      <c r="R697" s="568"/>
      <c r="S697" s="568"/>
      <c r="T697" s="568"/>
      <c r="U697" s="568"/>
      <c r="V697" s="568"/>
      <c r="W697" s="568"/>
      <c r="X697" s="568"/>
      <c r="Y697" s="568"/>
      <c r="Z697" s="568"/>
    </row>
    <row r="698" spans="1:26" ht="19.5" hidden="1">
      <c r="A698" s="572"/>
      <c r="B698" s="584"/>
      <c r="C698" s="727" t="s">
        <v>16</v>
      </c>
      <c r="D698" s="855" t="s">
        <v>38</v>
      </c>
      <c r="E698" s="725"/>
      <c r="F698" s="725"/>
      <c r="G698" s="577"/>
      <c r="H698" s="726"/>
      <c r="I698" s="184"/>
      <c r="J698" s="184"/>
      <c r="K698" s="163"/>
      <c r="L698" s="163"/>
      <c r="M698" s="163"/>
      <c r="N698" s="163"/>
      <c r="O698" s="163"/>
      <c r="P698" s="163"/>
      <c r="Q698" s="541"/>
      <c r="R698" s="541"/>
      <c r="S698" s="541"/>
      <c r="T698" s="541"/>
      <c r="U698" s="541"/>
      <c r="V698" s="541"/>
      <c r="W698" s="541"/>
      <c r="X698" s="541"/>
      <c r="Y698" s="541"/>
      <c r="Z698" s="541"/>
    </row>
    <row r="699" spans="1:26" ht="18.75" hidden="1">
      <c r="A699" s="708"/>
      <c r="B699" s="727"/>
      <c r="C699" s="727"/>
      <c r="D699" s="727" t="s">
        <v>294</v>
      </c>
      <c r="E699" s="727"/>
      <c r="F699" s="727"/>
      <c r="G699" s="189"/>
      <c r="H699" s="728" t="s">
        <v>46</v>
      </c>
      <c r="I699" s="729">
        <f ca="1">IFERROR(__xludf.DUMMYFUNCTION("IMPORTRANGE(""https://docs.google.com/spreadsheets/d/1QqKyyYR6Q21VydFLVH3TRQUabQu_ym0Zz7PgGX0-kHA/edit?usp=sharing"",""แผน!IC19"")"),0)</f>
        <v>0</v>
      </c>
      <c r="J699" s="269">
        <f ca="1">IFERROR(__xludf.DUMMYFUNCTION("IMPORTRANGE(""https://docs.google.com/spreadsheets/d/1XWAQStnk-4SwqDmLtmXYiTMKHgktTP8We1SCoS47DrQ/edit?usp=sharing"",""จัดที่ดิน!BB19"")"),0)</f>
        <v>0</v>
      </c>
      <c r="K699" s="465">
        <f t="shared" ref="K699:K701" ca="1" si="289">IF(I699&gt;0,J699*100/I699,0)</f>
        <v>0</v>
      </c>
      <c r="L699" s="465"/>
      <c r="M699" s="189"/>
      <c r="N699" s="730"/>
      <c r="O699" s="465"/>
      <c r="P699" s="465"/>
      <c r="Q699" s="541"/>
      <c r="R699" s="541"/>
      <c r="S699" s="541"/>
      <c r="T699" s="541"/>
      <c r="U699" s="541"/>
      <c r="V699" s="541"/>
      <c r="W699" s="541"/>
      <c r="X699" s="541"/>
      <c r="Y699" s="541"/>
      <c r="Z699" s="541"/>
    </row>
    <row r="700" spans="1:26" ht="18.75" hidden="1">
      <c r="A700" s="708"/>
      <c r="B700" s="727"/>
      <c r="C700" s="727"/>
      <c r="D700" s="727" t="s">
        <v>295</v>
      </c>
      <c r="E700" s="727"/>
      <c r="F700" s="727"/>
      <c r="G700" s="189"/>
      <c r="H700" s="728" t="s">
        <v>35</v>
      </c>
      <c r="I700" s="729">
        <f ca="1">IFERROR(__xludf.DUMMYFUNCTION("IMPORTRANGE(""https://docs.google.com/spreadsheets/d/1QqKyyYR6Q21VydFLVH3TRQUabQu_ym0Zz7PgGX0-kHA/edit?usp=sharing"",""แผน!ID19"")"),0)</f>
        <v>0</v>
      </c>
      <c r="J700" s="269">
        <f ca="1">IFERROR(__xludf.DUMMYFUNCTION("IMPORTRANGE(""https://docs.google.com/spreadsheets/d/1XWAQStnk-4SwqDmLtmXYiTMKHgktTP8We1SCoS47DrQ/edit?usp=sharing"",""จัดที่ดิน!BD19"")"),0)</f>
        <v>0</v>
      </c>
      <c r="K700" s="465">
        <f t="shared" ca="1" si="289"/>
        <v>0</v>
      </c>
      <c r="L700" s="465"/>
      <c r="M700" s="189"/>
      <c r="N700" s="730"/>
      <c r="O700" s="465"/>
      <c r="P700" s="465"/>
      <c r="Q700" s="541"/>
      <c r="R700" s="541"/>
      <c r="S700" s="541"/>
      <c r="T700" s="541"/>
      <c r="U700" s="541"/>
      <c r="V700" s="541"/>
      <c r="W700" s="541"/>
      <c r="X700" s="541"/>
      <c r="Y700" s="541"/>
      <c r="Z700" s="541"/>
    </row>
    <row r="701" spans="1:26" ht="19.5" hidden="1">
      <c r="A701" s="708"/>
      <c r="B701" s="727"/>
      <c r="C701" s="727"/>
      <c r="D701" s="727" t="s">
        <v>296</v>
      </c>
      <c r="E701" s="727"/>
      <c r="F701" s="727"/>
      <c r="G701" s="189"/>
      <c r="H701" s="731" t="s">
        <v>46</v>
      </c>
      <c r="I701" s="732">
        <f ca="1">IFERROR(__xludf.DUMMYFUNCTION("IMPORTRANGE(""https://docs.google.com/spreadsheets/d/1QqKyyYR6Q21VydFLVH3TRQUabQu_ym0Zz7PgGX0-kHA/edit?usp=sharing"",""แผน!IE19"")"),0)</f>
        <v>0</v>
      </c>
      <c r="J701" s="647">
        <f>J704+J707</f>
        <v>0</v>
      </c>
      <c r="K701" s="195">
        <f t="shared" ca="1" si="289"/>
        <v>0</v>
      </c>
      <c r="L701" s="465"/>
      <c r="M701" s="189"/>
      <c r="N701" s="730"/>
      <c r="O701" s="465"/>
      <c r="P701" s="465"/>
      <c r="Q701" s="541"/>
      <c r="R701" s="541"/>
      <c r="S701" s="541"/>
      <c r="T701" s="541"/>
      <c r="U701" s="541"/>
      <c r="V701" s="541"/>
      <c r="W701" s="541"/>
      <c r="X701" s="541"/>
      <c r="Y701" s="541"/>
      <c r="Z701" s="541"/>
    </row>
    <row r="702" spans="1:26" ht="18.75" hidden="1">
      <c r="A702" s="708"/>
      <c r="B702" s="727"/>
      <c r="C702" s="727"/>
      <c r="D702" s="727"/>
      <c r="E702" s="727" t="s">
        <v>297</v>
      </c>
      <c r="F702" s="727"/>
      <c r="G702" s="189"/>
      <c r="H702" s="728" t="s">
        <v>35</v>
      </c>
      <c r="I702" s="729"/>
      <c r="J702" s="214">
        <v>0</v>
      </c>
      <c r="K702" s="465"/>
      <c r="L702" s="465"/>
      <c r="M702" s="189"/>
      <c r="N702" s="730"/>
      <c r="O702" s="465"/>
      <c r="P702" s="465"/>
      <c r="Q702" s="541"/>
      <c r="R702" s="541"/>
      <c r="S702" s="541"/>
      <c r="T702" s="541"/>
      <c r="U702" s="541"/>
      <c r="V702" s="541"/>
      <c r="W702" s="541"/>
      <c r="X702" s="541"/>
      <c r="Y702" s="541"/>
      <c r="Z702" s="541"/>
    </row>
    <row r="703" spans="1:26" ht="18.75" hidden="1">
      <c r="A703" s="708"/>
      <c r="B703" s="727"/>
      <c r="C703" s="727"/>
      <c r="D703" s="727"/>
      <c r="E703" s="727"/>
      <c r="F703" s="727"/>
      <c r="G703" s="189"/>
      <c r="H703" s="728" t="s">
        <v>34</v>
      </c>
      <c r="I703" s="729"/>
      <c r="J703" s="214">
        <v>0</v>
      </c>
      <c r="K703" s="465"/>
      <c r="L703" s="465"/>
      <c r="M703" s="189"/>
      <c r="N703" s="730"/>
      <c r="O703" s="465"/>
      <c r="P703" s="465"/>
      <c r="Q703" s="541"/>
      <c r="R703" s="541"/>
      <c r="S703" s="541"/>
      <c r="T703" s="541"/>
      <c r="U703" s="541"/>
      <c r="V703" s="541"/>
      <c r="W703" s="541"/>
      <c r="X703" s="541"/>
      <c r="Y703" s="541"/>
      <c r="Z703" s="541"/>
    </row>
    <row r="704" spans="1:26" ht="18.75" hidden="1">
      <c r="A704" s="708"/>
      <c r="B704" s="727"/>
      <c r="C704" s="727"/>
      <c r="D704" s="727"/>
      <c r="E704" s="727"/>
      <c r="F704" s="727"/>
      <c r="G704" s="189"/>
      <c r="H704" s="728" t="s">
        <v>46</v>
      </c>
      <c r="I704" s="729">
        <f ca="1">IFERROR(__xludf.DUMMYFUNCTION("IMPORTRANGE(""https://docs.google.com/spreadsheets/d/1QqKyyYR6Q21VydFLVH3TRQUabQu_ym0Zz7PgGX0-kHA/edit?usp=sharing"",""แผน!IF19"")"),0)</f>
        <v>0</v>
      </c>
      <c r="J704" s="214">
        <v>0</v>
      </c>
      <c r="K704" s="465"/>
      <c r="L704" s="465"/>
      <c r="M704" s="189"/>
      <c r="N704" s="730"/>
      <c r="O704" s="465"/>
      <c r="P704" s="465"/>
      <c r="Q704" s="541"/>
      <c r="R704" s="541"/>
      <c r="S704" s="541"/>
      <c r="T704" s="541"/>
      <c r="U704" s="541"/>
      <c r="V704" s="541"/>
      <c r="W704" s="541"/>
      <c r="X704" s="541"/>
      <c r="Y704" s="541"/>
      <c r="Z704" s="541"/>
    </row>
    <row r="705" spans="1:26" ht="18.75" hidden="1">
      <c r="A705" s="708"/>
      <c r="B705" s="727"/>
      <c r="C705" s="727"/>
      <c r="D705" s="727"/>
      <c r="E705" s="727" t="s">
        <v>298</v>
      </c>
      <c r="F705" s="727"/>
      <c r="G705" s="189"/>
      <c r="H705" s="728" t="s">
        <v>35</v>
      </c>
      <c r="I705" s="729"/>
      <c r="J705" s="214">
        <v>0</v>
      </c>
      <c r="K705" s="465"/>
      <c r="L705" s="465"/>
      <c r="M705" s="189"/>
      <c r="N705" s="730"/>
      <c r="O705" s="465"/>
      <c r="P705" s="465"/>
      <c r="Q705" s="541"/>
      <c r="R705" s="541"/>
      <c r="S705" s="541"/>
      <c r="T705" s="541"/>
      <c r="U705" s="541"/>
      <c r="V705" s="541"/>
      <c r="W705" s="541"/>
      <c r="X705" s="541"/>
      <c r="Y705" s="541"/>
      <c r="Z705" s="541"/>
    </row>
    <row r="706" spans="1:26" ht="18.75" hidden="1">
      <c r="A706" s="708"/>
      <c r="B706" s="727"/>
      <c r="C706" s="727"/>
      <c r="D706" s="727"/>
      <c r="E706" s="727"/>
      <c r="F706" s="727"/>
      <c r="G706" s="189"/>
      <c r="H706" s="728" t="s">
        <v>34</v>
      </c>
      <c r="I706" s="729"/>
      <c r="J706" s="214">
        <v>0</v>
      </c>
      <c r="K706" s="465"/>
      <c r="L706" s="465"/>
      <c r="M706" s="189"/>
      <c r="N706" s="730"/>
      <c r="O706" s="465"/>
      <c r="P706" s="465"/>
      <c r="Q706" s="541"/>
      <c r="R706" s="541"/>
      <c r="S706" s="541"/>
      <c r="T706" s="541"/>
      <c r="U706" s="541"/>
      <c r="V706" s="541"/>
      <c r="W706" s="541"/>
      <c r="X706" s="541"/>
      <c r="Y706" s="541"/>
      <c r="Z706" s="541"/>
    </row>
    <row r="707" spans="1:26" ht="18.75" hidden="1">
      <c r="A707" s="708"/>
      <c r="B707" s="727"/>
      <c r="C707" s="727"/>
      <c r="D707" s="727"/>
      <c r="E707" s="727"/>
      <c r="F707" s="727"/>
      <c r="G707" s="189"/>
      <c r="H707" s="728" t="s">
        <v>46</v>
      </c>
      <c r="I707" s="729">
        <f ca="1">IFERROR(__xludf.DUMMYFUNCTION("IMPORTRANGE(""https://docs.google.com/spreadsheets/d/1QqKyyYR6Q21VydFLVH3TRQUabQu_ym0Zz7PgGX0-kHA/edit?usp=sharing"",""แผน!IG19"")"),0)</f>
        <v>0</v>
      </c>
      <c r="J707" s="214">
        <v>0</v>
      </c>
      <c r="K707" s="465"/>
      <c r="L707" s="465"/>
      <c r="M707" s="189"/>
      <c r="N707" s="730"/>
      <c r="O707" s="465"/>
      <c r="P707" s="465"/>
      <c r="Q707" s="541"/>
      <c r="R707" s="541"/>
      <c r="S707" s="541"/>
      <c r="T707" s="541"/>
      <c r="U707" s="541"/>
      <c r="V707" s="541"/>
      <c r="W707" s="541"/>
      <c r="X707" s="541"/>
      <c r="Y707" s="541"/>
      <c r="Z707" s="541"/>
    </row>
    <row r="708" spans="1:26" ht="19.5" hidden="1">
      <c r="A708" s="708"/>
      <c r="B708" s="727"/>
      <c r="C708" s="727"/>
      <c r="D708" s="733" t="s">
        <v>299</v>
      </c>
      <c r="E708" s="727"/>
      <c r="F708" s="727"/>
      <c r="G708" s="189"/>
      <c r="H708" s="731" t="s">
        <v>46</v>
      </c>
      <c r="I708" s="732">
        <f ca="1">IFERROR(__xludf.DUMMYFUNCTION("IMPORTRANGE(""https://docs.google.com/spreadsheets/d/1QqKyyYR6Q21VydFLVH3TRQUabQu_ym0Zz7PgGX0-kHA/edit?usp=sharing"",""แผน!IH19"")"),0)</f>
        <v>0</v>
      </c>
      <c r="J708" s="647">
        <f>J714+J717</f>
        <v>0</v>
      </c>
      <c r="K708" s="195">
        <f ca="1">IF(I708&gt;0,J708*100/I708,0)</f>
        <v>0</v>
      </c>
      <c r="L708" s="465"/>
      <c r="M708" s="189"/>
      <c r="N708" s="730"/>
      <c r="O708" s="465"/>
      <c r="P708" s="465"/>
      <c r="Q708" s="541"/>
      <c r="R708" s="541"/>
      <c r="S708" s="541"/>
      <c r="T708" s="541"/>
      <c r="U708" s="541"/>
      <c r="V708" s="541"/>
      <c r="W708" s="541"/>
      <c r="X708" s="541"/>
      <c r="Y708" s="541"/>
      <c r="Z708" s="541"/>
    </row>
    <row r="709" spans="1:26" ht="18.75" hidden="1">
      <c r="A709" s="708"/>
      <c r="B709" s="727"/>
      <c r="C709" s="727"/>
      <c r="D709" s="727"/>
      <c r="E709" s="727" t="s">
        <v>300</v>
      </c>
      <c r="F709" s="727"/>
      <c r="G709" s="189"/>
      <c r="H709" s="728" t="s">
        <v>34</v>
      </c>
      <c r="I709" s="729"/>
      <c r="J709" s="214">
        <v>0</v>
      </c>
      <c r="K709" s="465"/>
      <c r="L709" s="730"/>
      <c r="M709" s="189"/>
      <c r="N709" s="730"/>
      <c r="O709" s="465"/>
      <c r="P709" s="465"/>
      <c r="Q709" s="541"/>
      <c r="R709" s="541"/>
      <c r="S709" s="541"/>
      <c r="T709" s="541"/>
      <c r="U709" s="541"/>
      <c r="V709" s="541"/>
      <c r="W709" s="541"/>
      <c r="X709" s="541"/>
      <c r="Y709" s="541"/>
      <c r="Z709" s="541"/>
    </row>
    <row r="710" spans="1:26" ht="18.75" hidden="1">
      <c r="A710" s="708"/>
      <c r="B710" s="727"/>
      <c r="C710" s="727"/>
      <c r="D710" s="727"/>
      <c r="E710" s="727"/>
      <c r="F710" s="727"/>
      <c r="G710" s="189"/>
      <c r="H710" s="728" t="s">
        <v>46</v>
      </c>
      <c r="I710" s="729"/>
      <c r="J710" s="214">
        <v>0</v>
      </c>
      <c r="K710" s="465"/>
      <c r="L710" s="730"/>
      <c r="M710" s="189"/>
      <c r="N710" s="730"/>
      <c r="O710" s="465"/>
      <c r="P710" s="465"/>
      <c r="Q710" s="541"/>
      <c r="R710" s="541"/>
      <c r="S710" s="541"/>
      <c r="T710" s="541"/>
      <c r="U710" s="541"/>
      <c r="V710" s="541"/>
      <c r="W710" s="541"/>
      <c r="X710" s="541"/>
      <c r="Y710" s="541"/>
      <c r="Z710" s="541"/>
    </row>
    <row r="711" spans="1:26" ht="18.75" hidden="1">
      <c r="A711" s="708"/>
      <c r="B711" s="727"/>
      <c r="C711" s="727"/>
      <c r="D711" s="727"/>
      <c r="E711" s="727" t="s">
        <v>301</v>
      </c>
      <c r="F711" s="727"/>
      <c r="G711" s="189"/>
      <c r="H711" s="726"/>
      <c r="I711" s="729"/>
      <c r="J711" s="269"/>
      <c r="K711" s="465"/>
      <c r="L711" s="730"/>
      <c r="M711" s="189"/>
      <c r="N711" s="730"/>
      <c r="O711" s="465"/>
      <c r="P711" s="465"/>
      <c r="Q711" s="541"/>
      <c r="R711" s="541"/>
      <c r="S711" s="541"/>
      <c r="T711" s="541"/>
      <c r="U711" s="541"/>
      <c r="V711" s="541"/>
      <c r="W711" s="541"/>
      <c r="X711" s="541"/>
      <c r="Y711" s="541"/>
      <c r="Z711" s="541"/>
    </row>
    <row r="712" spans="1:26" ht="18.75" hidden="1">
      <c r="A712" s="708"/>
      <c r="B712" s="727"/>
      <c r="C712" s="727"/>
      <c r="D712" s="727"/>
      <c r="E712" s="727"/>
      <c r="F712" s="727" t="s">
        <v>302</v>
      </c>
      <c r="G712" s="189"/>
      <c r="H712" s="728" t="s">
        <v>35</v>
      </c>
      <c r="I712" s="729"/>
      <c r="J712" s="214">
        <v>0</v>
      </c>
      <c r="K712" s="465"/>
      <c r="L712" s="730"/>
      <c r="M712" s="189"/>
      <c r="N712" s="730"/>
      <c r="O712" s="465"/>
      <c r="P712" s="465"/>
      <c r="Q712" s="541"/>
      <c r="R712" s="541"/>
      <c r="S712" s="541"/>
      <c r="T712" s="541"/>
      <c r="U712" s="541"/>
      <c r="V712" s="541"/>
      <c r="W712" s="541"/>
      <c r="X712" s="541"/>
      <c r="Y712" s="541"/>
      <c r="Z712" s="541"/>
    </row>
    <row r="713" spans="1:26" ht="18.75" hidden="1">
      <c r="A713" s="708"/>
      <c r="B713" s="727"/>
      <c r="C713" s="727"/>
      <c r="D713" s="727"/>
      <c r="E713" s="727"/>
      <c r="F713" s="727"/>
      <c r="G713" s="189"/>
      <c r="H713" s="728" t="s">
        <v>34</v>
      </c>
      <c r="I713" s="729"/>
      <c r="J713" s="214">
        <v>0</v>
      </c>
      <c r="K713" s="465"/>
      <c r="L713" s="730"/>
      <c r="M713" s="189"/>
      <c r="N713" s="730"/>
      <c r="O713" s="465"/>
      <c r="P713" s="465"/>
      <c r="Q713" s="541"/>
      <c r="R713" s="541"/>
      <c r="S713" s="541"/>
      <c r="T713" s="541"/>
      <c r="U713" s="541"/>
      <c r="V713" s="541"/>
      <c r="W713" s="541"/>
      <c r="X713" s="541"/>
      <c r="Y713" s="541"/>
      <c r="Z713" s="541"/>
    </row>
    <row r="714" spans="1:26" ht="18.75" hidden="1">
      <c r="A714" s="708"/>
      <c r="B714" s="727"/>
      <c r="C714" s="727"/>
      <c r="D714" s="727"/>
      <c r="E714" s="727"/>
      <c r="F714" s="727"/>
      <c r="G714" s="189"/>
      <c r="H714" s="728" t="s">
        <v>46</v>
      </c>
      <c r="I714" s="729"/>
      <c r="J714" s="214">
        <v>0</v>
      </c>
      <c r="K714" s="465"/>
      <c r="L714" s="730"/>
      <c r="M714" s="189"/>
      <c r="N714" s="730"/>
      <c r="O714" s="465"/>
      <c r="P714" s="465"/>
      <c r="Q714" s="541"/>
      <c r="R714" s="541"/>
      <c r="S714" s="541"/>
      <c r="T714" s="541"/>
      <c r="U714" s="541"/>
      <c r="V714" s="541"/>
      <c r="W714" s="541"/>
      <c r="X714" s="541"/>
      <c r="Y714" s="541"/>
      <c r="Z714" s="541"/>
    </row>
    <row r="715" spans="1:26" ht="18.75" hidden="1">
      <c r="A715" s="708"/>
      <c r="B715" s="727"/>
      <c r="C715" s="727"/>
      <c r="D715" s="727"/>
      <c r="E715" s="727"/>
      <c r="F715" s="727" t="s">
        <v>303</v>
      </c>
      <c r="G715" s="189"/>
      <c r="H715" s="728" t="s">
        <v>35</v>
      </c>
      <c r="I715" s="729"/>
      <c r="J715" s="214">
        <v>0</v>
      </c>
      <c r="K715" s="465"/>
      <c r="L715" s="730"/>
      <c r="M715" s="189"/>
      <c r="N715" s="730"/>
      <c r="O715" s="465"/>
      <c r="P715" s="465"/>
      <c r="Q715" s="541"/>
      <c r="R715" s="541"/>
      <c r="S715" s="541"/>
      <c r="T715" s="541"/>
      <c r="U715" s="541"/>
      <c r="V715" s="541"/>
      <c r="W715" s="541"/>
      <c r="X715" s="541"/>
      <c r="Y715" s="541"/>
      <c r="Z715" s="541"/>
    </row>
    <row r="716" spans="1:26" ht="18.75" hidden="1">
      <c r="A716" s="708"/>
      <c r="B716" s="727"/>
      <c r="C716" s="727"/>
      <c r="D716" s="727"/>
      <c r="E716" s="727"/>
      <c r="F716" s="727"/>
      <c r="G716" s="189"/>
      <c r="H716" s="728" t="s">
        <v>34</v>
      </c>
      <c r="I716" s="729"/>
      <c r="J716" s="214">
        <v>0</v>
      </c>
      <c r="K716" s="465"/>
      <c r="L716" s="730"/>
      <c r="M716" s="189"/>
      <c r="N716" s="730"/>
      <c r="O716" s="465"/>
      <c r="P716" s="465"/>
      <c r="Q716" s="541"/>
      <c r="R716" s="541"/>
      <c r="S716" s="541"/>
      <c r="T716" s="541"/>
      <c r="U716" s="541"/>
      <c r="V716" s="541"/>
      <c r="W716" s="541"/>
      <c r="X716" s="541"/>
      <c r="Y716" s="541"/>
      <c r="Z716" s="541"/>
    </row>
    <row r="717" spans="1:26" ht="18.75" hidden="1">
      <c r="A717" s="708"/>
      <c r="B717" s="727"/>
      <c r="C717" s="727"/>
      <c r="D717" s="727"/>
      <c r="E717" s="727"/>
      <c r="F717" s="727"/>
      <c r="G717" s="189"/>
      <c r="H717" s="728" t="s">
        <v>46</v>
      </c>
      <c r="I717" s="729"/>
      <c r="J717" s="214">
        <v>0</v>
      </c>
      <c r="K717" s="465"/>
      <c r="L717" s="730"/>
      <c r="M717" s="189"/>
      <c r="N717" s="730"/>
      <c r="O717" s="465"/>
      <c r="P717" s="465"/>
      <c r="Q717" s="541"/>
      <c r="R717" s="541"/>
      <c r="S717" s="541"/>
      <c r="T717" s="541"/>
      <c r="U717" s="541"/>
      <c r="V717" s="541"/>
      <c r="W717" s="541"/>
      <c r="X717" s="541"/>
      <c r="Y717" s="541"/>
      <c r="Z717" s="541"/>
    </row>
    <row r="718" spans="1:26" ht="18.75" hidden="1">
      <c r="A718" s="708"/>
      <c r="B718" s="727"/>
      <c r="C718" s="727"/>
      <c r="D718" s="727" t="s">
        <v>304</v>
      </c>
      <c r="E718" s="727"/>
      <c r="F718" s="727"/>
      <c r="G718" s="189"/>
      <c r="H718" s="728" t="s">
        <v>35</v>
      </c>
      <c r="I718" s="729"/>
      <c r="J718" s="269">
        <f ca="1">IFERROR(__xludf.DUMMYFUNCTION("IMPORTRANGE(""https://docs.google.com/spreadsheets/d/1XWAQStnk-4SwqDmLtmXYiTMKHgktTP8We1SCoS47DrQ/edit?usp=sharing"",""จัดที่ดิน!BF19"")"),0)</f>
        <v>0</v>
      </c>
      <c r="K718" s="465"/>
      <c r="L718" s="465"/>
      <c r="M718" s="189"/>
      <c r="N718" s="730"/>
      <c r="O718" s="465"/>
      <c r="P718" s="465"/>
      <c r="Q718" s="541"/>
      <c r="R718" s="541"/>
      <c r="S718" s="541"/>
      <c r="T718" s="541"/>
      <c r="U718" s="541"/>
      <c r="V718" s="541"/>
      <c r="W718" s="541"/>
      <c r="X718" s="541"/>
      <c r="Y718" s="541"/>
      <c r="Z718" s="541"/>
    </row>
    <row r="719" spans="1:26" ht="18.75" hidden="1">
      <c r="A719" s="708"/>
      <c r="B719" s="727"/>
      <c r="C719" s="727"/>
      <c r="D719" s="727"/>
      <c r="E719" s="727"/>
      <c r="F719" s="727"/>
      <c r="G719" s="189"/>
      <c r="H719" s="728" t="s">
        <v>34</v>
      </c>
      <c r="I719" s="729"/>
      <c r="J719" s="269">
        <f ca="1">IFERROR(__xludf.DUMMYFUNCTION("IMPORTRANGE(""https://docs.google.com/spreadsheets/d/1XWAQStnk-4SwqDmLtmXYiTMKHgktTP8We1SCoS47DrQ/edit?usp=sharing"",""จัดที่ดิน!BG19"")"),0)</f>
        <v>0</v>
      </c>
      <c r="K719" s="465"/>
      <c r="L719" s="730"/>
      <c r="M719" s="189"/>
      <c r="N719" s="730"/>
      <c r="O719" s="465"/>
      <c r="P719" s="465"/>
      <c r="Q719" s="541"/>
      <c r="R719" s="541"/>
      <c r="S719" s="541"/>
      <c r="T719" s="541"/>
      <c r="U719" s="541"/>
      <c r="V719" s="541"/>
      <c r="W719" s="541"/>
      <c r="X719" s="541"/>
      <c r="Y719" s="541"/>
      <c r="Z719" s="541"/>
    </row>
    <row r="720" spans="1:26" ht="18.75" hidden="1">
      <c r="A720" s="708"/>
      <c r="B720" s="727"/>
      <c r="C720" s="727"/>
      <c r="D720" s="727"/>
      <c r="E720" s="727"/>
      <c r="F720" s="727"/>
      <c r="G720" s="189"/>
      <c r="H720" s="728" t="s">
        <v>46</v>
      </c>
      <c r="I720" s="729">
        <f ca="1">IFERROR(__xludf.DUMMYFUNCTION("IMPORTRANGE(""https://docs.google.com/spreadsheets/d/1QqKyyYR6Q21VydFLVH3TRQUabQu_ym0Zz7PgGX0-kHA/edit?usp=sharing"",""แผน!II19"")"),0)</f>
        <v>0</v>
      </c>
      <c r="J720" s="269">
        <f ca="1">IFERROR(__xludf.DUMMYFUNCTION("IMPORTRANGE(""https://docs.google.com/spreadsheets/d/1XWAQStnk-4SwqDmLtmXYiTMKHgktTP8We1SCoS47DrQ/edit?usp=sharing"",""จัดที่ดิน!BH19"")"),0)</f>
        <v>0</v>
      </c>
      <c r="K720" s="465">
        <f t="shared" ref="K720:K723" ca="1" si="290">IF(I720&gt;0,J720*100/I720,0)</f>
        <v>0</v>
      </c>
      <c r="L720" s="730"/>
      <c r="M720" s="189"/>
      <c r="N720" s="730"/>
      <c r="O720" s="465"/>
      <c r="P720" s="465"/>
      <c r="Q720" s="541"/>
      <c r="R720" s="541"/>
      <c r="S720" s="541"/>
      <c r="T720" s="541"/>
      <c r="U720" s="541"/>
      <c r="V720" s="541"/>
      <c r="W720" s="541"/>
      <c r="X720" s="541"/>
      <c r="Y720" s="541"/>
      <c r="Z720" s="541"/>
    </row>
    <row r="721" spans="1:26" ht="19.5" hidden="1">
      <c r="A721" s="708"/>
      <c r="B721" s="727"/>
      <c r="C721" s="727"/>
      <c r="D721" s="727" t="s">
        <v>305</v>
      </c>
      <c r="E721" s="727"/>
      <c r="F721" s="727"/>
      <c r="G721" s="189"/>
      <c r="H721" s="731" t="s">
        <v>35</v>
      </c>
      <c r="I721" s="732">
        <f ca="1">IFERROR(__xludf.DUMMYFUNCTION("IMPORTRANGE(""https://docs.google.com/spreadsheets/d/1QqKyyYR6Q21VydFLVH3TRQUabQu_ym0Zz7PgGX0-kHA/edit?usp=sharing"",""แผน!IJ19"")"),0)</f>
        <v>0</v>
      </c>
      <c r="J721" s="647">
        <f ca="1">J723+J726</f>
        <v>0</v>
      </c>
      <c r="K721" s="195">
        <f t="shared" ca="1" si="290"/>
        <v>0</v>
      </c>
      <c r="L721" s="730"/>
      <c r="M721" s="189"/>
      <c r="N721" s="730"/>
      <c r="O721" s="465"/>
      <c r="P721" s="465"/>
      <c r="Q721" s="541"/>
      <c r="R721" s="541"/>
      <c r="S721" s="541"/>
      <c r="T721" s="541"/>
      <c r="U721" s="541"/>
      <c r="V721" s="541"/>
      <c r="W721" s="541"/>
      <c r="X721" s="541"/>
      <c r="Y721" s="541"/>
      <c r="Z721" s="541"/>
    </row>
    <row r="722" spans="1:26" ht="19.5" hidden="1">
      <c r="A722" s="708"/>
      <c r="B722" s="727"/>
      <c r="C722" s="727"/>
      <c r="D722" s="727"/>
      <c r="E722" s="727"/>
      <c r="F722" s="727"/>
      <c r="G722" s="189"/>
      <c r="H722" s="731" t="s">
        <v>46</v>
      </c>
      <c r="I722" s="732">
        <f ca="1">IFERROR(__xludf.DUMMYFUNCTION("IMPORTRANGE(""https://docs.google.com/spreadsheets/d/1QqKyyYR6Q21VydFLVH3TRQUabQu_ym0Zz7PgGX0-kHA/edit?usp=sharing"",""แผน!IK19"")"),0)</f>
        <v>0</v>
      </c>
      <c r="J722" s="647">
        <f ca="1">J725+J728</f>
        <v>0</v>
      </c>
      <c r="K722" s="195">
        <f t="shared" ca="1" si="290"/>
        <v>0</v>
      </c>
      <c r="L722" s="465"/>
      <c r="M722" s="189"/>
      <c r="N722" s="730"/>
      <c r="O722" s="465"/>
      <c r="P722" s="465"/>
      <c r="Q722" s="541"/>
      <c r="R722" s="541"/>
      <c r="S722" s="541"/>
      <c r="T722" s="541"/>
      <c r="U722" s="541"/>
      <c r="V722" s="541"/>
      <c r="W722" s="541"/>
      <c r="X722" s="541"/>
      <c r="Y722" s="541"/>
      <c r="Z722" s="541"/>
    </row>
    <row r="723" spans="1:26" ht="18.75" hidden="1">
      <c r="A723" s="708"/>
      <c r="B723" s="727"/>
      <c r="C723" s="727"/>
      <c r="D723" s="727"/>
      <c r="E723" s="727" t="s">
        <v>306</v>
      </c>
      <c r="F723" s="727"/>
      <c r="G723" s="189"/>
      <c r="H723" s="728" t="s">
        <v>35</v>
      </c>
      <c r="I723" s="729">
        <f ca="1">IFERROR(__xludf.DUMMYFUNCTION("IMPORTRANGE(""https://docs.google.com/spreadsheets/d/1QqKyyYR6Q21VydFLVH3TRQUabQu_ym0Zz7PgGX0-kHA/edit?usp=sharing"",""แผน!IL19"")"),0)</f>
        <v>0</v>
      </c>
      <c r="J723" s="269">
        <f ca="1">IFERROR(__xludf.DUMMYFUNCTION("IMPORTRANGE(""https://docs.google.com/spreadsheets/d/1XWAQStnk-4SwqDmLtmXYiTMKHgktTP8We1SCoS47DrQ/edit?usp=sharing"",""จัดที่ดิน!BM19"")"),0)</f>
        <v>0</v>
      </c>
      <c r="K723" s="465">
        <f t="shared" ca="1" si="290"/>
        <v>0</v>
      </c>
      <c r="L723" s="465"/>
      <c r="M723" s="189"/>
      <c r="N723" s="730"/>
      <c r="O723" s="465"/>
      <c r="P723" s="465"/>
      <c r="Q723" s="541"/>
      <c r="R723" s="541"/>
      <c r="S723" s="541"/>
      <c r="T723" s="541"/>
      <c r="U723" s="541"/>
      <c r="V723" s="541"/>
      <c r="W723" s="541"/>
      <c r="X723" s="541"/>
      <c r="Y723" s="541"/>
      <c r="Z723" s="541"/>
    </row>
    <row r="724" spans="1:26" ht="18.75" hidden="1">
      <c r="A724" s="708"/>
      <c r="B724" s="727"/>
      <c r="C724" s="727"/>
      <c r="D724" s="727"/>
      <c r="E724" s="727"/>
      <c r="F724" s="727"/>
      <c r="G724" s="189"/>
      <c r="H724" s="728" t="s">
        <v>34</v>
      </c>
      <c r="I724" s="729"/>
      <c r="J724" s="269">
        <f ca="1">IFERROR(__xludf.DUMMYFUNCTION("IMPORTRANGE(""https://docs.google.com/spreadsheets/d/1XWAQStnk-4SwqDmLtmXYiTMKHgktTP8We1SCoS47DrQ/edit?usp=sharing"",""จัดที่ดิน!BN19"")"),0)</f>
        <v>0</v>
      </c>
      <c r="K724" s="465"/>
      <c r="L724" s="730"/>
      <c r="M724" s="189"/>
      <c r="N724" s="730"/>
      <c r="O724" s="465"/>
      <c r="P724" s="465"/>
      <c r="Q724" s="541"/>
      <c r="R724" s="541"/>
      <c r="S724" s="541"/>
      <c r="T724" s="541"/>
      <c r="U724" s="541"/>
      <c r="V724" s="541"/>
      <c r="W724" s="541"/>
      <c r="X724" s="541"/>
      <c r="Y724" s="541"/>
      <c r="Z724" s="541"/>
    </row>
    <row r="725" spans="1:26" ht="18.75" hidden="1">
      <c r="A725" s="708"/>
      <c r="B725" s="727"/>
      <c r="C725" s="727"/>
      <c r="D725" s="727"/>
      <c r="E725" s="727"/>
      <c r="F725" s="727"/>
      <c r="G725" s="189"/>
      <c r="H725" s="728" t="s">
        <v>46</v>
      </c>
      <c r="I725" s="729">
        <f ca="1">IFERROR(__xludf.DUMMYFUNCTION("IMPORTRANGE(""https://docs.google.com/spreadsheets/d/1QqKyyYR6Q21VydFLVH3TRQUabQu_ym0Zz7PgGX0-kHA/edit?usp=sharing"",""แผน!IM19"")"),0)</f>
        <v>0</v>
      </c>
      <c r="J725" s="269">
        <f ca="1">IFERROR(__xludf.DUMMYFUNCTION("IMPORTRANGE(""https://docs.google.com/spreadsheets/d/1XWAQStnk-4SwqDmLtmXYiTMKHgktTP8We1SCoS47DrQ/edit?usp=sharing"",""จัดที่ดิน!BO19"")"),0)</f>
        <v>0</v>
      </c>
      <c r="K725" s="465">
        <f t="shared" ref="K725:K726" ca="1" si="291">IF(I725&gt;0,J725*100/I725,0)</f>
        <v>0</v>
      </c>
      <c r="L725" s="730"/>
      <c r="M725" s="189"/>
      <c r="N725" s="730"/>
      <c r="O725" s="465"/>
      <c r="P725" s="465"/>
      <c r="Q725" s="541"/>
      <c r="R725" s="541"/>
      <c r="S725" s="541"/>
      <c r="T725" s="541"/>
      <c r="U725" s="541"/>
      <c r="V725" s="541"/>
      <c r="W725" s="541"/>
      <c r="X725" s="541"/>
      <c r="Y725" s="541"/>
      <c r="Z725" s="541"/>
    </row>
    <row r="726" spans="1:26" ht="18.75" hidden="1">
      <c r="A726" s="708"/>
      <c r="B726" s="727"/>
      <c r="C726" s="727"/>
      <c r="D726" s="727"/>
      <c r="E726" s="727" t="s">
        <v>307</v>
      </c>
      <c r="F726" s="727"/>
      <c r="G726" s="189"/>
      <c r="H726" s="728" t="s">
        <v>35</v>
      </c>
      <c r="I726" s="729">
        <f ca="1">IFERROR(__xludf.DUMMYFUNCTION("IMPORTRANGE(""https://docs.google.com/spreadsheets/d/1QqKyyYR6Q21VydFLVH3TRQUabQu_ym0Zz7PgGX0-kHA/edit?usp=sharing"",""แผน!IN19"")"),0)</f>
        <v>0</v>
      </c>
      <c r="J726" s="269">
        <f ca="1">IFERROR(__xludf.DUMMYFUNCTION("IMPORTRANGE(""https://docs.google.com/spreadsheets/d/1XWAQStnk-4SwqDmLtmXYiTMKHgktTP8We1SCoS47DrQ/edit?usp=sharing"",""จัดที่ดิน!BR19"")"),0)</f>
        <v>0</v>
      </c>
      <c r="K726" s="465">
        <f t="shared" ca="1" si="291"/>
        <v>0</v>
      </c>
      <c r="L726" s="465"/>
      <c r="M726" s="189"/>
      <c r="N726" s="730"/>
      <c r="O726" s="465"/>
      <c r="P726" s="465"/>
      <c r="Q726" s="541"/>
      <c r="R726" s="541"/>
      <c r="S726" s="541"/>
      <c r="T726" s="541"/>
      <c r="U726" s="541"/>
      <c r="V726" s="541"/>
      <c r="W726" s="541"/>
      <c r="X726" s="541"/>
      <c r="Y726" s="541"/>
      <c r="Z726" s="541"/>
    </row>
    <row r="727" spans="1:26" ht="18.75" hidden="1">
      <c r="A727" s="708"/>
      <c r="B727" s="727"/>
      <c r="C727" s="727"/>
      <c r="D727" s="727"/>
      <c r="E727" s="727"/>
      <c r="F727" s="727"/>
      <c r="G727" s="189"/>
      <c r="H727" s="728" t="s">
        <v>34</v>
      </c>
      <c r="I727" s="729"/>
      <c r="J727" s="269">
        <f ca="1">IFERROR(__xludf.DUMMYFUNCTION("IMPORTRANGE(""https://docs.google.com/spreadsheets/d/1XWAQStnk-4SwqDmLtmXYiTMKHgktTP8We1SCoS47DrQ/edit?usp=sharing"",""จัดที่ดิน!BS19"")"),0)</f>
        <v>0</v>
      </c>
      <c r="K727" s="465"/>
      <c r="L727" s="730"/>
      <c r="M727" s="189"/>
      <c r="N727" s="730"/>
      <c r="O727" s="465"/>
      <c r="P727" s="465"/>
      <c r="Q727" s="541"/>
      <c r="R727" s="541"/>
      <c r="S727" s="541"/>
      <c r="T727" s="541"/>
      <c r="U727" s="541"/>
      <c r="V727" s="541"/>
      <c r="W727" s="541"/>
      <c r="X727" s="541"/>
      <c r="Y727" s="541"/>
      <c r="Z727" s="541"/>
    </row>
    <row r="728" spans="1:26" ht="18.75" hidden="1">
      <c r="A728" s="708"/>
      <c r="B728" s="727"/>
      <c r="C728" s="727"/>
      <c r="D728" s="727"/>
      <c r="E728" s="727"/>
      <c r="F728" s="727"/>
      <c r="G728" s="189"/>
      <c r="H728" s="728" t="s">
        <v>46</v>
      </c>
      <c r="I728" s="729">
        <f ca="1">IFERROR(__xludf.DUMMYFUNCTION("IMPORTRANGE(""https://docs.google.com/spreadsheets/d/1QqKyyYR6Q21VydFLVH3TRQUabQu_ym0Zz7PgGX0-kHA/edit?usp=sharing"",""แผน!IO19"")"),0)</f>
        <v>0</v>
      </c>
      <c r="J728" s="269">
        <f ca="1">IFERROR(__xludf.DUMMYFUNCTION("IMPORTRANGE(""https://docs.google.com/spreadsheets/d/1XWAQStnk-4SwqDmLtmXYiTMKHgktTP8We1SCoS47DrQ/edit?usp=sharing"",""จัดที่ดิน!BT19"")"),0)</f>
        <v>0</v>
      </c>
      <c r="K728" s="465">
        <f t="shared" ref="K728:K729" ca="1" si="292">IF(I728&gt;0,J728*100/I728,0)</f>
        <v>0</v>
      </c>
      <c r="L728" s="730"/>
      <c r="M728" s="189"/>
      <c r="N728" s="730"/>
      <c r="O728" s="465"/>
      <c r="P728" s="465"/>
      <c r="Q728" s="541"/>
      <c r="R728" s="541"/>
      <c r="S728" s="541"/>
      <c r="T728" s="541"/>
      <c r="U728" s="541"/>
      <c r="V728" s="541"/>
      <c r="W728" s="541"/>
      <c r="X728" s="541"/>
      <c r="Y728" s="541"/>
      <c r="Z728" s="541"/>
    </row>
    <row r="729" spans="1:26" ht="19.5" hidden="1">
      <c r="A729" s="708"/>
      <c r="B729" s="727"/>
      <c r="C729" s="727"/>
      <c r="D729" s="727" t="s">
        <v>308</v>
      </c>
      <c r="E729" s="727"/>
      <c r="F729" s="727"/>
      <c r="G729" s="189"/>
      <c r="H729" s="731" t="s">
        <v>46</v>
      </c>
      <c r="I729" s="732">
        <f ca="1">IFERROR(__xludf.DUMMYFUNCTION("IMPORTRANGE(""https://docs.google.com/spreadsheets/d/1QqKyyYR6Q21VydFLVH3TRQUabQu_ym0Zz7PgGX0-kHA/edit?usp=sharing"",""แผน!IP19"")"),0)</f>
        <v>0</v>
      </c>
      <c r="J729" s="647">
        <f>J732+J735</f>
        <v>0</v>
      </c>
      <c r="K729" s="195">
        <f t="shared" ca="1" si="292"/>
        <v>0</v>
      </c>
      <c r="L729" s="465"/>
      <c r="M729" s="189"/>
      <c r="N729" s="730"/>
      <c r="O729" s="465"/>
      <c r="P729" s="465"/>
      <c r="Q729" s="541"/>
      <c r="R729" s="541"/>
      <c r="S729" s="541"/>
      <c r="T729" s="541"/>
      <c r="U729" s="541"/>
      <c r="V729" s="541"/>
      <c r="W729" s="541"/>
      <c r="X729" s="541"/>
      <c r="Y729" s="541"/>
      <c r="Z729" s="541"/>
    </row>
    <row r="730" spans="1:26" ht="18.75" hidden="1">
      <c r="A730" s="708"/>
      <c r="B730" s="727"/>
      <c r="C730" s="727"/>
      <c r="D730" s="727"/>
      <c r="E730" s="727" t="s">
        <v>309</v>
      </c>
      <c r="F730" s="727"/>
      <c r="G730" s="189"/>
      <c r="H730" s="728" t="s">
        <v>35</v>
      </c>
      <c r="I730" s="729"/>
      <c r="J730" s="214">
        <v>0</v>
      </c>
      <c r="K730" s="465"/>
      <c r="L730" s="730"/>
      <c r="M730" s="465"/>
      <c r="N730" s="730"/>
      <c r="O730" s="465"/>
      <c r="P730" s="465"/>
      <c r="Q730" s="541"/>
      <c r="R730" s="541"/>
      <c r="S730" s="541"/>
      <c r="T730" s="541"/>
      <c r="U730" s="541"/>
      <c r="V730" s="541"/>
      <c r="W730" s="541"/>
      <c r="X730" s="541"/>
      <c r="Y730" s="541"/>
      <c r="Z730" s="541"/>
    </row>
    <row r="731" spans="1:26" ht="18.75" hidden="1">
      <c r="A731" s="708"/>
      <c r="B731" s="727"/>
      <c r="C731" s="727"/>
      <c r="D731" s="727"/>
      <c r="E731" s="727"/>
      <c r="F731" s="727"/>
      <c r="G731" s="189"/>
      <c r="H731" s="728" t="s">
        <v>34</v>
      </c>
      <c r="I731" s="729"/>
      <c r="J731" s="214">
        <v>0</v>
      </c>
      <c r="K731" s="465"/>
      <c r="L731" s="730"/>
      <c r="M731" s="465"/>
      <c r="N731" s="730"/>
      <c r="O731" s="465"/>
      <c r="P731" s="465"/>
      <c r="Q731" s="541"/>
      <c r="R731" s="541"/>
      <c r="S731" s="541"/>
      <c r="T731" s="541"/>
      <c r="U731" s="541"/>
      <c r="V731" s="541"/>
      <c r="W731" s="541"/>
      <c r="X731" s="541"/>
      <c r="Y731" s="541"/>
      <c r="Z731" s="541"/>
    </row>
    <row r="732" spans="1:26" ht="18.75" hidden="1">
      <c r="A732" s="708"/>
      <c r="B732" s="727"/>
      <c r="C732" s="727"/>
      <c r="D732" s="727"/>
      <c r="E732" s="727"/>
      <c r="F732" s="727"/>
      <c r="G732" s="189"/>
      <c r="H732" s="728" t="s">
        <v>46</v>
      </c>
      <c r="I732" s="729"/>
      <c r="J732" s="214">
        <v>0</v>
      </c>
      <c r="K732" s="465"/>
      <c r="L732" s="730"/>
      <c r="M732" s="465"/>
      <c r="N732" s="730"/>
      <c r="O732" s="465"/>
      <c r="P732" s="465"/>
      <c r="Q732" s="541"/>
      <c r="R732" s="541"/>
      <c r="S732" s="541"/>
      <c r="T732" s="541"/>
      <c r="U732" s="541"/>
      <c r="V732" s="541"/>
      <c r="W732" s="541"/>
      <c r="X732" s="541"/>
      <c r="Y732" s="541"/>
      <c r="Z732" s="541"/>
    </row>
    <row r="733" spans="1:26" ht="18.75" hidden="1">
      <c r="A733" s="708"/>
      <c r="B733" s="727"/>
      <c r="C733" s="727"/>
      <c r="D733" s="727"/>
      <c r="E733" s="727" t="s">
        <v>310</v>
      </c>
      <c r="F733" s="727"/>
      <c r="G733" s="189"/>
      <c r="H733" s="728" t="s">
        <v>35</v>
      </c>
      <c r="I733" s="729"/>
      <c r="J733" s="214">
        <v>0</v>
      </c>
      <c r="K733" s="465"/>
      <c r="L733" s="730"/>
      <c r="M733" s="465"/>
      <c r="N733" s="730"/>
      <c r="O733" s="465"/>
      <c r="P733" s="465"/>
      <c r="Q733" s="541"/>
      <c r="R733" s="541"/>
      <c r="S733" s="541"/>
      <c r="T733" s="541"/>
      <c r="U733" s="541"/>
      <c r="V733" s="541"/>
      <c r="W733" s="541"/>
      <c r="X733" s="541"/>
      <c r="Y733" s="541"/>
      <c r="Z733" s="541"/>
    </row>
    <row r="734" spans="1:26" ht="18.75" hidden="1">
      <c r="A734" s="708"/>
      <c r="B734" s="727"/>
      <c r="C734" s="727"/>
      <c r="D734" s="727"/>
      <c r="E734" s="727"/>
      <c r="F734" s="727"/>
      <c r="G734" s="189"/>
      <c r="H734" s="728" t="s">
        <v>34</v>
      </c>
      <c r="I734" s="729"/>
      <c r="J734" s="214">
        <v>0</v>
      </c>
      <c r="K734" s="465"/>
      <c r="L734" s="730"/>
      <c r="M734" s="465"/>
      <c r="N734" s="730"/>
      <c r="O734" s="465"/>
      <c r="P734" s="465"/>
      <c r="Q734" s="541"/>
      <c r="R734" s="541"/>
      <c r="S734" s="541"/>
      <c r="T734" s="541"/>
      <c r="U734" s="541"/>
      <c r="V734" s="541"/>
      <c r="W734" s="541"/>
      <c r="X734" s="541"/>
      <c r="Y734" s="541"/>
      <c r="Z734" s="541"/>
    </row>
    <row r="735" spans="1:26" ht="19.5" hidden="1">
      <c r="A735" s="734"/>
      <c r="B735" s="735" t="s">
        <v>311</v>
      </c>
      <c r="C735" s="698"/>
      <c r="D735" s="698"/>
      <c r="E735" s="698"/>
      <c r="F735" s="698"/>
      <c r="G735" s="699"/>
      <c r="H735" s="390" t="s">
        <v>46</v>
      </c>
      <c r="I735" s="736"/>
      <c r="J735" s="392">
        <v>0</v>
      </c>
      <c r="K735" s="469"/>
      <c r="L735" s="737"/>
      <c r="M735" s="469"/>
      <c r="N735" s="737"/>
      <c r="O735" s="469"/>
      <c r="P735" s="469"/>
      <c r="Q735" s="541"/>
      <c r="R735" s="541"/>
      <c r="S735" s="541"/>
      <c r="T735" s="541"/>
      <c r="U735" s="541"/>
      <c r="V735" s="541"/>
      <c r="W735" s="541"/>
      <c r="X735" s="541"/>
      <c r="Y735" s="541"/>
      <c r="Z735" s="541"/>
    </row>
    <row r="736" spans="1:26" ht="19.5" hidden="1">
      <c r="A736" s="738">
        <v>9</v>
      </c>
      <c r="B736" s="739" t="s">
        <v>312</v>
      </c>
      <c r="C736" s="740"/>
      <c r="D736" s="740"/>
      <c r="E736" s="740"/>
      <c r="F736" s="740"/>
      <c r="G736" s="741"/>
      <c r="H736" s="742" t="s">
        <v>46</v>
      </c>
      <c r="I736" s="743"/>
      <c r="J736" s="743">
        <f>J751</f>
        <v>0</v>
      </c>
      <c r="K736" s="744">
        <f>IF(I736&gt;0,J736*100/I736,0)</f>
        <v>0</v>
      </c>
      <c r="L736" s="745"/>
      <c r="M736" s="745"/>
      <c r="N736" s="745"/>
      <c r="O736" s="745"/>
      <c r="P736" s="745"/>
      <c r="Q736" s="568"/>
      <c r="R736" s="568"/>
      <c r="S736" s="568"/>
      <c r="T736" s="568"/>
      <c r="U736" s="568"/>
      <c r="V736" s="568"/>
      <c r="W736" s="568"/>
      <c r="X736" s="568"/>
      <c r="Y736" s="568"/>
      <c r="Z736" s="568"/>
    </row>
    <row r="737" spans="1:26" ht="19.5" hidden="1">
      <c r="A737" s="563"/>
      <c r="B737" s="723"/>
      <c r="C737" s="723" t="s">
        <v>16</v>
      </c>
      <c r="D737" s="812" t="s">
        <v>17</v>
      </c>
      <c r="E737" s="805"/>
      <c r="F737" s="805"/>
      <c r="G737" s="567"/>
      <c r="H737" s="612" t="s">
        <v>12</v>
      </c>
      <c r="I737" s="583"/>
      <c r="J737" s="583"/>
      <c r="K737" s="93"/>
      <c r="L737" s="613">
        <f t="shared" ref="L737:N737" si="293">L738+L739</f>
        <v>0</v>
      </c>
      <c r="M737" s="613">
        <f t="shared" si="293"/>
        <v>0</v>
      </c>
      <c r="N737" s="613">
        <f t="shared" si="293"/>
        <v>0</v>
      </c>
      <c r="O737" s="613">
        <f t="shared" ref="O737:O742" si="294">IF(L737&gt;0,N737*100/L737,0)</f>
        <v>0</v>
      </c>
      <c r="P737" s="613">
        <f t="shared" ref="P737:P742" si="295">IF(M737&gt;0,N737*100/M737,0)</f>
        <v>0</v>
      </c>
      <c r="Q737" s="568"/>
      <c r="R737" s="568"/>
      <c r="S737" s="568"/>
      <c r="T737" s="568"/>
      <c r="U737" s="568"/>
      <c r="V737" s="568"/>
      <c r="W737" s="568"/>
      <c r="X737" s="568"/>
      <c r="Y737" s="568"/>
      <c r="Z737" s="568"/>
    </row>
    <row r="738" spans="1:26" ht="18.75" hidden="1">
      <c r="A738" s="563"/>
      <c r="B738" s="723"/>
      <c r="C738" s="723"/>
      <c r="D738" s="684"/>
      <c r="E738" s="723" t="s">
        <v>184</v>
      </c>
      <c r="F738" s="723"/>
      <c r="G738" s="567"/>
      <c r="H738" s="165" t="s">
        <v>12</v>
      </c>
      <c r="I738" s="583"/>
      <c r="J738" s="583"/>
      <c r="K738" s="93"/>
      <c r="L738" s="93">
        <f t="shared" ref="L738:N739" si="296">L741+L748</f>
        <v>0</v>
      </c>
      <c r="M738" s="93">
        <f t="shared" si="296"/>
        <v>0</v>
      </c>
      <c r="N738" s="93">
        <f t="shared" si="296"/>
        <v>0</v>
      </c>
      <c r="O738" s="93">
        <f t="shared" si="294"/>
        <v>0</v>
      </c>
      <c r="P738" s="93">
        <f t="shared" si="295"/>
        <v>0</v>
      </c>
      <c r="Q738" s="568"/>
      <c r="R738" s="568"/>
      <c r="S738" s="568"/>
      <c r="T738" s="568"/>
      <c r="U738" s="568"/>
      <c r="V738" s="568"/>
      <c r="W738" s="568"/>
      <c r="X738" s="568"/>
      <c r="Y738" s="568"/>
      <c r="Z738" s="568"/>
    </row>
    <row r="739" spans="1:26" ht="18.75" hidden="1">
      <c r="A739" s="563"/>
      <c r="B739" s="571"/>
      <c r="C739" s="723"/>
      <c r="D739" s="684"/>
      <c r="E739" s="723" t="s">
        <v>185</v>
      </c>
      <c r="F739" s="723"/>
      <c r="G739" s="567"/>
      <c r="H739" s="165" t="s">
        <v>12</v>
      </c>
      <c r="I739" s="583"/>
      <c r="J739" s="583"/>
      <c r="K739" s="93"/>
      <c r="L739" s="93">
        <f t="shared" si="296"/>
        <v>0</v>
      </c>
      <c r="M739" s="93">
        <f t="shared" si="296"/>
        <v>0</v>
      </c>
      <c r="N739" s="93">
        <f t="shared" si="296"/>
        <v>0</v>
      </c>
      <c r="O739" s="93">
        <f t="shared" si="294"/>
        <v>0</v>
      </c>
      <c r="P739" s="93">
        <f t="shared" si="295"/>
        <v>0</v>
      </c>
      <c r="Q739" s="568"/>
      <c r="R739" s="568"/>
      <c r="S739" s="568"/>
      <c r="T739" s="568"/>
      <c r="U739" s="568"/>
      <c r="V739" s="568"/>
      <c r="W739" s="568"/>
      <c r="X739" s="568"/>
      <c r="Y739" s="568"/>
      <c r="Z739" s="568"/>
    </row>
    <row r="740" spans="1:26" ht="19.5" hidden="1">
      <c r="A740" s="563"/>
      <c r="B740" s="571"/>
      <c r="C740" s="723"/>
      <c r="D740" s="611" t="s">
        <v>20</v>
      </c>
      <c r="E740" s="723"/>
      <c r="F740" s="723"/>
      <c r="G740" s="567"/>
      <c r="H740" s="612" t="s">
        <v>12</v>
      </c>
      <c r="I740" s="166"/>
      <c r="J740" s="166"/>
      <c r="K740" s="167"/>
      <c r="L740" s="613">
        <f t="shared" ref="L740:N740" si="297">L741+L742</f>
        <v>0</v>
      </c>
      <c r="M740" s="613">
        <f t="shared" si="297"/>
        <v>0</v>
      </c>
      <c r="N740" s="613">
        <f t="shared" si="297"/>
        <v>0</v>
      </c>
      <c r="O740" s="613">
        <f t="shared" si="294"/>
        <v>0</v>
      </c>
      <c r="P740" s="613">
        <f t="shared" si="295"/>
        <v>0</v>
      </c>
      <c r="Q740" s="568"/>
      <c r="R740" s="568"/>
      <c r="S740" s="568"/>
      <c r="T740" s="568"/>
      <c r="U740" s="568"/>
      <c r="V740" s="568"/>
      <c r="W740" s="568"/>
      <c r="X740" s="568"/>
      <c r="Y740" s="568"/>
      <c r="Z740" s="568"/>
    </row>
    <row r="741" spans="1:26" ht="18.75" hidden="1">
      <c r="A741" s="563"/>
      <c r="B741" s="571"/>
      <c r="C741" s="723"/>
      <c r="D741" s="684"/>
      <c r="E741" s="723" t="s">
        <v>184</v>
      </c>
      <c r="F741" s="723"/>
      <c r="G741" s="567"/>
      <c r="H741" s="165" t="s">
        <v>12</v>
      </c>
      <c r="I741" s="583"/>
      <c r="J741" s="583"/>
      <c r="K741" s="93"/>
      <c r="L741" s="93">
        <v>0</v>
      </c>
      <c r="M741" s="93">
        <v>0</v>
      </c>
      <c r="N741" s="93">
        <v>0</v>
      </c>
      <c r="O741" s="93">
        <f t="shared" si="294"/>
        <v>0</v>
      </c>
      <c r="P741" s="93">
        <f t="shared" si="295"/>
        <v>0</v>
      </c>
      <c r="Q741" s="568"/>
      <c r="R741" s="568"/>
      <c r="S741" s="568"/>
      <c r="T741" s="568"/>
      <c r="U741" s="568"/>
      <c r="V741" s="568"/>
      <c r="W741" s="568"/>
      <c r="X741" s="568"/>
      <c r="Y741" s="568"/>
      <c r="Z741" s="568"/>
    </row>
    <row r="742" spans="1:26" ht="18.75" hidden="1">
      <c r="A742" s="563"/>
      <c r="B742" s="571"/>
      <c r="C742" s="723"/>
      <c r="D742" s="684"/>
      <c r="E742" s="723" t="s">
        <v>185</v>
      </c>
      <c r="F742" s="723"/>
      <c r="G742" s="567"/>
      <c r="H742" s="165" t="s">
        <v>12</v>
      </c>
      <c r="I742" s="583"/>
      <c r="J742" s="583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4"/>
        <v>0</v>
      </c>
      <c r="P742" s="93">
        <f t="shared" si="295"/>
        <v>0</v>
      </c>
      <c r="Q742" s="568"/>
      <c r="R742" s="568"/>
      <c r="S742" s="568"/>
      <c r="T742" s="568"/>
      <c r="U742" s="568"/>
      <c r="V742" s="568"/>
      <c r="W742" s="568"/>
      <c r="X742" s="568"/>
      <c r="Y742" s="568"/>
      <c r="Z742" s="568"/>
    </row>
    <row r="743" spans="1:26" ht="18.75" hidden="1">
      <c r="A743" s="615"/>
      <c r="B743" s="571"/>
      <c r="C743" s="723"/>
      <c r="D743" s="723"/>
      <c r="E743" s="723"/>
      <c r="F743" s="723" t="s">
        <v>186</v>
      </c>
      <c r="G743" s="567"/>
      <c r="H743" s="165" t="s">
        <v>12</v>
      </c>
      <c r="I743" s="583"/>
      <c r="J743" s="583"/>
      <c r="K743" s="93"/>
      <c r="L743" s="93"/>
      <c r="M743" s="93"/>
      <c r="N743" s="93"/>
      <c r="O743" s="93"/>
      <c r="P743" s="93"/>
      <c r="Q743" s="568"/>
      <c r="R743" s="568"/>
      <c r="S743" s="568"/>
      <c r="T743" s="568"/>
      <c r="U743" s="568"/>
      <c r="V743" s="568"/>
      <c r="W743" s="568"/>
      <c r="X743" s="568"/>
      <c r="Y743" s="568"/>
      <c r="Z743" s="568"/>
    </row>
    <row r="744" spans="1:26" ht="18.75" hidden="1">
      <c r="A744" s="615"/>
      <c r="B744" s="571"/>
      <c r="C744" s="723"/>
      <c r="D744" s="723"/>
      <c r="E744" s="723"/>
      <c r="F744" s="723" t="s">
        <v>187</v>
      </c>
      <c r="G744" s="567"/>
      <c r="H744" s="165" t="s">
        <v>12</v>
      </c>
      <c r="I744" s="583"/>
      <c r="J744" s="583"/>
      <c r="K744" s="93"/>
      <c r="L744" s="93"/>
      <c r="M744" s="93"/>
      <c r="N744" s="93"/>
      <c r="O744" s="93"/>
      <c r="P744" s="93"/>
      <c r="Q744" s="568"/>
      <c r="R744" s="568"/>
      <c r="S744" s="568"/>
      <c r="T744" s="568"/>
      <c r="U744" s="568"/>
      <c r="V744" s="568"/>
      <c r="W744" s="568"/>
      <c r="X744" s="568"/>
      <c r="Y744" s="568"/>
      <c r="Z744" s="568"/>
    </row>
    <row r="745" spans="1:26" ht="18.75" hidden="1">
      <c r="A745" s="615"/>
      <c r="B745" s="571"/>
      <c r="C745" s="723"/>
      <c r="D745" s="723"/>
      <c r="E745" s="723"/>
      <c r="F745" s="723" t="s">
        <v>188</v>
      </c>
      <c r="G745" s="567"/>
      <c r="H745" s="165" t="s">
        <v>12</v>
      </c>
      <c r="I745" s="583"/>
      <c r="J745" s="583"/>
      <c r="K745" s="93"/>
      <c r="L745" s="93"/>
      <c r="M745" s="93"/>
      <c r="N745" s="93"/>
      <c r="O745" s="93"/>
      <c r="P745" s="93"/>
      <c r="Q745" s="568"/>
      <c r="R745" s="568"/>
      <c r="S745" s="568"/>
      <c r="T745" s="568"/>
      <c r="U745" s="568"/>
      <c r="V745" s="568"/>
      <c r="W745" s="568"/>
      <c r="X745" s="568"/>
      <c r="Y745" s="568"/>
      <c r="Z745" s="568"/>
    </row>
    <row r="746" spans="1:26" ht="18.75" hidden="1">
      <c r="A746" s="615"/>
      <c r="B746" s="571"/>
      <c r="C746" s="723"/>
      <c r="D746" s="723"/>
      <c r="E746" s="723"/>
      <c r="F746" s="723" t="s">
        <v>189</v>
      </c>
      <c r="G746" s="567"/>
      <c r="H746" s="165" t="s">
        <v>12</v>
      </c>
      <c r="I746" s="583"/>
      <c r="J746" s="583"/>
      <c r="K746" s="93"/>
      <c r="L746" s="93"/>
      <c r="M746" s="93"/>
      <c r="N746" s="93"/>
      <c r="O746" s="93"/>
      <c r="P746" s="93"/>
      <c r="Q746" s="568"/>
      <c r="R746" s="568"/>
      <c r="S746" s="568"/>
      <c r="T746" s="568"/>
      <c r="U746" s="568"/>
      <c r="V746" s="568"/>
      <c r="W746" s="568"/>
      <c r="X746" s="568"/>
      <c r="Y746" s="568"/>
      <c r="Z746" s="568"/>
    </row>
    <row r="747" spans="1:26" ht="19.5" hidden="1">
      <c r="A747" s="563"/>
      <c r="B747" s="571"/>
      <c r="C747" s="723"/>
      <c r="D747" s="611" t="s">
        <v>21</v>
      </c>
      <c r="E747" s="723"/>
      <c r="F747" s="723"/>
      <c r="G747" s="567"/>
      <c r="H747" s="747" t="s">
        <v>12</v>
      </c>
      <c r="I747" s="166"/>
      <c r="J747" s="166"/>
      <c r="K747" s="167"/>
      <c r="L747" s="613">
        <f t="shared" ref="L747:N747" si="298">L748+L749</f>
        <v>0</v>
      </c>
      <c r="M747" s="613">
        <f t="shared" si="298"/>
        <v>0</v>
      </c>
      <c r="N747" s="613">
        <f t="shared" si="298"/>
        <v>0</v>
      </c>
      <c r="O747" s="613">
        <f t="shared" ref="O747:O749" si="299">IF(L747&gt;0,N747*100/L747,0)</f>
        <v>0</v>
      </c>
      <c r="P747" s="613">
        <f t="shared" ref="P747:P749" si="300">IF(M747&gt;0,N747*100/M747,0)</f>
        <v>0</v>
      </c>
      <c r="Q747" s="568"/>
      <c r="R747" s="568"/>
      <c r="S747" s="568"/>
      <c r="T747" s="568"/>
      <c r="U747" s="568"/>
      <c r="V747" s="568"/>
      <c r="W747" s="568"/>
      <c r="X747" s="568"/>
      <c r="Y747" s="568"/>
      <c r="Z747" s="568"/>
    </row>
    <row r="748" spans="1:26" ht="18.75" hidden="1">
      <c r="A748" s="563"/>
      <c r="B748" s="571"/>
      <c r="C748" s="723"/>
      <c r="D748" s="723"/>
      <c r="E748" s="723" t="s">
        <v>18</v>
      </c>
      <c r="F748" s="723"/>
      <c r="G748" s="567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299"/>
        <v>0</v>
      </c>
      <c r="P748" s="93">
        <f t="shared" si="300"/>
        <v>0</v>
      </c>
      <c r="Q748" s="568"/>
      <c r="R748" s="568"/>
      <c r="S748" s="568"/>
      <c r="T748" s="568"/>
      <c r="U748" s="568"/>
      <c r="V748" s="568"/>
      <c r="W748" s="568"/>
      <c r="X748" s="568"/>
      <c r="Y748" s="568"/>
      <c r="Z748" s="568"/>
    </row>
    <row r="749" spans="1:26" ht="18.75" hidden="1">
      <c r="A749" s="563"/>
      <c r="B749" s="571"/>
      <c r="C749" s="723"/>
      <c r="D749" s="723"/>
      <c r="E749" s="723" t="s">
        <v>19</v>
      </c>
      <c r="F749" s="723"/>
      <c r="G749" s="567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299"/>
        <v>0</v>
      </c>
      <c r="P749" s="93">
        <f t="shared" si="300"/>
        <v>0</v>
      </c>
      <c r="Q749" s="568"/>
      <c r="R749" s="568"/>
      <c r="S749" s="568"/>
      <c r="T749" s="568"/>
      <c r="U749" s="568"/>
      <c r="V749" s="568"/>
      <c r="W749" s="568"/>
      <c r="X749" s="568"/>
      <c r="Y749" s="568"/>
      <c r="Z749" s="568"/>
    </row>
    <row r="750" spans="1:26" ht="19.5" hidden="1">
      <c r="A750" s="578"/>
      <c r="B750" s="580"/>
      <c r="C750" s="723" t="s">
        <v>16</v>
      </c>
      <c r="D750" s="856" t="s">
        <v>38</v>
      </c>
      <c r="E750" s="617"/>
      <c r="F750" s="617"/>
      <c r="G750" s="618"/>
      <c r="H750" s="581"/>
      <c r="I750" s="166"/>
      <c r="J750" s="166"/>
      <c r="K750" s="167"/>
      <c r="L750" s="167"/>
      <c r="M750" s="167"/>
      <c r="N750" s="167"/>
      <c r="O750" s="167"/>
      <c r="P750" s="167"/>
      <c r="Q750" s="568"/>
      <c r="R750" s="568"/>
      <c r="S750" s="568"/>
      <c r="T750" s="568"/>
      <c r="U750" s="568"/>
      <c r="V750" s="568"/>
      <c r="W750" s="568"/>
      <c r="X750" s="568"/>
      <c r="Y750" s="568"/>
      <c r="Z750" s="568"/>
    </row>
    <row r="751" spans="1:26" ht="18.75" hidden="1">
      <c r="A751" s="615"/>
      <c r="B751" s="571"/>
      <c r="C751" s="723"/>
      <c r="D751" s="723"/>
      <c r="E751" s="723" t="s">
        <v>313</v>
      </c>
      <c r="F751" s="723"/>
      <c r="G751" s="567"/>
      <c r="H751" s="165" t="s">
        <v>46</v>
      </c>
      <c r="I751" s="583"/>
      <c r="J751" s="583"/>
      <c r="K751" s="93"/>
      <c r="L751" s="93"/>
      <c r="M751" s="93"/>
      <c r="N751" s="93"/>
      <c r="O751" s="93"/>
      <c r="P751" s="93"/>
      <c r="Q751" s="568"/>
      <c r="R751" s="568"/>
      <c r="S751" s="568"/>
      <c r="T751" s="568"/>
      <c r="U751" s="568"/>
      <c r="V751" s="568"/>
      <c r="W751" s="568"/>
      <c r="X751" s="568"/>
      <c r="Y751" s="568"/>
      <c r="Z751" s="568"/>
    </row>
    <row r="752" spans="1:26" ht="18.75" hidden="1">
      <c r="A752" s="615"/>
      <c r="B752" s="571"/>
      <c r="C752" s="723"/>
      <c r="D752" s="723"/>
      <c r="E752" s="723"/>
      <c r="F752" s="723"/>
      <c r="G752" s="567"/>
      <c r="H752" s="165" t="s">
        <v>314</v>
      </c>
      <c r="I752" s="583"/>
      <c r="J752" s="583"/>
      <c r="K752" s="93"/>
      <c r="L752" s="93"/>
      <c r="M752" s="93"/>
      <c r="N752" s="93"/>
      <c r="O752" s="93"/>
      <c r="P752" s="93"/>
      <c r="Q752" s="568"/>
      <c r="R752" s="568"/>
      <c r="S752" s="568"/>
      <c r="T752" s="568"/>
      <c r="U752" s="568"/>
      <c r="V752" s="568"/>
      <c r="W752" s="568"/>
      <c r="X752" s="568"/>
      <c r="Y752" s="568"/>
      <c r="Z752" s="568"/>
    </row>
    <row r="753" spans="1:26" ht="19.5" hidden="1">
      <c r="A753" s="749">
        <v>10</v>
      </c>
      <c r="B753" s="750" t="s">
        <v>315</v>
      </c>
      <c r="C753" s="751"/>
      <c r="D753" s="751"/>
      <c r="E753" s="751"/>
      <c r="F753" s="751"/>
      <c r="G753" s="752"/>
      <c r="H753" s="753" t="s">
        <v>46</v>
      </c>
      <c r="I753" s="754"/>
      <c r="J753" s="754">
        <f>J768</f>
        <v>0</v>
      </c>
      <c r="K753" s="755">
        <f>IF(I753&gt;0,J753*100/I753,0)</f>
        <v>0</v>
      </c>
      <c r="L753" s="756"/>
      <c r="M753" s="756"/>
      <c r="N753" s="756"/>
      <c r="O753" s="756"/>
      <c r="P753" s="756"/>
      <c r="Q753" s="568"/>
      <c r="R753" s="568"/>
      <c r="S753" s="568"/>
      <c r="T753" s="568"/>
      <c r="U753" s="568"/>
      <c r="V753" s="568"/>
      <c r="W753" s="568"/>
      <c r="X753" s="568"/>
      <c r="Y753" s="568"/>
      <c r="Z753" s="568"/>
    </row>
    <row r="754" spans="1:26" ht="19.5" hidden="1">
      <c r="A754" s="563"/>
      <c r="B754" s="723"/>
      <c r="C754" s="723" t="s">
        <v>16</v>
      </c>
      <c r="D754" s="812" t="s">
        <v>17</v>
      </c>
      <c r="E754" s="805"/>
      <c r="F754" s="805"/>
      <c r="G754" s="567"/>
      <c r="H754" s="612" t="s">
        <v>12</v>
      </c>
      <c r="I754" s="583"/>
      <c r="J754" s="583"/>
      <c r="K754" s="93"/>
      <c r="L754" s="613">
        <f t="shared" ref="L754:N754" si="301">L755+L756</f>
        <v>0</v>
      </c>
      <c r="M754" s="613">
        <f t="shared" si="301"/>
        <v>0</v>
      </c>
      <c r="N754" s="613">
        <f t="shared" si="301"/>
        <v>0</v>
      </c>
      <c r="O754" s="613">
        <f t="shared" ref="O754:O759" si="302">IF(L754&gt;0,N754*100/L754,0)</f>
        <v>0</v>
      </c>
      <c r="P754" s="613">
        <f t="shared" ref="P754:P759" si="303">IF(M754&gt;0,N754*100/M754,0)</f>
        <v>0</v>
      </c>
      <c r="Q754" s="568"/>
      <c r="R754" s="568"/>
      <c r="S754" s="568"/>
      <c r="T754" s="568"/>
      <c r="U754" s="568"/>
      <c r="V754" s="568"/>
      <c r="W754" s="568"/>
      <c r="X754" s="568"/>
      <c r="Y754" s="568"/>
      <c r="Z754" s="568"/>
    </row>
    <row r="755" spans="1:26" ht="18.75" hidden="1">
      <c r="A755" s="563"/>
      <c r="B755" s="723"/>
      <c r="C755" s="723"/>
      <c r="D755" s="684"/>
      <c r="E755" s="723" t="s">
        <v>184</v>
      </c>
      <c r="F755" s="723"/>
      <c r="G755" s="567"/>
      <c r="H755" s="165" t="s">
        <v>12</v>
      </c>
      <c r="I755" s="583"/>
      <c r="J755" s="583"/>
      <c r="K755" s="93"/>
      <c r="L755" s="93">
        <f t="shared" ref="L755:N756" si="304">L758+L765</f>
        <v>0</v>
      </c>
      <c r="M755" s="93">
        <f t="shared" si="304"/>
        <v>0</v>
      </c>
      <c r="N755" s="93">
        <f t="shared" si="304"/>
        <v>0</v>
      </c>
      <c r="O755" s="93">
        <f t="shared" si="302"/>
        <v>0</v>
      </c>
      <c r="P755" s="93">
        <f t="shared" si="303"/>
        <v>0</v>
      </c>
      <c r="Q755" s="568"/>
      <c r="R755" s="568"/>
      <c r="S755" s="568"/>
      <c r="T755" s="568"/>
      <c r="U755" s="568"/>
      <c r="V755" s="568"/>
      <c r="W755" s="568"/>
      <c r="X755" s="568"/>
      <c r="Y755" s="568"/>
      <c r="Z755" s="568"/>
    </row>
    <row r="756" spans="1:26" ht="18.75" hidden="1">
      <c r="A756" s="563"/>
      <c r="B756" s="571"/>
      <c r="C756" s="723"/>
      <c r="D756" s="684"/>
      <c r="E756" s="723" t="s">
        <v>185</v>
      </c>
      <c r="F756" s="723"/>
      <c r="G756" s="567"/>
      <c r="H756" s="165" t="s">
        <v>12</v>
      </c>
      <c r="I756" s="583"/>
      <c r="J756" s="583"/>
      <c r="K756" s="93"/>
      <c r="L756" s="93">
        <f t="shared" si="304"/>
        <v>0</v>
      </c>
      <c r="M756" s="93">
        <f t="shared" si="304"/>
        <v>0</v>
      </c>
      <c r="N756" s="93">
        <f t="shared" si="304"/>
        <v>0</v>
      </c>
      <c r="O756" s="93">
        <f t="shared" si="302"/>
        <v>0</v>
      </c>
      <c r="P756" s="93">
        <f t="shared" si="303"/>
        <v>0</v>
      </c>
      <c r="Q756" s="568"/>
      <c r="R756" s="568"/>
      <c r="S756" s="568"/>
      <c r="T756" s="568"/>
      <c r="U756" s="568"/>
      <c r="V756" s="568"/>
      <c r="W756" s="568"/>
      <c r="X756" s="568"/>
      <c r="Y756" s="568"/>
      <c r="Z756" s="568"/>
    </row>
    <row r="757" spans="1:26" ht="19.5" hidden="1">
      <c r="A757" s="563"/>
      <c r="B757" s="571"/>
      <c r="C757" s="723"/>
      <c r="D757" s="611" t="s">
        <v>20</v>
      </c>
      <c r="E757" s="723"/>
      <c r="F757" s="723"/>
      <c r="G757" s="567"/>
      <c r="H757" s="612" t="s">
        <v>12</v>
      </c>
      <c r="I757" s="166"/>
      <c r="J757" s="166"/>
      <c r="K757" s="167"/>
      <c r="L757" s="613">
        <f t="shared" ref="L757:N757" si="305">L758+L759</f>
        <v>0</v>
      </c>
      <c r="M757" s="613">
        <f t="shared" si="305"/>
        <v>0</v>
      </c>
      <c r="N757" s="613">
        <f t="shared" si="305"/>
        <v>0</v>
      </c>
      <c r="O757" s="613">
        <f t="shared" si="302"/>
        <v>0</v>
      </c>
      <c r="P757" s="613">
        <f t="shared" si="303"/>
        <v>0</v>
      </c>
      <c r="Q757" s="568"/>
      <c r="R757" s="568"/>
      <c r="S757" s="568"/>
      <c r="T757" s="568"/>
      <c r="U757" s="568"/>
      <c r="V757" s="568"/>
      <c r="W757" s="568"/>
      <c r="X757" s="568"/>
      <c r="Y757" s="568"/>
      <c r="Z757" s="568"/>
    </row>
    <row r="758" spans="1:26" ht="18.75" hidden="1">
      <c r="A758" s="563"/>
      <c r="B758" s="571"/>
      <c r="C758" s="723"/>
      <c r="D758" s="684"/>
      <c r="E758" s="723" t="s">
        <v>184</v>
      </c>
      <c r="F758" s="723"/>
      <c r="G758" s="567"/>
      <c r="H758" s="165" t="s">
        <v>12</v>
      </c>
      <c r="I758" s="583"/>
      <c r="J758" s="583"/>
      <c r="K758" s="93"/>
      <c r="L758" s="93">
        <v>0</v>
      </c>
      <c r="M758" s="93">
        <v>0</v>
      </c>
      <c r="N758" s="93">
        <v>0</v>
      </c>
      <c r="O758" s="93">
        <f t="shared" si="302"/>
        <v>0</v>
      </c>
      <c r="P758" s="93">
        <f t="shared" si="303"/>
        <v>0</v>
      </c>
      <c r="Q758" s="568"/>
      <c r="R758" s="568"/>
      <c r="S758" s="568"/>
      <c r="T758" s="568"/>
      <c r="U758" s="568"/>
      <c r="V758" s="568"/>
      <c r="W758" s="568"/>
      <c r="X758" s="568"/>
      <c r="Y758" s="568"/>
      <c r="Z758" s="568"/>
    </row>
    <row r="759" spans="1:26" ht="18.75" hidden="1">
      <c r="A759" s="563"/>
      <c r="B759" s="571"/>
      <c r="C759" s="723"/>
      <c r="D759" s="684"/>
      <c r="E759" s="723" t="s">
        <v>185</v>
      </c>
      <c r="F759" s="723"/>
      <c r="G759" s="567"/>
      <c r="H759" s="165" t="s">
        <v>12</v>
      </c>
      <c r="I759" s="583"/>
      <c r="J759" s="583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2"/>
        <v>0</v>
      </c>
      <c r="P759" s="93">
        <f t="shared" si="303"/>
        <v>0</v>
      </c>
      <c r="Q759" s="568"/>
      <c r="R759" s="568"/>
      <c r="S759" s="568"/>
      <c r="T759" s="568"/>
      <c r="U759" s="568"/>
      <c r="V759" s="568"/>
      <c r="W759" s="568"/>
      <c r="X759" s="568"/>
      <c r="Y759" s="568"/>
      <c r="Z759" s="568"/>
    </row>
    <row r="760" spans="1:26" ht="18.75" hidden="1">
      <c r="A760" s="615"/>
      <c r="B760" s="571"/>
      <c r="C760" s="723"/>
      <c r="D760" s="723"/>
      <c r="E760" s="723"/>
      <c r="F760" s="723" t="s">
        <v>186</v>
      </c>
      <c r="G760" s="567"/>
      <c r="H760" s="165" t="s">
        <v>12</v>
      </c>
      <c r="I760" s="583"/>
      <c r="J760" s="583"/>
      <c r="K760" s="93"/>
      <c r="L760" s="93"/>
      <c r="M760" s="93"/>
      <c r="N760" s="93"/>
      <c r="O760" s="93"/>
      <c r="P760" s="93"/>
      <c r="Q760" s="568"/>
      <c r="R760" s="568"/>
      <c r="S760" s="568"/>
      <c r="T760" s="568"/>
      <c r="U760" s="568"/>
      <c r="V760" s="568"/>
      <c r="W760" s="568"/>
      <c r="X760" s="568"/>
      <c r="Y760" s="568"/>
      <c r="Z760" s="568"/>
    </row>
    <row r="761" spans="1:26" ht="18.75" hidden="1">
      <c r="A761" s="615"/>
      <c r="B761" s="571"/>
      <c r="C761" s="723"/>
      <c r="D761" s="723"/>
      <c r="E761" s="723"/>
      <c r="F761" s="723" t="s">
        <v>187</v>
      </c>
      <c r="G761" s="567"/>
      <c r="H761" s="165" t="s">
        <v>12</v>
      </c>
      <c r="I761" s="583"/>
      <c r="J761" s="583"/>
      <c r="K761" s="93"/>
      <c r="L761" s="93"/>
      <c r="M761" s="93"/>
      <c r="N761" s="93"/>
      <c r="O761" s="93"/>
      <c r="P761" s="93"/>
      <c r="Q761" s="568"/>
      <c r="R761" s="568"/>
      <c r="S761" s="568"/>
      <c r="T761" s="568"/>
      <c r="U761" s="568"/>
      <c r="V761" s="568"/>
      <c r="W761" s="568"/>
      <c r="X761" s="568"/>
      <c r="Y761" s="568"/>
      <c r="Z761" s="568"/>
    </row>
    <row r="762" spans="1:26" ht="18.75" hidden="1">
      <c r="A762" s="615"/>
      <c r="B762" s="571"/>
      <c r="C762" s="723"/>
      <c r="D762" s="723"/>
      <c r="E762" s="723"/>
      <c r="F762" s="723" t="s">
        <v>188</v>
      </c>
      <c r="G762" s="567"/>
      <c r="H762" s="165" t="s">
        <v>12</v>
      </c>
      <c r="I762" s="583"/>
      <c r="J762" s="583"/>
      <c r="K762" s="93"/>
      <c r="L762" s="93"/>
      <c r="M762" s="93"/>
      <c r="N762" s="93"/>
      <c r="O762" s="93"/>
      <c r="P762" s="93"/>
      <c r="Q762" s="568"/>
      <c r="R762" s="568"/>
      <c r="S762" s="568"/>
      <c r="T762" s="568"/>
      <c r="U762" s="568"/>
      <c r="V762" s="568"/>
      <c r="W762" s="568"/>
      <c r="X762" s="568"/>
      <c r="Y762" s="568"/>
      <c r="Z762" s="568"/>
    </row>
    <row r="763" spans="1:26" ht="18.75" hidden="1">
      <c r="A763" s="615"/>
      <c r="B763" s="571"/>
      <c r="C763" s="723"/>
      <c r="D763" s="723"/>
      <c r="E763" s="723"/>
      <c r="F763" s="723" t="s">
        <v>189</v>
      </c>
      <c r="G763" s="567"/>
      <c r="H763" s="165" t="s">
        <v>12</v>
      </c>
      <c r="I763" s="583"/>
      <c r="J763" s="583"/>
      <c r="K763" s="93"/>
      <c r="L763" s="93"/>
      <c r="M763" s="93"/>
      <c r="N763" s="93"/>
      <c r="O763" s="93"/>
      <c r="P763" s="93"/>
      <c r="Q763" s="568"/>
      <c r="R763" s="568"/>
      <c r="S763" s="568"/>
      <c r="T763" s="568"/>
      <c r="U763" s="568"/>
      <c r="V763" s="568"/>
      <c r="W763" s="568"/>
      <c r="X763" s="568"/>
      <c r="Y763" s="568"/>
      <c r="Z763" s="568"/>
    </row>
    <row r="764" spans="1:26" ht="19.5" hidden="1">
      <c r="A764" s="563"/>
      <c r="B764" s="571"/>
      <c r="C764" s="723"/>
      <c r="D764" s="611" t="s">
        <v>21</v>
      </c>
      <c r="E764" s="723"/>
      <c r="F764" s="723"/>
      <c r="G764" s="567"/>
      <c r="H764" s="747" t="s">
        <v>12</v>
      </c>
      <c r="I764" s="166"/>
      <c r="J764" s="166"/>
      <c r="K764" s="167"/>
      <c r="L764" s="613">
        <f t="shared" ref="L764:N764" si="306">L765+L766</f>
        <v>0</v>
      </c>
      <c r="M764" s="613">
        <f t="shared" si="306"/>
        <v>0</v>
      </c>
      <c r="N764" s="613">
        <f t="shared" si="306"/>
        <v>0</v>
      </c>
      <c r="O764" s="613">
        <f t="shared" ref="O764:O766" si="307">IF(L764&gt;0,N764*100/L764,0)</f>
        <v>0</v>
      </c>
      <c r="P764" s="613">
        <f t="shared" ref="P764:P766" si="308">IF(M764&gt;0,N764*100/M764,0)</f>
        <v>0</v>
      </c>
      <c r="Q764" s="568"/>
      <c r="R764" s="568"/>
      <c r="S764" s="568"/>
      <c r="T764" s="568"/>
      <c r="U764" s="568"/>
      <c r="V764" s="568"/>
      <c r="W764" s="568"/>
      <c r="X764" s="568"/>
      <c r="Y764" s="568"/>
      <c r="Z764" s="568"/>
    </row>
    <row r="765" spans="1:26" ht="18.75" hidden="1">
      <c r="A765" s="563"/>
      <c r="B765" s="571"/>
      <c r="C765" s="723"/>
      <c r="D765" s="723"/>
      <c r="E765" s="723" t="s">
        <v>18</v>
      </c>
      <c r="F765" s="723"/>
      <c r="G765" s="567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7"/>
        <v>0</v>
      </c>
      <c r="P765" s="93">
        <f t="shared" si="308"/>
        <v>0</v>
      </c>
      <c r="Q765" s="568"/>
      <c r="R765" s="568"/>
      <c r="S765" s="568"/>
      <c r="T765" s="568"/>
      <c r="U765" s="568"/>
      <c r="V765" s="568"/>
      <c r="W765" s="568"/>
      <c r="X765" s="568"/>
      <c r="Y765" s="568"/>
      <c r="Z765" s="568"/>
    </row>
    <row r="766" spans="1:26" ht="18.75" hidden="1">
      <c r="A766" s="563"/>
      <c r="B766" s="571"/>
      <c r="C766" s="723"/>
      <c r="D766" s="723"/>
      <c r="E766" s="723" t="s">
        <v>19</v>
      </c>
      <c r="F766" s="723"/>
      <c r="G766" s="567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7"/>
        <v>0</v>
      </c>
      <c r="P766" s="93">
        <f t="shared" si="308"/>
        <v>0</v>
      </c>
      <c r="Q766" s="568"/>
      <c r="R766" s="568"/>
      <c r="S766" s="568"/>
      <c r="T766" s="568"/>
      <c r="U766" s="568"/>
      <c r="V766" s="568"/>
      <c r="W766" s="568"/>
      <c r="X766" s="568"/>
      <c r="Y766" s="568"/>
      <c r="Z766" s="568"/>
    </row>
    <row r="767" spans="1:26" ht="19.5" hidden="1">
      <c r="A767" s="578"/>
      <c r="B767" s="580"/>
      <c r="C767" s="723" t="s">
        <v>16</v>
      </c>
      <c r="D767" s="856" t="s">
        <v>38</v>
      </c>
      <c r="E767" s="617"/>
      <c r="F767" s="617"/>
      <c r="G767" s="618"/>
      <c r="H767" s="581"/>
      <c r="I767" s="166"/>
      <c r="J767" s="166"/>
      <c r="K767" s="167"/>
      <c r="L767" s="167"/>
      <c r="M767" s="167"/>
      <c r="N767" s="167"/>
      <c r="O767" s="167"/>
      <c r="P767" s="167"/>
      <c r="Q767" s="568"/>
      <c r="R767" s="568"/>
      <c r="S767" s="568"/>
      <c r="T767" s="568"/>
      <c r="U767" s="568"/>
      <c r="V767" s="568"/>
      <c r="W767" s="568"/>
      <c r="X767" s="568"/>
      <c r="Y767" s="568"/>
      <c r="Z767" s="568"/>
    </row>
    <row r="768" spans="1:26" ht="18.75" hidden="1">
      <c r="A768" s="615"/>
      <c r="B768" s="571"/>
      <c r="C768" s="723"/>
      <c r="D768" s="723"/>
      <c r="E768" s="723" t="s">
        <v>316</v>
      </c>
      <c r="F768" s="723"/>
      <c r="G768" s="567"/>
      <c r="H768" s="165" t="s">
        <v>46</v>
      </c>
      <c r="I768" s="583"/>
      <c r="J768" s="583"/>
      <c r="K768" s="93"/>
      <c r="L768" s="93"/>
      <c r="M768" s="93"/>
      <c r="N768" s="93"/>
      <c r="O768" s="93"/>
      <c r="P768" s="93"/>
      <c r="Q768" s="568"/>
      <c r="R768" s="568"/>
      <c r="S768" s="568"/>
      <c r="T768" s="568"/>
      <c r="U768" s="568"/>
      <c r="V768" s="568"/>
      <c r="W768" s="568"/>
      <c r="X768" s="568"/>
      <c r="Y768" s="568"/>
      <c r="Z768" s="568"/>
    </row>
    <row r="769" spans="1:26" ht="19.5" hidden="1">
      <c r="A769" s="757">
        <v>11</v>
      </c>
      <c r="B769" s="758" t="s">
        <v>317</v>
      </c>
      <c r="C769" s="759"/>
      <c r="D769" s="759"/>
      <c r="E769" s="759"/>
      <c r="F769" s="759"/>
      <c r="G769" s="760"/>
      <c r="H769" s="761" t="s">
        <v>46</v>
      </c>
      <c r="I769" s="762"/>
      <c r="J769" s="762">
        <f>J784</f>
        <v>0</v>
      </c>
      <c r="K769" s="763">
        <f>IF(I769&gt;0,J769*100/I769,0)</f>
        <v>0</v>
      </c>
      <c r="L769" s="764"/>
      <c r="M769" s="764"/>
      <c r="N769" s="764"/>
      <c r="O769" s="764"/>
      <c r="P769" s="764"/>
      <c r="Q769" s="568"/>
      <c r="R769" s="568"/>
      <c r="S769" s="568"/>
      <c r="T769" s="568"/>
      <c r="U769" s="568"/>
      <c r="V769" s="568"/>
      <c r="W769" s="568"/>
      <c r="X769" s="568"/>
      <c r="Y769" s="568"/>
      <c r="Z769" s="568"/>
    </row>
    <row r="770" spans="1:26" ht="19.5" hidden="1">
      <c r="A770" s="563"/>
      <c r="B770" s="723"/>
      <c r="C770" s="723" t="s">
        <v>16</v>
      </c>
      <c r="D770" s="812" t="s">
        <v>17</v>
      </c>
      <c r="E770" s="805"/>
      <c r="F770" s="805"/>
      <c r="G770" s="567"/>
      <c r="H770" s="612" t="s">
        <v>12</v>
      </c>
      <c r="I770" s="583"/>
      <c r="J770" s="583"/>
      <c r="K770" s="93"/>
      <c r="L770" s="613">
        <f t="shared" ref="L770:N770" si="309">L771+L772</f>
        <v>0</v>
      </c>
      <c r="M770" s="613">
        <f t="shared" si="309"/>
        <v>0</v>
      </c>
      <c r="N770" s="613">
        <f t="shared" si="309"/>
        <v>0</v>
      </c>
      <c r="O770" s="613">
        <f t="shared" ref="O770:O775" si="310">IF(L770&gt;0,N770*100/L770,0)</f>
        <v>0</v>
      </c>
      <c r="P770" s="613">
        <f t="shared" ref="P770:P775" si="311">IF(M770&gt;0,N770*100/M770,0)</f>
        <v>0</v>
      </c>
      <c r="Q770" s="568"/>
      <c r="R770" s="568"/>
      <c r="S770" s="568"/>
      <c r="T770" s="568"/>
      <c r="U770" s="568"/>
      <c r="V770" s="568"/>
      <c r="W770" s="568"/>
      <c r="X770" s="568"/>
      <c r="Y770" s="568"/>
      <c r="Z770" s="568"/>
    </row>
    <row r="771" spans="1:26" ht="18.75" hidden="1">
      <c r="A771" s="563"/>
      <c r="B771" s="723"/>
      <c r="C771" s="723"/>
      <c r="D771" s="684"/>
      <c r="E771" s="723" t="s">
        <v>184</v>
      </c>
      <c r="F771" s="723"/>
      <c r="G771" s="567"/>
      <c r="H771" s="165" t="s">
        <v>12</v>
      </c>
      <c r="I771" s="583"/>
      <c r="J771" s="583"/>
      <c r="K771" s="93"/>
      <c r="L771" s="93">
        <f t="shared" ref="L771:N772" si="312">L774+L781</f>
        <v>0</v>
      </c>
      <c r="M771" s="93">
        <f t="shared" si="312"/>
        <v>0</v>
      </c>
      <c r="N771" s="93">
        <f t="shared" si="312"/>
        <v>0</v>
      </c>
      <c r="O771" s="93">
        <f t="shared" si="310"/>
        <v>0</v>
      </c>
      <c r="P771" s="93">
        <f t="shared" si="311"/>
        <v>0</v>
      </c>
      <c r="Q771" s="568"/>
      <c r="R771" s="568"/>
      <c r="S771" s="568"/>
      <c r="T771" s="568"/>
      <c r="U771" s="568"/>
      <c r="V771" s="568"/>
      <c r="W771" s="568"/>
      <c r="X771" s="568"/>
      <c r="Y771" s="568"/>
      <c r="Z771" s="568"/>
    </row>
    <row r="772" spans="1:26" ht="18.75" hidden="1">
      <c r="A772" s="563"/>
      <c r="B772" s="571"/>
      <c r="C772" s="723"/>
      <c r="D772" s="684"/>
      <c r="E772" s="723" t="s">
        <v>185</v>
      </c>
      <c r="F772" s="723"/>
      <c r="G772" s="567"/>
      <c r="H772" s="165" t="s">
        <v>12</v>
      </c>
      <c r="I772" s="583"/>
      <c r="J772" s="583"/>
      <c r="K772" s="93"/>
      <c r="L772" s="93">
        <f t="shared" si="312"/>
        <v>0</v>
      </c>
      <c r="M772" s="93">
        <f t="shared" si="312"/>
        <v>0</v>
      </c>
      <c r="N772" s="93">
        <f t="shared" si="312"/>
        <v>0</v>
      </c>
      <c r="O772" s="93">
        <f t="shared" si="310"/>
        <v>0</v>
      </c>
      <c r="P772" s="93">
        <f t="shared" si="311"/>
        <v>0</v>
      </c>
      <c r="Q772" s="568"/>
      <c r="R772" s="568"/>
      <c r="S772" s="568"/>
      <c r="T772" s="568"/>
      <c r="U772" s="568"/>
      <c r="V772" s="568"/>
      <c r="W772" s="568"/>
      <c r="X772" s="568"/>
      <c r="Y772" s="568"/>
      <c r="Z772" s="568"/>
    </row>
    <row r="773" spans="1:26" ht="19.5" hidden="1">
      <c r="A773" s="563"/>
      <c r="B773" s="571"/>
      <c r="C773" s="723"/>
      <c r="D773" s="611" t="s">
        <v>20</v>
      </c>
      <c r="E773" s="723"/>
      <c r="F773" s="723"/>
      <c r="G773" s="567"/>
      <c r="H773" s="612" t="s">
        <v>12</v>
      </c>
      <c r="I773" s="166"/>
      <c r="J773" s="166"/>
      <c r="K773" s="167"/>
      <c r="L773" s="613">
        <f t="shared" ref="L773:N773" si="313">L774+L775</f>
        <v>0</v>
      </c>
      <c r="M773" s="613">
        <f t="shared" si="313"/>
        <v>0</v>
      </c>
      <c r="N773" s="613">
        <f t="shared" si="313"/>
        <v>0</v>
      </c>
      <c r="O773" s="613">
        <f t="shared" si="310"/>
        <v>0</v>
      </c>
      <c r="P773" s="613">
        <f t="shared" si="311"/>
        <v>0</v>
      </c>
      <c r="Q773" s="568"/>
      <c r="R773" s="568"/>
      <c r="S773" s="568"/>
      <c r="T773" s="568"/>
      <c r="U773" s="568"/>
      <c r="V773" s="568"/>
      <c r="W773" s="568"/>
      <c r="X773" s="568"/>
      <c r="Y773" s="568"/>
      <c r="Z773" s="568"/>
    </row>
    <row r="774" spans="1:26" ht="18.75" hidden="1">
      <c r="A774" s="563"/>
      <c r="B774" s="571"/>
      <c r="C774" s="723"/>
      <c r="D774" s="684"/>
      <c r="E774" s="723" t="s">
        <v>184</v>
      </c>
      <c r="F774" s="723"/>
      <c r="G774" s="567"/>
      <c r="H774" s="165" t="s">
        <v>12</v>
      </c>
      <c r="I774" s="583"/>
      <c r="J774" s="583"/>
      <c r="K774" s="93"/>
      <c r="L774" s="93">
        <v>0</v>
      </c>
      <c r="M774" s="93">
        <v>0</v>
      </c>
      <c r="N774" s="93">
        <v>0</v>
      </c>
      <c r="O774" s="93">
        <f t="shared" si="310"/>
        <v>0</v>
      </c>
      <c r="P774" s="93">
        <f t="shared" si="311"/>
        <v>0</v>
      </c>
      <c r="Q774" s="568"/>
      <c r="R774" s="568"/>
      <c r="S774" s="568"/>
      <c r="T774" s="568"/>
      <c r="U774" s="568"/>
      <c r="V774" s="568"/>
      <c r="W774" s="568"/>
      <c r="X774" s="568"/>
      <c r="Y774" s="568"/>
      <c r="Z774" s="568"/>
    </row>
    <row r="775" spans="1:26" ht="18.75" hidden="1">
      <c r="A775" s="563"/>
      <c r="B775" s="571"/>
      <c r="C775" s="723"/>
      <c r="D775" s="684"/>
      <c r="E775" s="723" t="s">
        <v>185</v>
      </c>
      <c r="F775" s="723"/>
      <c r="G775" s="567"/>
      <c r="H775" s="165" t="s">
        <v>12</v>
      </c>
      <c r="I775" s="583"/>
      <c r="J775" s="583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0"/>
        <v>0</v>
      </c>
      <c r="P775" s="93">
        <f t="shared" si="311"/>
        <v>0</v>
      </c>
      <c r="Q775" s="568"/>
      <c r="R775" s="568"/>
      <c r="S775" s="568"/>
      <c r="T775" s="568"/>
      <c r="U775" s="568"/>
      <c r="V775" s="568"/>
      <c r="W775" s="568"/>
      <c r="X775" s="568"/>
      <c r="Y775" s="568"/>
      <c r="Z775" s="568"/>
    </row>
    <row r="776" spans="1:26" ht="18.75" hidden="1">
      <c r="A776" s="615"/>
      <c r="B776" s="571"/>
      <c r="C776" s="723"/>
      <c r="D776" s="723"/>
      <c r="E776" s="723"/>
      <c r="F776" s="723" t="s">
        <v>186</v>
      </c>
      <c r="G776" s="567"/>
      <c r="H776" s="165" t="s">
        <v>12</v>
      </c>
      <c r="I776" s="583"/>
      <c r="J776" s="583"/>
      <c r="K776" s="93"/>
      <c r="L776" s="93"/>
      <c r="M776" s="93"/>
      <c r="N776" s="93"/>
      <c r="O776" s="93"/>
      <c r="P776" s="93"/>
      <c r="Q776" s="568"/>
      <c r="R776" s="568"/>
      <c r="S776" s="568"/>
      <c r="T776" s="568"/>
      <c r="U776" s="568"/>
      <c r="V776" s="568"/>
      <c r="W776" s="568"/>
      <c r="X776" s="568"/>
      <c r="Y776" s="568"/>
      <c r="Z776" s="568"/>
    </row>
    <row r="777" spans="1:26" ht="18.75" hidden="1">
      <c r="A777" s="615"/>
      <c r="B777" s="571"/>
      <c r="C777" s="723"/>
      <c r="D777" s="723"/>
      <c r="E777" s="723"/>
      <c r="F777" s="723" t="s">
        <v>187</v>
      </c>
      <c r="G777" s="567"/>
      <c r="H777" s="165" t="s">
        <v>12</v>
      </c>
      <c r="I777" s="583"/>
      <c r="J777" s="583"/>
      <c r="K777" s="93"/>
      <c r="L777" s="93"/>
      <c r="M777" s="93"/>
      <c r="N777" s="93"/>
      <c r="O777" s="93"/>
      <c r="P777" s="93"/>
      <c r="Q777" s="568"/>
      <c r="R777" s="568"/>
      <c r="S777" s="568"/>
      <c r="T777" s="568"/>
      <c r="U777" s="568"/>
      <c r="V777" s="568"/>
      <c r="W777" s="568"/>
      <c r="X777" s="568"/>
      <c r="Y777" s="568"/>
      <c r="Z777" s="568"/>
    </row>
    <row r="778" spans="1:26" ht="18.75" hidden="1">
      <c r="A778" s="615"/>
      <c r="B778" s="571"/>
      <c r="C778" s="723"/>
      <c r="D778" s="723"/>
      <c r="E778" s="723"/>
      <c r="F778" s="723" t="s">
        <v>188</v>
      </c>
      <c r="G778" s="567"/>
      <c r="H778" s="165" t="s">
        <v>12</v>
      </c>
      <c r="I778" s="583"/>
      <c r="J778" s="583"/>
      <c r="K778" s="93"/>
      <c r="L778" s="93"/>
      <c r="M778" s="93"/>
      <c r="N778" s="93"/>
      <c r="O778" s="93"/>
      <c r="P778" s="93"/>
      <c r="Q778" s="568"/>
      <c r="R778" s="568"/>
      <c r="S778" s="568"/>
      <c r="T778" s="568"/>
      <c r="U778" s="568"/>
      <c r="V778" s="568"/>
      <c r="W778" s="568"/>
      <c r="X778" s="568"/>
      <c r="Y778" s="568"/>
      <c r="Z778" s="568"/>
    </row>
    <row r="779" spans="1:26" ht="18.75" hidden="1">
      <c r="A779" s="615"/>
      <c r="B779" s="571"/>
      <c r="C779" s="723"/>
      <c r="D779" s="723"/>
      <c r="E779" s="723"/>
      <c r="F779" s="723" t="s">
        <v>189</v>
      </c>
      <c r="G779" s="567"/>
      <c r="H779" s="165" t="s">
        <v>12</v>
      </c>
      <c r="I779" s="583"/>
      <c r="J779" s="583"/>
      <c r="K779" s="93"/>
      <c r="L779" s="93"/>
      <c r="M779" s="93"/>
      <c r="N779" s="93"/>
      <c r="O779" s="93"/>
      <c r="P779" s="93"/>
      <c r="Q779" s="568"/>
      <c r="R779" s="568"/>
      <c r="S779" s="568"/>
      <c r="T779" s="568"/>
      <c r="U779" s="568"/>
      <c r="V779" s="568"/>
      <c r="W779" s="568"/>
      <c r="X779" s="568"/>
      <c r="Y779" s="568"/>
      <c r="Z779" s="568"/>
    </row>
    <row r="780" spans="1:26" ht="19.5" hidden="1">
      <c r="A780" s="563"/>
      <c r="B780" s="571"/>
      <c r="C780" s="723"/>
      <c r="D780" s="611" t="s">
        <v>21</v>
      </c>
      <c r="E780" s="723"/>
      <c r="F780" s="723"/>
      <c r="G780" s="567"/>
      <c r="H780" s="747" t="s">
        <v>12</v>
      </c>
      <c r="I780" s="166"/>
      <c r="J780" s="166"/>
      <c r="K780" s="167"/>
      <c r="L780" s="613">
        <f t="shared" ref="L780:N780" si="314">L781+L782</f>
        <v>0</v>
      </c>
      <c r="M780" s="613">
        <f t="shared" si="314"/>
        <v>0</v>
      </c>
      <c r="N780" s="613">
        <f t="shared" si="314"/>
        <v>0</v>
      </c>
      <c r="O780" s="613">
        <f t="shared" ref="O780:O782" si="315">IF(L780&gt;0,N780*100/L780,0)</f>
        <v>0</v>
      </c>
      <c r="P780" s="613">
        <f t="shared" ref="P780:P782" si="316">IF(M780&gt;0,N780*100/M780,0)</f>
        <v>0</v>
      </c>
      <c r="Q780" s="568"/>
      <c r="R780" s="568"/>
      <c r="S780" s="568"/>
      <c r="T780" s="568"/>
      <c r="U780" s="568"/>
      <c r="V780" s="568"/>
      <c r="W780" s="568"/>
      <c r="X780" s="568"/>
      <c r="Y780" s="568"/>
      <c r="Z780" s="568"/>
    </row>
    <row r="781" spans="1:26" ht="18.75" hidden="1">
      <c r="A781" s="563"/>
      <c r="B781" s="571"/>
      <c r="C781" s="723"/>
      <c r="D781" s="723"/>
      <c r="E781" s="723" t="s">
        <v>18</v>
      </c>
      <c r="F781" s="723"/>
      <c r="G781" s="567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5"/>
        <v>0</v>
      </c>
      <c r="P781" s="93">
        <f t="shared" si="316"/>
        <v>0</v>
      </c>
      <c r="Q781" s="568"/>
      <c r="R781" s="568"/>
      <c r="S781" s="568"/>
      <c r="T781" s="568"/>
      <c r="U781" s="568"/>
      <c r="V781" s="568"/>
      <c r="W781" s="568"/>
      <c r="X781" s="568"/>
      <c r="Y781" s="568"/>
      <c r="Z781" s="568"/>
    </row>
    <row r="782" spans="1:26" ht="18.75" hidden="1">
      <c r="A782" s="563"/>
      <c r="B782" s="571"/>
      <c r="C782" s="723"/>
      <c r="D782" s="723"/>
      <c r="E782" s="723" t="s">
        <v>19</v>
      </c>
      <c r="F782" s="723"/>
      <c r="G782" s="567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5"/>
        <v>0</v>
      </c>
      <c r="P782" s="93">
        <f t="shared" si="316"/>
        <v>0</v>
      </c>
      <c r="Q782" s="568"/>
      <c r="R782" s="568"/>
      <c r="S782" s="568"/>
      <c r="T782" s="568"/>
      <c r="U782" s="568"/>
      <c r="V782" s="568"/>
      <c r="W782" s="568"/>
      <c r="X782" s="568"/>
      <c r="Y782" s="568"/>
      <c r="Z782" s="568"/>
    </row>
    <row r="783" spans="1:26" ht="19.5" hidden="1">
      <c r="A783" s="578"/>
      <c r="B783" s="580"/>
      <c r="C783" s="723" t="s">
        <v>16</v>
      </c>
      <c r="D783" s="856" t="s">
        <v>38</v>
      </c>
      <c r="E783" s="617"/>
      <c r="F783" s="617"/>
      <c r="G783" s="618"/>
      <c r="H783" s="765"/>
      <c r="I783" s="166"/>
      <c r="J783" s="166"/>
      <c r="K783" s="167"/>
      <c r="L783" s="167"/>
      <c r="M783" s="167"/>
      <c r="N783" s="167"/>
      <c r="O783" s="167"/>
      <c r="P783" s="167"/>
      <c r="Q783" s="568"/>
      <c r="R783" s="568"/>
      <c r="S783" s="568"/>
      <c r="T783" s="568"/>
      <c r="U783" s="568"/>
      <c r="V783" s="568"/>
      <c r="W783" s="568"/>
      <c r="X783" s="568"/>
      <c r="Y783" s="568"/>
      <c r="Z783" s="568"/>
    </row>
    <row r="784" spans="1:26" ht="18.75" hidden="1">
      <c r="A784" s="615"/>
      <c r="B784" s="571"/>
      <c r="C784" s="723"/>
      <c r="D784" s="723"/>
      <c r="E784" s="723" t="s">
        <v>318</v>
      </c>
      <c r="F784" s="723"/>
      <c r="G784" s="567"/>
      <c r="H784" s="165" t="s">
        <v>46</v>
      </c>
      <c r="I784" s="583"/>
      <c r="J784" s="583"/>
      <c r="K784" s="93"/>
      <c r="L784" s="93"/>
      <c r="M784" s="93"/>
      <c r="N784" s="93"/>
      <c r="O784" s="93"/>
      <c r="P784" s="93"/>
      <c r="Q784" s="568"/>
      <c r="R784" s="568"/>
      <c r="S784" s="568"/>
      <c r="T784" s="568"/>
      <c r="U784" s="568"/>
      <c r="V784" s="568"/>
      <c r="W784" s="568"/>
      <c r="X784" s="568"/>
      <c r="Y784" s="568"/>
      <c r="Z784" s="568"/>
    </row>
    <row r="785" spans="1:26" ht="19.5" hidden="1">
      <c r="A785" s="766">
        <v>12</v>
      </c>
      <c r="B785" s="767" t="s">
        <v>319</v>
      </c>
      <c r="C785" s="768"/>
      <c r="D785" s="768"/>
      <c r="E785" s="768"/>
      <c r="F785" s="768"/>
      <c r="G785" s="769"/>
      <c r="H785" s="770" t="s">
        <v>46</v>
      </c>
      <c r="I785" s="860">
        <f t="shared" ref="I785:J785" ca="1" si="317">I800</f>
        <v>0</v>
      </c>
      <c r="J785" s="771">
        <f t="shared" ca="1" si="317"/>
        <v>0</v>
      </c>
      <c r="K785" s="772">
        <f ca="1">IF(I785&gt;0,J785*100/I785,0)</f>
        <v>0</v>
      </c>
      <c r="L785" s="773"/>
      <c r="M785" s="773"/>
      <c r="N785" s="773"/>
      <c r="O785" s="773"/>
      <c r="P785" s="773"/>
      <c r="Q785" s="541"/>
      <c r="R785" s="541"/>
      <c r="S785" s="541"/>
      <c r="T785" s="541"/>
      <c r="U785" s="541"/>
      <c r="V785" s="541"/>
      <c r="W785" s="541"/>
      <c r="X785" s="541"/>
      <c r="Y785" s="541"/>
      <c r="Z785" s="541"/>
    </row>
    <row r="786" spans="1:26" ht="19.5" hidden="1">
      <c r="A786" s="561"/>
      <c r="B786" s="538"/>
      <c r="C786" s="727" t="s">
        <v>16</v>
      </c>
      <c r="D786" s="811" t="s">
        <v>17</v>
      </c>
      <c r="E786" s="805"/>
      <c r="F786" s="805"/>
      <c r="G786" s="189"/>
      <c r="H786" s="562" t="s">
        <v>12</v>
      </c>
      <c r="I786" s="269"/>
      <c r="J786" s="269"/>
      <c r="K786" s="465"/>
      <c r="L786" s="195">
        <f t="shared" ref="L786:N786" ca="1" si="318">L787+L788</f>
        <v>0</v>
      </c>
      <c r="M786" s="195">
        <f t="shared" si="318"/>
        <v>0</v>
      </c>
      <c r="N786" s="195">
        <f t="shared" si="318"/>
        <v>0</v>
      </c>
      <c r="O786" s="195">
        <f t="shared" ref="O786:O791" ca="1" si="319">IF(L786&gt;0,N786*100/L786,0)</f>
        <v>0</v>
      </c>
      <c r="P786" s="195">
        <f t="shared" ref="P786:P791" si="320">IF(M786&gt;0,N786*100/M786,0)</f>
        <v>0</v>
      </c>
      <c r="Q786" s="541"/>
      <c r="R786" s="541"/>
      <c r="S786" s="541"/>
      <c r="T786" s="541"/>
      <c r="U786" s="541"/>
      <c r="V786" s="541"/>
      <c r="W786" s="541"/>
      <c r="X786" s="541"/>
      <c r="Y786" s="541"/>
      <c r="Z786" s="541"/>
    </row>
    <row r="787" spans="1:26" ht="18.75" hidden="1">
      <c r="A787" s="563"/>
      <c r="B787" s="571"/>
      <c r="C787" s="723"/>
      <c r="D787" s="684"/>
      <c r="E787" s="723" t="s">
        <v>184</v>
      </c>
      <c r="F787" s="723"/>
      <c r="G787" s="567"/>
      <c r="H787" s="165" t="s">
        <v>12</v>
      </c>
      <c r="I787" s="583"/>
      <c r="J787" s="583"/>
      <c r="K787" s="93"/>
      <c r="L787" s="93">
        <f t="shared" ref="L787:N788" si="321">L790+L797</f>
        <v>0</v>
      </c>
      <c r="M787" s="93">
        <f t="shared" si="321"/>
        <v>0</v>
      </c>
      <c r="N787" s="93">
        <f t="shared" si="321"/>
        <v>0</v>
      </c>
      <c r="O787" s="93">
        <f t="shared" si="319"/>
        <v>0</v>
      </c>
      <c r="P787" s="93">
        <f t="shared" si="320"/>
        <v>0</v>
      </c>
      <c r="Q787" s="568"/>
      <c r="R787" s="568"/>
      <c r="S787" s="568"/>
      <c r="T787" s="568"/>
      <c r="U787" s="568"/>
      <c r="V787" s="568"/>
      <c r="W787" s="568"/>
      <c r="X787" s="568"/>
      <c r="Y787" s="568"/>
      <c r="Z787" s="568"/>
    </row>
    <row r="788" spans="1:26" ht="18.75" hidden="1">
      <c r="A788" s="563"/>
      <c r="B788" s="571"/>
      <c r="C788" s="571"/>
      <c r="D788" s="580"/>
      <c r="E788" s="723" t="s">
        <v>185</v>
      </c>
      <c r="F788" s="723"/>
      <c r="G788" s="567"/>
      <c r="H788" s="165" t="s">
        <v>12</v>
      </c>
      <c r="I788" s="583"/>
      <c r="J788" s="583"/>
      <c r="K788" s="93"/>
      <c r="L788" s="93">
        <f t="shared" ca="1" si="321"/>
        <v>0</v>
      </c>
      <c r="M788" s="93">
        <f t="shared" si="321"/>
        <v>0</v>
      </c>
      <c r="N788" s="93">
        <f t="shared" si="321"/>
        <v>0</v>
      </c>
      <c r="O788" s="93">
        <f t="shared" ca="1" si="319"/>
        <v>0</v>
      </c>
      <c r="P788" s="93">
        <f t="shared" si="320"/>
        <v>0</v>
      </c>
      <c r="Q788" s="568"/>
      <c r="R788" s="568"/>
      <c r="S788" s="568"/>
      <c r="T788" s="568"/>
      <c r="U788" s="568"/>
      <c r="V788" s="568"/>
      <c r="W788" s="568"/>
      <c r="X788" s="568"/>
      <c r="Y788" s="568"/>
      <c r="Z788" s="568"/>
    </row>
    <row r="789" spans="1:26" ht="18.75" hidden="1">
      <c r="A789" s="561"/>
      <c r="B789" s="538"/>
      <c r="C789" s="538"/>
      <c r="D789" s="570" t="s">
        <v>20</v>
      </c>
      <c r="E789" s="727"/>
      <c r="F789" s="727"/>
      <c r="G789" s="189"/>
      <c r="H789" s="161" t="s">
        <v>12</v>
      </c>
      <c r="I789" s="184"/>
      <c r="J789" s="184"/>
      <c r="K789" s="163"/>
      <c r="L789" s="465">
        <f t="shared" ref="L789:N789" ca="1" si="322">L790+L791</f>
        <v>0</v>
      </c>
      <c r="M789" s="465">
        <f t="shared" si="322"/>
        <v>0</v>
      </c>
      <c r="N789" s="465">
        <f t="shared" si="322"/>
        <v>0</v>
      </c>
      <c r="O789" s="465">
        <f t="shared" ca="1" si="319"/>
        <v>0</v>
      </c>
      <c r="P789" s="465">
        <f t="shared" si="320"/>
        <v>0</v>
      </c>
      <c r="Q789" s="541"/>
      <c r="R789" s="541"/>
      <c r="S789" s="541"/>
      <c r="T789" s="541"/>
      <c r="U789" s="541"/>
      <c r="V789" s="541"/>
      <c r="W789" s="541"/>
      <c r="X789" s="541"/>
      <c r="Y789" s="541"/>
      <c r="Z789" s="541"/>
    </row>
    <row r="790" spans="1:26" ht="18.75" hidden="1">
      <c r="A790" s="563"/>
      <c r="B790" s="571"/>
      <c r="C790" s="571"/>
      <c r="D790" s="580"/>
      <c r="E790" s="723" t="s">
        <v>184</v>
      </c>
      <c r="F790" s="723"/>
      <c r="G790" s="567"/>
      <c r="H790" s="165" t="s">
        <v>12</v>
      </c>
      <c r="I790" s="583"/>
      <c r="J790" s="583"/>
      <c r="K790" s="93"/>
      <c r="L790" s="93">
        <v>0</v>
      </c>
      <c r="M790" s="93">
        <v>0</v>
      </c>
      <c r="N790" s="93">
        <v>0</v>
      </c>
      <c r="O790" s="93">
        <f t="shared" si="319"/>
        <v>0</v>
      </c>
      <c r="P790" s="93">
        <f t="shared" si="320"/>
        <v>0</v>
      </c>
      <c r="Q790" s="568"/>
      <c r="R790" s="568"/>
      <c r="S790" s="568"/>
      <c r="T790" s="568"/>
      <c r="U790" s="568"/>
      <c r="V790" s="568"/>
      <c r="W790" s="568"/>
      <c r="X790" s="568"/>
      <c r="Y790" s="568"/>
      <c r="Z790" s="568"/>
    </row>
    <row r="791" spans="1:26" ht="18.75" hidden="1">
      <c r="A791" s="563"/>
      <c r="B791" s="571"/>
      <c r="C791" s="571"/>
      <c r="D791" s="580"/>
      <c r="E791" s="723" t="s">
        <v>185</v>
      </c>
      <c r="F791" s="723"/>
      <c r="G791" s="567"/>
      <c r="H791" s="165" t="s">
        <v>12</v>
      </c>
      <c r="I791" s="583"/>
      <c r="J791" s="583"/>
      <c r="K791" s="93"/>
      <c r="L791" s="93">
        <f ca="1">IFERROR(__xludf.DUMMYFUNCTION("IMPORTRANGE(""https://docs.google.com/spreadsheets/d/1QqKyyYR6Q21VydFLVH3TRQUabQu_ym0Zz7PgGX0-kHA/edit?usp=sharing"",""แผน!JJ19"")"),0)</f>
        <v>0</v>
      </c>
      <c r="M791" s="93">
        <v>0</v>
      </c>
      <c r="N791" s="93">
        <f>N792+N793+N794+N795</f>
        <v>0</v>
      </c>
      <c r="O791" s="93">
        <f t="shared" ca="1" si="319"/>
        <v>0</v>
      </c>
      <c r="P791" s="93">
        <f t="shared" si="320"/>
        <v>0</v>
      </c>
      <c r="Q791" s="568"/>
      <c r="R791" s="568"/>
      <c r="S791" s="568"/>
      <c r="T791" s="568"/>
      <c r="U791" s="568"/>
      <c r="V791" s="568"/>
      <c r="W791" s="568"/>
      <c r="X791" s="568"/>
      <c r="Y791" s="568"/>
      <c r="Z791" s="568"/>
    </row>
    <row r="792" spans="1:26" ht="18.75" hidden="1">
      <c r="A792" s="537"/>
      <c r="B792" s="538"/>
      <c r="C792" s="727"/>
      <c r="D792" s="727"/>
      <c r="E792" s="727"/>
      <c r="F792" s="727" t="s">
        <v>186</v>
      </c>
      <c r="G792" s="189"/>
      <c r="H792" s="161" t="s">
        <v>12</v>
      </c>
      <c r="I792" s="269"/>
      <c r="J792" s="269"/>
      <c r="K792" s="465"/>
      <c r="L792" s="465"/>
      <c r="M792" s="465"/>
      <c r="N792" s="789">
        <v>0</v>
      </c>
      <c r="O792" s="465"/>
      <c r="P792" s="465"/>
      <c r="Q792" s="541"/>
      <c r="R792" s="541"/>
      <c r="S792" s="541"/>
      <c r="T792" s="541"/>
      <c r="U792" s="541"/>
      <c r="V792" s="541"/>
      <c r="W792" s="541"/>
      <c r="X792" s="541"/>
      <c r="Y792" s="541"/>
      <c r="Z792" s="541"/>
    </row>
    <row r="793" spans="1:26" ht="18.75" hidden="1">
      <c r="A793" s="537"/>
      <c r="B793" s="538"/>
      <c r="C793" s="727"/>
      <c r="D793" s="727"/>
      <c r="E793" s="727"/>
      <c r="F793" s="727" t="s">
        <v>187</v>
      </c>
      <c r="G793" s="189"/>
      <c r="H793" s="161" t="s">
        <v>12</v>
      </c>
      <c r="I793" s="269"/>
      <c r="J793" s="269"/>
      <c r="K793" s="465"/>
      <c r="L793" s="465"/>
      <c r="M793" s="465"/>
      <c r="N793" s="789">
        <v>0</v>
      </c>
      <c r="O793" s="465"/>
      <c r="P793" s="465"/>
      <c r="Q793" s="541"/>
      <c r="R793" s="541"/>
      <c r="S793" s="541"/>
      <c r="T793" s="541"/>
      <c r="U793" s="541"/>
      <c r="V793" s="541"/>
      <c r="W793" s="541"/>
      <c r="X793" s="541"/>
      <c r="Y793" s="541"/>
      <c r="Z793" s="541"/>
    </row>
    <row r="794" spans="1:26" ht="18.75" hidden="1">
      <c r="A794" s="537"/>
      <c r="B794" s="538"/>
      <c r="C794" s="727"/>
      <c r="D794" s="727"/>
      <c r="E794" s="727"/>
      <c r="F794" s="727" t="s">
        <v>188</v>
      </c>
      <c r="G794" s="189"/>
      <c r="H794" s="161" t="s">
        <v>12</v>
      </c>
      <c r="I794" s="269"/>
      <c r="J794" s="269"/>
      <c r="K794" s="465"/>
      <c r="L794" s="465"/>
      <c r="M794" s="465"/>
      <c r="N794" s="789">
        <v>0</v>
      </c>
      <c r="O794" s="465"/>
      <c r="P794" s="465"/>
      <c r="Q794" s="541"/>
      <c r="R794" s="541"/>
      <c r="S794" s="541"/>
      <c r="T794" s="541"/>
      <c r="U794" s="541"/>
      <c r="V794" s="541"/>
      <c r="W794" s="541"/>
      <c r="X794" s="541"/>
      <c r="Y794" s="541"/>
      <c r="Z794" s="541"/>
    </row>
    <row r="795" spans="1:26" ht="18.75" hidden="1">
      <c r="A795" s="537"/>
      <c r="B795" s="538"/>
      <c r="C795" s="727"/>
      <c r="D795" s="727"/>
      <c r="E795" s="727"/>
      <c r="F795" s="727" t="s">
        <v>189</v>
      </c>
      <c r="G795" s="189"/>
      <c r="H795" s="161" t="s">
        <v>12</v>
      </c>
      <c r="I795" s="269"/>
      <c r="J795" s="269"/>
      <c r="K795" s="465"/>
      <c r="L795" s="465"/>
      <c r="M795" s="465"/>
      <c r="N795" s="789">
        <v>0</v>
      </c>
      <c r="O795" s="465"/>
      <c r="P795" s="465"/>
      <c r="Q795" s="541"/>
      <c r="R795" s="541"/>
      <c r="S795" s="541"/>
      <c r="T795" s="541"/>
      <c r="U795" s="541"/>
      <c r="V795" s="541"/>
      <c r="W795" s="541"/>
      <c r="X795" s="541"/>
      <c r="Y795" s="541"/>
      <c r="Z795" s="541"/>
    </row>
    <row r="796" spans="1:26" ht="18.75" hidden="1">
      <c r="A796" s="561"/>
      <c r="B796" s="538"/>
      <c r="C796" s="727"/>
      <c r="D796" s="570" t="s">
        <v>21</v>
      </c>
      <c r="E796" s="727"/>
      <c r="F796" s="727"/>
      <c r="G796" s="189"/>
      <c r="H796" s="168" t="s">
        <v>12</v>
      </c>
      <c r="I796" s="184"/>
      <c r="J796" s="184"/>
      <c r="K796" s="163"/>
      <c r="L796" s="465">
        <f t="shared" ref="L796:N796" si="323">L797+L798</f>
        <v>0</v>
      </c>
      <c r="M796" s="465">
        <f t="shared" si="323"/>
        <v>0</v>
      </c>
      <c r="N796" s="465">
        <f t="shared" si="323"/>
        <v>0</v>
      </c>
      <c r="O796" s="465">
        <f t="shared" ref="O796:O798" si="324">IF(L796&gt;0,N796*100/L796,0)</f>
        <v>0</v>
      </c>
      <c r="P796" s="465">
        <f t="shared" ref="P796:P798" si="325">IF(M796&gt;0,N796*100/M796,0)</f>
        <v>0</v>
      </c>
      <c r="Q796" s="541"/>
      <c r="R796" s="541"/>
      <c r="S796" s="541"/>
      <c r="T796" s="541"/>
      <c r="U796" s="541"/>
      <c r="V796" s="541"/>
      <c r="W796" s="541"/>
      <c r="X796" s="541"/>
      <c r="Y796" s="541"/>
      <c r="Z796" s="541"/>
    </row>
    <row r="797" spans="1:26" ht="18.75" hidden="1">
      <c r="A797" s="563"/>
      <c r="B797" s="571"/>
      <c r="C797" s="723"/>
      <c r="D797" s="723"/>
      <c r="E797" s="723" t="s">
        <v>18</v>
      </c>
      <c r="F797" s="723"/>
      <c r="G797" s="567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4"/>
        <v>0</v>
      </c>
      <c r="P797" s="93">
        <f t="shared" si="325"/>
        <v>0</v>
      </c>
      <c r="Q797" s="568"/>
      <c r="R797" s="568"/>
      <c r="S797" s="568"/>
      <c r="T797" s="568"/>
      <c r="U797" s="568"/>
      <c r="V797" s="568"/>
      <c r="W797" s="568"/>
      <c r="X797" s="568"/>
      <c r="Y797" s="568"/>
      <c r="Z797" s="568"/>
    </row>
    <row r="798" spans="1:26" ht="18.75" hidden="1">
      <c r="A798" s="563"/>
      <c r="B798" s="571"/>
      <c r="C798" s="723"/>
      <c r="D798" s="723"/>
      <c r="E798" s="723" t="s">
        <v>19</v>
      </c>
      <c r="F798" s="723"/>
      <c r="G798" s="567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4"/>
        <v>0</v>
      </c>
      <c r="P798" s="93">
        <f t="shared" si="325"/>
        <v>0</v>
      </c>
      <c r="Q798" s="568"/>
      <c r="R798" s="568"/>
      <c r="S798" s="568"/>
      <c r="T798" s="568"/>
      <c r="U798" s="568"/>
      <c r="V798" s="568"/>
      <c r="W798" s="568"/>
      <c r="X798" s="568"/>
      <c r="Y798" s="568"/>
      <c r="Z798" s="568"/>
    </row>
    <row r="799" spans="1:26" ht="19.5" hidden="1">
      <c r="A799" s="572"/>
      <c r="B799" s="584"/>
      <c r="C799" s="727" t="s">
        <v>16</v>
      </c>
      <c r="D799" s="855" t="s">
        <v>38</v>
      </c>
      <c r="E799" s="725"/>
      <c r="F799" s="725"/>
      <c r="G799" s="577"/>
      <c r="H799" s="774"/>
      <c r="I799" s="184"/>
      <c r="J799" s="184"/>
      <c r="K799" s="163"/>
      <c r="L799" s="163"/>
      <c r="M799" s="163"/>
      <c r="N799" s="163"/>
      <c r="O799" s="163"/>
      <c r="P799" s="163"/>
      <c r="Q799" s="541"/>
      <c r="R799" s="541"/>
      <c r="S799" s="541"/>
      <c r="T799" s="541"/>
      <c r="U799" s="541"/>
      <c r="V799" s="541"/>
      <c r="W799" s="541"/>
      <c r="X799" s="541"/>
      <c r="Y799" s="541"/>
      <c r="Z799" s="541"/>
    </row>
    <row r="800" spans="1:26" ht="18.75" hidden="1">
      <c r="A800" s="572"/>
      <c r="B800" s="584"/>
      <c r="C800" s="584"/>
      <c r="D800" s="584"/>
      <c r="E800" s="592"/>
      <c r="F800" s="592" t="s">
        <v>320</v>
      </c>
      <c r="G800" s="726"/>
      <c r="H800" s="185" t="s">
        <v>46</v>
      </c>
      <c r="I800" s="184">
        <f ca="1">IFERROR(__xludf.DUMMYFUNCTION("IMPORTRANGE(""https://docs.google.com/spreadsheets/d/1QqKyyYR6Q21VydFLVH3TRQUabQu_ym0Zz7PgGX0-kHA/edit?usp=sharing"",""แผน!JN19"")"),0)</f>
        <v>0</v>
      </c>
      <c r="J800" s="184">
        <f ca="1">IFERROR(__xludf.DUMMYFUNCTION("IMPORTRANGE(""https://docs.google.com/spreadsheets/d/1MaWodYyGHDf7siQLGxnXhG4mBNTNIuy296niS2xXulU/edit?usp=sharing"",""RTK!H19"")"),0)</f>
        <v>0</v>
      </c>
      <c r="K800" s="465">
        <f ca="1">IF(I800&gt;0,J800*100/I800,0)</f>
        <v>0</v>
      </c>
      <c r="L800" s="465"/>
      <c r="M800" s="465"/>
      <c r="N800" s="465"/>
      <c r="O800" s="163"/>
      <c r="P800" s="163"/>
      <c r="Q800" s="541"/>
      <c r="R800" s="541"/>
      <c r="S800" s="541"/>
      <c r="T800" s="541"/>
      <c r="U800" s="541"/>
      <c r="V800" s="541"/>
      <c r="W800" s="541"/>
      <c r="X800" s="541"/>
      <c r="Y800" s="541"/>
      <c r="Z800" s="541"/>
    </row>
    <row r="801" spans="1:26" ht="18.75" hidden="1">
      <c r="A801" s="572"/>
      <c r="B801" s="584"/>
      <c r="C801" s="584"/>
      <c r="D801" s="584"/>
      <c r="E801" s="592"/>
      <c r="F801" s="592"/>
      <c r="G801" s="726"/>
      <c r="H801" s="161" t="s">
        <v>34</v>
      </c>
      <c r="I801" s="184"/>
      <c r="J801" s="269">
        <f ca="1">IFERROR(__xludf.DUMMYFUNCTION("IMPORTRANGE(""https://docs.google.com/spreadsheets/d/1MaWodYyGHDf7siQLGxnXhG4mBNTNIuy296niS2xXulU/edit?usp=sharing"",""RTK!I19"")"),0)</f>
        <v>0</v>
      </c>
      <c r="K801" s="465"/>
      <c r="L801" s="465"/>
      <c r="M801" s="465"/>
      <c r="N801" s="465"/>
      <c r="O801" s="163"/>
      <c r="P801" s="163"/>
      <c r="Q801" s="541"/>
      <c r="R801" s="541"/>
      <c r="S801" s="541"/>
      <c r="T801" s="541"/>
      <c r="U801" s="541"/>
      <c r="V801" s="541"/>
      <c r="W801" s="541"/>
      <c r="X801" s="541"/>
      <c r="Y801" s="541"/>
      <c r="Z801" s="541"/>
    </row>
    <row r="802" spans="1:26" ht="18.75" hidden="1">
      <c r="A802" s="578"/>
      <c r="B802" s="580"/>
      <c r="C802" s="580"/>
      <c r="D802" s="580"/>
      <c r="E802" s="684"/>
      <c r="F802" s="684" t="s">
        <v>321</v>
      </c>
      <c r="G802" s="581"/>
      <c r="H802" s="619" t="s">
        <v>46</v>
      </c>
      <c r="I802" s="166"/>
      <c r="J802" s="583"/>
      <c r="K802" s="167">
        <f>IF(I802&gt;0,J802*100/I802,0)</f>
        <v>0</v>
      </c>
      <c r="L802" s="167"/>
      <c r="M802" s="167"/>
      <c r="N802" s="167"/>
      <c r="O802" s="167"/>
      <c r="P802" s="167"/>
      <c r="Q802" s="568"/>
      <c r="R802" s="568"/>
      <c r="S802" s="568"/>
      <c r="T802" s="568"/>
      <c r="U802" s="568"/>
      <c r="V802" s="568"/>
      <c r="W802" s="568"/>
      <c r="X802" s="568"/>
      <c r="Y802" s="568"/>
      <c r="Z802" s="568"/>
    </row>
    <row r="803" spans="1:26" ht="18.75" hidden="1">
      <c r="A803" s="578"/>
      <c r="B803" s="580"/>
      <c r="C803" s="580"/>
      <c r="D803" s="580"/>
      <c r="E803" s="684"/>
      <c r="F803" s="684"/>
      <c r="G803" s="581"/>
      <c r="H803" s="619" t="s">
        <v>34</v>
      </c>
      <c r="I803" s="166"/>
      <c r="J803" s="583"/>
      <c r="K803" s="167"/>
      <c r="L803" s="167"/>
      <c r="M803" s="167"/>
      <c r="N803" s="167"/>
      <c r="O803" s="167"/>
      <c r="P803" s="167"/>
      <c r="Q803" s="568"/>
      <c r="R803" s="568"/>
      <c r="S803" s="568"/>
      <c r="T803" s="568"/>
      <c r="U803" s="568"/>
      <c r="V803" s="568"/>
      <c r="W803" s="568"/>
      <c r="X803" s="568"/>
      <c r="Y803" s="568"/>
      <c r="Z803" s="568"/>
    </row>
    <row r="804" spans="1:26" ht="19.5" hidden="1">
      <c r="A804" s="757">
        <v>13</v>
      </c>
      <c r="B804" s="758" t="s">
        <v>322</v>
      </c>
      <c r="C804" s="759"/>
      <c r="D804" s="775"/>
      <c r="E804" s="759"/>
      <c r="F804" s="759"/>
      <c r="G804" s="760"/>
      <c r="H804" s="761" t="s">
        <v>46</v>
      </c>
      <c r="I804" s="762"/>
      <c r="J804" s="762">
        <f>J819</f>
        <v>0</v>
      </c>
      <c r="K804" s="763">
        <f>IF(I804&gt;0,J804*100/I804,0)</f>
        <v>0</v>
      </c>
      <c r="L804" s="764"/>
      <c r="M804" s="764"/>
      <c r="N804" s="764"/>
      <c r="O804" s="764"/>
      <c r="P804" s="764"/>
      <c r="Q804" s="568"/>
      <c r="R804" s="568"/>
      <c r="S804" s="568"/>
      <c r="T804" s="568"/>
      <c r="U804" s="568"/>
      <c r="V804" s="568"/>
      <c r="W804" s="568"/>
      <c r="X804" s="568"/>
      <c r="Y804" s="568"/>
      <c r="Z804" s="568"/>
    </row>
    <row r="805" spans="1:26" ht="19.5" hidden="1">
      <c r="A805" s="563"/>
      <c r="B805" s="723"/>
      <c r="C805" s="723" t="s">
        <v>16</v>
      </c>
      <c r="D805" s="812" t="s">
        <v>17</v>
      </c>
      <c r="E805" s="805"/>
      <c r="F805" s="805"/>
      <c r="G805" s="567"/>
      <c r="H805" s="612" t="s">
        <v>12</v>
      </c>
      <c r="I805" s="583"/>
      <c r="J805" s="583"/>
      <c r="K805" s="93"/>
      <c r="L805" s="613">
        <f t="shared" ref="L805:N805" si="326">L806+L807</f>
        <v>0</v>
      </c>
      <c r="M805" s="613">
        <f t="shared" si="326"/>
        <v>0</v>
      </c>
      <c r="N805" s="613">
        <f t="shared" si="326"/>
        <v>0</v>
      </c>
      <c r="O805" s="613">
        <f t="shared" ref="O805:O810" si="327">IF(L805&gt;0,N805*100/L805,0)</f>
        <v>0</v>
      </c>
      <c r="P805" s="613">
        <f t="shared" ref="P805:P810" si="328">IF(M805&gt;0,N805*100/M805,0)</f>
        <v>0</v>
      </c>
      <c r="Q805" s="568"/>
      <c r="R805" s="568"/>
      <c r="S805" s="568"/>
      <c r="T805" s="568"/>
      <c r="U805" s="568"/>
      <c r="V805" s="568"/>
      <c r="W805" s="568"/>
      <c r="X805" s="568"/>
      <c r="Y805" s="568"/>
      <c r="Z805" s="568"/>
    </row>
    <row r="806" spans="1:26" ht="18.75" hidden="1">
      <c r="A806" s="563"/>
      <c r="B806" s="723"/>
      <c r="C806" s="723"/>
      <c r="D806" s="580"/>
      <c r="E806" s="723" t="s">
        <v>184</v>
      </c>
      <c r="F806" s="723"/>
      <c r="G806" s="567"/>
      <c r="H806" s="165" t="s">
        <v>12</v>
      </c>
      <c r="I806" s="583"/>
      <c r="J806" s="583"/>
      <c r="K806" s="93"/>
      <c r="L806" s="93">
        <f t="shared" ref="L806:N807" si="329">L809+L816</f>
        <v>0</v>
      </c>
      <c r="M806" s="93">
        <f t="shared" si="329"/>
        <v>0</v>
      </c>
      <c r="N806" s="93">
        <f t="shared" si="329"/>
        <v>0</v>
      </c>
      <c r="O806" s="93">
        <f t="shared" si="327"/>
        <v>0</v>
      </c>
      <c r="P806" s="93">
        <f t="shared" si="328"/>
        <v>0</v>
      </c>
      <c r="Q806" s="568"/>
      <c r="R806" s="568"/>
      <c r="S806" s="568"/>
      <c r="T806" s="568"/>
      <c r="U806" s="568"/>
      <c r="V806" s="568"/>
      <c r="W806" s="568"/>
      <c r="X806" s="568"/>
      <c r="Y806" s="568"/>
      <c r="Z806" s="568"/>
    </row>
    <row r="807" spans="1:26" ht="18.75" hidden="1">
      <c r="A807" s="563"/>
      <c r="B807" s="723"/>
      <c r="C807" s="723"/>
      <c r="D807" s="580"/>
      <c r="E807" s="723" t="s">
        <v>185</v>
      </c>
      <c r="F807" s="723"/>
      <c r="G807" s="567"/>
      <c r="H807" s="165" t="s">
        <v>12</v>
      </c>
      <c r="I807" s="583"/>
      <c r="J807" s="583"/>
      <c r="K807" s="93"/>
      <c r="L807" s="93">
        <f t="shared" si="329"/>
        <v>0</v>
      </c>
      <c r="M807" s="93">
        <f t="shared" si="329"/>
        <v>0</v>
      </c>
      <c r="N807" s="93">
        <f t="shared" si="329"/>
        <v>0</v>
      </c>
      <c r="O807" s="93">
        <f t="shared" si="327"/>
        <v>0</v>
      </c>
      <c r="P807" s="93">
        <f t="shared" si="328"/>
        <v>0</v>
      </c>
      <c r="Q807" s="568"/>
      <c r="R807" s="568"/>
      <c r="S807" s="568"/>
      <c r="T807" s="568"/>
      <c r="U807" s="568"/>
      <c r="V807" s="568"/>
      <c r="W807" s="568"/>
      <c r="X807" s="568"/>
      <c r="Y807" s="568"/>
      <c r="Z807" s="568"/>
    </row>
    <row r="808" spans="1:26" ht="19.5" hidden="1">
      <c r="A808" s="563"/>
      <c r="B808" s="571"/>
      <c r="C808" s="723"/>
      <c r="D808" s="857" t="s">
        <v>20</v>
      </c>
      <c r="E808" s="805"/>
      <c r="F808" s="805"/>
      <c r="G808" s="567"/>
      <c r="H808" s="612" t="s">
        <v>12</v>
      </c>
      <c r="I808" s="166"/>
      <c r="J808" s="166"/>
      <c r="K808" s="167"/>
      <c r="L808" s="613">
        <f t="shared" ref="L808:N808" si="330">L809+L810</f>
        <v>0</v>
      </c>
      <c r="M808" s="613">
        <f t="shared" si="330"/>
        <v>0</v>
      </c>
      <c r="N808" s="613">
        <f t="shared" si="330"/>
        <v>0</v>
      </c>
      <c r="O808" s="613">
        <f t="shared" si="327"/>
        <v>0</v>
      </c>
      <c r="P808" s="613">
        <f t="shared" si="328"/>
        <v>0</v>
      </c>
      <c r="Q808" s="568"/>
      <c r="R808" s="568"/>
      <c r="S808" s="568"/>
      <c r="T808" s="568"/>
      <c r="U808" s="568"/>
      <c r="V808" s="568"/>
      <c r="W808" s="568"/>
      <c r="X808" s="568"/>
      <c r="Y808" s="568"/>
      <c r="Z808" s="568"/>
    </row>
    <row r="809" spans="1:26" ht="18.75" hidden="1">
      <c r="A809" s="563"/>
      <c r="B809" s="723"/>
      <c r="C809" s="723"/>
      <c r="D809" s="580"/>
      <c r="E809" s="723" t="s">
        <v>184</v>
      </c>
      <c r="F809" s="723"/>
      <c r="G809" s="567"/>
      <c r="H809" s="165" t="s">
        <v>12</v>
      </c>
      <c r="I809" s="583"/>
      <c r="J809" s="583"/>
      <c r="K809" s="93"/>
      <c r="L809" s="93">
        <v>0</v>
      </c>
      <c r="M809" s="93">
        <v>0</v>
      </c>
      <c r="N809" s="93">
        <v>0</v>
      </c>
      <c r="O809" s="93">
        <f t="shared" si="327"/>
        <v>0</v>
      </c>
      <c r="P809" s="93">
        <f t="shared" si="328"/>
        <v>0</v>
      </c>
      <c r="Q809" s="568"/>
      <c r="R809" s="568"/>
      <c r="S809" s="568"/>
      <c r="T809" s="568"/>
      <c r="U809" s="568"/>
      <c r="V809" s="568"/>
      <c r="W809" s="568"/>
      <c r="X809" s="568"/>
      <c r="Y809" s="568"/>
      <c r="Z809" s="568"/>
    </row>
    <row r="810" spans="1:26" ht="18.75" hidden="1">
      <c r="A810" s="563"/>
      <c r="B810" s="723"/>
      <c r="C810" s="723"/>
      <c r="D810" s="580"/>
      <c r="E810" s="723" t="s">
        <v>185</v>
      </c>
      <c r="F810" s="723"/>
      <c r="G810" s="567"/>
      <c r="H810" s="165" t="s">
        <v>12</v>
      </c>
      <c r="I810" s="583"/>
      <c r="J810" s="583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7"/>
        <v>0</v>
      </c>
      <c r="P810" s="93">
        <f t="shared" si="328"/>
        <v>0</v>
      </c>
      <c r="Q810" s="568"/>
      <c r="R810" s="568"/>
      <c r="S810" s="568"/>
      <c r="T810" s="568"/>
      <c r="U810" s="568"/>
      <c r="V810" s="568"/>
      <c r="W810" s="568"/>
      <c r="X810" s="568"/>
      <c r="Y810" s="568"/>
      <c r="Z810" s="568"/>
    </row>
    <row r="811" spans="1:26" ht="18.75" hidden="1">
      <c r="A811" s="615"/>
      <c r="B811" s="571"/>
      <c r="C811" s="723"/>
      <c r="D811" s="571"/>
      <c r="E811" s="723"/>
      <c r="F811" s="723" t="s">
        <v>186</v>
      </c>
      <c r="G811" s="567"/>
      <c r="H811" s="165" t="s">
        <v>12</v>
      </c>
      <c r="I811" s="583"/>
      <c r="J811" s="583"/>
      <c r="K811" s="93"/>
      <c r="L811" s="93"/>
      <c r="M811" s="93"/>
      <c r="N811" s="93"/>
      <c r="O811" s="93"/>
      <c r="P811" s="93"/>
      <c r="Q811" s="568"/>
      <c r="R811" s="568"/>
      <c r="S811" s="568"/>
      <c r="T811" s="568"/>
      <c r="U811" s="568"/>
      <c r="V811" s="568"/>
      <c r="W811" s="568"/>
      <c r="X811" s="568"/>
      <c r="Y811" s="568"/>
      <c r="Z811" s="568"/>
    </row>
    <row r="812" spans="1:26" ht="18.75" hidden="1">
      <c r="A812" s="615"/>
      <c r="B812" s="571"/>
      <c r="C812" s="723"/>
      <c r="D812" s="571"/>
      <c r="E812" s="723"/>
      <c r="F812" s="723" t="s">
        <v>187</v>
      </c>
      <c r="G812" s="567"/>
      <c r="H812" s="165" t="s">
        <v>12</v>
      </c>
      <c r="I812" s="583"/>
      <c r="J812" s="583"/>
      <c r="K812" s="93"/>
      <c r="L812" s="93"/>
      <c r="M812" s="93"/>
      <c r="N812" s="93"/>
      <c r="O812" s="93"/>
      <c r="P812" s="93"/>
      <c r="Q812" s="568"/>
      <c r="R812" s="568"/>
      <c r="S812" s="568"/>
      <c r="T812" s="568"/>
      <c r="U812" s="568"/>
      <c r="V812" s="568"/>
      <c r="W812" s="568"/>
      <c r="X812" s="568"/>
      <c r="Y812" s="568"/>
      <c r="Z812" s="568"/>
    </row>
    <row r="813" spans="1:26" ht="18.75" hidden="1">
      <c r="A813" s="615"/>
      <c r="B813" s="571"/>
      <c r="C813" s="723"/>
      <c r="D813" s="571"/>
      <c r="E813" s="723"/>
      <c r="F813" s="723" t="s">
        <v>188</v>
      </c>
      <c r="G813" s="567"/>
      <c r="H813" s="165" t="s">
        <v>12</v>
      </c>
      <c r="I813" s="583"/>
      <c r="J813" s="583"/>
      <c r="K813" s="93"/>
      <c r="L813" s="93"/>
      <c r="M813" s="93"/>
      <c r="N813" s="93"/>
      <c r="O813" s="93"/>
      <c r="P813" s="93"/>
      <c r="Q813" s="568"/>
      <c r="R813" s="568"/>
      <c r="S813" s="568"/>
      <c r="T813" s="568"/>
      <c r="U813" s="568"/>
      <c r="V813" s="568"/>
      <c r="W813" s="568"/>
      <c r="X813" s="568"/>
      <c r="Y813" s="568"/>
      <c r="Z813" s="568"/>
    </row>
    <row r="814" spans="1:26" ht="18.75" hidden="1">
      <c r="A814" s="615"/>
      <c r="B814" s="571"/>
      <c r="C814" s="723"/>
      <c r="D814" s="571"/>
      <c r="E814" s="723"/>
      <c r="F814" s="723" t="s">
        <v>189</v>
      </c>
      <c r="G814" s="567"/>
      <c r="H814" s="165" t="s">
        <v>12</v>
      </c>
      <c r="I814" s="583"/>
      <c r="J814" s="583"/>
      <c r="K814" s="93"/>
      <c r="L814" s="93"/>
      <c r="M814" s="93"/>
      <c r="N814" s="93"/>
      <c r="O814" s="93"/>
      <c r="P814" s="93"/>
      <c r="Q814" s="568"/>
      <c r="R814" s="568"/>
      <c r="S814" s="568"/>
      <c r="T814" s="568"/>
      <c r="U814" s="568"/>
      <c r="V814" s="568"/>
      <c r="W814" s="568"/>
      <c r="X814" s="568"/>
      <c r="Y814" s="568"/>
      <c r="Z814" s="568"/>
    </row>
    <row r="815" spans="1:26" ht="19.5" hidden="1">
      <c r="A815" s="563"/>
      <c r="B815" s="571"/>
      <c r="C815" s="723"/>
      <c r="D815" s="857" t="s">
        <v>21</v>
      </c>
      <c r="E815" s="805"/>
      <c r="F815" s="805"/>
      <c r="G815" s="567"/>
      <c r="H815" s="747" t="s">
        <v>12</v>
      </c>
      <c r="I815" s="166"/>
      <c r="J815" s="166"/>
      <c r="K815" s="167"/>
      <c r="L815" s="613">
        <f t="shared" ref="L815:N815" si="331">L816+L817</f>
        <v>0</v>
      </c>
      <c r="M815" s="613">
        <f t="shared" si="331"/>
        <v>0</v>
      </c>
      <c r="N815" s="613">
        <f t="shared" si="331"/>
        <v>0</v>
      </c>
      <c r="O815" s="613">
        <f t="shared" ref="O815:O817" si="332">IF(L815&gt;0,N815*100/L815,0)</f>
        <v>0</v>
      </c>
      <c r="P815" s="613">
        <f t="shared" ref="P815:P817" si="333">IF(M815&gt;0,N815*100/M815,0)</f>
        <v>0</v>
      </c>
      <c r="Q815" s="568"/>
      <c r="R815" s="568"/>
      <c r="S815" s="568"/>
      <c r="T815" s="568"/>
      <c r="U815" s="568"/>
      <c r="V815" s="568"/>
      <c r="W815" s="568"/>
      <c r="X815" s="568"/>
      <c r="Y815" s="568"/>
      <c r="Z815" s="568"/>
    </row>
    <row r="816" spans="1:26" ht="18.75" hidden="1">
      <c r="A816" s="563"/>
      <c r="B816" s="571"/>
      <c r="C816" s="723"/>
      <c r="D816" s="571"/>
      <c r="E816" s="723" t="s">
        <v>18</v>
      </c>
      <c r="F816" s="723"/>
      <c r="G816" s="567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2"/>
        <v>0</v>
      </c>
      <c r="P816" s="93">
        <f t="shared" si="333"/>
        <v>0</v>
      </c>
      <c r="Q816" s="568"/>
      <c r="R816" s="568"/>
      <c r="S816" s="568"/>
      <c r="T816" s="568"/>
      <c r="U816" s="568"/>
      <c r="V816" s="568"/>
      <c r="W816" s="568"/>
      <c r="X816" s="568"/>
      <c r="Y816" s="568"/>
      <c r="Z816" s="568"/>
    </row>
    <row r="817" spans="1:26" ht="18.75" hidden="1">
      <c r="A817" s="563"/>
      <c r="B817" s="571"/>
      <c r="C817" s="723"/>
      <c r="D817" s="571"/>
      <c r="E817" s="723" t="s">
        <v>19</v>
      </c>
      <c r="F817" s="723"/>
      <c r="G817" s="567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2"/>
        <v>0</v>
      </c>
      <c r="P817" s="93">
        <f t="shared" si="333"/>
        <v>0</v>
      </c>
      <c r="Q817" s="568"/>
      <c r="R817" s="568"/>
      <c r="S817" s="568"/>
      <c r="T817" s="568"/>
      <c r="U817" s="568"/>
      <c r="V817" s="568"/>
      <c r="W817" s="568"/>
      <c r="X817" s="568"/>
      <c r="Y817" s="568"/>
      <c r="Z817" s="568"/>
    </row>
    <row r="818" spans="1:26" ht="19.5" hidden="1">
      <c r="A818" s="578"/>
      <c r="B818" s="580"/>
      <c r="C818" s="723" t="s">
        <v>16</v>
      </c>
      <c r="D818" s="858" t="s">
        <v>38</v>
      </c>
      <c r="E818" s="617"/>
      <c r="F818" s="617"/>
      <c r="G818" s="618"/>
      <c r="H818" s="581"/>
      <c r="I818" s="166"/>
      <c r="J818" s="166"/>
      <c r="K818" s="167"/>
      <c r="L818" s="167"/>
      <c r="M818" s="167"/>
      <c r="N818" s="167"/>
      <c r="O818" s="167"/>
      <c r="P818" s="167"/>
      <c r="Q818" s="568"/>
      <c r="R818" s="568"/>
      <c r="S818" s="568"/>
      <c r="T818" s="568"/>
      <c r="U818" s="568"/>
      <c r="V818" s="568"/>
      <c r="W818" s="568"/>
      <c r="X818" s="568"/>
      <c r="Y818" s="568"/>
      <c r="Z818" s="568"/>
    </row>
    <row r="819" spans="1:26" ht="19.5" hidden="1" thickBot="1">
      <c r="A819" s="777"/>
      <c r="B819" s="778"/>
      <c r="C819" s="780"/>
      <c r="D819" s="778"/>
      <c r="E819" s="780" t="s">
        <v>323</v>
      </c>
      <c r="F819" s="780"/>
      <c r="G819" s="781"/>
      <c r="H819" s="782" t="s">
        <v>46</v>
      </c>
      <c r="I819" s="783"/>
      <c r="J819" s="783"/>
      <c r="K819" s="784"/>
      <c r="L819" s="784"/>
      <c r="M819" s="784"/>
      <c r="N819" s="784"/>
      <c r="O819" s="784"/>
      <c r="P819" s="784"/>
      <c r="Q819" s="568"/>
      <c r="R819" s="568"/>
      <c r="S819" s="568"/>
      <c r="T819" s="568"/>
      <c r="U819" s="568"/>
      <c r="V819" s="568"/>
      <c r="W819" s="568"/>
      <c r="X819" s="568"/>
      <c r="Y819" s="568"/>
      <c r="Z819" s="568"/>
    </row>
    <row r="820" spans="1:26" ht="19.5">
      <c r="A820" s="785" t="s">
        <v>332</v>
      </c>
      <c r="B820" s="786"/>
      <c r="C820" s="786"/>
      <c r="D820" s="787"/>
      <c r="E820" s="786"/>
      <c r="F820" s="786"/>
      <c r="G820" s="788"/>
      <c r="H820" s="788"/>
      <c r="I820" s="214"/>
      <c r="J820" s="214"/>
      <c r="K820" s="789"/>
      <c r="L820" s="789"/>
      <c r="M820" s="789"/>
      <c r="N820" s="789"/>
      <c r="O820" s="789"/>
      <c r="P820" s="789"/>
      <c r="Q820" s="541"/>
      <c r="R820" s="541"/>
      <c r="S820" s="541"/>
      <c r="T820" s="541"/>
      <c r="U820" s="541"/>
      <c r="V820" s="541"/>
      <c r="W820" s="541"/>
      <c r="X820" s="541"/>
      <c r="Y820" s="541"/>
      <c r="Z820" s="541"/>
    </row>
    <row r="821" spans="1:26" ht="18.75">
      <c r="A821" s="708"/>
      <c r="B821" s="727" t="s">
        <v>325</v>
      </c>
      <c r="C821" s="727"/>
      <c r="D821" s="538"/>
      <c r="E821" s="727"/>
      <c r="F821" s="727"/>
      <c r="G821" s="189"/>
      <c r="H821" s="589" t="s">
        <v>12</v>
      </c>
      <c r="I821" s="269">
        <f ca="1">IFERROR(__xludf.DUMMYFUNCTION("IMPORTRANGE(""https://docs.google.com/spreadsheets/d/19vJNZY_5yjcGF2XGBMNZRCAIB0Kwfpjp8YEOfu-bneM/edit?usp=sharing"",""งานกองทุน!D19"")"),4517957.46)</f>
        <v>4517957.46</v>
      </c>
      <c r="J821" s="269">
        <f ca="1">IFERROR(__xludf.DUMMYFUNCTION("IMPORTRANGE(""https://docs.google.com/spreadsheets/d/19vJNZY_5yjcGF2XGBMNZRCAIB0Kwfpjp8YEOfu-bneM/edit?usp=sharing"",""งานกองทุน!F19"")"),0)</f>
        <v>0</v>
      </c>
      <c r="K821" s="465">
        <f t="shared" ref="K821:K828" ca="1" si="334">IF(I821&gt;0,J821*100/I821,0)</f>
        <v>0</v>
      </c>
      <c r="L821" s="465"/>
      <c r="M821" s="465"/>
      <c r="N821" s="465"/>
      <c r="O821" s="465"/>
      <c r="P821" s="465"/>
      <c r="Q821" s="541"/>
      <c r="R821" s="541"/>
      <c r="S821" s="541"/>
      <c r="T821" s="541"/>
      <c r="U821" s="541"/>
      <c r="V821" s="541"/>
      <c r="W821" s="541"/>
      <c r="X821" s="541"/>
      <c r="Y821" s="541"/>
      <c r="Z821" s="541"/>
    </row>
    <row r="822" spans="1:26" ht="18.75">
      <c r="A822" s="708"/>
      <c r="B822" s="727"/>
      <c r="C822" s="727"/>
      <c r="D822" s="538"/>
      <c r="E822" s="727"/>
      <c r="F822" s="727"/>
      <c r="G822" s="189"/>
      <c r="H822" s="589" t="s">
        <v>35</v>
      </c>
      <c r="I822" s="269">
        <f ca="1">IFERROR(__xludf.DUMMYFUNCTION("IMPORTRANGE(""https://docs.google.com/spreadsheets/d/19vJNZY_5yjcGF2XGBMNZRCAIB0Kwfpjp8YEOfu-bneM/edit?usp=sharing"",""งานกองทุน!C19"")"),299)</f>
        <v>299</v>
      </c>
      <c r="J822" s="269">
        <f ca="1">IFERROR(__xludf.DUMMYFUNCTION("IMPORTRANGE(""https://docs.google.com/spreadsheets/d/19vJNZY_5yjcGF2XGBMNZRCAIB0Kwfpjp8YEOfu-bneM/edit?usp=sharing"",""งานกองทุน!E19"")"),0)</f>
        <v>0</v>
      </c>
      <c r="K822" s="465">
        <f t="shared" ca="1" si="334"/>
        <v>0</v>
      </c>
      <c r="L822" s="465"/>
      <c r="M822" s="465"/>
      <c r="N822" s="465"/>
      <c r="O822" s="465"/>
      <c r="P822" s="465"/>
      <c r="Q822" s="541"/>
      <c r="R822" s="541"/>
      <c r="S822" s="541"/>
      <c r="T822" s="541"/>
      <c r="U822" s="541"/>
      <c r="V822" s="541"/>
      <c r="W822" s="541"/>
      <c r="X822" s="541"/>
      <c r="Y822" s="541"/>
      <c r="Z822" s="541"/>
    </row>
    <row r="823" spans="1:26" ht="18.75">
      <c r="A823" s="708"/>
      <c r="B823" s="727" t="s">
        <v>326</v>
      </c>
      <c r="C823" s="727"/>
      <c r="D823" s="538"/>
      <c r="E823" s="727"/>
      <c r="F823" s="727"/>
      <c r="G823" s="189"/>
      <c r="H823" s="589" t="s">
        <v>12</v>
      </c>
      <c r="I823" s="269">
        <f ca="1">IFERROR(__xludf.DUMMYFUNCTION("IMPORTRANGE(""https://docs.google.com/spreadsheets/d/19vJNZY_5yjcGF2XGBMNZRCAIB0Kwfpjp8YEOfu-bneM/edit?usp=sharing"",""งานกองทุน!I19"")"),1300339.04)</f>
        <v>1300339.04</v>
      </c>
      <c r="J823" s="269">
        <f ca="1">IFERROR(__xludf.DUMMYFUNCTION("IMPORTRANGE(""https://docs.google.com/spreadsheets/d/19vJNZY_5yjcGF2XGBMNZRCAIB0Kwfpjp8YEOfu-bneM/edit?usp=sharing"",""งานกองทุน!K19"")"),34854.59)</f>
        <v>34854.589999999997</v>
      </c>
      <c r="K823" s="465">
        <f t="shared" ca="1" si="334"/>
        <v>2.6804232533078447</v>
      </c>
      <c r="L823" s="465"/>
      <c r="M823" s="465"/>
      <c r="N823" s="465"/>
      <c r="O823" s="465"/>
      <c r="P823" s="465"/>
      <c r="Q823" s="541"/>
      <c r="R823" s="541"/>
      <c r="S823" s="541"/>
      <c r="T823" s="541"/>
      <c r="U823" s="541"/>
      <c r="V823" s="541"/>
      <c r="W823" s="541"/>
      <c r="X823" s="541"/>
      <c r="Y823" s="541"/>
      <c r="Z823" s="541"/>
    </row>
    <row r="824" spans="1:26" ht="18.75">
      <c r="A824" s="708"/>
      <c r="B824" s="727"/>
      <c r="C824" s="727"/>
      <c r="D824" s="538"/>
      <c r="E824" s="727"/>
      <c r="F824" s="727"/>
      <c r="G824" s="189"/>
      <c r="H824" s="589" t="s">
        <v>35</v>
      </c>
      <c r="I824" s="269">
        <f ca="1">IFERROR(__xludf.DUMMYFUNCTION("IMPORTRANGE(""https://docs.google.com/spreadsheets/d/19vJNZY_5yjcGF2XGBMNZRCAIB0Kwfpjp8YEOfu-bneM/edit?usp=sharing"",""งานกองทุน!H19"")"),75)</f>
        <v>75</v>
      </c>
      <c r="J824" s="269">
        <f ca="1">IFERROR(__xludf.DUMMYFUNCTION("IMPORTRANGE(""https://docs.google.com/spreadsheets/d/19vJNZY_5yjcGF2XGBMNZRCAIB0Kwfpjp8YEOfu-bneM/edit?usp=sharing"",""งานกองทุน!J19"")"),17)</f>
        <v>17</v>
      </c>
      <c r="K824" s="465">
        <f t="shared" ca="1" si="334"/>
        <v>22.666666666666668</v>
      </c>
      <c r="L824" s="465"/>
      <c r="M824" s="465"/>
      <c r="N824" s="465"/>
      <c r="O824" s="465"/>
      <c r="P824" s="465"/>
      <c r="Q824" s="541"/>
      <c r="R824" s="541"/>
      <c r="S824" s="541"/>
      <c r="T824" s="541"/>
      <c r="U824" s="541"/>
      <c r="V824" s="541"/>
      <c r="W824" s="541"/>
      <c r="X824" s="541"/>
      <c r="Y824" s="541"/>
      <c r="Z824" s="541"/>
    </row>
    <row r="825" spans="1:26" ht="18.75">
      <c r="A825" s="708"/>
      <c r="B825" s="727" t="s">
        <v>327</v>
      </c>
      <c r="C825" s="727"/>
      <c r="D825" s="538"/>
      <c r="E825" s="727"/>
      <c r="F825" s="727"/>
      <c r="G825" s="189"/>
      <c r="H825" s="589" t="s">
        <v>12</v>
      </c>
      <c r="I825" s="269">
        <f ca="1">IFERROR(__xludf.DUMMYFUNCTION("IMPORTRANGE(""https://docs.google.com/spreadsheets/d/19vJNZY_5yjcGF2XGBMNZRCAIB0Kwfpjp8YEOfu-bneM/edit?usp=sharing"",""งานกองทุน!N19"")"),0)</f>
        <v>0</v>
      </c>
      <c r="J825" s="269">
        <f ca="1">IFERROR(__xludf.DUMMYFUNCTION("IMPORTRANGE(""https://docs.google.com/spreadsheets/d/19vJNZY_5yjcGF2XGBMNZRCAIB0Kwfpjp8YEOfu-bneM/edit?usp=sharing"",""งานกองทุน!P19"")"),0)</f>
        <v>0</v>
      </c>
      <c r="K825" s="465">
        <f t="shared" ca="1" si="334"/>
        <v>0</v>
      </c>
      <c r="L825" s="465"/>
      <c r="M825" s="465"/>
      <c r="N825" s="465"/>
      <c r="O825" s="465"/>
      <c r="P825" s="465"/>
      <c r="Q825" s="541"/>
      <c r="R825" s="541"/>
      <c r="S825" s="541"/>
      <c r="T825" s="541"/>
      <c r="U825" s="541"/>
      <c r="V825" s="541"/>
      <c r="W825" s="541"/>
      <c r="X825" s="541"/>
      <c r="Y825" s="541"/>
      <c r="Z825" s="541"/>
    </row>
    <row r="826" spans="1:26" ht="18.75">
      <c r="A826" s="708"/>
      <c r="B826" s="727"/>
      <c r="C826" s="727"/>
      <c r="D826" s="538"/>
      <c r="E826" s="727"/>
      <c r="F826" s="727"/>
      <c r="G826" s="189"/>
      <c r="H826" s="589" t="s">
        <v>35</v>
      </c>
      <c r="I826" s="269">
        <f ca="1">IFERROR(__xludf.DUMMYFUNCTION("IMPORTRANGE(""https://docs.google.com/spreadsheets/d/19vJNZY_5yjcGF2XGBMNZRCAIB0Kwfpjp8YEOfu-bneM/edit?usp=sharing"",""งานกองทุน!M19"")"),0)</f>
        <v>0</v>
      </c>
      <c r="J826" s="269">
        <f ca="1">IFERROR(__xludf.DUMMYFUNCTION("IMPORTRANGE(""https://docs.google.com/spreadsheets/d/19vJNZY_5yjcGF2XGBMNZRCAIB0Kwfpjp8YEOfu-bneM/edit?usp=sharing"",""งานกองทุน!O19"")"),0)</f>
        <v>0</v>
      </c>
      <c r="K826" s="465">
        <f t="shared" ca="1" si="334"/>
        <v>0</v>
      </c>
      <c r="L826" s="465"/>
      <c r="M826" s="465"/>
      <c r="N826" s="465"/>
      <c r="O826" s="465"/>
      <c r="P826" s="465"/>
      <c r="Q826" s="541"/>
      <c r="R826" s="541"/>
      <c r="S826" s="541"/>
      <c r="T826" s="541"/>
      <c r="U826" s="541"/>
      <c r="V826" s="541"/>
      <c r="W826" s="541"/>
      <c r="X826" s="541"/>
      <c r="Y826" s="541"/>
      <c r="Z826" s="541"/>
    </row>
    <row r="827" spans="1:26" ht="18.75">
      <c r="A827" s="708"/>
      <c r="B827" s="727" t="s">
        <v>328</v>
      </c>
      <c r="C827" s="727"/>
      <c r="D827" s="538"/>
      <c r="E827" s="727"/>
      <c r="F827" s="727"/>
      <c r="G827" s="189"/>
      <c r="H827" s="589" t="s">
        <v>12</v>
      </c>
      <c r="I827" s="269">
        <f ca="1">IFERROR(__xludf.DUMMYFUNCTION("IMPORTRANGE(""https://docs.google.com/spreadsheets/d/19vJNZY_5yjcGF2XGBMNZRCAIB0Kwfpjp8YEOfu-bneM/edit?usp=sharing"",""งานกองทุน!S19"")"),6100000)</f>
        <v>6100000</v>
      </c>
      <c r="J827" s="269">
        <f ca="1">IFERROR(__xludf.DUMMYFUNCTION("IMPORTRANGE(""https://docs.google.com/spreadsheets/d/19vJNZY_5yjcGF2XGBMNZRCAIB0Kwfpjp8YEOfu-bneM/edit?usp=sharing"",""งานกองทุน!U19"")"),0)</f>
        <v>0</v>
      </c>
      <c r="K827" s="465">
        <f t="shared" ca="1" si="334"/>
        <v>0</v>
      </c>
      <c r="L827" s="465"/>
      <c r="M827" s="465"/>
      <c r="N827" s="465"/>
      <c r="O827" s="465"/>
      <c r="P827" s="465"/>
      <c r="Q827" s="541"/>
      <c r="R827" s="541"/>
      <c r="S827" s="541"/>
      <c r="T827" s="541"/>
      <c r="U827" s="541"/>
      <c r="V827" s="541"/>
      <c r="W827" s="541"/>
      <c r="X827" s="541"/>
      <c r="Y827" s="541"/>
      <c r="Z827" s="541"/>
    </row>
    <row r="828" spans="1:26" ht="18.75">
      <c r="A828" s="711"/>
      <c r="B828" s="713"/>
      <c r="C828" s="713"/>
      <c r="D828" s="712"/>
      <c r="E828" s="713"/>
      <c r="F828" s="713"/>
      <c r="G828" s="790"/>
      <c r="H828" s="791" t="s">
        <v>35</v>
      </c>
      <c r="I828" s="468">
        <f ca="1">IFERROR(__xludf.DUMMYFUNCTION("IMPORTRANGE(""https://docs.google.com/spreadsheets/d/19vJNZY_5yjcGF2XGBMNZRCAIB0Kwfpjp8YEOfu-bneM/edit?usp=sharing"",""งานกองทุน!R19"")"),244)</f>
        <v>244</v>
      </c>
      <c r="J828" s="468">
        <f ca="1">IFERROR(__xludf.DUMMYFUNCTION("IMPORTRANGE(""https://docs.google.com/spreadsheets/d/19vJNZY_5yjcGF2XGBMNZRCAIB0Kwfpjp8YEOfu-bneM/edit?usp=sharing"",""งานกองทุน!T19"")"),6)</f>
        <v>6</v>
      </c>
      <c r="K828" s="469">
        <f t="shared" ca="1" si="334"/>
        <v>2.459016393442623</v>
      </c>
      <c r="L828" s="469"/>
      <c r="M828" s="469"/>
      <c r="N828" s="469"/>
      <c r="O828" s="469"/>
      <c r="P828" s="469"/>
      <c r="Q828" s="541"/>
      <c r="R828" s="541"/>
      <c r="S828" s="541"/>
      <c r="T828" s="541"/>
      <c r="U828" s="541"/>
      <c r="V828" s="541"/>
      <c r="W828" s="541"/>
      <c r="X828" s="541"/>
      <c r="Y828" s="541"/>
      <c r="Z828" s="541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2" fitToHeight="0" pageOrder="overThenDown" orientation="portrait" cellComments="atEnd" r:id="rId1"/>
  <headerFooter>
    <oddFooter>&amp;Cหน้า &amp;P/&amp;N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4B21A8-FD82-41BA-BE55-FC1965925604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activeCell="S28" sqref="S28"/>
      <selection pane="bottomLeft" activeCell="N5" sqref="N5:P5"/>
    </sheetView>
  </sheetViews>
  <sheetFormatPr defaultColWidth="12.5703125" defaultRowHeight="15.75" customHeight="1"/>
  <cols>
    <col min="1" max="1" width="4.42578125" customWidth="1"/>
    <col min="2" max="3" width="3.28515625" customWidth="1"/>
    <col min="4" max="6" width="5.85546875" customWidth="1"/>
    <col min="7" max="7" width="56.42578125" customWidth="1"/>
    <col min="8" max="8" width="9.42578125" customWidth="1"/>
    <col min="9" max="9" width="18.7109375" bestFit="1" customWidth="1"/>
    <col min="10" max="10" width="12.5703125" bestFit="1" customWidth="1"/>
    <col min="11" max="11" width="12.5703125" customWidth="1"/>
    <col min="12" max="13" width="21.28515625" bestFit="1" customWidth="1"/>
    <col min="14" max="14" width="18.7109375" bestFit="1" customWidth="1"/>
    <col min="15" max="15" width="20.140625" bestFit="1" customWidth="1"/>
    <col min="16" max="16" width="22" bestFit="1" customWidth="1"/>
  </cols>
  <sheetData>
    <row r="1" spans="1:26" ht="19.5">
      <c r="A1" s="792" t="s">
        <v>0</v>
      </c>
      <c r="B1" s="793"/>
      <c r="C1" s="793"/>
      <c r="D1" s="793"/>
      <c r="E1" s="793"/>
      <c r="F1" s="793"/>
      <c r="G1" s="793"/>
      <c r="H1" s="793"/>
      <c r="I1" s="793"/>
      <c r="J1" s="793"/>
      <c r="K1" s="793"/>
      <c r="L1" s="793"/>
      <c r="M1" s="793"/>
      <c r="N1" s="793"/>
      <c r="O1" s="793"/>
      <c r="P1" s="793"/>
    </row>
    <row r="2" spans="1:26" ht="19.5">
      <c r="A2" s="792" t="s">
        <v>341</v>
      </c>
      <c r="B2" s="793"/>
      <c r="C2" s="793"/>
      <c r="D2" s="793"/>
      <c r="E2" s="793"/>
      <c r="F2" s="793"/>
      <c r="G2" s="793"/>
      <c r="H2" s="793"/>
      <c r="I2" s="793"/>
      <c r="J2" s="793"/>
      <c r="K2" s="793"/>
      <c r="L2" s="793"/>
      <c r="M2" s="793"/>
      <c r="N2" s="793"/>
      <c r="O2" s="793"/>
      <c r="P2" s="793"/>
    </row>
    <row r="3" spans="1:26" ht="19.5">
      <c r="A3" s="792" t="s">
        <v>355</v>
      </c>
      <c r="B3" s="793"/>
      <c r="C3" s="793"/>
      <c r="D3" s="793"/>
      <c r="E3" s="793"/>
      <c r="F3" s="793"/>
      <c r="G3" s="793"/>
      <c r="H3" s="793"/>
      <c r="I3" s="793"/>
      <c r="J3" s="793"/>
      <c r="K3" s="793"/>
      <c r="L3" s="793"/>
      <c r="M3" s="793"/>
      <c r="N3" s="793"/>
      <c r="O3" s="793"/>
      <c r="P3" s="793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00" t="s">
        <v>2</v>
      </c>
      <c r="B5" s="793"/>
      <c r="C5" s="793"/>
      <c r="D5" s="793"/>
      <c r="E5" s="793"/>
      <c r="F5" s="793"/>
      <c r="G5" s="801"/>
      <c r="H5" s="794" t="s">
        <v>3</v>
      </c>
      <c r="I5" s="796" t="s">
        <v>4</v>
      </c>
      <c r="J5" s="797"/>
      <c r="K5" s="795"/>
      <c r="L5" s="798" t="s">
        <v>5</v>
      </c>
      <c r="M5" s="795"/>
      <c r="N5" s="799" t="s">
        <v>6</v>
      </c>
      <c r="O5" s="797"/>
      <c r="P5" s="795"/>
    </row>
    <row r="6" spans="1:26" ht="19.5">
      <c r="A6" s="802"/>
      <c r="B6" s="797"/>
      <c r="C6" s="797"/>
      <c r="D6" s="797"/>
      <c r="E6" s="797"/>
      <c r="F6" s="797"/>
      <c r="G6" s="795"/>
      <c r="H6" s="795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03" t="s">
        <v>15</v>
      </c>
      <c r="B7" s="797"/>
      <c r="C7" s="797"/>
      <c r="D7" s="797"/>
      <c r="E7" s="797"/>
      <c r="F7" s="797"/>
      <c r="G7" s="795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5712549</v>
      </c>
      <c r="M8" s="22">
        <f t="shared" ca="1" si="0"/>
        <v>2567960</v>
      </c>
      <c r="N8" s="22">
        <f t="shared" ca="1" si="0"/>
        <v>508507.3</v>
      </c>
      <c r="O8" s="22">
        <f t="shared" ref="O8:O16" ca="1" si="1">IF(L8&gt;0,N8*100/L8,0)</f>
        <v>8.9015831636630161</v>
      </c>
      <c r="P8" s="22">
        <f t="shared" ref="P8:P16" ca="1" si="2">IF(M8&gt;0,N8*100/M8,0)</f>
        <v>19.801994579354819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5712549</v>
      </c>
      <c r="M10" s="30">
        <f t="shared" ca="1" si="3"/>
        <v>2567960</v>
      </c>
      <c r="N10" s="30">
        <f t="shared" ca="1" si="3"/>
        <v>508507.3</v>
      </c>
      <c r="O10" s="30">
        <f t="shared" ca="1" si="1"/>
        <v>8.9015831636630161</v>
      </c>
      <c r="P10" s="30">
        <f t="shared" ca="1" si="2"/>
        <v>19.801994579354819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589" t="s">
        <v>12</v>
      </c>
      <c r="I11" s="269"/>
      <c r="J11" s="269"/>
      <c r="K11" s="465"/>
      <c r="L11" s="465">
        <f t="shared" ref="L11:N11" ca="1" si="4">L12+L13</f>
        <v>4862749</v>
      </c>
      <c r="M11" s="465">
        <f t="shared" ca="1" si="4"/>
        <v>1718160</v>
      </c>
      <c r="N11" s="465">
        <f t="shared" ca="1" si="4"/>
        <v>410707.3</v>
      </c>
      <c r="O11" s="465">
        <f t="shared" ca="1" si="1"/>
        <v>8.4459901179353487</v>
      </c>
      <c r="P11" s="465">
        <f t="shared" ca="1" si="2"/>
        <v>23.903903012525028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2" t="s">
        <v>18</v>
      </c>
      <c r="F12" s="40"/>
      <c r="G12" s="42"/>
      <c r="H12" s="43" t="s">
        <v>12</v>
      </c>
      <c r="I12" s="583"/>
      <c r="J12" s="583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2" t="s">
        <v>19</v>
      </c>
      <c r="F13" s="40"/>
      <c r="G13" s="42"/>
      <c r="H13" s="43" t="s">
        <v>12</v>
      </c>
      <c r="I13" s="583"/>
      <c r="J13" s="583"/>
      <c r="K13" s="93"/>
      <c r="L13" s="93">
        <f t="shared" ca="1" si="5"/>
        <v>4862749</v>
      </c>
      <c r="M13" s="93">
        <f t="shared" ca="1" si="5"/>
        <v>1718160</v>
      </c>
      <c r="N13" s="93">
        <f t="shared" ca="1" si="5"/>
        <v>410707.3</v>
      </c>
      <c r="O13" s="93">
        <f t="shared" ca="1" si="1"/>
        <v>8.4459901179353487</v>
      </c>
      <c r="P13" s="93">
        <f t="shared" ca="1" si="2"/>
        <v>23.903903012525028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589" t="s">
        <v>12</v>
      </c>
      <c r="I14" s="269"/>
      <c r="J14" s="269"/>
      <c r="K14" s="465"/>
      <c r="L14" s="465">
        <f t="shared" ref="L14:N14" ca="1" si="6">L15+L16</f>
        <v>849800</v>
      </c>
      <c r="M14" s="465">
        <f t="shared" ca="1" si="6"/>
        <v>849800</v>
      </c>
      <c r="N14" s="465">
        <f t="shared" ca="1" si="6"/>
        <v>97800</v>
      </c>
      <c r="O14" s="465">
        <f t="shared" ca="1" si="1"/>
        <v>11.508590256530949</v>
      </c>
      <c r="P14" s="465">
        <f t="shared" ca="1" si="2"/>
        <v>11.508590256530949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2" t="s">
        <v>18</v>
      </c>
      <c r="F15" s="40"/>
      <c r="G15" s="42"/>
      <c r="H15" s="43" t="s">
        <v>12</v>
      </c>
      <c r="I15" s="583"/>
      <c r="J15" s="583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849800</v>
      </c>
      <c r="M16" s="52">
        <f t="shared" ca="1" si="7"/>
        <v>849800</v>
      </c>
      <c r="N16" s="52">
        <f t="shared" ca="1" si="7"/>
        <v>97800</v>
      </c>
      <c r="O16" s="52">
        <f t="shared" ca="1" si="1"/>
        <v>11.508590256530949</v>
      </c>
      <c r="P16" s="52">
        <f t="shared" ca="1" si="2"/>
        <v>11.508590256530949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03" t="s">
        <v>22</v>
      </c>
      <c r="B17" s="797"/>
      <c r="C17" s="797"/>
      <c r="D17" s="797"/>
      <c r="E17" s="797"/>
      <c r="F17" s="797"/>
      <c r="G17" s="795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4206580</v>
      </c>
      <c r="M18" s="22">
        <f t="shared" ca="1" si="8"/>
        <v>2567960</v>
      </c>
      <c r="N18" s="22">
        <f t="shared" ca="1" si="8"/>
        <v>508507.3</v>
      </c>
      <c r="O18" s="22">
        <f t="shared" ref="O18:O26" ca="1" si="9">IF(L18&gt;0,N18*100/L18,0)</f>
        <v>12.088378207474955</v>
      </c>
      <c r="P18" s="22">
        <f t="shared" ref="P18:P26" ca="1" si="10">IF(M18&gt;0,N18*100/M18,0)</f>
        <v>19.801994579354819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4206580</v>
      </c>
      <c r="M20" s="30">
        <f t="shared" ca="1" si="11"/>
        <v>2567960</v>
      </c>
      <c r="N20" s="30">
        <f t="shared" ca="1" si="11"/>
        <v>508507.3</v>
      </c>
      <c r="O20" s="30">
        <f t="shared" ca="1" si="9"/>
        <v>12.088378207474955</v>
      </c>
      <c r="P20" s="30">
        <f t="shared" ca="1" si="10"/>
        <v>19.801994579354819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589" t="s">
        <v>12</v>
      </c>
      <c r="I21" s="269"/>
      <c r="J21" s="269"/>
      <c r="K21" s="465"/>
      <c r="L21" s="465">
        <f t="shared" ref="L21:N21" ca="1" si="12">L22+L23</f>
        <v>3356780</v>
      </c>
      <c r="M21" s="465">
        <f t="shared" ca="1" si="12"/>
        <v>1718160</v>
      </c>
      <c r="N21" s="465">
        <f t="shared" ca="1" si="12"/>
        <v>410707.3</v>
      </c>
      <c r="O21" s="465">
        <f t="shared" ca="1" si="9"/>
        <v>12.235156906320938</v>
      </c>
      <c r="P21" s="465">
        <f t="shared" ca="1" si="10"/>
        <v>23.903903012525028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2" t="s">
        <v>18</v>
      </c>
      <c r="F22" s="40"/>
      <c r="G22" s="42"/>
      <c r="H22" s="43" t="s">
        <v>12</v>
      </c>
      <c r="I22" s="583"/>
      <c r="J22" s="583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2" t="s">
        <v>19</v>
      </c>
      <c r="F23" s="40"/>
      <c r="G23" s="42"/>
      <c r="H23" s="43" t="s">
        <v>12</v>
      </c>
      <c r="I23" s="583"/>
      <c r="J23" s="583"/>
      <c r="K23" s="93"/>
      <c r="L23" s="93">
        <f t="shared" ca="1" si="13"/>
        <v>3356780</v>
      </c>
      <c r="M23" s="93">
        <f t="shared" ca="1" si="13"/>
        <v>1718160</v>
      </c>
      <c r="N23" s="93">
        <f t="shared" ca="1" si="13"/>
        <v>410707.3</v>
      </c>
      <c r="O23" s="93">
        <f t="shared" ca="1" si="9"/>
        <v>12.235156906320938</v>
      </c>
      <c r="P23" s="93">
        <f t="shared" ca="1" si="10"/>
        <v>23.903903012525028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589" t="s">
        <v>12</v>
      </c>
      <c r="I24" s="269"/>
      <c r="J24" s="269"/>
      <c r="K24" s="465"/>
      <c r="L24" s="465">
        <f t="shared" ref="L24:N24" ca="1" si="14">L25+L26</f>
        <v>849800</v>
      </c>
      <c r="M24" s="465">
        <f t="shared" ca="1" si="14"/>
        <v>849800</v>
      </c>
      <c r="N24" s="465">
        <f t="shared" ca="1" si="14"/>
        <v>97800</v>
      </c>
      <c r="O24" s="465">
        <f t="shared" ca="1" si="9"/>
        <v>11.508590256530949</v>
      </c>
      <c r="P24" s="465">
        <f t="shared" ca="1" si="10"/>
        <v>11.508590256530949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2" t="s">
        <v>18</v>
      </c>
      <c r="F25" s="40"/>
      <c r="G25" s="42"/>
      <c r="H25" s="43" t="s">
        <v>12</v>
      </c>
      <c r="I25" s="583"/>
      <c r="J25" s="583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849800</v>
      </c>
      <c r="M26" s="52">
        <f t="shared" ca="1" si="15"/>
        <v>849800</v>
      </c>
      <c r="N26" s="52">
        <f t="shared" ca="1" si="15"/>
        <v>97800</v>
      </c>
      <c r="O26" s="52">
        <f t="shared" ca="1" si="9"/>
        <v>11.508590256530949</v>
      </c>
      <c r="P26" s="52">
        <f t="shared" ca="1" si="10"/>
        <v>11.508590256530949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03" t="s">
        <v>23</v>
      </c>
      <c r="B27" s="797"/>
      <c r="C27" s="797"/>
      <c r="D27" s="797"/>
      <c r="E27" s="797"/>
      <c r="F27" s="797"/>
      <c r="G27" s="795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1505969</v>
      </c>
      <c r="M28" s="22">
        <f t="shared" si="16"/>
        <v>0</v>
      </c>
      <c r="N28" s="22">
        <f t="shared" si="16"/>
        <v>0</v>
      </c>
      <c r="O28" s="22">
        <f t="shared" ref="O28:O37" ca="1" si="17">IF(L28&gt;0,N28*100/L28,0)</f>
        <v>0</v>
      </c>
      <c r="P28" s="22">
        <f t="shared" ref="P28:P37" si="18">IF(M28&gt;0,N28*100/M28,0)</f>
        <v>0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1505969</v>
      </c>
      <c r="M30" s="30">
        <f t="shared" si="19"/>
        <v>0</v>
      </c>
      <c r="N30" s="30">
        <f t="shared" si="19"/>
        <v>0</v>
      </c>
      <c r="O30" s="30">
        <f t="shared" ca="1" si="17"/>
        <v>0</v>
      </c>
      <c r="P30" s="30">
        <f t="shared" si="18"/>
        <v>0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589" t="s">
        <v>12</v>
      </c>
      <c r="I31" s="269"/>
      <c r="J31" s="269"/>
      <c r="K31" s="465"/>
      <c r="L31" s="465">
        <f t="shared" ref="L31:N31" ca="1" si="20">L32+L33</f>
        <v>1505969</v>
      </c>
      <c r="M31" s="465">
        <f t="shared" si="20"/>
        <v>0</v>
      </c>
      <c r="N31" s="465">
        <f t="shared" si="20"/>
        <v>0</v>
      </c>
      <c r="O31" s="465">
        <f t="shared" ca="1" si="17"/>
        <v>0</v>
      </c>
      <c r="P31" s="465">
        <f t="shared" si="18"/>
        <v>0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2" t="s">
        <v>18</v>
      </c>
      <c r="F32" s="40"/>
      <c r="G32" s="42"/>
      <c r="H32" s="43" t="s">
        <v>12</v>
      </c>
      <c r="I32" s="583"/>
      <c r="J32" s="583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2" t="s">
        <v>19</v>
      </c>
      <c r="F33" s="40"/>
      <c r="G33" s="42"/>
      <c r="H33" s="43" t="s">
        <v>12</v>
      </c>
      <c r="I33" s="583"/>
      <c r="J33" s="583"/>
      <c r="K33" s="93"/>
      <c r="L33" s="93">
        <f t="shared" ca="1" si="21"/>
        <v>1505969</v>
      </c>
      <c r="M33" s="93">
        <f t="shared" si="21"/>
        <v>0</v>
      </c>
      <c r="N33" s="93">
        <f t="shared" si="21"/>
        <v>0</v>
      </c>
      <c r="O33" s="93">
        <f t="shared" ca="1" si="17"/>
        <v>0</v>
      </c>
      <c r="P33" s="93">
        <f t="shared" si="18"/>
        <v>0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589" t="s">
        <v>12</v>
      </c>
      <c r="I34" s="269"/>
      <c r="J34" s="269"/>
      <c r="K34" s="465"/>
      <c r="L34" s="465">
        <f t="shared" ref="L34:N34" ca="1" si="22">L35+L36</f>
        <v>0</v>
      </c>
      <c r="M34" s="465">
        <f t="shared" si="22"/>
        <v>0</v>
      </c>
      <c r="N34" s="465">
        <f t="shared" si="22"/>
        <v>0</v>
      </c>
      <c r="O34" s="465">
        <f t="shared" ca="1" si="17"/>
        <v>0</v>
      </c>
      <c r="P34" s="465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2" t="s">
        <v>18</v>
      </c>
      <c r="F35" s="40"/>
      <c r="G35" s="42"/>
      <c r="H35" s="43" t="s">
        <v>12</v>
      </c>
      <c r="I35" s="583"/>
      <c r="J35" s="583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53" t="s">
        <v>24</v>
      </c>
      <c r="B37" s="54"/>
      <c r="C37" s="54"/>
      <c r="D37" s="54"/>
      <c r="E37" s="54"/>
      <c r="F37" s="54"/>
      <c r="G37" s="55"/>
      <c r="H37" s="56"/>
      <c r="I37" s="392"/>
      <c r="J37" s="392"/>
      <c r="K37" s="58"/>
      <c r="L37" s="59">
        <f t="shared" ref="L37:N37" ca="1" si="24">L41+L53+L66+L88+L119+L132+L149+L165+L181+L261+L277+L298+L315+L328+L345+L389+L402</f>
        <v>4206580</v>
      </c>
      <c r="M37" s="59">
        <f t="shared" ca="1" si="24"/>
        <v>2567960</v>
      </c>
      <c r="N37" s="59">
        <f t="shared" ca="1" si="24"/>
        <v>508507.3</v>
      </c>
      <c r="O37" s="59">
        <f t="shared" ca="1" si="17"/>
        <v>12.088378207474955</v>
      </c>
      <c r="P37" s="59">
        <f t="shared" ca="1" si="18"/>
        <v>19.801994579354819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04" t="s">
        <v>27</v>
      </c>
      <c r="C40" s="805"/>
      <c r="D40" s="805"/>
      <c r="E40" s="805"/>
      <c r="F40" s="805"/>
      <c r="G40" s="806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15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386350</v>
      </c>
      <c r="M41" s="85">
        <f t="shared" ca="1" si="25"/>
        <v>195200</v>
      </c>
      <c r="N41" s="85">
        <f t="shared" ca="1" si="25"/>
        <v>92950</v>
      </c>
      <c r="O41" s="85">
        <f t="shared" ref="O41:O49" ca="1" si="26">IF(L41&gt;0,N41*100/L41,0)</f>
        <v>24.058496182218196</v>
      </c>
      <c r="P41" s="85">
        <f t="shared" ref="P41:P49" ca="1" si="27">IF(M41&gt;0,N41*100/M41,0)</f>
        <v>47.617827868852459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386350</v>
      </c>
      <c r="M43" s="92">
        <f t="shared" ca="1" si="28"/>
        <v>195200</v>
      </c>
      <c r="N43" s="92">
        <f t="shared" ca="1" si="28"/>
        <v>92950</v>
      </c>
      <c r="O43" s="92">
        <f t="shared" ca="1" si="26"/>
        <v>24.058496182218196</v>
      </c>
      <c r="P43" s="92">
        <f t="shared" ca="1" si="27"/>
        <v>47.617827868852459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589" t="s">
        <v>12</v>
      </c>
      <c r="I44" s="269"/>
      <c r="J44" s="269"/>
      <c r="K44" s="465"/>
      <c r="L44" s="465">
        <f t="shared" ref="L44:N44" ca="1" si="29">L45+L46</f>
        <v>386350</v>
      </c>
      <c r="M44" s="465">
        <f t="shared" ca="1" si="29"/>
        <v>195200</v>
      </c>
      <c r="N44" s="465">
        <f t="shared" ca="1" si="29"/>
        <v>92950</v>
      </c>
      <c r="O44" s="465">
        <f t="shared" ca="1" si="26"/>
        <v>24.058496182218196</v>
      </c>
      <c r="P44" s="465">
        <f t="shared" ca="1" si="27"/>
        <v>47.617827868852459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2" t="s">
        <v>18</v>
      </c>
      <c r="F45" s="40"/>
      <c r="G45" s="42"/>
      <c r="H45" s="43" t="s">
        <v>12</v>
      </c>
      <c r="I45" s="583"/>
      <c r="J45" s="583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2" t="s">
        <v>19</v>
      </c>
      <c r="F46" s="40"/>
      <c r="G46" s="42"/>
      <c r="H46" s="43" t="s">
        <v>12</v>
      </c>
      <c r="I46" s="583"/>
      <c r="J46" s="583"/>
      <c r="K46" s="93"/>
      <c r="L46" s="93">
        <f ca="1">IFERROR(__xludf.DUMMYFUNCTION("IMPORTRANGE(""https://docs.google.com/spreadsheets/d/1MeEWN-I1oV_STSDYn1IFDPWt_1FKiwhDph83XaGc0o0/edit?usp=sharing"",""งบพรบ!M20"")"),386350)</f>
        <v>386350</v>
      </c>
      <c r="M46" s="93">
        <f ca="1">IFERROR(__xludf.DUMMYFUNCTION("IMPORTRANGE(""https://docs.google.com/spreadsheets/d/1MeEWN-I1oV_STSDYn1IFDPWt_1FKiwhDph83XaGc0o0/edit?usp=sharing"",""งบพรบ!R20"")"),195200)</f>
        <v>195200</v>
      </c>
      <c r="N46" s="93">
        <f ca="1">IFERROR(__xludf.DUMMYFUNCTION("IMPORTRANGE(""https://docs.google.com/spreadsheets/d/1MeEWN-I1oV_STSDYn1IFDPWt_1FKiwhDph83XaGc0o0/edit?usp=sharing"",""งบพรบ!T20"")"),92950)</f>
        <v>92950</v>
      </c>
      <c r="O46" s="93">
        <f t="shared" ca="1" si="26"/>
        <v>24.058496182218196</v>
      </c>
      <c r="P46" s="93">
        <f t="shared" ca="1" si="27"/>
        <v>47.617827868852459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589" t="s">
        <v>12</v>
      </c>
      <c r="I47" s="269"/>
      <c r="J47" s="269"/>
      <c r="K47" s="465"/>
      <c r="L47" s="465">
        <f t="shared" ref="L47:N47" ca="1" si="30">L48+L49</f>
        <v>0</v>
      </c>
      <c r="M47" s="465">
        <f t="shared" ca="1" si="30"/>
        <v>0</v>
      </c>
      <c r="N47" s="465">
        <f t="shared" ca="1" si="30"/>
        <v>0</v>
      </c>
      <c r="O47" s="465">
        <f t="shared" ca="1" si="26"/>
        <v>0</v>
      </c>
      <c r="P47" s="465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2" t="s">
        <v>18</v>
      </c>
      <c r="F48" s="40"/>
      <c r="G48" s="42"/>
      <c r="H48" s="43" t="s">
        <v>12</v>
      </c>
      <c r="I48" s="583"/>
      <c r="J48" s="583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IFERROR(__xludf.DUMMYFUNCTION("IMPORTRANGE(""https://docs.google.com/spreadsheets/d/1MeEWN-I1oV_STSDYn1IFDPWt_1FKiwhDph83XaGc0o0/edit?usp=sharing"",""งบพรบ!P20"")"),0)</f>
        <v>0</v>
      </c>
      <c r="M49" s="52">
        <f ca="1">IFERROR(__xludf.DUMMYFUNCTION("IMPORTRANGE(""https://docs.google.com/spreadsheets/d/1MeEWN-I1oV_STSDYn1IFDPWt_1FKiwhDph83XaGc0o0/edit?usp=sharing"",""งบพรบ!S20"")"),0)</f>
        <v>0</v>
      </c>
      <c r="N49" s="52">
        <f ca="1">IFERROR(__xludf.DUMMYFUNCTION("IMPORTRANGE(""https://docs.google.com/spreadsheets/d/1MeEWN-I1oV_STSDYn1IFDPWt_1FKiwhDph83XaGc0o0/edit?usp=sharing"",""งบพรบ!U20"")"),0)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07" t="s">
        <v>28</v>
      </c>
      <c r="B50" s="797"/>
      <c r="C50" s="797"/>
      <c r="D50" s="797"/>
      <c r="E50" s="797"/>
      <c r="F50" s="797"/>
      <c r="G50" s="795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08" t="s">
        <v>29</v>
      </c>
      <c r="C51" s="805"/>
      <c r="D51" s="805"/>
      <c r="E51" s="805"/>
      <c r="F51" s="805"/>
      <c r="G51" s="806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16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1374800</v>
      </c>
      <c r="M53" s="116">
        <f t="shared" ca="1" si="31"/>
        <v>1063400</v>
      </c>
      <c r="N53" s="116">
        <f t="shared" ca="1" si="31"/>
        <v>98828.13</v>
      </c>
      <c r="O53" s="116">
        <f t="shared" ref="O53:O61" ca="1" si="32">IF(L53&gt;0,N53*100/L53,0)</f>
        <v>7.1885459703229557</v>
      </c>
      <c r="P53" s="116">
        <f t="shared" ref="P53:P61" ca="1" si="33">IF(M53&gt;0,N53*100/M53,0)</f>
        <v>9.2935988339289075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1374800</v>
      </c>
      <c r="M55" s="123">
        <f t="shared" ca="1" si="34"/>
        <v>1063400</v>
      </c>
      <c r="N55" s="123">
        <f t="shared" ca="1" si="34"/>
        <v>98828.13</v>
      </c>
      <c r="O55" s="123">
        <f t="shared" ca="1" si="32"/>
        <v>7.1885459703229557</v>
      </c>
      <c r="P55" s="123">
        <f t="shared" ca="1" si="33"/>
        <v>9.2935988339289075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589" t="s">
        <v>12</v>
      </c>
      <c r="I56" s="269"/>
      <c r="J56" s="269"/>
      <c r="K56" s="465"/>
      <c r="L56" s="465">
        <f t="shared" ref="L56:N56" ca="1" si="35">L57+L58</f>
        <v>622800</v>
      </c>
      <c r="M56" s="465">
        <f t="shared" ca="1" si="35"/>
        <v>311400</v>
      </c>
      <c r="N56" s="465">
        <f t="shared" ca="1" si="35"/>
        <v>98828.13</v>
      </c>
      <c r="O56" s="465">
        <f t="shared" ca="1" si="32"/>
        <v>15.868357418111753</v>
      </c>
      <c r="P56" s="465">
        <f t="shared" ca="1" si="33"/>
        <v>31.736714836223506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2" t="s">
        <v>18</v>
      </c>
      <c r="F57" s="40"/>
      <c r="G57" s="42"/>
      <c r="H57" s="43" t="s">
        <v>12</v>
      </c>
      <c r="I57" s="583"/>
      <c r="J57" s="583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2" t="s">
        <v>19</v>
      </c>
      <c r="F58" s="40"/>
      <c r="G58" s="42"/>
      <c r="H58" s="43" t="s">
        <v>12</v>
      </c>
      <c r="I58" s="583"/>
      <c r="J58" s="583"/>
      <c r="K58" s="93"/>
      <c r="L58" s="93">
        <f ca="1">IFERROR(__xludf.DUMMYFUNCTION("IMPORTRANGE(""https://docs.google.com/spreadsheets/d/1MeEWN-I1oV_STSDYn1IFDPWt_1FKiwhDph83XaGc0o0/edit?usp=sharing"",""งบพรบ!W20"")"),622800)</f>
        <v>622800</v>
      </c>
      <c r="M58" s="93">
        <f ca="1">IFERROR(__xludf.DUMMYFUNCTION("IMPORTRANGE(""https://docs.google.com/spreadsheets/d/1MeEWN-I1oV_STSDYn1IFDPWt_1FKiwhDph83XaGc0o0/edit?usp=sharing"",""งบพรบ!AB20"")"),311400)</f>
        <v>311400</v>
      </c>
      <c r="N58" s="93">
        <f ca="1">IFERROR(__xludf.DUMMYFUNCTION("IMPORTRANGE(""https://docs.google.com/spreadsheets/d/1MeEWN-I1oV_STSDYn1IFDPWt_1FKiwhDph83XaGc0o0/edit?usp=sharing"",""งบพรบ!AD20"")"),98828.13)</f>
        <v>98828.13</v>
      </c>
      <c r="O58" s="93">
        <f t="shared" ca="1" si="32"/>
        <v>15.868357418111753</v>
      </c>
      <c r="P58" s="93">
        <f t="shared" ca="1" si="33"/>
        <v>31.736714836223506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589" t="s">
        <v>12</v>
      </c>
      <c r="I59" s="269"/>
      <c r="J59" s="269"/>
      <c r="K59" s="465"/>
      <c r="L59" s="465">
        <f t="shared" ref="L59:N59" ca="1" si="36">L60+L61</f>
        <v>752000</v>
      </c>
      <c r="M59" s="465">
        <f t="shared" ca="1" si="36"/>
        <v>752000</v>
      </c>
      <c r="N59" s="465">
        <f t="shared" ca="1" si="36"/>
        <v>0</v>
      </c>
      <c r="O59" s="465">
        <f t="shared" ca="1" si="32"/>
        <v>0</v>
      </c>
      <c r="P59" s="465">
        <f t="shared" ca="1" si="33"/>
        <v>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2" t="s">
        <v>18</v>
      </c>
      <c r="F60" s="40"/>
      <c r="G60" s="42"/>
      <c r="H60" s="43" t="s">
        <v>12</v>
      </c>
      <c r="I60" s="583"/>
      <c r="J60" s="583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IFERROR(__xludf.DUMMYFUNCTION("IMPORTRANGE(""https://docs.google.com/spreadsheets/d/1MeEWN-I1oV_STSDYn1IFDPWt_1FKiwhDph83XaGc0o0/edit?usp=sharing"",""งบพรบ!Z20"")"),752000)</f>
        <v>752000</v>
      </c>
      <c r="M61" s="52">
        <f ca="1">IFERROR(__xludf.DUMMYFUNCTION("IMPORTRANGE(""https://docs.google.com/spreadsheets/d/1MeEWN-I1oV_STSDYn1IFDPWt_1FKiwhDph83XaGc0o0/edit?usp=sharing"",""งบพรบ!AC20"")"),752000)</f>
        <v>752000</v>
      </c>
      <c r="N61" s="52">
        <f ca="1">IFERROR(__xludf.DUMMYFUNCTION("IMPORTRANGE(""https://docs.google.com/spreadsheets/d/1MeEWN-I1oV_STSDYn1IFDPWt_1FKiwhDph83XaGc0o0/edit?usp=sharing"",""งบพรบ!AE20"")"),0)</f>
        <v>0</v>
      </c>
      <c r="O61" s="52">
        <f t="shared" ca="1" si="32"/>
        <v>0</v>
      </c>
      <c r="P61" s="52">
        <f t="shared" ca="1" si="33"/>
        <v>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>
      <c r="A64" s="138"/>
      <c r="B64" s="208" t="s">
        <v>33</v>
      </c>
      <c r="C64" s="140"/>
      <c r="D64" s="141"/>
      <c r="E64" s="140"/>
      <c r="F64" s="140"/>
      <c r="G64" s="142"/>
      <c r="H64" s="143" t="s">
        <v>34</v>
      </c>
      <c r="I64" s="144">
        <f t="shared" ref="I64:J65" ca="1" si="37">I76</f>
        <v>1</v>
      </c>
      <c r="J64" s="144">
        <f t="shared" si="37"/>
        <v>0</v>
      </c>
      <c r="K64" s="145">
        <f t="shared" ref="K64:K65" ca="1" si="38">IF(I64&gt;0,J64*100/I64,0)</f>
        <v>0</v>
      </c>
      <c r="L64" s="146"/>
      <c r="M64" s="146"/>
      <c r="N64" s="146"/>
      <c r="O64" s="146"/>
      <c r="P64" s="146"/>
    </row>
    <row r="65" spans="1:26" ht="19.5">
      <c r="A65" s="138"/>
      <c r="B65" s="140"/>
      <c r="C65" s="140"/>
      <c r="D65" s="141"/>
      <c r="E65" s="140"/>
      <c r="F65" s="140"/>
      <c r="G65" s="142"/>
      <c r="H65" s="143" t="s">
        <v>35</v>
      </c>
      <c r="I65" s="144">
        <f t="shared" ca="1" si="37"/>
        <v>30</v>
      </c>
      <c r="J65" s="144">
        <f t="shared" si="37"/>
        <v>0</v>
      </c>
      <c r="K65" s="145">
        <f t="shared" ca="1" si="38"/>
        <v>0</v>
      </c>
      <c r="L65" s="146"/>
      <c r="M65" s="146"/>
      <c r="N65" s="146"/>
      <c r="O65" s="146"/>
      <c r="P65" s="146"/>
    </row>
    <row r="66" spans="1:26" ht="19.5">
      <c r="A66" s="147"/>
      <c r="B66" s="148"/>
      <c r="C66" s="149" t="s">
        <v>16</v>
      </c>
      <c r="D66" s="817" t="s">
        <v>17</v>
      </c>
      <c r="E66" s="148"/>
      <c r="F66" s="148"/>
      <c r="G66" s="151"/>
      <c r="H66" s="152" t="s">
        <v>12</v>
      </c>
      <c r="I66" s="388"/>
      <c r="J66" s="388"/>
      <c r="K66" s="154"/>
      <c r="L66" s="155">
        <f t="shared" ref="L66:N66" ca="1" si="39">L67+L68</f>
        <v>384000</v>
      </c>
      <c r="M66" s="155">
        <f t="shared" ca="1" si="39"/>
        <v>185000</v>
      </c>
      <c r="N66" s="155">
        <f t="shared" ca="1" si="39"/>
        <v>23370</v>
      </c>
      <c r="O66" s="155">
        <f t="shared" ref="O66:O74" ca="1" si="40">IF(L66&gt;0,N66*100/L66,0)</f>
        <v>6.0859375</v>
      </c>
      <c r="P66" s="155">
        <f t="shared" ref="P66:P74" ca="1" si="41">IF(M66&gt;0,N66*100/M66,0)</f>
        <v>12.632432432432433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2" t="s">
        <v>18</v>
      </c>
      <c r="F67" s="40"/>
      <c r="G67" s="157"/>
      <c r="H67" s="158" t="s">
        <v>12</v>
      </c>
      <c r="I67" s="583"/>
      <c r="J67" s="583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2" t="s">
        <v>19</v>
      </c>
      <c r="F68" s="40"/>
      <c r="G68" s="157"/>
      <c r="H68" s="158" t="s">
        <v>12</v>
      </c>
      <c r="I68" s="583"/>
      <c r="J68" s="583"/>
      <c r="K68" s="93"/>
      <c r="L68" s="93">
        <f t="shared" ca="1" si="42"/>
        <v>384000</v>
      </c>
      <c r="M68" s="93">
        <f t="shared" ca="1" si="42"/>
        <v>185000</v>
      </c>
      <c r="N68" s="93">
        <f t="shared" ca="1" si="42"/>
        <v>23370</v>
      </c>
      <c r="O68" s="93">
        <f t="shared" ca="1" si="40"/>
        <v>6.0859375</v>
      </c>
      <c r="P68" s="93">
        <f t="shared" ca="1" si="41"/>
        <v>12.632432432432433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>
      <c r="A69" s="159"/>
      <c r="B69" s="33"/>
      <c r="C69" s="281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65">
        <f t="shared" ref="L69:N69" ca="1" si="43">L70+L71</f>
        <v>384000</v>
      </c>
      <c r="M69" s="465">
        <f t="shared" ca="1" si="43"/>
        <v>185000</v>
      </c>
      <c r="N69" s="465">
        <f t="shared" ca="1" si="43"/>
        <v>23370</v>
      </c>
      <c r="O69" s="465">
        <f t="shared" ca="1" si="40"/>
        <v>6.0859375</v>
      </c>
      <c r="P69" s="465">
        <f t="shared" ca="1" si="41"/>
        <v>12.632432432432433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2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2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IFERROR(__xludf.DUMMYFUNCTION("IMPORTRANGE(""https://docs.google.com/spreadsheets/d/1MeEWN-I1oV_STSDYn1IFDPWt_1FKiwhDph83XaGc0o0/edit?usp=sharing"",""งบพรบ!AG20"")"),384000)</f>
        <v>384000</v>
      </c>
      <c r="M71" s="93">
        <f ca="1">IFERROR(__xludf.DUMMYFUNCTION("IMPORTRANGE(""https://docs.google.com/spreadsheets/d/1MeEWN-I1oV_STSDYn1IFDPWt_1FKiwhDph83XaGc0o0/edit?usp=sharing"",""งบพรบ!AL20"")"),185000)</f>
        <v>185000</v>
      </c>
      <c r="N71" s="93">
        <f ca="1">IFERROR(__xludf.DUMMYFUNCTION("IMPORTRANGE(""https://docs.google.com/spreadsheets/d/1MeEWN-I1oV_STSDYn1IFDPWt_1FKiwhDph83XaGc0o0/edit?usp=sharing"",""งบพรบ!AN20"")"),23370)</f>
        <v>23370</v>
      </c>
      <c r="O71" s="93">
        <f t="shared" ca="1" si="40"/>
        <v>6.0859375</v>
      </c>
      <c r="P71" s="93">
        <f t="shared" ca="1" si="41"/>
        <v>12.632432432432433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>
      <c r="A72" s="159"/>
      <c r="B72" s="33"/>
      <c r="C72" s="281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65">
        <f t="shared" ref="L72:N72" ca="1" si="44">L73+L74</f>
        <v>0</v>
      </c>
      <c r="M72" s="465">
        <f t="shared" ca="1" si="44"/>
        <v>0</v>
      </c>
      <c r="N72" s="465">
        <f t="shared" ca="1" si="44"/>
        <v>0</v>
      </c>
      <c r="O72" s="465">
        <f t="shared" ca="1" si="40"/>
        <v>0</v>
      </c>
      <c r="P72" s="465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2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2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IFERROR(__xludf.DUMMYFUNCTION("IMPORTRANGE(""https://docs.google.com/spreadsheets/d/1MeEWN-I1oV_STSDYn1IFDPWt_1FKiwhDph83XaGc0o0/edit?usp=sharing"",""งบพรบ!AJ20"")"),0)</f>
        <v>0</v>
      </c>
      <c r="M74" s="93">
        <f ca="1">IFERROR(__xludf.DUMMYFUNCTION("IMPORTRANGE(""https://docs.google.com/spreadsheets/d/1MeEWN-I1oV_STSDYn1IFDPWt_1FKiwhDph83XaGc0o0/edit?usp=sharing"",""งบพรบ!AM20"")"),0)</f>
        <v>0</v>
      </c>
      <c r="N74" s="93">
        <f ca="1">IFERROR(__xludf.DUMMYFUNCTION("IMPORTRANGE(""https://docs.google.com/spreadsheets/d/1MeEWN-I1oV_STSDYn1IFDPWt_1FKiwhDph83XaGc0o0/edit?usp=sharing"",""งบพรบ!AO20"")"),0)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>
      <c r="A75" s="170"/>
      <c r="B75" s="171"/>
      <c r="C75" s="164" t="s">
        <v>16</v>
      </c>
      <c r="D75" s="818" t="s">
        <v>38</v>
      </c>
      <c r="E75" s="173"/>
      <c r="F75" s="173"/>
      <c r="G75" s="174"/>
      <c r="H75" s="726"/>
      <c r="I75" s="184"/>
      <c r="J75" s="184"/>
      <c r="K75" s="163"/>
      <c r="L75" s="163"/>
      <c r="M75" s="163"/>
      <c r="N75" s="163"/>
      <c r="O75" s="163"/>
      <c r="P75" s="163"/>
    </row>
    <row r="76" spans="1:26" ht="19.5">
      <c r="A76" s="170"/>
      <c r="B76" s="171"/>
      <c r="C76" s="171"/>
      <c r="D76" s="343" t="s">
        <v>39</v>
      </c>
      <c r="E76" s="415"/>
      <c r="F76" s="342"/>
      <c r="G76" s="179"/>
      <c r="H76" s="180" t="s">
        <v>34</v>
      </c>
      <c r="I76" s="269">
        <f t="shared" ref="I76:J77" ca="1" si="45">I78+I80+I82</f>
        <v>1</v>
      </c>
      <c r="J76" s="269">
        <f t="shared" si="45"/>
        <v>0</v>
      </c>
      <c r="K76" s="163">
        <f t="shared" ref="K76:K84" ca="1" si="46">IF(I76&gt;0,J76*100/I76,0)</f>
        <v>0</v>
      </c>
      <c r="L76" s="163"/>
      <c r="M76" s="163"/>
      <c r="N76" s="163"/>
      <c r="O76" s="163"/>
      <c r="P76" s="163"/>
    </row>
    <row r="77" spans="1:26" ht="19.5">
      <c r="A77" s="170"/>
      <c r="B77" s="171"/>
      <c r="C77" s="171"/>
      <c r="D77" s="171"/>
      <c r="E77" s="342"/>
      <c r="F77" s="342"/>
      <c r="G77" s="179"/>
      <c r="H77" s="180" t="s">
        <v>35</v>
      </c>
      <c r="I77" s="269">
        <f t="shared" ca="1" si="45"/>
        <v>30</v>
      </c>
      <c r="J77" s="269">
        <f t="shared" si="45"/>
        <v>0</v>
      </c>
      <c r="K77" s="163">
        <f t="shared" ca="1" si="46"/>
        <v>0</v>
      </c>
      <c r="L77" s="163"/>
      <c r="M77" s="163"/>
      <c r="N77" s="163"/>
      <c r="O77" s="163"/>
      <c r="P77" s="163"/>
    </row>
    <row r="78" spans="1:26" ht="18.75">
      <c r="A78" s="170"/>
      <c r="B78" s="171"/>
      <c r="C78" s="171"/>
      <c r="D78" s="171"/>
      <c r="E78" s="415" t="s">
        <v>40</v>
      </c>
      <c r="F78" s="415"/>
      <c r="G78" s="179"/>
      <c r="H78" s="728" t="s">
        <v>34</v>
      </c>
      <c r="I78" s="184">
        <f ca="1">IFERROR(__xludf.DUMMYFUNCTION("IMPORTRANGE(""https://docs.google.com/spreadsheets/d/1QqKyyYR6Q21VydFLVH3TRQUabQu_ym0Zz7PgGX0-kHA/edit?usp=sharing"",""แผน!H20"")"),0)</f>
        <v>0</v>
      </c>
      <c r="J78" s="214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>
      <c r="A79" s="170"/>
      <c r="B79" s="171"/>
      <c r="C79" s="171"/>
      <c r="D79" s="171"/>
      <c r="E79" s="342"/>
      <c r="F79" s="342"/>
      <c r="G79" s="179"/>
      <c r="H79" s="728" t="s">
        <v>35</v>
      </c>
      <c r="I79" s="184">
        <f ca="1">IFERROR(__xludf.DUMMYFUNCTION("IMPORTRANGE(""https://docs.google.com/spreadsheets/d/1QqKyyYR6Q21VydFLVH3TRQUabQu_ym0Zz7PgGX0-kHA/edit?usp=sharing"",""แผน!I20"")"),0)</f>
        <v>0</v>
      </c>
      <c r="J79" s="214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>
      <c r="A80" s="170"/>
      <c r="B80" s="171"/>
      <c r="C80" s="171"/>
      <c r="D80" s="171"/>
      <c r="E80" s="415" t="s">
        <v>41</v>
      </c>
      <c r="F80" s="415"/>
      <c r="G80" s="179"/>
      <c r="H80" s="728" t="s">
        <v>34</v>
      </c>
      <c r="I80" s="184">
        <f ca="1">IFERROR(__xludf.DUMMYFUNCTION("IMPORTRANGE(""https://docs.google.com/spreadsheets/d/1QqKyyYR6Q21VydFLVH3TRQUabQu_ym0Zz7PgGX0-kHA/edit?usp=sharing"",""แผน!F20"")"),1)</f>
        <v>1</v>
      </c>
      <c r="J80" s="214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>
      <c r="A81" s="170"/>
      <c r="B81" s="171"/>
      <c r="C81" s="171"/>
      <c r="D81" s="171"/>
      <c r="E81" s="342"/>
      <c r="F81" s="342"/>
      <c r="G81" s="179"/>
      <c r="H81" s="728" t="s">
        <v>35</v>
      </c>
      <c r="I81" s="184">
        <f ca="1">IFERROR(__xludf.DUMMYFUNCTION("IMPORTRANGE(""https://docs.google.com/spreadsheets/d/1QqKyyYR6Q21VydFLVH3TRQUabQu_ym0Zz7PgGX0-kHA/edit?usp=sharing"",""แผน!G20"")"),30)</f>
        <v>30</v>
      </c>
      <c r="J81" s="214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>
      <c r="A82" s="170"/>
      <c r="B82" s="171"/>
      <c r="C82" s="171"/>
      <c r="D82" s="171"/>
      <c r="E82" s="415" t="s">
        <v>42</v>
      </c>
      <c r="F82" s="415"/>
      <c r="G82" s="179"/>
      <c r="H82" s="728" t="s">
        <v>34</v>
      </c>
      <c r="I82" s="184">
        <f ca="1">IFERROR(__xludf.DUMMYFUNCTION("IMPORTRANGE(""https://docs.google.com/spreadsheets/d/1QqKyyYR6Q21VydFLVH3TRQUabQu_ym0Zz7PgGX0-kHA/edit?usp=sharing"",""แผน!D20"")"),0)</f>
        <v>0</v>
      </c>
      <c r="J82" s="214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>
      <c r="A83" s="170"/>
      <c r="B83" s="171"/>
      <c r="C83" s="171"/>
      <c r="D83" s="171"/>
      <c r="E83" s="342"/>
      <c r="F83" s="342"/>
      <c r="G83" s="179"/>
      <c r="H83" s="728" t="s">
        <v>35</v>
      </c>
      <c r="I83" s="184">
        <f ca="1">IFERROR(__xludf.DUMMYFUNCTION("IMPORTRANGE(""https://docs.google.com/spreadsheets/d/1QqKyyYR6Q21VydFLVH3TRQUabQu_ym0Zz7PgGX0-kHA/edit?usp=sharing"",""แผน!E20"")"),0)</f>
        <v>0</v>
      </c>
      <c r="J83" s="214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>
      <c r="A84" s="170"/>
      <c r="B84" s="171"/>
      <c r="C84" s="171"/>
      <c r="D84" s="343" t="s">
        <v>43</v>
      </c>
      <c r="E84" s="415"/>
      <c r="F84" s="342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IFERROR(__xludf.DUMMYFUNCTION("IMPORTRANGE(""https://docs.google.com/spreadsheets/d/1QqKyyYR6Q21VydFLVH3TRQUabQu_ym0Zz7PgGX0-kHA/edit?usp=sharing"",""แผน!J20"")"),1)</f>
        <v>1</v>
      </c>
      <c r="J84" s="214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8" t="s">
        <v>45</v>
      </c>
      <c r="C86" s="140"/>
      <c r="D86" s="141"/>
      <c r="E86" s="140"/>
      <c r="F86" s="140"/>
      <c r="G86" s="142"/>
      <c r="H86" s="143" t="s">
        <v>46</v>
      </c>
      <c r="I86" s="144">
        <f t="shared" ref="I86:J87" ca="1" si="47">I98</f>
        <v>60</v>
      </c>
      <c r="J86" s="144">
        <f t="shared" si="47"/>
        <v>0</v>
      </c>
      <c r="K86" s="145">
        <f t="shared" ref="K86:K87" ca="1" si="48">IF(I86&gt;0,J86*100/I86,0)</f>
        <v>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143" t="s">
        <v>35</v>
      </c>
      <c r="I87" s="144">
        <f t="shared" ca="1" si="47"/>
        <v>20</v>
      </c>
      <c r="J87" s="144">
        <f t="shared" si="47"/>
        <v>0</v>
      </c>
      <c r="K87" s="145">
        <f t="shared" ca="1" si="48"/>
        <v>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17" t="s">
        <v>17</v>
      </c>
      <c r="E88" s="148"/>
      <c r="F88" s="148"/>
      <c r="G88" s="151"/>
      <c r="H88" s="152" t="s">
        <v>12</v>
      </c>
      <c r="I88" s="388"/>
      <c r="J88" s="388"/>
      <c r="K88" s="154"/>
      <c r="L88" s="155">
        <f t="shared" ref="L88:N88" ca="1" si="49">L89+L90</f>
        <v>110880</v>
      </c>
      <c r="M88" s="155">
        <f t="shared" ca="1" si="49"/>
        <v>43680</v>
      </c>
      <c r="N88" s="155">
        <f t="shared" ca="1" si="49"/>
        <v>0</v>
      </c>
      <c r="O88" s="155">
        <f t="shared" ref="O88:O96" ca="1" si="50">IF(L88&gt;0,N88*100/L88,0)</f>
        <v>0</v>
      </c>
      <c r="P88" s="155">
        <f t="shared" ref="P88:P96" ca="1" si="51">IF(M88&gt;0,N88*100/M88,0)</f>
        <v>0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2" t="s">
        <v>18</v>
      </c>
      <c r="F89" s="40"/>
      <c r="G89" s="157"/>
      <c r="H89" s="158" t="s">
        <v>12</v>
      </c>
      <c r="I89" s="583"/>
      <c r="J89" s="583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2" t="s">
        <v>19</v>
      </c>
      <c r="F90" s="40"/>
      <c r="G90" s="157"/>
      <c r="H90" s="158" t="s">
        <v>12</v>
      </c>
      <c r="I90" s="583"/>
      <c r="J90" s="583"/>
      <c r="K90" s="93"/>
      <c r="L90" s="93">
        <f t="shared" ca="1" si="52"/>
        <v>110880</v>
      </c>
      <c r="M90" s="93">
        <f t="shared" ca="1" si="52"/>
        <v>43680</v>
      </c>
      <c r="N90" s="93">
        <f t="shared" ca="1" si="52"/>
        <v>0</v>
      </c>
      <c r="O90" s="93">
        <f t="shared" ca="1" si="50"/>
        <v>0</v>
      </c>
      <c r="P90" s="93">
        <f t="shared" ca="1" si="51"/>
        <v>0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1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65">
        <f t="shared" ref="L91:N91" ca="1" si="53">L92+L93</f>
        <v>110880</v>
      </c>
      <c r="M91" s="465">
        <f t="shared" ca="1" si="53"/>
        <v>43680</v>
      </c>
      <c r="N91" s="465">
        <f t="shared" ca="1" si="53"/>
        <v>0</v>
      </c>
      <c r="O91" s="465">
        <f t="shared" ca="1" si="50"/>
        <v>0</v>
      </c>
      <c r="P91" s="465">
        <f t="shared" ca="1" si="51"/>
        <v>0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2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2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IFERROR(__xludf.DUMMYFUNCTION("IMPORTRANGE(""https://docs.google.com/spreadsheets/d/1MeEWN-I1oV_STSDYn1IFDPWt_1FKiwhDph83XaGc0o0/edit?usp=sharing"",""งบพรบ!AQ20"")"),110880)</f>
        <v>110880</v>
      </c>
      <c r="M93" s="93">
        <f ca="1">IFERROR(__xludf.DUMMYFUNCTION("IMPORTRANGE(""https://docs.google.com/spreadsheets/d/1MeEWN-I1oV_STSDYn1IFDPWt_1FKiwhDph83XaGc0o0/edit?usp=sharing"",""งบพรบ!AV20"")"),43680)</f>
        <v>43680</v>
      </c>
      <c r="N93" s="93">
        <f ca="1">IFERROR(__xludf.DUMMYFUNCTION("IMPORTRANGE(""https://docs.google.com/spreadsheets/d/1MeEWN-I1oV_STSDYn1IFDPWt_1FKiwhDph83XaGc0o0/edit?usp=sharing"",""งบพรบ!AX20"")"),0)</f>
        <v>0</v>
      </c>
      <c r="O93" s="93">
        <f t="shared" ca="1" si="50"/>
        <v>0</v>
      </c>
      <c r="P93" s="93">
        <f t="shared" ca="1" si="51"/>
        <v>0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1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65">
        <f t="shared" ref="L94:N94" ca="1" si="54">L95+L96</f>
        <v>0</v>
      </c>
      <c r="M94" s="465">
        <f t="shared" ca="1" si="54"/>
        <v>0</v>
      </c>
      <c r="N94" s="465">
        <f t="shared" ca="1" si="54"/>
        <v>0</v>
      </c>
      <c r="O94" s="465">
        <f t="shared" ca="1" si="50"/>
        <v>0</v>
      </c>
      <c r="P94" s="465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2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2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IFERROR(__xludf.DUMMYFUNCTION("IMPORTRANGE(""https://docs.google.com/spreadsheets/d/1MeEWN-I1oV_STSDYn1IFDPWt_1FKiwhDph83XaGc0o0/edit?usp=sharing"",""งบพรบ!AT20"")"),0)</f>
        <v>0</v>
      </c>
      <c r="M96" s="93">
        <f ca="1">IFERROR(__xludf.DUMMYFUNCTION("IMPORTRANGE(""https://docs.google.com/spreadsheets/d/1MeEWN-I1oV_STSDYn1IFDPWt_1FKiwhDph83XaGc0o0/edit?usp=sharing"",""งบพรบ!AW20"")"),0)</f>
        <v>0</v>
      </c>
      <c r="N96" s="93">
        <f ca="1">IFERROR(__xludf.DUMMYFUNCTION("IMPORTRANGE(""https://docs.google.com/spreadsheets/d/1MeEWN-I1oV_STSDYn1IFDPWt_1FKiwhDph83XaGc0o0/edit?usp=sharing"",""งบพรบ!AY20"")"),0)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18" t="s">
        <v>38</v>
      </c>
      <c r="E97" s="173"/>
      <c r="F97" s="173"/>
      <c r="G97" s="174"/>
      <c r="H97" s="726"/>
      <c r="I97" s="184"/>
      <c r="J97" s="269"/>
      <c r="K97" s="465"/>
      <c r="L97" s="465"/>
      <c r="M97" s="465"/>
      <c r="N97" s="465"/>
      <c r="O97" s="163"/>
      <c r="P97" s="163"/>
    </row>
    <row r="98" spans="1:16" ht="18.75">
      <c r="A98" s="170"/>
      <c r="B98" s="171"/>
      <c r="C98" s="171"/>
      <c r="D98" s="415" t="s">
        <v>47</v>
      </c>
      <c r="E98" s="415"/>
      <c r="F98" s="342"/>
      <c r="G98" s="179"/>
      <c r="H98" s="589" t="s">
        <v>46</v>
      </c>
      <c r="I98" s="269">
        <f ca="1">IFERROR(__xludf.DUMMYFUNCTION("IMPORTRANGE(""https://docs.google.com/spreadsheets/d/1QqKyyYR6Q21VydFLVH3TRQUabQu_ym0Zz7PgGX0-kHA/edit?usp=sharing"",""แผน!K20"")"),60)</f>
        <v>60</v>
      </c>
      <c r="J98" s="269">
        <f>J102</f>
        <v>0</v>
      </c>
      <c r="K98" s="465">
        <f t="shared" ref="K98:K100" ca="1" si="55">IF(I98&gt;0,J98*100/I98,0)</f>
        <v>0</v>
      </c>
      <c r="L98" s="465"/>
      <c r="M98" s="465"/>
      <c r="N98" s="465"/>
      <c r="O98" s="163"/>
      <c r="P98" s="163"/>
    </row>
    <row r="99" spans="1:16" ht="18.75">
      <c r="A99" s="170"/>
      <c r="B99" s="171"/>
      <c r="C99" s="171"/>
      <c r="D99" s="415" t="s">
        <v>48</v>
      </c>
      <c r="E99" s="415"/>
      <c r="F99" s="342"/>
      <c r="G99" s="179"/>
      <c r="H99" s="589" t="s">
        <v>35</v>
      </c>
      <c r="I99" s="269">
        <f ca="1">IFERROR(__xludf.DUMMYFUNCTION("IMPORTRANGE(""https://docs.google.com/spreadsheets/d/1QqKyyYR6Q21VydFLVH3TRQUabQu_ym0Zz7PgGX0-kHA/edit?usp=sharing"",""แผน!L20"")"),20)</f>
        <v>20</v>
      </c>
      <c r="J99" s="269">
        <f>J104</f>
        <v>0</v>
      </c>
      <c r="K99" s="465">
        <f t="shared" ca="1" si="55"/>
        <v>0</v>
      </c>
      <c r="L99" s="465"/>
      <c r="M99" s="465"/>
      <c r="N99" s="465"/>
      <c r="O99" s="163"/>
      <c r="P99" s="163"/>
    </row>
    <row r="100" spans="1:16" ht="18.75">
      <c r="A100" s="170"/>
      <c r="B100" s="171"/>
      <c r="C100" s="171"/>
      <c r="D100" s="171"/>
      <c r="E100" s="342"/>
      <c r="F100" s="342"/>
      <c r="G100" s="179"/>
      <c r="H100" s="589" t="s">
        <v>49</v>
      </c>
      <c r="I100" s="269">
        <f ca="1">IFERROR(__xludf.DUMMYFUNCTION("IMPORTRANGE(""https://docs.google.com/spreadsheets/d/1QqKyyYR6Q21VydFLVH3TRQUabQu_ym0Zz7PgGX0-kHA/edit?usp=sharing"",""แผน!M20"")"),2)</f>
        <v>2</v>
      </c>
      <c r="J100" s="269">
        <f>J107+J110</f>
        <v>0</v>
      </c>
      <c r="K100" s="465">
        <f t="shared" ca="1" si="55"/>
        <v>0</v>
      </c>
      <c r="L100" s="465"/>
      <c r="M100" s="465"/>
      <c r="N100" s="465"/>
      <c r="O100" s="163"/>
      <c r="P100" s="163"/>
    </row>
    <row r="101" spans="1:16" ht="19.5">
      <c r="A101" s="170"/>
      <c r="B101" s="171"/>
      <c r="C101" s="171"/>
      <c r="D101" s="342"/>
      <c r="E101" s="191" t="s">
        <v>50</v>
      </c>
      <c r="F101" s="342"/>
      <c r="G101" s="179"/>
      <c r="H101" s="589"/>
      <c r="I101" s="269"/>
      <c r="J101" s="269"/>
      <c r="K101" s="465"/>
      <c r="L101" s="465"/>
      <c r="M101" s="465"/>
      <c r="N101" s="465"/>
      <c r="O101" s="163"/>
      <c r="P101" s="163"/>
    </row>
    <row r="102" spans="1:16" ht="18.75">
      <c r="A102" s="170"/>
      <c r="B102" s="171"/>
      <c r="C102" s="171"/>
      <c r="D102" s="342"/>
      <c r="E102" s="592" t="s">
        <v>47</v>
      </c>
      <c r="F102" s="342"/>
      <c r="G102" s="179"/>
      <c r="H102" s="589" t="s">
        <v>46</v>
      </c>
      <c r="I102" s="269">
        <f ca="1">IFERROR(__xludf.DUMMYFUNCTION("IMPORTRANGE(""https://docs.google.com/spreadsheets/d/1QqKyyYR6Q21VydFLVH3TRQUabQu_ym0Zz7PgGX0-kHA/edit?usp=sharing"",""แผน!N20"")"),60)</f>
        <v>60</v>
      </c>
      <c r="J102" s="214">
        <v>0</v>
      </c>
      <c r="K102" s="465">
        <f t="shared" ref="K102:K104" ca="1" si="56">IF(I102&gt;0,J102*100/I102,0)</f>
        <v>0</v>
      </c>
      <c r="L102" s="465"/>
      <c r="M102" s="465"/>
      <c r="N102" s="465"/>
      <c r="O102" s="163"/>
      <c r="P102" s="163"/>
    </row>
    <row r="103" spans="1:16" ht="19.5">
      <c r="A103" s="170"/>
      <c r="B103" s="171"/>
      <c r="C103" s="171"/>
      <c r="D103" s="342"/>
      <c r="E103" s="415" t="s">
        <v>51</v>
      </c>
      <c r="F103" s="342"/>
      <c r="G103" s="179"/>
      <c r="H103" s="589" t="s">
        <v>35</v>
      </c>
      <c r="I103" s="269">
        <f ca="1">IFERROR(__xludf.DUMMYFUNCTION("IMPORTRANGE(""https://docs.google.com/spreadsheets/d/1QqKyyYR6Q21VydFLVH3TRQUabQu_ym0Zz7PgGX0-kHA/edit?usp=sharing"",""แผน!O20"")"),20)</f>
        <v>20</v>
      </c>
      <c r="J103" s="214">
        <v>0</v>
      </c>
      <c r="K103" s="465">
        <f t="shared" ca="1" si="56"/>
        <v>0</v>
      </c>
      <c r="L103" s="465"/>
      <c r="M103" s="465"/>
      <c r="N103" s="465"/>
      <c r="O103" s="163"/>
      <c r="P103" s="163"/>
    </row>
    <row r="104" spans="1:16" ht="18.75">
      <c r="A104" s="170"/>
      <c r="B104" s="171"/>
      <c r="C104" s="171"/>
      <c r="D104" s="342"/>
      <c r="E104" s="188" t="s">
        <v>52</v>
      </c>
      <c r="F104" s="342"/>
      <c r="G104" s="179"/>
      <c r="H104" s="589" t="s">
        <v>35</v>
      </c>
      <c r="I104" s="269">
        <f ca="1">IFERROR(__xludf.DUMMYFUNCTION("IMPORTRANGE(""https://docs.google.com/spreadsheets/d/1QqKyyYR6Q21VydFLVH3TRQUabQu_ym0Zz7PgGX0-kHA/edit?usp=sharing"",""แผน!O20"")"),20)</f>
        <v>20</v>
      </c>
      <c r="J104" s="214">
        <v>0</v>
      </c>
      <c r="K104" s="465">
        <f t="shared" ca="1" si="56"/>
        <v>0</v>
      </c>
      <c r="L104" s="465"/>
      <c r="M104" s="465"/>
      <c r="N104" s="465"/>
      <c r="O104" s="163"/>
      <c r="P104" s="163"/>
    </row>
    <row r="105" spans="1:16" ht="19.5">
      <c r="A105" s="170"/>
      <c r="B105" s="171"/>
      <c r="C105" s="171"/>
      <c r="D105" s="342"/>
      <c r="E105" s="191" t="s">
        <v>53</v>
      </c>
      <c r="F105" s="342"/>
      <c r="G105" s="179"/>
      <c r="H105" s="189"/>
      <c r="I105" s="269"/>
      <c r="J105" s="269"/>
      <c r="K105" s="465"/>
      <c r="L105" s="465"/>
      <c r="M105" s="465"/>
      <c r="N105" s="465"/>
      <c r="O105" s="163"/>
      <c r="P105" s="163"/>
    </row>
    <row r="106" spans="1:16" ht="19.5">
      <c r="A106" s="170"/>
      <c r="B106" s="171"/>
      <c r="C106" s="171"/>
      <c r="D106" s="342"/>
      <c r="E106" s="415" t="s">
        <v>54</v>
      </c>
      <c r="F106" s="342"/>
      <c r="G106" s="179"/>
      <c r="H106" s="589" t="s">
        <v>49</v>
      </c>
      <c r="I106" s="269">
        <f ca="1">IFERROR(__xludf.DUMMYFUNCTION("IMPORTRANGE(""https://docs.google.com/spreadsheets/d/1QqKyyYR6Q21VydFLVH3TRQUabQu_ym0Zz7PgGX0-kHA/edit?usp=sharing"",""แผน!P20"")"),1)</f>
        <v>1</v>
      </c>
      <c r="J106" s="214">
        <v>0</v>
      </c>
      <c r="K106" s="465">
        <f t="shared" ref="K106:K107" ca="1" si="57">IF(I106&gt;0,J106*100/I106,0)</f>
        <v>0</v>
      </c>
      <c r="L106" s="465"/>
      <c r="M106" s="465"/>
      <c r="N106" s="465"/>
      <c r="O106" s="163"/>
      <c r="P106" s="163"/>
    </row>
    <row r="107" spans="1:16" ht="18.75">
      <c r="A107" s="170"/>
      <c r="B107" s="171"/>
      <c r="C107" s="171"/>
      <c r="D107" s="342"/>
      <c r="E107" s="188" t="s">
        <v>55</v>
      </c>
      <c r="F107" s="342"/>
      <c r="G107" s="179"/>
      <c r="H107" s="589" t="s">
        <v>49</v>
      </c>
      <c r="I107" s="269">
        <f ca="1">IFERROR(__xludf.DUMMYFUNCTION("IMPORTRANGE(""https://docs.google.com/spreadsheets/d/1QqKyyYR6Q21VydFLVH3TRQUabQu_ym0Zz7PgGX0-kHA/edit?usp=sharing"",""แผน!P20"")"),1)</f>
        <v>1</v>
      </c>
      <c r="J107" s="214">
        <v>0</v>
      </c>
      <c r="K107" s="465">
        <f t="shared" ca="1" si="57"/>
        <v>0</v>
      </c>
      <c r="L107" s="465"/>
      <c r="M107" s="465"/>
      <c r="N107" s="465"/>
      <c r="O107" s="163"/>
      <c r="P107" s="163"/>
    </row>
    <row r="108" spans="1:16" ht="19.5">
      <c r="A108" s="170"/>
      <c r="B108" s="171"/>
      <c r="C108" s="171"/>
      <c r="D108" s="342"/>
      <c r="E108" s="191" t="s">
        <v>56</v>
      </c>
      <c r="F108" s="342"/>
      <c r="G108" s="179"/>
      <c r="H108" s="189"/>
      <c r="I108" s="269"/>
      <c r="J108" s="269"/>
      <c r="K108" s="465"/>
      <c r="L108" s="465"/>
      <c r="M108" s="465"/>
      <c r="N108" s="465"/>
      <c r="O108" s="163"/>
      <c r="P108" s="163"/>
    </row>
    <row r="109" spans="1:16" ht="19.5">
      <c r="A109" s="170"/>
      <c r="B109" s="171"/>
      <c r="C109" s="171"/>
      <c r="D109" s="342"/>
      <c r="E109" s="415" t="s">
        <v>57</v>
      </c>
      <c r="F109" s="342"/>
      <c r="G109" s="179"/>
      <c r="H109" s="589" t="s">
        <v>49</v>
      </c>
      <c r="I109" s="269">
        <f ca="1">IFERROR(__xludf.DUMMYFUNCTION("IMPORTRANGE(""https://docs.google.com/spreadsheets/d/1QqKyyYR6Q21VydFLVH3TRQUabQu_ym0Zz7PgGX0-kHA/edit?usp=sharing"",""แผน!Q20"")"),1)</f>
        <v>1</v>
      </c>
      <c r="J109" s="214">
        <v>0</v>
      </c>
      <c r="K109" s="465">
        <f t="shared" ref="K109:K116" ca="1" si="58">IF(I109&gt;0,J109*100/I109,0)</f>
        <v>0</v>
      </c>
      <c r="L109" s="465"/>
      <c r="M109" s="465"/>
      <c r="N109" s="465"/>
      <c r="O109" s="163"/>
      <c r="P109" s="163"/>
    </row>
    <row r="110" spans="1:16" ht="18.75">
      <c r="A110" s="170"/>
      <c r="B110" s="171"/>
      <c r="C110" s="171"/>
      <c r="D110" s="342"/>
      <c r="E110" s="190" t="s">
        <v>58</v>
      </c>
      <c r="F110" s="342"/>
      <c r="G110" s="179"/>
      <c r="H110" s="589" t="s">
        <v>49</v>
      </c>
      <c r="I110" s="269">
        <f ca="1">IFERROR(__xludf.DUMMYFUNCTION("IMPORTRANGE(""https://docs.google.com/spreadsheets/d/1QqKyyYR6Q21VydFLVH3TRQUabQu_ym0Zz7PgGX0-kHA/edit?usp=sharing"",""แผน!Q20"")"),1)</f>
        <v>1</v>
      </c>
      <c r="J110" s="214">
        <v>0</v>
      </c>
      <c r="K110" s="465">
        <f t="shared" ca="1" si="58"/>
        <v>0</v>
      </c>
      <c r="L110" s="465"/>
      <c r="M110" s="465"/>
      <c r="N110" s="465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342"/>
      <c r="G111" s="179"/>
      <c r="H111" s="731" t="s">
        <v>35</v>
      </c>
      <c r="I111" s="193">
        <f ca="1">IFERROR(__xludf.DUMMYFUNCTION("IMPORTRANGE(""https://docs.google.com/spreadsheets/d/1QqKyyYR6Q21VydFLVH3TRQUabQu_ym0Zz7PgGX0-kHA/edit?usp=sharing"",""แผน!R20"")"),20)</f>
        <v>20</v>
      </c>
      <c r="J111" s="647">
        <f>J114</f>
        <v>0</v>
      </c>
      <c r="K111" s="195">
        <f t="shared" ca="1" si="58"/>
        <v>0</v>
      </c>
      <c r="L111" s="465"/>
      <c r="M111" s="465"/>
      <c r="N111" s="465"/>
      <c r="O111" s="163"/>
      <c r="P111" s="163"/>
    </row>
    <row r="112" spans="1:16" ht="19.5">
      <c r="A112" s="170"/>
      <c r="B112" s="171"/>
      <c r="C112" s="171"/>
      <c r="D112" s="171"/>
      <c r="E112" s="342"/>
      <c r="F112" s="342"/>
      <c r="G112" s="179"/>
      <c r="H112" s="196" t="s">
        <v>49</v>
      </c>
      <c r="I112" s="193">
        <f t="shared" ref="I112:J112" ca="1" si="59">I115+I116</f>
        <v>2</v>
      </c>
      <c r="J112" s="647">
        <f t="shared" si="59"/>
        <v>0</v>
      </c>
      <c r="K112" s="195">
        <f t="shared" ca="1" si="58"/>
        <v>0</v>
      </c>
      <c r="L112" s="465"/>
      <c r="M112" s="465"/>
      <c r="N112" s="465"/>
      <c r="O112" s="163"/>
      <c r="P112" s="163"/>
    </row>
    <row r="113" spans="1:26" ht="19.5">
      <c r="A113" s="170"/>
      <c r="B113" s="171"/>
      <c r="C113" s="171"/>
      <c r="D113" s="171"/>
      <c r="E113" s="494" t="s">
        <v>60</v>
      </c>
      <c r="F113" s="342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IFERROR(__xludf.DUMMYFUNCTION("IMPORTRANGE(""https://docs.google.com/spreadsheets/d/1QqKyyYR6Q21VydFLVH3TRQUabQu_ym0Zz7PgGX0-kHA/edit?usp=sharing"",""แผน!R20"")"),20)</f>
        <v>20</v>
      </c>
      <c r="J113" s="214">
        <v>0</v>
      </c>
      <c r="K113" s="465">
        <f t="shared" ca="1" si="58"/>
        <v>0</v>
      </c>
      <c r="L113" s="465"/>
      <c r="M113" s="465"/>
      <c r="N113" s="465"/>
      <c r="O113" s="163"/>
      <c r="P113" s="163"/>
    </row>
    <row r="114" spans="1:26" ht="19.5">
      <c r="A114" s="170"/>
      <c r="B114" s="171"/>
      <c r="C114" s="171"/>
      <c r="D114" s="171"/>
      <c r="E114" s="415" t="s">
        <v>61</v>
      </c>
      <c r="F114" s="342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IFERROR(__xludf.DUMMYFUNCTION("IMPORTRANGE(""https://docs.google.com/spreadsheets/d/1QqKyyYR6Q21VydFLVH3TRQUabQu_ym0Zz7PgGX0-kHA/edit?usp=sharing"",""แผน!R20"")"),20)</f>
        <v>20</v>
      </c>
      <c r="J114" s="214">
        <v>0</v>
      </c>
      <c r="K114" s="465">
        <f t="shared" ca="1" si="58"/>
        <v>0</v>
      </c>
      <c r="L114" s="465"/>
      <c r="M114" s="465"/>
      <c r="N114" s="465"/>
      <c r="O114" s="163"/>
      <c r="P114" s="163"/>
    </row>
    <row r="115" spans="1:26" ht="18.75">
      <c r="A115" s="170"/>
      <c r="B115" s="171"/>
      <c r="C115" s="171"/>
      <c r="D115" s="171"/>
      <c r="E115" s="415" t="s">
        <v>62</v>
      </c>
      <c r="F115" s="342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IFERROR(__xludf.DUMMYFUNCTION("IMPORTRANGE(""https://docs.google.com/spreadsheets/d/1QqKyyYR6Q21VydFLVH3TRQUabQu_ym0Zz7PgGX0-kHA/edit?usp=sharing"",""แผน!S20"")"),1)</f>
        <v>1</v>
      </c>
      <c r="J115" s="214">
        <v>0</v>
      </c>
      <c r="K115" s="465">
        <f t="shared" ca="1" si="58"/>
        <v>0</v>
      </c>
      <c r="L115" s="465"/>
      <c r="M115" s="465"/>
      <c r="N115" s="465"/>
      <c r="O115" s="163"/>
      <c r="P115" s="163"/>
    </row>
    <row r="116" spans="1:26" ht="18.75">
      <c r="A116" s="170"/>
      <c r="B116" s="171"/>
      <c r="C116" s="171"/>
      <c r="D116" s="171"/>
      <c r="E116" s="415" t="s">
        <v>63</v>
      </c>
      <c r="F116" s="342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IFERROR(__xludf.DUMMYFUNCTION("IMPORTRANGE(""https://docs.google.com/spreadsheets/d/1QqKyyYR6Q21VydFLVH3TRQUabQu_ym0Zz7PgGX0-kHA/edit?usp=sharing"",""แผน!T20"")"),1)</f>
        <v>1</v>
      </c>
      <c r="J116" s="214">
        <v>0</v>
      </c>
      <c r="K116" s="465">
        <f t="shared" ca="1" si="58"/>
        <v>0</v>
      </c>
      <c r="L116" s="465"/>
      <c r="M116" s="465"/>
      <c r="N116" s="465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8" t="s">
        <v>65</v>
      </c>
      <c r="C118" s="204"/>
      <c r="D118" s="141"/>
      <c r="E118" s="140"/>
      <c r="F118" s="140"/>
      <c r="G118" s="142"/>
      <c r="H118" s="143"/>
      <c r="I118" s="205"/>
      <c r="J118" s="205"/>
      <c r="K118" s="146"/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17" t="s">
        <v>17</v>
      </c>
      <c r="E119" s="148"/>
      <c r="F119" s="148"/>
      <c r="G119" s="151"/>
      <c r="H119" s="152" t="s">
        <v>12</v>
      </c>
      <c r="I119" s="388"/>
      <c r="J119" s="388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2" t="s">
        <v>18</v>
      </c>
      <c r="F120" s="40"/>
      <c r="G120" s="157"/>
      <c r="H120" s="158" t="s">
        <v>12</v>
      </c>
      <c r="I120" s="583"/>
      <c r="J120" s="583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2" t="s">
        <v>19</v>
      </c>
      <c r="F121" s="40"/>
      <c r="G121" s="157"/>
      <c r="H121" s="158" t="s">
        <v>12</v>
      </c>
      <c r="I121" s="583"/>
      <c r="J121" s="583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1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65">
        <f t="shared" ref="L122:N122" ca="1" si="64">L123+L124</f>
        <v>0</v>
      </c>
      <c r="M122" s="465">
        <f t="shared" ca="1" si="64"/>
        <v>0</v>
      </c>
      <c r="N122" s="465">
        <f t="shared" ca="1" si="64"/>
        <v>0</v>
      </c>
      <c r="O122" s="465">
        <f t="shared" ca="1" si="61"/>
        <v>0</v>
      </c>
      <c r="P122" s="465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2"/>
      <c r="D123" s="40"/>
      <c r="E123" s="222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2"/>
      <c r="D124" s="40"/>
      <c r="E124" s="222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IFERROR(__xludf.DUMMYFUNCTION("IMPORTRANGE(""https://docs.google.com/spreadsheets/d/1MeEWN-I1oV_STSDYn1IFDPWt_1FKiwhDph83XaGc0o0/edit?usp=sharing"",""งบพรบ!BA20"")"),0)</f>
        <v>0</v>
      </c>
      <c r="M124" s="93">
        <f ca="1">IFERROR(__xludf.DUMMYFUNCTION("IMPORTRANGE(""https://docs.google.com/spreadsheets/d/1MeEWN-I1oV_STSDYn1IFDPWt_1FKiwhDph83XaGc0o0/edit?usp=sharing"",""งบพรบ!BF20"")"),0)</f>
        <v>0</v>
      </c>
      <c r="N124" s="93">
        <f ca="1">IFERROR(__xludf.DUMMYFUNCTION("IMPORTRANGE(""https://docs.google.com/spreadsheets/d/1MeEWN-I1oV_STSDYn1IFDPWt_1FKiwhDph83XaGc0o0/edit?usp=sharing"",""งบพรบ!BH20"")"),0)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1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65">
        <f t="shared" ref="L125:N125" ca="1" si="65">L126+L127</f>
        <v>0</v>
      </c>
      <c r="M125" s="465">
        <f t="shared" ca="1" si="65"/>
        <v>0</v>
      </c>
      <c r="N125" s="465">
        <f t="shared" ca="1" si="65"/>
        <v>0</v>
      </c>
      <c r="O125" s="465">
        <f t="shared" ca="1" si="61"/>
        <v>0</v>
      </c>
      <c r="P125" s="465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2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2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IFERROR(__xludf.DUMMYFUNCTION("IMPORTRANGE(""https://docs.google.com/spreadsheets/d/1MeEWN-I1oV_STSDYn1IFDPWt_1FKiwhDph83XaGc0o0/edit?usp=sharing"",""งบพรบ!BD20"")"),0)</f>
        <v>0</v>
      </c>
      <c r="M127" s="93">
        <f ca="1">IFERROR(__xludf.DUMMYFUNCTION("IMPORTRANGE(""https://docs.google.com/spreadsheets/d/1MeEWN-I1oV_STSDYn1IFDPWt_1FKiwhDph83XaGc0o0/edit?usp=sharing"",""งบพรบ!BG20"")"),0)</f>
        <v>0</v>
      </c>
      <c r="N127" s="93">
        <f ca="1">IFERROR(__xludf.DUMMYFUNCTION("IMPORTRANGE(""https://docs.google.com/spreadsheets/d/1MeEWN-I1oV_STSDYn1IFDPWt_1FKiwhDph83XaGc0o0/edit?usp=sharing"",""งบพรบ!BI20"")"),0)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66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8" t="s">
        <v>67</v>
      </c>
      <c r="C129" s="204"/>
      <c r="D129" s="141"/>
      <c r="E129" s="140"/>
      <c r="F129" s="140"/>
      <c r="G129" s="140"/>
      <c r="H129" s="207"/>
      <c r="I129" s="205"/>
      <c r="J129" s="205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8"/>
      <c r="C130" s="209" t="s">
        <v>68</v>
      </c>
      <c r="D130" s="141"/>
      <c r="E130" s="140"/>
      <c r="F130" s="140"/>
      <c r="G130" s="142"/>
      <c r="H130" s="143" t="s">
        <v>69</v>
      </c>
      <c r="I130" s="144">
        <f t="shared" ref="I130:J130" ca="1" si="66">I146</f>
        <v>0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8"/>
      <c r="C131" s="209" t="s">
        <v>70</v>
      </c>
      <c r="D131" s="141"/>
      <c r="E131" s="140"/>
      <c r="F131" s="140"/>
      <c r="G131" s="142"/>
      <c r="H131" s="143" t="s">
        <v>35</v>
      </c>
      <c r="I131" s="144">
        <f t="shared" ref="I131:J131" ca="1" si="68">I143</f>
        <v>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817" t="s">
        <v>17</v>
      </c>
      <c r="E132" s="148"/>
      <c r="F132" s="148"/>
      <c r="G132" s="151"/>
      <c r="H132" s="152" t="s">
        <v>12</v>
      </c>
      <c r="I132" s="388"/>
      <c r="J132" s="388"/>
      <c r="K132" s="154"/>
      <c r="L132" s="155">
        <f t="shared" ref="L132:N132" ca="1" si="69">L133+L134</f>
        <v>0</v>
      </c>
      <c r="M132" s="155">
        <f t="shared" ca="1" si="69"/>
        <v>0</v>
      </c>
      <c r="N132" s="155">
        <f t="shared" ca="1" si="69"/>
        <v>0</v>
      </c>
      <c r="O132" s="155">
        <f t="shared" ref="O132:O140" ca="1" si="70">IF(L132&gt;0,N132*100/L132,0)</f>
        <v>0</v>
      </c>
      <c r="P132" s="155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2" t="s">
        <v>18</v>
      </c>
      <c r="F133" s="40"/>
      <c r="G133" s="157"/>
      <c r="H133" s="158" t="s">
        <v>12</v>
      </c>
      <c r="I133" s="583"/>
      <c r="J133" s="583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2" t="s">
        <v>19</v>
      </c>
      <c r="F134" s="40"/>
      <c r="G134" s="157"/>
      <c r="H134" s="158" t="s">
        <v>12</v>
      </c>
      <c r="I134" s="583"/>
      <c r="J134" s="583"/>
      <c r="K134" s="93"/>
      <c r="L134" s="93">
        <f t="shared" ca="1" si="72"/>
        <v>0</v>
      </c>
      <c r="M134" s="93">
        <f t="shared" ca="1" si="72"/>
        <v>0</v>
      </c>
      <c r="N134" s="93">
        <f t="shared" ca="1" si="72"/>
        <v>0</v>
      </c>
      <c r="O134" s="93">
        <f t="shared" ca="1" si="70"/>
        <v>0</v>
      </c>
      <c r="P134" s="93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1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65">
        <f t="shared" ref="L135:N135" ca="1" si="73">L136+L137</f>
        <v>0</v>
      </c>
      <c r="M135" s="465">
        <f t="shared" ca="1" si="73"/>
        <v>0</v>
      </c>
      <c r="N135" s="465">
        <f t="shared" ca="1" si="73"/>
        <v>0</v>
      </c>
      <c r="O135" s="465">
        <f t="shared" ca="1" si="70"/>
        <v>0</v>
      </c>
      <c r="P135" s="465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2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2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IFERROR(__xludf.DUMMYFUNCTION("IMPORTRANGE(""https://docs.google.com/spreadsheets/d/1MeEWN-I1oV_STSDYn1IFDPWt_1FKiwhDph83XaGc0o0/edit?usp=sharing"",""งบพรบ!BK20"")"),0)</f>
        <v>0</v>
      </c>
      <c r="M137" s="93">
        <f ca="1">IFERROR(__xludf.DUMMYFUNCTION("IMPORTRANGE(""https://docs.google.com/spreadsheets/d/1MeEWN-I1oV_STSDYn1IFDPWt_1FKiwhDph83XaGc0o0/edit?usp=sharing"",""งบพรบ!BP20"")"),0)</f>
        <v>0</v>
      </c>
      <c r="N137" s="93">
        <f ca="1">IFERROR(__xludf.DUMMYFUNCTION("IMPORTRANGE(""https://docs.google.com/spreadsheets/d/1MeEWN-I1oV_STSDYn1IFDPWt_1FKiwhDph83XaGc0o0/edit?usp=sharing"",""งบพรบ!BR20"")"),0)</f>
        <v>0</v>
      </c>
      <c r="O137" s="93">
        <f t="shared" ca="1" si="70"/>
        <v>0</v>
      </c>
      <c r="P137" s="93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1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65">
        <f t="shared" ref="L138:N138" ca="1" si="74">L139+L140</f>
        <v>0</v>
      </c>
      <c r="M138" s="465">
        <f t="shared" ca="1" si="74"/>
        <v>0</v>
      </c>
      <c r="N138" s="465">
        <f t="shared" ca="1" si="74"/>
        <v>0</v>
      </c>
      <c r="O138" s="465">
        <f t="shared" ca="1" si="70"/>
        <v>0</v>
      </c>
      <c r="P138" s="465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2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2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IFERROR(__xludf.DUMMYFUNCTION("IMPORTRANGE(""https://docs.google.com/spreadsheets/d/1MeEWN-I1oV_STSDYn1IFDPWt_1FKiwhDph83XaGc0o0/edit?usp=sharing"",""งบพรบ!BN20"")"),0)</f>
        <v>0</v>
      </c>
      <c r="M140" s="93">
        <f ca="1">IFERROR(__xludf.DUMMYFUNCTION("IMPORTRANGE(""https://docs.google.com/spreadsheets/d/1MeEWN-I1oV_STSDYn1IFDPWt_1FKiwhDph83XaGc0o0/edit?usp=sharing"",""งบพรบ!BQ20"")"),0)</f>
        <v>0</v>
      </c>
      <c r="N140" s="93">
        <f ca="1">IFERROR(__xludf.DUMMYFUNCTION("IMPORTRANGE(""https://docs.google.com/spreadsheets/d/1MeEWN-I1oV_STSDYn1IFDPWt_1FKiwhDph83XaGc0o0/edit?usp=sharing"",""งบพรบ!BS20"")"),0)</f>
        <v>0</v>
      </c>
      <c r="O140" s="93">
        <f t="shared" ca="1" si="70"/>
        <v>0</v>
      </c>
      <c r="P140" s="93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818" t="s">
        <v>38</v>
      </c>
      <c r="E141" s="173"/>
      <c r="F141" s="173"/>
      <c r="G141" s="174"/>
      <c r="H141" s="168"/>
      <c r="I141" s="269"/>
      <c r="J141" s="269"/>
      <c r="K141" s="465"/>
      <c r="L141" s="465"/>
      <c r="M141" s="465"/>
      <c r="N141" s="465"/>
      <c r="O141" s="465"/>
      <c r="P141" s="465"/>
    </row>
    <row r="142" spans="1:26" ht="19.5" hidden="1">
      <c r="A142" s="159"/>
      <c r="B142" s="33"/>
      <c r="C142" s="210"/>
      <c r="D142" s="281" t="s">
        <v>71</v>
      </c>
      <c r="E142" s="34"/>
      <c r="F142" s="33"/>
      <c r="G142" s="213"/>
      <c r="H142" s="168"/>
      <c r="I142" s="269"/>
      <c r="J142" s="214">
        <v>0</v>
      </c>
      <c r="K142" s="465"/>
      <c r="L142" s="465"/>
      <c r="M142" s="465"/>
      <c r="N142" s="465"/>
      <c r="O142" s="465"/>
      <c r="P142" s="465"/>
    </row>
    <row r="143" spans="1:26" ht="19.5" hidden="1">
      <c r="A143" s="159"/>
      <c r="B143" s="33"/>
      <c r="C143" s="210"/>
      <c r="D143" s="281" t="s">
        <v>72</v>
      </c>
      <c r="E143" s="34"/>
      <c r="F143" s="33"/>
      <c r="G143" s="213"/>
      <c r="H143" s="168" t="s">
        <v>35</v>
      </c>
      <c r="I143" s="269">
        <f ca="1">I145</f>
        <v>0</v>
      </c>
      <c r="J143" s="269">
        <f ca="1">IF(AND(J144&gt;=I144,J145&gt;=I145),J145,0)</f>
        <v>0</v>
      </c>
      <c r="K143" s="465">
        <f t="shared" ref="K143:K146" ca="1" si="75">IF(I143&gt;0,J143*100/I143,0)</f>
        <v>0</v>
      </c>
      <c r="L143" s="465"/>
      <c r="M143" s="465"/>
      <c r="N143" s="465"/>
      <c r="O143" s="465"/>
      <c r="P143" s="465"/>
    </row>
    <row r="144" spans="1:26" ht="19.5" hidden="1">
      <c r="A144" s="159"/>
      <c r="B144" s="33"/>
      <c r="C144" s="210"/>
      <c r="D144" s="342"/>
      <c r="E144" s="281" t="s">
        <v>73</v>
      </c>
      <c r="F144" s="33"/>
      <c r="G144" s="213"/>
      <c r="H144" s="168" t="s">
        <v>35</v>
      </c>
      <c r="I144" s="269">
        <f ca="1">IFERROR(__xludf.DUMMYFUNCTION("IMPORTRANGE(""https://docs.google.com/spreadsheets/d/1QqKyyYR6Q21VydFLVH3TRQUabQu_ym0Zz7PgGX0-kHA/edit?usp=sharing"",""แผน!U20"")"),0)</f>
        <v>0</v>
      </c>
      <c r="J144" s="214">
        <v>0</v>
      </c>
      <c r="K144" s="465">
        <f t="shared" ca="1" si="75"/>
        <v>0</v>
      </c>
      <c r="L144" s="465"/>
      <c r="M144" s="465"/>
      <c r="N144" s="465"/>
      <c r="O144" s="465"/>
      <c r="P144" s="465"/>
    </row>
    <row r="145" spans="1:26" ht="19.5" hidden="1">
      <c r="A145" s="159"/>
      <c r="B145" s="33"/>
      <c r="C145" s="210"/>
      <c r="D145" s="342"/>
      <c r="E145" s="281" t="s">
        <v>74</v>
      </c>
      <c r="F145" s="33"/>
      <c r="G145" s="213"/>
      <c r="H145" s="168" t="s">
        <v>35</v>
      </c>
      <c r="I145" s="269">
        <f ca="1">IFERROR(__xludf.DUMMYFUNCTION("IMPORTRANGE(""https://docs.google.com/spreadsheets/d/1QqKyyYR6Q21VydFLVH3TRQUabQu_ym0Zz7PgGX0-kHA/edit?usp=sharing"",""แผน!V20"")"),0)</f>
        <v>0</v>
      </c>
      <c r="J145" s="214">
        <v>0</v>
      </c>
      <c r="K145" s="465">
        <f t="shared" ca="1" si="75"/>
        <v>0</v>
      </c>
      <c r="L145" s="465"/>
      <c r="M145" s="465"/>
      <c r="N145" s="465"/>
      <c r="O145" s="465"/>
      <c r="P145" s="465"/>
    </row>
    <row r="146" spans="1:26" ht="19.5" hidden="1">
      <c r="A146" s="159"/>
      <c r="B146" s="33"/>
      <c r="C146" s="210"/>
      <c r="D146" s="281" t="s">
        <v>75</v>
      </c>
      <c r="E146" s="34"/>
      <c r="F146" s="33"/>
      <c r="G146" s="213"/>
      <c r="H146" s="168" t="s">
        <v>69</v>
      </c>
      <c r="I146" s="269">
        <f ca="1">IFERROR(__xludf.DUMMYFUNCTION("IMPORTRANGE(""https://docs.google.com/spreadsheets/d/1QqKyyYR6Q21VydFLVH3TRQUabQu_ym0Zz7PgGX0-kHA/edit?usp=sharing"",""แผน!W20"")"),0)</f>
        <v>0</v>
      </c>
      <c r="J146" s="214">
        <v>0</v>
      </c>
      <c r="K146" s="465">
        <f t="shared" ca="1" si="75"/>
        <v>0</v>
      </c>
      <c r="L146" s="465"/>
      <c r="M146" s="465"/>
      <c r="N146" s="465"/>
      <c r="O146" s="465"/>
      <c r="P146" s="465"/>
    </row>
    <row r="147" spans="1:26" ht="19.5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>
      <c r="A148" s="216"/>
      <c r="B148" s="208" t="s">
        <v>77</v>
      </c>
      <c r="C148" s="208"/>
      <c r="D148" s="208"/>
      <c r="E148" s="819"/>
      <c r="F148" s="218"/>
      <c r="G148" s="219"/>
      <c r="H148" s="220" t="s">
        <v>35</v>
      </c>
      <c r="I148" s="144">
        <f t="shared" ref="I148:J148" ca="1" si="76">I159</f>
        <v>20</v>
      </c>
      <c r="J148" s="144">
        <f t="shared" si="76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1"/>
      <c r="R148" s="221"/>
      <c r="S148" s="221"/>
      <c r="T148" s="221"/>
      <c r="U148" s="221"/>
      <c r="V148" s="221"/>
      <c r="W148" s="221"/>
      <c r="X148" s="221"/>
      <c r="Y148" s="221"/>
      <c r="Z148" s="221"/>
    </row>
    <row r="149" spans="1:26" ht="19.5">
      <c r="A149" s="147"/>
      <c r="B149" s="148"/>
      <c r="C149" s="149" t="s">
        <v>16</v>
      </c>
      <c r="D149" s="817" t="s">
        <v>17</v>
      </c>
      <c r="E149" s="148"/>
      <c r="F149" s="148"/>
      <c r="G149" s="151"/>
      <c r="H149" s="152" t="s">
        <v>12</v>
      </c>
      <c r="I149" s="388"/>
      <c r="J149" s="388"/>
      <c r="K149" s="154"/>
      <c r="L149" s="155">
        <f t="shared" ref="L149:N149" ca="1" si="77">L150+L151</f>
        <v>10000</v>
      </c>
      <c r="M149" s="155">
        <f t="shared" ca="1" si="77"/>
        <v>10000</v>
      </c>
      <c r="N149" s="155">
        <f t="shared" ca="1" si="77"/>
        <v>0</v>
      </c>
      <c r="O149" s="155">
        <f t="shared" ref="O149:O157" ca="1" si="78">IF(L149&gt;0,N149*100/L149,0)</f>
        <v>0</v>
      </c>
      <c r="P149" s="155">
        <f t="shared" ref="P149:P157" ca="1" si="79">IF(M149&gt;0,N149*100/M149,0)</f>
        <v>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2" t="s">
        <v>18</v>
      </c>
      <c r="F150" s="40"/>
      <c r="G150" s="157"/>
      <c r="H150" s="158" t="s">
        <v>12</v>
      </c>
      <c r="I150" s="583"/>
      <c r="J150" s="583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2" t="s">
        <v>19</v>
      </c>
      <c r="F151" s="40"/>
      <c r="G151" s="157"/>
      <c r="H151" s="158" t="s">
        <v>12</v>
      </c>
      <c r="I151" s="583"/>
      <c r="J151" s="583"/>
      <c r="K151" s="93"/>
      <c r="L151" s="93">
        <f t="shared" ca="1" si="80"/>
        <v>10000</v>
      </c>
      <c r="M151" s="93">
        <f t="shared" ca="1" si="80"/>
        <v>10000</v>
      </c>
      <c r="N151" s="93">
        <f t="shared" ca="1" si="80"/>
        <v>0</v>
      </c>
      <c r="O151" s="93">
        <f t="shared" ca="1" si="78"/>
        <v>0</v>
      </c>
      <c r="P151" s="93">
        <f t="shared" ca="1" si="79"/>
        <v>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>
      <c r="A152" s="159"/>
      <c r="B152" s="33"/>
      <c r="C152" s="281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65">
        <f t="shared" ref="L152:N152" ca="1" si="81">L153+L154</f>
        <v>10000</v>
      </c>
      <c r="M152" s="465">
        <f t="shared" ca="1" si="81"/>
        <v>10000</v>
      </c>
      <c r="N152" s="465">
        <f t="shared" ca="1" si="81"/>
        <v>0</v>
      </c>
      <c r="O152" s="465">
        <f t="shared" ca="1" si="78"/>
        <v>0</v>
      </c>
      <c r="P152" s="465">
        <f t="shared" ca="1" si="79"/>
        <v>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2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2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IFERROR(__xludf.DUMMYFUNCTION("IMPORTRANGE(""https://docs.google.com/spreadsheets/d/1MeEWN-I1oV_STSDYn1IFDPWt_1FKiwhDph83XaGc0o0/edit?usp=sharing"",""งบพรบ!BU20"")"),10000)</f>
        <v>10000</v>
      </c>
      <c r="M154" s="93">
        <f ca="1">IFERROR(__xludf.DUMMYFUNCTION("IMPORTRANGE(""https://docs.google.com/spreadsheets/d/1MeEWN-I1oV_STSDYn1IFDPWt_1FKiwhDph83XaGc0o0/edit?usp=sharing"",""งบพรบ!BZ20"")"),10000)</f>
        <v>10000</v>
      </c>
      <c r="N154" s="93">
        <f ca="1">IFERROR(__xludf.DUMMYFUNCTION("IMPORTRANGE(""https://docs.google.com/spreadsheets/d/1MeEWN-I1oV_STSDYn1IFDPWt_1FKiwhDph83XaGc0o0/edit?usp=sharing"",""งบพรบ!CB20"")"),0)</f>
        <v>0</v>
      </c>
      <c r="O154" s="93">
        <f t="shared" ca="1" si="78"/>
        <v>0</v>
      </c>
      <c r="P154" s="93">
        <f t="shared" ca="1" si="79"/>
        <v>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>
      <c r="A155" s="159"/>
      <c r="B155" s="33"/>
      <c r="C155" s="281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65">
        <f t="shared" ref="L155:N155" ca="1" si="82">L156+L157</f>
        <v>0</v>
      </c>
      <c r="M155" s="465">
        <f t="shared" ca="1" si="82"/>
        <v>0</v>
      </c>
      <c r="N155" s="465">
        <f t="shared" ca="1" si="82"/>
        <v>0</v>
      </c>
      <c r="O155" s="465">
        <f t="shared" ca="1" si="78"/>
        <v>0</v>
      </c>
      <c r="P155" s="465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2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2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IFERROR(__xludf.DUMMYFUNCTION("IMPORTRANGE(""https://docs.google.com/spreadsheets/d/1MeEWN-I1oV_STSDYn1IFDPWt_1FKiwhDph83XaGc0o0/edit?usp=sharing"",""งบพรบ!BX20"")"),0)</f>
        <v>0</v>
      </c>
      <c r="M157" s="93">
        <f ca="1">IFERROR(__xludf.DUMMYFUNCTION("IMPORTRANGE(""https://docs.google.com/spreadsheets/d/1MeEWN-I1oV_STSDYn1IFDPWt_1FKiwhDph83XaGc0o0/edit?usp=sharing"",""งบพรบ!CA20"")"),0)</f>
        <v>0</v>
      </c>
      <c r="N157" s="93">
        <f ca="1">IFERROR(__xludf.DUMMYFUNCTION("IMPORTRANGE(""https://docs.google.com/spreadsheets/d/1MeEWN-I1oV_STSDYn1IFDPWt_1FKiwhDph83XaGc0o0/edit?usp=sharing"",""งบพรบ!CC20"")"),0)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>
      <c r="A158" s="170"/>
      <c r="B158" s="171"/>
      <c r="C158" s="164" t="s">
        <v>16</v>
      </c>
      <c r="D158" s="818" t="s">
        <v>38</v>
      </c>
      <c r="E158" s="173"/>
      <c r="F158" s="173"/>
      <c r="G158" s="174"/>
      <c r="H158" s="168"/>
      <c r="I158" s="269"/>
      <c r="J158" s="269"/>
      <c r="K158" s="465"/>
      <c r="L158" s="465"/>
      <c r="M158" s="465"/>
      <c r="N158" s="465"/>
      <c r="O158" s="465"/>
      <c r="P158" s="465"/>
    </row>
    <row r="159" spans="1:26" ht="19.5">
      <c r="A159" s="159"/>
      <c r="B159" s="33"/>
      <c r="C159" s="210"/>
      <c r="D159" s="281" t="s">
        <v>78</v>
      </c>
      <c r="E159" s="34"/>
      <c r="F159" s="33"/>
      <c r="G159" s="213"/>
      <c r="H159" s="168" t="s">
        <v>35</v>
      </c>
      <c r="I159" s="269">
        <f ca="1">IFERROR(__xludf.DUMMYFUNCTION("IMPORTRANGE(""https://docs.google.com/spreadsheets/d/1QqKyyYR6Q21VydFLVH3TRQUabQu_ym0Zz7PgGX0-kHA/edit?usp=sharing"",""แผน!X20"")"),20)</f>
        <v>20</v>
      </c>
      <c r="J159" s="214">
        <v>0</v>
      </c>
      <c r="K159" s="465">
        <f ca="1">IF(I159&gt;0,J159*100/I159,0)</f>
        <v>0</v>
      </c>
      <c r="L159" s="465"/>
      <c r="M159" s="465"/>
      <c r="N159" s="465"/>
      <c r="O159" s="465"/>
      <c r="P159" s="465"/>
    </row>
    <row r="160" spans="1:26" ht="19.5" hidden="1">
      <c r="A160" s="156"/>
      <c r="B160" s="40"/>
      <c r="C160" s="164"/>
      <c r="D160" s="222" t="s">
        <v>79</v>
      </c>
      <c r="E160" s="223"/>
      <c r="F160" s="40"/>
      <c r="G160" s="157"/>
      <c r="H160" s="169" t="s">
        <v>35</v>
      </c>
      <c r="I160" s="583"/>
      <c r="J160" s="583"/>
      <c r="K160" s="93"/>
      <c r="L160" s="93"/>
      <c r="M160" s="93"/>
      <c r="N160" s="93"/>
      <c r="O160" s="93"/>
      <c r="P160" s="93"/>
      <c r="Q160" s="224"/>
      <c r="R160" s="224"/>
      <c r="S160" s="224"/>
      <c r="T160" s="224"/>
      <c r="U160" s="224"/>
      <c r="V160" s="224"/>
      <c r="W160" s="224"/>
      <c r="X160" s="224"/>
      <c r="Y160" s="224"/>
      <c r="Z160" s="224"/>
    </row>
    <row r="161" spans="1:26" ht="19.5" hidden="1">
      <c r="A161" s="225"/>
      <c r="B161" s="226"/>
      <c r="C161" s="227"/>
      <c r="D161" s="228" t="s">
        <v>80</v>
      </c>
      <c r="E161" s="820"/>
      <c r="F161" s="226"/>
      <c r="G161" s="230"/>
      <c r="H161" s="231" t="s">
        <v>35</v>
      </c>
      <c r="I161" s="232"/>
      <c r="J161" s="232"/>
      <c r="K161" s="233"/>
      <c r="L161" s="233"/>
      <c r="M161" s="233"/>
      <c r="N161" s="233"/>
      <c r="O161" s="233"/>
      <c r="P161" s="233"/>
      <c r="Q161" s="224"/>
      <c r="R161" s="224"/>
      <c r="S161" s="224"/>
      <c r="T161" s="224"/>
      <c r="U161" s="224"/>
      <c r="V161" s="224"/>
      <c r="W161" s="224"/>
      <c r="X161" s="224"/>
      <c r="Y161" s="224"/>
      <c r="Z161" s="224"/>
    </row>
    <row r="162" spans="1:26" ht="19.5">
      <c r="A162" s="234" t="s">
        <v>81</v>
      </c>
      <c r="B162" s="235"/>
      <c r="C162" s="235"/>
      <c r="D162" s="235"/>
      <c r="E162" s="236"/>
      <c r="F162" s="236"/>
      <c r="G162" s="237"/>
      <c r="H162" s="238"/>
      <c r="I162" s="239"/>
      <c r="J162" s="239"/>
      <c r="K162" s="240"/>
      <c r="L162" s="240"/>
      <c r="M162" s="240"/>
      <c r="N162" s="240"/>
      <c r="O162" s="240"/>
      <c r="P162" s="240"/>
    </row>
    <row r="163" spans="1:26" ht="19.5">
      <c r="A163" s="241" t="s">
        <v>82</v>
      </c>
      <c r="B163" s="242"/>
      <c r="C163" s="242"/>
      <c r="D163" s="243"/>
      <c r="E163" s="243"/>
      <c r="F163" s="243"/>
      <c r="G163" s="244"/>
      <c r="H163" s="245"/>
      <c r="I163" s="246"/>
      <c r="J163" s="246"/>
      <c r="K163" s="247"/>
      <c r="L163" s="247"/>
      <c r="M163" s="247"/>
      <c r="N163" s="247"/>
      <c r="O163" s="247"/>
      <c r="P163" s="247"/>
    </row>
    <row r="164" spans="1:26" ht="19.5">
      <c r="A164" s="248"/>
      <c r="B164" s="249" t="s">
        <v>83</v>
      </c>
      <c r="C164" s="250"/>
      <c r="D164" s="173"/>
      <c r="E164" s="173"/>
      <c r="F164" s="173"/>
      <c r="G164" s="174"/>
      <c r="H164" s="251" t="s">
        <v>35</v>
      </c>
      <c r="I164" s="252">
        <f t="shared" ref="I164:J164" ca="1" si="83">I174+I177</f>
        <v>12</v>
      </c>
      <c r="J164" s="252">
        <f t="shared" si="83"/>
        <v>0</v>
      </c>
      <c r="K164" s="253">
        <f ca="1">IF(I164&gt;0,J164*100/I164,0)</f>
        <v>0</v>
      </c>
      <c r="L164" s="254"/>
      <c r="M164" s="254"/>
      <c r="N164" s="254"/>
      <c r="O164" s="254"/>
      <c r="P164" s="254"/>
    </row>
    <row r="165" spans="1:26" ht="19.5">
      <c r="A165" s="147"/>
      <c r="B165" s="148"/>
      <c r="C165" s="149" t="s">
        <v>16</v>
      </c>
      <c r="D165" s="817" t="s">
        <v>17</v>
      </c>
      <c r="E165" s="148"/>
      <c r="F165" s="148"/>
      <c r="G165" s="151"/>
      <c r="H165" s="152" t="s">
        <v>12</v>
      </c>
      <c r="I165" s="388"/>
      <c r="J165" s="388"/>
      <c r="K165" s="154"/>
      <c r="L165" s="155">
        <f t="shared" ref="L165:N165" ca="1" si="84">L166+L167</f>
        <v>23060</v>
      </c>
      <c r="M165" s="155">
        <f t="shared" ca="1" si="84"/>
        <v>23060</v>
      </c>
      <c r="N165" s="155">
        <f t="shared" ca="1" si="84"/>
        <v>0</v>
      </c>
      <c r="O165" s="155">
        <f t="shared" ref="O165:O173" ca="1" si="85">IF(L165&gt;0,N165*100/L165,0)</f>
        <v>0</v>
      </c>
      <c r="P165" s="155">
        <f t="shared" ref="P165:P173" ca="1" si="86">IF(M165&gt;0,N165*100/M165,0)</f>
        <v>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2" t="s">
        <v>18</v>
      </c>
      <c r="F166" s="40"/>
      <c r="G166" s="157"/>
      <c r="H166" s="158" t="s">
        <v>12</v>
      </c>
      <c r="I166" s="583"/>
      <c r="J166" s="583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2" t="s">
        <v>19</v>
      </c>
      <c r="F167" s="40"/>
      <c r="G167" s="157"/>
      <c r="H167" s="158" t="s">
        <v>12</v>
      </c>
      <c r="I167" s="583"/>
      <c r="J167" s="583"/>
      <c r="K167" s="93"/>
      <c r="L167" s="93">
        <f t="shared" ca="1" si="87"/>
        <v>23060</v>
      </c>
      <c r="M167" s="93">
        <f t="shared" ca="1" si="87"/>
        <v>23060</v>
      </c>
      <c r="N167" s="93">
        <f t="shared" ca="1" si="87"/>
        <v>0</v>
      </c>
      <c r="O167" s="93">
        <f t="shared" ca="1" si="85"/>
        <v>0</v>
      </c>
      <c r="P167" s="93">
        <f t="shared" ca="1" si="86"/>
        <v>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1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65">
        <f t="shared" ref="L168:N168" ca="1" si="88">L169+L170</f>
        <v>23060</v>
      </c>
      <c r="M168" s="465">
        <f t="shared" ca="1" si="88"/>
        <v>23060</v>
      </c>
      <c r="N168" s="465">
        <f t="shared" ca="1" si="88"/>
        <v>0</v>
      </c>
      <c r="O168" s="465">
        <f t="shared" ca="1" si="85"/>
        <v>0</v>
      </c>
      <c r="P168" s="465">
        <f t="shared" ca="1" si="86"/>
        <v>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2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2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IFERROR(__xludf.DUMMYFUNCTION("IMPORTRANGE(""https://docs.google.com/spreadsheets/d/1MeEWN-I1oV_STSDYn1IFDPWt_1FKiwhDph83XaGc0o0/edit?usp=sharing"",""งบพรบ!CE20"")"),23060)</f>
        <v>23060</v>
      </c>
      <c r="M170" s="93">
        <f ca="1">IFERROR(__xludf.DUMMYFUNCTION("IMPORTRANGE(""https://docs.google.com/spreadsheets/d/1MeEWN-I1oV_STSDYn1IFDPWt_1FKiwhDph83XaGc0o0/edit?usp=sharing"",""งบพรบ!CJ20"")"),23060)</f>
        <v>23060</v>
      </c>
      <c r="N170" s="93">
        <f ca="1">IFERROR(__xludf.DUMMYFUNCTION("IMPORTRANGE(""https://docs.google.com/spreadsheets/d/1MeEWN-I1oV_STSDYn1IFDPWt_1FKiwhDph83XaGc0o0/edit?usp=sharing"",""งบพรบ!CL20"")"),0)</f>
        <v>0</v>
      </c>
      <c r="O170" s="93">
        <f t="shared" ca="1" si="85"/>
        <v>0</v>
      </c>
      <c r="P170" s="93">
        <f t="shared" ca="1" si="86"/>
        <v>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1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65">
        <f t="shared" ref="L171:N171" ca="1" si="89">L172+L173</f>
        <v>0</v>
      </c>
      <c r="M171" s="465">
        <f t="shared" ca="1" si="89"/>
        <v>0</v>
      </c>
      <c r="N171" s="465">
        <f t="shared" ca="1" si="89"/>
        <v>0</v>
      </c>
      <c r="O171" s="465">
        <f t="shared" ca="1" si="85"/>
        <v>0</v>
      </c>
      <c r="P171" s="465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2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2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IFERROR(__xludf.DUMMYFUNCTION("IMPORTRANGE(""https://docs.google.com/spreadsheets/d/1MeEWN-I1oV_STSDYn1IFDPWt_1FKiwhDph83XaGc0o0/edit?usp=sharing"",""งบพรบ!CH20"")"),0)</f>
        <v>0</v>
      </c>
      <c r="M173" s="93">
        <f ca="1">IFERROR(__xludf.DUMMYFUNCTION("IMPORTRANGE(""https://docs.google.com/spreadsheets/d/1MeEWN-I1oV_STSDYn1IFDPWt_1FKiwhDph83XaGc0o0/edit?usp=sharing"",""งบพรบ!CK20"")"),0)</f>
        <v>0</v>
      </c>
      <c r="N173" s="93">
        <f ca="1">IFERROR(__xludf.DUMMYFUNCTION("IMPORTRANGE(""https://docs.google.com/spreadsheets/d/1MeEWN-I1oV_STSDYn1IFDPWt_1FKiwhDph83XaGc0o0/edit?usp=sharing"",""งบพรบ!CM20"")"),0)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5"/>
      <c r="B174" s="256"/>
      <c r="C174" s="257" t="s">
        <v>84</v>
      </c>
      <c r="D174" s="256"/>
      <c r="E174" s="256"/>
      <c r="F174" s="256"/>
      <c r="G174" s="258"/>
      <c r="H174" s="259" t="s">
        <v>35</v>
      </c>
      <c r="I174" s="260">
        <f t="shared" ref="I174:J174" ca="1" si="90">I176</f>
        <v>12</v>
      </c>
      <c r="J174" s="260">
        <f t="shared" si="90"/>
        <v>0</v>
      </c>
      <c r="K174" s="261">
        <f ca="1">IF(I174&gt;0,J174*100/I174,0)</f>
        <v>0</v>
      </c>
      <c r="L174" s="261"/>
      <c r="M174" s="261"/>
      <c r="N174" s="261"/>
      <c r="O174" s="261"/>
      <c r="P174" s="261"/>
    </row>
    <row r="175" spans="1:26" ht="19.5">
      <c r="A175" s="170"/>
      <c r="B175" s="171"/>
      <c r="C175" s="164" t="s">
        <v>16</v>
      </c>
      <c r="D175" s="818" t="s">
        <v>38</v>
      </c>
      <c r="E175" s="173"/>
      <c r="F175" s="173"/>
      <c r="G175" s="174"/>
      <c r="H175" s="726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10" t="s">
        <v>85</v>
      </c>
      <c r="E176" s="342"/>
      <c r="F176" s="342"/>
      <c r="G176" s="179"/>
      <c r="H176" s="589" t="s">
        <v>35</v>
      </c>
      <c r="I176" s="269">
        <f ca="1">IFERROR(__xludf.DUMMYFUNCTION("IMPORTRANGE(""https://docs.google.com/spreadsheets/d/1QqKyyYR6Q21VydFLVH3TRQUabQu_ym0Zz7PgGX0-kHA/edit?usp=sharing"",""แผน!Y20"")"),12)</f>
        <v>12</v>
      </c>
      <c r="J176" s="214">
        <v>0</v>
      </c>
      <c r="K176" s="163">
        <f ca="1">IF(I176&gt;0,J176*100/I176,0)</f>
        <v>0</v>
      </c>
      <c r="L176" s="163"/>
      <c r="M176" s="163"/>
      <c r="N176" s="163"/>
      <c r="O176" s="163"/>
      <c r="P176" s="163"/>
    </row>
    <row r="177" spans="1:26" ht="19.5" hidden="1">
      <c r="A177" s="255"/>
      <c r="B177" s="263"/>
      <c r="C177" s="264" t="s">
        <v>86</v>
      </c>
      <c r="D177" s="263"/>
      <c r="E177" s="256"/>
      <c r="F177" s="256"/>
      <c r="G177" s="258"/>
      <c r="H177" s="265" t="s">
        <v>35</v>
      </c>
      <c r="I177" s="260"/>
      <c r="J177" s="260">
        <f>J179</f>
        <v>0</v>
      </c>
      <c r="K177" s="261"/>
      <c r="L177" s="261"/>
      <c r="M177" s="261"/>
      <c r="N177" s="261"/>
      <c r="O177" s="261"/>
      <c r="P177" s="261"/>
    </row>
    <row r="178" spans="1:26" ht="19.5" hidden="1">
      <c r="A178" s="170"/>
      <c r="B178" s="171"/>
      <c r="C178" s="164" t="s">
        <v>16</v>
      </c>
      <c r="D178" s="266" t="s">
        <v>38</v>
      </c>
      <c r="E178" s="173"/>
      <c r="F178" s="173"/>
      <c r="G178" s="174"/>
      <c r="H178" s="726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267" t="s">
        <v>87</v>
      </c>
      <c r="E179" s="342"/>
      <c r="F179" s="268"/>
      <c r="G179" s="179"/>
      <c r="H179" s="43" t="s">
        <v>35</v>
      </c>
      <c r="I179" s="269"/>
      <c r="J179" s="269"/>
      <c r="K179" s="163"/>
      <c r="L179" s="163"/>
      <c r="M179" s="163"/>
      <c r="N179" s="163"/>
      <c r="O179" s="163"/>
      <c r="P179" s="163"/>
    </row>
    <row r="180" spans="1:26" ht="19.5">
      <c r="A180" s="248"/>
      <c r="B180" s="249" t="s">
        <v>88</v>
      </c>
      <c r="C180" s="250"/>
      <c r="D180" s="173"/>
      <c r="E180" s="173"/>
      <c r="F180" s="173"/>
      <c r="G180" s="174"/>
      <c r="H180" s="251" t="s">
        <v>35</v>
      </c>
      <c r="I180" s="252"/>
      <c r="J180" s="252">
        <f>J225+J226</f>
        <v>0</v>
      </c>
      <c r="K180" s="253">
        <f>IF(I180&gt;0,J180*100/I180,0)</f>
        <v>0</v>
      </c>
      <c r="L180" s="254"/>
      <c r="M180" s="254"/>
      <c r="N180" s="254"/>
      <c r="O180" s="254"/>
      <c r="P180" s="254"/>
    </row>
    <row r="181" spans="1:26" ht="19.5">
      <c r="A181" s="147"/>
      <c r="B181" s="148"/>
      <c r="C181" s="149" t="s">
        <v>16</v>
      </c>
      <c r="D181" s="817" t="s">
        <v>17</v>
      </c>
      <c r="E181" s="148"/>
      <c r="F181" s="148"/>
      <c r="G181" s="151"/>
      <c r="H181" s="152" t="s">
        <v>12</v>
      </c>
      <c r="I181" s="388"/>
      <c r="J181" s="388"/>
      <c r="K181" s="154"/>
      <c r="L181" s="155">
        <f t="shared" ref="L181:N181" ca="1" si="91">L182+L183</f>
        <v>723180</v>
      </c>
      <c r="M181" s="155">
        <f t="shared" ca="1" si="91"/>
        <v>399880</v>
      </c>
      <c r="N181" s="155">
        <f t="shared" ca="1" si="91"/>
        <v>70253.100000000006</v>
      </c>
      <c r="O181" s="155">
        <f t="shared" ref="O181:O189" ca="1" si="92">IF(L181&gt;0,N181*100/L181,0)</f>
        <v>9.7144694266987486</v>
      </c>
      <c r="P181" s="155">
        <f t="shared" ref="P181:P189" ca="1" si="93">IF(M181&gt;0,N181*100/M181,0)</f>
        <v>17.568545563669105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2" t="s">
        <v>18</v>
      </c>
      <c r="F182" s="40"/>
      <c r="G182" s="157"/>
      <c r="H182" s="158" t="s">
        <v>12</v>
      </c>
      <c r="I182" s="583"/>
      <c r="J182" s="583"/>
      <c r="K182" s="93"/>
      <c r="L182" s="93">
        <f t="shared" ref="L182:N183" si="94">L185+L188</f>
        <v>0</v>
      </c>
      <c r="M182" s="93">
        <f t="shared" si="94"/>
        <v>0</v>
      </c>
      <c r="N182" s="93">
        <f t="shared" si="94"/>
        <v>0</v>
      </c>
      <c r="O182" s="93">
        <f t="shared" si="92"/>
        <v>0</v>
      </c>
      <c r="P182" s="93">
        <f t="shared" si="93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2" t="s">
        <v>19</v>
      </c>
      <c r="F183" s="40"/>
      <c r="G183" s="157"/>
      <c r="H183" s="158" t="s">
        <v>12</v>
      </c>
      <c r="I183" s="583"/>
      <c r="J183" s="583"/>
      <c r="K183" s="93"/>
      <c r="L183" s="93">
        <f t="shared" ca="1" si="94"/>
        <v>723180</v>
      </c>
      <c r="M183" s="93">
        <f t="shared" ca="1" si="94"/>
        <v>399880</v>
      </c>
      <c r="N183" s="93">
        <f t="shared" ca="1" si="94"/>
        <v>70253.100000000006</v>
      </c>
      <c r="O183" s="93">
        <f t="shared" ca="1" si="92"/>
        <v>9.7144694266987486</v>
      </c>
      <c r="P183" s="93">
        <f t="shared" ca="1" si="93"/>
        <v>17.568545563669105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1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65">
        <f t="shared" ref="L184:N184" ca="1" si="95">L185+L186</f>
        <v>723180</v>
      </c>
      <c r="M184" s="465">
        <f t="shared" ca="1" si="95"/>
        <v>399880</v>
      </c>
      <c r="N184" s="465">
        <f t="shared" ca="1" si="95"/>
        <v>70253.100000000006</v>
      </c>
      <c r="O184" s="465">
        <f t="shared" ca="1" si="92"/>
        <v>9.7144694266987486</v>
      </c>
      <c r="P184" s="465">
        <f t="shared" ca="1" si="93"/>
        <v>17.568545563669105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2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2"/>
        <v>0</v>
      </c>
      <c r="P185" s="93">
        <f t="shared" si="93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2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IFERROR(__xludf.DUMMYFUNCTION("IMPORTRANGE(""https://docs.google.com/spreadsheets/d/1MeEWN-I1oV_STSDYn1IFDPWt_1FKiwhDph83XaGc0o0/edit?usp=sharing"",""งบพรบ!CO20"")"),723180)</f>
        <v>723180</v>
      </c>
      <c r="M186" s="93">
        <f ca="1">IFERROR(__xludf.DUMMYFUNCTION("IMPORTRANGE(""https://docs.google.com/spreadsheets/d/1MeEWN-I1oV_STSDYn1IFDPWt_1FKiwhDph83XaGc0o0/edit?usp=sharing"",""งบพรบ!CT20"")"),399880)</f>
        <v>399880</v>
      </c>
      <c r="N186" s="93">
        <f ca="1">IFERROR(__xludf.DUMMYFUNCTION("IMPORTRANGE(""https://docs.google.com/spreadsheets/d/1MeEWN-I1oV_STSDYn1IFDPWt_1FKiwhDph83XaGc0o0/edit?usp=sharing"",""งบพรบ!CV20"")"),70253.1)</f>
        <v>70253.100000000006</v>
      </c>
      <c r="O186" s="93">
        <f t="shared" ca="1" si="92"/>
        <v>9.7144694266987486</v>
      </c>
      <c r="P186" s="93">
        <f t="shared" ca="1" si="93"/>
        <v>17.568545563669105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1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65">
        <f t="shared" ref="L187:N187" ca="1" si="96">L188+L189</f>
        <v>0</v>
      </c>
      <c r="M187" s="465">
        <f t="shared" ca="1" si="96"/>
        <v>0</v>
      </c>
      <c r="N187" s="465">
        <f t="shared" ca="1" si="96"/>
        <v>0</v>
      </c>
      <c r="O187" s="465">
        <f t="shared" ca="1" si="92"/>
        <v>0</v>
      </c>
      <c r="P187" s="465">
        <f t="shared" ca="1" si="93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2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2"/>
        <v>0</v>
      </c>
      <c r="P188" s="93">
        <f t="shared" si="93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2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IFERROR(__xludf.DUMMYFUNCTION("IMPORTRANGE(""https://docs.google.com/spreadsheets/d/1MeEWN-I1oV_STSDYn1IFDPWt_1FKiwhDph83XaGc0o0/edit?usp=sharing"",""งบพรบ!CR20"")"),0)</f>
        <v>0</v>
      </c>
      <c r="M189" s="93">
        <f ca="1">IFERROR(__xludf.DUMMYFUNCTION("IMPORTRANGE(""https://docs.google.com/spreadsheets/d/1MeEWN-I1oV_STSDYn1IFDPWt_1FKiwhDph83XaGc0o0/edit?usp=sharing"",""งบพรบ!CU20"")"),0)</f>
        <v>0</v>
      </c>
      <c r="N189" s="93">
        <f ca="1">IFERROR(__xludf.DUMMYFUNCTION("IMPORTRANGE(""https://docs.google.com/spreadsheets/d/1MeEWN-I1oV_STSDYn1IFDPWt_1FKiwhDph83XaGc0o0/edit?usp=sharing"",""งบพรบ!CW20"")"),0)</f>
        <v>0</v>
      </c>
      <c r="O189" s="93">
        <f t="shared" ca="1" si="92"/>
        <v>0</v>
      </c>
      <c r="P189" s="93">
        <f t="shared" ca="1" si="93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5"/>
      <c r="B190" s="263"/>
      <c r="C190" s="339" t="s">
        <v>89</v>
      </c>
      <c r="D190" s="256"/>
      <c r="E190" s="256"/>
      <c r="F190" s="256"/>
      <c r="G190" s="258"/>
      <c r="H190" s="259" t="s">
        <v>90</v>
      </c>
      <c r="I190" s="271">
        <f t="shared" ref="I190:J190" ca="1" si="97">I193</f>
        <v>4</v>
      </c>
      <c r="J190" s="271">
        <f t="shared" si="97"/>
        <v>0</v>
      </c>
      <c r="K190" s="272">
        <f ca="1">IF(I190&gt;0,J190*100/I190,0)</f>
        <v>0</v>
      </c>
      <c r="L190" s="261"/>
      <c r="M190" s="261"/>
      <c r="N190" s="261"/>
      <c r="O190" s="261"/>
      <c r="P190" s="261"/>
    </row>
    <row r="191" spans="1:26" ht="19.5">
      <c r="A191" s="147"/>
      <c r="B191" s="148"/>
      <c r="C191" s="149" t="s">
        <v>16</v>
      </c>
      <c r="D191" s="822" t="s">
        <v>17</v>
      </c>
      <c r="E191" s="148"/>
      <c r="F191" s="148"/>
      <c r="G191" s="151"/>
      <c r="H191" s="274" t="s">
        <v>12</v>
      </c>
      <c r="I191" s="388"/>
      <c r="J191" s="388"/>
      <c r="K191" s="154"/>
      <c r="L191" s="155">
        <f ca="1">IFERROR(__xludf.DUMMYFUNCTION("IMPORTRANGE(""https://docs.google.com/spreadsheets/d/1QqKyyYR6Q21VydFLVH3TRQUabQu_ym0Zz7PgGX0-kHA/edit?usp=sharing"",""แผน!Z20"")"),6000)</f>
        <v>6000</v>
      </c>
      <c r="M191" s="155"/>
      <c r="N191" s="275">
        <v>0</v>
      </c>
      <c r="O191" s="155">
        <f ca="1">IF(L191&gt;0,N191*100/L191,0)</f>
        <v>0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0" t="s">
        <v>16</v>
      </c>
      <c r="D192" s="818" t="s">
        <v>38</v>
      </c>
      <c r="E192" s="173"/>
      <c r="F192" s="173"/>
      <c r="G192" s="174"/>
      <c r="H192" s="726"/>
      <c r="I192" s="269"/>
      <c r="J192" s="269"/>
      <c r="K192" s="465"/>
      <c r="L192" s="465"/>
      <c r="M192" s="465"/>
      <c r="N192" s="465"/>
      <c r="O192" s="465"/>
      <c r="P192" s="465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15" t="s">
        <v>91</v>
      </c>
      <c r="E193" s="342"/>
      <c r="F193" s="342"/>
      <c r="G193" s="179"/>
      <c r="H193" s="728" t="s">
        <v>90</v>
      </c>
      <c r="I193" s="269">
        <f ca="1">IFERROR(__xludf.DUMMYFUNCTION("IMPORTRANGE(""https://docs.google.com/spreadsheets/d/1QqKyyYR6Q21VydFLVH3TRQUabQu_ym0Zz7PgGX0-kHA/edit?usp=sharing"",""แผน!AC20"")"),4)</f>
        <v>4</v>
      </c>
      <c r="J193" s="214">
        <v>0</v>
      </c>
      <c r="K193" s="465">
        <f ca="1">IF(I193&gt;0,J193*100/I193,0)</f>
        <v>0</v>
      </c>
      <c r="L193" s="465"/>
      <c r="M193" s="465"/>
      <c r="N193" s="465"/>
      <c r="O193" s="465"/>
      <c r="P193" s="465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15" t="s">
        <v>92</v>
      </c>
      <c r="E194" s="342"/>
      <c r="F194" s="342"/>
      <c r="G194" s="179"/>
      <c r="H194" s="276" t="s">
        <v>35</v>
      </c>
      <c r="I194" s="269"/>
      <c r="J194" s="269">
        <f>J195+J196</f>
        <v>0</v>
      </c>
      <c r="K194" s="465"/>
      <c r="L194" s="465"/>
      <c r="M194" s="465"/>
      <c r="N194" s="465"/>
      <c r="O194" s="465"/>
      <c r="P194" s="465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15" t="s">
        <v>93</v>
      </c>
      <c r="F195" s="342"/>
      <c r="G195" s="179"/>
      <c r="H195" s="276" t="s">
        <v>35</v>
      </c>
      <c r="I195" s="269"/>
      <c r="J195" s="214">
        <v>0</v>
      </c>
      <c r="K195" s="465"/>
      <c r="L195" s="465"/>
      <c r="M195" s="465"/>
      <c r="N195" s="465"/>
      <c r="O195" s="465"/>
      <c r="P195" s="465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15" t="s">
        <v>94</v>
      </c>
      <c r="F196" s="342"/>
      <c r="G196" s="179"/>
      <c r="H196" s="276" t="s">
        <v>35</v>
      </c>
      <c r="I196" s="269"/>
      <c r="J196" s="214">
        <v>0</v>
      </c>
      <c r="K196" s="465"/>
      <c r="L196" s="465"/>
      <c r="M196" s="465"/>
      <c r="N196" s="465"/>
      <c r="O196" s="465"/>
      <c r="P196" s="465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5"/>
      <c r="B197" s="263"/>
      <c r="C197" s="339" t="s">
        <v>95</v>
      </c>
      <c r="D197" s="256"/>
      <c r="E197" s="256"/>
      <c r="F197" s="256"/>
      <c r="G197" s="258"/>
      <c r="H197" s="277" t="s">
        <v>96</v>
      </c>
      <c r="I197" s="271">
        <f t="shared" ref="I197:J197" ca="1" si="98">I204</f>
        <v>2</v>
      </c>
      <c r="J197" s="271">
        <f t="shared" si="98"/>
        <v>0</v>
      </c>
      <c r="K197" s="272">
        <f ca="1">IF(I197&gt;0,J197*100/I197,0)</f>
        <v>0</v>
      </c>
      <c r="L197" s="261"/>
      <c r="M197" s="261"/>
      <c r="N197" s="261"/>
      <c r="O197" s="261"/>
      <c r="P197" s="261"/>
    </row>
    <row r="198" spans="1:26" ht="19.5">
      <c r="A198" s="147"/>
      <c r="B198" s="148"/>
      <c r="C198" s="149" t="s">
        <v>16</v>
      </c>
      <c r="D198" s="822" t="s">
        <v>17</v>
      </c>
      <c r="E198" s="148"/>
      <c r="F198" s="148"/>
      <c r="G198" s="151"/>
      <c r="H198" s="274" t="s">
        <v>12</v>
      </c>
      <c r="I198" s="387"/>
      <c r="J198" s="387"/>
      <c r="K198" s="279"/>
      <c r="L198" s="155">
        <f ca="1">L199+L200+L201+L202</f>
        <v>26000</v>
      </c>
      <c r="M198" s="155"/>
      <c r="N198" s="155">
        <f>N199+N200+N201+N202</f>
        <v>0</v>
      </c>
      <c r="O198" s="155">
        <f ca="1">IF(L198&gt;0,N198*100/L198,0)</f>
        <v>0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0"/>
      <c r="C199" s="33"/>
      <c r="D199" s="281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65">
        <f ca="1">IFERROR(__xludf.DUMMYFUNCTION("IMPORTRANGE(""https://docs.google.com/spreadsheets/d/1QqKyyYR6Q21VydFLVH3TRQUabQu_ym0Zz7PgGX0-kHA/edit?usp=sharing"",""แผน!AE20"")"),2000)</f>
        <v>2000</v>
      </c>
      <c r="M199" s="465"/>
      <c r="N199" s="789">
        <v>0</v>
      </c>
      <c r="O199" s="465"/>
      <c r="P199" s="465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3"/>
      <c r="B200" s="280"/>
      <c r="C200" s="210"/>
      <c r="D200" s="281" t="s">
        <v>98</v>
      </c>
      <c r="E200" s="33"/>
      <c r="F200" s="33"/>
      <c r="G200" s="35"/>
      <c r="H200" s="589" t="s">
        <v>12</v>
      </c>
      <c r="I200" s="269"/>
      <c r="J200" s="269"/>
      <c r="K200" s="465"/>
      <c r="L200" s="465">
        <f ca="1">IFERROR(__xludf.DUMMYFUNCTION("IMPORTRANGE(""https://docs.google.com/spreadsheets/d/1QqKyyYR6Q21VydFLVH3TRQUabQu_ym0Zz7PgGX0-kHA/edit?usp=sharing"",""แผน!AF20"")"),16000)</f>
        <v>16000</v>
      </c>
      <c r="M200" s="465"/>
      <c r="N200" s="789">
        <v>0</v>
      </c>
      <c r="O200" s="465"/>
      <c r="P200" s="465"/>
      <c r="Q200" s="285"/>
      <c r="R200" s="285"/>
      <c r="S200" s="285"/>
      <c r="T200" s="285"/>
      <c r="U200" s="285"/>
      <c r="V200" s="285"/>
      <c r="W200" s="285"/>
      <c r="X200" s="285"/>
      <c r="Y200" s="285"/>
      <c r="Z200" s="285"/>
    </row>
    <row r="201" spans="1:26" ht="19.5">
      <c r="A201" s="283"/>
      <c r="B201" s="280"/>
      <c r="C201" s="210"/>
      <c r="D201" s="281" t="s">
        <v>99</v>
      </c>
      <c r="E201" s="33"/>
      <c r="F201" s="33"/>
      <c r="G201" s="35"/>
      <c r="H201" s="589" t="s">
        <v>12</v>
      </c>
      <c r="I201" s="269"/>
      <c r="J201" s="269"/>
      <c r="K201" s="465"/>
      <c r="L201" s="465">
        <f ca="1">IFERROR(__xludf.DUMMYFUNCTION("IMPORTRANGE(""https://docs.google.com/spreadsheets/d/1QqKyyYR6Q21VydFLVH3TRQUabQu_ym0Zz7PgGX0-kHA/edit?usp=sharing"",""แผน!AG20"")"),8000)</f>
        <v>8000</v>
      </c>
      <c r="M201" s="465"/>
      <c r="N201" s="789">
        <v>0</v>
      </c>
      <c r="O201" s="465"/>
      <c r="P201" s="465"/>
      <c r="Q201" s="285"/>
      <c r="R201" s="285"/>
      <c r="S201" s="285"/>
      <c r="T201" s="285"/>
      <c r="U201" s="285"/>
      <c r="V201" s="285"/>
      <c r="W201" s="285"/>
      <c r="X201" s="285"/>
      <c r="Y201" s="285"/>
      <c r="Z201" s="285"/>
    </row>
    <row r="202" spans="1:26" ht="19.5">
      <c r="A202" s="283"/>
      <c r="B202" s="280"/>
      <c r="C202" s="210"/>
      <c r="D202" s="281" t="s">
        <v>100</v>
      </c>
      <c r="E202" s="33"/>
      <c r="F202" s="33"/>
      <c r="G202" s="35"/>
      <c r="H202" s="589" t="s">
        <v>12</v>
      </c>
      <c r="I202" s="269"/>
      <c r="J202" s="269"/>
      <c r="K202" s="465"/>
      <c r="L202" s="465">
        <f ca="1">IFERROR(__xludf.DUMMYFUNCTION("IMPORTRANGE(""https://docs.google.com/spreadsheets/d/1QqKyyYR6Q21VydFLVH3TRQUabQu_ym0Zz7PgGX0-kHA/edit?usp=sharing"",""แผน!AH20"")"),0)</f>
        <v>0</v>
      </c>
      <c r="M202" s="465"/>
      <c r="N202" s="789">
        <v>0</v>
      </c>
      <c r="O202" s="465"/>
      <c r="P202" s="465"/>
      <c r="Q202" s="285"/>
      <c r="R202" s="285"/>
      <c r="S202" s="285"/>
      <c r="T202" s="285"/>
      <c r="U202" s="285"/>
      <c r="V202" s="285"/>
      <c r="W202" s="285"/>
      <c r="X202" s="285"/>
      <c r="Y202" s="285"/>
      <c r="Z202" s="285"/>
    </row>
    <row r="203" spans="1:26" ht="19.5">
      <c r="A203" s="170"/>
      <c r="B203" s="171"/>
      <c r="C203" s="210" t="s">
        <v>16</v>
      </c>
      <c r="D203" s="818" t="s">
        <v>38</v>
      </c>
      <c r="E203" s="173"/>
      <c r="F203" s="173"/>
      <c r="G203" s="174"/>
      <c r="H203" s="726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343" t="s">
        <v>101</v>
      </c>
      <c r="E204" s="342"/>
      <c r="F204" s="342"/>
      <c r="G204" s="179"/>
      <c r="H204" s="726" t="s">
        <v>96</v>
      </c>
      <c r="I204" s="269">
        <f ca="1">IFERROR(__xludf.DUMMYFUNCTION("IMPORTRANGE(""https://docs.google.com/spreadsheets/d/1QqKyyYR6Q21VydFLVH3TRQUabQu_ym0Zz7PgGX0-kHA/edit?usp=sharing"",""แผน!AI20"")"),2)</f>
        <v>2</v>
      </c>
      <c r="J204" s="214">
        <v>0</v>
      </c>
      <c r="K204" s="163">
        <f ca="1">IF(I204&gt;0,J204*100/I204,0)</f>
        <v>0</v>
      </c>
      <c r="L204" s="465"/>
      <c r="M204" s="465"/>
      <c r="N204" s="465"/>
      <c r="O204" s="465"/>
      <c r="P204" s="465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15" t="s">
        <v>59</v>
      </c>
      <c r="E205" s="342"/>
      <c r="F205" s="342"/>
      <c r="G205" s="179"/>
      <c r="H205" s="726"/>
      <c r="I205" s="269"/>
      <c r="J205" s="269"/>
      <c r="K205" s="163"/>
      <c r="L205" s="465"/>
      <c r="M205" s="465"/>
      <c r="N205" s="465"/>
      <c r="O205" s="465"/>
      <c r="P205" s="465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342"/>
      <c r="E206" s="494" t="s">
        <v>102</v>
      </c>
      <c r="F206" s="286"/>
      <c r="G206" s="287"/>
      <c r="H206" s="288" t="s">
        <v>96</v>
      </c>
      <c r="I206" s="269">
        <v>2</v>
      </c>
      <c r="J206" s="214">
        <v>0</v>
      </c>
      <c r="K206" s="163">
        <f t="shared" ref="K206:K208" si="99">IF(I206&gt;0,J206*100/I206,0)</f>
        <v>0</v>
      </c>
      <c r="L206" s="465"/>
      <c r="M206" s="465"/>
      <c r="N206" s="465"/>
      <c r="O206" s="465"/>
      <c r="P206" s="465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15"/>
      <c r="E207" s="415" t="s">
        <v>103</v>
      </c>
      <c r="F207" s="342"/>
      <c r="G207" s="342"/>
      <c r="H207" s="289" t="s">
        <v>104</v>
      </c>
      <c r="I207" s="269">
        <v>0</v>
      </c>
      <c r="J207" s="214">
        <v>0</v>
      </c>
      <c r="K207" s="163">
        <f t="shared" si="99"/>
        <v>0</v>
      </c>
      <c r="L207" s="465"/>
      <c r="M207" s="465"/>
      <c r="N207" s="465"/>
      <c r="O207" s="465"/>
      <c r="P207" s="465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 hidden="1">
      <c r="A208" s="255"/>
      <c r="B208" s="263"/>
      <c r="C208" s="339" t="s">
        <v>105</v>
      </c>
      <c r="D208" s="256"/>
      <c r="E208" s="256"/>
      <c r="F208" s="290"/>
      <c r="G208" s="258"/>
      <c r="H208" s="277" t="s">
        <v>96</v>
      </c>
      <c r="I208" s="271">
        <f t="shared" ref="I208:J208" ca="1" si="100">I215</f>
        <v>0</v>
      </c>
      <c r="J208" s="271">
        <f t="shared" si="100"/>
        <v>0</v>
      </c>
      <c r="K208" s="272">
        <f t="shared" ca="1" si="99"/>
        <v>0</v>
      </c>
      <c r="L208" s="261"/>
      <c r="M208" s="261"/>
      <c r="N208" s="261"/>
      <c r="O208" s="261"/>
      <c r="P208" s="261"/>
    </row>
    <row r="209" spans="1:26" ht="19.5" hidden="1">
      <c r="A209" s="147"/>
      <c r="B209" s="148"/>
      <c r="C209" s="149" t="s">
        <v>16</v>
      </c>
      <c r="D209" s="822" t="s">
        <v>17</v>
      </c>
      <c r="E209" s="148"/>
      <c r="F209" s="148"/>
      <c r="G209" s="151"/>
      <c r="H209" s="274" t="s">
        <v>12</v>
      </c>
      <c r="I209" s="387"/>
      <c r="J209" s="387"/>
      <c r="K209" s="279"/>
      <c r="L209" s="155">
        <f ca="1">L210+L211+L212</f>
        <v>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 hidden="1">
      <c r="A210" s="159"/>
      <c r="B210" s="280"/>
      <c r="C210" s="33"/>
      <c r="D210" s="281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65">
        <f ca="1">IFERROR(__xludf.DUMMYFUNCTION("IMPORTRANGE(""https://docs.google.com/spreadsheets/d/1QqKyyYR6Q21VydFLVH3TRQUabQu_ym0Zz7PgGX0-kHA/edit?usp=sharing"",""แผน!AK20"")"),0)</f>
        <v>0</v>
      </c>
      <c r="M210" s="465"/>
      <c r="N210" s="789">
        <v>0</v>
      </c>
      <c r="O210" s="465"/>
      <c r="P210" s="465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 hidden="1">
      <c r="A211" s="283"/>
      <c r="B211" s="280"/>
      <c r="C211" s="291"/>
      <c r="D211" s="281" t="s">
        <v>99</v>
      </c>
      <c r="E211" s="33"/>
      <c r="F211" s="33"/>
      <c r="G211" s="35"/>
      <c r="H211" s="161" t="s">
        <v>12</v>
      </c>
      <c r="I211" s="269"/>
      <c r="J211" s="269"/>
      <c r="K211" s="465"/>
      <c r="L211" s="465">
        <f ca="1">IFERROR(__xludf.DUMMYFUNCTION("IMPORTRANGE(""https://docs.google.com/spreadsheets/d/1QqKyyYR6Q21VydFLVH3TRQUabQu_ym0Zz7PgGX0-kHA/edit?usp=sharing"",""แผน!AL20"")"),0)</f>
        <v>0</v>
      </c>
      <c r="M211" s="465"/>
      <c r="N211" s="789">
        <v>0</v>
      </c>
      <c r="O211" s="465"/>
      <c r="P211" s="465"/>
      <c r="Q211" s="285"/>
      <c r="R211" s="285"/>
      <c r="S211" s="285"/>
      <c r="T211" s="285"/>
      <c r="U211" s="285"/>
      <c r="V211" s="285"/>
      <c r="W211" s="285"/>
      <c r="X211" s="285"/>
      <c r="Y211" s="285"/>
      <c r="Z211" s="285"/>
    </row>
    <row r="212" spans="1:26" ht="19.5" hidden="1">
      <c r="A212" s="283"/>
      <c r="B212" s="280"/>
      <c r="C212" s="291"/>
      <c r="D212" s="281" t="s">
        <v>98</v>
      </c>
      <c r="E212" s="33"/>
      <c r="F212" s="33"/>
      <c r="G212" s="35"/>
      <c r="H212" s="161" t="s">
        <v>12</v>
      </c>
      <c r="I212" s="269"/>
      <c r="J212" s="269"/>
      <c r="K212" s="465"/>
      <c r="L212" s="465">
        <f ca="1">IFERROR(__xludf.DUMMYFUNCTION("IMPORTRANGE(""https://docs.google.com/spreadsheets/d/1QqKyyYR6Q21VydFLVH3TRQUabQu_ym0Zz7PgGX0-kHA/edit?usp=sharing"",""แผน!AM20"")"),0)</f>
        <v>0</v>
      </c>
      <c r="M212" s="465"/>
      <c r="N212" s="789">
        <v>0</v>
      </c>
      <c r="O212" s="465"/>
      <c r="P212" s="465"/>
      <c r="Q212" s="285"/>
      <c r="R212" s="285"/>
      <c r="S212" s="285"/>
      <c r="T212" s="285"/>
      <c r="U212" s="285"/>
      <c r="V212" s="285"/>
      <c r="W212" s="285"/>
      <c r="X212" s="285"/>
      <c r="Y212" s="285"/>
      <c r="Z212" s="285"/>
    </row>
    <row r="213" spans="1:26" ht="19.5" hidden="1">
      <c r="A213" s="170"/>
      <c r="B213" s="171"/>
      <c r="C213" s="291" t="s">
        <v>16</v>
      </c>
      <c r="D213" s="818" t="s">
        <v>38</v>
      </c>
      <c r="E213" s="173"/>
      <c r="F213" s="173"/>
      <c r="G213" s="174"/>
      <c r="H213" s="726"/>
      <c r="I213" s="184"/>
      <c r="J213" s="269"/>
      <c r="K213" s="465"/>
      <c r="L213" s="465"/>
      <c r="M213" s="465"/>
      <c r="N213" s="465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 hidden="1">
      <c r="A214" s="170"/>
      <c r="B214" s="171"/>
      <c r="C214" s="171"/>
      <c r="D214" s="343" t="s">
        <v>106</v>
      </c>
      <c r="E214" s="342"/>
      <c r="F214" s="342"/>
      <c r="G214" s="179"/>
      <c r="H214" s="726" t="s">
        <v>96</v>
      </c>
      <c r="I214" s="269">
        <f ca="1">IFERROR(__xludf.DUMMYFUNCTION("IMPORTRANGE(""https://docs.google.com/spreadsheets/d/1QqKyyYR6Q21VydFLVH3TRQUabQu_ym0Zz7PgGX0-kHA/edit?usp=sharing"",""แผน!AN20"")"),0)</f>
        <v>0</v>
      </c>
      <c r="J214" s="214">
        <v>0</v>
      </c>
      <c r="K214" s="465">
        <f t="shared" ref="K214:K216" ca="1" si="101">IF(I214&gt;0,J214*100/I214,0)</f>
        <v>0</v>
      </c>
      <c r="L214" s="465"/>
      <c r="M214" s="465"/>
      <c r="N214" s="465"/>
      <c r="O214" s="465"/>
      <c r="P214" s="465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 hidden="1">
      <c r="A215" s="170"/>
      <c r="B215" s="171"/>
      <c r="C215" s="171"/>
      <c r="D215" s="343" t="s">
        <v>107</v>
      </c>
      <c r="E215" s="342"/>
      <c r="F215" s="342"/>
      <c r="G215" s="179"/>
      <c r="H215" s="726" t="s">
        <v>96</v>
      </c>
      <c r="I215" s="269">
        <f ca="1">IFERROR(__xludf.DUMMYFUNCTION("IMPORTRANGE(""https://docs.google.com/spreadsheets/d/1QqKyyYR6Q21VydFLVH3TRQUabQu_ym0Zz7PgGX0-kHA/edit?usp=sharing"",""แผน!AN20"")"),0)</f>
        <v>0</v>
      </c>
      <c r="J215" s="214">
        <v>0</v>
      </c>
      <c r="K215" s="465">
        <f t="shared" ca="1" si="101"/>
        <v>0</v>
      </c>
      <c r="L215" s="465"/>
      <c r="M215" s="465"/>
      <c r="N215" s="465"/>
      <c r="O215" s="465"/>
      <c r="P215" s="465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5"/>
      <c r="B216" s="263"/>
      <c r="C216" s="339" t="s">
        <v>108</v>
      </c>
      <c r="D216" s="256"/>
      <c r="E216" s="256"/>
      <c r="F216" s="290"/>
      <c r="G216" s="258"/>
      <c r="H216" s="259" t="s">
        <v>109</v>
      </c>
      <c r="I216" s="271">
        <f t="shared" ref="I216:J216" ca="1" si="102">I224</f>
        <v>20000</v>
      </c>
      <c r="J216" s="271">
        <f t="shared" si="102"/>
        <v>0</v>
      </c>
      <c r="K216" s="272">
        <f t="shared" ca="1" si="101"/>
        <v>0</v>
      </c>
      <c r="L216" s="261"/>
      <c r="M216" s="261"/>
      <c r="N216" s="261"/>
      <c r="O216" s="261"/>
      <c r="P216" s="261"/>
    </row>
    <row r="217" spans="1:26" ht="19.5">
      <c r="A217" s="147"/>
      <c r="B217" s="148"/>
      <c r="C217" s="149" t="s">
        <v>16</v>
      </c>
      <c r="D217" s="822" t="s">
        <v>17</v>
      </c>
      <c r="E217" s="148"/>
      <c r="F217" s="148"/>
      <c r="G217" s="151"/>
      <c r="H217" s="274" t="s">
        <v>12</v>
      </c>
      <c r="I217" s="387"/>
      <c r="J217" s="387"/>
      <c r="K217" s="279"/>
      <c r="L217" s="155">
        <f ca="1">L218+L219+L220</f>
        <v>18000</v>
      </c>
      <c r="M217" s="155"/>
      <c r="N217" s="155">
        <f>N218+N219+N220</f>
        <v>0</v>
      </c>
      <c r="O217" s="155">
        <f ca="1">IF(L217&gt;0,N217*100/L217,0)</f>
        <v>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0"/>
      <c r="C218" s="33"/>
      <c r="D218" s="281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65">
        <f ca="1">IFERROR(__xludf.DUMMYFUNCTION("IMPORTRANGE(""https://docs.google.com/spreadsheets/d/1QqKyyYR6Q21VydFLVH3TRQUabQu_ym0Zz7PgGX0-kHA/edit?usp=sharing"",""แผน!AP20"")"),3000)</f>
        <v>3000</v>
      </c>
      <c r="M218" s="465"/>
      <c r="N218" s="789">
        <v>0</v>
      </c>
      <c r="O218" s="465"/>
      <c r="P218" s="465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3"/>
      <c r="B219" s="280"/>
      <c r="C219" s="291"/>
      <c r="D219" s="281" t="s">
        <v>110</v>
      </c>
      <c r="E219" s="33"/>
      <c r="F219" s="33"/>
      <c r="G219" s="35"/>
      <c r="H219" s="161" t="s">
        <v>12</v>
      </c>
      <c r="I219" s="269"/>
      <c r="J219" s="269"/>
      <c r="K219" s="465"/>
      <c r="L219" s="465">
        <f ca="1">IFERROR(__xludf.DUMMYFUNCTION("IMPORTRANGE(""https://docs.google.com/spreadsheets/d/1QqKyyYR6Q21VydFLVH3TRQUabQu_ym0Zz7PgGX0-kHA/edit?usp=sharing"",""แผน!AQ20"")"),5000)</f>
        <v>5000</v>
      </c>
      <c r="M219" s="465"/>
      <c r="N219" s="789">
        <v>0</v>
      </c>
      <c r="O219" s="465"/>
      <c r="P219" s="465"/>
      <c r="Q219" s="285"/>
      <c r="R219" s="285"/>
      <c r="S219" s="285"/>
      <c r="T219" s="285"/>
      <c r="U219" s="285"/>
      <c r="V219" s="285"/>
      <c r="W219" s="285"/>
      <c r="X219" s="285"/>
      <c r="Y219" s="285"/>
      <c r="Z219" s="285"/>
    </row>
    <row r="220" spans="1:26" ht="19.5">
      <c r="A220" s="283"/>
      <c r="B220" s="280"/>
      <c r="C220" s="291"/>
      <c r="D220" s="281" t="s">
        <v>98</v>
      </c>
      <c r="E220" s="33"/>
      <c r="F220" s="33"/>
      <c r="G220" s="35"/>
      <c r="H220" s="161" t="s">
        <v>12</v>
      </c>
      <c r="I220" s="269"/>
      <c r="J220" s="269"/>
      <c r="K220" s="465"/>
      <c r="L220" s="465">
        <f ca="1">IFERROR(__xludf.DUMMYFUNCTION("IMPORTRANGE(""https://docs.google.com/spreadsheets/d/1QqKyyYR6Q21VydFLVH3TRQUabQu_ym0Zz7PgGX0-kHA/edit?usp=sharing"",""แผน!AR20"")"),10000)</f>
        <v>10000</v>
      </c>
      <c r="M220" s="465"/>
      <c r="N220" s="789">
        <v>0</v>
      </c>
      <c r="O220" s="465"/>
      <c r="P220" s="465"/>
      <c r="Q220" s="285"/>
      <c r="R220" s="285"/>
      <c r="S220" s="285"/>
      <c r="T220" s="285"/>
      <c r="U220" s="285"/>
      <c r="V220" s="285"/>
      <c r="W220" s="285"/>
      <c r="X220" s="285"/>
      <c r="Y220" s="285"/>
      <c r="Z220" s="285"/>
    </row>
    <row r="221" spans="1:26" ht="19.5">
      <c r="A221" s="170"/>
      <c r="B221" s="171"/>
      <c r="C221" s="291" t="s">
        <v>16</v>
      </c>
      <c r="D221" s="818" t="s">
        <v>38</v>
      </c>
      <c r="E221" s="173"/>
      <c r="F221" s="173"/>
      <c r="G221" s="174"/>
      <c r="H221" s="726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1" t="s">
        <v>111</v>
      </c>
      <c r="E222" s="342"/>
      <c r="F222" s="342"/>
      <c r="G222" s="179"/>
      <c r="H222" s="726"/>
      <c r="I222" s="269"/>
      <c r="J222" s="269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343" t="s">
        <v>112</v>
      </c>
      <c r="F223" s="342"/>
      <c r="G223" s="179"/>
      <c r="H223" s="728" t="s">
        <v>109</v>
      </c>
      <c r="I223" s="269">
        <f ca="1">IFERROR(__xludf.DUMMYFUNCTION("IMPORTRANGE(""https://docs.google.com/spreadsheets/d/1QqKyyYR6Q21VydFLVH3TRQUabQu_ym0Zz7PgGX0-kHA/edit?usp=sharing"",""แผน!AT20"")"),20000)</f>
        <v>20000</v>
      </c>
      <c r="J223" s="214">
        <v>0</v>
      </c>
      <c r="K223" s="163">
        <f t="shared" ref="K223:K226" ca="1" si="103">IF(I223&gt;0,J223*100/I223,0)</f>
        <v>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343" t="s">
        <v>113</v>
      </c>
      <c r="F224" s="342"/>
      <c r="G224" s="179"/>
      <c r="H224" s="728" t="s">
        <v>109</v>
      </c>
      <c r="I224" s="269">
        <f ca="1">IFERROR(__xludf.DUMMYFUNCTION("IMPORTRANGE(""https://docs.google.com/spreadsheets/d/1QqKyyYR6Q21VydFLVH3TRQUabQu_ym0Zz7PgGX0-kHA/edit?usp=sharing"",""แผน!AT20"")"),20000)</f>
        <v>20000</v>
      </c>
      <c r="J224" s="214">
        <v>0</v>
      </c>
      <c r="K224" s="163">
        <f t="shared" ca="1" si="103"/>
        <v>0</v>
      </c>
      <c r="L224" s="465"/>
      <c r="M224" s="465"/>
      <c r="N224" s="465"/>
      <c r="O224" s="465"/>
      <c r="P224" s="465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1" t="s">
        <v>114</v>
      </c>
      <c r="E225" s="342"/>
      <c r="F225" s="342"/>
      <c r="G225" s="179"/>
      <c r="H225" s="728" t="s">
        <v>35</v>
      </c>
      <c r="I225" s="269">
        <f ca="1">IFERROR(__xludf.DUMMYFUNCTION("IMPORTRANGE(""https://docs.google.com/spreadsheets/d/1QqKyyYR6Q21VydFLVH3TRQUabQu_ym0Zz7PgGX0-kHA/edit?usp=sharing"",""แผน!AS20"")"),10)</f>
        <v>10</v>
      </c>
      <c r="J225" s="214">
        <v>0</v>
      </c>
      <c r="K225" s="163">
        <f t="shared" ca="1" si="103"/>
        <v>0</v>
      </c>
      <c r="L225" s="465"/>
      <c r="M225" s="465"/>
      <c r="N225" s="465"/>
      <c r="O225" s="465"/>
      <c r="P225" s="465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5"/>
      <c r="B226" s="263"/>
      <c r="C226" s="823" t="s">
        <v>115</v>
      </c>
      <c r="D226" s="256"/>
      <c r="E226" s="256"/>
      <c r="F226" s="256"/>
      <c r="G226" s="258"/>
      <c r="H226" s="265" t="s">
        <v>35</v>
      </c>
      <c r="I226" s="824">
        <f t="shared" ref="I226:J226" ca="1" si="104">I237+I248</f>
        <v>40</v>
      </c>
      <c r="J226" s="824">
        <f t="shared" si="104"/>
        <v>0</v>
      </c>
      <c r="K226" s="825">
        <f t="shared" ca="1" si="103"/>
        <v>0</v>
      </c>
      <c r="L226" s="261"/>
      <c r="M226" s="261"/>
      <c r="N226" s="261"/>
      <c r="O226" s="261"/>
      <c r="P226" s="261"/>
    </row>
    <row r="227" spans="1:26" ht="19.5" hidden="1">
      <c r="A227" s="826"/>
      <c r="B227" s="827"/>
      <c r="C227" s="828" t="s">
        <v>16</v>
      </c>
      <c r="D227" s="829" t="s">
        <v>17</v>
      </c>
      <c r="E227" s="827"/>
      <c r="F227" s="827"/>
      <c r="G227" s="830"/>
      <c r="H227" s="831" t="s">
        <v>12</v>
      </c>
      <c r="I227" s="832"/>
      <c r="J227" s="832"/>
      <c r="K227" s="833"/>
      <c r="L227" s="834">
        <f t="shared" ref="L227:L231" ca="1" si="105">L238+L249</f>
        <v>389580</v>
      </c>
      <c r="M227" s="834"/>
      <c r="N227" s="834">
        <f t="shared" ref="N227:N231" si="106">N238+N249</f>
        <v>0</v>
      </c>
      <c r="O227" s="835"/>
      <c r="P227" s="835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542"/>
      <c r="C228" s="40"/>
      <c r="D228" s="222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5"/>
        <v>163000</v>
      </c>
      <c r="M228" s="93"/>
      <c r="N228" s="93">
        <f t="shared" si="106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836"/>
      <c r="B229" s="542"/>
      <c r="C229" s="837"/>
      <c r="D229" s="222" t="s">
        <v>98</v>
      </c>
      <c r="E229" s="40"/>
      <c r="F229" s="40"/>
      <c r="G229" s="42"/>
      <c r="H229" s="165" t="s">
        <v>12</v>
      </c>
      <c r="I229" s="583"/>
      <c r="J229" s="583"/>
      <c r="K229" s="93"/>
      <c r="L229" s="93">
        <f t="shared" ca="1" si="105"/>
        <v>166580</v>
      </c>
      <c r="M229" s="93"/>
      <c r="N229" s="93">
        <f t="shared" si="106"/>
        <v>0</v>
      </c>
      <c r="O229" s="93"/>
      <c r="P229" s="93"/>
      <c r="Q229" s="838"/>
      <c r="R229" s="838"/>
      <c r="S229" s="838"/>
      <c r="T229" s="838"/>
      <c r="U229" s="838"/>
      <c r="V229" s="838"/>
      <c r="W229" s="838"/>
      <c r="X229" s="838"/>
      <c r="Y229" s="838"/>
      <c r="Z229" s="838"/>
    </row>
    <row r="230" spans="1:26" ht="19.5" hidden="1">
      <c r="A230" s="836"/>
      <c r="B230" s="542"/>
      <c r="C230" s="837"/>
      <c r="D230" s="222" t="s">
        <v>116</v>
      </c>
      <c r="E230" s="40"/>
      <c r="F230" s="40"/>
      <c r="G230" s="42"/>
      <c r="H230" s="165" t="s">
        <v>12</v>
      </c>
      <c r="I230" s="583"/>
      <c r="J230" s="583"/>
      <c r="K230" s="93"/>
      <c r="L230" s="93">
        <f t="shared" ca="1" si="105"/>
        <v>20000</v>
      </c>
      <c r="M230" s="93"/>
      <c r="N230" s="93">
        <f t="shared" si="106"/>
        <v>0</v>
      </c>
      <c r="O230" s="93"/>
      <c r="P230" s="93"/>
      <c r="Q230" s="838"/>
      <c r="R230" s="838"/>
      <c r="S230" s="838"/>
      <c r="T230" s="838"/>
      <c r="U230" s="838"/>
      <c r="V230" s="838"/>
      <c r="W230" s="838"/>
      <c r="X230" s="838"/>
      <c r="Y230" s="838"/>
      <c r="Z230" s="838"/>
    </row>
    <row r="231" spans="1:26" ht="19.5" hidden="1">
      <c r="A231" s="836"/>
      <c r="B231" s="542"/>
      <c r="C231" s="837"/>
      <c r="D231" s="222" t="s">
        <v>100</v>
      </c>
      <c r="E231" s="40"/>
      <c r="F231" s="40"/>
      <c r="G231" s="42"/>
      <c r="H231" s="165" t="s">
        <v>12</v>
      </c>
      <c r="I231" s="583"/>
      <c r="J231" s="583"/>
      <c r="K231" s="93"/>
      <c r="L231" s="93">
        <f t="shared" ca="1" si="105"/>
        <v>40000</v>
      </c>
      <c r="M231" s="93"/>
      <c r="N231" s="93">
        <f t="shared" si="106"/>
        <v>0</v>
      </c>
      <c r="O231" s="93"/>
      <c r="P231" s="93"/>
      <c r="Q231" s="838"/>
      <c r="R231" s="838"/>
      <c r="S231" s="838"/>
      <c r="T231" s="838"/>
      <c r="U231" s="838"/>
      <c r="V231" s="838"/>
      <c r="W231" s="838"/>
      <c r="X231" s="838"/>
      <c r="Y231" s="838"/>
      <c r="Z231" s="838"/>
    </row>
    <row r="232" spans="1:26" ht="19.5" hidden="1">
      <c r="A232" s="839"/>
      <c r="B232" s="840"/>
      <c r="C232" s="837" t="s">
        <v>16</v>
      </c>
      <c r="D232" s="266" t="s">
        <v>38</v>
      </c>
      <c r="E232" s="841"/>
      <c r="F232" s="841"/>
      <c r="G232" s="842"/>
      <c r="H232" s="581"/>
      <c r="I232" s="166"/>
      <c r="J232" s="583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839"/>
      <c r="B233" s="840"/>
      <c r="C233" s="840"/>
      <c r="D233" s="268" t="s">
        <v>117</v>
      </c>
      <c r="E233" s="536"/>
      <c r="F233" s="536"/>
      <c r="G233" s="843"/>
      <c r="H233" s="582" t="s">
        <v>35</v>
      </c>
      <c r="I233" s="583">
        <f t="shared" ref="I233:J233" ca="1" si="107">I244+I255</f>
        <v>40</v>
      </c>
      <c r="J233" s="583">
        <f t="shared" si="107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839"/>
      <c r="B234" s="840"/>
      <c r="C234" s="840"/>
      <c r="D234" s="844" t="s">
        <v>43</v>
      </c>
      <c r="E234" s="536"/>
      <c r="F234" s="536"/>
      <c r="G234" s="843"/>
      <c r="H234" s="582"/>
      <c r="I234" s="583"/>
      <c r="J234" s="583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839"/>
      <c r="B235" s="840"/>
      <c r="C235" s="840"/>
      <c r="D235" s="840"/>
      <c r="E235" s="267" t="s">
        <v>118</v>
      </c>
      <c r="F235" s="536"/>
      <c r="G235" s="843"/>
      <c r="H235" s="582" t="s">
        <v>35</v>
      </c>
      <c r="I235" s="583">
        <f t="shared" ref="I235:J236" si="108">I246+I257</f>
        <v>40</v>
      </c>
      <c r="J235" s="583">
        <f t="shared" si="108"/>
        <v>0</v>
      </c>
      <c r="K235" s="93">
        <f t="shared" ref="K235:K237" si="109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839"/>
      <c r="B236" s="840"/>
      <c r="C236" s="840"/>
      <c r="D236" s="840"/>
      <c r="E236" s="267" t="s">
        <v>119</v>
      </c>
      <c r="F236" s="536"/>
      <c r="G236" s="843"/>
      <c r="H236" s="582" t="s">
        <v>69</v>
      </c>
      <c r="I236" s="583">
        <f t="shared" si="108"/>
        <v>1</v>
      </c>
      <c r="J236" s="583">
        <f t="shared" si="108"/>
        <v>0</v>
      </c>
      <c r="K236" s="93">
        <f t="shared" si="109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>
      <c r="A237" s="255"/>
      <c r="B237" s="263"/>
      <c r="C237" s="339" t="s">
        <v>342</v>
      </c>
      <c r="D237" s="256"/>
      <c r="E237" s="256"/>
      <c r="F237" s="256"/>
      <c r="G237" s="258"/>
      <c r="H237" s="259" t="s">
        <v>35</v>
      </c>
      <c r="I237" s="271">
        <f t="shared" ref="I237:J237" ca="1" si="110">I244</f>
        <v>40</v>
      </c>
      <c r="J237" s="271">
        <f t="shared" si="110"/>
        <v>0</v>
      </c>
      <c r="K237" s="272">
        <f t="shared" ca="1" si="109"/>
        <v>0</v>
      </c>
      <c r="L237" s="261"/>
      <c r="M237" s="261"/>
      <c r="N237" s="261"/>
      <c r="O237" s="261"/>
      <c r="P237" s="261"/>
    </row>
    <row r="238" spans="1:26" ht="19.5">
      <c r="A238" s="147"/>
      <c r="B238" s="148"/>
      <c r="C238" s="149" t="s">
        <v>16</v>
      </c>
      <c r="D238" s="817" t="s">
        <v>17</v>
      </c>
      <c r="E238" s="148"/>
      <c r="F238" s="148"/>
      <c r="G238" s="151"/>
      <c r="H238" s="274" t="s">
        <v>12</v>
      </c>
      <c r="I238" s="387"/>
      <c r="J238" s="387"/>
      <c r="K238" s="279"/>
      <c r="L238" s="155">
        <f ca="1">L239+L240+L241+L242</f>
        <v>389580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>
      <c r="A239" s="313"/>
      <c r="B239" s="314"/>
      <c r="C239" s="315"/>
      <c r="D239" s="324" t="s">
        <v>97</v>
      </c>
      <c r="E239" s="315"/>
      <c r="F239" s="315"/>
      <c r="G239" s="317"/>
      <c r="H239" s="318" t="s">
        <v>12</v>
      </c>
      <c r="I239" s="319"/>
      <c r="J239" s="319"/>
      <c r="K239" s="320"/>
      <c r="L239" s="321">
        <f ca="1">IFERROR(__xludf.DUMMYFUNCTION("IMPORTRANGE(""https://docs.google.com/spreadsheets/d/1QqKyyYR6Q21VydFLVH3TRQUabQu_ym0Zz7PgGX0-kHA/edit?usp=sharing"",""แผน!AV20"")"),163000)</f>
        <v>163000</v>
      </c>
      <c r="M239" s="321"/>
      <c r="N239" s="340">
        <v>0</v>
      </c>
      <c r="O239" s="321"/>
      <c r="P239" s="321"/>
      <c r="Q239" s="312"/>
      <c r="R239" s="312"/>
      <c r="S239" s="312"/>
      <c r="T239" s="312"/>
      <c r="U239" s="312"/>
      <c r="V239" s="312"/>
      <c r="W239" s="312"/>
      <c r="X239" s="312"/>
      <c r="Y239" s="312"/>
      <c r="Z239" s="312"/>
    </row>
    <row r="240" spans="1:26" ht="19.5">
      <c r="A240" s="322"/>
      <c r="B240" s="314"/>
      <c r="C240" s="323"/>
      <c r="D240" s="324" t="s">
        <v>98</v>
      </c>
      <c r="E240" s="315"/>
      <c r="F240" s="315"/>
      <c r="G240" s="317"/>
      <c r="H240" s="318" t="s">
        <v>12</v>
      </c>
      <c r="I240" s="325"/>
      <c r="J240" s="325"/>
      <c r="K240" s="321"/>
      <c r="L240" s="321">
        <f ca="1">IFERROR(__xludf.DUMMYFUNCTION("IMPORTRANGE(""https://docs.google.com/spreadsheets/d/1QqKyyYR6Q21VydFLVH3TRQUabQu_ym0Zz7PgGX0-kHA/edit?usp=sharing"",""แผน!AW20"")"),166580)</f>
        <v>166580</v>
      </c>
      <c r="M240" s="321"/>
      <c r="N240" s="340">
        <v>0</v>
      </c>
      <c r="O240" s="321"/>
      <c r="P240" s="321"/>
      <c r="Q240" s="326"/>
      <c r="R240" s="326"/>
      <c r="S240" s="326"/>
      <c r="T240" s="326"/>
      <c r="U240" s="326"/>
      <c r="V240" s="326"/>
      <c r="W240" s="326"/>
      <c r="X240" s="326"/>
      <c r="Y240" s="326"/>
      <c r="Z240" s="326"/>
    </row>
    <row r="241" spans="1:26" ht="19.5">
      <c r="A241" s="322"/>
      <c r="B241" s="314"/>
      <c r="C241" s="323"/>
      <c r="D241" s="324" t="s">
        <v>116</v>
      </c>
      <c r="E241" s="315"/>
      <c r="F241" s="315"/>
      <c r="G241" s="317"/>
      <c r="H241" s="318" t="s">
        <v>12</v>
      </c>
      <c r="I241" s="325"/>
      <c r="J241" s="325"/>
      <c r="K241" s="321"/>
      <c r="L241" s="321">
        <f ca="1">IFERROR(__xludf.DUMMYFUNCTION("IMPORTRANGE(""https://docs.google.com/spreadsheets/d/1QqKyyYR6Q21VydFLVH3TRQUabQu_ym0Zz7PgGX0-kHA/edit?usp=sharing"",""แผน!AX20"")"),20000)</f>
        <v>20000</v>
      </c>
      <c r="M241" s="321"/>
      <c r="N241" s="340">
        <v>0</v>
      </c>
      <c r="O241" s="321"/>
      <c r="P241" s="321"/>
      <c r="Q241" s="326"/>
      <c r="R241" s="326"/>
      <c r="S241" s="326"/>
      <c r="T241" s="326"/>
      <c r="U241" s="326"/>
      <c r="V241" s="326"/>
      <c r="W241" s="326"/>
      <c r="X241" s="326"/>
      <c r="Y241" s="326"/>
      <c r="Z241" s="326"/>
    </row>
    <row r="242" spans="1:26" ht="19.5">
      <c r="A242" s="322"/>
      <c r="B242" s="314"/>
      <c r="C242" s="323"/>
      <c r="D242" s="324" t="s">
        <v>100</v>
      </c>
      <c r="E242" s="315"/>
      <c r="F242" s="315"/>
      <c r="G242" s="317"/>
      <c r="H242" s="318" t="s">
        <v>12</v>
      </c>
      <c r="I242" s="325"/>
      <c r="J242" s="325"/>
      <c r="K242" s="321"/>
      <c r="L242" s="321">
        <f ca="1">IFERROR(__xludf.DUMMYFUNCTION("IMPORTRANGE(""https://docs.google.com/spreadsheets/d/1QqKyyYR6Q21VydFLVH3TRQUabQu_ym0Zz7PgGX0-kHA/edit?usp=sharing"",""แผน!AY20"")"),40000)</f>
        <v>40000</v>
      </c>
      <c r="M242" s="321"/>
      <c r="N242" s="340">
        <v>0</v>
      </c>
      <c r="O242" s="321"/>
      <c r="P242" s="321"/>
      <c r="Q242" s="326"/>
      <c r="R242" s="326"/>
      <c r="S242" s="326"/>
      <c r="T242" s="326"/>
      <c r="U242" s="326"/>
      <c r="V242" s="326"/>
      <c r="W242" s="326"/>
      <c r="X242" s="326"/>
      <c r="Y242" s="326"/>
      <c r="Z242" s="326"/>
    </row>
    <row r="243" spans="1:26" ht="19.5">
      <c r="A243" s="170"/>
      <c r="B243" s="171"/>
      <c r="C243" s="291" t="s">
        <v>16</v>
      </c>
      <c r="D243" s="818" t="s">
        <v>38</v>
      </c>
      <c r="E243" s="173"/>
      <c r="F243" s="173"/>
      <c r="G243" s="174"/>
      <c r="H243" s="726"/>
      <c r="I243" s="184"/>
      <c r="J243" s="269"/>
      <c r="K243" s="465"/>
      <c r="L243" s="465"/>
      <c r="M243" s="465"/>
      <c r="N243" s="465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>
      <c r="A244" s="170"/>
      <c r="B244" s="171"/>
      <c r="C244" s="171"/>
      <c r="D244" s="415" t="s">
        <v>117</v>
      </c>
      <c r="E244" s="342"/>
      <c r="F244" s="342"/>
      <c r="G244" s="179"/>
      <c r="H244" s="728" t="s">
        <v>35</v>
      </c>
      <c r="I244" s="269">
        <f ca="1">IFERROR(__xludf.DUMMYFUNCTION("IMPORTRANGE(""https://docs.google.com/spreadsheets/d/1QqKyyYR6Q21VydFLVH3TRQUabQu_ym0Zz7PgGX0-kHA/edit?usp=sharing"",""แผน!BE20"")"),40)</f>
        <v>40</v>
      </c>
      <c r="J244" s="214">
        <v>0</v>
      </c>
      <c r="K244" s="465">
        <f ca="1">IF(I244&gt;0,J244*100/I244,0)</f>
        <v>0</v>
      </c>
      <c r="L244" s="465"/>
      <c r="M244" s="465"/>
      <c r="N244" s="465"/>
      <c r="O244" s="465"/>
      <c r="P244" s="465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>
      <c r="A245" s="170"/>
      <c r="B245" s="171"/>
      <c r="C245" s="171"/>
      <c r="D245" s="341" t="s">
        <v>43</v>
      </c>
      <c r="E245" s="342"/>
      <c r="F245" s="342"/>
      <c r="G245" s="179"/>
      <c r="H245" s="728"/>
      <c r="I245" s="269"/>
      <c r="J245" s="269"/>
      <c r="K245" s="465"/>
      <c r="L245" s="465"/>
      <c r="M245" s="465"/>
      <c r="N245" s="465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>
      <c r="A246" s="170"/>
      <c r="B246" s="171"/>
      <c r="C246" s="171"/>
      <c r="D246" s="171"/>
      <c r="E246" s="343" t="s">
        <v>118</v>
      </c>
      <c r="F246" s="342"/>
      <c r="G246" s="179"/>
      <c r="H246" s="728" t="s">
        <v>35</v>
      </c>
      <c r="I246" s="269">
        <v>40</v>
      </c>
      <c r="J246" s="214">
        <v>0</v>
      </c>
      <c r="K246" s="465">
        <f t="shared" ref="K246:K248" si="111">IF(I246&gt;0,J246*100/I246,0)</f>
        <v>0</v>
      </c>
      <c r="L246" s="465"/>
      <c r="M246" s="465"/>
      <c r="N246" s="465"/>
      <c r="O246" s="465"/>
      <c r="P246" s="465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>
      <c r="A247" s="170"/>
      <c r="B247" s="171"/>
      <c r="C247" s="171"/>
      <c r="D247" s="171"/>
      <c r="E247" s="343" t="s">
        <v>119</v>
      </c>
      <c r="F247" s="342"/>
      <c r="G247" s="179"/>
      <c r="H247" s="728" t="s">
        <v>69</v>
      </c>
      <c r="I247" s="269">
        <v>1</v>
      </c>
      <c r="J247" s="214">
        <v>0</v>
      </c>
      <c r="K247" s="465">
        <f t="shared" si="111"/>
        <v>0</v>
      </c>
      <c r="L247" s="465"/>
      <c r="M247" s="465"/>
      <c r="N247" s="465"/>
      <c r="O247" s="465"/>
      <c r="P247" s="465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5"/>
      <c r="B248" s="263"/>
      <c r="C248" s="339" t="s">
        <v>331</v>
      </c>
      <c r="D248" s="256"/>
      <c r="E248" s="256"/>
      <c r="F248" s="256"/>
      <c r="G248" s="258"/>
      <c r="H248" s="259" t="s">
        <v>35</v>
      </c>
      <c r="I248" s="271">
        <f t="shared" ref="I248:J248" ca="1" si="112">I255</f>
        <v>0</v>
      </c>
      <c r="J248" s="271">
        <f t="shared" si="112"/>
        <v>0</v>
      </c>
      <c r="K248" s="272">
        <f t="shared" ca="1" si="111"/>
        <v>0</v>
      </c>
      <c r="L248" s="261"/>
      <c r="M248" s="261"/>
      <c r="N248" s="261"/>
      <c r="O248" s="261"/>
      <c r="P248" s="261"/>
    </row>
    <row r="249" spans="1:26" ht="19.5" hidden="1">
      <c r="A249" s="147"/>
      <c r="B249" s="148"/>
      <c r="C249" s="149" t="s">
        <v>16</v>
      </c>
      <c r="D249" s="822" t="s">
        <v>17</v>
      </c>
      <c r="E249" s="148"/>
      <c r="F249" s="148"/>
      <c r="G249" s="151"/>
      <c r="H249" s="274" t="s">
        <v>12</v>
      </c>
      <c r="I249" s="387"/>
      <c r="J249" s="387"/>
      <c r="K249" s="279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3"/>
      <c r="B250" s="314"/>
      <c r="C250" s="315"/>
      <c r="D250" s="324" t="s">
        <v>97</v>
      </c>
      <c r="E250" s="315"/>
      <c r="F250" s="315"/>
      <c r="G250" s="317"/>
      <c r="H250" s="318" t="s">
        <v>12</v>
      </c>
      <c r="I250" s="319"/>
      <c r="J250" s="319"/>
      <c r="K250" s="320"/>
      <c r="L250" s="321">
        <f ca="1">IFERROR(__xludf.DUMMYFUNCTION("IMPORTRANGE(""https://docs.google.com/spreadsheets/d/1QqKyyYR6Q21VydFLVH3TRQUabQu_ym0Zz7PgGX0-kHA/edit?usp=sharing"",""แผน!AZ20"")"),0)</f>
        <v>0</v>
      </c>
      <c r="M250" s="321"/>
      <c r="N250" s="340">
        <v>0</v>
      </c>
      <c r="O250" s="321"/>
      <c r="P250" s="321"/>
      <c r="Q250" s="312"/>
      <c r="R250" s="312"/>
      <c r="S250" s="312"/>
      <c r="T250" s="312"/>
      <c r="U250" s="312"/>
      <c r="V250" s="312"/>
      <c r="W250" s="312"/>
      <c r="X250" s="312"/>
      <c r="Y250" s="312"/>
      <c r="Z250" s="312"/>
    </row>
    <row r="251" spans="1:26" ht="19.5" hidden="1">
      <c r="A251" s="322"/>
      <c r="B251" s="314"/>
      <c r="C251" s="323"/>
      <c r="D251" s="324" t="s">
        <v>98</v>
      </c>
      <c r="E251" s="315"/>
      <c r="F251" s="315"/>
      <c r="G251" s="317"/>
      <c r="H251" s="318" t="s">
        <v>12</v>
      </c>
      <c r="I251" s="325"/>
      <c r="J251" s="325"/>
      <c r="K251" s="321"/>
      <c r="L251" s="321">
        <f ca="1">IFERROR(__xludf.DUMMYFUNCTION("IMPORTRANGE(""https://docs.google.com/spreadsheets/d/1QqKyyYR6Q21VydFLVH3TRQUabQu_ym0Zz7PgGX0-kHA/edit?usp=sharing"",""แผน!BA20"")"),0)</f>
        <v>0</v>
      </c>
      <c r="M251" s="321"/>
      <c r="N251" s="340">
        <v>0</v>
      </c>
      <c r="O251" s="321"/>
      <c r="P251" s="321"/>
      <c r="Q251" s="326"/>
      <c r="R251" s="326"/>
      <c r="S251" s="326"/>
      <c r="T251" s="326"/>
      <c r="U251" s="326"/>
      <c r="V251" s="326"/>
      <c r="W251" s="326"/>
      <c r="X251" s="326"/>
      <c r="Y251" s="326"/>
      <c r="Z251" s="326"/>
    </row>
    <row r="252" spans="1:26" ht="19.5" hidden="1">
      <c r="A252" s="322"/>
      <c r="B252" s="314"/>
      <c r="C252" s="323"/>
      <c r="D252" s="324" t="s">
        <v>116</v>
      </c>
      <c r="E252" s="315"/>
      <c r="F252" s="315"/>
      <c r="G252" s="317"/>
      <c r="H252" s="318" t="s">
        <v>12</v>
      </c>
      <c r="I252" s="325"/>
      <c r="J252" s="325"/>
      <c r="K252" s="321"/>
      <c r="L252" s="321">
        <f ca="1">IFERROR(__xludf.DUMMYFUNCTION("IMPORTRANGE(""https://docs.google.com/spreadsheets/d/1QqKyyYR6Q21VydFLVH3TRQUabQu_ym0Zz7PgGX0-kHA/edit?usp=sharing"",""แผน!BB20"")"),0)</f>
        <v>0</v>
      </c>
      <c r="M252" s="321"/>
      <c r="N252" s="340">
        <v>0</v>
      </c>
      <c r="O252" s="321"/>
      <c r="P252" s="321"/>
      <c r="Q252" s="326"/>
      <c r="R252" s="326"/>
      <c r="S252" s="326"/>
      <c r="T252" s="326"/>
      <c r="U252" s="326"/>
      <c r="V252" s="326"/>
      <c r="W252" s="326"/>
      <c r="X252" s="326"/>
      <c r="Y252" s="326"/>
      <c r="Z252" s="326"/>
    </row>
    <row r="253" spans="1:26" ht="19.5" hidden="1">
      <c r="A253" s="322"/>
      <c r="B253" s="314"/>
      <c r="C253" s="323"/>
      <c r="D253" s="324" t="s">
        <v>100</v>
      </c>
      <c r="E253" s="315"/>
      <c r="F253" s="315"/>
      <c r="G253" s="317"/>
      <c r="H253" s="318" t="s">
        <v>12</v>
      </c>
      <c r="I253" s="325"/>
      <c r="J253" s="325"/>
      <c r="K253" s="321"/>
      <c r="L253" s="321">
        <f ca="1">IFERROR(__xludf.DUMMYFUNCTION("IMPORTRANGE(""https://docs.google.com/spreadsheets/d/1QqKyyYR6Q21VydFLVH3TRQUabQu_ym0Zz7PgGX0-kHA/edit?usp=sharing"",""แผน!BC20"")"),0)</f>
        <v>0</v>
      </c>
      <c r="M253" s="321"/>
      <c r="N253" s="340">
        <v>0</v>
      </c>
      <c r="O253" s="321"/>
      <c r="P253" s="321"/>
      <c r="Q253" s="326"/>
      <c r="R253" s="326"/>
      <c r="S253" s="326"/>
      <c r="T253" s="326"/>
      <c r="U253" s="326"/>
      <c r="V253" s="326"/>
      <c r="W253" s="326"/>
      <c r="X253" s="326"/>
      <c r="Y253" s="326"/>
      <c r="Z253" s="326"/>
    </row>
    <row r="254" spans="1:26" ht="19.5" hidden="1">
      <c r="A254" s="170"/>
      <c r="B254" s="171"/>
      <c r="C254" s="291" t="s">
        <v>16</v>
      </c>
      <c r="D254" s="818" t="s">
        <v>38</v>
      </c>
      <c r="E254" s="173"/>
      <c r="F254" s="173"/>
      <c r="G254" s="174"/>
      <c r="H254" s="726"/>
      <c r="I254" s="184"/>
      <c r="J254" s="269"/>
      <c r="K254" s="465"/>
      <c r="L254" s="465"/>
      <c r="M254" s="465"/>
      <c r="N254" s="465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15" t="s">
        <v>117</v>
      </c>
      <c r="E255" s="342"/>
      <c r="F255" s="342"/>
      <c r="G255" s="179"/>
      <c r="H255" s="728" t="s">
        <v>35</v>
      </c>
      <c r="I255" s="269">
        <f ca="1">IFERROR(__xludf.DUMMYFUNCTION("IMPORTRANGE(""https://docs.google.com/spreadsheets/d/1QqKyyYR6Q21VydFLVH3TRQUabQu_ym0Zz7PgGX0-kHA/edit?usp=sharing"",""แผน!BF20"")"),0)</f>
        <v>0</v>
      </c>
      <c r="J255" s="214">
        <v>0</v>
      </c>
      <c r="K255" s="465">
        <f ca="1">IF(I255&gt;0,J255*100/I255,0)</f>
        <v>0</v>
      </c>
      <c r="L255" s="465"/>
      <c r="M255" s="465"/>
      <c r="N255" s="465"/>
      <c r="O255" s="465"/>
      <c r="P255" s="465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341" t="s">
        <v>43</v>
      </c>
      <c r="E256" s="342"/>
      <c r="F256" s="342"/>
      <c r="G256" s="179"/>
      <c r="H256" s="728"/>
      <c r="I256" s="269"/>
      <c r="J256" s="269"/>
      <c r="K256" s="465"/>
      <c r="L256" s="465"/>
      <c r="M256" s="465"/>
      <c r="N256" s="465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343" t="s">
        <v>118</v>
      </c>
      <c r="F257" s="342"/>
      <c r="G257" s="179"/>
      <c r="H257" s="728" t="s">
        <v>35</v>
      </c>
      <c r="I257" s="269"/>
      <c r="J257" s="214">
        <v>0</v>
      </c>
      <c r="K257" s="465">
        <f t="shared" ref="K257:K258" si="113">IF(I257&gt;0,J257*100/I257,0)</f>
        <v>0</v>
      </c>
      <c r="L257" s="465"/>
      <c r="M257" s="465"/>
      <c r="N257" s="465"/>
      <c r="O257" s="465"/>
      <c r="P257" s="465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343" t="s">
        <v>119</v>
      </c>
      <c r="F258" s="342"/>
      <c r="G258" s="179"/>
      <c r="H258" s="728" t="s">
        <v>69</v>
      </c>
      <c r="I258" s="269"/>
      <c r="J258" s="214">
        <v>0</v>
      </c>
      <c r="K258" s="465">
        <f t="shared" si="113"/>
        <v>0</v>
      </c>
      <c r="L258" s="465"/>
      <c r="M258" s="465"/>
      <c r="N258" s="465"/>
      <c r="O258" s="465"/>
      <c r="P258" s="465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1" t="s">
        <v>122</v>
      </c>
      <c r="B259" s="242"/>
      <c r="C259" s="242"/>
      <c r="D259" s="243"/>
      <c r="E259" s="243"/>
      <c r="F259" s="243"/>
      <c r="G259" s="244"/>
      <c r="H259" s="245"/>
      <c r="I259" s="246"/>
      <c r="J259" s="246"/>
      <c r="K259" s="247"/>
      <c r="L259" s="247"/>
      <c r="M259" s="247"/>
      <c r="N259" s="247"/>
      <c r="O259" s="247"/>
      <c r="P259" s="247"/>
    </row>
    <row r="260" spans="1:26" ht="19.5">
      <c r="A260" s="248"/>
      <c r="B260" s="249" t="s">
        <v>123</v>
      </c>
      <c r="C260" s="250"/>
      <c r="D260" s="173"/>
      <c r="E260" s="173"/>
      <c r="F260" s="173"/>
      <c r="G260" s="174"/>
      <c r="H260" s="251" t="s">
        <v>35</v>
      </c>
      <c r="I260" s="252">
        <f t="shared" ref="I260:J260" ca="1" si="114">I271</f>
        <v>22</v>
      </c>
      <c r="J260" s="252">
        <f t="shared" si="114"/>
        <v>0</v>
      </c>
      <c r="K260" s="253">
        <f ca="1">IF(I260&gt;0,J260*100/I260,0)</f>
        <v>0</v>
      </c>
      <c r="L260" s="254"/>
      <c r="M260" s="254"/>
      <c r="N260" s="254"/>
      <c r="O260" s="254"/>
      <c r="P260" s="254"/>
    </row>
    <row r="261" spans="1:26" ht="19.5">
      <c r="A261" s="147"/>
      <c r="B261" s="148"/>
      <c r="C261" s="149" t="s">
        <v>16</v>
      </c>
      <c r="D261" s="817" t="s">
        <v>17</v>
      </c>
      <c r="E261" s="148"/>
      <c r="F261" s="148"/>
      <c r="G261" s="151"/>
      <c r="H261" s="152" t="s">
        <v>12</v>
      </c>
      <c r="I261" s="388"/>
      <c r="J261" s="388"/>
      <c r="K261" s="154"/>
      <c r="L261" s="155">
        <f t="shared" ref="L261:N261" ca="1" si="115">L262+L263</f>
        <v>26900</v>
      </c>
      <c r="M261" s="155">
        <f t="shared" ca="1" si="115"/>
        <v>23900</v>
      </c>
      <c r="N261" s="155">
        <f t="shared" ca="1" si="115"/>
        <v>2560</v>
      </c>
      <c r="O261" s="155">
        <f t="shared" ref="O261:O269" ca="1" si="116">IF(L261&gt;0,N261*100/L261,0)</f>
        <v>9.5167286245353164</v>
      </c>
      <c r="P261" s="155">
        <f t="shared" ref="P261:P269" ca="1" si="117">IF(M261&gt;0,N261*100/M261,0)</f>
        <v>10.711297071129707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2" t="s">
        <v>18</v>
      </c>
      <c r="F262" s="40"/>
      <c r="G262" s="157"/>
      <c r="H262" s="158" t="s">
        <v>12</v>
      </c>
      <c r="I262" s="583"/>
      <c r="J262" s="583"/>
      <c r="K262" s="93"/>
      <c r="L262" s="93">
        <f t="shared" ref="L262:N263" si="118">L265+L268</f>
        <v>0</v>
      </c>
      <c r="M262" s="93">
        <f t="shared" si="118"/>
        <v>0</v>
      </c>
      <c r="N262" s="93">
        <f t="shared" si="118"/>
        <v>0</v>
      </c>
      <c r="O262" s="93">
        <f t="shared" si="116"/>
        <v>0</v>
      </c>
      <c r="P262" s="93">
        <f t="shared" si="117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2" t="s">
        <v>19</v>
      </c>
      <c r="F263" s="40"/>
      <c r="G263" s="157"/>
      <c r="H263" s="158" t="s">
        <v>12</v>
      </c>
      <c r="I263" s="583"/>
      <c r="J263" s="583"/>
      <c r="K263" s="93"/>
      <c r="L263" s="93">
        <f t="shared" ca="1" si="118"/>
        <v>26900</v>
      </c>
      <c r="M263" s="93">
        <f t="shared" ca="1" si="118"/>
        <v>23900</v>
      </c>
      <c r="N263" s="93">
        <f t="shared" ca="1" si="118"/>
        <v>2560</v>
      </c>
      <c r="O263" s="93">
        <f t="shared" ca="1" si="116"/>
        <v>9.5167286245353164</v>
      </c>
      <c r="P263" s="93">
        <f t="shared" ca="1" si="117"/>
        <v>10.711297071129707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1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65">
        <f t="shared" ref="L264:N264" ca="1" si="119">L265+L266</f>
        <v>26900</v>
      </c>
      <c r="M264" s="465">
        <f t="shared" ca="1" si="119"/>
        <v>23900</v>
      </c>
      <c r="N264" s="465">
        <f t="shared" ca="1" si="119"/>
        <v>2560</v>
      </c>
      <c r="O264" s="465">
        <f t="shared" ca="1" si="116"/>
        <v>9.5167286245353164</v>
      </c>
      <c r="P264" s="465">
        <f t="shared" ca="1" si="117"/>
        <v>10.711297071129707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2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6"/>
        <v>0</v>
      </c>
      <c r="P265" s="93">
        <f t="shared" si="117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2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IFERROR(__xludf.DUMMYFUNCTION("IMPORTRANGE(""https://docs.google.com/spreadsheets/d/1MeEWN-I1oV_STSDYn1IFDPWt_1FKiwhDph83XaGc0o0/edit?usp=sharing"",""งบพรบ!CY20"")"),26900)</f>
        <v>26900</v>
      </c>
      <c r="M266" s="93">
        <f ca="1">IFERROR(__xludf.DUMMYFUNCTION("IMPORTRANGE(""https://docs.google.com/spreadsheets/d/1MeEWN-I1oV_STSDYn1IFDPWt_1FKiwhDph83XaGc0o0/edit?usp=sharing"",""งบพรบ!DD20"")"),23900)</f>
        <v>23900</v>
      </c>
      <c r="N266" s="93">
        <f ca="1">IFERROR(__xludf.DUMMYFUNCTION("IMPORTRANGE(""https://docs.google.com/spreadsheets/d/1MeEWN-I1oV_STSDYn1IFDPWt_1FKiwhDph83XaGc0o0/edit?usp=sharing"",""งบพรบ!DF20"")"),2560)</f>
        <v>2560</v>
      </c>
      <c r="O266" s="93">
        <f t="shared" ca="1" si="116"/>
        <v>9.5167286245353164</v>
      </c>
      <c r="P266" s="93">
        <f t="shared" ca="1" si="117"/>
        <v>10.711297071129707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1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65">
        <f t="shared" ref="L267:N267" ca="1" si="120">L268+L269</f>
        <v>0</v>
      </c>
      <c r="M267" s="465">
        <f t="shared" ca="1" si="120"/>
        <v>0</v>
      </c>
      <c r="N267" s="465">
        <f t="shared" ca="1" si="120"/>
        <v>0</v>
      </c>
      <c r="O267" s="465">
        <f t="shared" ca="1" si="116"/>
        <v>0</v>
      </c>
      <c r="P267" s="465">
        <f t="shared" ca="1" si="117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2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6"/>
        <v>0</v>
      </c>
      <c r="P268" s="93">
        <f t="shared" si="117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2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IFERROR(__xludf.DUMMYFUNCTION("IMPORTRANGE(""https://docs.google.com/spreadsheets/d/1MeEWN-I1oV_STSDYn1IFDPWt_1FKiwhDph83XaGc0o0/edit?usp=sharing"",""งบพรบ!DB20"")"),0)</f>
        <v>0</v>
      </c>
      <c r="M269" s="93">
        <f ca="1">IFERROR(__xludf.DUMMYFUNCTION("IMPORTRANGE(""https://docs.google.com/spreadsheets/d/1MeEWN-I1oV_STSDYn1IFDPWt_1FKiwhDph83XaGc0o0/edit?usp=sharing"",""งบพรบ!DE20"")"),0)</f>
        <v>0</v>
      </c>
      <c r="N269" s="93">
        <f ca="1">IFERROR(__xludf.DUMMYFUNCTION("IMPORTRANGE(""https://docs.google.com/spreadsheets/d/1MeEWN-I1oV_STSDYn1IFDPWt_1FKiwhDph83XaGc0o0/edit?usp=sharing"",""งบพรบ!DG20"")"),0)</f>
        <v>0</v>
      </c>
      <c r="O269" s="93">
        <f t="shared" ca="1" si="116"/>
        <v>0</v>
      </c>
      <c r="P269" s="93">
        <f t="shared" ca="1" si="117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1" t="s">
        <v>16</v>
      </c>
      <c r="D270" s="818" t="s">
        <v>38</v>
      </c>
      <c r="E270" s="173"/>
      <c r="F270" s="173"/>
      <c r="G270" s="174"/>
      <c r="H270" s="726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44" t="s">
        <v>124</v>
      </c>
      <c r="E271" s="342"/>
      <c r="F271" s="268"/>
      <c r="G271" s="179"/>
      <c r="H271" s="345" t="s">
        <v>35</v>
      </c>
      <c r="I271" s="269">
        <f ca="1">IFERROR(__xludf.DUMMYFUNCTION("IMPORTRANGE(""https://docs.google.com/spreadsheets/d/1QqKyyYR6Q21VydFLVH3TRQUabQu_ym0Zz7PgGX0-kHA/edit?usp=sharing"",""แผน!EA20"")"),22)</f>
        <v>22</v>
      </c>
      <c r="J271" s="214">
        <v>0</v>
      </c>
      <c r="K271" s="163">
        <f ca="1">IF(I271&gt;0,J271*100/I271,0)</f>
        <v>0</v>
      </c>
      <c r="L271" s="163"/>
      <c r="M271" s="163"/>
      <c r="N271" s="163"/>
      <c r="O271" s="163"/>
      <c r="P271" s="163"/>
    </row>
    <row r="272" spans="1:26" ht="18.75" hidden="1">
      <c r="A272" s="346"/>
      <c r="B272" s="347"/>
      <c r="C272" s="347"/>
      <c r="D272" s="348" t="s">
        <v>125</v>
      </c>
      <c r="E272" s="349"/>
      <c r="F272" s="349"/>
      <c r="G272" s="350"/>
      <c r="H272" s="50" t="s">
        <v>35</v>
      </c>
      <c r="I272" s="468">
        <v>0</v>
      </c>
      <c r="J272" s="468">
        <v>0</v>
      </c>
      <c r="K272" s="353">
        <v>0</v>
      </c>
      <c r="L272" s="353"/>
      <c r="M272" s="353"/>
      <c r="N272" s="353"/>
      <c r="O272" s="353"/>
      <c r="P272" s="353"/>
    </row>
    <row r="273" spans="1:26" ht="19.5">
      <c r="A273" s="354" t="s">
        <v>126</v>
      </c>
      <c r="B273" s="355"/>
      <c r="C273" s="355"/>
      <c r="D273" s="355"/>
      <c r="E273" s="356"/>
      <c r="F273" s="356"/>
      <c r="G273" s="357"/>
      <c r="H273" s="358"/>
      <c r="I273" s="359"/>
      <c r="J273" s="359"/>
      <c r="K273" s="360"/>
      <c r="L273" s="360"/>
      <c r="M273" s="360"/>
      <c r="N273" s="360"/>
      <c r="O273" s="360"/>
      <c r="P273" s="360"/>
    </row>
    <row r="274" spans="1:26" ht="19.5">
      <c r="A274" s="361" t="s">
        <v>127</v>
      </c>
      <c r="B274" s="362"/>
      <c r="C274" s="363"/>
      <c r="D274" s="362"/>
      <c r="E274" s="362"/>
      <c r="F274" s="362"/>
      <c r="G274" s="362"/>
      <c r="H274" s="364"/>
      <c r="I274" s="365"/>
      <c r="J274" s="366"/>
      <c r="K274" s="367"/>
      <c r="L274" s="367"/>
      <c r="M274" s="367"/>
      <c r="N274" s="367"/>
      <c r="O274" s="367"/>
      <c r="P274" s="367"/>
    </row>
    <row r="275" spans="1:26" ht="19.5">
      <c r="A275" s="368"/>
      <c r="B275" s="377" t="s">
        <v>128</v>
      </c>
      <c r="C275" s="370"/>
      <c r="D275" s="371"/>
      <c r="E275" s="370"/>
      <c r="F275" s="370"/>
      <c r="G275" s="372"/>
      <c r="H275" s="373" t="s">
        <v>35</v>
      </c>
      <c r="I275" s="374">
        <f t="shared" ref="I275:J275" ca="1" si="121">I288</f>
        <v>10</v>
      </c>
      <c r="J275" s="374">
        <f t="shared" ca="1" si="121"/>
        <v>0</v>
      </c>
      <c r="K275" s="375">
        <f t="shared" ref="K275:K276" ca="1" si="122">IF(I275&gt;0,J275*100/I275,0)</f>
        <v>0</v>
      </c>
      <c r="L275" s="376"/>
      <c r="M275" s="376"/>
      <c r="N275" s="376"/>
      <c r="O275" s="376"/>
      <c r="P275" s="376"/>
    </row>
    <row r="276" spans="1:26" ht="19.5">
      <c r="A276" s="368"/>
      <c r="B276" s="377"/>
      <c r="C276" s="370"/>
      <c r="D276" s="371"/>
      <c r="E276" s="370"/>
      <c r="F276" s="370"/>
      <c r="G276" s="372"/>
      <c r="H276" s="373" t="s">
        <v>46</v>
      </c>
      <c r="I276" s="859">
        <f t="shared" ref="I276:J276" ca="1" si="123">I287</f>
        <v>100</v>
      </c>
      <c r="J276" s="859">
        <f t="shared" si="123"/>
        <v>0</v>
      </c>
      <c r="K276" s="376">
        <f t="shared" ca="1" si="122"/>
        <v>0</v>
      </c>
      <c r="L276" s="376"/>
      <c r="M276" s="376"/>
      <c r="N276" s="376"/>
      <c r="O276" s="376"/>
      <c r="P276" s="376"/>
    </row>
    <row r="277" spans="1:26" ht="19.5">
      <c r="A277" s="147"/>
      <c r="B277" s="148"/>
      <c r="C277" s="149" t="s">
        <v>16</v>
      </c>
      <c r="D277" s="817" t="s">
        <v>17</v>
      </c>
      <c r="E277" s="148"/>
      <c r="F277" s="148"/>
      <c r="G277" s="151"/>
      <c r="H277" s="152" t="s">
        <v>12</v>
      </c>
      <c r="I277" s="388"/>
      <c r="J277" s="388"/>
      <c r="K277" s="154"/>
      <c r="L277" s="155">
        <f t="shared" ref="L277:N277" ca="1" si="124">L278+L279</f>
        <v>41010</v>
      </c>
      <c r="M277" s="155">
        <f t="shared" ca="1" si="124"/>
        <v>16820</v>
      </c>
      <c r="N277" s="155">
        <f t="shared" ca="1" si="124"/>
        <v>0</v>
      </c>
      <c r="O277" s="155">
        <f t="shared" ref="O277:O285" ca="1" si="125">IF(L277&gt;0,N277*100/L277,0)</f>
        <v>0</v>
      </c>
      <c r="P277" s="155">
        <f t="shared" ref="P277:P285" ca="1" si="126">IF(M277&gt;0,N277*100/M277,0)</f>
        <v>0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2" t="s">
        <v>18</v>
      </c>
      <c r="F278" s="40"/>
      <c r="G278" s="157"/>
      <c r="H278" s="158" t="s">
        <v>12</v>
      </c>
      <c r="I278" s="583"/>
      <c r="J278" s="583"/>
      <c r="K278" s="93"/>
      <c r="L278" s="93">
        <f t="shared" ref="L278:N279" si="127">L281+L284</f>
        <v>0</v>
      </c>
      <c r="M278" s="93">
        <f t="shared" si="127"/>
        <v>0</v>
      </c>
      <c r="N278" s="93">
        <f t="shared" si="127"/>
        <v>0</v>
      </c>
      <c r="O278" s="93">
        <f t="shared" si="125"/>
        <v>0</v>
      </c>
      <c r="P278" s="93">
        <f t="shared" si="126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2" t="s">
        <v>19</v>
      </c>
      <c r="F279" s="40"/>
      <c r="G279" s="157"/>
      <c r="H279" s="158" t="s">
        <v>12</v>
      </c>
      <c r="I279" s="583"/>
      <c r="J279" s="583"/>
      <c r="K279" s="93"/>
      <c r="L279" s="93">
        <f t="shared" ca="1" si="127"/>
        <v>41010</v>
      </c>
      <c r="M279" s="93">
        <f t="shared" ca="1" si="127"/>
        <v>16820</v>
      </c>
      <c r="N279" s="93">
        <f t="shared" ca="1" si="127"/>
        <v>0</v>
      </c>
      <c r="O279" s="93">
        <f t="shared" ca="1" si="125"/>
        <v>0</v>
      </c>
      <c r="P279" s="93">
        <f t="shared" ca="1" si="126"/>
        <v>0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>
      <c r="A280" s="159"/>
      <c r="B280" s="33"/>
      <c r="C280" s="281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65">
        <f t="shared" ref="L280:N280" ca="1" si="128">L281+L282</f>
        <v>41010</v>
      </c>
      <c r="M280" s="465">
        <f t="shared" ca="1" si="128"/>
        <v>16820</v>
      </c>
      <c r="N280" s="465">
        <f t="shared" ca="1" si="128"/>
        <v>0</v>
      </c>
      <c r="O280" s="465">
        <f t="shared" ca="1" si="125"/>
        <v>0</v>
      </c>
      <c r="P280" s="465">
        <f t="shared" ca="1" si="126"/>
        <v>0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2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5"/>
        <v>0</v>
      </c>
      <c r="P281" s="93">
        <f t="shared" si="126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2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IFERROR(__xludf.DUMMYFUNCTION("IMPORTRANGE(""https://docs.google.com/spreadsheets/d/1MeEWN-I1oV_STSDYn1IFDPWt_1FKiwhDph83XaGc0o0/edit?usp=sharing"",""งบพรบ!DI20"")"),41010)</f>
        <v>41010</v>
      </c>
      <c r="M282" s="93">
        <f ca="1">IFERROR(__xludf.DUMMYFUNCTION("IMPORTRANGE(""https://docs.google.com/spreadsheets/d/1MeEWN-I1oV_STSDYn1IFDPWt_1FKiwhDph83XaGc0o0/edit?usp=sharing"",""งบพรบ!DN20"")"),16820)</f>
        <v>16820</v>
      </c>
      <c r="N282" s="93">
        <f ca="1">IFERROR(__xludf.DUMMYFUNCTION("IMPORTRANGE(""https://docs.google.com/spreadsheets/d/1MeEWN-I1oV_STSDYn1IFDPWt_1FKiwhDph83XaGc0o0/edit?usp=sharing"",""งบพรบ!DP20"")"),0)</f>
        <v>0</v>
      </c>
      <c r="O282" s="93">
        <f t="shared" ca="1" si="125"/>
        <v>0</v>
      </c>
      <c r="P282" s="93">
        <f t="shared" ca="1" si="126"/>
        <v>0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>
      <c r="A283" s="159"/>
      <c r="B283" s="33"/>
      <c r="C283" s="281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65">
        <f t="shared" ref="L283:N283" ca="1" si="129">L284+L285</f>
        <v>0</v>
      </c>
      <c r="M283" s="465">
        <f t="shared" ca="1" si="129"/>
        <v>0</v>
      </c>
      <c r="N283" s="465">
        <f t="shared" ca="1" si="129"/>
        <v>0</v>
      </c>
      <c r="O283" s="465">
        <f t="shared" ca="1" si="125"/>
        <v>0</v>
      </c>
      <c r="P283" s="465">
        <f t="shared" ca="1" si="126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2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5"/>
        <v>0</v>
      </c>
      <c r="P284" s="93">
        <f t="shared" si="126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2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IFERROR(__xludf.DUMMYFUNCTION("IMPORTRANGE(""https://docs.google.com/spreadsheets/d/1MeEWN-I1oV_STSDYn1IFDPWt_1FKiwhDph83XaGc0o0/edit?usp=sharing"",""งบพรบ!DL20"")"),0)</f>
        <v>0</v>
      </c>
      <c r="M285" s="93">
        <f ca="1">IFERROR(__xludf.DUMMYFUNCTION("IMPORTRANGE(""https://docs.google.com/spreadsheets/d/1MeEWN-I1oV_STSDYn1IFDPWt_1FKiwhDph83XaGc0o0/edit?usp=sharing"",""งบพรบ!DO20"")"),0)</f>
        <v>0</v>
      </c>
      <c r="N285" s="93">
        <f ca="1">IFERROR(__xludf.DUMMYFUNCTION("IMPORTRANGE(""https://docs.google.com/spreadsheets/d/1MeEWN-I1oV_STSDYn1IFDPWt_1FKiwhDph83XaGc0o0/edit?usp=sharing"",""งบพรบ!DQ20"")"),0)</f>
        <v>0</v>
      </c>
      <c r="O285" s="93">
        <f t="shared" ca="1" si="125"/>
        <v>0</v>
      </c>
      <c r="P285" s="93">
        <f t="shared" ca="1" si="126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>
      <c r="A286" s="170"/>
      <c r="B286" s="171"/>
      <c r="C286" s="164" t="s">
        <v>16</v>
      </c>
      <c r="D286" s="818" t="s">
        <v>38</v>
      </c>
      <c r="E286" s="173"/>
      <c r="F286" s="173"/>
      <c r="G286" s="174"/>
      <c r="H286" s="726"/>
      <c r="I286" s="184"/>
      <c r="J286" s="184"/>
      <c r="K286" s="163"/>
      <c r="L286" s="163"/>
      <c r="M286" s="163"/>
      <c r="N286" s="163"/>
      <c r="O286" s="163"/>
      <c r="P286" s="163"/>
    </row>
    <row r="287" spans="1:26" ht="18.75">
      <c r="A287" s="170"/>
      <c r="B287" s="171"/>
      <c r="C287" s="171"/>
      <c r="D287" s="592" t="s">
        <v>129</v>
      </c>
      <c r="E287" s="171"/>
      <c r="F287" s="342"/>
      <c r="G287" s="179"/>
      <c r="H287" s="185" t="s">
        <v>46</v>
      </c>
      <c r="I287" s="269">
        <f ca="1">IFERROR(__xludf.DUMMYFUNCTION("IMPORTRANGE(""https://docs.google.com/spreadsheets/d/1QqKyyYR6Q21VydFLVH3TRQUabQu_ym0Zz7PgGX0-kHA/edit?usp=sharing"",""แผน!EC20"")"),100)</f>
        <v>100</v>
      </c>
      <c r="J287" s="214">
        <v>0</v>
      </c>
      <c r="K287" s="163">
        <f t="shared" ref="K287:K288" ca="1" si="130">IF(I287&gt;0,J287*100/I287,0)</f>
        <v>0</v>
      </c>
      <c r="L287" s="163"/>
      <c r="M287" s="163"/>
      <c r="N287" s="163"/>
      <c r="O287" s="163"/>
      <c r="P287" s="163"/>
    </row>
    <row r="288" spans="1:26" ht="19.5">
      <c r="A288" s="170"/>
      <c r="B288" s="171"/>
      <c r="C288" s="171"/>
      <c r="D288" s="592" t="s">
        <v>130</v>
      </c>
      <c r="E288" s="171"/>
      <c r="F288" s="342"/>
      <c r="G288" s="179"/>
      <c r="H288" s="180" t="s">
        <v>35</v>
      </c>
      <c r="I288" s="647">
        <f ca="1">IFERROR(__xludf.DUMMYFUNCTION("IMPORTRANGE(""https://docs.google.com/spreadsheets/d/1QqKyyYR6Q21VydFLVH3TRQUabQu_ym0Zz7PgGX0-kHA/edit?usp=sharing"",""แผน!EB20"")"),10)</f>
        <v>10</v>
      </c>
      <c r="J288" s="647">
        <f ca="1">IF(AND(J291&gt;=I288,J294&gt;=I288),J294,0)</f>
        <v>0</v>
      </c>
      <c r="K288" s="379">
        <f t="shared" ca="1" si="130"/>
        <v>0</v>
      </c>
      <c r="L288" s="163"/>
      <c r="M288" s="163"/>
      <c r="N288" s="163"/>
      <c r="O288" s="163"/>
      <c r="P288" s="163"/>
    </row>
    <row r="289" spans="1:26" ht="19.5">
      <c r="A289" s="170"/>
      <c r="B289" s="171"/>
      <c r="C289" s="171"/>
      <c r="D289" s="380"/>
      <c r="E289" s="381" t="s">
        <v>131</v>
      </c>
      <c r="F289" s="342"/>
      <c r="G289" s="179"/>
      <c r="H289" s="728"/>
      <c r="I289" s="184"/>
      <c r="J289" s="269"/>
      <c r="K289" s="163"/>
      <c r="L289" s="163"/>
      <c r="M289" s="163"/>
      <c r="N289" s="163"/>
      <c r="O289" s="163"/>
      <c r="P289" s="163"/>
    </row>
    <row r="290" spans="1:26" ht="19.5">
      <c r="A290" s="170"/>
      <c r="B290" s="171"/>
      <c r="C290" s="171"/>
      <c r="D290" s="380"/>
      <c r="E290" s="592" t="s">
        <v>132</v>
      </c>
      <c r="F290" s="342"/>
      <c r="G290" s="179"/>
      <c r="H290" s="728" t="s">
        <v>35</v>
      </c>
      <c r="I290" s="184">
        <f ca="1">IFERROR(__xludf.DUMMYFUNCTION("IMPORTRANGE(""https://docs.google.com/spreadsheets/d/1QqKyyYR6Q21VydFLVH3TRQUabQu_ym0Zz7PgGX0-kHA/edit?usp=sharing"",""แผน!EB20"")"),10)</f>
        <v>10</v>
      </c>
      <c r="J290" s="214">
        <v>0</v>
      </c>
      <c r="K290" s="163">
        <f t="shared" ref="K290:K291" ca="1" si="131">IF(I290&gt;0,J290*100/I290,0)</f>
        <v>0</v>
      </c>
      <c r="L290" s="163"/>
      <c r="M290" s="163"/>
      <c r="N290" s="163"/>
      <c r="O290" s="163"/>
      <c r="P290" s="163"/>
    </row>
    <row r="291" spans="1:26" ht="19.5">
      <c r="A291" s="170"/>
      <c r="B291" s="171"/>
      <c r="C291" s="171"/>
      <c r="D291" s="342"/>
      <c r="E291" s="592" t="s">
        <v>133</v>
      </c>
      <c r="F291" s="342"/>
      <c r="G291" s="179"/>
      <c r="H291" s="728" t="s">
        <v>35</v>
      </c>
      <c r="I291" s="184">
        <f ca="1">IFERROR(__xludf.DUMMYFUNCTION("IMPORTRANGE(""https://docs.google.com/spreadsheets/d/1QqKyyYR6Q21VydFLVH3TRQUabQu_ym0Zz7PgGX0-kHA/edit?usp=sharing"",""แผน!EB20"")"),10)</f>
        <v>10</v>
      </c>
      <c r="J291" s="214">
        <v>0</v>
      </c>
      <c r="K291" s="163">
        <f t="shared" ca="1" si="131"/>
        <v>0</v>
      </c>
      <c r="L291" s="163"/>
      <c r="M291" s="163"/>
      <c r="N291" s="163"/>
      <c r="O291" s="163"/>
      <c r="P291" s="163"/>
    </row>
    <row r="292" spans="1:26" ht="19.5">
      <c r="A292" s="382"/>
      <c r="B292" s="383"/>
      <c r="C292" s="383"/>
      <c r="D292" s="384"/>
      <c r="E292" s="385" t="s">
        <v>134</v>
      </c>
      <c r="F292" s="286"/>
      <c r="G292" s="287"/>
      <c r="H292" s="386"/>
      <c r="I292" s="387"/>
      <c r="J292" s="388"/>
      <c r="K292" s="279"/>
      <c r="L292" s="279"/>
      <c r="M292" s="279"/>
      <c r="N292" s="279"/>
      <c r="O292" s="279"/>
      <c r="P292" s="279"/>
    </row>
    <row r="293" spans="1:26" ht="19.5">
      <c r="A293" s="170"/>
      <c r="B293" s="171"/>
      <c r="C293" s="171"/>
      <c r="D293" s="380"/>
      <c r="E293" s="592" t="s">
        <v>132</v>
      </c>
      <c r="F293" s="342"/>
      <c r="G293" s="179"/>
      <c r="H293" s="728" t="s">
        <v>35</v>
      </c>
      <c r="I293" s="184">
        <f ca="1">IFERROR(__xludf.DUMMYFUNCTION("IMPORTRANGE(""https://docs.google.com/spreadsheets/d/1QqKyyYR6Q21VydFLVH3TRQUabQu_ym0Zz7PgGX0-kHA/edit?usp=sharing"",""แผน!EB20"")"),10)</f>
        <v>10</v>
      </c>
      <c r="J293" s="214">
        <v>0</v>
      </c>
      <c r="K293" s="163">
        <f t="shared" ref="K293:K294" ca="1" si="132">IF(I293&gt;0,J293*100/I293,0)</f>
        <v>0</v>
      </c>
      <c r="L293" s="163"/>
      <c r="M293" s="163"/>
      <c r="N293" s="163"/>
      <c r="O293" s="163"/>
      <c r="P293" s="163"/>
    </row>
    <row r="294" spans="1:26" ht="19.5">
      <c r="A294" s="346"/>
      <c r="B294" s="347"/>
      <c r="C294" s="347"/>
      <c r="D294" s="349"/>
      <c r="E294" s="698" t="s">
        <v>136</v>
      </c>
      <c r="F294" s="349"/>
      <c r="G294" s="350"/>
      <c r="H294" s="390" t="s">
        <v>35</v>
      </c>
      <c r="I294" s="391">
        <f ca="1">IFERROR(__xludf.DUMMYFUNCTION("IMPORTRANGE(""https://docs.google.com/spreadsheets/d/1QqKyyYR6Q21VydFLVH3TRQUabQu_ym0Zz7PgGX0-kHA/edit?usp=sharing"",""แผน!EB20"")"),10)</f>
        <v>10</v>
      </c>
      <c r="J294" s="392">
        <v>0</v>
      </c>
      <c r="K294" s="353">
        <f t="shared" ca="1" si="132"/>
        <v>0</v>
      </c>
      <c r="L294" s="353"/>
      <c r="M294" s="353"/>
      <c r="N294" s="353"/>
      <c r="O294" s="353"/>
      <c r="P294" s="353"/>
    </row>
    <row r="295" spans="1:26" ht="19.5">
      <c r="A295" s="393" t="s">
        <v>137</v>
      </c>
      <c r="B295" s="394"/>
      <c r="C295" s="394"/>
      <c r="D295" s="394"/>
      <c r="E295" s="395"/>
      <c r="F295" s="395"/>
      <c r="G295" s="396"/>
      <c r="H295" s="397"/>
      <c r="I295" s="398"/>
      <c r="J295" s="398"/>
      <c r="K295" s="399"/>
      <c r="L295" s="399"/>
      <c r="M295" s="399"/>
      <c r="N295" s="399"/>
      <c r="O295" s="399"/>
      <c r="P295" s="399"/>
    </row>
    <row r="296" spans="1:26" ht="19.5">
      <c r="A296" s="400" t="s">
        <v>138</v>
      </c>
      <c r="B296" s="401"/>
      <c r="C296" s="401"/>
      <c r="D296" s="402"/>
      <c r="E296" s="402"/>
      <c r="F296" s="402"/>
      <c r="G296" s="403"/>
      <c r="H296" s="404"/>
      <c r="I296" s="405"/>
      <c r="J296" s="405"/>
      <c r="K296" s="406"/>
      <c r="L296" s="406"/>
      <c r="M296" s="406"/>
      <c r="N296" s="406"/>
      <c r="O296" s="406"/>
      <c r="P296" s="406"/>
    </row>
    <row r="297" spans="1:26" ht="19.5">
      <c r="A297" s="407"/>
      <c r="B297" s="408" t="s">
        <v>139</v>
      </c>
      <c r="C297" s="409"/>
      <c r="D297" s="409"/>
      <c r="E297" s="409"/>
      <c r="F297" s="409"/>
      <c r="G297" s="410"/>
      <c r="H297" s="411" t="s">
        <v>35</v>
      </c>
      <c r="I297" s="412">
        <f t="shared" ref="I297:J297" ca="1" si="133">I309</f>
        <v>20</v>
      </c>
      <c r="J297" s="412">
        <f t="shared" si="133"/>
        <v>0</v>
      </c>
      <c r="K297" s="413">
        <f ca="1">IF(I297&gt;0,J297*100/I297,0)</f>
        <v>0</v>
      </c>
      <c r="L297" s="414"/>
      <c r="M297" s="414"/>
      <c r="N297" s="414"/>
      <c r="O297" s="414"/>
      <c r="P297" s="414"/>
    </row>
    <row r="298" spans="1:26" ht="19.5">
      <c r="A298" s="147"/>
      <c r="B298" s="148"/>
      <c r="C298" s="149" t="s">
        <v>16</v>
      </c>
      <c r="D298" s="817" t="s">
        <v>17</v>
      </c>
      <c r="E298" s="148"/>
      <c r="F298" s="148"/>
      <c r="G298" s="151"/>
      <c r="H298" s="152" t="s">
        <v>12</v>
      </c>
      <c r="I298" s="388"/>
      <c r="J298" s="388"/>
      <c r="K298" s="154"/>
      <c r="L298" s="155">
        <f t="shared" ref="L298:N298" ca="1" si="134">L299+L300</f>
        <v>368400</v>
      </c>
      <c r="M298" s="155">
        <f t="shared" ca="1" si="134"/>
        <v>179120</v>
      </c>
      <c r="N298" s="155">
        <f t="shared" ca="1" si="134"/>
        <v>50948</v>
      </c>
      <c r="O298" s="155">
        <f t="shared" ref="O298:O306" ca="1" si="135">IF(L298&gt;0,N298*100/L298,0)</f>
        <v>13.829533116178068</v>
      </c>
      <c r="P298" s="155">
        <f t="shared" ref="P298:P306" ca="1" si="136">IF(M298&gt;0,N298*100/M298,0)</f>
        <v>28.443501563197856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2" t="s">
        <v>18</v>
      </c>
      <c r="F299" s="40"/>
      <c r="G299" s="157"/>
      <c r="H299" s="158" t="s">
        <v>12</v>
      </c>
      <c r="I299" s="583"/>
      <c r="J299" s="583"/>
      <c r="K299" s="93"/>
      <c r="L299" s="93">
        <f t="shared" ref="L299:N300" si="137">L302+L305</f>
        <v>0</v>
      </c>
      <c r="M299" s="93">
        <f t="shared" si="137"/>
        <v>0</v>
      </c>
      <c r="N299" s="93">
        <f t="shared" si="137"/>
        <v>0</v>
      </c>
      <c r="O299" s="93">
        <f t="shared" si="135"/>
        <v>0</v>
      </c>
      <c r="P299" s="93">
        <f t="shared" si="136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2" t="s">
        <v>19</v>
      </c>
      <c r="F300" s="40"/>
      <c r="G300" s="157"/>
      <c r="H300" s="158" t="s">
        <v>12</v>
      </c>
      <c r="I300" s="583"/>
      <c r="J300" s="583"/>
      <c r="K300" s="93"/>
      <c r="L300" s="93">
        <f t="shared" ca="1" si="137"/>
        <v>368400</v>
      </c>
      <c r="M300" s="93">
        <f t="shared" ca="1" si="137"/>
        <v>179120</v>
      </c>
      <c r="N300" s="93">
        <f t="shared" ca="1" si="137"/>
        <v>50948</v>
      </c>
      <c r="O300" s="93">
        <f t="shared" ca="1" si="135"/>
        <v>13.829533116178068</v>
      </c>
      <c r="P300" s="93">
        <f t="shared" ca="1" si="136"/>
        <v>28.443501563197856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>
      <c r="A301" s="159"/>
      <c r="B301" s="33"/>
      <c r="C301" s="281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65">
        <f t="shared" ref="L301:N301" ca="1" si="138">L302+L303</f>
        <v>368400</v>
      </c>
      <c r="M301" s="465">
        <f t="shared" ca="1" si="138"/>
        <v>179120</v>
      </c>
      <c r="N301" s="465">
        <f t="shared" ca="1" si="138"/>
        <v>50948</v>
      </c>
      <c r="O301" s="465">
        <f t="shared" ca="1" si="135"/>
        <v>13.829533116178068</v>
      </c>
      <c r="P301" s="465">
        <f t="shared" ca="1" si="136"/>
        <v>28.443501563197856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2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5"/>
        <v>0</v>
      </c>
      <c r="P302" s="93">
        <f t="shared" si="136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2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IFERROR(__xludf.DUMMYFUNCTION("IMPORTRANGE(""https://docs.google.com/spreadsheets/d/1MeEWN-I1oV_STSDYn1IFDPWt_1FKiwhDph83XaGc0o0/edit?usp=sharing"",""งบพรบ!DS20"")"),368400)</f>
        <v>368400</v>
      </c>
      <c r="M303" s="93">
        <f ca="1">IFERROR(__xludf.DUMMYFUNCTION("IMPORTRANGE(""https://docs.google.com/spreadsheets/d/1MeEWN-I1oV_STSDYn1IFDPWt_1FKiwhDph83XaGc0o0/edit?usp=sharing"",""งบพรบ!DX20"")"),179120)</f>
        <v>179120</v>
      </c>
      <c r="N303" s="93">
        <f ca="1">IFERROR(__xludf.DUMMYFUNCTION("IMPORTRANGE(""https://docs.google.com/spreadsheets/d/1MeEWN-I1oV_STSDYn1IFDPWt_1FKiwhDph83XaGc0o0/edit?usp=sharing"",""งบพรบ!DZ20"")"),50948)</f>
        <v>50948</v>
      </c>
      <c r="O303" s="93">
        <f t="shared" ca="1" si="135"/>
        <v>13.829533116178068</v>
      </c>
      <c r="P303" s="93">
        <f t="shared" ca="1" si="136"/>
        <v>28.443501563197856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>
      <c r="A304" s="159"/>
      <c r="B304" s="33"/>
      <c r="C304" s="281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65">
        <f t="shared" ref="L304:N304" ca="1" si="139">L305+L306</f>
        <v>0</v>
      </c>
      <c r="M304" s="465">
        <f t="shared" ca="1" si="139"/>
        <v>0</v>
      </c>
      <c r="N304" s="465">
        <f t="shared" ca="1" si="139"/>
        <v>0</v>
      </c>
      <c r="O304" s="465">
        <f t="shared" ca="1" si="135"/>
        <v>0</v>
      </c>
      <c r="P304" s="465">
        <f t="shared" ca="1" si="136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2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5"/>
        <v>0</v>
      </c>
      <c r="P305" s="93">
        <f t="shared" si="136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2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IFERROR(__xludf.DUMMYFUNCTION("IMPORTRANGE(""https://docs.google.com/spreadsheets/d/1MeEWN-I1oV_STSDYn1IFDPWt_1FKiwhDph83XaGc0o0/edit?usp=sharing"",""งบพรบ!DV20"")"),0)</f>
        <v>0</v>
      </c>
      <c r="M306" s="93">
        <f ca="1">IFERROR(__xludf.DUMMYFUNCTION("IMPORTRANGE(""https://docs.google.com/spreadsheets/d/1MeEWN-I1oV_STSDYn1IFDPWt_1FKiwhDph83XaGc0o0/edit?usp=sharing"",""งบพรบ!DY20"")"),0)</f>
        <v>0</v>
      </c>
      <c r="N306" s="93">
        <f ca="1">IFERROR(__xludf.DUMMYFUNCTION("IMPORTRANGE(""https://docs.google.com/spreadsheets/d/1MeEWN-I1oV_STSDYn1IFDPWt_1FKiwhDph83XaGc0o0/edit?usp=sharing"",""งบพรบ!EA20"")"),0)</f>
        <v>0</v>
      </c>
      <c r="O306" s="93">
        <f t="shared" ca="1" si="135"/>
        <v>0</v>
      </c>
      <c r="P306" s="93">
        <f t="shared" ca="1" si="136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>
      <c r="A307" s="170"/>
      <c r="B307" s="171"/>
      <c r="C307" s="164" t="s">
        <v>16</v>
      </c>
      <c r="D307" s="818" t="s">
        <v>38</v>
      </c>
      <c r="E307" s="173"/>
      <c r="F307" s="173"/>
      <c r="G307" s="174"/>
      <c r="H307" s="726"/>
      <c r="I307" s="269"/>
      <c r="J307" s="269"/>
      <c r="K307" s="465"/>
      <c r="L307" s="465"/>
      <c r="M307" s="465"/>
      <c r="N307" s="465"/>
      <c r="O307" s="465"/>
      <c r="P307" s="465"/>
    </row>
    <row r="308" spans="1:26" ht="18.75">
      <c r="A308" s="170"/>
      <c r="B308" s="171"/>
      <c r="C308" s="171"/>
      <c r="D308" s="415" t="s">
        <v>140</v>
      </c>
      <c r="E308" s="415"/>
      <c r="F308" s="415"/>
      <c r="G308" s="179"/>
      <c r="H308" s="728"/>
      <c r="I308" s="269"/>
      <c r="J308" s="214">
        <v>0</v>
      </c>
      <c r="K308" s="465"/>
      <c r="L308" s="465"/>
      <c r="M308" s="465"/>
      <c r="N308" s="465"/>
      <c r="O308" s="465"/>
      <c r="P308" s="465"/>
    </row>
    <row r="309" spans="1:26" ht="18.75">
      <c r="A309" s="170"/>
      <c r="B309" s="171"/>
      <c r="C309" s="171"/>
      <c r="D309" s="415" t="s">
        <v>141</v>
      </c>
      <c r="E309" s="415"/>
      <c r="F309" s="415"/>
      <c r="G309" s="179"/>
      <c r="H309" s="728" t="s">
        <v>35</v>
      </c>
      <c r="I309" s="269">
        <f ca="1">IFERROR(__xludf.DUMMYFUNCTION("IMPORTRANGE(""https://docs.google.com/spreadsheets/d/1QqKyyYR6Q21VydFLVH3TRQUabQu_ym0Zz7PgGX0-kHA/edit?usp=sharing"",""แผน!ED20"")"),20)</f>
        <v>20</v>
      </c>
      <c r="J309" s="214">
        <v>0</v>
      </c>
      <c r="K309" s="465">
        <f t="shared" ref="K309:K312" ca="1" si="140">IF(I309&gt;0,J309*100/I309,0)</f>
        <v>0</v>
      </c>
      <c r="L309" s="465"/>
      <c r="M309" s="465"/>
      <c r="N309" s="465"/>
      <c r="O309" s="465"/>
      <c r="P309" s="465"/>
    </row>
    <row r="310" spans="1:26" ht="18.75">
      <c r="A310" s="170"/>
      <c r="B310" s="171"/>
      <c r="C310" s="171"/>
      <c r="D310" s="415" t="s">
        <v>142</v>
      </c>
      <c r="E310" s="415"/>
      <c r="F310" s="415"/>
      <c r="G310" s="179"/>
      <c r="H310" s="728" t="s">
        <v>35</v>
      </c>
      <c r="I310" s="269">
        <f ca="1">IFERROR(__xludf.DUMMYFUNCTION("IMPORTRANGE(""https://docs.google.com/spreadsheets/d/1QqKyyYR6Q21VydFLVH3TRQUabQu_ym0Zz7PgGX0-kHA/edit?usp=sharing"",""แผน!ED20"")"),20)</f>
        <v>20</v>
      </c>
      <c r="J310" s="214">
        <v>0</v>
      </c>
      <c r="K310" s="465">
        <f t="shared" ca="1" si="140"/>
        <v>0</v>
      </c>
      <c r="L310" s="465"/>
      <c r="M310" s="465"/>
      <c r="N310" s="465"/>
      <c r="O310" s="465"/>
      <c r="P310" s="465"/>
    </row>
    <row r="311" spans="1:26" ht="18.75">
      <c r="A311" s="170"/>
      <c r="B311" s="171"/>
      <c r="C311" s="171"/>
      <c r="D311" s="415" t="s">
        <v>59</v>
      </c>
      <c r="E311" s="415"/>
      <c r="F311" s="415"/>
      <c r="G311" s="179"/>
      <c r="H311" s="728" t="s">
        <v>35</v>
      </c>
      <c r="I311" s="269">
        <f ca="1">IFERROR(__xludf.DUMMYFUNCTION("IMPORTRANGE(""https://docs.google.com/spreadsheets/d/1QqKyyYR6Q21VydFLVH3TRQUabQu_ym0Zz7PgGX0-kHA/edit?usp=sharing"",""แผน!ED20"")"),20)</f>
        <v>20</v>
      </c>
      <c r="J311" s="214">
        <v>0</v>
      </c>
      <c r="K311" s="465">
        <f t="shared" ca="1" si="140"/>
        <v>0</v>
      </c>
      <c r="L311" s="465"/>
      <c r="M311" s="465"/>
      <c r="N311" s="465"/>
      <c r="O311" s="465"/>
      <c r="P311" s="465"/>
    </row>
    <row r="312" spans="1:26" ht="18.75">
      <c r="A312" s="170"/>
      <c r="B312" s="171"/>
      <c r="C312" s="171"/>
      <c r="D312" s="415" t="s">
        <v>143</v>
      </c>
      <c r="E312" s="415"/>
      <c r="F312" s="415"/>
      <c r="G312" s="179"/>
      <c r="H312" s="728" t="s">
        <v>35</v>
      </c>
      <c r="I312" s="269">
        <f ca="1">IFERROR(__xludf.DUMMYFUNCTION("IMPORTRANGE(""https://docs.google.com/spreadsheets/d/1QqKyyYR6Q21VydFLVH3TRQUabQu_ym0Zz7PgGX0-kHA/edit?usp=sharing"",""แผน!EE20"")"),4)</f>
        <v>4</v>
      </c>
      <c r="J312" s="214">
        <v>0</v>
      </c>
      <c r="K312" s="465">
        <f t="shared" ca="1" si="140"/>
        <v>0</v>
      </c>
      <c r="L312" s="465"/>
      <c r="M312" s="465"/>
      <c r="N312" s="465"/>
      <c r="O312" s="465"/>
      <c r="P312" s="465"/>
    </row>
    <row r="313" spans="1:26" ht="19.5" hidden="1">
      <c r="A313" s="400" t="s">
        <v>144</v>
      </c>
      <c r="B313" s="401"/>
      <c r="C313" s="401"/>
      <c r="D313" s="402"/>
      <c r="E313" s="401"/>
      <c r="F313" s="401"/>
      <c r="G313" s="401"/>
      <c r="H313" s="417"/>
      <c r="I313" s="405"/>
      <c r="J313" s="405"/>
      <c r="K313" s="406"/>
      <c r="L313" s="406"/>
      <c r="M313" s="406"/>
      <c r="N313" s="406"/>
      <c r="O313" s="406"/>
      <c r="P313" s="406"/>
    </row>
    <row r="314" spans="1:26" ht="19.5" hidden="1">
      <c r="A314" s="418"/>
      <c r="B314" s="408" t="s">
        <v>145</v>
      </c>
      <c r="C314" s="419"/>
      <c r="D314" s="420"/>
      <c r="E314" s="409"/>
      <c r="F314" s="409"/>
      <c r="G314" s="410"/>
      <c r="H314" s="411" t="s">
        <v>146</v>
      </c>
      <c r="I314" s="412">
        <f t="shared" ref="I314:J314" ca="1" si="141">I325</f>
        <v>0</v>
      </c>
      <c r="J314" s="412">
        <f t="shared" si="141"/>
        <v>0</v>
      </c>
      <c r="K314" s="413">
        <f ca="1">IF(I314&gt;0,J314*100/I314,0)</f>
        <v>0</v>
      </c>
      <c r="L314" s="414"/>
      <c r="M314" s="414"/>
      <c r="N314" s="414"/>
      <c r="O314" s="414"/>
      <c r="P314" s="414"/>
    </row>
    <row r="315" spans="1:26" ht="19.5" hidden="1">
      <c r="A315" s="147"/>
      <c r="B315" s="148"/>
      <c r="C315" s="149" t="s">
        <v>16</v>
      </c>
      <c r="D315" s="817" t="s">
        <v>17</v>
      </c>
      <c r="E315" s="148"/>
      <c r="F315" s="148"/>
      <c r="G315" s="151"/>
      <c r="H315" s="152" t="s">
        <v>12</v>
      </c>
      <c r="I315" s="388"/>
      <c r="J315" s="388"/>
      <c r="K315" s="154"/>
      <c r="L315" s="155">
        <f t="shared" ref="L315:N315" ca="1" si="142">L316+L317</f>
        <v>0</v>
      </c>
      <c r="M315" s="155">
        <f t="shared" ca="1" si="142"/>
        <v>0</v>
      </c>
      <c r="N315" s="155">
        <f t="shared" ca="1" si="142"/>
        <v>0</v>
      </c>
      <c r="O315" s="155">
        <f t="shared" ref="O315:O323" ca="1" si="143">IF(L315&gt;0,N315*100/L315,0)</f>
        <v>0</v>
      </c>
      <c r="P315" s="155">
        <f t="shared" ref="P315:P323" ca="1" si="144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2" t="s">
        <v>18</v>
      </c>
      <c r="F316" s="40"/>
      <c r="G316" s="157"/>
      <c r="H316" s="158" t="s">
        <v>12</v>
      </c>
      <c r="I316" s="583"/>
      <c r="J316" s="583"/>
      <c r="K316" s="93"/>
      <c r="L316" s="93">
        <f t="shared" ref="L316:N317" si="145">L319+L322</f>
        <v>0</v>
      </c>
      <c r="M316" s="93">
        <f t="shared" si="145"/>
        <v>0</v>
      </c>
      <c r="N316" s="93">
        <f t="shared" si="145"/>
        <v>0</v>
      </c>
      <c r="O316" s="93">
        <f t="shared" si="143"/>
        <v>0</v>
      </c>
      <c r="P316" s="93">
        <f t="shared" si="144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2" t="s">
        <v>19</v>
      </c>
      <c r="F317" s="40"/>
      <c r="G317" s="157"/>
      <c r="H317" s="158" t="s">
        <v>12</v>
      </c>
      <c r="I317" s="583"/>
      <c r="J317" s="583"/>
      <c r="K317" s="93"/>
      <c r="L317" s="93">
        <f t="shared" ca="1" si="145"/>
        <v>0</v>
      </c>
      <c r="M317" s="93">
        <f t="shared" ca="1" si="145"/>
        <v>0</v>
      </c>
      <c r="N317" s="93">
        <f t="shared" ca="1" si="145"/>
        <v>0</v>
      </c>
      <c r="O317" s="93">
        <f t="shared" ca="1" si="143"/>
        <v>0</v>
      </c>
      <c r="P317" s="93">
        <f t="shared" ca="1" si="144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1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65">
        <f t="shared" ref="L318:N318" ca="1" si="146">L319+L320</f>
        <v>0</v>
      </c>
      <c r="M318" s="465">
        <f t="shared" ca="1" si="146"/>
        <v>0</v>
      </c>
      <c r="N318" s="465">
        <f t="shared" ca="1" si="146"/>
        <v>0</v>
      </c>
      <c r="O318" s="465">
        <f t="shared" ca="1" si="143"/>
        <v>0</v>
      </c>
      <c r="P318" s="465">
        <f t="shared" ca="1" si="144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2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3"/>
        <v>0</v>
      </c>
      <c r="P319" s="93">
        <f t="shared" si="144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2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IFERROR(__xludf.DUMMYFUNCTION("IMPORTRANGE(""https://docs.google.com/spreadsheets/d/1MeEWN-I1oV_STSDYn1IFDPWt_1FKiwhDph83XaGc0o0/edit?usp=sharing"",""งบพรบ!EC20"")"),0)</f>
        <v>0</v>
      </c>
      <c r="M320" s="93">
        <f ca="1">IFERROR(__xludf.DUMMYFUNCTION("IMPORTRANGE(""https://docs.google.com/spreadsheets/d/1MeEWN-I1oV_STSDYn1IFDPWt_1FKiwhDph83XaGc0o0/edit?usp=sharing"",""งบพรบ!EH20"")"),0)</f>
        <v>0</v>
      </c>
      <c r="N320" s="93">
        <f ca="1">IFERROR(__xludf.DUMMYFUNCTION("IMPORTRANGE(""https://docs.google.com/spreadsheets/d/1MeEWN-I1oV_STSDYn1IFDPWt_1FKiwhDph83XaGc0o0/edit?usp=sharing"",""งบพรบ!EJ20"")"),0)</f>
        <v>0</v>
      </c>
      <c r="O320" s="93">
        <f t="shared" ca="1" si="143"/>
        <v>0</v>
      </c>
      <c r="P320" s="93">
        <f t="shared" ca="1" si="144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1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65">
        <f t="shared" ref="L321:N321" ca="1" si="147">L322+L323</f>
        <v>0</v>
      </c>
      <c r="M321" s="465">
        <f t="shared" ca="1" si="147"/>
        <v>0</v>
      </c>
      <c r="N321" s="465">
        <f t="shared" ca="1" si="147"/>
        <v>0</v>
      </c>
      <c r="O321" s="465">
        <f t="shared" ca="1" si="143"/>
        <v>0</v>
      </c>
      <c r="P321" s="465">
        <f t="shared" ca="1" si="144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2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3"/>
        <v>0</v>
      </c>
      <c r="P322" s="93">
        <f t="shared" si="144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2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IFERROR(__xludf.DUMMYFUNCTION("IMPORTRANGE(""https://docs.google.com/spreadsheets/d/1MeEWN-I1oV_STSDYn1IFDPWt_1FKiwhDph83XaGc0o0/edit?usp=sharing"",""งบพรบ!EF20"")"),0)</f>
        <v>0</v>
      </c>
      <c r="M323" s="93">
        <f ca="1">IFERROR(__xludf.DUMMYFUNCTION("IMPORTRANGE(""https://docs.google.com/spreadsheets/d/1MeEWN-I1oV_STSDYn1IFDPWt_1FKiwhDph83XaGc0o0/edit?usp=sharing"",""งบพรบ!EI20"")"),0)</f>
        <v>0</v>
      </c>
      <c r="N323" s="93">
        <f ca="1">IFERROR(__xludf.DUMMYFUNCTION("IMPORTRANGE(""https://docs.google.com/spreadsheets/d/1MeEWN-I1oV_STSDYn1IFDPWt_1FKiwhDph83XaGc0o0/edit?usp=sharing"",""งบพรบ!EK20"")"),0)</f>
        <v>0</v>
      </c>
      <c r="O323" s="93">
        <f t="shared" ca="1" si="143"/>
        <v>0</v>
      </c>
      <c r="P323" s="93">
        <f t="shared" ca="1" si="144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18" t="s">
        <v>38</v>
      </c>
      <c r="E324" s="173"/>
      <c r="F324" s="173"/>
      <c r="G324" s="174"/>
      <c r="H324" s="726"/>
      <c r="I324" s="184"/>
      <c r="J324" s="269"/>
      <c r="K324" s="465"/>
      <c r="L324" s="465"/>
      <c r="M324" s="465"/>
      <c r="N324" s="465"/>
      <c r="O324" s="163"/>
      <c r="P324" s="163"/>
    </row>
    <row r="325" spans="1:26" ht="18.75" hidden="1">
      <c r="A325" s="170"/>
      <c r="B325" s="171"/>
      <c r="C325" s="171"/>
      <c r="D325" s="343" t="s">
        <v>147</v>
      </c>
      <c r="E325" s="342"/>
      <c r="F325" s="415"/>
      <c r="G325" s="179"/>
      <c r="H325" s="589" t="s">
        <v>146</v>
      </c>
      <c r="I325" s="269">
        <f ca="1">IFERROR(__xludf.DUMMYFUNCTION("IMPORTRANGE(""https://docs.google.com/spreadsheets/d/1QqKyyYR6Q21VydFLVH3TRQUabQu_ym0Zz7PgGX0-kHA/edit?usp=sharing"",""แผน!EF20"")"),0)</f>
        <v>0</v>
      </c>
      <c r="J325" s="214">
        <v>0</v>
      </c>
      <c r="K325" s="465">
        <f ca="1">IF(I325&gt;0,J325*100/I325,0)</f>
        <v>0</v>
      </c>
      <c r="L325" s="465"/>
      <c r="M325" s="465"/>
      <c r="N325" s="465"/>
      <c r="O325" s="163"/>
      <c r="P325" s="163"/>
    </row>
    <row r="326" spans="1:26" ht="19.5">
      <c r="A326" s="400" t="s">
        <v>148</v>
      </c>
      <c r="B326" s="401"/>
      <c r="C326" s="401"/>
      <c r="D326" s="402"/>
      <c r="E326" s="401"/>
      <c r="F326" s="401"/>
      <c r="G326" s="401"/>
      <c r="H326" s="417"/>
      <c r="I326" s="405"/>
      <c r="J326" s="405"/>
      <c r="K326" s="406"/>
      <c r="L326" s="406"/>
      <c r="M326" s="406"/>
      <c r="N326" s="406"/>
      <c r="O326" s="406"/>
      <c r="P326" s="406"/>
    </row>
    <row r="327" spans="1:26" ht="19.5">
      <c r="A327" s="407"/>
      <c r="B327" s="408" t="s">
        <v>149</v>
      </c>
      <c r="C327" s="420"/>
      <c r="D327" s="409"/>
      <c r="E327" s="409"/>
      <c r="F327" s="409"/>
      <c r="G327" s="410"/>
      <c r="H327" s="411" t="s">
        <v>35</v>
      </c>
      <c r="I327" s="412">
        <f ca="1">IFERROR(__xludf.DUMMYFUNCTION("IMPORTRANGE(""https://docs.google.com/spreadsheets/d/1QqKyyYR6Q21VydFLVH3TRQUabQu_ym0Zz7PgGX0-kHA/edit?usp=sharing"",""แผน!EG20"")"),1600)</f>
        <v>1600</v>
      </c>
      <c r="J327" s="412">
        <f ca="1">J338+J341+J342+J343</f>
        <v>648</v>
      </c>
      <c r="K327" s="413">
        <f ca="1">IF(I327&gt;0,J327*100/I327,0)</f>
        <v>40.5</v>
      </c>
      <c r="L327" s="414"/>
      <c r="M327" s="414"/>
      <c r="N327" s="414"/>
      <c r="O327" s="414"/>
      <c r="P327" s="414"/>
    </row>
    <row r="328" spans="1:26" ht="19.5">
      <c r="A328" s="147"/>
      <c r="B328" s="148"/>
      <c r="C328" s="149" t="s">
        <v>16</v>
      </c>
      <c r="D328" s="817" t="s">
        <v>17</v>
      </c>
      <c r="E328" s="148"/>
      <c r="F328" s="148"/>
      <c r="G328" s="151"/>
      <c r="H328" s="152" t="s">
        <v>12</v>
      </c>
      <c r="I328" s="388"/>
      <c r="J328" s="388"/>
      <c r="K328" s="154"/>
      <c r="L328" s="155">
        <f t="shared" ref="L328:N328" ca="1" si="148">L329+L330</f>
        <v>168000</v>
      </c>
      <c r="M328" s="155">
        <f t="shared" ca="1" si="148"/>
        <v>84000</v>
      </c>
      <c r="N328" s="155">
        <f t="shared" ca="1" si="148"/>
        <v>8880</v>
      </c>
      <c r="O328" s="155">
        <f t="shared" ref="O328:O336" ca="1" si="149">IF(L328&gt;0,N328*100/L328,0)</f>
        <v>5.2857142857142856</v>
      </c>
      <c r="P328" s="155">
        <f t="shared" ref="P328:P336" ca="1" si="150">IF(M328&gt;0,N328*100/M328,0)</f>
        <v>10.571428571428571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2" t="s">
        <v>18</v>
      </c>
      <c r="F329" s="40"/>
      <c r="G329" s="157"/>
      <c r="H329" s="158" t="s">
        <v>12</v>
      </c>
      <c r="I329" s="583"/>
      <c r="J329" s="583"/>
      <c r="K329" s="93"/>
      <c r="L329" s="93">
        <f t="shared" ref="L329:N330" si="151">L332+L335</f>
        <v>0</v>
      </c>
      <c r="M329" s="93">
        <f t="shared" si="151"/>
        <v>0</v>
      </c>
      <c r="N329" s="93">
        <f t="shared" si="151"/>
        <v>0</v>
      </c>
      <c r="O329" s="93">
        <f t="shared" si="149"/>
        <v>0</v>
      </c>
      <c r="P329" s="93">
        <f t="shared" si="150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2" t="s">
        <v>19</v>
      </c>
      <c r="F330" s="40"/>
      <c r="G330" s="157"/>
      <c r="H330" s="158" t="s">
        <v>12</v>
      </c>
      <c r="I330" s="583"/>
      <c r="J330" s="583"/>
      <c r="K330" s="93"/>
      <c r="L330" s="93">
        <f t="shared" ca="1" si="151"/>
        <v>168000</v>
      </c>
      <c r="M330" s="93">
        <f t="shared" ca="1" si="151"/>
        <v>84000</v>
      </c>
      <c r="N330" s="93">
        <f t="shared" ca="1" si="151"/>
        <v>8880</v>
      </c>
      <c r="O330" s="93">
        <f t="shared" ca="1" si="149"/>
        <v>5.2857142857142856</v>
      </c>
      <c r="P330" s="93">
        <f t="shared" ca="1" si="150"/>
        <v>10.571428571428571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1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65">
        <f t="shared" ref="L331:N331" ca="1" si="152">L332+L333</f>
        <v>168000</v>
      </c>
      <c r="M331" s="465">
        <f t="shared" ca="1" si="152"/>
        <v>84000</v>
      </c>
      <c r="N331" s="465">
        <f t="shared" ca="1" si="152"/>
        <v>8880</v>
      </c>
      <c r="O331" s="465">
        <f t="shared" ca="1" si="149"/>
        <v>5.2857142857142856</v>
      </c>
      <c r="P331" s="465">
        <f t="shared" ca="1" si="150"/>
        <v>10.571428571428571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2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49"/>
        <v>0</v>
      </c>
      <c r="P332" s="93">
        <f t="shared" si="150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2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IFERROR(__xludf.DUMMYFUNCTION("IMPORTRANGE(""https://docs.google.com/spreadsheets/d/1MeEWN-I1oV_STSDYn1IFDPWt_1FKiwhDph83XaGc0o0/edit?usp=sharing"",""งบพรบ!EM20"")"),168000)</f>
        <v>168000</v>
      </c>
      <c r="M333" s="93">
        <f ca="1">IFERROR(__xludf.DUMMYFUNCTION("IMPORTRANGE(""https://docs.google.com/spreadsheets/d/1MeEWN-I1oV_STSDYn1IFDPWt_1FKiwhDph83XaGc0o0/edit?usp=sharing"",""งบพรบ!ER20"")"),84000)</f>
        <v>84000</v>
      </c>
      <c r="N333" s="93">
        <f ca="1">IFERROR(__xludf.DUMMYFUNCTION("IMPORTRANGE(""https://docs.google.com/spreadsheets/d/1MeEWN-I1oV_STSDYn1IFDPWt_1FKiwhDph83XaGc0o0/edit?usp=sharing"",""งบพรบ!ET20"")"),8880)</f>
        <v>8880</v>
      </c>
      <c r="O333" s="93">
        <f t="shared" ca="1" si="149"/>
        <v>5.2857142857142856</v>
      </c>
      <c r="P333" s="93">
        <f t="shared" ca="1" si="150"/>
        <v>10.571428571428571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1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65">
        <f t="shared" ref="L334:N334" ca="1" si="153">L335+L336</f>
        <v>0</v>
      </c>
      <c r="M334" s="465">
        <f t="shared" ca="1" si="153"/>
        <v>0</v>
      </c>
      <c r="N334" s="465">
        <f t="shared" ca="1" si="153"/>
        <v>0</v>
      </c>
      <c r="O334" s="465">
        <f t="shared" ca="1" si="149"/>
        <v>0</v>
      </c>
      <c r="P334" s="465">
        <f t="shared" ca="1" si="150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2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49"/>
        <v>0</v>
      </c>
      <c r="P335" s="93">
        <f t="shared" si="150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2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IFERROR(__xludf.DUMMYFUNCTION("IMPORTRANGE(""https://docs.google.com/spreadsheets/d/1MeEWN-I1oV_STSDYn1IFDPWt_1FKiwhDph83XaGc0o0/edit?usp=sharing"",""งบพรบ!EP20"")"),0)</f>
        <v>0</v>
      </c>
      <c r="M336" s="93">
        <f ca="1">IFERROR(__xludf.DUMMYFUNCTION("IMPORTRANGE(""https://docs.google.com/spreadsheets/d/1MeEWN-I1oV_STSDYn1IFDPWt_1FKiwhDph83XaGc0o0/edit?usp=sharing"",""งบพรบ!ES20"")"),0)</f>
        <v>0</v>
      </c>
      <c r="N336" s="93">
        <f ca="1">IFERROR(__xludf.DUMMYFUNCTION("IMPORTRANGE(""https://docs.google.com/spreadsheets/d/1MeEWN-I1oV_STSDYn1IFDPWt_1FKiwhDph83XaGc0o0/edit?usp=sharing"",""งบพรบ!EU20"")"),0)</f>
        <v>0</v>
      </c>
      <c r="O336" s="93">
        <f t="shared" ca="1" si="149"/>
        <v>0</v>
      </c>
      <c r="P336" s="93">
        <f t="shared" ca="1" si="150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18" t="s">
        <v>38</v>
      </c>
      <c r="E337" s="173"/>
      <c r="F337" s="173"/>
      <c r="G337" s="174"/>
      <c r="H337" s="726"/>
      <c r="I337" s="184"/>
      <c r="J337" s="269"/>
      <c r="K337" s="465"/>
      <c r="L337" s="465"/>
      <c r="M337" s="465"/>
      <c r="N337" s="465"/>
      <c r="O337" s="163"/>
      <c r="P337" s="163"/>
    </row>
    <row r="338" spans="1:26" ht="18.75">
      <c r="A338" s="283"/>
      <c r="B338" s="33"/>
      <c r="C338" s="280"/>
      <c r="D338" s="415" t="s">
        <v>150</v>
      </c>
      <c r="E338" s="171"/>
      <c r="F338" s="33"/>
      <c r="G338" s="35"/>
      <c r="H338" s="276" t="s">
        <v>35</v>
      </c>
      <c r="I338" s="269">
        <f ca="1">IFERROR(__xludf.DUMMYFUNCTION("IMPORTRANGE(""https://docs.google.com/spreadsheets/d/1QqKyyYR6Q21VydFLVH3TRQUabQu_ym0Zz7PgGX0-kHA/edit?usp=sharing"",""แผน!EG20"")"),1600)</f>
        <v>1600</v>
      </c>
      <c r="J338" s="269">
        <f ca="1">IFERROR(__xludf.DUMMYFUNCTION("IMPORTRANGE(""https://docs.google.com/spreadsheets/d/1kVcqe37tkHyjCSG3S0O1AXqVkqjo8mSIZil3BcpIysc/edit?usp=sharing"",""ศูนย์!D20"")"),648)</f>
        <v>648</v>
      </c>
      <c r="K338" s="465">
        <f ca="1">IF(I338&gt;0,J338*100/I338,0)</f>
        <v>40.5</v>
      </c>
      <c r="L338" s="465"/>
      <c r="M338" s="465"/>
      <c r="N338" s="465"/>
      <c r="O338" s="465"/>
      <c r="P338" s="465"/>
    </row>
    <row r="339" spans="1:26" ht="18.75">
      <c r="A339" s="283"/>
      <c r="B339" s="33"/>
      <c r="C339" s="280"/>
      <c r="D339" s="415" t="s">
        <v>151</v>
      </c>
      <c r="E339" s="171"/>
      <c r="F339" s="33"/>
      <c r="G339" s="35"/>
      <c r="H339" s="276"/>
      <c r="I339" s="269"/>
      <c r="J339" s="269"/>
      <c r="K339" s="465"/>
      <c r="L339" s="465"/>
      <c r="M339" s="465"/>
      <c r="N339" s="465"/>
      <c r="O339" s="465"/>
      <c r="P339" s="465"/>
    </row>
    <row r="340" spans="1:26" ht="18.75">
      <c r="A340" s="283"/>
      <c r="B340" s="33"/>
      <c r="C340" s="280"/>
      <c r="D340" s="342"/>
      <c r="E340" s="415" t="s">
        <v>152</v>
      </c>
      <c r="F340" s="33"/>
      <c r="G340" s="35"/>
      <c r="H340" s="276" t="s">
        <v>153</v>
      </c>
      <c r="I340" s="269">
        <f ca="1">IFERROR(__xludf.DUMMYFUNCTION("IMPORTRANGE(""https://docs.google.com/spreadsheets/d/1QqKyyYR6Q21VydFLVH3TRQUabQu_ym0Zz7PgGX0-kHA/edit?usp=sharing"",""แผน!EH20"")"),5)</f>
        <v>5</v>
      </c>
      <c r="J340" s="269">
        <f ca="1">IFERROR(__xludf.DUMMYFUNCTION("IMPORTRANGE(""https://docs.google.com/spreadsheets/d/1kVcqe37tkHyjCSG3S0O1AXqVkqjo8mSIZil3BcpIysc/edit?usp=sharing"",""ศูนย์!E20"")"),0)</f>
        <v>0</v>
      </c>
      <c r="K340" s="465">
        <f ca="1">IF(I340&gt;0,J340*100/I340,0)</f>
        <v>0</v>
      </c>
      <c r="L340" s="465"/>
      <c r="M340" s="465"/>
      <c r="N340" s="465"/>
      <c r="O340" s="465"/>
      <c r="P340" s="465"/>
    </row>
    <row r="341" spans="1:26" ht="18.75">
      <c r="A341" s="283"/>
      <c r="B341" s="33"/>
      <c r="C341" s="280"/>
      <c r="D341" s="342"/>
      <c r="E341" s="415" t="s">
        <v>154</v>
      </c>
      <c r="F341" s="33"/>
      <c r="G341" s="35"/>
      <c r="H341" s="276" t="s">
        <v>35</v>
      </c>
      <c r="I341" s="269"/>
      <c r="J341" s="269">
        <f ca="1">IFERROR(__xludf.DUMMYFUNCTION("IMPORTRANGE(""https://docs.google.com/spreadsheets/d/1kVcqe37tkHyjCSG3S0O1AXqVkqjo8mSIZil3BcpIysc/edit?usp=sharing"",""ศูนย์!F20"")"),0)</f>
        <v>0</v>
      </c>
      <c r="K341" s="465"/>
      <c r="L341" s="465"/>
      <c r="M341" s="465"/>
      <c r="N341" s="465"/>
      <c r="O341" s="465"/>
      <c r="P341" s="465"/>
    </row>
    <row r="342" spans="1:26" ht="18.75">
      <c r="A342" s="283"/>
      <c r="B342" s="33"/>
      <c r="C342" s="280"/>
      <c r="D342" s="415" t="s">
        <v>155</v>
      </c>
      <c r="E342" s="342"/>
      <c r="F342" s="342"/>
      <c r="G342" s="35"/>
      <c r="H342" s="276" t="s">
        <v>35</v>
      </c>
      <c r="I342" s="269"/>
      <c r="J342" s="269">
        <f ca="1">IFERROR(__xludf.DUMMYFUNCTION("IMPORTRANGE(""https://docs.google.com/spreadsheets/d/1kVcqe37tkHyjCSG3S0O1AXqVkqjo8mSIZil3BcpIysc/edit?usp=sharing"",""ศูนย์!G20"")"),0)</f>
        <v>0</v>
      </c>
      <c r="K342" s="465"/>
      <c r="L342" s="465"/>
      <c r="M342" s="465"/>
      <c r="N342" s="465"/>
      <c r="O342" s="465"/>
      <c r="P342" s="465"/>
    </row>
    <row r="343" spans="1:26" ht="18.75">
      <c r="A343" s="283"/>
      <c r="B343" s="33"/>
      <c r="C343" s="280"/>
      <c r="D343" s="415" t="s">
        <v>156</v>
      </c>
      <c r="E343" s="342"/>
      <c r="F343" s="342"/>
      <c r="G343" s="35"/>
      <c r="H343" s="276" t="s">
        <v>35</v>
      </c>
      <c r="I343" s="269"/>
      <c r="J343" s="269">
        <f ca="1">IFERROR(__xludf.DUMMYFUNCTION("IMPORTRANGE(""https://docs.google.com/spreadsheets/d/1kVcqe37tkHyjCSG3S0O1AXqVkqjo8mSIZil3BcpIysc/edit?usp=sharing"",""ศูนย์!H20"")"),0)</f>
        <v>0</v>
      </c>
      <c r="K343" s="465"/>
      <c r="L343" s="465"/>
      <c r="M343" s="465"/>
      <c r="N343" s="465"/>
      <c r="O343" s="465"/>
      <c r="P343" s="465"/>
    </row>
    <row r="344" spans="1:26" ht="19.5">
      <c r="A344" s="407"/>
      <c r="B344" s="408" t="s">
        <v>157</v>
      </c>
      <c r="C344" s="420"/>
      <c r="D344" s="409"/>
      <c r="E344" s="409"/>
      <c r="F344" s="409"/>
      <c r="G344" s="410"/>
      <c r="H344" s="411"/>
      <c r="I344" s="421"/>
      <c r="J344" s="421"/>
      <c r="K344" s="414"/>
      <c r="L344" s="414"/>
      <c r="M344" s="414"/>
      <c r="N344" s="414"/>
      <c r="O344" s="414"/>
      <c r="P344" s="414"/>
    </row>
    <row r="345" spans="1:26" ht="19.5">
      <c r="A345" s="147"/>
      <c r="B345" s="148"/>
      <c r="C345" s="149" t="s">
        <v>16</v>
      </c>
      <c r="D345" s="817" t="s">
        <v>17</v>
      </c>
      <c r="E345" s="148"/>
      <c r="F345" s="148"/>
      <c r="G345" s="151"/>
      <c r="H345" s="152" t="s">
        <v>12</v>
      </c>
      <c r="I345" s="388"/>
      <c r="J345" s="388"/>
      <c r="K345" s="154"/>
      <c r="L345" s="155">
        <f t="shared" ref="L345:N345" ca="1" si="154">L346+L347</f>
        <v>590000</v>
      </c>
      <c r="M345" s="155">
        <f t="shared" ca="1" si="154"/>
        <v>343900</v>
      </c>
      <c r="N345" s="155">
        <f t="shared" ca="1" si="154"/>
        <v>160718.07</v>
      </c>
      <c r="O345" s="155">
        <f t="shared" ref="O345:O353" ca="1" si="155">IF(L345&gt;0,N345*100/L345,0)</f>
        <v>27.240350847457627</v>
      </c>
      <c r="P345" s="155">
        <f t="shared" ref="P345:P353" ca="1" si="156">IF(M345&gt;0,N345*100/M345,0)</f>
        <v>46.733954637976154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2" t="s">
        <v>18</v>
      </c>
      <c r="F346" s="40"/>
      <c r="G346" s="157"/>
      <c r="H346" s="158" t="s">
        <v>12</v>
      </c>
      <c r="I346" s="583"/>
      <c r="J346" s="583"/>
      <c r="K346" s="93"/>
      <c r="L346" s="93">
        <f t="shared" ref="L346:N347" si="157">L349+L352</f>
        <v>0</v>
      </c>
      <c r="M346" s="93">
        <f t="shared" si="157"/>
        <v>0</v>
      </c>
      <c r="N346" s="93">
        <f t="shared" si="157"/>
        <v>0</v>
      </c>
      <c r="O346" s="93">
        <f t="shared" si="155"/>
        <v>0</v>
      </c>
      <c r="P346" s="93">
        <f t="shared" si="156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2" t="s">
        <v>19</v>
      </c>
      <c r="F347" s="40"/>
      <c r="G347" s="157"/>
      <c r="H347" s="158" t="s">
        <v>12</v>
      </c>
      <c r="I347" s="583"/>
      <c r="J347" s="583"/>
      <c r="K347" s="93"/>
      <c r="L347" s="93">
        <f t="shared" ca="1" si="157"/>
        <v>590000</v>
      </c>
      <c r="M347" s="93">
        <f t="shared" ca="1" si="157"/>
        <v>343900</v>
      </c>
      <c r="N347" s="93">
        <f t="shared" ca="1" si="157"/>
        <v>160718.07</v>
      </c>
      <c r="O347" s="93">
        <f t="shared" ca="1" si="155"/>
        <v>27.240350847457627</v>
      </c>
      <c r="P347" s="93">
        <f t="shared" ca="1" si="156"/>
        <v>46.733954637976154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1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65">
        <f t="shared" ref="L348:N348" ca="1" si="158">L349+L350</f>
        <v>492200</v>
      </c>
      <c r="M348" s="465">
        <f t="shared" ca="1" si="158"/>
        <v>246100</v>
      </c>
      <c r="N348" s="465">
        <f t="shared" ca="1" si="158"/>
        <v>62918.07</v>
      </c>
      <c r="O348" s="465">
        <f t="shared" ca="1" si="155"/>
        <v>12.783029256399837</v>
      </c>
      <c r="P348" s="465">
        <f t="shared" ca="1" si="156"/>
        <v>25.566058512799675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2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5"/>
        <v>0</v>
      </c>
      <c r="P349" s="93">
        <f t="shared" si="156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2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IFERROR(__xludf.DUMMYFUNCTION("IMPORTRANGE(""https://docs.google.com/spreadsheets/d/1MeEWN-I1oV_STSDYn1IFDPWt_1FKiwhDph83XaGc0o0/edit?usp=sharing"",""งบพรบ!EW20"")"),492200)</f>
        <v>492200</v>
      </c>
      <c r="M350" s="93">
        <f ca="1">IFERROR(__xludf.DUMMYFUNCTION("IMPORTRANGE(""https://docs.google.com/spreadsheets/d/1MeEWN-I1oV_STSDYn1IFDPWt_1FKiwhDph83XaGc0o0/edit?usp=sharing"",""งบพรบ!FB20"")"),246100)</f>
        <v>246100</v>
      </c>
      <c r="N350" s="93">
        <f ca="1">IFERROR(__xludf.DUMMYFUNCTION("IMPORTRANGE(""https://docs.google.com/spreadsheets/d/1MeEWN-I1oV_STSDYn1IFDPWt_1FKiwhDph83XaGc0o0/edit?usp=sharing"",""งบพรบ!FD20"")"),62918.07)</f>
        <v>62918.07</v>
      </c>
      <c r="O350" s="93">
        <f t="shared" ca="1" si="155"/>
        <v>12.783029256399837</v>
      </c>
      <c r="P350" s="93">
        <f t="shared" ca="1" si="156"/>
        <v>25.566058512799675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1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65">
        <f t="shared" ref="L351:N351" ca="1" si="159">L352+L353</f>
        <v>97800</v>
      </c>
      <c r="M351" s="465">
        <f t="shared" ca="1" si="159"/>
        <v>97800</v>
      </c>
      <c r="N351" s="465">
        <f t="shared" ca="1" si="159"/>
        <v>97800</v>
      </c>
      <c r="O351" s="465">
        <f t="shared" ca="1" si="155"/>
        <v>100</v>
      </c>
      <c r="P351" s="465">
        <f t="shared" ca="1" si="156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2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5"/>
        <v>0</v>
      </c>
      <c r="P352" s="93">
        <f t="shared" si="156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2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IFERROR(__xludf.DUMMYFUNCTION("IMPORTRANGE(""https://docs.google.com/spreadsheets/d/1MeEWN-I1oV_STSDYn1IFDPWt_1FKiwhDph83XaGc0o0/edit?usp=sharing"",""งบพรบ!EZ20"")"),97800)</f>
        <v>97800</v>
      </c>
      <c r="M353" s="93">
        <f ca="1">IFERROR(__xludf.DUMMYFUNCTION("IMPORTRANGE(""https://docs.google.com/spreadsheets/d/1MeEWN-I1oV_STSDYn1IFDPWt_1FKiwhDph83XaGc0o0/edit?usp=sharing"",""งบพรบ!FC20"")"),97800)</f>
        <v>97800</v>
      </c>
      <c r="N353" s="93">
        <f ca="1">IFERROR(__xludf.DUMMYFUNCTION("IMPORTRANGE(""https://docs.google.com/spreadsheets/d/1MeEWN-I1oV_STSDYn1IFDPWt_1FKiwhDph83XaGc0o0/edit?usp=sharing"",""งบพรบ!FE20"")"),97800)</f>
        <v>97800</v>
      </c>
      <c r="O353" s="93">
        <f t="shared" ca="1" si="155"/>
        <v>100</v>
      </c>
      <c r="P353" s="93">
        <f t="shared" ca="1" si="156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5"/>
      <c r="B354" s="263"/>
      <c r="C354" s="256"/>
      <c r="D354" s="845" t="s">
        <v>158</v>
      </c>
      <c r="E354" s="256"/>
      <c r="F354" s="256"/>
      <c r="G354" s="258"/>
      <c r="H354" s="423"/>
      <c r="I354" s="260"/>
      <c r="J354" s="260"/>
      <c r="K354" s="261"/>
      <c r="L354" s="261"/>
      <c r="M354" s="261"/>
      <c r="N354" s="261"/>
      <c r="O354" s="261"/>
      <c r="P354" s="261"/>
    </row>
    <row r="355" spans="1:26" ht="19.5">
      <c r="A355" s="424"/>
      <c r="B355" s="425"/>
      <c r="C355" s="426"/>
      <c r="D355" s="846" t="s">
        <v>159</v>
      </c>
      <c r="E355" s="428"/>
      <c r="F355" s="428"/>
      <c r="G355" s="429"/>
      <c r="H355" s="430" t="s">
        <v>35</v>
      </c>
      <c r="I355" s="432">
        <f ca="1">IFERROR(__xludf.DUMMYFUNCTION("IMPORTRANGE(""https://docs.google.com/spreadsheets/d/1QqKyyYR6Q21VydFLVH3TRQUabQu_ym0Zz7PgGX0-kHA/edit?usp=sharing"",""แผน!EP20"")"),240)</f>
        <v>240</v>
      </c>
      <c r="J355" s="432">
        <f ca="1">J362</f>
        <v>7</v>
      </c>
      <c r="K355" s="433">
        <f ca="1">IF(I355&gt;0,J355*100/I355,0)</f>
        <v>2.9166666666666665</v>
      </c>
      <c r="L355" s="434"/>
      <c r="M355" s="434"/>
      <c r="N355" s="434"/>
      <c r="O355" s="434"/>
      <c r="P355" s="434"/>
    </row>
    <row r="356" spans="1:26" ht="19.5">
      <c r="A356" s="424"/>
      <c r="B356" s="425"/>
      <c r="C356" s="426"/>
      <c r="D356" s="435" t="s">
        <v>160</v>
      </c>
      <c r="E356" s="428"/>
      <c r="F356" s="428"/>
      <c r="G356" s="429"/>
      <c r="H356" s="436"/>
      <c r="I356" s="437"/>
      <c r="J356" s="437"/>
      <c r="K356" s="434"/>
      <c r="L356" s="434"/>
      <c r="M356" s="434"/>
      <c r="N356" s="434"/>
      <c r="O356" s="434"/>
      <c r="P356" s="434"/>
    </row>
    <row r="357" spans="1:26" ht="19.5">
      <c r="A357" s="170"/>
      <c r="B357" s="171"/>
      <c r="C357" s="164" t="s">
        <v>16</v>
      </c>
      <c r="D357" s="818" t="s">
        <v>38</v>
      </c>
      <c r="E357" s="173"/>
      <c r="F357" s="173"/>
      <c r="G357" s="174"/>
      <c r="H357" s="726"/>
      <c r="I357" s="269"/>
      <c r="J357" s="269"/>
      <c r="K357" s="465"/>
      <c r="L357" s="163"/>
      <c r="M357" s="163"/>
      <c r="N357" s="163"/>
      <c r="O357" s="163"/>
      <c r="P357" s="163"/>
    </row>
    <row r="358" spans="1:26" ht="18.75">
      <c r="A358" s="170"/>
      <c r="B358" s="342"/>
      <c r="C358" s="171"/>
      <c r="D358" s="342"/>
      <c r="E358" s="343" t="s">
        <v>161</v>
      </c>
      <c r="F358" s="342"/>
      <c r="G358" s="179"/>
      <c r="H358" s="185" t="s">
        <v>35</v>
      </c>
      <c r="I358" s="269">
        <v>0</v>
      </c>
      <c r="J358" s="269">
        <f ca="1">IFERROR(__xludf.DUMMYFUNCTION("IMPORTRANGE(""https://docs.google.com/spreadsheets/d/1XWAQStnk-4SwqDmLtmXYiTMKHgktTP8We1SCoS47DrQ/edit?usp=sharing"",""จัดที่ดิน!W20"")"),14)</f>
        <v>14</v>
      </c>
      <c r="K358" s="465">
        <f t="shared" ref="K358:K365" si="160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342"/>
      <c r="C359" s="171"/>
      <c r="D359" s="342"/>
      <c r="E359" s="342"/>
      <c r="F359" s="342"/>
      <c r="G359" s="179"/>
      <c r="H359" s="185" t="s">
        <v>46</v>
      </c>
      <c r="I359" s="269">
        <f ca="1">IFERROR(__xludf.DUMMYFUNCTION("IMPORTRANGE(""https://docs.google.com/spreadsheets/d/1QqKyyYR6Q21VydFLVH3TRQUabQu_ym0Zz7PgGX0-kHA/edit?usp=sharing"",""แผน!EO20"")"),2000)</f>
        <v>2000</v>
      </c>
      <c r="J359" s="269">
        <f ca="1">IFERROR(__xludf.DUMMYFUNCTION("IMPORTRANGE(""https://docs.google.com/spreadsheets/d/1XWAQStnk-4SwqDmLtmXYiTMKHgktTP8We1SCoS47DrQ/edit?usp=sharing"",""จัดที่ดิน!X20"")"),90.16)</f>
        <v>90.16</v>
      </c>
      <c r="K359" s="465">
        <f t="shared" ca="1" si="160"/>
        <v>4.508</v>
      </c>
      <c r="L359" s="163"/>
      <c r="M359" s="163"/>
      <c r="N359" s="163"/>
      <c r="O359" s="163"/>
      <c r="P359" s="163"/>
    </row>
    <row r="360" spans="1:26" ht="18.75">
      <c r="A360" s="170"/>
      <c r="B360" s="342"/>
      <c r="C360" s="171"/>
      <c r="D360" s="342"/>
      <c r="E360" s="343" t="s">
        <v>162</v>
      </c>
      <c r="F360" s="342"/>
      <c r="G360" s="179"/>
      <c r="H360" s="728" t="s">
        <v>35</v>
      </c>
      <c r="I360" s="269">
        <f ca="1">IFERROR(__xludf.DUMMYFUNCTION("IMPORTRANGE(""https://docs.google.com/spreadsheets/d/1QqKyyYR6Q21VydFLVH3TRQUabQu_ym0Zz7PgGX0-kHA/edit?usp=sharing"",""แผน!EP20"")"),240)</f>
        <v>240</v>
      </c>
      <c r="J360" s="269">
        <f ca="1">IFERROR(__xludf.DUMMYFUNCTION("IMPORTRANGE(""https://docs.google.com/spreadsheets/d/1XWAQStnk-4SwqDmLtmXYiTMKHgktTP8We1SCoS47DrQ/edit?usp=sharing"",""จัดที่ดิน!Y20"")"),7)</f>
        <v>7</v>
      </c>
      <c r="K360" s="465">
        <f t="shared" ca="1" si="160"/>
        <v>2.9166666666666665</v>
      </c>
      <c r="L360" s="163"/>
      <c r="M360" s="163"/>
      <c r="N360" s="163"/>
      <c r="O360" s="163"/>
      <c r="P360" s="163"/>
    </row>
    <row r="361" spans="1:26" ht="18.75">
      <c r="A361" s="170"/>
      <c r="B361" s="342"/>
      <c r="C361" s="171"/>
      <c r="D361" s="342"/>
      <c r="E361" s="342"/>
      <c r="F361" s="342"/>
      <c r="G361" s="179"/>
      <c r="H361" s="728" t="s">
        <v>46</v>
      </c>
      <c r="I361" s="269">
        <v>0</v>
      </c>
      <c r="J361" s="269">
        <f ca="1">IFERROR(__xludf.DUMMYFUNCTION("IMPORTRANGE(""https://docs.google.com/spreadsheets/d/1XWAQStnk-4SwqDmLtmXYiTMKHgktTP8We1SCoS47DrQ/edit?usp=sharing"",""จัดที่ดิน!Z20"")"),49.8499999999999)</f>
        <v>49.849999999999902</v>
      </c>
      <c r="K361" s="465">
        <f t="shared" si="160"/>
        <v>0</v>
      </c>
      <c r="L361" s="163"/>
      <c r="M361" s="163"/>
      <c r="N361" s="163"/>
      <c r="O361" s="163"/>
      <c r="P361" s="163"/>
    </row>
    <row r="362" spans="1:26" ht="18.75">
      <c r="A362" s="170"/>
      <c r="B362" s="342"/>
      <c r="C362" s="171"/>
      <c r="D362" s="342"/>
      <c r="E362" s="343" t="s">
        <v>163</v>
      </c>
      <c r="F362" s="342"/>
      <c r="G362" s="179"/>
      <c r="H362" s="728" t="s">
        <v>35</v>
      </c>
      <c r="I362" s="269">
        <f ca="1">IFERROR(__xludf.DUMMYFUNCTION("IMPORTRANGE(""https://docs.google.com/spreadsheets/d/1QqKyyYR6Q21VydFLVH3TRQUabQu_ym0Zz7PgGX0-kHA/edit?usp=sharing"",""แผน!EP20"")"),240)</f>
        <v>240</v>
      </c>
      <c r="J362" s="269">
        <f ca="1">IFERROR(__xludf.DUMMYFUNCTION("IMPORTRANGE(""https://docs.google.com/spreadsheets/d/1XWAQStnk-4SwqDmLtmXYiTMKHgktTP8We1SCoS47DrQ/edit?usp=sharing"",""จัดที่ดิน!AA20"")"),7)</f>
        <v>7</v>
      </c>
      <c r="K362" s="465">
        <f t="shared" ca="1" si="160"/>
        <v>2.9166666666666665</v>
      </c>
      <c r="L362" s="163"/>
      <c r="M362" s="163"/>
      <c r="N362" s="163"/>
      <c r="O362" s="163"/>
      <c r="P362" s="163"/>
    </row>
    <row r="363" spans="1:26" ht="18.75">
      <c r="A363" s="438" t="s">
        <v>164</v>
      </c>
      <c r="B363" s="342"/>
      <c r="C363" s="171"/>
      <c r="D363" s="342"/>
      <c r="E363" s="415"/>
      <c r="F363" s="342"/>
      <c r="G363" s="179"/>
      <c r="H363" s="728" t="s">
        <v>46</v>
      </c>
      <c r="I363" s="269">
        <v>0</v>
      </c>
      <c r="J363" s="269">
        <f ca="1">IFERROR(__xludf.DUMMYFUNCTION("IMPORTRANGE(""https://docs.google.com/spreadsheets/d/1XWAQStnk-4SwqDmLtmXYiTMKHgktTP8We1SCoS47DrQ/edit?usp=sharing"",""จัดที่ดิน!AB20"")"),33.93)</f>
        <v>33.93</v>
      </c>
      <c r="K363" s="465">
        <f t="shared" si="160"/>
        <v>0</v>
      </c>
      <c r="L363" s="163"/>
      <c r="M363" s="163"/>
      <c r="N363" s="163"/>
      <c r="O363" s="163"/>
      <c r="P363" s="163"/>
    </row>
    <row r="364" spans="1:26" ht="19.5">
      <c r="A364" s="439"/>
      <c r="B364" s="440"/>
      <c r="C364" s="441"/>
      <c r="D364" s="442" t="s">
        <v>165</v>
      </c>
      <c r="E364" s="443"/>
      <c r="F364" s="443"/>
      <c r="G364" s="444"/>
      <c r="H364" s="445" t="s">
        <v>35</v>
      </c>
      <c r="I364" s="446">
        <f t="shared" ref="I364:J364" ca="1" si="161">I365+I374</f>
        <v>440</v>
      </c>
      <c r="J364" s="446">
        <f t="shared" ca="1" si="161"/>
        <v>39</v>
      </c>
      <c r="K364" s="447">
        <f t="shared" ca="1" si="160"/>
        <v>8.8636363636363633</v>
      </c>
      <c r="L364" s="448"/>
      <c r="M364" s="448"/>
      <c r="N364" s="448"/>
      <c r="O364" s="448"/>
      <c r="P364" s="448"/>
      <c r="Q364" s="449"/>
      <c r="R364" s="449"/>
      <c r="S364" s="449"/>
      <c r="T364" s="449"/>
      <c r="U364" s="449"/>
      <c r="V364" s="449"/>
      <c r="W364" s="449"/>
      <c r="X364" s="449"/>
      <c r="Y364" s="449"/>
      <c r="Z364" s="449"/>
    </row>
    <row r="365" spans="1:26" ht="19.5">
      <c r="A365" s="450"/>
      <c r="B365" s="451"/>
      <c r="C365" s="453"/>
      <c r="D365" s="453" t="s">
        <v>166</v>
      </c>
      <c r="E365" s="454"/>
      <c r="F365" s="454"/>
      <c r="G365" s="455"/>
      <c r="H365" s="456" t="s">
        <v>35</v>
      </c>
      <c r="I365" s="458">
        <f ca="1">IFERROR(__xludf.DUMMYFUNCTION("IMPORTRANGE(""https://docs.google.com/spreadsheets/d/1QqKyyYR6Q21VydFLVH3TRQUabQu_ym0Zz7PgGX0-kHA/edit?usp=sharing"",""แผน!EJ20"")"),100)</f>
        <v>100</v>
      </c>
      <c r="J365" s="458">
        <f ca="1">J372</f>
        <v>0</v>
      </c>
      <c r="K365" s="459">
        <f t="shared" ca="1" si="160"/>
        <v>0</v>
      </c>
      <c r="L365" s="460"/>
      <c r="M365" s="460"/>
      <c r="N365" s="460"/>
      <c r="O365" s="460"/>
      <c r="P365" s="460"/>
      <c r="Q365" s="449"/>
      <c r="R365" s="449"/>
      <c r="S365" s="449"/>
      <c r="T365" s="449"/>
      <c r="U365" s="449"/>
      <c r="V365" s="449"/>
      <c r="W365" s="449"/>
      <c r="X365" s="449"/>
      <c r="Y365" s="449"/>
      <c r="Z365" s="449"/>
    </row>
    <row r="366" spans="1:26" ht="19.5">
      <c r="A366" s="450"/>
      <c r="B366" s="451"/>
      <c r="C366" s="453"/>
      <c r="D366" s="461" t="s">
        <v>167</v>
      </c>
      <c r="E366" s="454"/>
      <c r="F366" s="454"/>
      <c r="G366" s="455"/>
      <c r="H366" s="462"/>
      <c r="I366" s="463"/>
      <c r="J366" s="463"/>
      <c r="K366" s="460"/>
      <c r="L366" s="460"/>
      <c r="M366" s="460"/>
      <c r="N366" s="460"/>
      <c r="O366" s="460"/>
      <c r="P366" s="460"/>
      <c r="Q366" s="449"/>
      <c r="R366" s="449"/>
      <c r="S366" s="449"/>
      <c r="T366" s="449"/>
      <c r="U366" s="449"/>
      <c r="V366" s="449"/>
      <c r="W366" s="449"/>
      <c r="X366" s="449"/>
      <c r="Y366" s="449"/>
      <c r="Z366" s="449"/>
    </row>
    <row r="367" spans="1:26" ht="19.5">
      <c r="A367" s="170"/>
      <c r="B367" s="171"/>
      <c r="C367" s="164" t="s">
        <v>16</v>
      </c>
      <c r="D367" s="818" t="s">
        <v>38</v>
      </c>
      <c r="E367" s="173"/>
      <c r="F367" s="173"/>
      <c r="G367" s="174"/>
      <c r="H367" s="726"/>
      <c r="I367" s="269"/>
      <c r="J367" s="269"/>
      <c r="K367" s="465"/>
      <c r="L367" s="163"/>
      <c r="M367" s="163"/>
      <c r="N367" s="163"/>
      <c r="O367" s="163"/>
      <c r="P367" s="163"/>
    </row>
    <row r="368" spans="1:26" ht="18.75">
      <c r="A368" s="170"/>
      <c r="B368" s="342"/>
      <c r="C368" s="171"/>
      <c r="D368" s="342"/>
      <c r="E368" s="343" t="s">
        <v>161</v>
      </c>
      <c r="F368" s="342"/>
      <c r="G368" s="179"/>
      <c r="H368" s="185" t="s">
        <v>35</v>
      </c>
      <c r="I368" s="269">
        <v>0</v>
      </c>
      <c r="J368" s="269">
        <f ca="1">IFERROR(__xludf.DUMMYFUNCTION("IMPORTRANGE(""https://docs.google.com/spreadsheets/d/1XWAQStnk-4SwqDmLtmXYiTMKHgktTP8We1SCoS47DrQ/edit?usp=sharing"",""จัดที่ดิน!E20"")"),7)</f>
        <v>7</v>
      </c>
      <c r="K368" s="465">
        <f t="shared" ref="K368:K374" si="162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342"/>
      <c r="C369" s="171"/>
      <c r="D369" s="342"/>
      <c r="E369" s="342"/>
      <c r="F369" s="342"/>
      <c r="G369" s="179"/>
      <c r="H369" s="185" t="s">
        <v>46</v>
      </c>
      <c r="I369" s="269">
        <f ca="1">IFERROR(__xludf.DUMMYFUNCTION("IMPORTRANGE(""https://docs.google.com/spreadsheets/d/1QqKyyYR6Q21VydFLVH3TRQUabQu_ym0Zz7PgGX0-kHA/edit?usp=sharing"",""แผน!EI20"")"),1000)</f>
        <v>1000</v>
      </c>
      <c r="J369" s="269">
        <f ca="1">IFERROR(__xludf.DUMMYFUNCTION("IMPORTRANGE(""https://docs.google.com/spreadsheets/d/1XWAQStnk-4SwqDmLtmXYiTMKHgktTP8We1SCoS47DrQ/edit?usp=sharing"",""จัดที่ดิน!F20"")"),56.23)</f>
        <v>56.23</v>
      </c>
      <c r="K369" s="465">
        <f t="shared" ca="1" si="162"/>
        <v>5.6230000000000002</v>
      </c>
      <c r="L369" s="163"/>
      <c r="M369" s="163"/>
      <c r="N369" s="163"/>
      <c r="O369" s="163"/>
      <c r="P369" s="163"/>
    </row>
    <row r="370" spans="1:26" ht="18.75">
      <c r="A370" s="170"/>
      <c r="B370" s="342"/>
      <c r="C370" s="171"/>
      <c r="D370" s="342"/>
      <c r="E370" s="343" t="s">
        <v>162</v>
      </c>
      <c r="F370" s="342"/>
      <c r="G370" s="179"/>
      <c r="H370" s="728" t="s">
        <v>35</v>
      </c>
      <c r="I370" s="269">
        <f ca="1">IFERROR(__xludf.DUMMYFUNCTION("IMPORTRANGE(""https://docs.google.com/spreadsheets/d/1QqKyyYR6Q21VydFLVH3TRQUabQu_ym0Zz7PgGX0-kHA/edit?usp=sharing"",""แผน!EJ20"")"),100)</f>
        <v>100</v>
      </c>
      <c r="J370" s="269">
        <f ca="1">IFERROR(__xludf.DUMMYFUNCTION("IMPORTRANGE(""https://docs.google.com/spreadsheets/d/1XWAQStnk-4SwqDmLtmXYiTMKHgktTP8We1SCoS47DrQ/edit?usp=sharing"",""จัดที่ดิน!G20"")"),2)</f>
        <v>2</v>
      </c>
      <c r="K370" s="465">
        <f t="shared" ca="1" si="162"/>
        <v>2</v>
      </c>
      <c r="L370" s="163"/>
      <c r="M370" s="163"/>
      <c r="N370" s="163"/>
      <c r="O370" s="163"/>
      <c r="P370" s="163"/>
    </row>
    <row r="371" spans="1:26" ht="18.75">
      <c r="A371" s="170"/>
      <c r="B371" s="342"/>
      <c r="C371" s="171"/>
      <c r="D371" s="342"/>
      <c r="E371" s="342"/>
      <c r="F371" s="342"/>
      <c r="G371" s="179"/>
      <c r="H371" s="728" t="s">
        <v>46</v>
      </c>
      <c r="I371" s="269">
        <v>0</v>
      </c>
      <c r="J371" s="269">
        <f ca="1">IFERROR(__xludf.DUMMYFUNCTION("IMPORTRANGE(""https://docs.google.com/spreadsheets/d/1XWAQStnk-4SwqDmLtmXYiTMKHgktTP8We1SCoS47DrQ/edit?usp=sharing"",""จัดที่ดิน!H20"")"),22.52)</f>
        <v>22.52</v>
      </c>
      <c r="K371" s="465">
        <f t="shared" si="162"/>
        <v>0</v>
      </c>
      <c r="L371" s="163"/>
      <c r="M371" s="163"/>
      <c r="N371" s="163"/>
      <c r="O371" s="163"/>
      <c r="P371" s="163"/>
    </row>
    <row r="372" spans="1:26" ht="18.75">
      <c r="A372" s="170"/>
      <c r="B372" s="342"/>
      <c r="C372" s="171"/>
      <c r="D372" s="342"/>
      <c r="E372" s="343" t="s">
        <v>163</v>
      </c>
      <c r="F372" s="342"/>
      <c r="G372" s="179"/>
      <c r="H372" s="728" t="s">
        <v>35</v>
      </c>
      <c r="I372" s="269">
        <f ca="1">IFERROR(__xludf.DUMMYFUNCTION("IMPORTRANGE(""https://docs.google.com/spreadsheets/d/1QqKyyYR6Q21VydFLVH3TRQUabQu_ym0Zz7PgGX0-kHA/edit?usp=sharing"",""แผน!EJ20"")"),100)</f>
        <v>100</v>
      </c>
      <c r="J372" s="269">
        <f ca="1">IFERROR(__xludf.DUMMYFUNCTION("IMPORTRANGE(""https://docs.google.com/spreadsheets/d/1XWAQStnk-4SwqDmLtmXYiTMKHgktTP8We1SCoS47DrQ/edit?usp=sharing"",""จัดที่ดิน!I20"")"),0)</f>
        <v>0</v>
      </c>
      <c r="K372" s="465">
        <f t="shared" ca="1" si="162"/>
        <v>0</v>
      </c>
      <c r="L372" s="163"/>
      <c r="M372" s="163"/>
      <c r="N372" s="163"/>
      <c r="O372" s="163"/>
      <c r="P372" s="163"/>
    </row>
    <row r="373" spans="1:26" ht="18.75">
      <c r="A373" s="438" t="s">
        <v>164</v>
      </c>
      <c r="B373" s="342"/>
      <c r="C373" s="171"/>
      <c r="D373" s="342"/>
      <c r="E373" s="415"/>
      <c r="F373" s="342"/>
      <c r="G373" s="179"/>
      <c r="H373" s="728" t="s">
        <v>46</v>
      </c>
      <c r="I373" s="269">
        <v>0</v>
      </c>
      <c r="J373" s="269">
        <f ca="1">IFERROR(__xludf.DUMMYFUNCTION("IMPORTRANGE(""https://docs.google.com/spreadsheets/d/1XWAQStnk-4SwqDmLtmXYiTMKHgktTP8We1SCoS47DrQ/edit?usp=sharing"",""จัดที่ดิน!J20"")"),0)</f>
        <v>0</v>
      </c>
      <c r="K373" s="465">
        <f t="shared" si="162"/>
        <v>0</v>
      </c>
      <c r="L373" s="163"/>
      <c r="M373" s="163"/>
      <c r="N373" s="163"/>
      <c r="O373" s="163"/>
      <c r="P373" s="163"/>
    </row>
    <row r="374" spans="1:26" ht="19.5">
      <c r="A374" s="450"/>
      <c r="B374" s="451"/>
      <c r="C374" s="453"/>
      <c r="D374" s="453" t="s">
        <v>168</v>
      </c>
      <c r="E374" s="454"/>
      <c r="F374" s="454"/>
      <c r="G374" s="455"/>
      <c r="H374" s="456" t="s">
        <v>35</v>
      </c>
      <c r="I374" s="464">
        <f ca="1">IFERROR(__xludf.DUMMYFUNCTION("IMPORTRANGE(""https://docs.google.com/spreadsheets/d/1QqKyyYR6Q21VydFLVH3TRQUabQu_ym0Zz7PgGX0-kHA/edit?usp=sharing"",""แผน!EU20"")"),340)</f>
        <v>340</v>
      </c>
      <c r="J374" s="458">
        <f ca="1">J381</f>
        <v>39</v>
      </c>
      <c r="K374" s="459">
        <f t="shared" ca="1" si="162"/>
        <v>11.470588235294118</v>
      </c>
      <c r="L374" s="460"/>
      <c r="M374" s="460"/>
      <c r="N374" s="460"/>
      <c r="O374" s="460"/>
      <c r="P374" s="460"/>
      <c r="Q374" s="449"/>
      <c r="R374" s="449"/>
      <c r="S374" s="449"/>
      <c r="T374" s="449"/>
      <c r="U374" s="449"/>
      <c r="V374" s="449"/>
      <c r="W374" s="449"/>
      <c r="X374" s="449"/>
      <c r="Y374" s="449"/>
      <c r="Z374" s="449"/>
    </row>
    <row r="375" spans="1:26" ht="19.5">
      <c r="A375" s="450"/>
      <c r="B375" s="451"/>
      <c r="C375" s="453"/>
      <c r="D375" s="461" t="s">
        <v>169</v>
      </c>
      <c r="E375" s="454"/>
      <c r="F375" s="454"/>
      <c r="G375" s="455"/>
      <c r="H375" s="462"/>
      <c r="I375" s="463"/>
      <c r="J375" s="463"/>
      <c r="K375" s="460"/>
      <c r="L375" s="460"/>
      <c r="M375" s="460"/>
      <c r="N375" s="460"/>
      <c r="O375" s="460"/>
      <c r="P375" s="460"/>
      <c r="Q375" s="449"/>
      <c r="R375" s="449"/>
      <c r="S375" s="449"/>
      <c r="T375" s="449"/>
      <c r="U375" s="449"/>
      <c r="V375" s="449"/>
      <c r="W375" s="449"/>
      <c r="X375" s="449"/>
      <c r="Y375" s="449"/>
      <c r="Z375" s="449"/>
    </row>
    <row r="376" spans="1:26" ht="19.5">
      <c r="A376" s="170"/>
      <c r="B376" s="171"/>
      <c r="C376" s="164" t="s">
        <v>16</v>
      </c>
      <c r="D376" s="818" t="s">
        <v>38</v>
      </c>
      <c r="E376" s="173"/>
      <c r="F376" s="173"/>
      <c r="G376" s="174"/>
      <c r="H376" s="726"/>
      <c r="I376" s="269"/>
      <c r="J376" s="269"/>
      <c r="K376" s="465"/>
      <c r="L376" s="163"/>
      <c r="M376" s="163"/>
      <c r="N376" s="163"/>
      <c r="O376" s="163"/>
      <c r="P376" s="163"/>
    </row>
    <row r="377" spans="1:26" ht="18.75">
      <c r="A377" s="170"/>
      <c r="B377" s="342"/>
      <c r="C377" s="171"/>
      <c r="D377" s="342"/>
      <c r="E377" s="343" t="s">
        <v>161</v>
      </c>
      <c r="F377" s="342"/>
      <c r="G377" s="179"/>
      <c r="H377" s="185" t="s">
        <v>35</v>
      </c>
      <c r="I377" s="269">
        <v>0</v>
      </c>
      <c r="J377" s="269">
        <f ca="1">IFERROR(__xludf.DUMMYFUNCTION("IMPORTRANGE(""https://docs.google.com/spreadsheets/d/1XWAQStnk-4SwqDmLtmXYiTMKHgktTP8We1SCoS47DrQ/edit?usp=sharing"",""จัดที่ดิน!AH20"")"),7)</f>
        <v>7</v>
      </c>
      <c r="K377" s="465">
        <f t="shared" ref="K377:K382" si="163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342"/>
      <c r="C378" s="171"/>
      <c r="D378" s="342"/>
      <c r="E378" s="342"/>
      <c r="F378" s="342"/>
      <c r="G378" s="179"/>
      <c r="H378" s="185" t="s">
        <v>46</v>
      </c>
      <c r="I378" s="269">
        <f ca="1">IFERROR(__xludf.DUMMYFUNCTION("IMPORTRANGE(""https://docs.google.com/spreadsheets/d/1QqKyyYR6Q21VydFLVH3TRQUabQu_ym0Zz7PgGX0-kHA/edit?usp=sharing"",""แผน!ET20"")"),1000)</f>
        <v>1000</v>
      </c>
      <c r="J378" s="269">
        <f ca="1">IFERROR(__xludf.DUMMYFUNCTION("IMPORTRANGE(""https://docs.google.com/spreadsheets/d/1XWAQStnk-4SwqDmLtmXYiTMKHgktTP8We1SCoS47DrQ/edit?usp=sharing"",""จัดที่ดิน!AI20"")"),33.93)</f>
        <v>33.93</v>
      </c>
      <c r="K378" s="465">
        <f t="shared" ca="1" si="163"/>
        <v>3.3929999999999998</v>
      </c>
      <c r="L378" s="163"/>
      <c r="M378" s="163"/>
      <c r="N378" s="163"/>
      <c r="O378" s="163"/>
      <c r="P378" s="163"/>
    </row>
    <row r="379" spans="1:26" ht="18.75">
      <c r="A379" s="170"/>
      <c r="B379" s="342"/>
      <c r="C379" s="171"/>
      <c r="D379" s="342"/>
      <c r="E379" s="343" t="s">
        <v>162</v>
      </c>
      <c r="F379" s="342"/>
      <c r="G379" s="179"/>
      <c r="H379" s="728" t="s">
        <v>35</v>
      </c>
      <c r="I379" s="269">
        <f ca="1">IFERROR(__xludf.DUMMYFUNCTION("IMPORTRANGE(""https://docs.google.com/spreadsheets/d/1QqKyyYR6Q21VydFLVH3TRQUabQu_ym0Zz7PgGX0-kHA/edit?usp=sharing"",""แผน!EU20"")"),340)</f>
        <v>340</v>
      </c>
      <c r="J379" s="269">
        <f ca="1">IFERROR(__xludf.DUMMYFUNCTION("IMPORTRANGE(""https://docs.google.com/spreadsheets/d/1XWAQStnk-4SwqDmLtmXYiTMKHgktTP8We1SCoS47DrQ/edit?usp=sharing"",""จัดที่ดิน!AJ20"")"),37)</f>
        <v>37</v>
      </c>
      <c r="K379" s="465">
        <f t="shared" ca="1" si="163"/>
        <v>10.882352941176471</v>
      </c>
      <c r="L379" s="163"/>
      <c r="M379" s="163"/>
      <c r="N379" s="163"/>
      <c r="O379" s="163"/>
      <c r="P379" s="163"/>
    </row>
    <row r="380" spans="1:26" ht="18.75">
      <c r="A380" s="170"/>
      <c r="B380" s="342"/>
      <c r="C380" s="171"/>
      <c r="D380" s="342"/>
      <c r="E380" s="342"/>
      <c r="F380" s="342"/>
      <c r="G380" s="179"/>
      <c r="H380" s="728" t="s">
        <v>46</v>
      </c>
      <c r="I380" s="269">
        <v>0</v>
      </c>
      <c r="J380" s="269">
        <f ca="1">IFERROR(__xludf.DUMMYFUNCTION("IMPORTRANGE(""https://docs.google.com/spreadsheets/d/1XWAQStnk-4SwqDmLtmXYiTMKHgktTP8We1SCoS47DrQ/edit?usp=sharing"",""จัดที่ดิน!AK20"")"),239.32)</f>
        <v>239.32</v>
      </c>
      <c r="K380" s="465">
        <f t="shared" si="163"/>
        <v>0</v>
      </c>
      <c r="L380" s="163"/>
      <c r="M380" s="163"/>
      <c r="N380" s="163"/>
      <c r="O380" s="163"/>
      <c r="P380" s="163"/>
    </row>
    <row r="381" spans="1:26" ht="18.75">
      <c r="A381" s="170"/>
      <c r="B381" s="342"/>
      <c r="C381" s="171"/>
      <c r="D381" s="342"/>
      <c r="E381" s="343" t="s">
        <v>163</v>
      </c>
      <c r="F381" s="342"/>
      <c r="G381" s="179"/>
      <c r="H381" s="728" t="s">
        <v>35</v>
      </c>
      <c r="I381" s="269">
        <f ca="1">IFERROR(__xludf.DUMMYFUNCTION("IMPORTRANGE(""https://docs.google.com/spreadsheets/d/1QqKyyYR6Q21VydFLVH3TRQUabQu_ym0Zz7PgGX0-kHA/edit?usp=sharing"",""แผน!EU20"")"),340)</f>
        <v>340</v>
      </c>
      <c r="J381" s="269">
        <f ca="1">IFERROR(__xludf.DUMMYFUNCTION("IMPORTRANGE(""https://docs.google.com/spreadsheets/d/1XWAQStnk-4SwqDmLtmXYiTMKHgktTP8We1SCoS47DrQ/edit?usp=sharing"",""จัดที่ดิน!AL20"")"),39)</f>
        <v>39</v>
      </c>
      <c r="K381" s="465">
        <f t="shared" ca="1" si="163"/>
        <v>11.470588235294118</v>
      </c>
      <c r="L381" s="163"/>
      <c r="M381" s="163"/>
      <c r="N381" s="163"/>
      <c r="O381" s="163"/>
      <c r="P381" s="163"/>
    </row>
    <row r="382" spans="1:26" ht="18.75">
      <c r="A382" s="438" t="s">
        <v>164</v>
      </c>
      <c r="B382" s="342"/>
      <c r="C382" s="171"/>
      <c r="D382" s="342"/>
      <c r="E382" s="415"/>
      <c r="F382" s="342"/>
      <c r="G382" s="179"/>
      <c r="H382" s="728" t="s">
        <v>46</v>
      </c>
      <c r="I382" s="269">
        <v>0</v>
      </c>
      <c r="J382" s="269">
        <f ca="1">IFERROR(__xludf.DUMMYFUNCTION("IMPORTRANGE(""https://docs.google.com/spreadsheets/d/1XWAQStnk-4SwqDmLtmXYiTMKHgktTP8We1SCoS47DrQ/edit?usp=sharing"",""จัดที่ดิน!AM20"")"),245.92)</f>
        <v>245.92</v>
      </c>
      <c r="K382" s="465">
        <f t="shared" si="163"/>
        <v>0</v>
      </c>
      <c r="L382" s="163"/>
      <c r="M382" s="163"/>
      <c r="N382" s="163"/>
      <c r="O382" s="163"/>
      <c r="P382" s="163"/>
    </row>
    <row r="383" spans="1:26" ht="19.5">
      <c r="A383" s="255"/>
      <c r="B383" s="263"/>
      <c r="C383" s="256"/>
      <c r="D383" s="845" t="s">
        <v>170</v>
      </c>
      <c r="E383" s="256"/>
      <c r="F383" s="256"/>
      <c r="G383" s="258"/>
      <c r="H383" s="423"/>
      <c r="I383" s="260"/>
      <c r="J383" s="260"/>
      <c r="K383" s="261"/>
      <c r="L383" s="261"/>
      <c r="M383" s="261"/>
      <c r="N383" s="261"/>
      <c r="O383" s="261"/>
      <c r="P383" s="261"/>
    </row>
    <row r="384" spans="1:26" ht="19.5">
      <c r="A384" s="170"/>
      <c r="B384" s="171"/>
      <c r="C384" s="33" t="s">
        <v>16</v>
      </c>
      <c r="D384" s="818" t="s">
        <v>38</v>
      </c>
      <c r="E384" s="173"/>
      <c r="F384" s="173"/>
      <c r="G384" s="174"/>
      <c r="H384" s="726"/>
      <c r="I384" s="269"/>
      <c r="J384" s="269"/>
      <c r="K384" s="465"/>
      <c r="L384" s="163"/>
      <c r="M384" s="163"/>
      <c r="N384" s="163"/>
      <c r="O384" s="163"/>
      <c r="P384" s="163"/>
    </row>
    <row r="385" spans="1:26" ht="18.75">
      <c r="A385" s="346"/>
      <c r="B385" s="349"/>
      <c r="C385" s="347"/>
      <c r="D385" s="349"/>
      <c r="E385" s="466" t="s">
        <v>163</v>
      </c>
      <c r="F385" s="349"/>
      <c r="G385" s="350"/>
      <c r="H385" s="467" t="s">
        <v>35</v>
      </c>
      <c r="I385" s="468">
        <f ca="1">IFERROR(__xludf.DUMMYFUNCTION("IMPORTRANGE(""https://docs.google.com/spreadsheets/d/1QqKyyYR6Q21VydFLVH3TRQUabQu_ym0Zz7PgGX0-kHA/edit?usp=sharing"",""แผน!EW20"")"),15)</f>
        <v>15</v>
      </c>
      <c r="J385" s="468">
        <f ca="1">IFERROR(__xludf.DUMMYFUNCTION("IMPORTRANGE(""https://docs.google.com/spreadsheets/d/1XWAQStnk-4SwqDmLtmXYiTMKHgktTP8We1SCoS47DrQ/edit?usp=sharing"",""จัดที่ดิน!AP20"")"),0)</f>
        <v>0</v>
      </c>
      <c r="K385" s="469">
        <f ca="1">IF(I385&gt;0,J385*100/I385,0)</f>
        <v>0</v>
      </c>
      <c r="L385" s="353"/>
      <c r="M385" s="353"/>
      <c r="N385" s="353"/>
      <c r="O385" s="353"/>
      <c r="P385" s="353"/>
    </row>
    <row r="386" spans="1:26" ht="19.5" hidden="1">
      <c r="A386" s="470" t="s">
        <v>171</v>
      </c>
      <c r="B386" s="471"/>
      <c r="C386" s="471"/>
      <c r="D386" s="471"/>
      <c r="E386" s="472"/>
      <c r="F386" s="472"/>
      <c r="G386" s="473"/>
      <c r="H386" s="474"/>
      <c r="I386" s="475"/>
      <c r="J386" s="475"/>
      <c r="K386" s="476"/>
      <c r="L386" s="476"/>
      <c r="M386" s="476"/>
      <c r="N386" s="476"/>
      <c r="O386" s="476"/>
      <c r="P386" s="476"/>
    </row>
    <row r="387" spans="1:26" ht="19.5" hidden="1">
      <c r="A387" s="477" t="s">
        <v>172</v>
      </c>
      <c r="B387" s="478"/>
      <c r="C387" s="478"/>
      <c r="D387" s="479"/>
      <c r="E387" s="478"/>
      <c r="F387" s="478"/>
      <c r="G387" s="478"/>
      <c r="H387" s="480"/>
      <c r="I387" s="481"/>
      <c r="J387" s="481"/>
      <c r="K387" s="482"/>
      <c r="L387" s="482"/>
      <c r="M387" s="482"/>
      <c r="N387" s="482"/>
      <c r="O387" s="482"/>
      <c r="P387" s="482"/>
    </row>
    <row r="388" spans="1:26" ht="19.5" hidden="1">
      <c r="A388" s="483"/>
      <c r="B388" s="484" t="s">
        <v>173</v>
      </c>
      <c r="C388" s="485"/>
      <c r="D388" s="486"/>
      <c r="E388" s="486"/>
      <c r="F388" s="486"/>
      <c r="G388" s="487"/>
      <c r="H388" s="488" t="s">
        <v>69</v>
      </c>
      <c r="I388" s="489">
        <f t="shared" ref="I388:J388" si="164">I400</f>
        <v>0</v>
      </c>
      <c r="J388" s="489">
        <f t="shared" si="164"/>
        <v>0</v>
      </c>
      <c r="K388" s="490">
        <f>IF(I388&gt;0,J388*100/I388,0)</f>
        <v>0</v>
      </c>
      <c r="L388" s="491"/>
      <c r="M388" s="491"/>
      <c r="N388" s="491"/>
      <c r="O388" s="491"/>
      <c r="P388" s="491"/>
    </row>
    <row r="389" spans="1:26" ht="19.5" hidden="1">
      <c r="A389" s="147"/>
      <c r="B389" s="148"/>
      <c r="C389" s="149" t="s">
        <v>16</v>
      </c>
      <c r="D389" s="817" t="s">
        <v>17</v>
      </c>
      <c r="E389" s="148"/>
      <c r="F389" s="148"/>
      <c r="G389" s="151"/>
      <c r="H389" s="152" t="s">
        <v>12</v>
      </c>
      <c r="I389" s="388"/>
      <c r="J389" s="388"/>
      <c r="K389" s="154"/>
      <c r="L389" s="155">
        <f t="shared" ref="L389:N389" ca="1" si="165">L390+L391</f>
        <v>0</v>
      </c>
      <c r="M389" s="155">
        <f t="shared" ca="1" si="165"/>
        <v>0</v>
      </c>
      <c r="N389" s="155">
        <f t="shared" ca="1" si="165"/>
        <v>0</v>
      </c>
      <c r="O389" s="155">
        <f t="shared" ref="O389:O397" ca="1" si="166">IF(L389&gt;0,N389*100/L389,0)</f>
        <v>0</v>
      </c>
      <c r="P389" s="155">
        <f t="shared" ref="P389:P397" ca="1" si="167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2" t="s">
        <v>18</v>
      </c>
      <c r="F390" s="40"/>
      <c r="G390" s="157"/>
      <c r="H390" s="158" t="s">
        <v>12</v>
      </c>
      <c r="I390" s="583"/>
      <c r="J390" s="583"/>
      <c r="K390" s="93"/>
      <c r="L390" s="93">
        <f t="shared" ref="L390:N391" si="168">L393+L396</f>
        <v>0</v>
      </c>
      <c r="M390" s="93">
        <f t="shared" si="168"/>
        <v>0</v>
      </c>
      <c r="N390" s="93">
        <f t="shared" si="168"/>
        <v>0</v>
      </c>
      <c r="O390" s="93">
        <f t="shared" si="166"/>
        <v>0</v>
      </c>
      <c r="P390" s="93">
        <f t="shared" si="167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2" t="s">
        <v>19</v>
      </c>
      <c r="F391" s="40"/>
      <c r="G391" s="157"/>
      <c r="H391" s="158" t="s">
        <v>12</v>
      </c>
      <c r="I391" s="583"/>
      <c r="J391" s="583"/>
      <c r="K391" s="93"/>
      <c r="L391" s="93">
        <f t="shared" ca="1" si="168"/>
        <v>0</v>
      </c>
      <c r="M391" s="93">
        <f t="shared" ca="1" si="168"/>
        <v>0</v>
      </c>
      <c r="N391" s="93">
        <f t="shared" ca="1" si="168"/>
        <v>0</v>
      </c>
      <c r="O391" s="93">
        <f t="shared" ca="1" si="166"/>
        <v>0</v>
      </c>
      <c r="P391" s="93">
        <f t="shared" ca="1" si="167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1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65">
        <f t="shared" ref="L392:N392" ca="1" si="169">L393+L394</f>
        <v>0</v>
      </c>
      <c r="M392" s="465">
        <f t="shared" ca="1" si="169"/>
        <v>0</v>
      </c>
      <c r="N392" s="465">
        <f t="shared" ca="1" si="169"/>
        <v>0</v>
      </c>
      <c r="O392" s="465">
        <f t="shared" ca="1" si="166"/>
        <v>0</v>
      </c>
      <c r="P392" s="465">
        <f t="shared" ca="1" si="167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2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6"/>
        <v>0</v>
      </c>
      <c r="P393" s="93">
        <f t="shared" si="167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2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IFERROR(__xludf.DUMMYFUNCTION("IMPORTRANGE(""https://docs.google.com/spreadsheets/d/1MeEWN-I1oV_STSDYn1IFDPWt_1FKiwhDph83XaGc0o0/edit?usp=sharing"",""งบพรบ!FG20"")"),0)</f>
        <v>0</v>
      </c>
      <c r="M394" s="93">
        <f ca="1">IFERROR(__xludf.DUMMYFUNCTION("IMPORTRANGE(""https://docs.google.com/spreadsheets/d/1MeEWN-I1oV_STSDYn1IFDPWt_1FKiwhDph83XaGc0o0/edit?usp=sharing"",""งบพรบ!FL20"")"),0)</f>
        <v>0</v>
      </c>
      <c r="N394" s="93">
        <f ca="1">IFERROR(__xludf.DUMMYFUNCTION("IMPORTRANGE(""https://docs.google.com/spreadsheets/d/1MeEWN-I1oV_STSDYn1IFDPWt_1FKiwhDph83XaGc0o0/edit?usp=sharing"",""งบพรบ!FN20"")"),0)</f>
        <v>0</v>
      </c>
      <c r="O394" s="93">
        <f t="shared" ca="1" si="166"/>
        <v>0</v>
      </c>
      <c r="P394" s="93">
        <f t="shared" ca="1" si="167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1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65">
        <f t="shared" ref="L395:N395" ca="1" si="170">L396+L397</f>
        <v>0</v>
      </c>
      <c r="M395" s="465">
        <f t="shared" ca="1" si="170"/>
        <v>0</v>
      </c>
      <c r="N395" s="465">
        <f t="shared" ca="1" si="170"/>
        <v>0</v>
      </c>
      <c r="O395" s="465">
        <f t="shared" ca="1" si="166"/>
        <v>0</v>
      </c>
      <c r="P395" s="465">
        <f t="shared" ca="1" si="167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2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6"/>
        <v>0</v>
      </c>
      <c r="P396" s="93">
        <f t="shared" si="167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2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IFERROR(__xludf.DUMMYFUNCTION("IMPORTRANGE(""https://docs.google.com/spreadsheets/d/1MeEWN-I1oV_STSDYn1IFDPWt_1FKiwhDph83XaGc0o0/edit?usp=sharing"",""งบพรบ!FJ20"")"),0)</f>
        <v>0</v>
      </c>
      <c r="M397" s="93">
        <f ca="1">IFERROR(__xludf.DUMMYFUNCTION("IMPORTRANGE(""https://docs.google.com/spreadsheets/d/1MeEWN-I1oV_STSDYn1IFDPWt_1FKiwhDph83XaGc0o0/edit?usp=sharing"",""งบพรบ!FM20"")"),0)</f>
        <v>0</v>
      </c>
      <c r="N397" s="93">
        <f ca="1">IFERROR(__xludf.DUMMYFUNCTION("IMPORTRANGE(""https://docs.google.com/spreadsheets/d/1MeEWN-I1oV_STSDYn1IFDPWt_1FKiwhDph83XaGc0o0/edit?usp=sharing"",""งบพรบ!FO20"")"),0)</f>
        <v>0</v>
      </c>
      <c r="O397" s="93">
        <f t="shared" ca="1" si="166"/>
        <v>0</v>
      </c>
      <c r="P397" s="93">
        <f t="shared" ca="1" si="167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18" t="s">
        <v>38</v>
      </c>
      <c r="E398" s="173"/>
      <c r="F398" s="173"/>
      <c r="G398" s="174"/>
      <c r="H398" s="726"/>
      <c r="I398" s="184"/>
      <c r="J398" s="269"/>
      <c r="K398" s="465"/>
      <c r="L398" s="465"/>
      <c r="M398" s="465"/>
      <c r="N398" s="465"/>
      <c r="O398" s="163"/>
      <c r="P398" s="163"/>
    </row>
    <row r="399" spans="1:26" ht="18.75" hidden="1">
      <c r="A399" s="492"/>
      <c r="B399" s="148"/>
      <c r="C399" s="493"/>
      <c r="D399" s="494" t="s">
        <v>174</v>
      </c>
      <c r="E399" s="383"/>
      <c r="F399" s="148"/>
      <c r="G399" s="151"/>
      <c r="H399" s="495" t="s">
        <v>9</v>
      </c>
      <c r="I399" s="269">
        <v>0</v>
      </c>
      <c r="J399" s="214">
        <v>0</v>
      </c>
      <c r="K399" s="465">
        <f t="shared" ref="K399:K401" si="171">IF(I399&gt;0,J399*100/I399,0)</f>
        <v>0</v>
      </c>
      <c r="L399" s="496"/>
      <c r="M399" s="496"/>
      <c r="N399" s="496"/>
      <c r="O399" s="496"/>
      <c r="P399" s="496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3"/>
      <c r="B400" s="33"/>
      <c r="C400" s="280"/>
      <c r="D400" s="415" t="s">
        <v>175</v>
      </c>
      <c r="E400" s="171"/>
      <c r="F400" s="33"/>
      <c r="G400" s="35"/>
      <c r="H400" s="276" t="s">
        <v>69</v>
      </c>
      <c r="I400" s="269">
        <v>0</v>
      </c>
      <c r="J400" s="214">
        <v>0</v>
      </c>
      <c r="K400" s="465">
        <f t="shared" si="171"/>
        <v>0</v>
      </c>
      <c r="L400" s="465"/>
      <c r="M400" s="465"/>
      <c r="N400" s="465"/>
      <c r="O400" s="465"/>
      <c r="P400" s="465"/>
    </row>
    <row r="401" spans="1:26" ht="19.5" hidden="1">
      <c r="A401" s="483"/>
      <c r="B401" s="484" t="s">
        <v>176</v>
      </c>
      <c r="C401" s="485"/>
      <c r="D401" s="486"/>
      <c r="E401" s="486"/>
      <c r="F401" s="486"/>
      <c r="G401" s="487"/>
      <c r="H401" s="488" t="s">
        <v>69</v>
      </c>
      <c r="I401" s="489">
        <f t="shared" ref="I401:J401" si="172">I412</f>
        <v>0</v>
      </c>
      <c r="J401" s="489">
        <f t="shared" si="172"/>
        <v>0</v>
      </c>
      <c r="K401" s="490">
        <f t="shared" si="171"/>
        <v>0</v>
      </c>
      <c r="L401" s="491"/>
      <c r="M401" s="491"/>
      <c r="N401" s="491"/>
      <c r="O401" s="491"/>
      <c r="P401" s="491"/>
    </row>
    <row r="402" spans="1:26" ht="19.5" hidden="1">
      <c r="A402" s="147"/>
      <c r="B402" s="148"/>
      <c r="C402" s="149" t="s">
        <v>16</v>
      </c>
      <c r="D402" s="817" t="s">
        <v>17</v>
      </c>
      <c r="E402" s="148"/>
      <c r="F402" s="148"/>
      <c r="G402" s="151"/>
      <c r="H402" s="152" t="s">
        <v>12</v>
      </c>
      <c r="I402" s="388"/>
      <c r="J402" s="388"/>
      <c r="K402" s="154"/>
      <c r="L402" s="155">
        <f t="shared" ref="L402:N402" ca="1" si="173">L403+L404</f>
        <v>0</v>
      </c>
      <c r="M402" s="155">
        <f t="shared" ca="1" si="173"/>
        <v>0</v>
      </c>
      <c r="N402" s="155">
        <f t="shared" ca="1" si="173"/>
        <v>0</v>
      </c>
      <c r="O402" s="155">
        <f t="shared" ref="O402:O410" ca="1" si="174">IF(L402&gt;0,N402*100/L402,0)</f>
        <v>0</v>
      </c>
      <c r="P402" s="155">
        <f t="shared" ref="P402:P410" ca="1" si="175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2" t="s">
        <v>18</v>
      </c>
      <c r="F403" s="40"/>
      <c r="G403" s="157"/>
      <c r="H403" s="158" t="s">
        <v>12</v>
      </c>
      <c r="I403" s="583"/>
      <c r="J403" s="583"/>
      <c r="K403" s="93"/>
      <c r="L403" s="93">
        <f t="shared" ref="L403:N404" si="176">L406+L409</f>
        <v>0</v>
      </c>
      <c r="M403" s="93">
        <f t="shared" si="176"/>
        <v>0</v>
      </c>
      <c r="N403" s="93">
        <f t="shared" si="176"/>
        <v>0</v>
      </c>
      <c r="O403" s="93">
        <f t="shared" si="174"/>
        <v>0</v>
      </c>
      <c r="P403" s="93">
        <f t="shared" si="175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2" t="s">
        <v>19</v>
      </c>
      <c r="F404" s="40"/>
      <c r="G404" s="157"/>
      <c r="H404" s="158" t="s">
        <v>12</v>
      </c>
      <c r="I404" s="583"/>
      <c r="J404" s="583"/>
      <c r="K404" s="93"/>
      <c r="L404" s="93">
        <f t="shared" ca="1" si="176"/>
        <v>0</v>
      </c>
      <c r="M404" s="93">
        <f t="shared" ca="1" si="176"/>
        <v>0</v>
      </c>
      <c r="N404" s="93">
        <f t="shared" ca="1" si="176"/>
        <v>0</v>
      </c>
      <c r="O404" s="93">
        <f t="shared" ca="1" si="174"/>
        <v>0</v>
      </c>
      <c r="P404" s="93">
        <f t="shared" ca="1" si="175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1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65">
        <f t="shared" ref="L405:N405" ca="1" si="177">L406+L407</f>
        <v>0</v>
      </c>
      <c r="M405" s="465">
        <f t="shared" ca="1" si="177"/>
        <v>0</v>
      </c>
      <c r="N405" s="465">
        <f t="shared" ca="1" si="177"/>
        <v>0</v>
      </c>
      <c r="O405" s="465">
        <f t="shared" ca="1" si="174"/>
        <v>0</v>
      </c>
      <c r="P405" s="465">
        <f t="shared" ca="1" si="175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2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4"/>
        <v>0</v>
      </c>
      <c r="P406" s="93">
        <f t="shared" si="175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2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IFERROR(__xludf.DUMMYFUNCTION("IMPORTRANGE(""https://docs.google.com/spreadsheets/d/1MeEWN-I1oV_STSDYn1IFDPWt_1FKiwhDph83XaGc0o0/edit?usp=sharing"",""งบพรบ!FQ20"")"),0)</f>
        <v>0</v>
      </c>
      <c r="M407" s="93">
        <f ca="1">IFERROR(__xludf.DUMMYFUNCTION("IMPORTRANGE(""https://docs.google.com/spreadsheets/d/1MeEWN-I1oV_STSDYn1IFDPWt_1FKiwhDph83XaGc0o0/edit?usp=sharing"",""งบพรบ!FV20"")"),0)</f>
        <v>0</v>
      </c>
      <c r="N407" s="93">
        <f ca="1">IFERROR(__xludf.DUMMYFUNCTION("IMPORTRANGE(""https://docs.google.com/spreadsheets/d/1MeEWN-I1oV_STSDYn1IFDPWt_1FKiwhDph83XaGc0o0/edit?usp=sharing"",""งบพรบ!FX20"")"),0)</f>
        <v>0</v>
      </c>
      <c r="O407" s="93">
        <f t="shared" ca="1" si="174"/>
        <v>0</v>
      </c>
      <c r="P407" s="93">
        <f t="shared" ca="1" si="175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1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65">
        <f t="shared" ref="L408:N408" ca="1" si="178">L409+L410</f>
        <v>0</v>
      </c>
      <c r="M408" s="465">
        <f t="shared" ca="1" si="178"/>
        <v>0</v>
      </c>
      <c r="N408" s="465">
        <f t="shared" ca="1" si="178"/>
        <v>0</v>
      </c>
      <c r="O408" s="465">
        <f t="shared" ca="1" si="174"/>
        <v>0</v>
      </c>
      <c r="P408" s="465">
        <f t="shared" ca="1" si="175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2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4"/>
        <v>0</v>
      </c>
      <c r="P409" s="93">
        <f t="shared" si="175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2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IFERROR(__xludf.DUMMYFUNCTION("IMPORTRANGE(""https://docs.google.com/spreadsheets/d/1MeEWN-I1oV_STSDYn1IFDPWt_1FKiwhDph83XaGc0o0/edit?usp=sharing"",""งบพรบ!FT20"")"),0)</f>
        <v>0</v>
      </c>
      <c r="M410" s="93">
        <f ca="1">IFERROR(__xludf.DUMMYFUNCTION("IMPORTRANGE(""https://docs.google.com/spreadsheets/d/1MeEWN-I1oV_STSDYn1IFDPWt_1FKiwhDph83XaGc0o0/edit?usp=sharing"",""งบพรบ!FW20"")"),0)</f>
        <v>0</v>
      </c>
      <c r="N410" s="93">
        <f ca="1">IFERROR(__xludf.DUMMYFUNCTION("IMPORTRANGE(""https://docs.google.com/spreadsheets/d/1MeEWN-I1oV_STSDYn1IFDPWt_1FKiwhDph83XaGc0o0/edit?usp=sharing"",""งบพรบ!FY20"")"),0)</f>
        <v>0</v>
      </c>
      <c r="O410" s="93">
        <f t="shared" ca="1" si="174"/>
        <v>0</v>
      </c>
      <c r="P410" s="93">
        <f t="shared" ca="1" si="175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47" t="s">
        <v>38</v>
      </c>
      <c r="E411" s="498"/>
      <c r="F411" s="498"/>
      <c r="G411" s="499"/>
      <c r="H411" s="726"/>
      <c r="I411" s="269"/>
      <c r="J411" s="269"/>
      <c r="K411" s="465"/>
      <c r="L411" s="163"/>
      <c r="M411" s="163"/>
      <c r="N411" s="163"/>
      <c r="O411" s="163"/>
      <c r="P411" s="163"/>
    </row>
    <row r="412" spans="1:26" ht="18.75" hidden="1">
      <c r="A412" s="170"/>
      <c r="B412" s="342"/>
      <c r="C412" s="342"/>
      <c r="D412" s="415" t="s">
        <v>177</v>
      </c>
      <c r="E412" s="342"/>
      <c r="F412" s="342"/>
      <c r="G412" s="179"/>
      <c r="H412" s="500" t="s">
        <v>69</v>
      </c>
      <c r="I412" s="269">
        <v>0</v>
      </c>
      <c r="J412" s="214">
        <v>0</v>
      </c>
      <c r="K412" s="465">
        <f t="shared" ref="K412:K413" si="179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01"/>
      <c r="B413" s="502"/>
      <c r="C413" s="502"/>
      <c r="D413" s="503" t="s">
        <v>178</v>
      </c>
      <c r="E413" s="502"/>
      <c r="F413" s="502"/>
      <c r="G413" s="504"/>
      <c r="H413" s="505" t="s">
        <v>179</v>
      </c>
      <c r="I413" s="506">
        <v>0</v>
      </c>
      <c r="J413" s="507">
        <v>0</v>
      </c>
      <c r="K413" s="508">
        <f t="shared" si="179"/>
        <v>0</v>
      </c>
      <c r="L413" s="509"/>
      <c r="M413" s="509"/>
      <c r="N413" s="509"/>
      <c r="O413" s="509"/>
      <c r="P413" s="509"/>
    </row>
    <row r="414" spans="1:26" ht="19.5">
      <c r="A414" s="510" t="s">
        <v>180</v>
      </c>
      <c r="B414" s="511"/>
      <c r="C414" s="511"/>
      <c r="D414" s="511"/>
      <c r="E414" s="511"/>
      <c r="F414" s="511"/>
      <c r="G414" s="512"/>
      <c r="H414" s="513"/>
      <c r="I414" s="514"/>
      <c r="J414" s="514"/>
      <c r="K414" s="515"/>
      <c r="L414" s="516">
        <f t="shared" ref="L414:N414" ca="1" si="180">L419+L444+L467+L502+L523+L544+L629+L655+L685+L737+L754+L770+L786+L805</f>
        <v>1505969</v>
      </c>
      <c r="M414" s="516">
        <f t="shared" si="180"/>
        <v>0</v>
      </c>
      <c r="N414" s="516">
        <f t="shared" si="180"/>
        <v>0</v>
      </c>
      <c r="O414" s="516">
        <f ca="1">IF(L414&gt;0,N414*100/L414,0)</f>
        <v>0</v>
      </c>
      <c r="P414" s="516">
        <f>IF(M414&gt;0,N414*100/M414,0)</f>
        <v>0</v>
      </c>
    </row>
    <row r="415" spans="1:26" ht="19.5">
      <c r="A415" s="517" t="s">
        <v>181</v>
      </c>
      <c r="B415" s="518"/>
      <c r="C415" s="518"/>
      <c r="D415" s="518"/>
      <c r="E415" s="518"/>
      <c r="F415" s="518"/>
      <c r="G415" s="518"/>
      <c r="H415" s="519"/>
      <c r="I415" s="520"/>
      <c r="J415" s="520"/>
      <c r="K415" s="521"/>
      <c r="L415" s="522"/>
      <c r="M415" s="522"/>
      <c r="N415" s="522"/>
      <c r="O415" s="522"/>
      <c r="P415" s="522"/>
    </row>
    <row r="416" spans="1:26" ht="19.5">
      <c r="A416" s="517" t="s">
        <v>182</v>
      </c>
      <c r="B416" s="518"/>
      <c r="C416" s="518"/>
      <c r="D416" s="518"/>
      <c r="E416" s="518"/>
      <c r="F416" s="518"/>
      <c r="G416" s="523"/>
      <c r="H416" s="524"/>
      <c r="I416" s="525"/>
      <c r="J416" s="525"/>
      <c r="K416" s="522"/>
      <c r="L416" s="522"/>
      <c r="M416" s="522"/>
      <c r="N416" s="522"/>
      <c r="O416" s="522"/>
      <c r="P416" s="522"/>
    </row>
    <row r="417" spans="1:26" ht="24" customHeight="1">
      <c r="A417" s="526">
        <v>1</v>
      </c>
      <c r="B417" s="528" t="s">
        <v>183</v>
      </c>
      <c r="C417" s="528"/>
      <c r="D417" s="529"/>
      <c r="E417" s="529"/>
      <c r="F417" s="529"/>
      <c r="G417" s="530"/>
      <c r="H417" s="531" t="s">
        <v>35</v>
      </c>
      <c r="I417" s="532">
        <f t="shared" ref="I417:J418" ca="1" si="181">I433</f>
        <v>65</v>
      </c>
      <c r="J417" s="532">
        <f t="shared" ca="1" si="181"/>
        <v>0</v>
      </c>
      <c r="K417" s="533">
        <f t="shared" ref="K417:K418" ca="1" si="182">IF(I417&gt;0,J417*100/I417,0)</f>
        <v>0</v>
      </c>
      <c r="L417" s="534"/>
      <c r="M417" s="534"/>
      <c r="N417" s="534"/>
      <c r="O417" s="534"/>
      <c r="P417" s="534"/>
    </row>
    <row r="418" spans="1:26" ht="19.5">
      <c r="A418" s="535"/>
      <c r="B418" s="526"/>
      <c r="C418" s="528"/>
      <c r="D418" s="529"/>
      <c r="E418" s="529"/>
      <c r="F418" s="529"/>
      <c r="G418" s="530"/>
      <c r="H418" s="531" t="s">
        <v>49</v>
      </c>
      <c r="I418" s="532">
        <f t="shared" ca="1" si="181"/>
        <v>2</v>
      </c>
      <c r="J418" s="532">
        <f t="shared" si="181"/>
        <v>0</v>
      </c>
      <c r="K418" s="533">
        <f t="shared" ca="1" si="182"/>
        <v>0</v>
      </c>
      <c r="L418" s="534"/>
      <c r="M418" s="534"/>
      <c r="N418" s="534"/>
      <c r="O418" s="534"/>
      <c r="P418" s="534"/>
    </row>
    <row r="419" spans="1:26" ht="19.5">
      <c r="A419" s="147"/>
      <c r="B419" s="148"/>
      <c r="C419" s="148" t="s">
        <v>16</v>
      </c>
      <c r="D419" s="848" t="s">
        <v>17</v>
      </c>
      <c r="E419" s="810"/>
      <c r="F419" s="810"/>
      <c r="G419" s="151"/>
      <c r="H419" s="274" t="s">
        <v>12</v>
      </c>
      <c r="I419" s="388"/>
      <c r="J419" s="388"/>
      <c r="K419" s="154"/>
      <c r="L419" s="155">
        <f t="shared" ref="L419:N419" ca="1" si="183">L420+L421</f>
        <v>197440</v>
      </c>
      <c r="M419" s="155">
        <f t="shared" si="183"/>
        <v>0</v>
      </c>
      <c r="N419" s="155">
        <f t="shared" si="183"/>
        <v>0</v>
      </c>
      <c r="O419" s="155">
        <f t="shared" ref="O419:O424" ca="1" si="184">IF(L419&gt;0,N419*100/L419,0)</f>
        <v>0</v>
      </c>
      <c r="P419" s="155">
        <f t="shared" ref="P419:P424" si="185">IF(M419&gt;0,N419*100/M419,0)</f>
        <v>0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536"/>
      <c r="E420" s="222" t="s">
        <v>184</v>
      </c>
      <c r="F420" s="40"/>
      <c r="G420" s="157"/>
      <c r="H420" s="165" t="s">
        <v>12</v>
      </c>
      <c r="I420" s="583"/>
      <c r="J420" s="583"/>
      <c r="K420" s="93"/>
      <c r="L420" s="93">
        <f t="shared" ref="L420:N421" si="186">L423+L430</f>
        <v>0</v>
      </c>
      <c r="M420" s="93">
        <f t="shared" si="186"/>
        <v>0</v>
      </c>
      <c r="N420" s="93">
        <f t="shared" si="186"/>
        <v>0</v>
      </c>
      <c r="O420" s="93">
        <f t="shared" si="184"/>
        <v>0</v>
      </c>
      <c r="P420" s="93">
        <f t="shared" si="185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536"/>
      <c r="E421" s="222" t="s">
        <v>185</v>
      </c>
      <c r="F421" s="40"/>
      <c r="G421" s="157"/>
      <c r="H421" s="165" t="s">
        <v>12</v>
      </c>
      <c r="I421" s="583"/>
      <c r="J421" s="583"/>
      <c r="K421" s="93"/>
      <c r="L421" s="93">
        <f t="shared" ca="1" si="186"/>
        <v>197440</v>
      </c>
      <c r="M421" s="93">
        <f t="shared" si="186"/>
        <v>0</v>
      </c>
      <c r="N421" s="93">
        <f t="shared" si="186"/>
        <v>0</v>
      </c>
      <c r="O421" s="93">
        <f t="shared" ca="1" si="184"/>
        <v>0</v>
      </c>
      <c r="P421" s="93">
        <f t="shared" si="185"/>
        <v>0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0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65">
        <f t="shared" ref="L422:N422" ca="1" si="187">L423+L424</f>
        <v>197440</v>
      </c>
      <c r="M422" s="465">
        <f t="shared" si="187"/>
        <v>0</v>
      </c>
      <c r="N422" s="465">
        <f t="shared" si="187"/>
        <v>0</v>
      </c>
      <c r="O422" s="465">
        <f t="shared" ca="1" si="184"/>
        <v>0</v>
      </c>
      <c r="P422" s="465">
        <f t="shared" si="185"/>
        <v>0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536"/>
      <c r="E423" s="222" t="s">
        <v>184</v>
      </c>
      <c r="F423" s="40"/>
      <c r="G423" s="157"/>
      <c r="H423" s="165" t="s">
        <v>12</v>
      </c>
      <c r="I423" s="583"/>
      <c r="J423" s="583"/>
      <c r="K423" s="93"/>
      <c r="L423" s="93">
        <v>0</v>
      </c>
      <c r="M423" s="93">
        <v>0</v>
      </c>
      <c r="N423" s="93">
        <v>0</v>
      </c>
      <c r="O423" s="93">
        <f t="shared" si="184"/>
        <v>0</v>
      </c>
      <c r="P423" s="93">
        <f t="shared" si="185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536"/>
      <c r="E424" s="222" t="s">
        <v>185</v>
      </c>
      <c r="F424" s="40"/>
      <c r="G424" s="157"/>
      <c r="H424" s="165" t="s">
        <v>12</v>
      </c>
      <c r="I424" s="583"/>
      <c r="J424" s="583"/>
      <c r="K424" s="93"/>
      <c r="L424" s="93">
        <f ca="1">IFERROR(__xludf.DUMMYFUNCTION("IMPORTRANGE(""https://docs.google.com/spreadsheets/d/1QqKyyYR6Q21VydFLVH3TRQUabQu_ym0Zz7PgGX0-kHA/edit?usp=sharing"",""แผน!EY20"")"),197440)</f>
        <v>197440</v>
      </c>
      <c r="M424" s="93">
        <v>0</v>
      </c>
      <c r="N424" s="93">
        <f>N425+N426+N427+N428</f>
        <v>0</v>
      </c>
      <c r="O424" s="93">
        <f t="shared" ca="1" si="184"/>
        <v>0</v>
      </c>
      <c r="P424" s="93">
        <f t="shared" si="185"/>
        <v>0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37"/>
      <c r="B425" s="538"/>
      <c r="C425" s="727"/>
      <c r="D425" s="727"/>
      <c r="E425" s="727"/>
      <c r="F425" s="727" t="s">
        <v>186</v>
      </c>
      <c r="G425" s="189"/>
      <c r="H425" s="161" t="s">
        <v>12</v>
      </c>
      <c r="I425" s="269"/>
      <c r="J425" s="269"/>
      <c r="K425" s="465"/>
      <c r="L425" s="465"/>
      <c r="M425" s="465"/>
      <c r="N425" s="789">
        <v>0</v>
      </c>
      <c r="O425" s="465"/>
      <c r="P425" s="465"/>
      <c r="Q425" s="541"/>
      <c r="R425" s="541"/>
      <c r="S425" s="541"/>
      <c r="T425" s="541"/>
      <c r="U425" s="541"/>
      <c r="V425" s="541"/>
      <c r="W425" s="541"/>
      <c r="X425" s="541"/>
      <c r="Y425" s="541"/>
      <c r="Z425" s="541"/>
    </row>
    <row r="426" spans="1:26" ht="18.75">
      <c r="A426" s="537"/>
      <c r="B426" s="538"/>
      <c r="C426" s="727"/>
      <c r="D426" s="727"/>
      <c r="E426" s="727"/>
      <c r="F426" s="727" t="s">
        <v>187</v>
      </c>
      <c r="G426" s="189"/>
      <c r="H426" s="161" t="s">
        <v>12</v>
      </c>
      <c r="I426" s="269"/>
      <c r="J426" s="269"/>
      <c r="K426" s="465"/>
      <c r="L426" s="465"/>
      <c r="M426" s="465"/>
      <c r="N426" s="789">
        <v>0</v>
      </c>
      <c r="O426" s="465"/>
      <c r="P426" s="465"/>
      <c r="Q426" s="541"/>
      <c r="R426" s="541"/>
      <c r="S426" s="541"/>
      <c r="T426" s="541"/>
      <c r="U426" s="541"/>
      <c r="V426" s="541"/>
      <c r="W426" s="541"/>
      <c r="X426" s="541"/>
      <c r="Y426" s="541"/>
      <c r="Z426" s="541"/>
    </row>
    <row r="427" spans="1:26" ht="18.75">
      <c r="A427" s="537"/>
      <c r="B427" s="538"/>
      <c r="C427" s="727"/>
      <c r="D427" s="727"/>
      <c r="E427" s="727"/>
      <c r="F427" s="727" t="s">
        <v>188</v>
      </c>
      <c r="G427" s="189"/>
      <c r="H427" s="161" t="s">
        <v>12</v>
      </c>
      <c r="I427" s="269"/>
      <c r="J427" s="269"/>
      <c r="K427" s="465"/>
      <c r="L427" s="465"/>
      <c r="M427" s="465"/>
      <c r="N427" s="789">
        <v>0</v>
      </c>
      <c r="O427" s="465"/>
      <c r="P427" s="465"/>
      <c r="Q427" s="541"/>
      <c r="R427" s="541"/>
      <c r="S427" s="541"/>
      <c r="T427" s="541"/>
      <c r="U427" s="541"/>
      <c r="V427" s="541"/>
      <c r="W427" s="541"/>
      <c r="X427" s="541"/>
      <c r="Y427" s="541"/>
      <c r="Z427" s="541"/>
    </row>
    <row r="428" spans="1:26" ht="18.75">
      <c r="A428" s="283"/>
      <c r="B428" s="280"/>
      <c r="C428" s="33"/>
      <c r="D428" s="33"/>
      <c r="E428" s="33"/>
      <c r="F428" s="281" t="s">
        <v>189</v>
      </c>
      <c r="G428" s="213"/>
      <c r="H428" s="161" t="s">
        <v>12</v>
      </c>
      <c r="I428" s="269"/>
      <c r="J428" s="269"/>
      <c r="K428" s="465"/>
      <c r="L428" s="465"/>
      <c r="M428" s="465"/>
      <c r="N428" s="789">
        <v>0</v>
      </c>
      <c r="O428" s="465"/>
      <c r="P428" s="465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0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65">
        <f t="shared" ref="L429:N429" ca="1" si="188">L430+L431</f>
        <v>0</v>
      </c>
      <c r="M429" s="465">
        <f t="shared" si="188"/>
        <v>0</v>
      </c>
      <c r="N429" s="465">
        <f t="shared" si="188"/>
        <v>0</v>
      </c>
      <c r="O429" s="465">
        <f t="shared" ref="O429:O431" ca="1" si="189">IF(L429&gt;0,N429*100/L429,0)</f>
        <v>0</v>
      </c>
      <c r="P429" s="465">
        <f t="shared" ref="P429:P431" si="190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542"/>
      <c r="C430" s="40"/>
      <c r="D430" s="40"/>
      <c r="E430" s="222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89"/>
        <v>0</v>
      </c>
      <c r="P430" s="93">
        <f t="shared" si="190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542"/>
      <c r="C431" s="40"/>
      <c r="D431" s="40"/>
      <c r="E431" s="222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IFERROR(__xludf.DUMMYFUNCTION("IMPORTRANGE(""https://docs.google.com/spreadsheets/d/1QqKyyYR6Q21VydFLVH3TRQUabQu_ym0Zz7PgGX0-kHA/edit?usp=sharing"",""แผน!FB20"")"),0)</f>
        <v>0</v>
      </c>
      <c r="M431" s="93">
        <v>0</v>
      </c>
      <c r="N431" s="93">
        <v>0</v>
      </c>
      <c r="O431" s="93">
        <f t="shared" ca="1" si="189"/>
        <v>0</v>
      </c>
      <c r="P431" s="93">
        <f t="shared" si="190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382"/>
      <c r="B432" s="383"/>
      <c r="C432" s="148" t="s">
        <v>16</v>
      </c>
      <c r="D432" s="849" t="s">
        <v>38</v>
      </c>
      <c r="E432" s="544"/>
      <c r="F432" s="544"/>
      <c r="G432" s="545"/>
      <c r="H432" s="546"/>
      <c r="I432" s="388"/>
      <c r="J432" s="388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190</v>
      </c>
      <c r="E433" s="342"/>
      <c r="F433" s="342"/>
      <c r="G433" s="179"/>
      <c r="H433" s="196" t="s">
        <v>35</v>
      </c>
      <c r="I433" s="647">
        <f ca="1">I435</f>
        <v>65</v>
      </c>
      <c r="J433" s="647">
        <f ca="1">IF(AND(J435=I435,J437=I437,J439=I439),I437+I439,IF(AND(J435=I437,J437=I437),I437,IF(AND(J435=I439,J439=I439),I439,0)))</f>
        <v>0</v>
      </c>
      <c r="K433" s="195">
        <f t="shared" ref="K433:K435" ca="1" si="191">IF(I433&gt;0,J433*100/I433,0)</f>
        <v>0</v>
      </c>
      <c r="L433" s="465"/>
      <c r="M433" s="465"/>
      <c r="N433" s="465"/>
      <c r="O433" s="465"/>
      <c r="P433" s="465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191</v>
      </c>
      <c r="E434" s="342"/>
      <c r="F434" s="342"/>
      <c r="G434" s="179"/>
      <c r="H434" s="196" t="s">
        <v>49</v>
      </c>
      <c r="I434" s="647">
        <f t="shared" ref="I434:J434" ca="1" si="192">I438+I440</f>
        <v>2</v>
      </c>
      <c r="J434" s="647">
        <f t="shared" si="192"/>
        <v>0</v>
      </c>
      <c r="K434" s="195">
        <f t="shared" ca="1" si="191"/>
        <v>0</v>
      </c>
      <c r="L434" s="465"/>
      <c r="M434" s="465"/>
      <c r="N434" s="465"/>
      <c r="O434" s="465"/>
      <c r="P434" s="465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15" t="s">
        <v>192</v>
      </c>
      <c r="E435" s="342"/>
      <c r="F435" s="342"/>
      <c r="G435" s="179"/>
      <c r="H435" s="589" t="s">
        <v>35</v>
      </c>
      <c r="I435" s="547">
        <f ca="1">IFERROR(__xludf.DUMMYFUNCTION("IMPORTRANGE(""https://docs.google.com/spreadsheets/d/1QqKyyYR6Q21VydFLVH3TRQUabQu_ym0Zz7PgGX0-kHA/edit?usp=sharing"",""แผน!FC20"")"),65)</f>
        <v>65</v>
      </c>
      <c r="J435" s="548">
        <v>0</v>
      </c>
      <c r="K435" s="465">
        <f t="shared" ca="1" si="191"/>
        <v>0</v>
      </c>
      <c r="L435" s="465"/>
      <c r="M435" s="465"/>
      <c r="N435" s="465"/>
      <c r="O435" s="465"/>
      <c r="P435" s="465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15" t="s">
        <v>193</v>
      </c>
      <c r="E436" s="342"/>
      <c r="F436" s="342"/>
      <c r="G436" s="179"/>
      <c r="H436" s="589"/>
      <c r="I436" s="269"/>
      <c r="J436" s="269"/>
      <c r="K436" s="465"/>
      <c r="L436" s="465"/>
      <c r="M436" s="465"/>
      <c r="N436" s="465"/>
      <c r="O436" s="465"/>
      <c r="P436" s="465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15" t="s">
        <v>194</v>
      </c>
      <c r="E437" s="342"/>
      <c r="F437" s="342"/>
      <c r="G437" s="179"/>
      <c r="H437" s="589" t="s">
        <v>35</v>
      </c>
      <c r="I437" s="547">
        <f ca="1">IFERROR(__xludf.DUMMYFUNCTION("IMPORTRANGE(""https://docs.google.com/spreadsheets/d/1QqKyyYR6Q21VydFLVH3TRQUabQu_ym0Zz7PgGX0-kHA/edit?usp=sharing"",""แผน!FD20"")"),30)</f>
        <v>30</v>
      </c>
      <c r="J437" s="548">
        <v>0</v>
      </c>
      <c r="K437" s="465">
        <f t="shared" ref="K437:K443" ca="1" si="193">IF(I437&gt;0,J437*100/I437,0)</f>
        <v>0</v>
      </c>
      <c r="L437" s="465"/>
      <c r="M437" s="465"/>
      <c r="N437" s="465"/>
      <c r="O437" s="465"/>
      <c r="P437" s="465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15" t="s">
        <v>195</v>
      </c>
      <c r="E438" s="342"/>
      <c r="F438" s="342"/>
      <c r="G438" s="179"/>
      <c r="H438" s="589" t="s">
        <v>49</v>
      </c>
      <c r="I438" s="269">
        <f ca="1">IFERROR(__xludf.DUMMYFUNCTION("IMPORTRANGE(""https://docs.google.com/spreadsheets/d/1QqKyyYR6Q21VydFLVH3TRQUabQu_ym0Zz7PgGX0-kHA/edit?usp=sharing"",""แผน!FE20"")"),1)</f>
        <v>1</v>
      </c>
      <c r="J438" s="214">
        <v>0</v>
      </c>
      <c r="K438" s="465">
        <f t="shared" ca="1" si="193"/>
        <v>0</v>
      </c>
      <c r="L438" s="465"/>
      <c r="M438" s="465"/>
      <c r="N438" s="465"/>
      <c r="O438" s="465"/>
      <c r="P438" s="465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15" t="s">
        <v>196</v>
      </c>
      <c r="E439" s="342"/>
      <c r="F439" s="342"/>
      <c r="G439" s="179"/>
      <c r="H439" s="589" t="s">
        <v>35</v>
      </c>
      <c r="I439" s="547">
        <f ca="1">IFERROR(__xludf.DUMMYFUNCTION("IMPORTRANGE(""https://docs.google.com/spreadsheets/d/1QqKyyYR6Q21VydFLVH3TRQUabQu_ym0Zz7PgGX0-kHA/edit?usp=sharing"",""แผน!FF20"")"),35)</f>
        <v>35</v>
      </c>
      <c r="J439" s="548">
        <v>0</v>
      </c>
      <c r="K439" s="465">
        <f t="shared" ca="1" si="193"/>
        <v>0</v>
      </c>
      <c r="L439" s="465"/>
      <c r="M439" s="465"/>
      <c r="N439" s="465"/>
      <c r="O439" s="465"/>
      <c r="P439" s="465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15" t="s">
        <v>197</v>
      </c>
      <c r="E440" s="342"/>
      <c r="F440" s="342"/>
      <c r="G440" s="179"/>
      <c r="H440" s="589" t="s">
        <v>49</v>
      </c>
      <c r="I440" s="269">
        <f ca="1">IFERROR(__xludf.DUMMYFUNCTION("IMPORTRANGE(""https://docs.google.com/spreadsheets/d/1QqKyyYR6Q21VydFLVH3TRQUabQu_ym0Zz7PgGX0-kHA/edit?usp=sharing"",""แผน!FG20"")"),1)</f>
        <v>1</v>
      </c>
      <c r="J440" s="214">
        <v>0</v>
      </c>
      <c r="K440" s="465">
        <f t="shared" ca="1" si="193"/>
        <v>0</v>
      </c>
      <c r="L440" s="465"/>
      <c r="M440" s="465"/>
      <c r="N440" s="465"/>
      <c r="O440" s="465"/>
      <c r="P440" s="465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 hidden="1">
      <c r="A441" s="170"/>
      <c r="B441" s="171"/>
      <c r="C441" s="171"/>
      <c r="D441" s="415" t="s">
        <v>198</v>
      </c>
      <c r="E441" s="342"/>
      <c r="F441" s="342"/>
      <c r="G441" s="179"/>
      <c r="H441" s="589" t="s">
        <v>35</v>
      </c>
      <c r="I441" s="269">
        <f ca="1">IFERROR(__xludf.DUMMYFUNCTION("IMPORTRANGE(""https://docs.google.com/spreadsheets/d/1QqKyyYR6Q21VydFLVH3TRQUabQu_ym0Zz7PgGX0-kHA/edit?usp=sharing"",""แผน!FH20"")"),0)</f>
        <v>0</v>
      </c>
      <c r="J441" s="269">
        <v>0</v>
      </c>
      <c r="K441" s="465">
        <f t="shared" ca="1" si="193"/>
        <v>0</v>
      </c>
      <c r="L441" s="465"/>
      <c r="M441" s="465"/>
      <c r="N441" s="465"/>
      <c r="O441" s="465"/>
      <c r="P441" s="465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49">
        <v>2</v>
      </c>
      <c r="B442" s="550" t="s">
        <v>199</v>
      </c>
      <c r="C442" s="551"/>
      <c r="D442" s="551"/>
      <c r="E442" s="551"/>
      <c r="F442" s="551"/>
      <c r="G442" s="552"/>
      <c r="H442" s="553" t="s">
        <v>35</v>
      </c>
      <c r="I442" s="554">
        <f t="shared" ref="I442:J442" ca="1" si="194">I460</f>
        <v>60</v>
      </c>
      <c r="J442" s="554">
        <f t="shared" si="194"/>
        <v>0</v>
      </c>
      <c r="K442" s="555">
        <f t="shared" ca="1" si="193"/>
        <v>0</v>
      </c>
      <c r="L442" s="556"/>
      <c r="M442" s="556"/>
      <c r="N442" s="556"/>
      <c r="O442" s="556"/>
      <c r="P442" s="556"/>
      <c r="Q442" s="541"/>
      <c r="R442" s="541"/>
      <c r="S442" s="541"/>
      <c r="T442" s="541"/>
      <c r="U442" s="541"/>
      <c r="V442" s="541"/>
      <c r="W442" s="541"/>
      <c r="X442" s="541"/>
      <c r="Y442" s="541"/>
      <c r="Z442" s="541"/>
    </row>
    <row r="443" spans="1:26" ht="19.5">
      <c r="A443" s="557"/>
      <c r="B443" s="558"/>
      <c r="C443" s="559"/>
      <c r="D443" s="559"/>
      <c r="E443" s="559"/>
      <c r="F443" s="559"/>
      <c r="G443" s="560"/>
      <c r="H443" s="531" t="s">
        <v>46</v>
      </c>
      <c r="I443" s="532">
        <f t="shared" ref="I443:J443" ca="1" si="195">I462</f>
        <v>100</v>
      </c>
      <c r="J443" s="532">
        <f t="shared" si="195"/>
        <v>0</v>
      </c>
      <c r="K443" s="533">
        <f t="shared" ca="1" si="193"/>
        <v>0</v>
      </c>
      <c r="L443" s="534"/>
      <c r="M443" s="534"/>
      <c r="N443" s="534"/>
      <c r="O443" s="534"/>
      <c r="P443" s="534"/>
      <c r="Q443" s="541"/>
      <c r="R443" s="541"/>
      <c r="S443" s="541"/>
      <c r="T443" s="541"/>
      <c r="U443" s="541"/>
      <c r="V443" s="541"/>
      <c r="W443" s="541"/>
      <c r="X443" s="541"/>
      <c r="Y443" s="541"/>
      <c r="Z443" s="541"/>
    </row>
    <row r="444" spans="1:26" ht="19.5">
      <c r="A444" s="561"/>
      <c r="B444" s="727"/>
      <c r="C444" s="727" t="s">
        <v>16</v>
      </c>
      <c r="D444" s="811" t="s">
        <v>17</v>
      </c>
      <c r="E444" s="805"/>
      <c r="F444" s="805"/>
      <c r="G444" s="189"/>
      <c r="H444" s="562" t="s">
        <v>12</v>
      </c>
      <c r="I444" s="269"/>
      <c r="J444" s="269"/>
      <c r="K444" s="465"/>
      <c r="L444" s="195">
        <f t="shared" ref="L444:N444" ca="1" si="196">L445+L446</f>
        <v>379600</v>
      </c>
      <c r="M444" s="195">
        <f t="shared" si="196"/>
        <v>0</v>
      </c>
      <c r="N444" s="195">
        <f t="shared" si="196"/>
        <v>0</v>
      </c>
      <c r="O444" s="195">
        <f t="shared" ref="O444:O449" ca="1" si="197">IF(L444&gt;0,N444*100/L444,0)</f>
        <v>0</v>
      </c>
      <c r="P444" s="195">
        <f t="shared" ref="P444:P449" si="198">IF(M444&gt;0,N444*100/M444,0)</f>
        <v>0</v>
      </c>
      <c r="Q444" s="541"/>
      <c r="R444" s="541"/>
      <c r="S444" s="541"/>
      <c r="T444" s="541"/>
      <c r="U444" s="541"/>
      <c r="V444" s="541"/>
      <c r="W444" s="541"/>
      <c r="X444" s="541"/>
      <c r="Y444" s="541"/>
      <c r="Z444" s="541"/>
    </row>
    <row r="445" spans="1:26" ht="18.75" hidden="1">
      <c r="A445" s="563"/>
      <c r="B445" s="723"/>
      <c r="C445" s="723"/>
      <c r="D445" s="684"/>
      <c r="E445" s="723" t="s">
        <v>184</v>
      </c>
      <c r="F445" s="723"/>
      <c r="G445" s="567"/>
      <c r="H445" s="165" t="s">
        <v>12</v>
      </c>
      <c r="I445" s="583"/>
      <c r="J445" s="583"/>
      <c r="K445" s="93"/>
      <c r="L445" s="93">
        <f t="shared" ref="L445:N446" si="199">L448+L455</f>
        <v>0</v>
      </c>
      <c r="M445" s="93">
        <f t="shared" si="199"/>
        <v>0</v>
      </c>
      <c r="N445" s="93">
        <f t="shared" si="199"/>
        <v>0</v>
      </c>
      <c r="O445" s="93">
        <f t="shared" si="197"/>
        <v>0</v>
      </c>
      <c r="P445" s="93">
        <f t="shared" si="198"/>
        <v>0</v>
      </c>
      <c r="Q445" s="568"/>
      <c r="R445" s="568"/>
      <c r="S445" s="568"/>
      <c r="T445" s="568"/>
      <c r="U445" s="568"/>
      <c r="V445" s="568"/>
      <c r="W445" s="568"/>
      <c r="X445" s="568"/>
      <c r="Y445" s="568"/>
      <c r="Z445" s="568"/>
    </row>
    <row r="446" spans="1:26" ht="18.75" hidden="1">
      <c r="A446" s="563"/>
      <c r="B446" s="571"/>
      <c r="C446" s="723"/>
      <c r="D446" s="684"/>
      <c r="E446" s="723" t="s">
        <v>185</v>
      </c>
      <c r="F446" s="723"/>
      <c r="G446" s="567"/>
      <c r="H446" s="165" t="s">
        <v>12</v>
      </c>
      <c r="I446" s="583"/>
      <c r="J446" s="583"/>
      <c r="K446" s="93"/>
      <c r="L446" s="93">
        <f t="shared" ca="1" si="199"/>
        <v>379600</v>
      </c>
      <c r="M446" s="93">
        <f t="shared" si="199"/>
        <v>0</v>
      </c>
      <c r="N446" s="93">
        <f t="shared" si="199"/>
        <v>0</v>
      </c>
      <c r="O446" s="93">
        <f t="shared" ca="1" si="197"/>
        <v>0</v>
      </c>
      <c r="P446" s="93">
        <f t="shared" si="198"/>
        <v>0</v>
      </c>
      <c r="Q446" s="568"/>
      <c r="R446" s="568"/>
      <c r="S446" s="568"/>
      <c r="T446" s="568"/>
      <c r="U446" s="568"/>
      <c r="V446" s="568"/>
      <c r="W446" s="568"/>
      <c r="X446" s="568"/>
      <c r="Y446" s="568"/>
      <c r="Z446" s="568"/>
    </row>
    <row r="447" spans="1:26" ht="18.75">
      <c r="A447" s="561"/>
      <c r="B447" s="538"/>
      <c r="C447" s="727"/>
      <c r="D447" s="570" t="s">
        <v>20</v>
      </c>
      <c r="E447" s="727"/>
      <c r="F447" s="727"/>
      <c r="G447" s="189"/>
      <c r="H447" s="161" t="s">
        <v>12</v>
      </c>
      <c r="I447" s="184"/>
      <c r="J447" s="184"/>
      <c r="K447" s="163"/>
      <c r="L447" s="465">
        <f t="shared" ref="L447:N447" ca="1" si="200">L448+L449</f>
        <v>379600</v>
      </c>
      <c r="M447" s="465">
        <f t="shared" si="200"/>
        <v>0</v>
      </c>
      <c r="N447" s="465">
        <f t="shared" si="200"/>
        <v>0</v>
      </c>
      <c r="O447" s="465">
        <f t="shared" ca="1" si="197"/>
        <v>0</v>
      </c>
      <c r="P447" s="465">
        <f t="shared" si="198"/>
        <v>0</v>
      </c>
      <c r="Q447" s="541"/>
      <c r="R447" s="541"/>
      <c r="S447" s="541"/>
      <c r="T447" s="541"/>
      <c r="U447" s="541"/>
      <c r="V447" s="541"/>
      <c r="W447" s="541"/>
      <c r="X447" s="541"/>
      <c r="Y447" s="541"/>
      <c r="Z447" s="541"/>
    </row>
    <row r="448" spans="1:26" ht="18.75" hidden="1">
      <c r="A448" s="563"/>
      <c r="B448" s="571"/>
      <c r="C448" s="723"/>
      <c r="D448" s="684"/>
      <c r="E448" s="723" t="s">
        <v>184</v>
      </c>
      <c r="F448" s="723"/>
      <c r="G448" s="567"/>
      <c r="H448" s="165" t="s">
        <v>12</v>
      </c>
      <c r="I448" s="583"/>
      <c r="J448" s="583"/>
      <c r="K448" s="93"/>
      <c r="L448" s="93">
        <v>0</v>
      </c>
      <c r="M448" s="93">
        <v>0</v>
      </c>
      <c r="N448" s="93">
        <v>0</v>
      </c>
      <c r="O448" s="93">
        <f t="shared" si="197"/>
        <v>0</v>
      </c>
      <c r="P448" s="93">
        <f t="shared" si="198"/>
        <v>0</v>
      </c>
      <c r="Q448" s="568"/>
      <c r="R448" s="568"/>
      <c r="S448" s="568"/>
      <c r="T448" s="568"/>
      <c r="U448" s="568"/>
      <c r="V448" s="568"/>
      <c r="W448" s="568"/>
      <c r="X448" s="568"/>
      <c r="Y448" s="568"/>
      <c r="Z448" s="568"/>
    </row>
    <row r="449" spans="1:26" ht="18.75" hidden="1">
      <c r="A449" s="563"/>
      <c r="B449" s="571"/>
      <c r="C449" s="723"/>
      <c r="D449" s="684"/>
      <c r="E449" s="723" t="s">
        <v>185</v>
      </c>
      <c r="F449" s="723"/>
      <c r="G449" s="567"/>
      <c r="H449" s="165" t="s">
        <v>12</v>
      </c>
      <c r="I449" s="583"/>
      <c r="J449" s="583"/>
      <c r="K449" s="93"/>
      <c r="L449" s="93">
        <f ca="1">IFERROR(__xludf.DUMMYFUNCTION("IMPORTRANGE(""https://docs.google.com/spreadsheets/d/1QqKyyYR6Q21VydFLVH3TRQUabQu_ym0Zz7PgGX0-kHA/edit?usp=sharing"",""แผน!FJ20"")"),379600)</f>
        <v>379600</v>
      </c>
      <c r="M449" s="93">
        <v>0</v>
      </c>
      <c r="N449" s="93">
        <f>N450+N451+N452+N453</f>
        <v>0</v>
      </c>
      <c r="O449" s="93">
        <f t="shared" ca="1" si="197"/>
        <v>0</v>
      </c>
      <c r="P449" s="93">
        <f t="shared" si="198"/>
        <v>0</v>
      </c>
      <c r="Q449" s="568"/>
      <c r="R449" s="568"/>
      <c r="S449" s="568"/>
      <c r="T449" s="568"/>
      <c r="U449" s="568"/>
      <c r="V449" s="568"/>
      <c r="W449" s="568"/>
      <c r="X449" s="568"/>
      <c r="Y449" s="568"/>
      <c r="Z449" s="568"/>
    </row>
    <row r="450" spans="1:26" ht="18.75">
      <c r="A450" s="537"/>
      <c r="B450" s="538"/>
      <c r="C450" s="727"/>
      <c r="D450" s="727"/>
      <c r="E450" s="727"/>
      <c r="F450" s="727" t="s">
        <v>186</v>
      </c>
      <c r="G450" s="189"/>
      <c r="H450" s="161" t="s">
        <v>12</v>
      </c>
      <c r="I450" s="269"/>
      <c r="J450" s="269"/>
      <c r="K450" s="465"/>
      <c r="L450" s="465"/>
      <c r="M450" s="465"/>
      <c r="N450" s="789">
        <v>0</v>
      </c>
      <c r="O450" s="465"/>
      <c r="P450" s="465"/>
      <c r="Q450" s="541"/>
      <c r="R450" s="541"/>
      <c r="S450" s="541"/>
      <c r="T450" s="541"/>
      <c r="U450" s="541"/>
      <c r="V450" s="541"/>
      <c r="W450" s="541"/>
      <c r="X450" s="541"/>
      <c r="Y450" s="541"/>
      <c r="Z450" s="541"/>
    </row>
    <row r="451" spans="1:26" ht="18.75">
      <c r="A451" s="537"/>
      <c r="B451" s="538"/>
      <c r="C451" s="727"/>
      <c r="D451" s="727"/>
      <c r="E451" s="727"/>
      <c r="F451" s="727" t="s">
        <v>187</v>
      </c>
      <c r="G451" s="189"/>
      <c r="H451" s="161" t="s">
        <v>12</v>
      </c>
      <c r="I451" s="269"/>
      <c r="J451" s="269"/>
      <c r="K451" s="465"/>
      <c r="L451" s="465"/>
      <c r="M451" s="465"/>
      <c r="N451" s="789">
        <v>0</v>
      </c>
      <c r="O451" s="465"/>
      <c r="P451" s="465"/>
      <c r="Q451" s="541"/>
      <c r="R451" s="541"/>
      <c r="S451" s="541"/>
      <c r="T451" s="541"/>
      <c r="U451" s="541"/>
      <c r="V451" s="541"/>
      <c r="W451" s="541"/>
      <c r="X451" s="541"/>
      <c r="Y451" s="541"/>
      <c r="Z451" s="541"/>
    </row>
    <row r="452" spans="1:26" ht="18.75">
      <c r="A452" s="537"/>
      <c r="B452" s="538"/>
      <c r="C452" s="538"/>
      <c r="D452" s="538"/>
      <c r="E452" s="538"/>
      <c r="F452" s="727" t="s">
        <v>188</v>
      </c>
      <c r="G452" s="189"/>
      <c r="H452" s="161" t="s">
        <v>12</v>
      </c>
      <c r="I452" s="269"/>
      <c r="J452" s="269"/>
      <c r="K452" s="465"/>
      <c r="L452" s="465"/>
      <c r="M452" s="465"/>
      <c r="N452" s="789">
        <v>0</v>
      </c>
      <c r="O452" s="465"/>
      <c r="P452" s="465"/>
      <c r="Q452" s="541"/>
      <c r="R452" s="541"/>
      <c r="S452" s="541"/>
      <c r="T452" s="541"/>
      <c r="U452" s="541"/>
      <c r="V452" s="541"/>
      <c r="W452" s="541"/>
      <c r="X452" s="541"/>
      <c r="Y452" s="541"/>
      <c r="Z452" s="541"/>
    </row>
    <row r="453" spans="1:26" ht="18.75">
      <c r="A453" s="537"/>
      <c r="B453" s="538"/>
      <c r="C453" s="538"/>
      <c r="D453" s="538"/>
      <c r="E453" s="538"/>
      <c r="F453" s="727" t="s">
        <v>189</v>
      </c>
      <c r="G453" s="189"/>
      <c r="H453" s="161" t="s">
        <v>12</v>
      </c>
      <c r="I453" s="269"/>
      <c r="J453" s="269"/>
      <c r="K453" s="465"/>
      <c r="L453" s="465"/>
      <c r="M453" s="465"/>
      <c r="N453" s="789">
        <v>0</v>
      </c>
      <c r="O453" s="465"/>
      <c r="P453" s="465"/>
      <c r="Q453" s="541"/>
      <c r="R453" s="541"/>
      <c r="S453" s="541"/>
      <c r="T453" s="541"/>
      <c r="U453" s="541"/>
      <c r="V453" s="541"/>
      <c r="W453" s="541"/>
      <c r="X453" s="541"/>
      <c r="Y453" s="541"/>
      <c r="Z453" s="541"/>
    </row>
    <row r="454" spans="1:26" ht="18.75">
      <c r="A454" s="561"/>
      <c r="B454" s="538"/>
      <c r="C454" s="538"/>
      <c r="D454" s="570" t="s">
        <v>21</v>
      </c>
      <c r="E454" s="538"/>
      <c r="F454" s="727"/>
      <c r="G454" s="189"/>
      <c r="H454" s="168" t="s">
        <v>12</v>
      </c>
      <c r="I454" s="184"/>
      <c r="J454" s="184"/>
      <c r="K454" s="163"/>
      <c r="L454" s="465">
        <f t="shared" ref="L454:N454" ca="1" si="201">L455+L456</f>
        <v>0</v>
      </c>
      <c r="M454" s="465">
        <f t="shared" si="201"/>
        <v>0</v>
      </c>
      <c r="N454" s="465">
        <f t="shared" si="201"/>
        <v>0</v>
      </c>
      <c r="O454" s="465">
        <f t="shared" ref="O454:O456" ca="1" si="202">IF(L454&gt;0,N454*100/L454,0)</f>
        <v>0</v>
      </c>
      <c r="P454" s="465">
        <f t="shared" ref="P454:P456" si="203">IF(M454&gt;0,N454*100/M454,0)</f>
        <v>0</v>
      </c>
      <c r="Q454" s="541"/>
      <c r="R454" s="541"/>
      <c r="S454" s="541"/>
      <c r="T454" s="541"/>
      <c r="U454" s="541"/>
      <c r="V454" s="541"/>
      <c r="W454" s="541"/>
      <c r="X454" s="541"/>
      <c r="Y454" s="541"/>
      <c r="Z454" s="541"/>
    </row>
    <row r="455" spans="1:26" ht="18.75" hidden="1">
      <c r="A455" s="563"/>
      <c r="B455" s="571"/>
      <c r="C455" s="571"/>
      <c r="D455" s="571"/>
      <c r="E455" s="571" t="s">
        <v>18</v>
      </c>
      <c r="F455" s="723"/>
      <c r="G455" s="567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2"/>
        <v>0</v>
      </c>
      <c r="P455" s="93">
        <f t="shared" si="203"/>
        <v>0</v>
      </c>
      <c r="Q455" s="568"/>
      <c r="R455" s="568"/>
      <c r="S455" s="568"/>
      <c r="T455" s="568"/>
      <c r="U455" s="568"/>
      <c r="V455" s="568"/>
      <c r="W455" s="568"/>
      <c r="X455" s="568"/>
      <c r="Y455" s="568"/>
      <c r="Z455" s="568"/>
    </row>
    <row r="456" spans="1:26" ht="18.75" hidden="1">
      <c r="A456" s="563"/>
      <c r="B456" s="571"/>
      <c r="C456" s="571"/>
      <c r="D456" s="571"/>
      <c r="E456" s="571" t="s">
        <v>19</v>
      </c>
      <c r="F456" s="723"/>
      <c r="G456" s="567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IFERROR(__xludf.DUMMYFUNCTION("IMPORTRANGE(""https://docs.google.com/spreadsheets/d/1QqKyyYR6Q21VydFLVH3TRQUabQu_ym0Zz7PgGX0-kHA/edit?usp=sharing"",""แผน!FM20"")"),0)</f>
        <v>0</v>
      </c>
      <c r="M456" s="93">
        <v>0</v>
      </c>
      <c r="N456" s="93">
        <v>0</v>
      </c>
      <c r="O456" s="93">
        <f t="shared" ca="1" si="202"/>
        <v>0</v>
      </c>
      <c r="P456" s="93">
        <f t="shared" si="203"/>
        <v>0</v>
      </c>
      <c r="Q456" s="568"/>
      <c r="R456" s="568"/>
      <c r="S456" s="568"/>
      <c r="T456" s="568"/>
      <c r="U456" s="568"/>
      <c r="V456" s="568"/>
      <c r="W456" s="568"/>
      <c r="X456" s="568"/>
      <c r="Y456" s="568"/>
      <c r="Z456" s="568"/>
    </row>
    <row r="457" spans="1:26" ht="19.5">
      <c r="A457" s="572"/>
      <c r="B457" s="584"/>
      <c r="C457" s="538" t="s">
        <v>16</v>
      </c>
      <c r="D457" s="850" t="s">
        <v>38</v>
      </c>
      <c r="E457" s="575"/>
      <c r="F457" s="725"/>
      <c r="G457" s="577"/>
      <c r="H457" s="726"/>
      <c r="I457" s="269"/>
      <c r="J457" s="269"/>
      <c r="K457" s="465"/>
      <c r="L457" s="465"/>
      <c r="M457" s="465"/>
      <c r="N457" s="465"/>
      <c r="O457" s="465"/>
      <c r="P457" s="465"/>
      <c r="Q457" s="541"/>
      <c r="R457" s="541"/>
      <c r="S457" s="541"/>
      <c r="T457" s="541"/>
      <c r="U457" s="541"/>
      <c r="V457" s="541"/>
      <c r="W457" s="541"/>
      <c r="X457" s="541"/>
      <c r="Y457" s="541"/>
      <c r="Z457" s="541"/>
    </row>
    <row r="458" spans="1:26" ht="18.75" hidden="1">
      <c r="A458" s="578"/>
      <c r="B458" s="580"/>
      <c r="C458" s="580"/>
      <c r="D458" s="580" t="s">
        <v>200</v>
      </c>
      <c r="E458" s="580"/>
      <c r="F458" s="684"/>
      <c r="G458" s="581"/>
      <c r="H458" s="582" t="s">
        <v>35</v>
      </c>
      <c r="I458" s="583">
        <v>0</v>
      </c>
      <c r="J458" s="583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568"/>
      <c r="R458" s="568"/>
      <c r="S458" s="568"/>
      <c r="T458" s="568"/>
      <c r="U458" s="568"/>
      <c r="V458" s="568"/>
      <c r="W458" s="568"/>
      <c r="X458" s="568"/>
      <c r="Y458" s="568"/>
      <c r="Z458" s="568"/>
    </row>
    <row r="459" spans="1:26" ht="18.75" hidden="1">
      <c r="A459" s="578"/>
      <c r="B459" s="580"/>
      <c r="C459" s="580"/>
      <c r="D459" s="580" t="s">
        <v>201</v>
      </c>
      <c r="E459" s="580"/>
      <c r="F459" s="684"/>
      <c r="G459" s="581"/>
      <c r="H459" s="582"/>
      <c r="I459" s="583"/>
      <c r="J459" s="583"/>
      <c r="K459" s="93"/>
      <c r="L459" s="93"/>
      <c r="M459" s="93"/>
      <c r="N459" s="93"/>
      <c r="O459" s="93"/>
      <c r="P459" s="93"/>
      <c r="Q459" s="568"/>
      <c r="R459" s="568"/>
      <c r="S459" s="568"/>
      <c r="T459" s="568"/>
      <c r="U459" s="568"/>
      <c r="V459" s="568"/>
      <c r="W459" s="568"/>
      <c r="X459" s="568"/>
      <c r="Y459" s="568"/>
      <c r="Z459" s="568"/>
    </row>
    <row r="460" spans="1:26" ht="18.75">
      <c r="A460" s="572"/>
      <c r="B460" s="584"/>
      <c r="C460" s="584"/>
      <c r="D460" s="584" t="s">
        <v>202</v>
      </c>
      <c r="E460" s="584"/>
      <c r="F460" s="592"/>
      <c r="G460" s="726"/>
      <c r="H460" s="728" t="s">
        <v>35</v>
      </c>
      <c r="I460" s="269">
        <f ca="1">IFERROR(__xludf.DUMMYFUNCTION("IMPORTRANGE(""https://docs.google.com/spreadsheets/d/1QqKyyYR6Q21VydFLVH3TRQUabQu_ym0Zz7PgGX0-kHA/edit?usp=sharing"",""แผน!FN20"")"),60)</f>
        <v>60</v>
      </c>
      <c r="J460" s="214">
        <v>0</v>
      </c>
      <c r="K460" s="465">
        <f ca="1">IF(I460&gt;0,J460*100/I460,0)</f>
        <v>0</v>
      </c>
      <c r="L460" s="465"/>
      <c r="M460" s="465"/>
      <c r="N460" s="465"/>
      <c r="O460" s="465"/>
      <c r="P460" s="465"/>
      <c r="Q460" s="541"/>
      <c r="R460" s="541"/>
      <c r="S460" s="541"/>
      <c r="T460" s="541"/>
      <c r="U460" s="541"/>
      <c r="V460" s="541"/>
      <c r="W460" s="541"/>
      <c r="X460" s="541"/>
      <c r="Y460" s="541"/>
      <c r="Z460" s="541"/>
    </row>
    <row r="461" spans="1:26" ht="18.75">
      <c r="A461" s="572"/>
      <c r="B461" s="584"/>
      <c r="C461" s="584"/>
      <c r="D461" s="584" t="s">
        <v>203</v>
      </c>
      <c r="E461" s="592"/>
      <c r="F461" s="592"/>
      <c r="G461" s="726"/>
      <c r="H461" s="728"/>
      <c r="I461" s="269"/>
      <c r="J461" s="269"/>
      <c r="K461" s="465"/>
      <c r="L461" s="465"/>
      <c r="M461" s="465"/>
      <c r="N461" s="465"/>
      <c r="O461" s="465"/>
      <c r="P461" s="465"/>
      <c r="Q461" s="541"/>
      <c r="R461" s="541"/>
      <c r="S461" s="541"/>
      <c r="T461" s="541"/>
      <c r="U461" s="541"/>
      <c r="V461" s="541"/>
      <c r="W461" s="541"/>
      <c r="X461" s="541"/>
      <c r="Y461" s="541"/>
      <c r="Z461" s="541"/>
    </row>
    <row r="462" spans="1:26" ht="18.75">
      <c r="A462" s="572"/>
      <c r="B462" s="584"/>
      <c r="C462" s="584"/>
      <c r="D462" s="584" t="s">
        <v>204</v>
      </c>
      <c r="E462" s="592"/>
      <c r="F462" s="592"/>
      <c r="G462" s="726"/>
      <c r="H462" s="728" t="s">
        <v>46</v>
      </c>
      <c r="I462" s="269">
        <f ca="1">IFERROR(__xludf.DUMMYFUNCTION("IMPORTRANGE(""https://docs.google.com/spreadsheets/d/1QqKyyYR6Q21VydFLVH3TRQUabQu_ym0Zz7PgGX0-kHA/edit?usp=sharing"",""แผน!FO20"")"),100)</f>
        <v>100</v>
      </c>
      <c r="J462" s="214">
        <v>0</v>
      </c>
      <c r="K462" s="465">
        <f ca="1">IF(I462&gt;0,J462*100/I462,0)</f>
        <v>0</v>
      </c>
      <c r="L462" s="465"/>
      <c r="M462" s="465"/>
      <c r="N462" s="465"/>
      <c r="O462" s="465"/>
      <c r="P462" s="465"/>
      <c r="Q462" s="541"/>
      <c r="R462" s="541"/>
      <c r="S462" s="541"/>
      <c r="T462" s="541"/>
      <c r="U462" s="541"/>
      <c r="V462" s="541"/>
      <c r="W462" s="541"/>
      <c r="X462" s="541"/>
      <c r="Y462" s="541"/>
      <c r="Z462" s="541"/>
    </row>
    <row r="463" spans="1:26" ht="18.75">
      <c r="A463" s="572"/>
      <c r="B463" s="584"/>
      <c r="C463" s="584"/>
      <c r="D463" s="584" t="s">
        <v>59</v>
      </c>
      <c r="E463" s="592"/>
      <c r="F463" s="727"/>
      <c r="G463" s="189"/>
      <c r="H463" s="728" t="s">
        <v>46</v>
      </c>
      <c r="I463" s="269">
        <f ca="1">IFERROR(__xludf.DUMMYFUNCTION("IMPORTRANGE(""https://docs.google.com/spreadsheets/d/1QqKyyYR6Q21VydFLVH3TRQUabQu_ym0Zz7PgGX0-kHA/edit?usp=sharing"",""แผน!FO20"")"),100)</f>
        <v>100</v>
      </c>
      <c r="J463" s="214">
        <v>0</v>
      </c>
      <c r="K463" s="465"/>
      <c r="L463" s="465"/>
      <c r="M463" s="465"/>
      <c r="N463" s="465"/>
      <c r="O463" s="465"/>
      <c r="P463" s="465"/>
      <c r="Q463" s="541"/>
      <c r="R463" s="541"/>
      <c r="S463" s="541"/>
      <c r="T463" s="541"/>
      <c r="U463" s="541"/>
      <c r="V463" s="541"/>
      <c r="W463" s="541"/>
      <c r="X463" s="541"/>
      <c r="Y463" s="541"/>
      <c r="Z463" s="541"/>
    </row>
    <row r="464" spans="1:26" ht="19.5">
      <c r="A464" s="572"/>
      <c r="B464" s="584"/>
      <c r="C464" s="584"/>
      <c r="D464" s="584"/>
      <c r="E464" s="592"/>
      <c r="F464" s="592"/>
      <c r="G464" s="586"/>
      <c r="H464" s="728" t="s">
        <v>35</v>
      </c>
      <c r="I464" s="269">
        <f ca="1">IFERROR(__xludf.DUMMYFUNCTION("IMPORTRANGE(""https://docs.google.com/spreadsheets/d/1QqKyyYR6Q21VydFLVH3TRQUabQu_ym0Zz7PgGX0-kHA/edit?usp=sharing"",""แผน!FN20"")"),60)</f>
        <v>60</v>
      </c>
      <c r="J464" s="214">
        <v>0</v>
      </c>
      <c r="K464" s="465"/>
      <c r="L464" s="465"/>
      <c r="M464" s="465"/>
      <c r="N464" s="465"/>
      <c r="O464" s="465"/>
      <c r="P464" s="465"/>
      <c r="Q464" s="541"/>
      <c r="R464" s="541"/>
      <c r="S464" s="541"/>
      <c r="T464" s="541"/>
      <c r="U464" s="541"/>
      <c r="V464" s="541"/>
      <c r="W464" s="541"/>
      <c r="X464" s="541"/>
      <c r="Y464" s="541"/>
      <c r="Z464" s="541"/>
    </row>
    <row r="465" spans="1:26" ht="19.5">
      <c r="A465" s="549">
        <v>3</v>
      </c>
      <c r="B465" s="550" t="s">
        <v>205</v>
      </c>
      <c r="C465" s="551"/>
      <c r="D465" s="551"/>
      <c r="E465" s="551"/>
      <c r="F465" s="551"/>
      <c r="G465" s="552"/>
      <c r="H465" s="553" t="s">
        <v>35</v>
      </c>
      <c r="I465" s="554">
        <f ca="1">IFERROR(__xludf.DUMMYFUNCTION("IMPORTRANGE(""https://docs.google.com/spreadsheets/d/1QqKyyYR6Q21VydFLVH3TRQUabQu_ym0Zz7PgGX0-kHA/edit?usp=sharing"",""แผน!FX20"")"),31)</f>
        <v>31</v>
      </c>
      <c r="J465" s="554">
        <f>J485+J489+J492</f>
        <v>0</v>
      </c>
      <c r="K465" s="555">
        <f t="shared" ref="K465:K466" ca="1" si="204">IF(I465&gt;0,J465*100/I465,0)</f>
        <v>0</v>
      </c>
      <c r="L465" s="556"/>
      <c r="M465" s="556"/>
      <c r="N465" s="556"/>
      <c r="O465" s="556"/>
      <c r="P465" s="556"/>
      <c r="Q465" s="541"/>
      <c r="R465" s="541"/>
      <c r="S465" s="541"/>
      <c r="T465" s="541"/>
      <c r="U465" s="541"/>
      <c r="V465" s="541"/>
      <c r="W465" s="541"/>
      <c r="X465" s="541"/>
      <c r="Y465" s="541"/>
      <c r="Z465" s="541"/>
    </row>
    <row r="466" spans="1:26" ht="19.5">
      <c r="A466" s="557"/>
      <c r="B466" s="558"/>
      <c r="C466" s="559"/>
      <c r="D466" s="559"/>
      <c r="E466" s="559"/>
      <c r="F466" s="559"/>
      <c r="G466" s="560"/>
      <c r="H466" s="531" t="s">
        <v>46</v>
      </c>
      <c r="I466" s="532">
        <f ca="1">IFERROR(__xludf.DUMMYFUNCTION("IMPORTRANGE(""https://docs.google.com/spreadsheets/d/1QqKyyYR6Q21VydFLVH3TRQUabQu_ym0Zz7PgGX0-kHA/edit?usp=sharing"",""แผน!FW20"")"),300)</f>
        <v>300</v>
      </c>
      <c r="J466" s="532">
        <f>J483+J487</f>
        <v>0</v>
      </c>
      <c r="K466" s="533">
        <f t="shared" ca="1" si="204"/>
        <v>0</v>
      </c>
      <c r="L466" s="534"/>
      <c r="M466" s="534"/>
      <c r="N466" s="534"/>
      <c r="O466" s="534"/>
      <c r="P466" s="534"/>
      <c r="Q466" s="541"/>
      <c r="R466" s="541"/>
      <c r="S466" s="541"/>
      <c r="T466" s="541"/>
      <c r="U466" s="541"/>
      <c r="V466" s="541"/>
      <c r="W466" s="541"/>
      <c r="X466" s="541"/>
      <c r="Y466" s="541"/>
      <c r="Z466" s="541"/>
    </row>
    <row r="467" spans="1:26" ht="19.5">
      <c r="A467" s="561"/>
      <c r="B467" s="727"/>
      <c r="C467" s="727" t="s">
        <v>16</v>
      </c>
      <c r="D467" s="811" t="s">
        <v>17</v>
      </c>
      <c r="E467" s="805"/>
      <c r="F467" s="805"/>
      <c r="G467" s="189"/>
      <c r="H467" s="562" t="s">
        <v>12</v>
      </c>
      <c r="I467" s="269"/>
      <c r="J467" s="269"/>
      <c r="K467" s="465"/>
      <c r="L467" s="195">
        <f t="shared" ref="L467:N467" ca="1" si="205">L468+L469</f>
        <v>250523</v>
      </c>
      <c r="M467" s="195">
        <f t="shared" si="205"/>
        <v>0</v>
      </c>
      <c r="N467" s="195">
        <f t="shared" si="205"/>
        <v>0</v>
      </c>
      <c r="O467" s="195">
        <f t="shared" ref="O467:O472" ca="1" si="206">IF(L467&gt;0,N467*100/L467,0)</f>
        <v>0</v>
      </c>
      <c r="P467" s="195">
        <f t="shared" ref="P467:P472" si="207">IF(M467&gt;0,N467*100/M467,0)</f>
        <v>0</v>
      </c>
      <c r="Q467" s="541"/>
      <c r="R467" s="541"/>
      <c r="S467" s="541"/>
      <c r="T467" s="541"/>
      <c r="U467" s="541"/>
      <c r="V467" s="541"/>
      <c r="W467" s="541"/>
      <c r="X467" s="541"/>
      <c r="Y467" s="541"/>
      <c r="Z467" s="541"/>
    </row>
    <row r="468" spans="1:26" ht="18.75" hidden="1">
      <c r="A468" s="563"/>
      <c r="B468" s="723"/>
      <c r="C468" s="723"/>
      <c r="D468" s="684"/>
      <c r="E468" s="723" t="s">
        <v>184</v>
      </c>
      <c r="F468" s="723"/>
      <c r="G468" s="567"/>
      <c r="H468" s="165" t="s">
        <v>12</v>
      </c>
      <c r="I468" s="583"/>
      <c r="J468" s="583"/>
      <c r="K468" s="93"/>
      <c r="L468" s="93">
        <f t="shared" ref="L468:N469" si="208">L471+L478</f>
        <v>0</v>
      </c>
      <c r="M468" s="93">
        <f t="shared" si="208"/>
        <v>0</v>
      </c>
      <c r="N468" s="93">
        <f t="shared" si="208"/>
        <v>0</v>
      </c>
      <c r="O468" s="93">
        <f t="shared" si="206"/>
        <v>0</v>
      </c>
      <c r="P468" s="93">
        <f t="shared" si="207"/>
        <v>0</v>
      </c>
      <c r="Q468" s="568"/>
      <c r="R468" s="568"/>
      <c r="S468" s="568"/>
      <c r="T468" s="568"/>
      <c r="U468" s="568"/>
      <c r="V468" s="568"/>
      <c r="W468" s="568"/>
      <c r="X468" s="568"/>
      <c r="Y468" s="568"/>
      <c r="Z468" s="568"/>
    </row>
    <row r="469" spans="1:26" ht="18.75" hidden="1">
      <c r="A469" s="563"/>
      <c r="B469" s="571"/>
      <c r="C469" s="723"/>
      <c r="D469" s="684"/>
      <c r="E469" s="723" t="s">
        <v>185</v>
      </c>
      <c r="F469" s="723"/>
      <c r="G469" s="567"/>
      <c r="H469" s="165" t="s">
        <v>12</v>
      </c>
      <c r="I469" s="583"/>
      <c r="J469" s="583"/>
      <c r="K469" s="93"/>
      <c r="L469" s="93">
        <f t="shared" ca="1" si="208"/>
        <v>250523</v>
      </c>
      <c r="M469" s="93">
        <f t="shared" si="208"/>
        <v>0</v>
      </c>
      <c r="N469" s="93">
        <f t="shared" si="208"/>
        <v>0</v>
      </c>
      <c r="O469" s="93">
        <f t="shared" ca="1" si="206"/>
        <v>0</v>
      </c>
      <c r="P469" s="93">
        <f t="shared" si="207"/>
        <v>0</v>
      </c>
      <c r="Q469" s="568"/>
      <c r="R469" s="568"/>
      <c r="S469" s="568"/>
      <c r="T469" s="568"/>
      <c r="U469" s="568"/>
      <c r="V469" s="568"/>
      <c r="W469" s="568"/>
      <c r="X469" s="568"/>
      <c r="Y469" s="568"/>
      <c r="Z469" s="568"/>
    </row>
    <row r="470" spans="1:26" ht="18.75">
      <c r="A470" s="561"/>
      <c r="B470" s="538"/>
      <c r="C470" s="727"/>
      <c r="D470" s="570" t="s">
        <v>20</v>
      </c>
      <c r="E470" s="727"/>
      <c r="F470" s="727"/>
      <c r="G470" s="189"/>
      <c r="H470" s="161" t="s">
        <v>12</v>
      </c>
      <c r="I470" s="184"/>
      <c r="J470" s="184"/>
      <c r="K470" s="163"/>
      <c r="L470" s="465">
        <f t="shared" ref="L470:N470" ca="1" si="209">L471+L472</f>
        <v>250523</v>
      </c>
      <c r="M470" s="465">
        <f t="shared" si="209"/>
        <v>0</v>
      </c>
      <c r="N470" s="465">
        <f t="shared" si="209"/>
        <v>0</v>
      </c>
      <c r="O470" s="465">
        <f t="shared" ca="1" si="206"/>
        <v>0</v>
      </c>
      <c r="P470" s="465">
        <f t="shared" si="207"/>
        <v>0</v>
      </c>
      <c r="Q470" s="541"/>
      <c r="R470" s="541"/>
      <c r="S470" s="541"/>
      <c r="T470" s="541"/>
      <c r="U470" s="541"/>
      <c r="V470" s="541"/>
      <c r="W470" s="541"/>
      <c r="X470" s="541"/>
      <c r="Y470" s="541"/>
      <c r="Z470" s="541"/>
    </row>
    <row r="471" spans="1:26" ht="18.75" hidden="1">
      <c r="A471" s="563"/>
      <c r="B471" s="571"/>
      <c r="C471" s="723"/>
      <c r="D471" s="684"/>
      <c r="E471" s="723" t="s">
        <v>184</v>
      </c>
      <c r="F471" s="723"/>
      <c r="G471" s="567"/>
      <c r="H471" s="165" t="s">
        <v>12</v>
      </c>
      <c r="I471" s="583"/>
      <c r="J471" s="583"/>
      <c r="K471" s="93"/>
      <c r="L471" s="93">
        <v>0</v>
      </c>
      <c r="M471" s="93">
        <v>0</v>
      </c>
      <c r="N471" s="93">
        <v>0</v>
      </c>
      <c r="O471" s="93">
        <f t="shared" si="206"/>
        <v>0</v>
      </c>
      <c r="P471" s="93">
        <f t="shared" si="207"/>
        <v>0</v>
      </c>
      <c r="Q471" s="568"/>
      <c r="R471" s="568"/>
      <c r="S471" s="568"/>
      <c r="T471" s="568"/>
      <c r="U471" s="568"/>
      <c r="V471" s="568"/>
      <c r="W471" s="568"/>
      <c r="X471" s="568"/>
      <c r="Y471" s="568"/>
      <c r="Z471" s="568"/>
    </row>
    <row r="472" spans="1:26" ht="18.75" hidden="1">
      <c r="A472" s="563"/>
      <c r="B472" s="571"/>
      <c r="C472" s="723"/>
      <c r="D472" s="684"/>
      <c r="E472" s="723" t="s">
        <v>185</v>
      </c>
      <c r="F472" s="723"/>
      <c r="G472" s="567"/>
      <c r="H472" s="165" t="s">
        <v>12</v>
      </c>
      <c r="I472" s="583"/>
      <c r="J472" s="583"/>
      <c r="K472" s="93"/>
      <c r="L472" s="93">
        <f ca="1">IFERROR(__xludf.DUMMYFUNCTION("IMPORTRANGE(""https://docs.google.com/spreadsheets/d/1QqKyyYR6Q21VydFLVH3TRQUabQu_ym0Zz7PgGX0-kHA/edit?usp=sharing"",""แผน!FS20"")"),250523)</f>
        <v>250523</v>
      </c>
      <c r="M472" s="93">
        <v>0</v>
      </c>
      <c r="N472" s="93">
        <f>N473+N474+N475+N476</f>
        <v>0</v>
      </c>
      <c r="O472" s="93">
        <f t="shared" ca="1" si="206"/>
        <v>0</v>
      </c>
      <c r="P472" s="93">
        <f t="shared" si="207"/>
        <v>0</v>
      </c>
      <c r="Q472" s="568"/>
      <c r="R472" s="568"/>
      <c r="S472" s="568"/>
      <c r="T472" s="568"/>
      <c r="U472" s="568"/>
      <c r="V472" s="568"/>
      <c r="W472" s="568"/>
      <c r="X472" s="568"/>
      <c r="Y472" s="568"/>
      <c r="Z472" s="568"/>
    </row>
    <row r="473" spans="1:26" ht="18.75">
      <c r="A473" s="537"/>
      <c r="B473" s="538"/>
      <c r="C473" s="727"/>
      <c r="D473" s="727"/>
      <c r="E473" s="727"/>
      <c r="F473" s="727" t="s">
        <v>186</v>
      </c>
      <c r="G473" s="189"/>
      <c r="H473" s="161" t="s">
        <v>12</v>
      </c>
      <c r="I473" s="269"/>
      <c r="J473" s="269"/>
      <c r="K473" s="465"/>
      <c r="L473" s="465"/>
      <c r="M473" s="465"/>
      <c r="N473" s="789">
        <v>0</v>
      </c>
      <c r="O473" s="465"/>
      <c r="P473" s="465"/>
      <c r="Q473" s="541"/>
      <c r="R473" s="541"/>
      <c r="S473" s="541"/>
      <c r="T473" s="541"/>
      <c r="U473" s="541"/>
      <c r="V473" s="541"/>
      <c r="W473" s="541"/>
      <c r="X473" s="541"/>
      <c r="Y473" s="541"/>
      <c r="Z473" s="541"/>
    </row>
    <row r="474" spans="1:26" ht="18.75">
      <c r="A474" s="537"/>
      <c r="B474" s="538"/>
      <c r="C474" s="727"/>
      <c r="D474" s="727"/>
      <c r="E474" s="727"/>
      <c r="F474" s="727" t="s">
        <v>187</v>
      </c>
      <c r="G474" s="189"/>
      <c r="H474" s="161" t="s">
        <v>12</v>
      </c>
      <c r="I474" s="269"/>
      <c r="J474" s="269"/>
      <c r="K474" s="465"/>
      <c r="L474" s="465"/>
      <c r="M474" s="465"/>
      <c r="N474" s="789">
        <v>0</v>
      </c>
      <c r="O474" s="465"/>
      <c r="P474" s="465"/>
      <c r="Q474" s="541"/>
      <c r="R474" s="541"/>
      <c r="S474" s="541"/>
      <c r="T474" s="541"/>
      <c r="U474" s="541"/>
      <c r="V474" s="541"/>
      <c r="W474" s="541"/>
      <c r="X474" s="541"/>
      <c r="Y474" s="541"/>
      <c r="Z474" s="541"/>
    </row>
    <row r="475" spans="1:26" ht="18.75">
      <c r="A475" s="537"/>
      <c r="B475" s="538"/>
      <c r="C475" s="538"/>
      <c r="D475" s="538"/>
      <c r="E475" s="538"/>
      <c r="F475" s="727" t="s">
        <v>188</v>
      </c>
      <c r="G475" s="189"/>
      <c r="H475" s="161" t="s">
        <v>12</v>
      </c>
      <c r="I475" s="269"/>
      <c r="J475" s="269"/>
      <c r="K475" s="465"/>
      <c r="L475" s="465"/>
      <c r="M475" s="465"/>
      <c r="N475" s="789">
        <v>0</v>
      </c>
      <c r="O475" s="465"/>
      <c r="P475" s="465"/>
      <c r="Q475" s="541"/>
      <c r="R475" s="541"/>
      <c r="S475" s="541"/>
      <c r="T475" s="541"/>
      <c r="U475" s="541"/>
      <c r="V475" s="541"/>
      <c r="W475" s="541"/>
      <c r="X475" s="541"/>
      <c r="Y475" s="541"/>
      <c r="Z475" s="541"/>
    </row>
    <row r="476" spans="1:26" ht="18.75">
      <c r="A476" s="537"/>
      <c r="B476" s="538"/>
      <c r="C476" s="538"/>
      <c r="D476" s="538"/>
      <c r="E476" s="538"/>
      <c r="F476" s="727" t="s">
        <v>189</v>
      </c>
      <c r="G476" s="189"/>
      <c r="H476" s="161" t="s">
        <v>12</v>
      </c>
      <c r="I476" s="269"/>
      <c r="J476" s="269"/>
      <c r="K476" s="465"/>
      <c r="L476" s="465"/>
      <c r="M476" s="465"/>
      <c r="N476" s="789">
        <v>0</v>
      </c>
      <c r="O476" s="465"/>
      <c r="P476" s="465"/>
      <c r="Q476" s="541"/>
      <c r="R476" s="541"/>
      <c r="S476" s="541"/>
      <c r="T476" s="541"/>
      <c r="U476" s="541"/>
      <c r="V476" s="541"/>
      <c r="W476" s="541"/>
      <c r="X476" s="541"/>
      <c r="Y476" s="541"/>
      <c r="Z476" s="541"/>
    </row>
    <row r="477" spans="1:26" ht="18.75">
      <c r="A477" s="561"/>
      <c r="B477" s="538"/>
      <c r="C477" s="538"/>
      <c r="D477" s="570" t="s">
        <v>21</v>
      </c>
      <c r="E477" s="538"/>
      <c r="F477" s="538"/>
      <c r="G477" s="189"/>
      <c r="H477" s="168" t="s">
        <v>12</v>
      </c>
      <c r="I477" s="184"/>
      <c r="J477" s="184"/>
      <c r="K477" s="163"/>
      <c r="L477" s="465">
        <f t="shared" ref="L477:N477" ca="1" si="210">L478+L479</f>
        <v>0</v>
      </c>
      <c r="M477" s="465">
        <f t="shared" si="210"/>
        <v>0</v>
      </c>
      <c r="N477" s="465">
        <f t="shared" si="210"/>
        <v>0</v>
      </c>
      <c r="O477" s="465">
        <f t="shared" ref="O477:O479" ca="1" si="211">IF(L477&gt;0,N477*100/L477,0)</f>
        <v>0</v>
      </c>
      <c r="P477" s="465">
        <f t="shared" ref="P477:P479" si="212">IF(M477&gt;0,N477*100/M477,0)</f>
        <v>0</v>
      </c>
      <c r="Q477" s="541"/>
      <c r="R477" s="541"/>
      <c r="S477" s="541"/>
      <c r="T477" s="541"/>
      <c r="U477" s="541"/>
      <c r="V477" s="541"/>
      <c r="W477" s="541"/>
      <c r="X477" s="541"/>
      <c r="Y477" s="541"/>
      <c r="Z477" s="541"/>
    </row>
    <row r="478" spans="1:26" ht="18.75" hidden="1">
      <c r="A478" s="563"/>
      <c r="B478" s="571"/>
      <c r="C478" s="571"/>
      <c r="D478" s="571"/>
      <c r="E478" s="571" t="s">
        <v>18</v>
      </c>
      <c r="F478" s="571"/>
      <c r="G478" s="567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1"/>
        <v>0</v>
      </c>
      <c r="P478" s="93">
        <f t="shared" si="212"/>
        <v>0</v>
      </c>
      <c r="Q478" s="568"/>
      <c r="R478" s="568"/>
      <c r="S478" s="568"/>
      <c r="T478" s="568"/>
      <c r="U478" s="568"/>
      <c r="V478" s="568"/>
      <c r="W478" s="568"/>
      <c r="X478" s="568"/>
      <c r="Y478" s="568"/>
      <c r="Z478" s="568"/>
    </row>
    <row r="479" spans="1:26" ht="18.75" hidden="1">
      <c r="A479" s="563"/>
      <c r="B479" s="571"/>
      <c r="C479" s="571"/>
      <c r="D479" s="571"/>
      <c r="E479" s="571" t="s">
        <v>19</v>
      </c>
      <c r="F479" s="571"/>
      <c r="G479" s="567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IFERROR(__xludf.DUMMYFUNCTION("IMPORTRANGE(""https://docs.google.com/spreadsheets/d/1QqKyyYR6Q21VydFLVH3TRQUabQu_ym0Zz7PgGX0-kHA/edit?usp=sharing"",""แผน!FV20"")"),0)</f>
        <v>0</v>
      </c>
      <c r="M479" s="93">
        <v>0</v>
      </c>
      <c r="N479" s="93">
        <v>0</v>
      </c>
      <c r="O479" s="93">
        <f t="shared" ca="1" si="211"/>
        <v>0</v>
      </c>
      <c r="P479" s="93">
        <f t="shared" si="212"/>
        <v>0</v>
      </c>
      <c r="Q479" s="568"/>
      <c r="R479" s="568"/>
      <c r="S479" s="568"/>
      <c r="T479" s="568"/>
      <c r="U479" s="568"/>
      <c r="V479" s="568"/>
      <c r="W479" s="568"/>
      <c r="X479" s="568"/>
      <c r="Y479" s="568"/>
      <c r="Z479" s="568"/>
    </row>
    <row r="480" spans="1:26" ht="19.5">
      <c r="A480" s="572"/>
      <c r="B480" s="584"/>
      <c r="C480" s="538" t="s">
        <v>16</v>
      </c>
      <c r="D480" s="851" t="s">
        <v>38</v>
      </c>
      <c r="E480" s="575"/>
      <c r="F480" s="725"/>
      <c r="G480" s="577"/>
      <c r="H480" s="726"/>
      <c r="I480" s="269"/>
      <c r="J480" s="269"/>
      <c r="K480" s="465"/>
      <c r="L480" s="465"/>
      <c r="M480" s="465"/>
      <c r="N480" s="465"/>
      <c r="O480" s="465"/>
      <c r="P480" s="465"/>
      <c r="Q480" s="541"/>
      <c r="R480" s="541"/>
      <c r="S480" s="541"/>
      <c r="T480" s="541"/>
      <c r="U480" s="541"/>
      <c r="V480" s="541"/>
      <c r="W480" s="541"/>
      <c r="X480" s="541"/>
      <c r="Y480" s="541"/>
      <c r="Z480" s="541"/>
    </row>
    <row r="481" spans="1:26" ht="19.5">
      <c r="A481" s="572"/>
      <c r="B481" s="584"/>
      <c r="C481" s="584"/>
      <c r="D481" s="591" t="s">
        <v>206</v>
      </c>
      <c r="E481" s="584"/>
      <c r="F481" s="584"/>
      <c r="G481" s="726"/>
      <c r="H481" s="189"/>
      <c r="I481" s="269"/>
      <c r="J481" s="269"/>
      <c r="K481" s="465"/>
      <c r="L481" s="465"/>
      <c r="M481" s="465"/>
      <c r="N481" s="465"/>
      <c r="O481" s="465"/>
      <c r="P481" s="465"/>
      <c r="Q481" s="541"/>
      <c r="R481" s="541"/>
      <c r="S481" s="541"/>
      <c r="T481" s="541"/>
      <c r="U481" s="541"/>
      <c r="V481" s="541"/>
      <c r="W481" s="541"/>
      <c r="X481" s="541"/>
      <c r="Y481" s="541"/>
      <c r="Z481" s="541"/>
    </row>
    <row r="482" spans="1:26" ht="18.75">
      <c r="A482" s="572"/>
      <c r="B482" s="584"/>
      <c r="C482" s="584"/>
      <c r="D482" s="584"/>
      <c r="E482" s="584" t="s">
        <v>207</v>
      </c>
      <c r="F482" s="584"/>
      <c r="G482" s="726"/>
      <c r="H482" s="189"/>
      <c r="I482" s="269"/>
      <c r="J482" s="269"/>
      <c r="K482" s="465"/>
      <c r="L482" s="465"/>
      <c r="M482" s="465"/>
      <c r="N482" s="465"/>
      <c r="O482" s="465"/>
      <c r="P482" s="465"/>
      <c r="Q482" s="541"/>
      <c r="R482" s="541"/>
      <c r="S482" s="541"/>
      <c r="T482" s="541"/>
      <c r="U482" s="541"/>
      <c r="V482" s="541"/>
      <c r="W482" s="541"/>
      <c r="X482" s="541"/>
      <c r="Y482" s="541"/>
      <c r="Z482" s="541"/>
    </row>
    <row r="483" spans="1:26" ht="18.75">
      <c r="A483" s="572"/>
      <c r="B483" s="584"/>
      <c r="C483" s="584"/>
      <c r="D483" s="584"/>
      <c r="E483" s="584"/>
      <c r="F483" s="584" t="s">
        <v>208</v>
      </c>
      <c r="G483" s="726"/>
      <c r="H483" s="589" t="s">
        <v>46</v>
      </c>
      <c r="I483" s="269">
        <f ca="1">IFERROR(__xludf.DUMMYFUNCTION("IMPORTRANGE(""https://docs.google.com/spreadsheets/d/1QqKyyYR6Q21VydFLVH3TRQUabQu_ym0Zz7PgGX0-kHA/edit?usp=sharing"",""แผน!FY20"")"),270)</f>
        <v>270</v>
      </c>
      <c r="J483" s="214">
        <v>0</v>
      </c>
      <c r="K483" s="465">
        <f ca="1">IF(I483&gt;0,J483*100/I483,0)</f>
        <v>0</v>
      </c>
      <c r="L483" s="465"/>
      <c r="M483" s="465"/>
      <c r="N483" s="465"/>
      <c r="O483" s="465"/>
      <c r="P483" s="465"/>
      <c r="Q483" s="541"/>
      <c r="R483" s="541"/>
      <c r="S483" s="541"/>
      <c r="T483" s="541"/>
      <c r="U483" s="541"/>
      <c r="V483" s="541"/>
      <c r="W483" s="541"/>
      <c r="X483" s="541"/>
      <c r="Y483" s="541"/>
      <c r="Z483" s="541"/>
    </row>
    <row r="484" spans="1:26" ht="18.75">
      <c r="A484" s="572"/>
      <c r="B484" s="584"/>
      <c r="C484" s="584"/>
      <c r="D484" s="584"/>
      <c r="E484" s="584"/>
      <c r="F484" s="584" t="s">
        <v>209</v>
      </c>
      <c r="G484" s="726"/>
      <c r="H484" s="589" t="s">
        <v>35</v>
      </c>
      <c r="I484" s="269"/>
      <c r="J484" s="214">
        <v>0</v>
      </c>
      <c r="K484" s="465"/>
      <c r="L484" s="465"/>
      <c r="M484" s="465"/>
      <c r="N484" s="465"/>
      <c r="O484" s="465"/>
      <c r="P484" s="465"/>
      <c r="Q484" s="541"/>
      <c r="R484" s="541"/>
      <c r="S484" s="541"/>
      <c r="T484" s="541"/>
      <c r="U484" s="541"/>
      <c r="V484" s="541"/>
      <c r="W484" s="541"/>
      <c r="X484" s="541"/>
      <c r="Y484" s="541"/>
      <c r="Z484" s="541"/>
    </row>
    <row r="485" spans="1:26" ht="18.75">
      <c r="A485" s="572"/>
      <c r="B485" s="584"/>
      <c r="C485" s="584"/>
      <c r="D485" s="584"/>
      <c r="E485" s="584"/>
      <c r="F485" s="584" t="s">
        <v>210</v>
      </c>
      <c r="G485" s="726"/>
      <c r="H485" s="589" t="s">
        <v>35</v>
      </c>
      <c r="I485" s="269">
        <f ca="1">IFERROR(__xludf.DUMMYFUNCTION("IMPORTRANGE(""https://docs.google.com/spreadsheets/d/1QqKyyYR6Q21VydFLVH3TRQUabQu_ym0Zz7PgGX0-kHA/edit?usp=sharing"",""แผน!FZ20"")"),27)</f>
        <v>27</v>
      </c>
      <c r="J485" s="214">
        <v>0</v>
      </c>
      <c r="K485" s="465">
        <f ca="1">IF(I485&gt;0,J485*100/I485,0)</f>
        <v>0</v>
      </c>
      <c r="L485" s="465"/>
      <c r="M485" s="465"/>
      <c r="N485" s="465"/>
      <c r="O485" s="465"/>
      <c r="P485" s="465"/>
      <c r="Q485" s="541"/>
      <c r="R485" s="541"/>
      <c r="S485" s="541"/>
      <c r="T485" s="541"/>
      <c r="U485" s="541"/>
      <c r="V485" s="541"/>
      <c r="W485" s="541"/>
      <c r="X485" s="541"/>
      <c r="Y485" s="541"/>
      <c r="Z485" s="541"/>
    </row>
    <row r="486" spans="1:26" ht="18.75">
      <c r="A486" s="572"/>
      <c r="B486" s="584"/>
      <c r="C486" s="584"/>
      <c r="D486" s="584"/>
      <c r="E486" s="584" t="s">
        <v>62</v>
      </c>
      <c r="F486" s="584"/>
      <c r="G486" s="726"/>
      <c r="H486" s="589"/>
      <c r="I486" s="269"/>
      <c r="J486" s="269"/>
      <c r="K486" s="465"/>
      <c r="L486" s="465"/>
      <c r="M486" s="465"/>
      <c r="N486" s="465"/>
      <c r="O486" s="465"/>
      <c r="P486" s="465"/>
      <c r="Q486" s="541"/>
      <c r="R486" s="541"/>
      <c r="S486" s="541"/>
      <c r="T486" s="541"/>
      <c r="U486" s="541"/>
      <c r="V486" s="541"/>
      <c r="W486" s="541"/>
      <c r="X486" s="541"/>
      <c r="Y486" s="541"/>
      <c r="Z486" s="541"/>
    </row>
    <row r="487" spans="1:26" ht="18.75">
      <c r="A487" s="572"/>
      <c r="B487" s="584"/>
      <c r="C487" s="584"/>
      <c r="D487" s="584"/>
      <c r="E487" s="584"/>
      <c r="F487" s="584" t="s">
        <v>208</v>
      </c>
      <c r="G487" s="726"/>
      <c r="H487" s="589" t="s">
        <v>46</v>
      </c>
      <c r="I487" s="269">
        <f ca="1">IFERROR(__xludf.DUMMYFUNCTION("IMPORTRANGE(""https://docs.google.com/spreadsheets/d/1QqKyyYR6Q21VydFLVH3TRQUabQu_ym0Zz7PgGX0-kHA/edit?usp=sharing"",""แผน!GA20"")"),30)</f>
        <v>30</v>
      </c>
      <c r="J487" s="214">
        <v>0</v>
      </c>
      <c r="K487" s="465">
        <f ca="1">IF(I487&gt;0,J487*100/I487,0)</f>
        <v>0</v>
      </c>
      <c r="L487" s="465"/>
      <c r="M487" s="465"/>
      <c r="N487" s="465"/>
      <c r="O487" s="465"/>
      <c r="P487" s="465"/>
      <c r="Q487" s="541"/>
      <c r="R487" s="541"/>
      <c r="S487" s="541"/>
      <c r="T487" s="541"/>
      <c r="U487" s="541"/>
      <c r="V487" s="541"/>
      <c r="W487" s="541"/>
      <c r="X487" s="541"/>
      <c r="Y487" s="541"/>
      <c r="Z487" s="541"/>
    </row>
    <row r="488" spans="1:26" ht="18.75">
      <c r="A488" s="572"/>
      <c r="B488" s="584"/>
      <c r="C488" s="584"/>
      <c r="D488" s="584"/>
      <c r="E488" s="584"/>
      <c r="F488" s="584" t="s">
        <v>211</v>
      </c>
      <c r="G488" s="726"/>
      <c r="H488" s="589" t="s">
        <v>35</v>
      </c>
      <c r="I488" s="269"/>
      <c r="J488" s="214">
        <v>0</v>
      </c>
      <c r="K488" s="465"/>
      <c r="L488" s="465"/>
      <c r="M488" s="465"/>
      <c r="N488" s="465"/>
      <c r="O488" s="465"/>
      <c r="P488" s="465"/>
      <c r="Q488" s="541"/>
      <c r="R488" s="541"/>
      <c r="S488" s="541"/>
      <c r="T488" s="541"/>
      <c r="U488" s="541"/>
      <c r="V488" s="541"/>
      <c r="W488" s="541"/>
      <c r="X488" s="541"/>
      <c r="Y488" s="541"/>
      <c r="Z488" s="541"/>
    </row>
    <row r="489" spans="1:26" ht="18.75">
      <c r="A489" s="572"/>
      <c r="B489" s="584"/>
      <c r="C489" s="584"/>
      <c r="D489" s="584"/>
      <c r="E489" s="584"/>
      <c r="F489" s="584" t="s">
        <v>212</v>
      </c>
      <c r="G489" s="726"/>
      <c r="H489" s="589" t="s">
        <v>35</v>
      </c>
      <c r="I489" s="269">
        <f ca="1">IFERROR(__xludf.DUMMYFUNCTION("IMPORTRANGE(""https://docs.google.com/spreadsheets/d/1QqKyyYR6Q21VydFLVH3TRQUabQu_ym0Zz7PgGX0-kHA/edit?usp=sharing"",""แผน!GB20"")"),3)</f>
        <v>3</v>
      </c>
      <c r="J489" s="214">
        <v>0</v>
      </c>
      <c r="K489" s="465">
        <f ca="1">IF(I489&gt;0,J489*100/I489,0)</f>
        <v>0</v>
      </c>
      <c r="L489" s="465"/>
      <c r="M489" s="465"/>
      <c r="N489" s="465"/>
      <c r="O489" s="465"/>
      <c r="P489" s="465"/>
      <c r="Q489" s="541"/>
      <c r="R489" s="541"/>
      <c r="S489" s="541"/>
      <c r="T489" s="541"/>
      <c r="U489" s="541"/>
      <c r="V489" s="541"/>
      <c r="W489" s="541"/>
      <c r="X489" s="541"/>
      <c r="Y489" s="541"/>
      <c r="Z489" s="541"/>
    </row>
    <row r="490" spans="1:26" ht="18.75">
      <c r="A490" s="572"/>
      <c r="B490" s="584"/>
      <c r="C490" s="584"/>
      <c r="D490" s="584"/>
      <c r="E490" s="584" t="s">
        <v>63</v>
      </c>
      <c r="F490" s="592"/>
      <c r="G490" s="726"/>
      <c r="H490" s="589"/>
      <c r="I490" s="269"/>
      <c r="J490" s="269"/>
      <c r="K490" s="465"/>
      <c r="L490" s="465"/>
      <c r="M490" s="465"/>
      <c r="N490" s="465"/>
      <c r="O490" s="465"/>
      <c r="P490" s="465"/>
      <c r="Q490" s="541"/>
      <c r="R490" s="541"/>
      <c r="S490" s="541"/>
      <c r="T490" s="541"/>
      <c r="U490" s="541"/>
      <c r="V490" s="541"/>
      <c r="W490" s="541"/>
      <c r="X490" s="541"/>
      <c r="Y490" s="541"/>
      <c r="Z490" s="541"/>
    </row>
    <row r="491" spans="1:26" ht="18.75">
      <c r="A491" s="572"/>
      <c r="B491" s="584"/>
      <c r="C491" s="584"/>
      <c r="D491" s="584"/>
      <c r="E491" s="584"/>
      <c r="F491" s="584" t="s">
        <v>213</v>
      </c>
      <c r="G491" s="726"/>
      <c r="H491" s="589" t="s">
        <v>35</v>
      </c>
      <c r="I491" s="269"/>
      <c r="J491" s="214">
        <v>0</v>
      </c>
      <c r="K491" s="465"/>
      <c r="L491" s="465"/>
      <c r="M491" s="465"/>
      <c r="N491" s="465"/>
      <c r="O491" s="465"/>
      <c r="P491" s="465"/>
      <c r="Q491" s="541"/>
      <c r="R491" s="541"/>
      <c r="S491" s="541"/>
      <c r="T491" s="541"/>
      <c r="U491" s="541"/>
      <c r="V491" s="541"/>
      <c r="W491" s="541"/>
      <c r="X491" s="541"/>
      <c r="Y491" s="541"/>
      <c r="Z491" s="541"/>
    </row>
    <row r="492" spans="1:26" ht="18.75">
      <c r="A492" s="572"/>
      <c r="B492" s="584"/>
      <c r="C492" s="584"/>
      <c r="D492" s="584"/>
      <c r="E492" s="584"/>
      <c r="F492" s="584" t="s">
        <v>214</v>
      </c>
      <c r="G492" s="726"/>
      <c r="H492" s="589" t="s">
        <v>35</v>
      </c>
      <c r="I492" s="269">
        <f ca="1">IFERROR(__xludf.DUMMYFUNCTION("IMPORTRANGE(""https://docs.google.com/spreadsheets/d/1QqKyyYR6Q21VydFLVH3TRQUabQu_ym0Zz7PgGX0-kHA/edit?usp=sharing"",""แผน!GC20"")"),1)</f>
        <v>1</v>
      </c>
      <c r="J492" s="214">
        <v>0</v>
      </c>
      <c r="K492" s="465">
        <f ca="1">IF(I492&gt;0,J492*100/I492,0)</f>
        <v>0</v>
      </c>
      <c r="L492" s="465"/>
      <c r="M492" s="465"/>
      <c r="N492" s="465"/>
      <c r="O492" s="465"/>
      <c r="P492" s="465"/>
      <c r="Q492" s="541"/>
      <c r="R492" s="541"/>
      <c r="S492" s="541"/>
      <c r="T492" s="541"/>
      <c r="U492" s="541"/>
      <c r="V492" s="541"/>
      <c r="W492" s="541"/>
      <c r="X492" s="541"/>
      <c r="Y492" s="541"/>
      <c r="Z492" s="541"/>
    </row>
    <row r="493" spans="1:26" ht="19.5">
      <c r="A493" s="572"/>
      <c r="B493" s="584"/>
      <c r="C493" s="584"/>
      <c r="D493" s="591" t="s">
        <v>59</v>
      </c>
      <c r="E493" s="584"/>
      <c r="F493" s="592"/>
      <c r="G493" s="726"/>
      <c r="H493" s="189"/>
      <c r="I493" s="269"/>
      <c r="J493" s="269"/>
      <c r="K493" s="465"/>
      <c r="L493" s="465"/>
      <c r="M493" s="465"/>
      <c r="N493" s="465"/>
      <c r="O493" s="465"/>
      <c r="P493" s="465"/>
      <c r="Q493" s="541"/>
      <c r="R493" s="541"/>
      <c r="S493" s="541"/>
      <c r="T493" s="541"/>
      <c r="U493" s="541"/>
      <c r="V493" s="541"/>
      <c r="W493" s="541"/>
      <c r="X493" s="541"/>
      <c r="Y493" s="541"/>
      <c r="Z493" s="541"/>
    </row>
    <row r="494" spans="1:26" ht="18.75">
      <c r="A494" s="572"/>
      <c r="B494" s="584"/>
      <c r="C494" s="584"/>
      <c r="D494" s="584"/>
      <c r="E494" s="584" t="s">
        <v>207</v>
      </c>
      <c r="F494" s="592"/>
      <c r="G494" s="726"/>
      <c r="H494" s="189"/>
      <c r="I494" s="269"/>
      <c r="J494" s="269"/>
      <c r="K494" s="465"/>
      <c r="L494" s="465"/>
      <c r="M494" s="465"/>
      <c r="N494" s="465"/>
      <c r="O494" s="465"/>
      <c r="P494" s="465"/>
      <c r="Q494" s="541"/>
      <c r="R494" s="541"/>
      <c r="S494" s="541"/>
      <c r="T494" s="541"/>
      <c r="U494" s="541"/>
      <c r="V494" s="541"/>
      <c r="W494" s="541"/>
      <c r="X494" s="541"/>
      <c r="Y494" s="541"/>
      <c r="Z494" s="541"/>
    </row>
    <row r="495" spans="1:26" ht="18.75">
      <c r="A495" s="572"/>
      <c r="B495" s="584"/>
      <c r="C495" s="584"/>
      <c r="D495" s="584"/>
      <c r="E495" s="584"/>
      <c r="F495" s="592" t="s">
        <v>215</v>
      </c>
      <c r="G495" s="726"/>
      <c r="H495" s="589" t="s">
        <v>46</v>
      </c>
      <c r="I495" s="269">
        <f ca="1">IFERROR(__xludf.DUMMYFUNCTION("IMPORTRANGE(""https://docs.google.com/spreadsheets/d/1QqKyyYR6Q21VydFLVH3TRQUabQu_ym0Zz7PgGX0-kHA/edit?usp=sharing"",""แผน!FY20"")"),270)</f>
        <v>270</v>
      </c>
      <c r="J495" s="214">
        <v>0</v>
      </c>
      <c r="K495" s="465">
        <f ca="1">IF(I495&gt;0,J495*100/I495,0)</f>
        <v>0</v>
      </c>
      <c r="L495" s="465"/>
      <c r="M495" s="465"/>
      <c r="N495" s="465"/>
      <c r="O495" s="465"/>
      <c r="P495" s="465"/>
      <c r="Q495" s="541"/>
      <c r="R495" s="541"/>
      <c r="S495" s="541"/>
      <c r="T495" s="541"/>
      <c r="U495" s="541"/>
      <c r="V495" s="541"/>
      <c r="W495" s="541"/>
      <c r="X495" s="541"/>
      <c r="Y495" s="541"/>
      <c r="Z495" s="541"/>
    </row>
    <row r="496" spans="1:26" ht="18.75">
      <c r="A496" s="572"/>
      <c r="B496" s="584"/>
      <c r="C496" s="584"/>
      <c r="D496" s="584"/>
      <c r="E496" s="584"/>
      <c r="F496" s="592" t="s">
        <v>216</v>
      </c>
      <c r="G496" s="726"/>
      <c r="H496" s="589" t="s">
        <v>46</v>
      </c>
      <c r="I496" s="269"/>
      <c r="J496" s="214">
        <v>0</v>
      </c>
      <c r="K496" s="465"/>
      <c r="L496" s="465"/>
      <c r="M496" s="465"/>
      <c r="N496" s="465"/>
      <c r="O496" s="465"/>
      <c r="P496" s="465"/>
      <c r="Q496" s="541"/>
      <c r="R496" s="541"/>
      <c r="S496" s="541"/>
      <c r="T496" s="541"/>
      <c r="U496" s="541"/>
      <c r="V496" s="541"/>
      <c r="W496" s="541"/>
      <c r="X496" s="541"/>
      <c r="Y496" s="541"/>
      <c r="Z496" s="541"/>
    </row>
    <row r="497" spans="1:26" ht="18.75">
      <c r="A497" s="572"/>
      <c r="B497" s="584"/>
      <c r="C497" s="584"/>
      <c r="D497" s="584"/>
      <c r="E497" s="584" t="s">
        <v>62</v>
      </c>
      <c r="F497" s="592"/>
      <c r="G497" s="726"/>
      <c r="H497" s="189"/>
      <c r="I497" s="269"/>
      <c r="J497" s="269"/>
      <c r="K497" s="465"/>
      <c r="L497" s="465"/>
      <c r="M497" s="465"/>
      <c r="N497" s="465"/>
      <c r="O497" s="465"/>
      <c r="P497" s="465"/>
      <c r="Q497" s="541"/>
      <c r="R497" s="541"/>
      <c r="S497" s="541"/>
      <c r="T497" s="541"/>
      <c r="U497" s="541"/>
      <c r="V497" s="541"/>
      <c r="W497" s="541"/>
      <c r="X497" s="541"/>
      <c r="Y497" s="541"/>
      <c r="Z497" s="541"/>
    </row>
    <row r="498" spans="1:26" ht="18.75">
      <c r="A498" s="572"/>
      <c r="B498" s="584"/>
      <c r="C498" s="584"/>
      <c r="D498" s="584"/>
      <c r="E498" s="592"/>
      <c r="F498" s="592" t="s">
        <v>217</v>
      </c>
      <c r="G498" s="726"/>
      <c r="H498" s="589" t="s">
        <v>46</v>
      </c>
      <c r="I498" s="269">
        <f ca="1">IFERROR(__xludf.DUMMYFUNCTION("IMPORTRANGE(""https://docs.google.com/spreadsheets/d/1QqKyyYR6Q21VydFLVH3TRQUabQu_ym0Zz7PgGX0-kHA/edit?usp=sharing"",""แผน!GA20"")"),30)</f>
        <v>30</v>
      </c>
      <c r="J498" s="214">
        <v>0</v>
      </c>
      <c r="K498" s="465">
        <f ca="1">IF(I498&gt;0,J498*100/I498,0)</f>
        <v>0</v>
      </c>
      <c r="L498" s="465"/>
      <c r="M498" s="465"/>
      <c r="N498" s="465"/>
      <c r="O498" s="465"/>
      <c r="P498" s="465"/>
      <c r="Q498" s="541"/>
      <c r="R498" s="541"/>
      <c r="S498" s="541"/>
      <c r="T498" s="541"/>
      <c r="U498" s="541"/>
      <c r="V498" s="541"/>
      <c r="W498" s="541"/>
      <c r="X498" s="541"/>
      <c r="Y498" s="541"/>
      <c r="Z498" s="541"/>
    </row>
    <row r="499" spans="1:26" ht="18.75">
      <c r="A499" s="572"/>
      <c r="B499" s="584"/>
      <c r="C499" s="584"/>
      <c r="D499" s="584"/>
      <c r="E499" s="592"/>
      <c r="F499" s="592" t="s">
        <v>218</v>
      </c>
      <c r="G499" s="726"/>
      <c r="H499" s="589" t="s">
        <v>46</v>
      </c>
      <c r="I499" s="269"/>
      <c r="J499" s="214">
        <v>0</v>
      </c>
      <c r="K499" s="465"/>
      <c r="L499" s="465"/>
      <c r="M499" s="465"/>
      <c r="N499" s="465"/>
      <c r="O499" s="465"/>
      <c r="P499" s="465"/>
      <c r="Q499" s="541"/>
      <c r="R499" s="541"/>
      <c r="S499" s="541"/>
      <c r="T499" s="541"/>
      <c r="U499" s="541"/>
      <c r="V499" s="541"/>
      <c r="W499" s="541"/>
      <c r="X499" s="541"/>
      <c r="Y499" s="541"/>
      <c r="Z499" s="541"/>
    </row>
    <row r="500" spans="1:26" ht="19.5" hidden="1">
      <c r="A500" s="593">
        <v>4</v>
      </c>
      <c r="B500" s="594" t="s">
        <v>219</v>
      </c>
      <c r="C500" s="595"/>
      <c r="D500" s="596"/>
      <c r="E500" s="596"/>
      <c r="F500" s="596"/>
      <c r="G500" s="597"/>
      <c r="H500" s="598" t="s">
        <v>109</v>
      </c>
      <c r="I500" s="599"/>
      <c r="J500" s="599">
        <f t="shared" ref="J500:J501" si="213">J516</f>
        <v>0</v>
      </c>
      <c r="K500" s="600">
        <f t="shared" ref="K500:K501" si="214">IF(I500&gt;0,J500*100/I500,0)</f>
        <v>0</v>
      </c>
      <c r="L500" s="601"/>
      <c r="M500" s="601"/>
      <c r="N500" s="601"/>
      <c r="O500" s="601"/>
      <c r="P500" s="601"/>
      <c r="Q500" s="568"/>
      <c r="R500" s="568"/>
      <c r="S500" s="568"/>
      <c r="T500" s="568"/>
      <c r="U500" s="568"/>
      <c r="V500" s="568"/>
      <c r="W500" s="568"/>
      <c r="X500" s="568"/>
      <c r="Y500" s="568"/>
      <c r="Z500" s="568"/>
    </row>
    <row r="501" spans="1:26" ht="19.5" hidden="1">
      <c r="A501" s="602"/>
      <c r="B501" s="604" t="s">
        <v>220</v>
      </c>
      <c r="C501" s="604"/>
      <c r="D501" s="605"/>
      <c r="E501" s="605"/>
      <c r="F501" s="605"/>
      <c r="G501" s="606"/>
      <c r="H501" s="607" t="s">
        <v>35</v>
      </c>
      <c r="I501" s="608"/>
      <c r="J501" s="608">
        <f t="shared" si="213"/>
        <v>0</v>
      </c>
      <c r="K501" s="609">
        <f t="shared" si="214"/>
        <v>0</v>
      </c>
      <c r="L501" s="610"/>
      <c r="M501" s="610"/>
      <c r="N501" s="610"/>
      <c r="O501" s="610"/>
      <c r="P501" s="610"/>
      <c r="Q501" s="568"/>
      <c r="R501" s="568"/>
      <c r="S501" s="568"/>
      <c r="T501" s="568"/>
      <c r="U501" s="568"/>
      <c r="V501" s="568"/>
      <c r="W501" s="568"/>
      <c r="X501" s="568"/>
      <c r="Y501" s="568"/>
      <c r="Z501" s="568"/>
    </row>
    <row r="502" spans="1:26" ht="19.5" hidden="1">
      <c r="A502" s="563"/>
      <c r="B502" s="723"/>
      <c r="C502" s="723" t="s">
        <v>16</v>
      </c>
      <c r="D502" s="812" t="s">
        <v>17</v>
      </c>
      <c r="E502" s="805"/>
      <c r="F502" s="805"/>
      <c r="G502" s="567"/>
      <c r="H502" s="612" t="s">
        <v>12</v>
      </c>
      <c r="I502" s="583"/>
      <c r="J502" s="583"/>
      <c r="K502" s="93"/>
      <c r="L502" s="613">
        <f t="shared" ref="L502:N502" si="215">L503+L504</f>
        <v>0</v>
      </c>
      <c r="M502" s="613">
        <f t="shared" si="215"/>
        <v>0</v>
      </c>
      <c r="N502" s="613">
        <f t="shared" si="215"/>
        <v>0</v>
      </c>
      <c r="O502" s="613">
        <f t="shared" ref="O502:O507" si="216">IF(L502&gt;0,N502*100/L502,0)</f>
        <v>0</v>
      </c>
      <c r="P502" s="613">
        <f t="shared" ref="P502:P507" si="217">IF(M502&gt;0,N502*100/M502,0)</f>
        <v>0</v>
      </c>
      <c r="Q502" s="568"/>
      <c r="R502" s="568"/>
      <c r="S502" s="568"/>
      <c r="T502" s="568"/>
      <c r="U502" s="568"/>
      <c r="V502" s="568"/>
      <c r="W502" s="568"/>
      <c r="X502" s="568"/>
      <c r="Y502" s="568"/>
      <c r="Z502" s="568"/>
    </row>
    <row r="503" spans="1:26" ht="18.75" hidden="1">
      <c r="A503" s="563"/>
      <c r="B503" s="723"/>
      <c r="C503" s="723"/>
      <c r="D503" s="684"/>
      <c r="E503" s="723" t="s">
        <v>184</v>
      </c>
      <c r="F503" s="723"/>
      <c r="G503" s="567"/>
      <c r="H503" s="165" t="s">
        <v>12</v>
      </c>
      <c r="I503" s="583"/>
      <c r="J503" s="583"/>
      <c r="K503" s="93"/>
      <c r="L503" s="93">
        <f t="shared" ref="L503:N504" si="218">L506+L513</f>
        <v>0</v>
      </c>
      <c r="M503" s="93">
        <f t="shared" si="218"/>
        <v>0</v>
      </c>
      <c r="N503" s="93">
        <f t="shared" si="218"/>
        <v>0</v>
      </c>
      <c r="O503" s="93">
        <f t="shared" si="216"/>
        <v>0</v>
      </c>
      <c r="P503" s="93">
        <f t="shared" si="217"/>
        <v>0</v>
      </c>
      <c r="Q503" s="568"/>
      <c r="R503" s="568"/>
      <c r="S503" s="568"/>
      <c r="T503" s="568"/>
      <c r="U503" s="568"/>
      <c r="V503" s="568"/>
      <c r="W503" s="568"/>
      <c r="X503" s="568"/>
      <c r="Y503" s="568"/>
      <c r="Z503" s="568"/>
    </row>
    <row r="504" spans="1:26" ht="18.75" hidden="1">
      <c r="A504" s="563"/>
      <c r="B504" s="571"/>
      <c r="C504" s="723"/>
      <c r="D504" s="684"/>
      <c r="E504" s="723" t="s">
        <v>185</v>
      </c>
      <c r="F504" s="723"/>
      <c r="G504" s="567"/>
      <c r="H504" s="165" t="s">
        <v>12</v>
      </c>
      <c r="I504" s="583"/>
      <c r="J504" s="583"/>
      <c r="K504" s="93"/>
      <c r="L504" s="93">
        <f t="shared" si="218"/>
        <v>0</v>
      </c>
      <c r="M504" s="93">
        <f t="shared" si="218"/>
        <v>0</v>
      </c>
      <c r="N504" s="93">
        <f t="shared" si="218"/>
        <v>0</v>
      </c>
      <c r="O504" s="93">
        <f t="shared" si="216"/>
        <v>0</v>
      </c>
      <c r="P504" s="93">
        <f t="shared" si="217"/>
        <v>0</v>
      </c>
      <c r="Q504" s="568"/>
      <c r="R504" s="568"/>
      <c r="S504" s="568"/>
      <c r="T504" s="568"/>
      <c r="U504" s="568"/>
      <c r="V504" s="568"/>
      <c r="W504" s="568"/>
      <c r="X504" s="568"/>
      <c r="Y504" s="568"/>
      <c r="Z504" s="568"/>
    </row>
    <row r="505" spans="1:26" ht="18.75" hidden="1">
      <c r="A505" s="563"/>
      <c r="B505" s="571"/>
      <c r="C505" s="723"/>
      <c r="D505" s="614" t="s">
        <v>20</v>
      </c>
      <c r="E505" s="723"/>
      <c r="F505" s="723"/>
      <c r="G505" s="567"/>
      <c r="H505" s="165" t="s">
        <v>12</v>
      </c>
      <c r="I505" s="166"/>
      <c r="J505" s="166"/>
      <c r="K505" s="167"/>
      <c r="L505" s="93">
        <f t="shared" ref="L505:N505" si="219">L506+L507</f>
        <v>0</v>
      </c>
      <c r="M505" s="93">
        <f t="shared" si="219"/>
        <v>0</v>
      </c>
      <c r="N505" s="93">
        <f t="shared" si="219"/>
        <v>0</v>
      </c>
      <c r="O505" s="93">
        <f t="shared" si="216"/>
        <v>0</v>
      </c>
      <c r="P505" s="93">
        <f t="shared" si="217"/>
        <v>0</v>
      </c>
      <c r="Q505" s="568"/>
      <c r="R505" s="568"/>
      <c r="S505" s="568"/>
      <c r="T505" s="568"/>
      <c r="U505" s="568"/>
      <c r="V505" s="568"/>
      <c r="W505" s="568"/>
      <c r="X505" s="568"/>
      <c r="Y505" s="568"/>
      <c r="Z505" s="568"/>
    </row>
    <row r="506" spans="1:26" ht="18.75" hidden="1">
      <c r="A506" s="563"/>
      <c r="B506" s="571"/>
      <c r="C506" s="723"/>
      <c r="D506" s="684"/>
      <c r="E506" s="723" t="s">
        <v>184</v>
      </c>
      <c r="F506" s="723"/>
      <c r="G506" s="567"/>
      <c r="H506" s="165" t="s">
        <v>12</v>
      </c>
      <c r="I506" s="583"/>
      <c r="J506" s="583"/>
      <c r="K506" s="93"/>
      <c r="L506" s="93">
        <v>0</v>
      </c>
      <c r="M506" s="93">
        <v>0</v>
      </c>
      <c r="N506" s="93">
        <v>0</v>
      </c>
      <c r="O506" s="93">
        <f t="shared" si="216"/>
        <v>0</v>
      </c>
      <c r="P506" s="93">
        <f t="shared" si="217"/>
        <v>0</v>
      </c>
      <c r="Q506" s="568"/>
      <c r="R506" s="568"/>
      <c r="S506" s="568"/>
      <c r="T506" s="568"/>
      <c r="U506" s="568"/>
      <c r="V506" s="568"/>
      <c r="W506" s="568"/>
      <c r="X506" s="568"/>
      <c r="Y506" s="568"/>
      <c r="Z506" s="568"/>
    </row>
    <row r="507" spans="1:26" ht="18.75" hidden="1">
      <c r="A507" s="563"/>
      <c r="B507" s="571"/>
      <c r="C507" s="723"/>
      <c r="D507" s="684"/>
      <c r="E507" s="723" t="s">
        <v>185</v>
      </c>
      <c r="F507" s="723"/>
      <c r="G507" s="567"/>
      <c r="H507" s="165" t="s">
        <v>12</v>
      </c>
      <c r="I507" s="583"/>
      <c r="J507" s="583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6"/>
        <v>0</v>
      </c>
      <c r="P507" s="93">
        <f t="shared" si="217"/>
        <v>0</v>
      </c>
      <c r="Q507" s="568"/>
      <c r="R507" s="568"/>
      <c r="S507" s="568"/>
      <c r="T507" s="568"/>
      <c r="U507" s="568"/>
      <c r="V507" s="568"/>
      <c r="W507" s="568"/>
      <c r="X507" s="568"/>
      <c r="Y507" s="568"/>
      <c r="Z507" s="568"/>
    </row>
    <row r="508" spans="1:26" ht="18.75" hidden="1">
      <c r="A508" s="615"/>
      <c r="B508" s="571"/>
      <c r="C508" s="723"/>
      <c r="D508" s="723"/>
      <c r="E508" s="723"/>
      <c r="F508" s="723" t="s">
        <v>186</v>
      </c>
      <c r="G508" s="567"/>
      <c r="H508" s="165" t="s">
        <v>12</v>
      </c>
      <c r="I508" s="583"/>
      <c r="J508" s="583"/>
      <c r="K508" s="93"/>
      <c r="L508" s="93"/>
      <c r="M508" s="93"/>
      <c r="N508" s="93">
        <v>0</v>
      </c>
      <c r="O508" s="93"/>
      <c r="P508" s="93"/>
      <c r="Q508" s="568"/>
      <c r="R508" s="568"/>
      <c r="S508" s="568"/>
      <c r="T508" s="568"/>
      <c r="U508" s="568"/>
      <c r="V508" s="568"/>
      <c r="W508" s="568"/>
      <c r="X508" s="568"/>
      <c r="Y508" s="568"/>
      <c r="Z508" s="568"/>
    </row>
    <row r="509" spans="1:26" ht="18.75" hidden="1">
      <c r="A509" s="615"/>
      <c r="B509" s="571"/>
      <c r="C509" s="723"/>
      <c r="D509" s="723"/>
      <c r="E509" s="723"/>
      <c r="F509" s="723" t="s">
        <v>187</v>
      </c>
      <c r="G509" s="567"/>
      <c r="H509" s="165" t="s">
        <v>12</v>
      </c>
      <c r="I509" s="583"/>
      <c r="J509" s="583"/>
      <c r="K509" s="93"/>
      <c r="L509" s="93"/>
      <c r="M509" s="93"/>
      <c r="N509" s="93">
        <v>0</v>
      </c>
      <c r="O509" s="93"/>
      <c r="P509" s="93"/>
      <c r="Q509" s="568"/>
      <c r="R509" s="568"/>
      <c r="S509" s="568"/>
      <c r="T509" s="568"/>
      <c r="U509" s="568"/>
      <c r="V509" s="568"/>
      <c r="W509" s="568"/>
      <c r="X509" s="568"/>
      <c r="Y509" s="568"/>
      <c r="Z509" s="568"/>
    </row>
    <row r="510" spans="1:26" ht="18.75" hidden="1">
      <c r="A510" s="615"/>
      <c r="B510" s="571"/>
      <c r="C510" s="571"/>
      <c r="D510" s="571"/>
      <c r="E510" s="723"/>
      <c r="F510" s="723" t="s">
        <v>188</v>
      </c>
      <c r="G510" s="567"/>
      <c r="H510" s="165" t="s">
        <v>12</v>
      </c>
      <c r="I510" s="583"/>
      <c r="J510" s="583"/>
      <c r="K510" s="93"/>
      <c r="L510" s="93"/>
      <c r="M510" s="93"/>
      <c r="N510" s="93">
        <v>0</v>
      </c>
      <c r="O510" s="93"/>
      <c r="P510" s="93"/>
      <c r="Q510" s="568"/>
      <c r="R510" s="568"/>
      <c r="S510" s="568"/>
      <c r="T510" s="568"/>
      <c r="U510" s="568"/>
      <c r="V510" s="568"/>
      <c r="W510" s="568"/>
      <c r="X510" s="568"/>
      <c r="Y510" s="568"/>
      <c r="Z510" s="568"/>
    </row>
    <row r="511" spans="1:26" ht="18.75" hidden="1">
      <c r="A511" s="615"/>
      <c r="B511" s="571"/>
      <c r="C511" s="571"/>
      <c r="D511" s="571"/>
      <c r="E511" s="723"/>
      <c r="F511" s="723" t="s">
        <v>189</v>
      </c>
      <c r="G511" s="567"/>
      <c r="H511" s="165" t="s">
        <v>12</v>
      </c>
      <c r="I511" s="583"/>
      <c r="J511" s="583"/>
      <c r="K511" s="93"/>
      <c r="L511" s="93"/>
      <c r="M511" s="93"/>
      <c r="N511" s="93">
        <v>0</v>
      </c>
      <c r="O511" s="93"/>
      <c r="P511" s="93"/>
      <c r="Q511" s="568"/>
      <c r="R511" s="568"/>
      <c r="S511" s="568"/>
      <c r="T511" s="568"/>
      <c r="U511" s="568"/>
      <c r="V511" s="568"/>
      <c r="W511" s="568"/>
      <c r="X511" s="568"/>
      <c r="Y511" s="568"/>
      <c r="Z511" s="568"/>
    </row>
    <row r="512" spans="1:26" ht="18.75" hidden="1">
      <c r="A512" s="563"/>
      <c r="B512" s="571"/>
      <c r="C512" s="571"/>
      <c r="D512" s="614" t="s">
        <v>21</v>
      </c>
      <c r="E512" s="571"/>
      <c r="F512" s="723"/>
      <c r="G512" s="567"/>
      <c r="H512" s="169" t="s">
        <v>12</v>
      </c>
      <c r="I512" s="166"/>
      <c r="J512" s="166"/>
      <c r="K512" s="167"/>
      <c r="L512" s="93">
        <f t="shared" ref="L512:N512" si="220">L513+L514</f>
        <v>0</v>
      </c>
      <c r="M512" s="93">
        <f t="shared" si="220"/>
        <v>0</v>
      </c>
      <c r="N512" s="93">
        <f t="shared" si="220"/>
        <v>0</v>
      </c>
      <c r="O512" s="93">
        <f t="shared" ref="O512:O514" si="221">IF(L512&gt;0,N512*100/L512,0)</f>
        <v>0</v>
      </c>
      <c r="P512" s="93">
        <f t="shared" ref="P512:P514" si="222">IF(M512&gt;0,N512*100/M512,0)</f>
        <v>0</v>
      </c>
      <c r="Q512" s="568"/>
      <c r="R512" s="568"/>
      <c r="S512" s="568"/>
      <c r="T512" s="568"/>
      <c r="U512" s="568"/>
      <c r="V512" s="568"/>
      <c r="W512" s="568"/>
      <c r="X512" s="568"/>
      <c r="Y512" s="568"/>
      <c r="Z512" s="568"/>
    </row>
    <row r="513" spans="1:26" ht="18.75" hidden="1">
      <c r="A513" s="563"/>
      <c r="B513" s="571"/>
      <c r="C513" s="571"/>
      <c r="D513" s="571"/>
      <c r="E513" s="571" t="s">
        <v>18</v>
      </c>
      <c r="F513" s="723"/>
      <c r="G513" s="567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1"/>
        <v>0</v>
      </c>
      <c r="P513" s="93">
        <f t="shared" si="222"/>
        <v>0</v>
      </c>
      <c r="Q513" s="568"/>
      <c r="R513" s="568"/>
      <c r="S513" s="568"/>
      <c r="T513" s="568"/>
      <c r="U513" s="568"/>
      <c r="V513" s="568"/>
      <c r="W513" s="568"/>
      <c r="X513" s="568"/>
      <c r="Y513" s="568"/>
      <c r="Z513" s="568"/>
    </row>
    <row r="514" spans="1:26" ht="18.75" hidden="1">
      <c r="A514" s="563"/>
      <c r="B514" s="571"/>
      <c r="C514" s="571"/>
      <c r="D514" s="723"/>
      <c r="E514" s="571" t="s">
        <v>19</v>
      </c>
      <c r="F514" s="723"/>
      <c r="G514" s="567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1"/>
        <v>0</v>
      </c>
      <c r="P514" s="93">
        <f t="shared" si="222"/>
        <v>0</v>
      </c>
      <c r="Q514" s="568"/>
      <c r="R514" s="568"/>
      <c r="S514" s="568"/>
      <c r="T514" s="568"/>
      <c r="U514" s="568"/>
      <c r="V514" s="568"/>
      <c r="W514" s="568"/>
      <c r="X514" s="568"/>
      <c r="Y514" s="568"/>
      <c r="Z514" s="568"/>
    </row>
    <row r="515" spans="1:26" ht="19.5" hidden="1">
      <c r="A515" s="578"/>
      <c r="B515" s="580"/>
      <c r="C515" s="571" t="s">
        <v>16</v>
      </c>
      <c r="D515" s="852" t="s">
        <v>38</v>
      </c>
      <c r="E515" s="617"/>
      <c r="F515" s="617"/>
      <c r="G515" s="618"/>
      <c r="H515" s="581"/>
      <c r="I515" s="166"/>
      <c r="J515" s="166"/>
      <c r="K515" s="167"/>
      <c r="L515" s="167"/>
      <c r="M515" s="167"/>
      <c r="N515" s="167"/>
      <c r="O515" s="167"/>
      <c r="P515" s="167"/>
      <c r="Q515" s="568"/>
      <c r="R515" s="568"/>
      <c r="S515" s="568"/>
      <c r="T515" s="568"/>
      <c r="U515" s="568"/>
      <c r="V515" s="568"/>
      <c r="W515" s="568"/>
      <c r="X515" s="568"/>
      <c r="Y515" s="568"/>
      <c r="Z515" s="568"/>
    </row>
    <row r="516" spans="1:26" ht="18.75" hidden="1">
      <c r="A516" s="578"/>
      <c r="B516" s="580"/>
      <c r="C516" s="580"/>
      <c r="D516" s="580" t="s">
        <v>221</v>
      </c>
      <c r="E516" s="684"/>
      <c r="F516" s="684"/>
      <c r="G516" s="581"/>
      <c r="H516" s="619" t="s">
        <v>109</v>
      </c>
      <c r="I516" s="583"/>
      <c r="J516" s="583">
        <v>0</v>
      </c>
      <c r="K516" s="167">
        <f t="shared" ref="K516:K517" si="223">IF(I516&gt;0,J516*100/I516,0)</f>
        <v>0</v>
      </c>
      <c r="L516" s="167"/>
      <c r="M516" s="167"/>
      <c r="N516" s="167"/>
      <c r="O516" s="167"/>
      <c r="P516" s="167"/>
      <c r="Q516" s="568"/>
      <c r="R516" s="568"/>
      <c r="S516" s="568"/>
      <c r="T516" s="568"/>
      <c r="U516" s="568"/>
      <c r="V516" s="568"/>
      <c r="W516" s="568"/>
      <c r="X516" s="568"/>
      <c r="Y516" s="568"/>
      <c r="Z516" s="568"/>
    </row>
    <row r="517" spans="1:26" ht="19.5" hidden="1">
      <c r="A517" s="578"/>
      <c r="B517" s="580"/>
      <c r="C517" s="580"/>
      <c r="D517" s="580" t="s">
        <v>222</v>
      </c>
      <c r="E517" s="684"/>
      <c r="F517" s="684"/>
      <c r="G517" s="581"/>
      <c r="H517" s="620" t="s">
        <v>35</v>
      </c>
      <c r="I517" s="621"/>
      <c r="J517" s="621">
        <f>J518+J519</f>
        <v>0</v>
      </c>
      <c r="K517" s="622">
        <f t="shared" si="223"/>
        <v>0</v>
      </c>
      <c r="L517" s="167"/>
      <c r="M517" s="167"/>
      <c r="N517" s="167"/>
      <c r="O517" s="167"/>
      <c r="P517" s="167"/>
      <c r="Q517" s="568"/>
      <c r="R517" s="568"/>
      <c r="S517" s="568"/>
      <c r="T517" s="568"/>
      <c r="U517" s="568"/>
      <c r="V517" s="568"/>
      <c r="W517" s="568"/>
      <c r="X517" s="568"/>
      <c r="Y517" s="568"/>
      <c r="Z517" s="568"/>
    </row>
    <row r="518" spans="1:26" ht="18.75" hidden="1">
      <c r="A518" s="578"/>
      <c r="B518" s="580"/>
      <c r="C518" s="580"/>
      <c r="D518" s="580"/>
      <c r="E518" s="580" t="s">
        <v>223</v>
      </c>
      <c r="F518" s="684"/>
      <c r="G518" s="581"/>
      <c r="H518" s="582" t="s">
        <v>35</v>
      </c>
      <c r="I518" s="583"/>
      <c r="J518" s="583"/>
      <c r="K518" s="167"/>
      <c r="L518" s="167"/>
      <c r="M518" s="167"/>
      <c r="N518" s="167"/>
      <c r="O518" s="167"/>
      <c r="P518" s="167"/>
      <c r="Q518" s="568"/>
      <c r="R518" s="568"/>
      <c r="S518" s="568"/>
      <c r="T518" s="568"/>
      <c r="U518" s="568"/>
      <c r="V518" s="568"/>
      <c r="W518" s="568"/>
      <c r="X518" s="568"/>
      <c r="Y518" s="568"/>
      <c r="Z518" s="568"/>
    </row>
    <row r="519" spans="1:26" ht="18.75" hidden="1">
      <c r="A519" s="578"/>
      <c r="B519" s="580"/>
      <c r="C519" s="580"/>
      <c r="D519" s="580"/>
      <c r="E519" s="580" t="s">
        <v>224</v>
      </c>
      <c r="F519" s="684"/>
      <c r="G519" s="581"/>
      <c r="H519" s="619" t="s">
        <v>35</v>
      </c>
      <c r="I519" s="583"/>
      <c r="J519" s="583"/>
      <c r="K519" s="167"/>
      <c r="L519" s="167"/>
      <c r="M519" s="167"/>
      <c r="N519" s="167"/>
      <c r="O519" s="167"/>
      <c r="P519" s="167"/>
      <c r="Q519" s="568"/>
      <c r="R519" s="568"/>
      <c r="S519" s="568"/>
      <c r="T519" s="568"/>
      <c r="U519" s="568"/>
      <c r="V519" s="568"/>
      <c r="W519" s="568"/>
      <c r="X519" s="568"/>
      <c r="Y519" s="568"/>
      <c r="Z519" s="568"/>
    </row>
    <row r="520" spans="1:26" ht="19.5">
      <c r="A520" s="623" t="s">
        <v>137</v>
      </c>
      <c r="B520" s="624"/>
      <c r="C520" s="624"/>
      <c r="D520" s="625"/>
      <c r="E520" s="625"/>
      <c r="F520" s="625"/>
      <c r="G520" s="626"/>
      <c r="H520" s="627"/>
      <c r="I520" s="628"/>
      <c r="J520" s="628"/>
      <c r="K520" s="629"/>
      <c r="L520" s="629"/>
      <c r="M520" s="629"/>
      <c r="N520" s="629"/>
      <c r="O520" s="629"/>
      <c r="P520" s="629"/>
    </row>
    <row r="521" spans="1:26" ht="19.5" hidden="1">
      <c r="A521" s="630">
        <v>5</v>
      </c>
      <c r="B521" s="631" t="s">
        <v>225</v>
      </c>
      <c r="C521" s="632"/>
      <c r="D521" s="633"/>
      <c r="E521" s="633"/>
      <c r="F521" s="633"/>
      <c r="G521" s="633"/>
      <c r="H521" s="634"/>
      <c r="I521" s="635"/>
      <c r="J521" s="635"/>
      <c r="K521" s="636"/>
      <c r="L521" s="636"/>
      <c r="M521" s="636"/>
      <c r="N521" s="636"/>
      <c r="O521" s="636"/>
      <c r="P521" s="636"/>
      <c r="Q521" s="541"/>
      <c r="R521" s="541"/>
      <c r="S521" s="541"/>
      <c r="T521" s="541"/>
      <c r="U521" s="541"/>
      <c r="V521" s="541"/>
      <c r="W521" s="541"/>
      <c r="X521" s="541"/>
      <c r="Y521" s="541"/>
      <c r="Z521" s="541"/>
    </row>
    <row r="522" spans="1:26" ht="19.5" hidden="1">
      <c r="A522" s="637"/>
      <c r="B522" s="638" t="s">
        <v>226</v>
      </c>
      <c r="C522" s="639"/>
      <c r="D522" s="639"/>
      <c r="E522" s="639"/>
      <c r="F522" s="639"/>
      <c r="G522" s="640"/>
      <c r="H522" s="641" t="s">
        <v>35</v>
      </c>
      <c r="I522" s="672">
        <f t="shared" ref="I522:J522" ca="1" si="224">I537</f>
        <v>0</v>
      </c>
      <c r="J522" s="672">
        <f t="shared" ca="1" si="224"/>
        <v>0</v>
      </c>
      <c r="K522" s="643">
        <f ca="1">IF(I522&gt;0,J522*100/I522,0)</f>
        <v>0</v>
      </c>
      <c r="L522" s="644"/>
      <c r="M522" s="644"/>
      <c r="N522" s="644"/>
      <c r="O522" s="644"/>
      <c r="P522" s="644"/>
      <c r="Q522" s="541"/>
      <c r="R522" s="541"/>
      <c r="S522" s="541"/>
      <c r="T522" s="541"/>
      <c r="U522" s="541"/>
      <c r="V522" s="541"/>
      <c r="W522" s="541"/>
      <c r="X522" s="541"/>
      <c r="Y522" s="541"/>
      <c r="Z522" s="541"/>
    </row>
    <row r="523" spans="1:26" ht="19.5" hidden="1">
      <c r="A523" s="561"/>
      <c r="B523" s="727"/>
      <c r="C523" s="727" t="s">
        <v>16</v>
      </c>
      <c r="D523" s="811" t="s">
        <v>17</v>
      </c>
      <c r="E523" s="805"/>
      <c r="F523" s="805"/>
      <c r="G523" s="189"/>
      <c r="H523" s="562" t="s">
        <v>12</v>
      </c>
      <c r="I523" s="269"/>
      <c r="J523" s="269"/>
      <c r="K523" s="465"/>
      <c r="L523" s="195">
        <f t="shared" ref="L523:N523" ca="1" si="225">L524+L525</f>
        <v>0</v>
      </c>
      <c r="M523" s="195">
        <f t="shared" si="225"/>
        <v>0</v>
      </c>
      <c r="N523" s="195">
        <f t="shared" si="225"/>
        <v>0</v>
      </c>
      <c r="O523" s="195">
        <f t="shared" ref="O523:O528" ca="1" si="226">IF(L523&gt;0,N523*100/L523,0)</f>
        <v>0</v>
      </c>
      <c r="P523" s="195">
        <f t="shared" ref="P523:P528" si="227">IF(M523&gt;0,N523*100/M523,0)</f>
        <v>0</v>
      </c>
      <c r="Q523" s="541"/>
      <c r="R523" s="541"/>
      <c r="S523" s="541"/>
      <c r="T523" s="541"/>
      <c r="U523" s="541"/>
      <c r="V523" s="541"/>
      <c r="W523" s="541"/>
      <c r="X523" s="541"/>
      <c r="Y523" s="541"/>
      <c r="Z523" s="541"/>
    </row>
    <row r="524" spans="1:26" ht="18.75" hidden="1">
      <c r="A524" s="563"/>
      <c r="B524" s="723"/>
      <c r="C524" s="723"/>
      <c r="D524" s="684"/>
      <c r="E524" s="723" t="s">
        <v>184</v>
      </c>
      <c r="F524" s="723"/>
      <c r="G524" s="567"/>
      <c r="H524" s="165" t="s">
        <v>12</v>
      </c>
      <c r="I524" s="583"/>
      <c r="J524" s="583"/>
      <c r="K524" s="93"/>
      <c r="L524" s="93">
        <f t="shared" ref="L524:N525" si="228">L527+L534</f>
        <v>0</v>
      </c>
      <c r="M524" s="93">
        <f t="shared" si="228"/>
        <v>0</v>
      </c>
      <c r="N524" s="93">
        <f t="shared" si="228"/>
        <v>0</v>
      </c>
      <c r="O524" s="93">
        <f t="shared" si="226"/>
        <v>0</v>
      </c>
      <c r="P524" s="93">
        <f t="shared" si="227"/>
        <v>0</v>
      </c>
      <c r="Q524" s="568"/>
      <c r="R524" s="568"/>
      <c r="S524" s="568"/>
      <c r="T524" s="568"/>
      <c r="U524" s="568"/>
      <c r="V524" s="568"/>
      <c r="W524" s="568"/>
      <c r="X524" s="568"/>
      <c r="Y524" s="568"/>
      <c r="Z524" s="568"/>
    </row>
    <row r="525" spans="1:26" ht="18.75" hidden="1">
      <c r="A525" s="563"/>
      <c r="B525" s="571"/>
      <c r="C525" s="723"/>
      <c r="D525" s="684"/>
      <c r="E525" s="723" t="s">
        <v>185</v>
      </c>
      <c r="F525" s="723"/>
      <c r="G525" s="567"/>
      <c r="H525" s="165" t="s">
        <v>12</v>
      </c>
      <c r="I525" s="583"/>
      <c r="J525" s="583"/>
      <c r="K525" s="93"/>
      <c r="L525" s="93">
        <f t="shared" ca="1" si="228"/>
        <v>0</v>
      </c>
      <c r="M525" s="93">
        <f t="shared" si="228"/>
        <v>0</v>
      </c>
      <c r="N525" s="93">
        <f t="shared" si="228"/>
        <v>0</v>
      </c>
      <c r="O525" s="93">
        <f t="shared" ca="1" si="226"/>
        <v>0</v>
      </c>
      <c r="P525" s="93">
        <f t="shared" si="227"/>
        <v>0</v>
      </c>
      <c r="Q525" s="568"/>
      <c r="R525" s="568"/>
      <c r="S525" s="568"/>
      <c r="T525" s="568"/>
      <c r="U525" s="568"/>
      <c r="V525" s="568"/>
      <c r="W525" s="568"/>
      <c r="X525" s="568"/>
      <c r="Y525" s="568"/>
      <c r="Z525" s="568"/>
    </row>
    <row r="526" spans="1:26" ht="18.75" hidden="1">
      <c r="A526" s="561"/>
      <c r="B526" s="538"/>
      <c r="C526" s="727"/>
      <c r="D526" s="570" t="s">
        <v>20</v>
      </c>
      <c r="E526" s="727"/>
      <c r="F526" s="727"/>
      <c r="G526" s="189"/>
      <c r="H526" s="161" t="s">
        <v>12</v>
      </c>
      <c r="I526" s="184"/>
      <c r="J526" s="184"/>
      <c r="K526" s="163"/>
      <c r="L526" s="465">
        <f t="shared" ref="L526:N526" ca="1" si="229">L527+L528</f>
        <v>0</v>
      </c>
      <c r="M526" s="465">
        <f t="shared" si="229"/>
        <v>0</v>
      </c>
      <c r="N526" s="465">
        <f t="shared" si="229"/>
        <v>0</v>
      </c>
      <c r="O526" s="465">
        <f t="shared" ca="1" si="226"/>
        <v>0</v>
      </c>
      <c r="P526" s="465">
        <f t="shared" si="227"/>
        <v>0</v>
      </c>
      <c r="Q526" s="541"/>
      <c r="R526" s="541"/>
      <c r="S526" s="541"/>
      <c r="T526" s="541"/>
      <c r="U526" s="541"/>
      <c r="V526" s="541"/>
      <c r="W526" s="541"/>
      <c r="X526" s="541"/>
      <c r="Y526" s="541"/>
      <c r="Z526" s="541"/>
    </row>
    <row r="527" spans="1:26" ht="18.75" hidden="1">
      <c r="A527" s="563"/>
      <c r="B527" s="571"/>
      <c r="C527" s="723"/>
      <c r="D527" s="684"/>
      <c r="E527" s="723" t="s">
        <v>184</v>
      </c>
      <c r="F527" s="723"/>
      <c r="G527" s="567"/>
      <c r="H527" s="165" t="s">
        <v>12</v>
      </c>
      <c r="I527" s="583"/>
      <c r="J527" s="583"/>
      <c r="K527" s="93"/>
      <c r="L527" s="93">
        <v>0</v>
      </c>
      <c r="M527" s="93">
        <v>0</v>
      </c>
      <c r="N527" s="93">
        <v>0</v>
      </c>
      <c r="O527" s="93">
        <f t="shared" si="226"/>
        <v>0</v>
      </c>
      <c r="P527" s="93">
        <f t="shared" si="227"/>
        <v>0</v>
      </c>
      <c r="Q527" s="568"/>
      <c r="R527" s="568"/>
      <c r="S527" s="568"/>
      <c r="T527" s="568"/>
      <c r="U527" s="568"/>
      <c r="V527" s="568"/>
      <c r="W527" s="568"/>
      <c r="X527" s="568"/>
      <c r="Y527" s="568"/>
      <c r="Z527" s="568"/>
    </row>
    <row r="528" spans="1:26" ht="18.75" hidden="1">
      <c r="A528" s="563"/>
      <c r="B528" s="571"/>
      <c r="C528" s="723"/>
      <c r="D528" s="684"/>
      <c r="E528" s="723" t="s">
        <v>185</v>
      </c>
      <c r="F528" s="723"/>
      <c r="G528" s="567"/>
      <c r="H528" s="165" t="s">
        <v>12</v>
      </c>
      <c r="I528" s="583"/>
      <c r="J528" s="583"/>
      <c r="K528" s="93"/>
      <c r="L528" s="93">
        <f ca="1">IFERROR(__xludf.DUMMYFUNCTION("IMPORTRANGE(""https://docs.google.com/spreadsheets/d/1QqKyyYR6Q21VydFLVH3TRQUabQu_ym0Zz7PgGX0-kHA/edit?usp=sharing"",""แผน!GQ20"")"),0)</f>
        <v>0</v>
      </c>
      <c r="M528" s="93">
        <v>0</v>
      </c>
      <c r="N528" s="93">
        <f>N529+N530+N531+N532</f>
        <v>0</v>
      </c>
      <c r="O528" s="93">
        <f t="shared" ca="1" si="226"/>
        <v>0</v>
      </c>
      <c r="P528" s="93">
        <f t="shared" si="227"/>
        <v>0</v>
      </c>
      <c r="Q528" s="568"/>
      <c r="R528" s="568"/>
      <c r="S528" s="568"/>
      <c r="T528" s="568"/>
      <c r="U528" s="568"/>
      <c r="V528" s="568"/>
      <c r="W528" s="568"/>
      <c r="X528" s="568"/>
      <c r="Y528" s="568"/>
      <c r="Z528" s="568"/>
    </row>
    <row r="529" spans="1:26" ht="18.75" hidden="1">
      <c r="A529" s="537"/>
      <c r="B529" s="538"/>
      <c r="C529" s="727"/>
      <c r="D529" s="727"/>
      <c r="E529" s="727"/>
      <c r="F529" s="727" t="s">
        <v>186</v>
      </c>
      <c r="G529" s="189"/>
      <c r="H529" s="161" t="s">
        <v>12</v>
      </c>
      <c r="I529" s="269"/>
      <c r="J529" s="269"/>
      <c r="K529" s="465"/>
      <c r="L529" s="465"/>
      <c r="M529" s="465"/>
      <c r="N529" s="789">
        <v>0</v>
      </c>
      <c r="O529" s="465"/>
      <c r="P529" s="465"/>
      <c r="Q529" s="541"/>
      <c r="R529" s="541"/>
      <c r="S529" s="541"/>
      <c r="T529" s="541"/>
      <c r="U529" s="541"/>
      <c r="V529" s="541"/>
      <c r="W529" s="541"/>
      <c r="X529" s="541"/>
      <c r="Y529" s="541"/>
      <c r="Z529" s="541"/>
    </row>
    <row r="530" spans="1:26" ht="18.75" hidden="1">
      <c r="A530" s="537"/>
      <c r="B530" s="538"/>
      <c r="C530" s="727"/>
      <c r="D530" s="727"/>
      <c r="E530" s="727"/>
      <c r="F530" s="727" t="s">
        <v>187</v>
      </c>
      <c r="G530" s="189"/>
      <c r="H530" s="161" t="s">
        <v>12</v>
      </c>
      <c r="I530" s="269"/>
      <c r="J530" s="269"/>
      <c r="K530" s="465"/>
      <c r="L530" s="465"/>
      <c r="M530" s="465"/>
      <c r="N530" s="789">
        <v>0</v>
      </c>
      <c r="O530" s="465"/>
      <c r="P530" s="465"/>
      <c r="Q530" s="541"/>
      <c r="R530" s="541"/>
      <c r="S530" s="541"/>
      <c r="T530" s="541"/>
      <c r="U530" s="541"/>
      <c r="V530" s="541"/>
      <c r="W530" s="541"/>
      <c r="X530" s="541"/>
      <c r="Y530" s="541"/>
      <c r="Z530" s="541"/>
    </row>
    <row r="531" spans="1:26" ht="18.75" hidden="1">
      <c r="A531" s="537"/>
      <c r="B531" s="538"/>
      <c r="C531" s="727"/>
      <c r="D531" s="727"/>
      <c r="E531" s="727"/>
      <c r="F531" s="727" t="s">
        <v>188</v>
      </c>
      <c r="G531" s="189"/>
      <c r="H531" s="161" t="s">
        <v>12</v>
      </c>
      <c r="I531" s="269"/>
      <c r="J531" s="269"/>
      <c r="K531" s="465"/>
      <c r="L531" s="465"/>
      <c r="M531" s="465"/>
      <c r="N531" s="789">
        <v>0</v>
      </c>
      <c r="O531" s="465"/>
      <c r="P531" s="465"/>
      <c r="Q531" s="541"/>
      <c r="R531" s="541"/>
      <c r="S531" s="541"/>
      <c r="T531" s="541"/>
      <c r="U531" s="541"/>
      <c r="V531" s="541"/>
      <c r="W531" s="541"/>
      <c r="X531" s="541"/>
      <c r="Y531" s="541"/>
      <c r="Z531" s="541"/>
    </row>
    <row r="532" spans="1:26" ht="18.75" hidden="1">
      <c r="A532" s="537"/>
      <c r="B532" s="538"/>
      <c r="C532" s="727"/>
      <c r="D532" s="727"/>
      <c r="E532" s="727"/>
      <c r="F532" s="727" t="s">
        <v>189</v>
      </c>
      <c r="G532" s="189"/>
      <c r="H532" s="161" t="s">
        <v>12</v>
      </c>
      <c r="I532" s="269"/>
      <c r="J532" s="269"/>
      <c r="K532" s="465"/>
      <c r="L532" s="465"/>
      <c r="M532" s="465"/>
      <c r="N532" s="789">
        <v>0</v>
      </c>
      <c r="O532" s="465"/>
      <c r="P532" s="465"/>
      <c r="Q532" s="541"/>
      <c r="R532" s="541"/>
      <c r="S532" s="541"/>
      <c r="T532" s="541"/>
      <c r="U532" s="541"/>
      <c r="V532" s="541"/>
      <c r="W532" s="541"/>
      <c r="X532" s="541"/>
      <c r="Y532" s="541"/>
      <c r="Z532" s="541"/>
    </row>
    <row r="533" spans="1:26" ht="18.75" hidden="1">
      <c r="A533" s="561"/>
      <c r="B533" s="538"/>
      <c r="C533" s="727"/>
      <c r="D533" s="570" t="s">
        <v>21</v>
      </c>
      <c r="E533" s="727"/>
      <c r="F533" s="727"/>
      <c r="G533" s="189"/>
      <c r="H533" s="168" t="s">
        <v>12</v>
      </c>
      <c r="I533" s="184"/>
      <c r="J533" s="184"/>
      <c r="K533" s="163"/>
      <c r="L533" s="465">
        <f t="shared" ref="L533:N533" ca="1" si="230">L534+L535</f>
        <v>0</v>
      </c>
      <c r="M533" s="465">
        <f t="shared" si="230"/>
        <v>0</v>
      </c>
      <c r="N533" s="465">
        <f t="shared" si="230"/>
        <v>0</v>
      </c>
      <c r="O533" s="465">
        <f t="shared" ref="O533:O535" ca="1" si="231">IF(L533&gt;0,N533*100/L533,0)</f>
        <v>0</v>
      </c>
      <c r="P533" s="465">
        <f t="shared" ref="P533:P535" si="232">IF(M533&gt;0,N533*100/M533,0)</f>
        <v>0</v>
      </c>
      <c r="Q533" s="541"/>
      <c r="R533" s="541"/>
      <c r="S533" s="541"/>
      <c r="T533" s="541"/>
      <c r="U533" s="541"/>
      <c r="V533" s="541"/>
      <c r="W533" s="541"/>
      <c r="X533" s="541"/>
      <c r="Y533" s="541"/>
      <c r="Z533" s="541"/>
    </row>
    <row r="534" spans="1:26" ht="18.75" hidden="1">
      <c r="A534" s="563"/>
      <c r="B534" s="571"/>
      <c r="C534" s="723"/>
      <c r="D534" s="723"/>
      <c r="E534" s="723" t="s">
        <v>18</v>
      </c>
      <c r="F534" s="723"/>
      <c r="G534" s="567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1"/>
        <v>0</v>
      </c>
      <c r="P534" s="93">
        <f t="shared" si="232"/>
        <v>0</v>
      </c>
      <c r="Q534" s="568"/>
      <c r="R534" s="568"/>
      <c r="S534" s="568"/>
      <c r="T534" s="568"/>
      <c r="U534" s="568"/>
      <c r="V534" s="568"/>
      <c r="W534" s="568"/>
      <c r="X534" s="568"/>
      <c r="Y534" s="568"/>
      <c r="Z534" s="568"/>
    </row>
    <row r="535" spans="1:26" ht="18.75" hidden="1">
      <c r="A535" s="563"/>
      <c r="B535" s="571"/>
      <c r="C535" s="723"/>
      <c r="D535" s="723"/>
      <c r="E535" s="723" t="s">
        <v>19</v>
      </c>
      <c r="F535" s="723"/>
      <c r="G535" s="567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IFERROR(__xludf.DUMMYFUNCTION("IMPORTRANGE(""https://docs.google.com/spreadsheets/d/1QqKyyYR6Q21VydFLVH3TRQUabQu_ym0Zz7PgGX0-kHA/edit?usp=sharing"",""แผน!GT20"")"),0)</f>
        <v>0</v>
      </c>
      <c r="M535" s="93">
        <v>0</v>
      </c>
      <c r="N535" s="93">
        <v>0</v>
      </c>
      <c r="O535" s="93">
        <f t="shared" ca="1" si="231"/>
        <v>0</v>
      </c>
      <c r="P535" s="93">
        <f t="shared" si="232"/>
        <v>0</v>
      </c>
      <c r="Q535" s="568"/>
      <c r="R535" s="568"/>
      <c r="S535" s="568"/>
      <c r="T535" s="568"/>
      <c r="U535" s="568"/>
      <c r="V535" s="568"/>
      <c r="W535" s="568"/>
      <c r="X535" s="568"/>
      <c r="Y535" s="568"/>
      <c r="Z535" s="568"/>
    </row>
    <row r="536" spans="1:26" ht="19.5" hidden="1">
      <c r="A536" s="572"/>
      <c r="B536" s="584"/>
      <c r="C536" s="727" t="s">
        <v>16</v>
      </c>
      <c r="D536" s="853" t="s">
        <v>38</v>
      </c>
      <c r="E536" s="725"/>
      <c r="F536" s="725"/>
      <c r="G536" s="577"/>
      <c r="H536" s="726"/>
      <c r="I536" s="184"/>
      <c r="J536" s="184"/>
      <c r="K536" s="163"/>
      <c r="L536" s="163"/>
      <c r="M536" s="163"/>
      <c r="N536" s="163"/>
      <c r="O536" s="163"/>
      <c r="P536" s="163"/>
      <c r="Q536" s="541"/>
      <c r="R536" s="541"/>
      <c r="S536" s="541"/>
      <c r="T536" s="541"/>
      <c r="U536" s="541"/>
      <c r="V536" s="541"/>
      <c r="W536" s="541"/>
      <c r="X536" s="541"/>
      <c r="Y536" s="541"/>
      <c r="Z536" s="541"/>
    </row>
    <row r="537" spans="1:26" ht="19.5" hidden="1">
      <c r="A537" s="537"/>
      <c r="B537" s="538"/>
      <c r="C537" s="727"/>
      <c r="D537" s="727" t="s">
        <v>227</v>
      </c>
      <c r="E537" s="727"/>
      <c r="F537" s="727"/>
      <c r="G537" s="189"/>
      <c r="H537" s="589" t="s">
        <v>35</v>
      </c>
      <c r="I537" s="647">
        <f ca="1">IFERROR(__xludf.DUMMYFUNCTION("IMPORTRANGE(""https://docs.google.com/spreadsheets/d/1QqKyyYR6Q21VydFLVH3TRQUabQu_ym0Zz7PgGX0-kHA/edit?usp=sharing"",""แผน!GU20"")"),0)</f>
        <v>0</v>
      </c>
      <c r="J537" s="647">
        <f ca="1">IF(AND(J538=I538,J539=I539,J540=I540,J541=I541),I537,0)</f>
        <v>0</v>
      </c>
      <c r="K537" s="465">
        <f t="shared" ref="K537:K543" ca="1" si="233">IF(I537&gt;0,J537*100/I537,0)</f>
        <v>0</v>
      </c>
      <c r="L537" s="465"/>
      <c r="M537" s="465"/>
      <c r="N537" s="465"/>
      <c r="O537" s="465"/>
      <c r="P537" s="465"/>
      <c r="Q537" s="648"/>
      <c r="R537" s="648"/>
      <c r="S537" s="648"/>
      <c r="T537" s="648"/>
      <c r="U537" s="648"/>
      <c r="V537" s="648"/>
      <c r="W537" s="648"/>
      <c r="X537" s="648"/>
      <c r="Y537" s="648"/>
      <c r="Z537" s="648"/>
    </row>
    <row r="538" spans="1:26" ht="18.75" hidden="1">
      <c r="A538" s="537"/>
      <c r="B538" s="538"/>
      <c r="C538" s="727"/>
      <c r="D538" s="727"/>
      <c r="E538" s="727" t="s">
        <v>228</v>
      </c>
      <c r="F538" s="727"/>
      <c r="G538" s="189"/>
      <c r="H538" s="589" t="s">
        <v>35</v>
      </c>
      <c r="I538" s="269">
        <f ca="1">IFERROR(__xludf.DUMMYFUNCTION("IMPORTRANGE(""https://docs.google.com/spreadsheets/d/1QqKyyYR6Q21VydFLVH3TRQUabQu_ym0Zz7PgGX0-kHA/edit?usp=sharing"",""แผน!GV20"")"),0)</f>
        <v>0</v>
      </c>
      <c r="J538" s="214">
        <v>0</v>
      </c>
      <c r="K538" s="465">
        <f t="shared" ca="1" si="233"/>
        <v>0</v>
      </c>
      <c r="L538" s="465"/>
      <c r="M538" s="465"/>
      <c r="N538" s="465"/>
      <c r="O538" s="465"/>
      <c r="P538" s="465"/>
      <c r="Q538" s="648"/>
      <c r="R538" s="648"/>
      <c r="S538" s="648"/>
      <c r="T538" s="648"/>
      <c r="U538" s="648"/>
      <c r="V538" s="648"/>
      <c r="W538" s="648"/>
      <c r="X538" s="648"/>
      <c r="Y538" s="648"/>
      <c r="Z538" s="648"/>
    </row>
    <row r="539" spans="1:26" ht="18.75" hidden="1">
      <c r="A539" s="537"/>
      <c r="B539" s="538"/>
      <c r="C539" s="727"/>
      <c r="D539" s="727"/>
      <c r="E539" s="727" t="s">
        <v>229</v>
      </c>
      <c r="F539" s="727"/>
      <c r="G539" s="189"/>
      <c r="H539" s="589" t="s">
        <v>35</v>
      </c>
      <c r="I539" s="269">
        <f ca="1">IFERROR(__xludf.DUMMYFUNCTION("IMPORTRANGE(""https://docs.google.com/spreadsheets/d/1QqKyyYR6Q21VydFLVH3TRQUabQu_ym0Zz7PgGX0-kHA/edit?usp=sharing"",""แผน!GW20"")"),0)</f>
        <v>0</v>
      </c>
      <c r="J539" s="214">
        <v>0</v>
      </c>
      <c r="K539" s="465">
        <f t="shared" ca="1" si="233"/>
        <v>0</v>
      </c>
      <c r="L539" s="465"/>
      <c r="M539" s="465"/>
      <c r="N539" s="465"/>
      <c r="O539" s="465"/>
      <c r="P539" s="465"/>
      <c r="Q539" s="648"/>
      <c r="R539" s="648"/>
      <c r="S539" s="648"/>
      <c r="T539" s="648"/>
      <c r="U539" s="648"/>
      <c r="V539" s="648"/>
      <c r="W539" s="648"/>
      <c r="X539" s="648"/>
      <c r="Y539" s="648"/>
      <c r="Z539" s="648"/>
    </row>
    <row r="540" spans="1:26" ht="18.75" hidden="1">
      <c r="A540" s="537"/>
      <c r="B540" s="538"/>
      <c r="C540" s="727"/>
      <c r="D540" s="727"/>
      <c r="E540" s="727" t="s">
        <v>230</v>
      </c>
      <c r="F540" s="727"/>
      <c r="G540" s="189"/>
      <c r="H540" s="589" t="s">
        <v>35</v>
      </c>
      <c r="I540" s="269">
        <f ca="1">IFERROR(__xludf.DUMMYFUNCTION("IMPORTRANGE(""https://docs.google.com/spreadsheets/d/1QqKyyYR6Q21VydFLVH3TRQUabQu_ym0Zz7PgGX0-kHA/edit?usp=sharing"",""แผน!GX20"")"),0)</f>
        <v>0</v>
      </c>
      <c r="J540" s="214">
        <v>0</v>
      </c>
      <c r="K540" s="465">
        <f t="shared" ca="1" si="233"/>
        <v>0</v>
      </c>
      <c r="L540" s="465"/>
      <c r="M540" s="465"/>
      <c r="N540" s="465"/>
      <c r="O540" s="465"/>
      <c r="P540" s="465"/>
      <c r="Q540" s="648"/>
      <c r="R540" s="648"/>
      <c r="S540" s="648"/>
      <c r="T540" s="648"/>
      <c r="U540" s="648"/>
      <c r="V540" s="648"/>
      <c r="W540" s="648"/>
      <c r="X540" s="648"/>
      <c r="Y540" s="648"/>
      <c r="Z540" s="648"/>
    </row>
    <row r="541" spans="1:26" ht="18.75" hidden="1">
      <c r="A541" s="537"/>
      <c r="B541" s="538"/>
      <c r="C541" s="727"/>
      <c r="D541" s="727"/>
      <c r="E541" s="733" t="s">
        <v>231</v>
      </c>
      <c r="F541" s="727"/>
      <c r="G541" s="189"/>
      <c r="H541" s="589" t="s">
        <v>35</v>
      </c>
      <c r="I541" s="269">
        <f ca="1">IFERROR(__xludf.DUMMYFUNCTION("IMPORTRANGE(""https://docs.google.com/spreadsheets/d/1QqKyyYR6Q21VydFLVH3TRQUabQu_ym0Zz7PgGX0-kHA/edit?usp=sharing"",""แผน!GY20"")"),0)</f>
        <v>0</v>
      </c>
      <c r="J541" s="214">
        <v>0</v>
      </c>
      <c r="K541" s="465">
        <f t="shared" ca="1" si="233"/>
        <v>0</v>
      </c>
      <c r="L541" s="465"/>
      <c r="M541" s="465"/>
      <c r="N541" s="465"/>
      <c r="O541" s="465"/>
      <c r="P541" s="465"/>
      <c r="Q541" s="648"/>
      <c r="R541" s="648"/>
      <c r="S541" s="648"/>
      <c r="T541" s="648"/>
      <c r="U541" s="648"/>
      <c r="V541" s="648"/>
      <c r="W541" s="648"/>
      <c r="X541" s="648"/>
      <c r="Y541" s="648"/>
      <c r="Z541" s="648"/>
    </row>
    <row r="542" spans="1:26" ht="18.75" hidden="1">
      <c r="A542" s="537"/>
      <c r="B542" s="538"/>
      <c r="C542" s="727"/>
      <c r="D542" s="727" t="s">
        <v>59</v>
      </c>
      <c r="E542" s="727"/>
      <c r="F542" s="727"/>
      <c r="G542" s="189"/>
      <c r="H542" s="589" t="s">
        <v>35</v>
      </c>
      <c r="I542" s="269">
        <f ca="1">IFERROR(__xludf.DUMMYFUNCTION("IMPORTRANGE(""https://docs.google.com/spreadsheets/d/1QqKyyYR6Q21VydFLVH3TRQUabQu_ym0Zz7PgGX0-kHA/edit?usp=sharing"",""แผน!GZ20"")"),0)</f>
        <v>0</v>
      </c>
      <c r="J542" s="214">
        <v>0</v>
      </c>
      <c r="K542" s="465">
        <f t="shared" ca="1" si="233"/>
        <v>0</v>
      </c>
      <c r="L542" s="465"/>
      <c r="M542" s="465"/>
      <c r="N542" s="465"/>
      <c r="O542" s="465"/>
      <c r="P542" s="465"/>
      <c r="Q542" s="648"/>
      <c r="R542" s="648"/>
      <c r="S542" s="648"/>
      <c r="T542" s="648"/>
      <c r="U542" s="648"/>
      <c r="V542" s="648"/>
      <c r="W542" s="648"/>
      <c r="X542" s="648"/>
      <c r="Y542" s="648"/>
      <c r="Z542" s="648"/>
    </row>
    <row r="543" spans="1:26" ht="19.5">
      <c r="A543" s="630">
        <v>6</v>
      </c>
      <c r="B543" s="651" t="s">
        <v>232</v>
      </c>
      <c r="C543" s="633"/>
      <c r="D543" s="633"/>
      <c r="E543" s="633"/>
      <c r="F543" s="633"/>
      <c r="G543" s="634"/>
      <c r="H543" s="652" t="s">
        <v>46</v>
      </c>
      <c r="I543" s="653">
        <f t="shared" ref="I543:J543" ca="1" si="234">I559</f>
        <v>25837</v>
      </c>
      <c r="J543" s="653">
        <f t="shared" si="234"/>
        <v>0</v>
      </c>
      <c r="K543" s="654">
        <f t="shared" ca="1" si="233"/>
        <v>0</v>
      </c>
      <c r="L543" s="636"/>
      <c r="M543" s="636"/>
      <c r="N543" s="636"/>
      <c r="O543" s="636"/>
      <c r="P543" s="636"/>
      <c r="Q543" s="541"/>
      <c r="R543" s="541"/>
      <c r="S543" s="541"/>
      <c r="T543" s="541"/>
      <c r="U543" s="541"/>
      <c r="V543" s="541"/>
      <c r="W543" s="541"/>
      <c r="X543" s="541"/>
      <c r="Y543" s="541"/>
      <c r="Z543" s="541"/>
    </row>
    <row r="544" spans="1:26" ht="19.5">
      <c r="A544" s="655"/>
      <c r="B544" s="656"/>
      <c r="C544" s="656" t="s">
        <v>16</v>
      </c>
      <c r="D544" s="854" t="s">
        <v>17</v>
      </c>
      <c r="E544" s="810"/>
      <c r="F544" s="810"/>
      <c r="G544" s="657"/>
      <c r="H544" s="274" t="s">
        <v>12</v>
      </c>
      <c r="I544" s="388"/>
      <c r="J544" s="388"/>
      <c r="K544" s="154"/>
      <c r="L544" s="155">
        <f t="shared" ref="L544:N544" ca="1" si="235">L545+L546</f>
        <v>319746</v>
      </c>
      <c r="M544" s="155">
        <f t="shared" si="235"/>
        <v>0</v>
      </c>
      <c r="N544" s="155">
        <f t="shared" si="235"/>
        <v>0</v>
      </c>
      <c r="O544" s="155">
        <f t="shared" ref="O544:O549" ca="1" si="236">IF(L544&gt;0,N544*100/L544,0)</f>
        <v>0</v>
      </c>
      <c r="P544" s="155">
        <f t="shared" ref="P544:P549" si="237">IF(M544&gt;0,N544*100/M544,0)</f>
        <v>0</v>
      </c>
      <c r="Q544" s="541"/>
      <c r="R544" s="541"/>
      <c r="S544" s="541"/>
      <c r="T544" s="541"/>
      <c r="U544" s="541"/>
      <c r="V544" s="541"/>
      <c r="W544" s="541"/>
      <c r="X544" s="541"/>
      <c r="Y544" s="541"/>
      <c r="Z544" s="541"/>
    </row>
    <row r="545" spans="1:26" ht="18.75" hidden="1">
      <c r="A545" s="563"/>
      <c r="B545" s="723"/>
      <c r="C545" s="723"/>
      <c r="D545" s="723"/>
      <c r="E545" s="723" t="s">
        <v>184</v>
      </c>
      <c r="F545" s="723"/>
      <c r="G545" s="567"/>
      <c r="H545" s="165" t="s">
        <v>12</v>
      </c>
      <c r="I545" s="583"/>
      <c r="J545" s="583"/>
      <c r="K545" s="93"/>
      <c r="L545" s="93">
        <f t="shared" ref="L545:L546" si="238">L548+L556</f>
        <v>0</v>
      </c>
      <c r="M545" s="93">
        <f t="shared" ref="M545:N546" si="239">M548+M555</f>
        <v>0</v>
      </c>
      <c r="N545" s="93">
        <f t="shared" si="239"/>
        <v>0</v>
      </c>
      <c r="O545" s="93">
        <f t="shared" si="236"/>
        <v>0</v>
      </c>
      <c r="P545" s="93">
        <f t="shared" si="237"/>
        <v>0</v>
      </c>
      <c r="Q545" s="568"/>
      <c r="R545" s="568"/>
      <c r="S545" s="568"/>
      <c r="T545" s="568"/>
      <c r="U545" s="568"/>
      <c r="V545" s="568"/>
      <c r="W545" s="568"/>
      <c r="X545" s="568"/>
      <c r="Y545" s="568"/>
      <c r="Z545" s="568"/>
    </row>
    <row r="546" spans="1:26" ht="18.75" hidden="1">
      <c r="A546" s="563"/>
      <c r="B546" s="571"/>
      <c r="C546" s="723"/>
      <c r="D546" s="723"/>
      <c r="E546" s="723" t="s">
        <v>185</v>
      </c>
      <c r="F546" s="723"/>
      <c r="G546" s="567"/>
      <c r="H546" s="165" t="s">
        <v>12</v>
      </c>
      <c r="I546" s="583"/>
      <c r="J546" s="583"/>
      <c r="K546" s="93"/>
      <c r="L546" s="93">
        <f t="shared" ca="1" si="238"/>
        <v>319746</v>
      </c>
      <c r="M546" s="93">
        <f t="shared" si="239"/>
        <v>0</v>
      </c>
      <c r="N546" s="93">
        <f t="shared" si="239"/>
        <v>0</v>
      </c>
      <c r="O546" s="93">
        <f t="shared" ca="1" si="236"/>
        <v>0</v>
      </c>
      <c r="P546" s="93">
        <f t="shared" si="237"/>
        <v>0</v>
      </c>
      <c r="Q546" s="568"/>
      <c r="R546" s="568"/>
      <c r="S546" s="568"/>
      <c r="T546" s="568"/>
      <c r="U546" s="568"/>
      <c r="V546" s="568"/>
      <c r="W546" s="568"/>
      <c r="X546" s="568"/>
      <c r="Y546" s="568"/>
      <c r="Z546" s="568"/>
    </row>
    <row r="547" spans="1:26" ht="18.75">
      <c r="A547" s="561"/>
      <c r="B547" s="538"/>
      <c r="C547" s="727"/>
      <c r="D547" s="570" t="s">
        <v>20</v>
      </c>
      <c r="E547" s="727"/>
      <c r="F547" s="727"/>
      <c r="G547" s="189"/>
      <c r="H547" s="161" t="s">
        <v>12</v>
      </c>
      <c r="I547" s="184"/>
      <c r="J547" s="184"/>
      <c r="K547" s="163"/>
      <c r="L547" s="465">
        <f t="shared" ref="L547:N547" ca="1" si="240">L548+L549</f>
        <v>319746</v>
      </c>
      <c r="M547" s="465">
        <f t="shared" si="240"/>
        <v>0</v>
      </c>
      <c r="N547" s="465">
        <f t="shared" si="240"/>
        <v>0</v>
      </c>
      <c r="O547" s="465">
        <f t="shared" ca="1" si="236"/>
        <v>0</v>
      </c>
      <c r="P547" s="465">
        <f t="shared" si="237"/>
        <v>0</v>
      </c>
      <c r="Q547" s="541"/>
      <c r="R547" s="541"/>
      <c r="S547" s="541"/>
      <c r="T547" s="541"/>
      <c r="U547" s="541"/>
      <c r="V547" s="541"/>
      <c r="W547" s="541"/>
      <c r="X547" s="541"/>
      <c r="Y547" s="541"/>
      <c r="Z547" s="541"/>
    </row>
    <row r="548" spans="1:26" ht="18.75" hidden="1">
      <c r="A548" s="563"/>
      <c r="B548" s="571"/>
      <c r="C548" s="723"/>
      <c r="D548" s="684"/>
      <c r="E548" s="723" t="s">
        <v>184</v>
      </c>
      <c r="F548" s="723"/>
      <c r="G548" s="567"/>
      <c r="H548" s="165" t="s">
        <v>12</v>
      </c>
      <c r="I548" s="583"/>
      <c r="J548" s="583"/>
      <c r="K548" s="93"/>
      <c r="L548" s="93">
        <v>0</v>
      </c>
      <c r="M548" s="93">
        <v>0</v>
      </c>
      <c r="N548" s="93">
        <v>0</v>
      </c>
      <c r="O548" s="93">
        <f t="shared" si="236"/>
        <v>0</v>
      </c>
      <c r="P548" s="93">
        <f t="shared" si="237"/>
        <v>0</v>
      </c>
      <c r="Q548" s="568"/>
      <c r="R548" s="568"/>
      <c r="S548" s="568"/>
      <c r="T548" s="568"/>
      <c r="U548" s="568"/>
      <c r="V548" s="568"/>
      <c r="W548" s="568"/>
      <c r="X548" s="568"/>
      <c r="Y548" s="568"/>
      <c r="Z548" s="568"/>
    </row>
    <row r="549" spans="1:26" ht="18.75" hidden="1">
      <c r="A549" s="563"/>
      <c r="B549" s="571"/>
      <c r="C549" s="723"/>
      <c r="D549" s="684"/>
      <c r="E549" s="723" t="s">
        <v>185</v>
      </c>
      <c r="F549" s="723"/>
      <c r="G549" s="567"/>
      <c r="H549" s="165" t="s">
        <v>12</v>
      </c>
      <c r="I549" s="583"/>
      <c r="J549" s="583"/>
      <c r="K549" s="93"/>
      <c r="L549" s="93">
        <f ca="1">IFERROR(__xludf.DUMMYFUNCTION("IMPORTRANGE(""https://docs.google.com/spreadsheets/d/1QqKyyYR6Q21VydFLVH3TRQUabQu_ym0Zz7PgGX0-kHA/edit?usp=sharing"",""แผน!HB20"")"),319746)</f>
        <v>319746</v>
      </c>
      <c r="M549" s="93">
        <v>0</v>
      </c>
      <c r="N549" s="93">
        <f>N550+N551+N552+N553+N554</f>
        <v>0</v>
      </c>
      <c r="O549" s="93">
        <f t="shared" ca="1" si="236"/>
        <v>0</v>
      </c>
      <c r="P549" s="93">
        <f t="shared" si="237"/>
        <v>0</v>
      </c>
      <c r="Q549" s="568"/>
      <c r="R549" s="568"/>
      <c r="S549" s="568"/>
      <c r="T549" s="568"/>
      <c r="U549" s="568"/>
      <c r="V549" s="568"/>
      <c r="W549" s="568"/>
      <c r="X549" s="568"/>
      <c r="Y549" s="568"/>
      <c r="Z549" s="568"/>
    </row>
    <row r="550" spans="1:26" ht="18.75">
      <c r="A550" s="537"/>
      <c r="B550" s="538"/>
      <c r="C550" s="727"/>
      <c r="D550" s="727"/>
      <c r="E550" s="727"/>
      <c r="F550" s="727" t="s">
        <v>186</v>
      </c>
      <c r="G550" s="189"/>
      <c r="H550" s="161" t="s">
        <v>12</v>
      </c>
      <c r="I550" s="269"/>
      <c r="J550" s="269"/>
      <c r="K550" s="465"/>
      <c r="L550" s="465"/>
      <c r="M550" s="465"/>
      <c r="N550" s="789">
        <v>0</v>
      </c>
      <c r="O550" s="465"/>
      <c r="P550" s="465"/>
      <c r="Q550" s="541"/>
      <c r="R550" s="541"/>
      <c r="S550" s="541"/>
      <c r="T550" s="541"/>
      <c r="U550" s="541"/>
      <c r="V550" s="541"/>
      <c r="W550" s="541"/>
      <c r="X550" s="541"/>
      <c r="Y550" s="541"/>
      <c r="Z550" s="541"/>
    </row>
    <row r="551" spans="1:26" ht="18.75">
      <c r="A551" s="537"/>
      <c r="B551" s="538"/>
      <c r="C551" s="538"/>
      <c r="D551" s="538"/>
      <c r="E551" s="727"/>
      <c r="F551" s="727" t="s">
        <v>187</v>
      </c>
      <c r="G551" s="189"/>
      <c r="H551" s="161" t="s">
        <v>12</v>
      </c>
      <c r="I551" s="269"/>
      <c r="J551" s="269"/>
      <c r="K551" s="465"/>
      <c r="L551" s="465"/>
      <c r="M551" s="465"/>
      <c r="N551" s="789">
        <v>0</v>
      </c>
      <c r="O551" s="465"/>
      <c r="P551" s="465"/>
      <c r="Q551" s="541"/>
      <c r="R551" s="541"/>
      <c r="S551" s="541"/>
      <c r="T551" s="541"/>
      <c r="U551" s="541"/>
      <c r="V551" s="541"/>
      <c r="W551" s="541"/>
      <c r="X551" s="541"/>
      <c r="Y551" s="541"/>
      <c r="Z551" s="541"/>
    </row>
    <row r="552" spans="1:26" ht="18.75">
      <c r="A552" s="537"/>
      <c r="B552" s="538"/>
      <c r="C552" s="727"/>
      <c r="D552" s="727"/>
      <c r="E552" s="727"/>
      <c r="F552" s="727" t="s">
        <v>188</v>
      </c>
      <c r="G552" s="189"/>
      <c r="H552" s="161" t="s">
        <v>12</v>
      </c>
      <c r="I552" s="269"/>
      <c r="J552" s="269"/>
      <c r="K552" s="465"/>
      <c r="L552" s="465"/>
      <c r="M552" s="465"/>
      <c r="N552" s="789">
        <v>0</v>
      </c>
      <c r="O552" s="465"/>
      <c r="P552" s="465"/>
      <c r="Q552" s="541"/>
      <c r="R552" s="541"/>
      <c r="S552" s="541"/>
      <c r="T552" s="541"/>
      <c r="U552" s="541"/>
      <c r="V552" s="541"/>
      <c r="W552" s="541"/>
      <c r="X552" s="541"/>
      <c r="Y552" s="541"/>
      <c r="Z552" s="541"/>
    </row>
    <row r="553" spans="1:26" ht="18.75">
      <c r="A553" s="537"/>
      <c r="B553" s="538"/>
      <c r="C553" s="538"/>
      <c r="D553" s="538"/>
      <c r="E553" s="727"/>
      <c r="F553" s="727" t="s">
        <v>189</v>
      </c>
      <c r="G553" s="189"/>
      <c r="H553" s="161" t="s">
        <v>12</v>
      </c>
      <c r="I553" s="269"/>
      <c r="J553" s="269"/>
      <c r="K553" s="465"/>
      <c r="L553" s="465"/>
      <c r="M553" s="465"/>
      <c r="N553" s="789">
        <v>0</v>
      </c>
      <c r="O553" s="465"/>
      <c r="P553" s="465"/>
      <c r="Q553" s="541"/>
      <c r="R553" s="541"/>
      <c r="S553" s="541"/>
      <c r="T553" s="541"/>
      <c r="U553" s="541"/>
      <c r="V553" s="541"/>
      <c r="W553" s="541"/>
      <c r="X553" s="541"/>
      <c r="Y553" s="541"/>
      <c r="Z553" s="541"/>
    </row>
    <row r="554" spans="1:26" ht="18.75">
      <c r="A554" s="537"/>
      <c r="B554" s="538"/>
      <c r="C554" s="538"/>
      <c r="D554" s="538"/>
      <c r="E554" s="727"/>
      <c r="F554" s="727" t="s">
        <v>233</v>
      </c>
      <c r="G554" s="189"/>
      <c r="H554" s="161" t="s">
        <v>12</v>
      </c>
      <c r="I554" s="269"/>
      <c r="J554" s="269"/>
      <c r="K554" s="465"/>
      <c r="L554" s="465"/>
      <c r="M554" s="465"/>
      <c r="N554" s="789">
        <v>0</v>
      </c>
      <c r="O554" s="465"/>
      <c r="P554" s="465"/>
      <c r="Q554" s="541"/>
      <c r="R554" s="541"/>
      <c r="S554" s="541"/>
      <c r="T554" s="541"/>
      <c r="U554" s="541"/>
      <c r="V554" s="541"/>
      <c r="W554" s="541"/>
      <c r="X554" s="541"/>
      <c r="Y554" s="541"/>
      <c r="Z554" s="541"/>
    </row>
    <row r="555" spans="1:26" ht="18.75">
      <c r="A555" s="561"/>
      <c r="B555" s="538"/>
      <c r="C555" s="538"/>
      <c r="D555" s="570" t="s">
        <v>21</v>
      </c>
      <c r="E555" s="727"/>
      <c r="F555" s="727"/>
      <c r="G555" s="189"/>
      <c r="H555" s="168" t="s">
        <v>12</v>
      </c>
      <c r="I555" s="184"/>
      <c r="J555" s="184"/>
      <c r="K555" s="163"/>
      <c r="L555" s="465">
        <f t="shared" ref="L555:N555" ca="1" si="241">L556+L557</f>
        <v>0</v>
      </c>
      <c r="M555" s="465">
        <f t="shared" si="241"/>
        <v>0</v>
      </c>
      <c r="N555" s="465">
        <f t="shared" si="241"/>
        <v>0</v>
      </c>
      <c r="O555" s="465">
        <f t="shared" ref="O555:O557" ca="1" si="242">IF(L555&gt;0,N555*100/L555,0)</f>
        <v>0</v>
      </c>
      <c r="P555" s="465">
        <f t="shared" ref="P555:P557" si="243">IF(M555&gt;0,N555*100/M555,0)</f>
        <v>0</v>
      </c>
      <c r="Q555" s="541"/>
      <c r="R555" s="541"/>
      <c r="S555" s="541"/>
      <c r="T555" s="541"/>
      <c r="U555" s="541"/>
      <c r="V555" s="541"/>
      <c r="W555" s="541"/>
      <c r="X555" s="541"/>
      <c r="Y555" s="541"/>
      <c r="Z555" s="541"/>
    </row>
    <row r="556" spans="1:26" ht="18.75" hidden="1">
      <c r="A556" s="563"/>
      <c r="B556" s="571"/>
      <c r="C556" s="571"/>
      <c r="D556" s="723"/>
      <c r="E556" s="723" t="s">
        <v>18</v>
      </c>
      <c r="F556" s="723"/>
      <c r="G556" s="567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2"/>
        <v>0</v>
      </c>
      <c r="P556" s="93">
        <f t="shared" si="243"/>
        <v>0</v>
      </c>
      <c r="Q556" s="568"/>
      <c r="R556" s="568"/>
      <c r="S556" s="568"/>
      <c r="T556" s="568"/>
      <c r="U556" s="568"/>
      <c r="V556" s="568"/>
      <c r="W556" s="568"/>
      <c r="X556" s="568"/>
      <c r="Y556" s="568"/>
      <c r="Z556" s="568"/>
    </row>
    <row r="557" spans="1:26" ht="18.75" hidden="1">
      <c r="A557" s="563"/>
      <c r="B557" s="571"/>
      <c r="C557" s="571"/>
      <c r="D557" s="723"/>
      <c r="E557" s="723" t="s">
        <v>19</v>
      </c>
      <c r="F557" s="723"/>
      <c r="G557" s="567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IFERROR(__xludf.DUMMYFUNCTION("IMPORTRANGE(""https://docs.google.com/spreadsheets/d/1QqKyyYR6Q21VydFLVH3TRQUabQu_ym0Zz7PgGX0-kHA/edit?usp=sharing"",""แผน!HF20"")"),0)</f>
        <v>0</v>
      </c>
      <c r="M557" s="93">
        <v>0</v>
      </c>
      <c r="N557" s="93">
        <v>0</v>
      </c>
      <c r="O557" s="93">
        <f t="shared" ca="1" si="242"/>
        <v>0</v>
      </c>
      <c r="P557" s="93">
        <f t="shared" si="243"/>
        <v>0</v>
      </c>
      <c r="Q557" s="568"/>
      <c r="R557" s="568"/>
      <c r="S557" s="568"/>
      <c r="T557" s="568"/>
      <c r="U557" s="568"/>
      <c r="V557" s="568"/>
      <c r="W557" s="568"/>
      <c r="X557" s="568"/>
      <c r="Y557" s="568"/>
      <c r="Z557" s="568"/>
    </row>
    <row r="558" spans="1:26" ht="19.5">
      <c r="A558" s="572"/>
      <c r="B558" s="584"/>
      <c r="C558" s="538" t="s">
        <v>16</v>
      </c>
      <c r="D558" s="853" t="s">
        <v>38</v>
      </c>
      <c r="E558" s="725"/>
      <c r="F558" s="725"/>
      <c r="G558" s="577"/>
      <c r="H558" s="726"/>
      <c r="I558" s="184"/>
      <c r="J558" s="184"/>
      <c r="K558" s="163"/>
      <c r="L558" s="163"/>
      <c r="M558" s="163"/>
      <c r="N558" s="163"/>
      <c r="O558" s="163"/>
      <c r="P558" s="163"/>
      <c r="Q558" s="541"/>
      <c r="R558" s="541"/>
      <c r="S558" s="541"/>
      <c r="T558" s="541"/>
      <c r="U558" s="541"/>
      <c r="V558" s="541"/>
      <c r="W558" s="541"/>
      <c r="X558" s="541"/>
      <c r="Y558" s="541"/>
      <c r="Z558" s="541"/>
    </row>
    <row r="559" spans="1:26" ht="19.5">
      <c r="A559" s="658"/>
      <c r="B559" s="659" t="s">
        <v>234</v>
      </c>
      <c r="C559" s="660"/>
      <c r="D559" s="660"/>
      <c r="E559" s="639"/>
      <c r="F559" s="639"/>
      <c r="G559" s="640"/>
      <c r="H559" s="661" t="s">
        <v>46</v>
      </c>
      <c r="I559" s="672">
        <f t="shared" ref="I559:J559" ca="1" si="244">I576</f>
        <v>25837</v>
      </c>
      <c r="J559" s="672">
        <f t="shared" si="244"/>
        <v>0</v>
      </c>
      <c r="K559" s="643">
        <f t="shared" ref="K559:K561" ca="1" si="245">IF(I559&gt;0,J559*100/I559,0)</f>
        <v>0</v>
      </c>
      <c r="L559" s="644"/>
      <c r="M559" s="644"/>
      <c r="N559" s="644"/>
      <c r="O559" s="644"/>
      <c r="P559" s="644"/>
      <c r="Q559" s="541"/>
      <c r="R559" s="541"/>
      <c r="S559" s="541"/>
      <c r="T559" s="541"/>
      <c r="U559" s="541"/>
      <c r="V559" s="541"/>
      <c r="W559" s="541"/>
      <c r="X559" s="541"/>
      <c r="Y559" s="541"/>
      <c r="Z559" s="541"/>
    </row>
    <row r="560" spans="1:26" ht="19.5">
      <c r="A560" s="572"/>
      <c r="B560" s="584"/>
      <c r="C560" s="591" t="s">
        <v>235</v>
      </c>
      <c r="D560" s="584"/>
      <c r="E560" s="592"/>
      <c r="F560" s="592"/>
      <c r="G560" s="726"/>
      <c r="H560" s="731" t="s">
        <v>46</v>
      </c>
      <c r="I560" s="193">
        <f ca="1">IFERROR(__xludf.DUMMYFUNCTION("IMPORTRANGE(""https://docs.google.com/spreadsheets/d/1QqKyyYR6Q21VydFLVH3TRQUabQu_ym0Zz7PgGX0-kHA/edit?usp=sharing"",""แผน!HH20"")"),25837)</f>
        <v>25837</v>
      </c>
      <c r="J560" s="193">
        <f t="shared" ref="J560:J561" si="246">J562+J564+J566</f>
        <v>0</v>
      </c>
      <c r="K560" s="379">
        <f t="shared" ca="1" si="245"/>
        <v>0</v>
      </c>
      <c r="L560" s="163"/>
      <c r="M560" s="163"/>
      <c r="N560" s="163"/>
      <c r="O560" s="163"/>
      <c r="P560" s="163"/>
      <c r="Q560" s="541"/>
      <c r="R560" s="541"/>
      <c r="S560" s="541"/>
      <c r="T560" s="541"/>
      <c r="U560" s="541"/>
      <c r="V560" s="541"/>
      <c r="W560" s="541"/>
      <c r="X560" s="541"/>
      <c r="Y560" s="541"/>
      <c r="Z560" s="541"/>
    </row>
    <row r="561" spans="1:26" ht="19.5">
      <c r="A561" s="572"/>
      <c r="B561" s="584"/>
      <c r="C561" s="584"/>
      <c r="D561" s="592"/>
      <c r="E561" s="592"/>
      <c r="F561" s="592"/>
      <c r="G561" s="726"/>
      <c r="H561" s="731" t="s">
        <v>34</v>
      </c>
      <c r="I561" s="193">
        <f ca="1">IFERROR(__xludf.DUMMYFUNCTION("IMPORTRANGE(""https://docs.google.com/spreadsheets/d/1QqKyyYR6Q21VydFLVH3TRQUabQu_ym0Zz7PgGX0-kHA/edit?usp=sharing"",""แผน!HG20"")"),4200)</f>
        <v>4200</v>
      </c>
      <c r="J561" s="193">
        <f t="shared" si="246"/>
        <v>0</v>
      </c>
      <c r="K561" s="379">
        <f t="shared" ca="1" si="245"/>
        <v>0</v>
      </c>
      <c r="L561" s="163"/>
      <c r="M561" s="163"/>
      <c r="N561" s="163"/>
      <c r="O561" s="163"/>
      <c r="P561" s="163"/>
      <c r="Q561" s="541"/>
      <c r="R561" s="541"/>
      <c r="S561" s="541"/>
      <c r="T561" s="541"/>
      <c r="U561" s="541"/>
      <c r="V561" s="541"/>
      <c r="W561" s="541"/>
      <c r="X561" s="541"/>
      <c r="Y561" s="541"/>
      <c r="Z561" s="541"/>
    </row>
    <row r="562" spans="1:26" ht="18.75">
      <c r="A562" s="572"/>
      <c r="B562" s="584"/>
      <c r="C562" s="584"/>
      <c r="D562" s="592" t="s">
        <v>236</v>
      </c>
      <c r="E562" s="592"/>
      <c r="F562" s="592"/>
      <c r="G562" s="726"/>
      <c r="H562" s="728" t="s">
        <v>46</v>
      </c>
      <c r="I562" s="184"/>
      <c r="J562" s="214">
        <v>0</v>
      </c>
      <c r="K562" s="163"/>
      <c r="L562" s="163"/>
      <c r="M562" s="163"/>
      <c r="N562" s="163"/>
      <c r="O562" s="163"/>
      <c r="P562" s="163"/>
      <c r="Q562" s="541"/>
      <c r="R562" s="541"/>
      <c r="S562" s="541"/>
      <c r="T562" s="541"/>
      <c r="U562" s="541"/>
      <c r="V562" s="541"/>
      <c r="W562" s="541"/>
      <c r="X562" s="541"/>
      <c r="Y562" s="541"/>
      <c r="Z562" s="541"/>
    </row>
    <row r="563" spans="1:26" ht="18.75">
      <c r="A563" s="572"/>
      <c r="B563" s="584"/>
      <c r="C563" s="584"/>
      <c r="D563" s="584"/>
      <c r="E563" s="592"/>
      <c r="F563" s="592"/>
      <c r="G563" s="726"/>
      <c r="H563" s="728" t="s">
        <v>34</v>
      </c>
      <c r="I563" s="184"/>
      <c r="J563" s="214">
        <v>0</v>
      </c>
      <c r="K563" s="163"/>
      <c r="L563" s="163"/>
      <c r="M563" s="163"/>
      <c r="N563" s="163"/>
      <c r="O563" s="163"/>
      <c r="P563" s="163"/>
      <c r="Q563" s="541"/>
      <c r="R563" s="541"/>
      <c r="S563" s="541"/>
      <c r="T563" s="541"/>
      <c r="U563" s="541"/>
      <c r="V563" s="541"/>
      <c r="W563" s="541"/>
      <c r="X563" s="541"/>
      <c r="Y563" s="541"/>
      <c r="Z563" s="541"/>
    </row>
    <row r="564" spans="1:26" ht="18.75">
      <c r="A564" s="572"/>
      <c r="B564" s="584"/>
      <c r="C564" s="584"/>
      <c r="D564" s="592" t="s">
        <v>237</v>
      </c>
      <c r="E564" s="592"/>
      <c r="F564" s="592"/>
      <c r="G564" s="726"/>
      <c r="H564" s="728" t="s">
        <v>46</v>
      </c>
      <c r="I564" s="184"/>
      <c r="J564" s="214">
        <v>0</v>
      </c>
      <c r="K564" s="163"/>
      <c r="L564" s="163"/>
      <c r="M564" s="163"/>
      <c r="N564" s="163"/>
      <c r="O564" s="163"/>
      <c r="P564" s="163"/>
      <c r="Q564" s="541"/>
      <c r="R564" s="541"/>
      <c r="S564" s="541"/>
      <c r="T564" s="541"/>
      <c r="U564" s="541"/>
      <c r="V564" s="541"/>
      <c r="W564" s="541"/>
      <c r="X564" s="541"/>
      <c r="Y564" s="541"/>
      <c r="Z564" s="541"/>
    </row>
    <row r="565" spans="1:26" ht="18.75">
      <c r="A565" s="572"/>
      <c r="B565" s="584"/>
      <c r="C565" s="584"/>
      <c r="D565" s="592"/>
      <c r="E565" s="592"/>
      <c r="F565" s="592"/>
      <c r="G565" s="726"/>
      <c r="H565" s="728" t="s">
        <v>34</v>
      </c>
      <c r="I565" s="184"/>
      <c r="J565" s="214">
        <v>0</v>
      </c>
      <c r="K565" s="163"/>
      <c r="L565" s="163"/>
      <c r="M565" s="163"/>
      <c r="N565" s="163"/>
      <c r="O565" s="163"/>
      <c r="P565" s="163"/>
      <c r="Q565" s="541"/>
      <c r="R565" s="541"/>
      <c r="S565" s="541"/>
      <c r="T565" s="541"/>
      <c r="U565" s="541"/>
      <c r="V565" s="541"/>
      <c r="W565" s="541"/>
      <c r="X565" s="541"/>
      <c r="Y565" s="541"/>
      <c r="Z565" s="541"/>
    </row>
    <row r="566" spans="1:26" ht="18.75">
      <c r="A566" s="572"/>
      <c r="B566" s="584"/>
      <c r="C566" s="584"/>
      <c r="D566" s="592" t="s">
        <v>238</v>
      </c>
      <c r="E566" s="592"/>
      <c r="F566" s="592"/>
      <c r="G566" s="726"/>
      <c r="H566" s="728" t="s">
        <v>46</v>
      </c>
      <c r="I566" s="184"/>
      <c r="J566" s="214">
        <v>0</v>
      </c>
      <c r="K566" s="163"/>
      <c r="L566" s="163"/>
      <c r="M566" s="163"/>
      <c r="N566" s="163"/>
      <c r="O566" s="163"/>
      <c r="P566" s="163"/>
      <c r="Q566" s="541"/>
      <c r="R566" s="541"/>
      <c r="S566" s="541"/>
      <c r="T566" s="541"/>
      <c r="U566" s="541"/>
      <c r="V566" s="541"/>
      <c r="W566" s="541"/>
      <c r="X566" s="541"/>
      <c r="Y566" s="541"/>
      <c r="Z566" s="541"/>
    </row>
    <row r="567" spans="1:26" ht="18.75">
      <c r="A567" s="572"/>
      <c r="B567" s="584"/>
      <c r="C567" s="584"/>
      <c r="D567" s="592"/>
      <c r="E567" s="592"/>
      <c r="F567" s="592"/>
      <c r="G567" s="726"/>
      <c r="H567" s="728" t="s">
        <v>34</v>
      </c>
      <c r="I567" s="184"/>
      <c r="J567" s="214">
        <v>0</v>
      </c>
      <c r="K567" s="163"/>
      <c r="L567" s="163"/>
      <c r="M567" s="163"/>
      <c r="N567" s="163"/>
      <c r="O567" s="163"/>
      <c r="P567" s="163"/>
      <c r="Q567" s="541"/>
      <c r="R567" s="541"/>
      <c r="S567" s="541"/>
      <c r="T567" s="541"/>
      <c r="U567" s="541"/>
      <c r="V567" s="541"/>
      <c r="W567" s="541"/>
      <c r="X567" s="541"/>
      <c r="Y567" s="541"/>
      <c r="Z567" s="541"/>
    </row>
    <row r="568" spans="1:26" ht="19.5">
      <c r="A568" s="572"/>
      <c r="B568" s="584"/>
      <c r="C568" s="591" t="s">
        <v>239</v>
      </c>
      <c r="D568" s="592"/>
      <c r="E568" s="592"/>
      <c r="F568" s="592"/>
      <c r="G568" s="726"/>
      <c r="H568" s="731" t="s">
        <v>46</v>
      </c>
      <c r="I568" s="193">
        <f ca="1">IFERROR(__xludf.DUMMYFUNCTION("IMPORTRANGE(""https://docs.google.com/spreadsheets/d/1QqKyyYR6Q21VydFLVH3TRQUabQu_ym0Zz7PgGX0-kHA/edit?usp=sharing"",""แผน!HH20"")"),25837)</f>
        <v>25837</v>
      </c>
      <c r="J568" s="647">
        <f t="shared" ref="J568:J569" si="247">J570+J572+J574</f>
        <v>0</v>
      </c>
      <c r="K568" s="379">
        <f t="shared" ref="K568:K569" ca="1" si="248">IF(I568&gt;0,J568*100/I568,0)</f>
        <v>0</v>
      </c>
      <c r="L568" s="163"/>
      <c r="M568" s="163"/>
      <c r="N568" s="163"/>
      <c r="O568" s="163"/>
      <c r="P568" s="163"/>
      <c r="Q568" s="541"/>
      <c r="R568" s="541"/>
      <c r="S568" s="541"/>
      <c r="T568" s="541"/>
      <c r="U568" s="541"/>
      <c r="V568" s="541"/>
      <c r="W568" s="541"/>
      <c r="X568" s="541"/>
      <c r="Y568" s="541"/>
      <c r="Z568" s="541"/>
    </row>
    <row r="569" spans="1:26" ht="19.5">
      <c r="A569" s="572"/>
      <c r="B569" s="584"/>
      <c r="C569" s="584"/>
      <c r="D569" s="584"/>
      <c r="E569" s="592"/>
      <c r="F569" s="592"/>
      <c r="G569" s="726"/>
      <c r="H569" s="731" t="s">
        <v>34</v>
      </c>
      <c r="I569" s="193">
        <f ca="1">IFERROR(__xludf.DUMMYFUNCTION("IMPORTRANGE(""https://docs.google.com/spreadsheets/d/1QqKyyYR6Q21VydFLVH3TRQUabQu_ym0Zz7PgGX0-kHA/edit?usp=sharing"",""แผน!HG20"")"),4200)</f>
        <v>4200</v>
      </c>
      <c r="J569" s="647">
        <f t="shared" si="247"/>
        <v>0</v>
      </c>
      <c r="K569" s="379">
        <f t="shared" ca="1" si="248"/>
        <v>0</v>
      </c>
      <c r="L569" s="163"/>
      <c r="M569" s="163"/>
      <c r="N569" s="163"/>
      <c r="O569" s="163"/>
      <c r="P569" s="163"/>
      <c r="Q569" s="541"/>
      <c r="R569" s="541"/>
      <c r="S569" s="541"/>
      <c r="T569" s="541"/>
      <c r="U569" s="541"/>
      <c r="V569" s="541"/>
      <c r="W569" s="541"/>
      <c r="X569" s="541"/>
      <c r="Y569" s="541"/>
      <c r="Z569" s="541"/>
    </row>
    <row r="570" spans="1:26" ht="18.75">
      <c r="A570" s="572"/>
      <c r="B570" s="584"/>
      <c r="C570" s="584"/>
      <c r="D570" s="592" t="s">
        <v>240</v>
      </c>
      <c r="E570" s="584"/>
      <c r="F570" s="592"/>
      <c r="G570" s="726"/>
      <c r="H570" s="728" t="s">
        <v>46</v>
      </c>
      <c r="I570" s="184"/>
      <c r="J570" s="214">
        <v>0</v>
      </c>
      <c r="K570" s="163"/>
      <c r="L570" s="163"/>
      <c r="M570" s="163"/>
      <c r="N570" s="163"/>
      <c r="O570" s="163"/>
      <c r="P570" s="163"/>
      <c r="Q570" s="541"/>
      <c r="R570" s="541"/>
      <c r="S570" s="541"/>
      <c r="T570" s="541"/>
      <c r="U570" s="541"/>
      <c r="V570" s="541"/>
      <c r="W570" s="541"/>
      <c r="X570" s="541"/>
      <c r="Y570" s="541"/>
      <c r="Z570" s="541"/>
    </row>
    <row r="571" spans="1:26" ht="18.75">
      <c r="A571" s="572"/>
      <c r="B571" s="584"/>
      <c r="C571" s="584"/>
      <c r="D571" s="584"/>
      <c r="E571" s="592"/>
      <c r="F571" s="592"/>
      <c r="G571" s="726"/>
      <c r="H571" s="728" t="s">
        <v>34</v>
      </c>
      <c r="I571" s="184"/>
      <c r="J571" s="214">
        <v>0</v>
      </c>
      <c r="K571" s="163"/>
      <c r="L571" s="163"/>
      <c r="M571" s="163"/>
      <c r="N571" s="163"/>
      <c r="O571" s="163"/>
      <c r="P571" s="163"/>
      <c r="Q571" s="541"/>
      <c r="R571" s="541"/>
      <c r="S571" s="541"/>
      <c r="T571" s="541"/>
      <c r="U571" s="541"/>
      <c r="V571" s="541"/>
      <c r="W571" s="541"/>
      <c r="X571" s="541"/>
      <c r="Y571" s="541"/>
      <c r="Z571" s="541"/>
    </row>
    <row r="572" spans="1:26" ht="18.75">
      <c r="A572" s="572"/>
      <c r="B572" s="584"/>
      <c r="C572" s="584"/>
      <c r="D572" s="592" t="s">
        <v>241</v>
      </c>
      <c r="E572" s="592"/>
      <c r="F572" s="592"/>
      <c r="G572" s="726"/>
      <c r="H572" s="728" t="s">
        <v>46</v>
      </c>
      <c r="I572" s="184"/>
      <c r="J572" s="214">
        <v>0</v>
      </c>
      <c r="K572" s="163"/>
      <c r="L572" s="163"/>
      <c r="M572" s="163"/>
      <c r="N572" s="163"/>
      <c r="O572" s="163"/>
      <c r="P572" s="163"/>
      <c r="Q572" s="541"/>
      <c r="R572" s="541"/>
      <c r="S572" s="541"/>
      <c r="T572" s="541"/>
      <c r="U572" s="541"/>
      <c r="V572" s="541"/>
      <c r="W572" s="541"/>
      <c r="X572" s="541"/>
      <c r="Y572" s="541"/>
      <c r="Z572" s="541"/>
    </row>
    <row r="573" spans="1:26" ht="18.75">
      <c r="A573" s="572"/>
      <c r="B573" s="584"/>
      <c r="C573" s="584"/>
      <c r="D573" s="592"/>
      <c r="E573" s="592"/>
      <c r="F573" s="592"/>
      <c r="G573" s="726"/>
      <c r="H573" s="728" t="s">
        <v>34</v>
      </c>
      <c r="I573" s="184"/>
      <c r="J573" s="214">
        <v>0</v>
      </c>
      <c r="K573" s="163"/>
      <c r="L573" s="163"/>
      <c r="M573" s="163"/>
      <c r="N573" s="163"/>
      <c r="O573" s="163"/>
      <c r="P573" s="163"/>
      <c r="Q573" s="541"/>
      <c r="R573" s="541"/>
      <c r="S573" s="541"/>
      <c r="T573" s="541"/>
      <c r="U573" s="541"/>
      <c r="V573" s="541"/>
      <c r="W573" s="541"/>
      <c r="X573" s="541"/>
      <c r="Y573" s="541"/>
      <c r="Z573" s="541"/>
    </row>
    <row r="574" spans="1:26" ht="18.75">
      <c r="A574" s="572"/>
      <c r="B574" s="584"/>
      <c r="C574" s="584"/>
      <c r="D574" s="592" t="s">
        <v>242</v>
      </c>
      <c r="E574" s="592"/>
      <c r="F574" s="592"/>
      <c r="G574" s="726"/>
      <c r="H574" s="728" t="s">
        <v>46</v>
      </c>
      <c r="I574" s="184"/>
      <c r="J574" s="214">
        <v>0</v>
      </c>
      <c r="K574" s="163"/>
      <c r="L574" s="163"/>
      <c r="M574" s="163"/>
      <c r="N574" s="163"/>
      <c r="O574" s="163"/>
      <c r="P574" s="163"/>
      <c r="Q574" s="541"/>
      <c r="R574" s="541"/>
      <c r="S574" s="541"/>
      <c r="T574" s="541"/>
      <c r="U574" s="541"/>
      <c r="V574" s="541"/>
      <c r="W574" s="541"/>
      <c r="X574" s="541"/>
      <c r="Y574" s="541"/>
      <c r="Z574" s="541"/>
    </row>
    <row r="575" spans="1:26" ht="18.75">
      <c r="A575" s="572"/>
      <c r="B575" s="584"/>
      <c r="C575" s="584"/>
      <c r="D575" s="584"/>
      <c r="E575" s="592"/>
      <c r="F575" s="592"/>
      <c r="G575" s="726"/>
      <c r="H575" s="728" t="s">
        <v>34</v>
      </c>
      <c r="I575" s="184"/>
      <c r="J575" s="214">
        <v>0</v>
      </c>
      <c r="K575" s="163"/>
      <c r="L575" s="163"/>
      <c r="M575" s="163"/>
      <c r="N575" s="163"/>
      <c r="O575" s="163"/>
      <c r="P575" s="163"/>
      <c r="Q575" s="541"/>
      <c r="R575" s="541"/>
      <c r="S575" s="541"/>
      <c r="T575" s="541"/>
      <c r="U575" s="541"/>
      <c r="V575" s="541"/>
      <c r="W575" s="541"/>
      <c r="X575" s="541"/>
      <c r="Y575" s="541"/>
      <c r="Z575" s="541"/>
    </row>
    <row r="576" spans="1:26" ht="19.5">
      <c r="A576" s="572"/>
      <c r="B576" s="584"/>
      <c r="C576" s="591" t="s">
        <v>243</v>
      </c>
      <c r="D576" s="584"/>
      <c r="E576" s="584"/>
      <c r="F576" s="592"/>
      <c r="G576" s="726"/>
      <c r="H576" s="731" t="s">
        <v>46</v>
      </c>
      <c r="I576" s="193">
        <f ca="1">IFERROR(__xludf.DUMMYFUNCTION("IMPORTRANGE(""https://docs.google.com/spreadsheets/d/1QqKyyYR6Q21VydFLVH3TRQUabQu_ym0Zz7PgGX0-kHA/edit?usp=sharing"",""แผน!HH20"")"),25837)</f>
        <v>25837</v>
      </c>
      <c r="J576" s="647">
        <f t="shared" ref="J576:J577" si="249">J578+J580+J582+J588+J590</f>
        <v>0</v>
      </c>
      <c r="K576" s="379">
        <f t="shared" ref="K576:K577" ca="1" si="250">IF(I576&gt;0,J576*100/I576,0)</f>
        <v>0</v>
      </c>
      <c r="L576" s="163"/>
      <c r="M576" s="163"/>
      <c r="N576" s="163"/>
      <c r="O576" s="163"/>
      <c r="P576" s="163"/>
      <c r="Q576" s="541"/>
      <c r="R576" s="541"/>
      <c r="S576" s="541"/>
      <c r="T576" s="541"/>
      <c r="U576" s="541"/>
      <c r="V576" s="541"/>
      <c r="W576" s="541"/>
      <c r="X576" s="541"/>
      <c r="Y576" s="541"/>
      <c r="Z576" s="541"/>
    </row>
    <row r="577" spans="1:26" ht="19.5">
      <c r="A577" s="572"/>
      <c r="B577" s="584"/>
      <c r="C577" s="584"/>
      <c r="D577" s="584"/>
      <c r="E577" s="592"/>
      <c r="F577" s="592"/>
      <c r="G577" s="726"/>
      <c r="H577" s="731" t="s">
        <v>34</v>
      </c>
      <c r="I577" s="193">
        <f ca="1">IFERROR(__xludf.DUMMYFUNCTION("IMPORTRANGE(""https://docs.google.com/spreadsheets/d/1QqKyyYR6Q21VydFLVH3TRQUabQu_ym0Zz7PgGX0-kHA/edit?usp=sharing"",""แผน!HG20"")"),4200)</f>
        <v>4200</v>
      </c>
      <c r="J577" s="647">
        <f t="shared" si="249"/>
        <v>0</v>
      </c>
      <c r="K577" s="379">
        <f t="shared" ca="1" si="250"/>
        <v>0</v>
      </c>
      <c r="L577" s="163"/>
      <c r="M577" s="163"/>
      <c r="N577" s="163"/>
      <c r="O577" s="163"/>
      <c r="P577" s="163"/>
      <c r="Q577" s="541"/>
      <c r="R577" s="541"/>
      <c r="S577" s="541"/>
      <c r="T577" s="541"/>
      <c r="U577" s="541"/>
      <c r="V577" s="541"/>
      <c r="W577" s="541"/>
      <c r="X577" s="541"/>
      <c r="Y577" s="541"/>
      <c r="Z577" s="541"/>
    </row>
    <row r="578" spans="1:26" ht="18.75">
      <c r="A578" s="572"/>
      <c r="B578" s="584"/>
      <c r="C578" s="584"/>
      <c r="D578" s="592" t="s">
        <v>244</v>
      </c>
      <c r="E578" s="592"/>
      <c r="F578" s="592"/>
      <c r="G578" s="726"/>
      <c r="H578" s="728" t="s">
        <v>46</v>
      </c>
      <c r="I578" s="184"/>
      <c r="J578" s="214">
        <v>0</v>
      </c>
      <c r="K578" s="163"/>
      <c r="L578" s="163"/>
      <c r="M578" s="163"/>
      <c r="N578" s="163"/>
      <c r="O578" s="163"/>
      <c r="P578" s="163"/>
      <c r="Q578" s="541"/>
      <c r="R578" s="541"/>
      <c r="S578" s="541"/>
      <c r="T578" s="541"/>
      <c r="U578" s="541"/>
      <c r="V578" s="541"/>
      <c r="W578" s="541"/>
      <c r="X578" s="541"/>
      <c r="Y578" s="541"/>
      <c r="Z578" s="541"/>
    </row>
    <row r="579" spans="1:26" ht="18.75">
      <c r="A579" s="572"/>
      <c r="B579" s="584"/>
      <c r="C579" s="584"/>
      <c r="D579" s="584"/>
      <c r="E579" s="592"/>
      <c r="F579" s="592"/>
      <c r="G579" s="726"/>
      <c r="H579" s="728" t="s">
        <v>34</v>
      </c>
      <c r="I579" s="184"/>
      <c r="J579" s="214">
        <v>0</v>
      </c>
      <c r="K579" s="163"/>
      <c r="L579" s="163"/>
      <c r="M579" s="163"/>
      <c r="N579" s="163"/>
      <c r="O579" s="163"/>
      <c r="P579" s="163"/>
      <c r="Q579" s="541"/>
      <c r="R579" s="541"/>
      <c r="S579" s="541"/>
      <c r="T579" s="541"/>
      <c r="U579" s="541"/>
      <c r="V579" s="541"/>
      <c r="W579" s="541"/>
      <c r="X579" s="541"/>
      <c r="Y579" s="541"/>
      <c r="Z579" s="541"/>
    </row>
    <row r="580" spans="1:26" ht="18.75">
      <c r="A580" s="572"/>
      <c r="B580" s="584"/>
      <c r="C580" s="584"/>
      <c r="D580" s="592" t="s">
        <v>245</v>
      </c>
      <c r="E580" s="592"/>
      <c r="F580" s="592"/>
      <c r="G580" s="726"/>
      <c r="H580" s="728" t="s">
        <v>46</v>
      </c>
      <c r="I580" s="184"/>
      <c r="J580" s="214">
        <v>0</v>
      </c>
      <c r="K580" s="163"/>
      <c r="L580" s="163"/>
      <c r="M580" s="163"/>
      <c r="N580" s="163"/>
      <c r="O580" s="163"/>
      <c r="P580" s="163"/>
      <c r="Q580" s="541"/>
      <c r="R580" s="541"/>
      <c r="S580" s="541"/>
      <c r="T580" s="541"/>
      <c r="U580" s="541"/>
      <c r="V580" s="541"/>
      <c r="W580" s="541"/>
      <c r="X580" s="541"/>
      <c r="Y580" s="541"/>
      <c r="Z580" s="541"/>
    </row>
    <row r="581" spans="1:26" ht="18.75">
      <c r="A581" s="572"/>
      <c r="B581" s="584"/>
      <c r="C581" s="584"/>
      <c r="D581" s="584"/>
      <c r="E581" s="592"/>
      <c r="F581" s="592"/>
      <c r="G581" s="726"/>
      <c r="H581" s="728" t="s">
        <v>34</v>
      </c>
      <c r="I581" s="184"/>
      <c r="J581" s="214">
        <v>0</v>
      </c>
      <c r="K581" s="163"/>
      <c r="L581" s="163"/>
      <c r="M581" s="163"/>
      <c r="N581" s="163"/>
      <c r="O581" s="163"/>
      <c r="P581" s="163"/>
      <c r="Q581" s="541"/>
      <c r="R581" s="541"/>
      <c r="S581" s="541"/>
      <c r="T581" s="541"/>
      <c r="U581" s="541"/>
      <c r="V581" s="541"/>
      <c r="W581" s="541"/>
      <c r="X581" s="541"/>
      <c r="Y581" s="541"/>
      <c r="Z581" s="541"/>
    </row>
    <row r="582" spans="1:26" ht="19.5">
      <c r="A582" s="572"/>
      <c r="B582" s="584"/>
      <c r="C582" s="584"/>
      <c r="D582" s="592" t="s">
        <v>246</v>
      </c>
      <c r="E582" s="592"/>
      <c r="F582" s="592"/>
      <c r="G582" s="726"/>
      <c r="H582" s="728" t="s">
        <v>46</v>
      </c>
      <c r="I582" s="184"/>
      <c r="J582" s="647">
        <f t="shared" ref="J582:J583" si="251">J584+J586</f>
        <v>0</v>
      </c>
      <c r="K582" s="379"/>
      <c r="L582" s="163"/>
      <c r="M582" s="163"/>
      <c r="N582" s="163"/>
      <c r="O582" s="163"/>
      <c r="P582" s="163"/>
      <c r="Q582" s="541"/>
      <c r="R582" s="541"/>
      <c r="S582" s="541"/>
      <c r="T582" s="541"/>
      <c r="U582" s="541"/>
      <c r="V582" s="541"/>
      <c r="W582" s="541"/>
      <c r="X582" s="541"/>
      <c r="Y582" s="541"/>
      <c r="Z582" s="541"/>
    </row>
    <row r="583" spans="1:26" ht="19.5">
      <c r="A583" s="572"/>
      <c r="B583" s="584"/>
      <c r="C583" s="584"/>
      <c r="D583" s="584"/>
      <c r="E583" s="592"/>
      <c r="F583" s="592"/>
      <c r="G583" s="726"/>
      <c r="H583" s="728" t="s">
        <v>34</v>
      </c>
      <c r="I583" s="184"/>
      <c r="J583" s="647">
        <f t="shared" si="251"/>
        <v>0</v>
      </c>
      <c r="K583" s="379"/>
      <c r="L583" s="163"/>
      <c r="M583" s="163"/>
      <c r="N583" s="163"/>
      <c r="O583" s="163"/>
      <c r="P583" s="163"/>
      <c r="Q583" s="541"/>
      <c r="R583" s="541"/>
      <c r="S583" s="541"/>
      <c r="T583" s="541"/>
      <c r="U583" s="541"/>
      <c r="V583" s="541"/>
      <c r="W583" s="541"/>
      <c r="X583" s="541"/>
      <c r="Y583" s="541"/>
      <c r="Z583" s="541"/>
    </row>
    <row r="584" spans="1:26" ht="18.75">
      <c r="A584" s="572"/>
      <c r="B584" s="584"/>
      <c r="C584" s="584"/>
      <c r="D584" s="584"/>
      <c r="E584" s="592" t="s">
        <v>247</v>
      </c>
      <c r="F584" s="592"/>
      <c r="G584" s="726"/>
      <c r="H584" s="728" t="s">
        <v>46</v>
      </c>
      <c r="I584" s="184"/>
      <c r="J584" s="214">
        <v>0</v>
      </c>
      <c r="K584" s="163"/>
      <c r="L584" s="163"/>
      <c r="M584" s="163"/>
      <c r="N584" s="163"/>
      <c r="O584" s="163"/>
      <c r="P584" s="163"/>
      <c r="Q584" s="541"/>
      <c r="R584" s="541"/>
      <c r="S584" s="541"/>
      <c r="T584" s="541"/>
      <c r="U584" s="541"/>
      <c r="V584" s="541"/>
      <c r="W584" s="541"/>
      <c r="X584" s="541"/>
      <c r="Y584" s="541"/>
      <c r="Z584" s="541"/>
    </row>
    <row r="585" spans="1:26" ht="18.75">
      <c r="A585" s="572"/>
      <c r="B585" s="584"/>
      <c r="C585" s="584"/>
      <c r="D585" s="584"/>
      <c r="E585" s="592"/>
      <c r="F585" s="592"/>
      <c r="G585" s="726"/>
      <c r="H585" s="728" t="s">
        <v>34</v>
      </c>
      <c r="I585" s="184"/>
      <c r="J585" s="214">
        <v>0</v>
      </c>
      <c r="K585" s="163"/>
      <c r="L585" s="163"/>
      <c r="M585" s="163"/>
      <c r="N585" s="163"/>
      <c r="O585" s="163"/>
      <c r="P585" s="163"/>
      <c r="Q585" s="541"/>
      <c r="R585" s="541"/>
      <c r="S585" s="541"/>
      <c r="T585" s="541"/>
      <c r="U585" s="541"/>
      <c r="V585" s="541"/>
      <c r="W585" s="541"/>
      <c r="X585" s="541"/>
      <c r="Y585" s="541"/>
      <c r="Z585" s="541"/>
    </row>
    <row r="586" spans="1:26" ht="18.75">
      <c r="A586" s="572"/>
      <c r="B586" s="584"/>
      <c r="C586" s="584"/>
      <c r="D586" s="584"/>
      <c r="E586" s="592" t="s">
        <v>248</v>
      </c>
      <c r="F586" s="592"/>
      <c r="G586" s="726"/>
      <c r="H586" s="728" t="s">
        <v>46</v>
      </c>
      <c r="I586" s="184"/>
      <c r="J586" s="214">
        <v>0</v>
      </c>
      <c r="K586" s="163"/>
      <c r="L586" s="163"/>
      <c r="M586" s="163"/>
      <c r="N586" s="163"/>
      <c r="O586" s="163"/>
      <c r="P586" s="163"/>
      <c r="Q586" s="541"/>
      <c r="R586" s="541"/>
      <c r="S586" s="541"/>
      <c r="T586" s="541"/>
      <c r="U586" s="541"/>
      <c r="V586" s="541"/>
      <c r="W586" s="541"/>
      <c r="X586" s="541"/>
      <c r="Y586" s="541"/>
      <c r="Z586" s="541"/>
    </row>
    <row r="587" spans="1:26" ht="18.75">
      <c r="A587" s="572"/>
      <c r="B587" s="584"/>
      <c r="C587" s="584"/>
      <c r="D587" s="584"/>
      <c r="E587" s="584"/>
      <c r="F587" s="592"/>
      <c r="G587" s="726"/>
      <c r="H587" s="728" t="s">
        <v>34</v>
      </c>
      <c r="I587" s="184"/>
      <c r="J587" s="214">
        <v>0</v>
      </c>
      <c r="K587" s="163"/>
      <c r="L587" s="163"/>
      <c r="M587" s="163"/>
      <c r="N587" s="163"/>
      <c r="O587" s="163"/>
      <c r="P587" s="163"/>
      <c r="Q587" s="541"/>
      <c r="R587" s="541"/>
      <c r="S587" s="541"/>
      <c r="T587" s="541"/>
      <c r="U587" s="541"/>
      <c r="V587" s="541"/>
      <c r="W587" s="541"/>
      <c r="X587" s="541"/>
      <c r="Y587" s="541"/>
      <c r="Z587" s="541"/>
    </row>
    <row r="588" spans="1:26" ht="18.75">
      <c r="A588" s="572"/>
      <c r="B588" s="584"/>
      <c r="C588" s="584"/>
      <c r="D588" s="592" t="s">
        <v>249</v>
      </c>
      <c r="E588" s="592"/>
      <c r="F588" s="592"/>
      <c r="G588" s="726"/>
      <c r="H588" s="728" t="s">
        <v>46</v>
      </c>
      <c r="I588" s="184"/>
      <c r="J588" s="214">
        <v>0</v>
      </c>
      <c r="K588" s="163"/>
      <c r="L588" s="163"/>
      <c r="M588" s="163"/>
      <c r="N588" s="163"/>
      <c r="O588" s="163"/>
      <c r="P588" s="163"/>
      <c r="Q588" s="541"/>
      <c r="R588" s="541"/>
      <c r="S588" s="541"/>
      <c r="T588" s="541"/>
      <c r="U588" s="541"/>
      <c r="V588" s="541"/>
      <c r="W588" s="541"/>
      <c r="X588" s="541"/>
      <c r="Y588" s="541"/>
      <c r="Z588" s="541"/>
    </row>
    <row r="589" spans="1:26" ht="18.75">
      <c r="A589" s="572"/>
      <c r="B589" s="584"/>
      <c r="C589" s="584"/>
      <c r="D589" s="584"/>
      <c r="E589" s="584"/>
      <c r="F589" s="592"/>
      <c r="G589" s="726"/>
      <c r="H589" s="728" t="s">
        <v>34</v>
      </c>
      <c r="I589" s="184"/>
      <c r="J589" s="214">
        <v>0</v>
      </c>
      <c r="K589" s="163"/>
      <c r="L589" s="163"/>
      <c r="M589" s="163"/>
      <c r="N589" s="163"/>
      <c r="O589" s="163"/>
      <c r="P589" s="163"/>
      <c r="Q589" s="541"/>
      <c r="R589" s="541"/>
      <c r="S589" s="541"/>
      <c r="T589" s="541"/>
      <c r="U589" s="541"/>
      <c r="V589" s="541"/>
      <c r="W589" s="541"/>
      <c r="X589" s="541"/>
      <c r="Y589" s="541"/>
      <c r="Z589" s="541"/>
    </row>
    <row r="590" spans="1:26" ht="18.75">
      <c r="A590" s="572"/>
      <c r="B590" s="584"/>
      <c r="C590" s="584"/>
      <c r="D590" s="592" t="s">
        <v>250</v>
      </c>
      <c r="E590" s="592"/>
      <c r="F590" s="592"/>
      <c r="G590" s="726"/>
      <c r="H590" s="728" t="s">
        <v>46</v>
      </c>
      <c r="I590" s="184"/>
      <c r="J590" s="214">
        <v>0</v>
      </c>
      <c r="K590" s="163"/>
      <c r="L590" s="163"/>
      <c r="M590" s="163"/>
      <c r="N590" s="163"/>
      <c r="O590" s="163"/>
      <c r="P590" s="163"/>
      <c r="Q590" s="541"/>
      <c r="R590" s="541"/>
      <c r="S590" s="541"/>
      <c r="T590" s="541"/>
      <c r="U590" s="541"/>
      <c r="V590" s="541"/>
      <c r="W590" s="541"/>
      <c r="X590" s="541"/>
      <c r="Y590" s="541"/>
      <c r="Z590" s="541"/>
    </row>
    <row r="591" spans="1:26" ht="18.75">
      <c r="A591" s="662"/>
      <c r="B591" s="663"/>
      <c r="C591" s="663"/>
      <c r="D591" s="663"/>
      <c r="E591" s="541"/>
      <c r="F591" s="541"/>
      <c r="G591" s="664"/>
      <c r="H591" s="665" t="s">
        <v>34</v>
      </c>
      <c r="I591" s="666"/>
      <c r="J591" s="667">
        <v>0</v>
      </c>
      <c r="K591" s="668"/>
      <c r="L591" s="668"/>
      <c r="M591" s="668"/>
      <c r="N591" s="668"/>
      <c r="O591" s="668"/>
      <c r="P591" s="668"/>
      <c r="Q591" s="541"/>
      <c r="R591" s="541"/>
      <c r="S591" s="541"/>
      <c r="T591" s="541"/>
      <c r="U591" s="541"/>
      <c r="V591" s="541"/>
      <c r="W591" s="541"/>
      <c r="X591" s="541"/>
      <c r="Y591" s="541"/>
      <c r="Z591" s="541"/>
    </row>
    <row r="592" spans="1:26" ht="19.5" hidden="1">
      <c r="A592" s="658"/>
      <c r="B592" s="659" t="s">
        <v>251</v>
      </c>
      <c r="C592" s="660"/>
      <c r="D592" s="660"/>
      <c r="E592" s="639"/>
      <c r="F592" s="639"/>
      <c r="G592" s="640"/>
      <c r="H592" s="661" t="s">
        <v>46</v>
      </c>
      <c r="I592" s="672">
        <f t="shared" ref="I592:J592" ca="1" si="252">I593</f>
        <v>0</v>
      </c>
      <c r="J592" s="672">
        <f t="shared" si="252"/>
        <v>0</v>
      </c>
      <c r="K592" s="643">
        <f t="shared" ref="K592:K594" ca="1" si="253">IF(I592&gt;0,J592*100/I592,0)</f>
        <v>0</v>
      </c>
      <c r="L592" s="644"/>
      <c r="M592" s="644"/>
      <c r="N592" s="644"/>
      <c r="O592" s="644"/>
      <c r="P592" s="644"/>
      <c r="Q592" s="541"/>
      <c r="R592" s="541"/>
      <c r="S592" s="541"/>
      <c r="T592" s="541"/>
      <c r="U592" s="541"/>
      <c r="V592" s="541"/>
      <c r="W592" s="541"/>
      <c r="X592" s="541"/>
      <c r="Y592" s="541"/>
      <c r="Z592" s="541"/>
    </row>
    <row r="593" spans="1:26" ht="19.5" hidden="1">
      <c r="A593" s="572"/>
      <c r="B593" s="584"/>
      <c r="C593" s="591" t="s">
        <v>252</v>
      </c>
      <c r="D593" s="584"/>
      <c r="E593" s="584"/>
      <c r="F593" s="592"/>
      <c r="G593" s="726"/>
      <c r="H593" s="731" t="s">
        <v>46</v>
      </c>
      <c r="I593" s="193">
        <f ca="1">IFERROR(__xludf.DUMMYFUNCTION("IMPORTRANGE(""https://docs.google.com/spreadsheets/d/1QqKyyYR6Q21VydFLVH3TRQUabQu_ym0Zz7PgGX0-kHA/edit?usp=sharing"",""แผน!HJ20"")"),0)</f>
        <v>0</v>
      </c>
      <c r="J593" s="193">
        <f t="shared" ref="J593:J594" si="254">J595+J603+J609</f>
        <v>0</v>
      </c>
      <c r="K593" s="379">
        <f t="shared" ca="1" si="253"/>
        <v>0</v>
      </c>
      <c r="L593" s="163"/>
      <c r="M593" s="163"/>
      <c r="N593" s="163"/>
      <c r="O593" s="163"/>
      <c r="P593" s="163"/>
      <c r="Q593" s="541"/>
      <c r="R593" s="541"/>
      <c r="S593" s="541"/>
      <c r="T593" s="541"/>
      <c r="U593" s="541"/>
      <c r="V593" s="541"/>
      <c r="W593" s="541"/>
      <c r="X593" s="541"/>
      <c r="Y593" s="541"/>
      <c r="Z593" s="541"/>
    </row>
    <row r="594" spans="1:26" ht="19.5" hidden="1">
      <c r="A594" s="572"/>
      <c r="B594" s="584"/>
      <c r="C594" s="584"/>
      <c r="D594" s="584"/>
      <c r="E594" s="592"/>
      <c r="F594" s="592"/>
      <c r="G594" s="726"/>
      <c r="H594" s="731" t="s">
        <v>34</v>
      </c>
      <c r="I594" s="193">
        <f ca="1">IFERROR(__xludf.DUMMYFUNCTION("IMPORTRANGE(""https://docs.google.com/spreadsheets/d/1QqKyyYR6Q21VydFLVH3TRQUabQu_ym0Zz7PgGX0-kHA/edit?usp=sharing"",""แผน!HI20"")"),0)</f>
        <v>0</v>
      </c>
      <c r="J594" s="193">
        <f t="shared" si="254"/>
        <v>0</v>
      </c>
      <c r="K594" s="379">
        <f t="shared" ca="1" si="253"/>
        <v>0</v>
      </c>
      <c r="L594" s="163"/>
      <c r="M594" s="163"/>
      <c r="N594" s="163"/>
      <c r="O594" s="163"/>
      <c r="P594" s="163"/>
      <c r="Q594" s="541"/>
      <c r="R594" s="541"/>
      <c r="S594" s="541"/>
      <c r="T594" s="541"/>
      <c r="U594" s="541"/>
      <c r="V594" s="541"/>
      <c r="W594" s="541"/>
      <c r="X594" s="541"/>
      <c r="Y594" s="541"/>
      <c r="Z594" s="541"/>
    </row>
    <row r="595" spans="1:26" ht="18.75" hidden="1">
      <c r="A595" s="572"/>
      <c r="B595" s="584"/>
      <c r="C595" s="584" t="s">
        <v>253</v>
      </c>
      <c r="D595" s="584"/>
      <c r="E595" s="584"/>
      <c r="F595" s="592"/>
      <c r="G595" s="726"/>
      <c r="H595" s="728" t="s">
        <v>46</v>
      </c>
      <c r="I595" s="184"/>
      <c r="J595" s="184">
        <f t="shared" ref="J595:J596" si="255">J597+J599</f>
        <v>0</v>
      </c>
      <c r="K595" s="163"/>
      <c r="L595" s="163"/>
      <c r="M595" s="163"/>
      <c r="N595" s="163"/>
      <c r="O595" s="163"/>
      <c r="P595" s="163"/>
      <c r="Q595" s="541"/>
      <c r="R595" s="541"/>
      <c r="S595" s="541"/>
      <c r="T595" s="541"/>
      <c r="U595" s="541"/>
      <c r="V595" s="541"/>
      <c r="W595" s="541"/>
      <c r="X595" s="541"/>
      <c r="Y595" s="541"/>
      <c r="Z595" s="541"/>
    </row>
    <row r="596" spans="1:26" ht="18.75" hidden="1">
      <c r="A596" s="572"/>
      <c r="B596" s="584"/>
      <c r="C596" s="584"/>
      <c r="D596" s="584"/>
      <c r="E596" s="592"/>
      <c r="F596" s="592"/>
      <c r="G596" s="726"/>
      <c r="H596" s="728" t="s">
        <v>34</v>
      </c>
      <c r="I596" s="184"/>
      <c r="J596" s="184">
        <f t="shared" si="255"/>
        <v>0</v>
      </c>
      <c r="K596" s="163"/>
      <c r="L596" s="163"/>
      <c r="M596" s="163"/>
      <c r="N596" s="163"/>
      <c r="O596" s="163"/>
      <c r="P596" s="163"/>
      <c r="Q596" s="541"/>
      <c r="R596" s="541"/>
      <c r="S596" s="541"/>
      <c r="T596" s="541"/>
      <c r="U596" s="541"/>
      <c r="V596" s="541"/>
      <c r="W596" s="541"/>
      <c r="X596" s="541"/>
      <c r="Y596" s="541"/>
      <c r="Z596" s="541"/>
    </row>
    <row r="597" spans="1:26" ht="18.75" hidden="1">
      <c r="A597" s="572"/>
      <c r="B597" s="584"/>
      <c r="C597" s="584"/>
      <c r="D597" s="710" t="s">
        <v>254</v>
      </c>
      <c r="E597" s="592"/>
      <c r="F597" s="592"/>
      <c r="G597" s="726"/>
      <c r="H597" s="728" t="s">
        <v>46</v>
      </c>
      <c r="I597" s="184"/>
      <c r="J597" s="214">
        <v>0</v>
      </c>
      <c r="K597" s="163"/>
      <c r="L597" s="163"/>
      <c r="M597" s="163"/>
      <c r="N597" s="163"/>
      <c r="O597" s="163"/>
      <c r="P597" s="163"/>
      <c r="Q597" s="541"/>
      <c r="R597" s="541"/>
      <c r="S597" s="541"/>
      <c r="T597" s="541"/>
      <c r="U597" s="541"/>
      <c r="V597" s="541"/>
      <c r="W597" s="541"/>
      <c r="X597" s="541"/>
      <c r="Y597" s="541"/>
      <c r="Z597" s="541"/>
    </row>
    <row r="598" spans="1:26" ht="18.75" hidden="1">
      <c r="A598" s="572"/>
      <c r="B598" s="584"/>
      <c r="C598" s="584"/>
      <c r="D598" s="584"/>
      <c r="E598" s="592"/>
      <c r="F598" s="592"/>
      <c r="G598" s="726"/>
      <c r="H598" s="728" t="s">
        <v>34</v>
      </c>
      <c r="I598" s="269"/>
      <c r="J598" s="214">
        <v>0</v>
      </c>
      <c r="K598" s="163"/>
      <c r="L598" s="163"/>
      <c r="M598" s="163"/>
      <c r="N598" s="163"/>
      <c r="O598" s="163"/>
      <c r="P598" s="163"/>
      <c r="Q598" s="541"/>
      <c r="R598" s="541"/>
      <c r="S598" s="541"/>
      <c r="T598" s="541"/>
      <c r="U598" s="541"/>
      <c r="V598" s="541"/>
      <c r="W598" s="541"/>
      <c r="X598" s="541"/>
      <c r="Y598" s="541"/>
      <c r="Z598" s="541"/>
    </row>
    <row r="599" spans="1:26" ht="18.75" hidden="1">
      <c r="A599" s="572"/>
      <c r="B599" s="584"/>
      <c r="C599" s="584"/>
      <c r="D599" s="710" t="s">
        <v>255</v>
      </c>
      <c r="E599" s="592"/>
      <c r="F599" s="592"/>
      <c r="G599" s="726"/>
      <c r="H599" s="728" t="s">
        <v>46</v>
      </c>
      <c r="I599" s="269"/>
      <c r="J599" s="214">
        <v>0</v>
      </c>
      <c r="K599" s="163"/>
      <c r="L599" s="163"/>
      <c r="M599" s="163"/>
      <c r="N599" s="163"/>
      <c r="O599" s="163"/>
      <c r="P599" s="163"/>
      <c r="Q599" s="541"/>
      <c r="R599" s="541"/>
      <c r="S599" s="541"/>
      <c r="T599" s="541"/>
      <c r="U599" s="541"/>
      <c r="V599" s="541"/>
      <c r="W599" s="541"/>
      <c r="X599" s="541"/>
      <c r="Y599" s="541"/>
      <c r="Z599" s="541"/>
    </row>
    <row r="600" spans="1:26" ht="18.75" hidden="1">
      <c r="A600" s="572"/>
      <c r="B600" s="584"/>
      <c r="C600" s="584"/>
      <c r="D600" s="584"/>
      <c r="E600" s="592"/>
      <c r="F600" s="592"/>
      <c r="G600" s="726"/>
      <c r="H600" s="728" t="s">
        <v>34</v>
      </c>
      <c r="I600" s="269"/>
      <c r="J600" s="214">
        <v>0</v>
      </c>
      <c r="K600" s="163"/>
      <c r="L600" s="163"/>
      <c r="M600" s="163"/>
      <c r="N600" s="163"/>
      <c r="O600" s="163"/>
      <c r="P600" s="163"/>
      <c r="Q600" s="541"/>
      <c r="R600" s="541"/>
      <c r="S600" s="541"/>
      <c r="T600" s="541"/>
      <c r="U600" s="541"/>
      <c r="V600" s="541"/>
      <c r="W600" s="541"/>
      <c r="X600" s="541"/>
      <c r="Y600" s="541"/>
      <c r="Z600" s="541"/>
    </row>
    <row r="601" spans="1:26" ht="18.75" hidden="1">
      <c r="A601" s="572"/>
      <c r="B601" s="584"/>
      <c r="C601" s="584"/>
      <c r="D601" s="710" t="s">
        <v>256</v>
      </c>
      <c r="E601" s="592"/>
      <c r="F601" s="592"/>
      <c r="G601" s="726"/>
      <c r="H601" s="728" t="s">
        <v>46</v>
      </c>
      <c r="I601" s="269"/>
      <c r="J601" s="214">
        <v>0</v>
      </c>
      <c r="K601" s="163"/>
      <c r="L601" s="163"/>
      <c r="M601" s="163"/>
      <c r="N601" s="163"/>
      <c r="O601" s="163"/>
      <c r="P601" s="163"/>
      <c r="Q601" s="541"/>
      <c r="R601" s="541"/>
      <c r="S601" s="541"/>
      <c r="T601" s="541"/>
      <c r="U601" s="541"/>
      <c r="V601" s="541"/>
      <c r="W601" s="541"/>
      <c r="X601" s="541"/>
      <c r="Y601" s="541"/>
      <c r="Z601" s="541"/>
    </row>
    <row r="602" spans="1:26" ht="18.75" hidden="1">
      <c r="A602" s="572"/>
      <c r="B602" s="584"/>
      <c r="C602" s="584"/>
      <c r="D602" s="584"/>
      <c r="E602" s="592"/>
      <c r="F602" s="592"/>
      <c r="G602" s="726"/>
      <c r="H602" s="728" t="s">
        <v>34</v>
      </c>
      <c r="I602" s="269"/>
      <c r="J602" s="214">
        <v>0</v>
      </c>
      <c r="K602" s="163"/>
      <c r="L602" s="163"/>
      <c r="M602" s="163"/>
      <c r="N602" s="163"/>
      <c r="O602" s="163"/>
      <c r="P602" s="163"/>
      <c r="Q602" s="541"/>
      <c r="R602" s="541"/>
      <c r="S602" s="541"/>
      <c r="T602" s="541"/>
      <c r="U602" s="541"/>
      <c r="V602" s="541"/>
      <c r="W602" s="541"/>
      <c r="X602" s="541"/>
      <c r="Y602" s="541"/>
      <c r="Z602" s="541"/>
    </row>
    <row r="603" spans="1:26" ht="18.75" hidden="1">
      <c r="A603" s="572"/>
      <c r="B603" s="584"/>
      <c r="C603" s="669" t="s">
        <v>257</v>
      </c>
      <c r="D603" s="584"/>
      <c r="E603" s="584"/>
      <c r="F603" s="592"/>
      <c r="G603" s="726"/>
      <c r="H603" s="728" t="s">
        <v>46</v>
      </c>
      <c r="I603" s="269"/>
      <c r="J603" s="269">
        <f t="shared" ref="J603:J604" si="256">J605+J607</f>
        <v>0</v>
      </c>
      <c r="K603" s="163"/>
      <c r="L603" s="163"/>
      <c r="M603" s="163"/>
      <c r="N603" s="163"/>
      <c r="O603" s="163"/>
      <c r="P603" s="163"/>
      <c r="Q603" s="541"/>
      <c r="R603" s="541"/>
      <c r="S603" s="541"/>
      <c r="T603" s="541"/>
      <c r="U603" s="541"/>
      <c r="V603" s="541"/>
      <c r="W603" s="541"/>
      <c r="X603" s="541"/>
      <c r="Y603" s="541"/>
      <c r="Z603" s="541"/>
    </row>
    <row r="604" spans="1:26" ht="18.75" hidden="1">
      <c r="A604" s="572"/>
      <c r="B604" s="584"/>
      <c r="C604" s="584"/>
      <c r="D604" s="584"/>
      <c r="E604" s="592"/>
      <c r="F604" s="592"/>
      <c r="G604" s="726"/>
      <c r="H604" s="728" t="s">
        <v>34</v>
      </c>
      <c r="I604" s="269"/>
      <c r="J604" s="269">
        <f t="shared" si="256"/>
        <v>0</v>
      </c>
      <c r="K604" s="163"/>
      <c r="L604" s="163"/>
      <c r="M604" s="163"/>
      <c r="N604" s="163"/>
      <c r="O604" s="163"/>
      <c r="P604" s="163"/>
      <c r="Q604" s="541"/>
      <c r="R604" s="541"/>
      <c r="S604" s="541"/>
      <c r="T604" s="541"/>
      <c r="U604" s="541"/>
      <c r="V604" s="541"/>
      <c r="W604" s="541"/>
      <c r="X604" s="541"/>
      <c r="Y604" s="541"/>
      <c r="Z604" s="541"/>
    </row>
    <row r="605" spans="1:26" ht="18.75" hidden="1">
      <c r="A605" s="572"/>
      <c r="B605" s="584"/>
      <c r="C605" s="584"/>
      <c r="D605" s="669" t="s">
        <v>258</v>
      </c>
      <c r="E605" s="592"/>
      <c r="F605" s="592"/>
      <c r="G605" s="726"/>
      <c r="H605" s="728" t="s">
        <v>46</v>
      </c>
      <c r="I605" s="269"/>
      <c r="J605" s="214">
        <v>0</v>
      </c>
      <c r="K605" s="163"/>
      <c r="L605" s="163"/>
      <c r="M605" s="163"/>
      <c r="N605" s="163"/>
      <c r="O605" s="163"/>
      <c r="P605" s="163"/>
      <c r="Q605" s="541"/>
      <c r="R605" s="541"/>
      <c r="S605" s="541"/>
      <c r="T605" s="541"/>
      <c r="U605" s="541"/>
      <c r="V605" s="541"/>
      <c r="W605" s="541"/>
      <c r="X605" s="541"/>
      <c r="Y605" s="541"/>
      <c r="Z605" s="541"/>
    </row>
    <row r="606" spans="1:26" ht="18.75" hidden="1">
      <c r="A606" s="572"/>
      <c r="B606" s="584"/>
      <c r="C606" s="584"/>
      <c r="D606" s="584"/>
      <c r="E606" s="584"/>
      <c r="F606" s="592"/>
      <c r="G606" s="726"/>
      <c r="H606" s="728" t="s">
        <v>34</v>
      </c>
      <c r="I606" s="269"/>
      <c r="J606" s="214">
        <v>0</v>
      </c>
      <c r="K606" s="163"/>
      <c r="L606" s="163"/>
      <c r="M606" s="163"/>
      <c r="N606" s="163"/>
      <c r="O606" s="163"/>
      <c r="P606" s="163"/>
      <c r="Q606" s="541"/>
      <c r="R606" s="541"/>
      <c r="S606" s="541"/>
      <c r="T606" s="541"/>
      <c r="U606" s="541"/>
      <c r="V606" s="541"/>
      <c r="W606" s="541"/>
      <c r="X606" s="541"/>
      <c r="Y606" s="541"/>
      <c r="Z606" s="541"/>
    </row>
    <row r="607" spans="1:26" ht="18.75" hidden="1">
      <c r="A607" s="572"/>
      <c r="B607" s="584"/>
      <c r="C607" s="584"/>
      <c r="D607" s="669" t="s">
        <v>259</v>
      </c>
      <c r="E607" s="584"/>
      <c r="F607" s="592"/>
      <c r="G607" s="726"/>
      <c r="H607" s="728" t="s">
        <v>46</v>
      </c>
      <c r="I607" s="269"/>
      <c r="J607" s="214">
        <v>0</v>
      </c>
      <c r="K607" s="163"/>
      <c r="L607" s="163"/>
      <c r="M607" s="163"/>
      <c r="N607" s="163"/>
      <c r="O607" s="163"/>
      <c r="P607" s="163"/>
      <c r="Q607" s="541"/>
      <c r="R607" s="541"/>
      <c r="S607" s="541"/>
      <c r="T607" s="541"/>
      <c r="U607" s="541"/>
      <c r="V607" s="541"/>
      <c r="W607" s="541"/>
      <c r="X607" s="541"/>
      <c r="Y607" s="541"/>
      <c r="Z607" s="541"/>
    </row>
    <row r="608" spans="1:26" ht="18.75" hidden="1">
      <c r="A608" s="572"/>
      <c r="B608" s="584"/>
      <c r="C608" s="584"/>
      <c r="D608" s="584"/>
      <c r="E608" s="592"/>
      <c r="F608" s="592"/>
      <c r="G608" s="726"/>
      <c r="H608" s="728" t="s">
        <v>34</v>
      </c>
      <c r="I608" s="269"/>
      <c r="J608" s="214">
        <v>0</v>
      </c>
      <c r="K608" s="163"/>
      <c r="L608" s="163"/>
      <c r="M608" s="163"/>
      <c r="N608" s="163"/>
      <c r="O608" s="163"/>
      <c r="P608" s="163"/>
      <c r="Q608" s="541"/>
      <c r="R608" s="541"/>
      <c r="S608" s="541"/>
      <c r="T608" s="541"/>
      <c r="U608" s="541"/>
      <c r="V608" s="541"/>
      <c r="W608" s="541"/>
      <c r="X608" s="541"/>
      <c r="Y608" s="541"/>
      <c r="Z608" s="541"/>
    </row>
    <row r="609" spans="1:26" ht="18.75" hidden="1">
      <c r="A609" s="572"/>
      <c r="B609" s="584"/>
      <c r="C609" s="584" t="s">
        <v>260</v>
      </c>
      <c r="D609" s="584"/>
      <c r="E609" s="584"/>
      <c r="F609" s="592"/>
      <c r="G609" s="726"/>
      <c r="H609" s="728" t="s">
        <v>46</v>
      </c>
      <c r="I609" s="269"/>
      <c r="J609" s="214">
        <v>0</v>
      </c>
      <c r="K609" s="163"/>
      <c r="L609" s="163"/>
      <c r="M609" s="163"/>
      <c r="N609" s="163"/>
      <c r="O609" s="163"/>
      <c r="P609" s="163"/>
      <c r="Q609" s="541"/>
      <c r="R609" s="541"/>
      <c r="S609" s="541"/>
      <c r="T609" s="541"/>
      <c r="U609" s="541"/>
      <c r="V609" s="541"/>
      <c r="W609" s="541"/>
      <c r="X609" s="541"/>
      <c r="Y609" s="541"/>
      <c r="Z609" s="541"/>
    </row>
    <row r="610" spans="1:26" ht="18.75" hidden="1">
      <c r="A610" s="572"/>
      <c r="B610" s="584"/>
      <c r="C610" s="584"/>
      <c r="D610" s="584"/>
      <c r="E610" s="592"/>
      <c r="F610" s="592"/>
      <c r="G610" s="726"/>
      <c r="H610" s="728" t="s">
        <v>34</v>
      </c>
      <c r="I610" s="269"/>
      <c r="J610" s="214">
        <v>0</v>
      </c>
      <c r="K610" s="163"/>
      <c r="L610" s="163"/>
      <c r="M610" s="163"/>
      <c r="N610" s="163"/>
      <c r="O610" s="163"/>
      <c r="P610" s="163"/>
      <c r="Q610" s="541"/>
      <c r="R610" s="541"/>
      <c r="S610" s="541"/>
      <c r="T610" s="541"/>
      <c r="U610" s="541"/>
      <c r="V610" s="541"/>
      <c r="W610" s="541"/>
      <c r="X610" s="541"/>
      <c r="Y610" s="541"/>
      <c r="Z610" s="541"/>
    </row>
    <row r="611" spans="1:26" ht="19.5">
      <c r="A611" s="658"/>
      <c r="B611" s="670" t="s">
        <v>261</v>
      </c>
      <c r="C611" s="660"/>
      <c r="D611" s="660"/>
      <c r="E611" s="639"/>
      <c r="F611" s="639"/>
      <c r="G611" s="640"/>
      <c r="H611" s="671" t="s">
        <v>46</v>
      </c>
      <c r="I611" s="672">
        <v>0</v>
      </c>
      <c r="J611" s="672">
        <f>J614+J616</f>
        <v>0</v>
      </c>
      <c r="K611" s="643">
        <f t="shared" ref="K611:K613" si="257">IF(I611&gt;0,J611*100/I611,0)</f>
        <v>0</v>
      </c>
      <c r="L611" s="644"/>
      <c r="M611" s="644"/>
      <c r="N611" s="644"/>
      <c r="O611" s="644"/>
      <c r="P611" s="644"/>
      <c r="Q611" s="541"/>
      <c r="R611" s="541"/>
      <c r="S611" s="541"/>
      <c r="T611" s="541"/>
      <c r="U611" s="541"/>
      <c r="V611" s="541"/>
      <c r="W611" s="541"/>
      <c r="X611" s="541"/>
      <c r="Y611" s="541"/>
      <c r="Z611" s="541"/>
    </row>
    <row r="612" spans="1:26" ht="19.5" hidden="1">
      <c r="A612" s="673"/>
      <c r="B612" s="683"/>
      <c r="C612" s="675" t="s">
        <v>262</v>
      </c>
      <c r="D612" s="683"/>
      <c r="E612" s="683"/>
      <c r="F612" s="676"/>
      <c r="G612" s="677"/>
      <c r="H612" s="678" t="s">
        <v>46</v>
      </c>
      <c r="I612" s="680">
        <v>0</v>
      </c>
      <c r="J612" s="680">
        <f t="shared" ref="J612:J613" si="258">J614+J616</f>
        <v>0</v>
      </c>
      <c r="K612" s="681">
        <f t="shared" si="257"/>
        <v>0</v>
      </c>
      <c r="L612" s="682"/>
      <c r="M612" s="682"/>
      <c r="N612" s="682"/>
      <c r="O612" s="682"/>
      <c r="P612" s="682"/>
      <c r="Q612" s="568"/>
      <c r="R612" s="568"/>
      <c r="S612" s="568"/>
      <c r="T612" s="568"/>
      <c r="U612" s="568"/>
      <c r="V612" s="568"/>
      <c r="W612" s="568"/>
      <c r="X612" s="568"/>
      <c r="Y612" s="568"/>
      <c r="Z612" s="568"/>
    </row>
    <row r="613" spans="1:26" ht="19.5" hidden="1">
      <c r="A613" s="673"/>
      <c r="B613" s="683"/>
      <c r="C613" s="683" t="s">
        <v>263</v>
      </c>
      <c r="D613" s="683"/>
      <c r="E613" s="683"/>
      <c r="F613" s="676"/>
      <c r="G613" s="677"/>
      <c r="H613" s="678" t="s">
        <v>34</v>
      </c>
      <c r="I613" s="680">
        <v>0</v>
      </c>
      <c r="J613" s="680">
        <f t="shared" si="258"/>
        <v>0</v>
      </c>
      <c r="K613" s="681">
        <f t="shared" si="257"/>
        <v>0</v>
      </c>
      <c r="L613" s="682"/>
      <c r="M613" s="682"/>
      <c r="N613" s="682"/>
      <c r="O613" s="682"/>
      <c r="P613" s="682"/>
      <c r="Q613" s="568"/>
      <c r="R613" s="568"/>
      <c r="S613" s="568"/>
      <c r="T613" s="568"/>
      <c r="U613" s="568"/>
      <c r="V613" s="568"/>
      <c r="W613" s="568"/>
      <c r="X613" s="568"/>
      <c r="Y613" s="568"/>
      <c r="Z613" s="568"/>
    </row>
    <row r="614" spans="1:26" ht="18.75" hidden="1">
      <c r="A614" s="578"/>
      <c r="B614" s="580"/>
      <c r="C614" s="580"/>
      <c r="D614" s="684" t="s">
        <v>264</v>
      </c>
      <c r="E614" s="580"/>
      <c r="F614" s="684"/>
      <c r="G614" s="581"/>
      <c r="H614" s="582" t="s">
        <v>46</v>
      </c>
      <c r="I614" s="583"/>
      <c r="J614" s="583">
        <v>0</v>
      </c>
      <c r="K614" s="167"/>
      <c r="L614" s="167"/>
      <c r="M614" s="167"/>
      <c r="N614" s="167"/>
      <c r="O614" s="167"/>
      <c r="P614" s="167"/>
      <c r="Q614" s="568"/>
      <c r="R614" s="568"/>
      <c r="S614" s="568"/>
      <c r="T614" s="568"/>
      <c r="U614" s="568"/>
      <c r="V614" s="568"/>
      <c r="W614" s="568"/>
      <c r="X614" s="568"/>
      <c r="Y614" s="568"/>
      <c r="Z614" s="568"/>
    </row>
    <row r="615" spans="1:26" ht="18.75" hidden="1">
      <c r="A615" s="578"/>
      <c r="B615" s="580"/>
      <c r="C615" s="580"/>
      <c r="D615" s="580"/>
      <c r="E615" s="580"/>
      <c r="F615" s="684"/>
      <c r="G615" s="581"/>
      <c r="H615" s="582" t="s">
        <v>34</v>
      </c>
      <c r="I615" s="583"/>
      <c r="J615" s="583">
        <v>0</v>
      </c>
      <c r="K615" s="167"/>
      <c r="L615" s="167"/>
      <c r="M615" s="167"/>
      <c r="N615" s="167"/>
      <c r="O615" s="167"/>
      <c r="P615" s="167"/>
      <c r="Q615" s="568"/>
      <c r="R615" s="568"/>
      <c r="S615" s="568"/>
      <c r="T615" s="568"/>
      <c r="U615" s="568"/>
      <c r="V615" s="568"/>
      <c r="W615" s="568"/>
      <c r="X615" s="568"/>
      <c r="Y615" s="568"/>
      <c r="Z615" s="568"/>
    </row>
    <row r="616" spans="1:26" ht="18.75" hidden="1">
      <c r="A616" s="578"/>
      <c r="B616" s="580"/>
      <c r="C616" s="580"/>
      <c r="D616" s="685" t="s">
        <v>264</v>
      </c>
      <c r="E616" s="684"/>
      <c r="F616" s="684"/>
      <c r="G616" s="581"/>
      <c r="H616" s="582" t="s">
        <v>46</v>
      </c>
      <c r="I616" s="583"/>
      <c r="J616" s="583">
        <v>0</v>
      </c>
      <c r="K616" s="167"/>
      <c r="L616" s="167"/>
      <c r="M616" s="167"/>
      <c r="N616" s="167"/>
      <c r="O616" s="167"/>
      <c r="P616" s="167"/>
      <c r="Q616" s="568"/>
      <c r="R616" s="568"/>
      <c r="S616" s="568"/>
      <c r="T616" s="568"/>
      <c r="U616" s="568"/>
      <c r="V616" s="568"/>
      <c r="W616" s="568"/>
      <c r="X616" s="568"/>
      <c r="Y616" s="568"/>
      <c r="Z616" s="568"/>
    </row>
    <row r="617" spans="1:26" ht="18.75" hidden="1">
      <c r="A617" s="578"/>
      <c r="B617" s="580"/>
      <c r="C617" s="580"/>
      <c r="D617" s="580"/>
      <c r="E617" s="684"/>
      <c r="F617" s="684"/>
      <c r="G617" s="581"/>
      <c r="H617" s="582" t="s">
        <v>34</v>
      </c>
      <c r="I617" s="583"/>
      <c r="J617" s="583">
        <v>0</v>
      </c>
      <c r="K617" s="167"/>
      <c r="L617" s="167"/>
      <c r="M617" s="167"/>
      <c r="N617" s="167"/>
      <c r="O617" s="167"/>
      <c r="P617" s="167"/>
      <c r="Q617" s="568"/>
      <c r="R617" s="568"/>
      <c r="S617" s="568"/>
      <c r="T617" s="568"/>
      <c r="U617" s="568"/>
      <c r="V617" s="568"/>
      <c r="W617" s="568"/>
      <c r="X617" s="568"/>
      <c r="Y617" s="568"/>
      <c r="Z617" s="568"/>
    </row>
    <row r="618" spans="1:26" ht="18.75" hidden="1">
      <c r="A618" s="578"/>
      <c r="B618" s="580"/>
      <c r="C618" s="580"/>
      <c r="D618" s="685" t="s">
        <v>265</v>
      </c>
      <c r="E618" s="684"/>
      <c r="F618" s="684"/>
      <c r="G618" s="581"/>
      <c r="H618" s="582" t="s">
        <v>46</v>
      </c>
      <c r="I618" s="583"/>
      <c r="J618" s="583">
        <v>0</v>
      </c>
      <c r="K618" s="167"/>
      <c r="L618" s="167"/>
      <c r="M618" s="167"/>
      <c r="N618" s="167"/>
      <c r="O618" s="167"/>
      <c r="P618" s="167"/>
      <c r="Q618" s="568"/>
      <c r="R618" s="568"/>
      <c r="S618" s="568"/>
      <c r="T618" s="568"/>
      <c r="U618" s="568"/>
      <c r="V618" s="568"/>
      <c r="W618" s="568"/>
      <c r="X618" s="568"/>
      <c r="Y618" s="568"/>
      <c r="Z618" s="568"/>
    </row>
    <row r="619" spans="1:26" ht="18.75" hidden="1">
      <c r="A619" s="578"/>
      <c r="B619" s="580"/>
      <c r="C619" s="580"/>
      <c r="D619" s="580"/>
      <c r="E619" s="684"/>
      <c r="F619" s="684"/>
      <c r="G619" s="581"/>
      <c r="H619" s="582" t="s">
        <v>34</v>
      </c>
      <c r="I619" s="583"/>
      <c r="J619" s="583">
        <v>0</v>
      </c>
      <c r="K619" s="167"/>
      <c r="L619" s="167"/>
      <c r="M619" s="167"/>
      <c r="N619" s="167"/>
      <c r="O619" s="167"/>
      <c r="P619" s="167"/>
      <c r="Q619" s="568"/>
      <c r="R619" s="568"/>
      <c r="S619" s="568"/>
      <c r="T619" s="568"/>
      <c r="U619" s="568"/>
      <c r="V619" s="568"/>
      <c r="W619" s="568"/>
      <c r="X619" s="568"/>
      <c r="Y619" s="568"/>
      <c r="Z619" s="568"/>
    </row>
    <row r="620" spans="1:26" ht="19.5">
      <c r="A620" s="686"/>
      <c r="B620" s="695"/>
      <c r="C620" s="688" t="s">
        <v>266</v>
      </c>
      <c r="D620" s="695"/>
      <c r="E620" s="695"/>
      <c r="F620" s="689"/>
      <c r="G620" s="690"/>
      <c r="H620" s="691" t="s">
        <v>46</v>
      </c>
      <c r="I620" s="692">
        <f ca="1">IFERROR(__xludf.DUMMYFUNCTION("IMPORTRANGE(""https://docs.google.com/spreadsheets/d/1QqKyyYR6Q21VydFLVH3TRQUabQu_ym0Zz7PgGX0-kHA/edit?usp=sharing"",""แผน!HL20"")"),0)</f>
        <v>0</v>
      </c>
      <c r="J620" s="692">
        <f t="shared" ref="J620:J621" si="259">J622+J624+J626</f>
        <v>0</v>
      </c>
      <c r="K620" s="693">
        <f t="shared" ref="K620:K621" ca="1" si="260">IF(I620&gt;0,J620*100/I620,0)</f>
        <v>0</v>
      </c>
      <c r="L620" s="694"/>
      <c r="M620" s="694"/>
      <c r="N620" s="694"/>
      <c r="O620" s="694"/>
      <c r="P620" s="694"/>
      <c r="Q620" s="541"/>
      <c r="R620" s="541"/>
      <c r="S620" s="541"/>
      <c r="T620" s="541"/>
      <c r="U620" s="541"/>
      <c r="V620" s="541"/>
      <c r="W620" s="541"/>
      <c r="X620" s="541"/>
      <c r="Y620" s="541"/>
      <c r="Z620" s="541"/>
    </row>
    <row r="621" spans="1:26" ht="19.5">
      <c r="A621" s="686"/>
      <c r="B621" s="695"/>
      <c r="C621" s="695" t="s">
        <v>267</v>
      </c>
      <c r="D621" s="695"/>
      <c r="E621" s="695"/>
      <c r="F621" s="689"/>
      <c r="G621" s="690"/>
      <c r="H621" s="691" t="s">
        <v>34</v>
      </c>
      <c r="I621" s="692">
        <f ca="1">IFERROR(__xludf.DUMMYFUNCTION("IMPORTRANGE(""https://docs.google.com/spreadsheets/d/1QqKyyYR6Q21VydFLVH3TRQUabQu_ym0Zz7PgGX0-kHA/edit?usp=sharing"",""แผน!HK20"")"),0)</f>
        <v>0</v>
      </c>
      <c r="J621" s="692">
        <f t="shared" si="259"/>
        <v>0</v>
      </c>
      <c r="K621" s="693">
        <f t="shared" ca="1" si="260"/>
        <v>0</v>
      </c>
      <c r="L621" s="694"/>
      <c r="M621" s="694"/>
      <c r="N621" s="694"/>
      <c r="O621" s="694"/>
      <c r="P621" s="694"/>
      <c r="Q621" s="541"/>
      <c r="R621" s="541"/>
      <c r="S621" s="541"/>
      <c r="T621" s="541"/>
      <c r="U621" s="541"/>
      <c r="V621" s="541"/>
      <c r="W621" s="541"/>
      <c r="X621" s="541"/>
      <c r="Y621" s="541"/>
      <c r="Z621" s="541"/>
    </row>
    <row r="622" spans="1:26" ht="18.75">
      <c r="A622" s="572"/>
      <c r="B622" s="584"/>
      <c r="C622" s="584"/>
      <c r="D622" s="710" t="s">
        <v>268</v>
      </c>
      <c r="E622" s="592"/>
      <c r="F622" s="592"/>
      <c r="G622" s="726"/>
      <c r="H622" s="728" t="s">
        <v>46</v>
      </c>
      <c r="I622" s="269"/>
      <c r="J622" s="214">
        <v>0</v>
      </c>
      <c r="K622" s="163"/>
      <c r="L622" s="163"/>
      <c r="M622" s="163"/>
      <c r="N622" s="163"/>
      <c r="O622" s="163"/>
      <c r="P622" s="163"/>
      <c r="Q622" s="541"/>
      <c r="R622" s="541"/>
      <c r="S622" s="541"/>
      <c r="T622" s="541"/>
      <c r="U622" s="541"/>
      <c r="V622" s="541"/>
      <c r="W622" s="541"/>
      <c r="X622" s="541"/>
      <c r="Y622" s="541"/>
      <c r="Z622" s="541"/>
    </row>
    <row r="623" spans="1:26" ht="18.75">
      <c r="A623" s="572"/>
      <c r="B623" s="584"/>
      <c r="C623" s="584"/>
      <c r="D623" s="584"/>
      <c r="E623" s="592"/>
      <c r="F623" s="592"/>
      <c r="G623" s="726"/>
      <c r="H623" s="728" t="s">
        <v>34</v>
      </c>
      <c r="I623" s="269"/>
      <c r="J623" s="214">
        <v>0</v>
      </c>
      <c r="K623" s="163"/>
      <c r="L623" s="163"/>
      <c r="M623" s="163"/>
      <c r="N623" s="163"/>
      <c r="O623" s="163"/>
      <c r="P623" s="163"/>
      <c r="Q623" s="541"/>
      <c r="R623" s="541"/>
      <c r="S623" s="541"/>
      <c r="T623" s="541"/>
      <c r="U623" s="541"/>
      <c r="V623" s="541"/>
      <c r="W623" s="541"/>
      <c r="X623" s="541"/>
      <c r="Y623" s="541"/>
      <c r="Z623" s="541"/>
    </row>
    <row r="624" spans="1:26" ht="18.75">
      <c r="A624" s="572"/>
      <c r="B624" s="584"/>
      <c r="C624" s="584"/>
      <c r="D624" s="710" t="s">
        <v>264</v>
      </c>
      <c r="E624" s="592"/>
      <c r="F624" s="592"/>
      <c r="G624" s="726"/>
      <c r="H624" s="728" t="s">
        <v>46</v>
      </c>
      <c r="I624" s="269"/>
      <c r="J624" s="214">
        <v>0</v>
      </c>
      <c r="K624" s="163"/>
      <c r="L624" s="163"/>
      <c r="M624" s="163"/>
      <c r="N624" s="163"/>
      <c r="O624" s="163"/>
      <c r="P624" s="163"/>
      <c r="Q624" s="541"/>
      <c r="R624" s="541"/>
      <c r="S624" s="541"/>
      <c r="T624" s="541"/>
      <c r="U624" s="541"/>
      <c r="V624" s="541"/>
      <c r="W624" s="541"/>
      <c r="X624" s="541"/>
      <c r="Y624" s="541"/>
      <c r="Z624" s="541"/>
    </row>
    <row r="625" spans="1:26" ht="18.75">
      <c r="A625" s="572"/>
      <c r="B625" s="584"/>
      <c r="C625" s="584"/>
      <c r="D625" s="584"/>
      <c r="E625" s="592"/>
      <c r="F625" s="592"/>
      <c r="G625" s="726"/>
      <c r="H625" s="728" t="s">
        <v>34</v>
      </c>
      <c r="I625" s="269"/>
      <c r="J625" s="214">
        <v>0</v>
      </c>
      <c r="K625" s="163"/>
      <c r="L625" s="163"/>
      <c r="M625" s="163"/>
      <c r="N625" s="163"/>
      <c r="O625" s="163"/>
      <c r="P625" s="163"/>
      <c r="Q625" s="541"/>
      <c r="R625" s="541"/>
      <c r="S625" s="541"/>
      <c r="T625" s="541"/>
      <c r="U625" s="541"/>
      <c r="V625" s="541"/>
      <c r="W625" s="541"/>
      <c r="X625" s="541"/>
      <c r="Y625" s="541"/>
      <c r="Z625" s="541"/>
    </row>
    <row r="626" spans="1:26" ht="18.75">
      <c r="A626" s="572"/>
      <c r="B626" s="584"/>
      <c r="C626" s="584"/>
      <c r="D626" s="710" t="s">
        <v>269</v>
      </c>
      <c r="E626" s="592"/>
      <c r="F626" s="592"/>
      <c r="G626" s="726"/>
      <c r="H626" s="728" t="s">
        <v>46</v>
      </c>
      <c r="I626" s="269"/>
      <c r="J626" s="214">
        <v>0</v>
      </c>
      <c r="K626" s="163"/>
      <c r="L626" s="163"/>
      <c r="M626" s="163"/>
      <c r="N626" s="163"/>
      <c r="O626" s="163"/>
      <c r="P626" s="163"/>
      <c r="Q626" s="541"/>
      <c r="R626" s="541"/>
      <c r="S626" s="541"/>
      <c r="T626" s="541"/>
      <c r="U626" s="541"/>
      <c r="V626" s="541"/>
      <c r="W626" s="541"/>
      <c r="X626" s="541"/>
      <c r="Y626" s="541"/>
      <c r="Z626" s="541"/>
    </row>
    <row r="627" spans="1:26" ht="18.75">
      <c r="A627" s="696"/>
      <c r="B627" s="697"/>
      <c r="C627" s="697"/>
      <c r="D627" s="697"/>
      <c r="E627" s="698"/>
      <c r="F627" s="698"/>
      <c r="G627" s="699"/>
      <c r="H627" s="390" t="s">
        <v>34</v>
      </c>
      <c r="I627" s="468"/>
      <c r="J627" s="392">
        <v>0</v>
      </c>
      <c r="K627" s="353"/>
      <c r="L627" s="353"/>
      <c r="M627" s="353"/>
      <c r="N627" s="353"/>
      <c r="O627" s="353"/>
      <c r="P627" s="353"/>
      <c r="Q627" s="541"/>
      <c r="R627" s="541"/>
      <c r="S627" s="541"/>
      <c r="T627" s="541"/>
      <c r="U627" s="541"/>
      <c r="V627" s="541"/>
      <c r="W627" s="541"/>
      <c r="X627" s="541"/>
      <c r="Y627" s="541"/>
      <c r="Z627" s="541"/>
    </row>
    <row r="628" spans="1:26" ht="19.5">
      <c r="A628" s="700">
        <v>7</v>
      </c>
      <c r="B628" s="701" t="s">
        <v>270</v>
      </c>
      <c r="C628" s="702"/>
      <c r="D628" s="702"/>
      <c r="E628" s="702"/>
      <c r="F628" s="702"/>
      <c r="G628" s="703"/>
      <c r="H628" s="704" t="s">
        <v>35</v>
      </c>
      <c r="I628" s="705">
        <f t="shared" ref="I628:J628" ca="1" si="261">I651</f>
        <v>60</v>
      </c>
      <c r="J628" s="705">
        <f t="shared" ca="1" si="261"/>
        <v>0</v>
      </c>
      <c r="K628" s="706">
        <f ca="1">IF(I628&gt;0,J628*100/I628,0)</f>
        <v>0</v>
      </c>
      <c r="L628" s="707"/>
      <c r="M628" s="707"/>
      <c r="N628" s="707"/>
      <c r="O628" s="707"/>
      <c r="P628" s="707"/>
      <c r="Q628" s="541"/>
      <c r="R628" s="541"/>
      <c r="S628" s="541"/>
      <c r="T628" s="541"/>
      <c r="U628" s="541"/>
      <c r="V628" s="541"/>
      <c r="W628" s="541"/>
      <c r="X628" s="541"/>
      <c r="Y628" s="541"/>
      <c r="Z628" s="541"/>
    </row>
    <row r="629" spans="1:26" ht="19.5">
      <c r="A629" s="561"/>
      <c r="B629" s="727"/>
      <c r="C629" s="727" t="s">
        <v>16</v>
      </c>
      <c r="D629" s="811" t="s">
        <v>17</v>
      </c>
      <c r="E629" s="805"/>
      <c r="F629" s="805"/>
      <c r="G629" s="189"/>
      <c r="H629" s="562" t="s">
        <v>12</v>
      </c>
      <c r="I629" s="269"/>
      <c r="J629" s="269"/>
      <c r="K629" s="465"/>
      <c r="L629" s="195">
        <f t="shared" ref="L629:N629" ca="1" si="262">L630+L631</f>
        <v>336260</v>
      </c>
      <c r="M629" s="195">
        <f t="shared" si="262"/>
        <v>0</v>
      </c>
      <c r="N629" s="195">
        <f t="shared" si="262"/>
        <v>0</v>
      </c>
      <c r="O629" s="195">
        <f t="shared" ref="O629:O634" ca="1" si="263">IF(L629&gt;0,N629*100/L629,0)</f>
        <v>0</v>
      </c>
      <c r="P629" s="195">
        <f t="shared" ref="P629:P634" si="264">IF(M629&gt;0,N629*100/M629,0)</f>
        <v>0</v>
      </c>
      <c r="Q629" s="541"/>
      <c r="R629" s="541"/>
      <c r="S629" s="541"/>
      <c r="T629" s="541"/>
      <c r="U629" s="541"/>
      <c r="V629" s="541"/>
      <c r="W629" s="541"/>
      <c r="X629" s="541"/>
      <c r="Y629" s="541"/>
      <c r="Z629" s="541"/>
    </row>
    <row r="630" spans="1:26" ht="18.75" hidden="1">
      <c r="A630" s="563"/>
      <c r="B630" s="723"/>
      <c r="C630" s="723"/>
      <c r="D630" s="684"/>
      <c r="E630" s="723" t="s">
        <v>184</v>
      </c>
      <c r="F630" s="723"/>
      <c r="G630" s="567"/>
      <c r="H630" s="165" t="s">
        <v>12</v>
      </c>
      <c r="I630" s="583"/>
      <c r="J630" s="583"/>
      <c r="K630" s="93"/>
      <c r="L630" s="93">
        <f t="shared" ref="L630:N631" si="265">L633+L640</f>
        <v>0</v>
      </c>
      <c r="M630" s="93">
        <f t="shared" si="265"/>
        <v>0</v>
      </c>
      <c r="N630" s="93">
        <f t="shared" si="265"/>
        <v>0</v>
      </c>
      <c r="O630" s="93">
        <f t="shared" si="263"/>
        <v>0</v>
      </c>
      <c r="P630" s="93">
        <f t="shared" si="264"/>
        <v>0</v>
      </c>
      <c r="Q630" s="568"/>
      <c r="R630" s="568"/>
      <c r="S630" s="568"/>
      <c r="T630" s="568"/>
      <c r="U630" s="568"/>
      <c r="V630" s="568"/>
      <c r="W630" s="568"/>
      <c r="X630" s="568"/>
      <c r="Y630" s="568"/>
      <c r="Z630" s="568"/>
    </row>
    <row r="631" spans="1:26" ht="18.75" hidden="1">
      <c r="A631" s="563"/>
      <c r="B631" s="571"/>
      <c r="C631" s="723"/>
      <c r="D631" s="684"/>
      <c r="E631" s="723" t="s">
        <v>185</v>
      </c>
      <c r="F631" s="723"/>
      <c r="G631" s="567"/>
      <c r="H631" s="165" t="s">
        <v>12</v>
      </c>
      <c r="I631" s="583"/>
      <c r="J631" s="583"/>
      <c r="K631" s="93"/>
      <c r="L631" s="93">
        <f t="shared" ca="1" si="265"/>
        <v>336260</v>
      </c>
      <c r="M631" s="93">
        <f t="shared" si="265"/>
        <v>0</v>
      </c>
      <c r="N631" s="93">
        <f t="shared" si="265"/>
        <v>0</v>
      </c>
      <c r="O631" s="93">
        <f t="shared" ca="1" si="263"/>
        <v>0</v>
      </c>
      <c r="P631" s="93">
        <f t="shared" si="264"/>
        <v>0</v>
      </c>
      <c r="Q631" s="568"/>
      <c r="R631" s="568"/>
      <c r="S631" s="568"/>
      <c r="T631" s="568"/>
      <c r="U631" s="568"/>
      <c r="V631" s="568"/>
      <c r="W631" s="568"/>
      <c r="X631" s="568"/>
      <c r="Y631" s="568"/>
      <c r="Z631" s="568"/>
    </row>
    <row r="632" spans="1:26" ht="18.75">
      <c r="A632" s="561"/>
      <c r="B632" s="538"/>
      <c r="C632" s="727"/>
      <c r="D632" s="570" t="s">
        <v>20</v>
      </c>
      <c r="E632" s="727"/>
      <c r="F632" s="727"/>
      <c r="G632" s="189"/>
      <c r="H632" s="161" t="s">
        <v>12</v>
      </c>
      <c r="I632" s="184"/>
      <c r="J632" s="184"/>
      <c r="K632" s="163"/>
      <c r="L632" s="465">
        <f t="shared" ref="L632:N632" ca="1" si="266">L633+L634</f>
        <v>336260</v>
      </c>
      <c r="M632" s="465">
        <f t="shared" si="266"/>
        <v>0</v>
      </c>
      <c r="N632" s="465">
        <f t="shared" si="266"/>
        <v>0</v>
      </c>
      <c r="O632" s="465">
        <f t="shared" ca="1" si="263"/>
        <v>0</v>
      </c>
      <c r="P632" s="465">
        <f t="shared" si="264"/>
        <v>0</v>
      </c>
      <c r="Q632" s="541"/>
      <c r="R632" s="541"/>
      <c r="S632" s="541"/>
      <c r="T632" s="541"/>
      <c r="U632" s="541"/>
      <c r="V632" s="541"/>
      <c r="W632" s="541"/>
      <c r="X632" s="541"/>
      <c r="Y632" s="541"/>
      <c r="Z632" s="541"/>
    </row>
    <row r="633" spans="1:26" ht="18.75" hidden="1">
      <c r="A633" s="563"/>
      <c r="B633" s="571"/>
      <c r="C633" s="723"/>
      <c r="D633" s="684"/>
      <c r="E633" s="723" t="s">
        <v>184</v>
      </c>
      <c r="F633" s="723"/>
      <c r="G633" s="567"/>
      <c r="H633" s="165" t="s">
        <v>12</v>
      </c>
      <c r="I633" s="583"/>
      <c r="J633" s="583"/>
      <c r="K633" s="93"/>
      <c r="L633" s="93">
        <v>0</v>
      </c>
      <c r="M633" s="93">
        <v>0</v>
      </c>
      <c r="N633" s="93">
        <v>0</v>
      </c>
      <c r="O633" s="93">
        <f t="shared" si="263"/>
        <v>0</v>
      </c>
      <c r="P633" s="93">
        <f t="shared" si="264"/>
        <v>0</v>
      </c>
      <c r="Q633" s="568"/>
      <c r="R633" s="568"/>
      <c r="S633" s="568"/>
      <c r="T633" s="568"/>
      <c r="U633" s="568"/>
      <c r="V633" s="568"/>
      <c r="W633" s="568"/>
      <c r="X633" s="568"/>
      <c r="Y633" s="568"/>
      <c r="Z633" s="568"/>
    </row>
    <row r="634" spans="1:26" ht="18.75" hidden="1">
      <c r="A634" s="563"/>
      <c r="B634" s="571"/>
      <c r="C634" s="723"/>
      <c r="D634" s="684"/>
      <c r="E634" s="723" t="s">
        <v>185</v>
      </c>
      <c r="F634" s="723"/>
      <c r="G634" s="567"/>
      <c r="H634" s="165" t="s">
        <v>12</v>
      </c>
      <c r="I634" s="583"/>
      <c r="J634" s="583"/>
      <c r="K634" s="93"/>
      <c r="L634" s="93">
        <f ca="1">IFERROR(__xludf.DUMMYFUNCTION("IMPORTRANGE(""https://docs.google.com/spreadsheets/d/1QqKyyYR6Q21VydFLVH3TRQUabQu_ym0Zz7PgGX0-kHA/edit?usp=sharing"",""แผน!HN20"")"),336260)</f>
        <v>336260</v>
      </c>
      <c r="M634" s="93">
        <v>0</v>
      </c>
      <c r="N634" s="93">
        <f>N635+N636+N637+N638</f>
        <v>0</v>
      </c>
      <c r="O634" s="93">
        <f t="shared" ca="1" si="263"/>
        <v>0</v>
      </c>
      <c r="P634" s="93">
        <f t="shared" si="264"/>
        <v>0</v>
      </c>
      <c r="Q634" s="568"/>
      <c r="R634" s="568"/>
      <c r="S634" s="568"/>
      <c r="T634" s="568"/>
      <c r="U634" s="568"/>
      <c r="V634" s="568"/>
      <c r="W634" s="568"/>
      <c r="X634" s="568"/>
      <c r="Y634" s="568"/>
      <c r="Z634" s="568"/>
    </row>
    <row r="635" spans="1:26" ht="18.75">
      <c r="A635" s="537"/>
      <c r="B635" s="538"/>
      <c r="C635" s="727"/>
      <c r="D635" s="727"/>
      <c r="E635" s="727"/>
      <c r="F635" s="727" t="s">
        <v>186</v>
      </c>
      <c r="G635" s="189"/>
      <c r="H635" s="161" t="s">
        <v>12</v>
      </c>
      <c r="I635" s="269"/>
      <c r="J635" s="269"/>
      <c r="K635" s="465"/>
      <c r="L635" s="465"/>
      <c r="M635" s="465"/>
      <c r="N635" s="789">
        <v>0</v>
      </c>
      <c r="O635" s="465"/>
      <c r="P635" s="465"/>
      <c r="Q635" s="541"/>
      <c r="R635" s="541"/>
      <c r="S635" s="541"/>
      <c r="T635" s="541"/>
      <c r="U635" s="541"/>
      <c r="V635" s="541"/>
      <c r="W635" s="541"/>
      <c r="X635" s="541"/>
      <c r="Y635" s="541"/>
      <c r="Z635" s="541"/>
    </row>
    <row r="636" spans="1:26" ht="18.75">
      <c r="A636" s="537"/>
      <c r="B636" s="538"/>
      <c r="C636" s="727"/>
      <c r="D636" s="727"/>
      <c r="E636" s="727"/>
      <c r="F636" s="727" t="s">
        <v>187</v>
      </c>
      <c r="G636" s="189"/>
      <c r="H636" s="161" t="s">
        <v>12</v>
      </c>
      <c r="I636" s="269"/>
      <c r="J636" s="269"/>
      <c r="K636" s="465"/>
      <c r="L636" s="465"/>
      <c r="M636" s="465"/>
      <c r="N636" s="789">
        <v>0</v>
      </c>
      <c r="O636" s="465"/>
      <c r="P636" s="465"/>
      <c r="Q636" s="541"/>
      <c r="R636" s="541"/>
      <c r="S636" s="541"/>
      <c r="T636" s="541"/>
      <c r="U636" s="541"/>
      <c r="V636" s="541"/>
      <c r="W636" s="541"/>
      <c r="X636" s="541"/>
      <c r="Y636" s="541"/>
      <c r="Z636" s="541"/>
    </row>
    <row r="637" spans="1:26" ht="18.75">
      <c r="A637" s="537"/>
      <c r="B637" s="538"/>
      <c r="C637" s="727"/>
      <c r="D637" s="727"/>
      <c r="E637" s="727"/>
      <c r="F637" s="727" t="s">
        <v>188</v>
      </c>
      <c r="G637" s="189"/>
      <c r="H637" s="161" t="s">
        <v>12</v>
      </c>
      <c r="I637" s="269"/>
      <c r="J637" s="269"/>
      <c r="K637" s="465"/>
      <c r="L637" s="465"/>
      <c r="M637" s="465"/>
      <c r="N637" s="789">
        <v>0</v>
      </c>
      <c r="O637" s="465"/>
      <c r="P637" s="465"/>
      <c r="Q637" s="541"/>
      <c r="R637" s="541"/>
      <c r="S637" s="541"/>
      <c r="T637" s="541"/>
      <c r="U637" s="541"/>
      <c r="V637" s="541"/>
      <c r="W637" s="541"/>
      <c r="X637" s="541"/>
      <c r="Y637" s="541"/>
      <c r="Z637" s="541"/>
    </row>
    <row r="638" spans="1:26" ht="18.75">
      <c r="A638" s="537"/>
      <c r="B638" s="538"/>
      <c r="C638" s="727"/>
      <c r="D638" s="727"/>
      <c r="E638" s="727"/>
      <c r="F638" s="727" t="s">
        <v>189</v>
      </c>
      <c r="G638" s="189"/>
      <c r="H638" s="161" t="s">
        <v>12</v>
      </c>
      <c r="I638" s="269"/>
      <c r="J638" s="269"/>
      <c r="K638" s="465"/>
      <c r="L638" s="465"/>
      <c r="M638" s="465"/>
      <c r="N638" s="789">
        <v>0</v>
      </c>
      <c r="O638" s="465"/>
      <c r="P638" s="465"/>
      <c r="Q638" s="541"/>
      <c r="R638" s="541"/>
      <c r="S638" s="541"/>
      <c r="T638" s="541"/>
      <c r="U638" s="541"/>
      <c r="V638" s="541"/>
      <c r="W638" s="541"/>
      <c r="X638" s="541"/>
      <c r="Y638" s="541"/>
      <c r="Z638" s="541"/>
    </row>
    <row r="639" spans="1:26" ht="18.75">
      <c r="A639" s="561"/>
      <c r="B639" s="538"/>
      <c r="C639" s="727"/>
      <c r="D639" s="570" t="s">
        <v>21</v>
      </c>
      <c r="E639" s="727"/>
      <c r="F639" s="727"/>
      <c r="G639" s="189"/>
      <c r="H639" s="168" t="s">
        <v>12</v>
      </c>
      <c r="I639" s="184"/>
      <c r="J639" s="184"/>
      <c r="K639" s="163"/>
      <c r="L639" s="465">
        <f t="shared" ref="L639:N639" ca="1" si="267">L640+L641</f>
        <v>0</v>
      </c>
      <c r="M639" s="465">
        <f t="shared" si="267"/>
        <v>0</v>
      </c>
      <c r="N639" s="465">
        <f t="shared" si="267"/>
        <v>0</v>
      </c>
      <c r="O639" s="465">
        <f t="shared" ref="O639:O641" ca="1" si="268">IF(L639&gt;0,N639*100/L639,0)</f>
        <v>0</v>
      </c>
      <c r="P639" s="465">
        <f t="shared" ref="P639:P641" si="269">IF(M639&gt;0,N639*100/M639,0)</f>
        <v>0</v>
      </c>
      <c r="Q639" s="541"/>
      <c r="R639" s="541"/>
      <c r="S639" s="541"/>
      <c r="T639" s="541"/>
      <c r="U639" s="541"/>
      <c r="V639" s="541"/>
      <c r="W639" s="541"/>
      <c r="X639" s="541"/>
      <c r="Y639" s="541"/>
      <c r="Z639" s="541"/>
    </row>
    <row r="640" spans="1:26" ht="18.75" hidden="1">
      <c r="A640" s="563"/>
      <c r="B640" s="571"/>
      <c r="C640" s="723"/>
      <c r="D640" s="723"/>
      <c r="E640" s="723" t="s">
        <v>18</v>
      </c>
      <c r="F640" s="723"/>
      <c r="G640" s="567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8"/>
        <v>0</v>
      </c>
      <c r="P640" s="93">
        <f t="shared" si="269"/>
        <v>0</v>
      </c>
      <c r="Q640" s="568"/>
      <c r="R640" s="568"/>
      <c r="S640" s="568"/>
      <c r="T640" s="568"/>
      <c r="U640" s="568"/>
      <c r="V640" s="568"/>
      <c r="W640" s="568"/>
      <c r="X640" s="568"/>
      <c r="Y640" s="568"/>
      <c r="Z640" s="568"/>
    </row>
    <row r="641" spans="1:26" ht="18.75" hidden="1">
      <c r="A641" s="563"/>
      <c r="B641" s="571"/>
      <c r="C641" s="723"/>
      <c r="D641" s="723"/>
      <c r="E641" s="723" t="s">
        <v>19</v>
      </c>
      <c r="F641" s="723"/>
      <c r="G641" s="567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IFERROR(__xludf.DUMMYFUNCTION("IMPORTRANGE(""https://docs.google.com/spreadsheets/d/1QqKyyYR6Q21VydFLVH3TRQUabQu_ym0Zz7PgGX0-kHA/edit?usp=sharing"",""แผน!HQ20"")"),0)</f>
        <v>0</v>
      </c>
      <c r="M641" s="93">
        <v>0</v>
      </c>
      <c r="N641" s="93">
        <v>0</v>
      </c>
      <c r="O641" s="93">
        <f t="shared" ca="1" si="268"/>
        <v>0</v>
      </c>
      <c r="P641" s="93">
        <f t="shared" si="269"/>
        <v>0</v>
      </c>
      <c r="Q641" s="568"/>
      <c r="R641" s="568"/>
      <c r="S641" s="568"/>
      <c r="T641" s="568"/>
      <c r="U641" s="568"/>
      <c r="V641" s="568"/>
      <c r="W641" s="568"/>
      <c r="X641" s="568"/>
      <c r="Y641" s="568"/>
      <c r="Z641" s="568"/>
    </row>
    <row r="642" spans="1:26" ht="19.5">
      <c r="A642" s="572"/>
      <c r="B642" s="584"/>
      <c r="C642" s="727" t="s">
        <v>16</v>
      </c>
      <c r="D642" s="853" t="s">
        <v>38</v>
      </c>
      <c r="E642" s="725"/>
      <c r="F642" s="725"/>
      <c r="G642" s="577"/>
      <c r="H642" s="726"/>
      <c r="I642" s="184"/>
      <c r="J642" s="184"/>
      <c r="K642" s="163"/>
      <c r="L642" s="163"/>
      <c r="M642" s="163"/>
      <c r="N642" s="163"/>
      <c r="O642" s="163"/>
      <c r="P642" s="163"/>
      <c r="Q642" s="541"/>
      <c r="R642" s="541"/>
      <c r="S642" s="541"/>
      <c r="T642" s="541"/>
      <c r="U642" s="541"/>
      <c r="V642" s="541"/>
      <c r="W642" s="541"/>
      <c r="X642" s="541"/>
      <c r="Y642" s="541"/>
      <c r="Z642" s="541"/>
    </row>
    <row r="643" spans="1:26" ht="18.75">
      <c r="A643" s="708"/>
      <c r="B643" s="538"/>
      <c r="C643" s="727"/>
      <c r="D643" s="592"/>
      <c r="E643" s="710" t="s">
        <v>271</v>
      </c>
      <c r="F643" s="592"/>
      <c r="G643" s="726"/>
      <c r="H643" s="728" t="s">
        <v>272</v>
      </c>
      <c r="I643" s="269">
        <f ca="1">IFERROR(__xludf.DUMMYFUNCTION("IMPORTRANGE(""https://docs.google.com/spreadsheets/d/1QqKyyYR6Q21VydFLVH3TRQUabQu_ym0Zz7PgGX0-kHA/edit?usp=sharing"",""แผน!HR20"")"),0)</f>
        <v>0</v>
      </c>
      <c r="J643" s="214">
        <v>0</v>
      </c>
      <c r="K643" s="163">
        <f t="shared" ref="K643:K652" ca="1" si="270">IF(I643&gt;0,J643*100/I643,0)</f>
        <v>0</v>
      </c>
      <c r="L643" s="163"/>
      <c r="M643" s="163"/>
      <c r="N643" s="465"/>
      <c r="O643" s="163"/>
      <c r="P643" s="163"/>
      <c r="Q643" s="541"/>
      <c r="R643" s="541"/>
      <c r="S643" s="541"/>
      <c r="T643" s="541"/>
      <c r="U643" s="541"/>
      <c r="V643" s="541"/>
      <c r="W643" s="541"/>
      <c r="X643" s="541"/>
      <c r="Y643" s="541"/>
      <c r="Z643" s="541"/>
    </row>
    <row r="644" spans="1:26" ht="18.75">
      <c r="A644" s="708"/>
      <c r="B644" s="538"/>
      <c r="C644" s="727"/>
      <c r="D644" s="592"/>
      <c r="E644" s="710" t="s">
        <v>273</v>
      </c>
      <c r="F644" s="592"/>
      <c r="G644" s="726"/>
      <c r="H644" s="728" t="s">
        <v>274</v>
      </c>
      <c r="I644" s="269">
        <f ca="1">IFERROR(__xludf.DUMMYFUNCTION("IMPORTRANGE(""https://docs.google.com/spreadsheets/d/1QqKyyYR6Q21VydFLVH3TRQUabQu_ym0Zz7PgGX0-kHA/edit?usp=sharing"",""แผน!HR20"")"),0)</f>
        <v>0</v>
      </c>
      <c r="J644" s="214">
        <v>0</v>
      </c>
      <c r="K644" s="163">
        <f t="shared" ca="1" si="270"/>
        <v>0</v>
      </c>
      <c r="L644" s="163"/>
      <c r="M644" s="163"/>
      <c r="N644" s="465"/>
      <c r="O644" s="163"/>
      <c r="P644" s="163"/>
      <c r="Q644" s="541"/>
      <c r="R644" s="541"/>
      <c r="S644" s="541"/>
      <c r="T644" s="541"/>
      <c r="U644" s="541"/>
      <c r="V644" s="541"/>
      <c r="W644" s="541"/>
      <c r="X644" s="541"/>
      <c r="Y644" s="541"/>
      <c r="Z644" s="541"/>
    </row>
    <row r="645" spans="1:26" ht="18.75">
      <c r="A645" s="708"/>
      <c r="B645" s="538"/>
      <c r="C645" s="727"/>
      <c r="D645" s="592"/>
      <c r="E645" s="710" t="s">
        <v>275</v>
      </c>
      <c r="F645" s="592"/>
      <c r="G645" s="726"/>
      <c r="H645" s="728" t="s">
        <v>34</v>
      </c>
      <c r="I645" s="269">
        <v>0</v>
      </c>
      <c r="J645" s="269">
        <f ca="1">IFERROR(__xludf.DUMMYFUNCTION("IMPORTRANGE(""https://docs.google.com/spreadsheets/d/1XWAQStnk-4SwqDmLtmXYiTMKHgktTP8We1SCoS47DrQ/edit?usp=sharing"",""จัดที่ดิน!AS20"")"),0)</f>
        <v>0</v>
      </c>
      <c r="K645" s="163">
        <f t="shared" si="270"/>
        <v>0</v>
      </c>
      <c r="L645" s="163"/>
      <c r="M645" s="163"/>
      <c r="N645" s="465"/>
      <c r="O645" s="163"/>
      <c r="P645" s="163"/>
      <c r="Q645" s="541"/>
      <c r="R645" s="541"/>
      <c r="S645" s="541"/>
      <c r="T645" s="541"/>
      <c r="U645" s="541"/>
      <c r="V645" s="541"/>
      <c r="W645" s="541"/>
      <c r="X645" s="541"/>
      <c r="Y645" s="541"/>
      <c r="Z645" s="541"/>
    </row>
    <row r="646" spans="1:26" ht="18.75">
      <c r="A646" s="708"/>
      <c r="B646" s="538"/>
      <c r="C646" s="727"/>
      <c r="D646" s="592"/>
      <c r="E646" s="592"/>
      <c r="F646" s="592"/>
      <c r="G646" s="726"/>
      <c r="H646" s="728" t="s">
        <v>46</v>
      </c>
      <c r="I646" s="269">
        <v>0</v>
      </c>
      <c r="J646" s="269">
        <f ca="1">IFERROR(__xludf.DUMMYFUNCTION("IMPORTRANGE(""https://docs.google.com/spreadsheets/d/1XWAQStnk-4SwqDmLtmXYiTMKHgktTP8We1SCoS47DrQ/edit?usp=sharing"",""จัดที่ดิน!AT20"")"),0)</f>
        <v>0</v>
      </c>
      <c r="K646" s="465">
        <f t="shared" si="270"/>
        <v>0</v>
      </c>
      <c r="L646" s="163"/>
      <c r="M646" s="163"/>
      <c r="N646" s="465"/>
      <c r="O646" s="163"/>
      <c r="P646" s="163"/>
      <c r="Q646" s="541"/>
      <c r="R646" s="541"/>
      <c r="S646" s="541"/>
      <c r="T646" s="541"/>
      <c r="U646" s="541"/>
      <c r="V646" s="541"/>
      <c r="W646" s="541"/>
      <c r="X646" s="541"/>
      <c r="Y646" s="541"/>
      <c r="Z646" s="541"/>
    </row>
    <row r="647" spans="1:26" ht="18.75">
      <c r="A647" s="708"/>
      <c r="B647" s="538"/>
      <c r="C647" s="727"/>
      <c r="D647" s="592"/>
      <c r="E647" s="710" t="s">
        <v>162</v>
      </c>
      <c r="F647" s="592"/>
      <c r="G647" s="726"/>
      <c r="H647" s="728" t="s">
        <v>35</v>
      </c>
      <c r="I647" s="269">
        <f ca="1">IFERROR(__xludf.DUMMYFUNCTION("IMPORTRANGE(""https://docs.google.com/spreadsheets/d/1QqKyyYR6Q21VydFLVH3TRQUabQu_ym0Zz7PgGX0-kHA/edit?usp=sharing"",""แผน!HS20"")"),60)</f>
        <v>60</v>
      </c>
      <c r="J647" s="269">
        <f ca="1">IFERROR(__xludf.DUMMYFUNCTION("IMPORTRANGE(""https://docs.google.com/spreadsheets/d/1XWAQStnk-4SwqDmLtmXYiTMKHgktTP8We1SCoS47DrQ/edit?usp=sharing"",""จัดที่ดิน!AU20"")"),0)</f>
        <v>0</v>
      </c>
      <c r="K647" s="163">
        <f t="shared" ca="1" si="270"/>
        <v>0</v>
      </c>
      <c r="L647" s="163"/>
      <c r="M647" s="163"/>
      <c r="N647" s="163"/>
      <c r="O647" s="163"/>
      <c r="P647" s="163"/>
      <c r="Q647" s="541"/>
      <c r="R647" s="541"/>
      <c r="S647" s="541"/>
      <c r="T647" s="541"/>
      <c r="U647" s="541"/>
      <c r="V647" s="541"/>
      <c r="W647" s="541"/>
      <c r="X647" s="541"/>
      <c r="Y647" s="541"/>
      <c r="Z647" s="541"/>
    </row>
    <row r="648" spans="1:26" ht="18.75">
      <c r="A648" s="708"/>
      <c r="B648" s="538"/>
      <c r="C648" s="727"/>
      <c r="D648" s="592"/>
      <c r="E648" s="592"/>
      <c r="F648" s="592"/>
      <c r="G648" s="726"/>
      <c r="H648" s="728" t="s">
        <v>46</v>
      </c>
      <c r="I648" s="269">
        <v>0</v>
      </c>
      <c r="J648" s="269">
        <f ca="1">IFERROR(__xludf.DUMMYFUNCTION("IMPORTRANGE(""https://docs.google.com/spreadsheets/d/1XWAQStnk-4SwqDmLtmXYiTMKHgktTP8We1SCoS47DrQ/edit?usp=sharing"",""จัดที่ดิน!AV20"")"),0)</f>
        <v>0</v>
      </c>
      <c r="K648" s="465">
        <f t="shared" si="270"/>
        <v>0</v>
      </c>
      <c r="L648" s="163"/>
      <c r="M648" s="163"/>
      <c r="N648" s="163"/>
      <c r="O648" s="163"/>
      <c r="P648" s="163"/>
      <c r="Q648" s="541"/>
      <c r="R648" s="541"/>
      <c r="S648" s="541"/>
      <c r="T648" s="541"/>
      <c r="U648" s="541"/>
      <c r="V648" s="541"/>
      <c r="W648" s="541"/>
      <c r="X648" s="541"/>
      <c r="Y648" s="541"/>
      <c r="Z648" s="541"/>
    </row>
    <row r="649" spans="1:26" ht="18.75">
      <c r="A649" s="708"/>
      <c r="B649" s="538"/>
      <c r="C649" s="727"/>
      <c r="D649" s="592"/>
      <c r="E649" s="710" t="s">
        <v>276</v>
      </c>
      <c r="F649" s="592"/>
      <c r="G649" s="726"/>
      <c r="H649" s="728" t="s">
        <v>35</v>
      </c>
      <c r="I649" s="269">
        <f ca="1">IFERROR(__xludf.DUMMYFUNCTION("IMPORTRANGE(""https://docs.google.com/spreadsheets/d/1QqKyyYR6Q21VydFLVH3TRQUabQu_ym0Zz7PgGX0-kHA/edit?usp=sharing"",""แผน!HS20"")"),60)</f>
        <v>60</v>
      </c>
      <c r="J649" s="269">
        <f ca="1">IFERROR(__xludf.DUMMYFUNCTION("IMPORTRANGE(""https://docs.google.com/spreadsheets/d/1XWAQStnk-4SwqDmLtmXYiTMKHgktTP8We1SCoS47DrQ/edit?usp=sharing"",""จัดที่ดิน!AW20"")"),0)</f>
        <v>0</v>
      </c>
      <c r="K649" s="163">
        <f t="shared" ca="1" si="270"/>
        <v>0</v>
      </c>
      <c r="L649" s="163"/>
      <c r="M649" s="163"/>
      <c r="N649" s="163"/>
      <c r="O649" s="163"/>
      <c r="P649" s="163"/>
      <c r="Q649" s="541"/>
      <c r="R649" s="541"/>
      <c r="S649" s="541"/>
      <c r="T649" s="541"/>
      <c r="U649" s="541"/>
      <c r="V649" s="541"/>
      <c r="W649" s="541"/>
      <c r="X649" s="541"/>
      <c r="Y649" s="541"/>
      <c r="Z649" s="541"/>
    </row>
    <row r="650" spans="1:26" ht="18.75">
      <c r="A650" s="708"/>
      <c r="B650" s="538"/>
      <c r="C650" s="727"/>
      <c r="D650" s="592"/>
      <c r="E650" s="592"/>
      <c r="F650" s="592"/>
      <c r="G650" s="726"/>
      <c r="H650" s="728" t="s">
        <v>46</v>
      </c>
      <c r="I650" s="269">
        <v>0</v>
      </c>
      <c r="J650" s="269">
        <f ca="1">IFERROR(__xludf.DUMMYFUNCTION("IMPORTRANGE(""https://docs.google.com/spreadsheets/d/1XWAQStnk-4SwqDmLtmXYiTMKHgktTP8We1SCoS47DrQ/edit?usp=sharing"",""จัดที่ดิน!AX20"")"),0)</f>
        <v>0</v>
      </c>
      <c r="K650" s="465">
        <f t="shared" si="270"/>
        <v>0</v>
      </c>
      <c r="L650" s="163"/>
      <c r="M650" s="163"/>
      <c r="N650" s="163"/>
      <c r="O650" s="163"/>
      <c r="P650" s="163"/>
      <c r="Q650" s="541"/>
      <c r="R650" s="541"/>
      <c r="S650" s="541"/>
      <c r="T650" s="541"/>
      <c r="U650" s="541"/>
      <c r="V650" s="541"/>
      <c r="W650" s="541"/>
      <c r="X650" s="541"/>
      <c r="Y650" s="541"/>
      <c r="Z650" s="541"/>
    </row>
    <row r="651" spans="1:26" ht="18.75">
      <c r="A651" s="708"/>
      <c r="B651" s="538"/>
      <c r="C651" s="727"/>
      <c r="D651" s="592"/>
      <c r="E651" s="710" t="s">
        <v>277</v>
      </c>
      <c r="F651" s="592"/>
      <c r="G651" s="726"/>
      <c r="H651" s="728" t="s">
        <v>35</v>
      </c>
      <c r="I651" s="269">
        <f ca="1">IFERROR(__xludf.DUMMYFUNCTION("IMPORTRANGE(""https://docs.google.com/spreadsheets/d/1QqKyyYR6Q21VydFLVH3TRQUabQu_ym0Zz7PgGX0-kHA/edit?usp=sharing"",""แผน!HS20"")"),60)</f>
        <v>60</v>
      </c>
      <c r="J651" s="269">
        <f ca="1">IFERROR(__xludf.DUMMYFUNCTION("IMPORTRANGE(""https://docs.google.com/spreadsheets/d/1XWAQStnk-4SwqDmLtmXYiTMKHgktTP8We1SCoS47DrQ/edit?usp=sharing"",""จัดที่ดิน!AY20"")"),0)</f>
        <v>0</v>
      </c>
      <c r="K651" s="163">
        <f t="shared" ca="1" si="270"/>
        <v>0</v>
      </c>
      <c r="L651" s="163"/>
      <c r="M651" s="163"/>
      <c r="N651" s="163"/>
      <c r="O651" s="163"/>
      <c r="P651" s="163"/>
      <c r="Q651" s="541"/>
      <c r="R651" s="541"/>
      <c r="S651" s="541"/>
      <c r="T651" s="541"/>
      <c r="U651" s="541"/>
      <c r="V651" s="541"/>
      <c r="W651" s="541"/>
      <c r="X651" s="541"/>
      <c r="Y651" s="541"/>
      <c r="Z651" s="541"/>
    </row>
    <row r="652" spans="1:26" ht="18.75">
      <c r="A652" s="711"/>
      <c r="B652" s="712"/>
      <c r="C652" s="713"/>
      <c r="D652" s="698"/>
      <c r="E652" s="698"/>
      <c r="F652" s="698"/>
      <c r="G652" s="699"/>
      <c r="H652" s="467" t="s">
        <v>46</v>
      </c>
      <c r="I652" s="468">
        <v>0</v>
      </c>
      <c r="J652" s="468">
        <f ca="1">IFERROR(__xludf.DUMMYFUNCTION("IMPORTRANGE(""https://docs.google.com/spreadsheets/d/1XWAQStnk-4SwqDmLtmXYiTMKHgktTP8We1SCoS47DrQ/edit?usp=sharing"",""จัดที่ดิน!AZ20"")"),0)</f>
        <v>0</v>
      </c>
      <c r="K652" s="469">
        <f t="shared" si="270"/>
        <v>0</v>
      </c>
      <c r="L652" s="353"/>
      <c r="M652" s="353"/>
      <c r="N652" s="353"/>
      <c r="O652" s="353"/>
      <c r="P652" s="353"/>
      <c r="Q652" s="541"/>
      <c r="R652" s="541"/>
      <c r="S652" s="541"/>
      <c r="T652" s="541"/>
      <c r="U652" s="541"/>
      <c r="V652" s="541"/>
      <c r="W652" s="541"/>
      <c r="X652" s="541"/>
      <c r="Y652" s="541"/>
      <c r="Z652" s="541"/>
    </row>
    <row r="653" spans="1:26" ht="19.5">
      <c r="A653" s="714">
        <v>8</v>
      </c>
      <c r="B653" s="701" t="s">
        <v>278</v>
      </c>
      <c r="C653" s="702"/>
      <c r="D653" s="702"/>
      <c r="E653" s="702"/>
      <c r="F653" s="702"/>
      <c r="G653" s="703"/>
      <c r="H653" s="703"/>
      <c r="I653" s="715"/>
      <c r="J653" s="715"/>
      <c r="K653" s="707"/>
      <c r="L653" s="707"/>
      <c r="M653" s="707"/>
      <c r="N653" s="707"/>
      <c r="O653" s="707"/>
      <c r="P653" s="707"/>
      <c r="Q653" s="541"/>
      <c r="R653" s="541"/>
      <c r="S653" s="541"/>
      <c r="T653" s="541"/>
      <c r="U653" s="541"/>
      <c r="V653" s="541"/>
      <c r="W653" s="541"/>
      <c r="X653" s="541"/>
      <c r="Y653" s="541"/>
      <c r="Z653" s="541"/>
    </row>
    <row r="654" spans="1:26" ht="19.5">
      <c r="A654" s="639"/>
      <c r="B654" s="638" t="s">
        <v>279</v>
      </c>
      <c r="C654" s="639"/>
      <c r="D654" s="639"/>
      <c r="E654" s="639"/>
      <c r="F654" s="639"/>
      <c r="G654" s="640"/>
      <c r="H654" s="671" t="s">
        <v>46</v>
      </c>
      <c r="I654" s="672">
        <f t="shared" ref="I654:J654" ca="1" si="271">I669</f>
        <v>50</v>
      </c>
      <c r="J654" s="672">
        <f t="shared" si="271"/>
        <v>0</v>
      </c>
      <c r="K654" s="643">
        <f ca="1">IF(I654&gt;0,J654*100/I654,0)</f>
        <v>0</v>
      </c>
      <c r="L654" s="644"/>
      <c r="M654" s="644"/>
      <c r="N654" s="644"/>
      <c r="O654" s="644"/>
      <c r="P654" s="644"/>
      <c r="Q654" s="541"/>
      <c r="R654" s="541"/>
      <c r="S654" s="541"/>
      <c r="T654" s="541"/>
      <c r="U654" s="541"/>
      <c r="V654" s="541"/>
      <c r="W654" s="541"/>
      <c r="X654" s="541"/>
      <c r="Y654" s="541"/>
      <c r="Z654" s="541"/>
    </row>
    <row r="655" spans="1:26" ht="19.5">
      <c r="A655" s="561"/>
      <c r="B655" s="727"/>
      <c r="C655" s="727" t="s">
        <v>16</v>
      </c>
      <c r="D655" s="811" t="s">
        <v>17</v>
      </c>
      <c r="E655" s="805"/>
      <c r="F655" s="805"/>
      <c r="G655" s="189"/>
      <c r="H655" s="562" t="s">
        <v>12</v>
      </c>
      <c r="I655" s="269"/>
      <c r="J655" s="269"/>
      <c r="K655" s="465"/>
      <c r="L655" s="195">
        <f t="shared" ref="L655:N655" ca="1" si="272">L656+L657</f>
        <v>9400</v>
      </c>
      <c r="M655" s="195">
        <f t="shared" si="272"/>
        <v>0</v>
      </c>
      <c r="N655" s="195">
        <f t="shared" si="272"/>
        <v>0</v>
      </c>
      <c r="O655" s="195">
        <f t="shared" ref="O655:O660" ca="1" si="273">IF(L655&gt;0,N655*100/L655,0)</f>
        <v>0</v>
      </c>
      <c r="P655" s="195">
        <f t="shared" ref="P655:P660" si="274">IF(M655&gt;0,N655*100/M655,0)</f>
        <v>0</v>
      </c>
      <c r="Q655" s="541"/>
      <c r="R655" s="541"/>
      <c r="S655" s="541"/>
      <c r="T655" s="541"/>
      <c r="U655" s="541"/>
      <c r="V655" s="541"/>
      <c r="W655" s="541"/>
      <c r="X655" s="541"/>
      <c r="Y655" s="541"/>
      <c r="Z655" s="541"/>
    </row>
    <row r="656" spans="1:26" ht="18.75" hidden="1">
      <c r="A656" s="563"/>
      <c r="B656" s="723"/>
      <c r="C656" s="723"/>
      <c r="D656" s="684"/>
      <c r="E656" s="723" t="s">
        <v>184</v>
      </c>
      <c r="F656" s="723"/>
      <c r="G656" s="567"/>
      <c r="H656" s="165" t="s">
        <v>12</v>
      </c>
      <c r="I656" s="583"/>
      <c r="J656" s="583"/>
      <c r="K656" s="93"/>
      <c r="L656" s="93">
        <f t="shared" ref="L656:N657" si="275">L659+L666</f>
        <v>0</v>
      </c>
      <c r="M656" s="93">
        <f t="shared" si="275"/>
        <v>0</v>
      </c>
      <c r="N656" s="93">
        <f t="shared" si="275"/>
        <v>0</v>
      </c>
      <c r="O656" s="93">
        <f t="shared" si="273"/>
        <v>0</v>
      </c>
      <c r="P656" s="93">
        <f t="shared" si="274"/>
        <v>0</v>
      </c>
      <c r="Q656" s="568"/>
      <c r="R656" s="568"/>
      <c r="S656" s="568"/>
      <c r="T656" s="568"/>
      <c r="U656" s="568"/>
      <c r="V656" s="568"/>
      <c r="W656" s="568"/>
      <c r="X656" s="568"/>
      <c r="Y656" s="568"/>
      <c r="Z656" s="568"/>
    </row>
    <row r="657" spans="1:26" ht="18.75" hidden="1">
      <c r="A657" s="563"/>
      <c r="B657" s="571"/>
      <c r="C657" s="723"/>
      <c r="D657" s="684"/>
      <c r="E657" s="723" t="s">
        <v>185</v>
      </c>
      <c r="F657" s="723"/>
      <c r="G657" s="567"/>
      <c r="H657" s="165" t="s">
        <v>12</v>
      </c>
      <c r="I657" s="583"/>
      <c r="J657" s="583"/>
      <c r="K657" s="93"/>
      <c r="L657" s="93">
        <f t="shared" ca="1" si="275"/>
        <v>9400</v>
      </c>
      <c r="M657" s="93">
        <f t="shared" si="275"/>
        <v>0</v>
      </c>
      <c r="N657" s="93">
        <f t="shared" si="275"/>
        <v>0</v>
      </c>
      <c r="O657" s="93">
        <f t="shared" ca="1" si="273"/>
        <v>0</v>
      </c>
      <c r="P657" s="93">
        <f t="shared" si="274"/>
        <v>0</v>
      </c>
      <c r="Q657" s="568"/>
      <c r="R657" s="568"/>
      <c r="S657" s="568"/>
      <c r="T657" s="568"/>
      <c r="U657" s="568"/>
      <c r="V657" s="568"/>
      <c r="W657" s="568"/>
      <c r="X657" s="568"/>
      <c r="Y657" s="568"/>
      <c r="Z657" s="568"/>
    </row>
    <row r="658" spans="1:26" ht="18.75">
      <c r="A658" s="561"/>
      <c r="B658" s="538"/>
      <c r="C658" s="727"/>
      <c r="D658" s="570" t="s">
        <v>20</v>
      </c>
      <c r="E658" s="727"/>
      <c r="F658" s="727"/>
      <c r="G658" s="189"/>
      <c r="H658" s="161" t="s">
        <v>12</v>
      </c>
      <c r="I658" s="184"/>
      <c r="J658" s="184"/>
      <c r="K658" s="163"/>
      <c r="L658" s="465">
        <f t="shared" ref="L658:N658" ca="1" si="276">L659+L660</f>
        <v>9400</v>
      </c>
      <c r="M658" s="465">
        <f t="shared" si="276"/>
        <v>0</v>
      </c>
      <c r="N658" s="465">
        <f t="shared" si="276"/>
        <v>0</v>
      </c>
      <c r="O658" s="465">
        <f t="shared" ca="1" si="273"/>
        <v>0</v>
      </c>
      <c r="P658" s="465">
        <f t="shared" si="274"/>
        <v>0</v>
      </c>
      <c r="Q658" s="541"/>
      <c r="R658" s="541"/>
      <c r="S658" s="541"/>
      <c r="T658" s="541"/>
      <c r="U658" s="541"/>
      <c r="V658" s="541"/>
      <c r="W658" s="541"/>
      <c r="X658" s="541"/>
      <c r="Y658" s="541"/>
      <c r="Z658" s="541"/>
    </row>
    <row r="659" spans="1:26" ht="18.75" hidden="1">
      <c r="A659" s="563"/>
      <c r="B659" s="571"/>
      <c r="C659" s="723"/>
      <c r="D659" s="684"/>
      <c r="E659" s="723" t="s">
        <v>184</v>
      </c>
      <c r="F659" s="723"/>
      <c r="G659" s="567"/>
      <c r="H659" s="165" t="s">
        <v>12</v>
      </c>
      <c r="I659" s="583"/>
      <c r="J659" s="583"/>
      <c r="K659" s="93"/>
      <c r="L659" s="93">
        <v>0</v>
      </c>
      <c r="M659" s="93">
        <v>0</v>
      </c>
      <c r="N659" s="93">
        <v>0</v>
      </c>
      <c r="O659" s="93">
        <f t="shared" si="273"/>
        <v>0</v>
      </c>
      <c r="P659" s="93">
        <f t="shared" si="274"/>
        <v>0</v>
      </c>
      <c r="Q659" s="568"/>
      <c r="R659" s="568"/>
      <c r="S659" s="568"/>
      <c r="T659" s="568"/>
      <c r="U659" s="568"/>
      <c r="V659" s="568"/>
      <c r="W659" s="568"/>
      <c r="X659" s="568"/>
      <c r="Y659" s="568"/>
      <c r="Z659" s="568"/>
    </row>
    <row r="660" spans="1:26" ht="18.75" hidden="1">
      <c r="A660" s="563"/>
      <c r="B660" s="571"/>
      <c r="C660" s="723"/>
      <c r="D660" s="684"/>
      <c r="E660" s="723" t="s">
        <v>185</v>
      </c>
      <c r="F660" s="723"/>
      <c r="G660" s="567"/>
      <c r="H660" s="165" t="s">
        <v>12</v>
      </c>
      <c r="I660" s="583"/>
      <c r="J660" s="583"/>
      <c r="K660" s="93"/>
      <c r="L660" s="93">
        <f ca="1">IFERROR(__xludf.DUMMYFUNCTION("IMPORTRANGE(""https://docs.google.com/spreadsheets/d/1QqKyyYR6Q21VydFLVH3TRQUabQu_ym0Zz7PgGX0-kHA/edit?usp=sharing"",""แผน!HV20"")"),9400)</f>
        <v>9400</v>
      </c>
      <c r="M660" s="93">
        <v>0</v>
      </c>
      <c r="N660" s="93">
        <f>N661+N662+N663+N664</f>
        <v>0</v>
      </c>
      <c r="O660" s="93">
        <f t="shared" ca="1" si="273"/>
        <v>0</v>
      </c>
      <c r="P660" s="93">
        <f t="shared" si="274"/>
        <v>0</v>
      </c>
      <c r="Q660" s="568"/>
      <c r="R660" s="568"/>
      <c r="S660" s="568"/>
      <c r="T660" s="568"/>
      <c r="U660" s="568"/>
      <c r="V660" s="568"/>
      <c r="W660" s="568"/>
      <c r="X660" s="568"/>
      <c r="Y660" s="568"/>
      <c r="Z660" s="568"/>
    </row>
    <row r="661" spans="1:26" ht="18.75">
      <c r="A661" s="537"/>
      <c r="B661" s="538"/>
      <c r="C661" s="727"/>
      <c r="D661" s="727"/>
      <c r="E661" s="727"/>
      <c r="F661" s="727" t="s">
        <v>186</v>
      </c>
      <c r="G661" s="189"/>
      <c r="H661" s="161" t="s">
        <v>12</v>
      </c>
      <c r="I661" s="269"/>
      <c r="J661" s="269"/>
      <c r="K661" s="465"/>
      <c r="L661" s="465"/>
      <c r="M661" s="465"/>
      <c r="N661" s="789">
        <v>0</v>
      </c>
      <c r="O661" s="465"/>
      <c r="P661" s="465"/>
      <c r="Q661" s="541"/>
      <c r="R661" s="541"/>
      <c r="S661" s="541"/>
      <c r="T661" s="541"/>
      <c r="U661" s="541"/>
      <c r="V661" s="541"/>
      <c r="W661" s="541"/>
      <c r="X661" s="541"/>
      <c r="Y661" s="541"/>
      <c r="Z661" s="541"/>
    </row>
    <row r="662" spans="1:26" ht="18.75">
      <c r="A662" s="537"/>
      <c r="B662" s="538"/>
      <c r="C662" s="727"/>
      <c r="D662" s="727"/>
      <c r="E662" s="727"/>
      <c r="F662" s="727" t="s">
        <v>187</v>
      </c>
      <c r="G662" s="189"/>
      <c r="H662" s="161" t="s">
        <v>12</v>
      </c>
      <c r="I662" s="269"/>
      <c r="J662" s="269"/>
      <c r="K662" s="465"/>
      <c r="L662" s="465"/>
      <c r="M662" s="465"/>
      <c r="N662" s="789">
        <v>0</v>
      </c>
      <c r="O662" s="465"/>
      <c r="P662" s="465"/>
      <c r="Q662" s="541"/>
      <c r="R662" s="541"/>
      <c r="S662" s="541"/>
      <c r="T662" s="541"/>
      <c r="U662" s="541"/>
      <c r="V662" s="541"/>
      <c r="W662" s="541"/>
      <c r="X662" s="541"/>
      <c r="Y662" s="541"/>
      <c r="Z662" s="541"/>
    </row>
    <row r="663" spans="1:26" ht="18.75">
      <c r="A663" s="537"/>
      <c r="B663" s="538"/>
      <c r="C663" s="538"/>
      <c r="D663" s="727"/>
      <c r="E663" s="727"/>
      <c r="F663" s="727" t="s">
        <v>188</v>
      </c>
      <c r="G663" s="189"/>
      <c r="H663" s="161" t="s">
        <v>12</v>
      </c>
      <c r="I663" s="269"/>
      <c r="J663" s="269"/>
      <c r="K663" s="465"/>
      <c r="L663" s="465"/>
      <c r="M663" s="465"/>
      <c r="N663" s="789">
        <v>0</v>
      </c>
      <c r="O663" s="465"/>
      <c r="P663" s="465"/>
      <c r="Q663" s="541"/>
      <c r="R663" s="541"/>
      <c r="S663" s="541"/>
      <c r="T663" s="541"/>
      <c r="U663" s="541"/>
      <c r="V663" s="541"/>
      <c r="W663" s="541"/>
      <c r="X663" s="541"/>
      <c r="Y663" s="541"/>
      <c r="Z663" s="541"/>
    </row>
    <row r="664" spans="1:26" ht="18.75">
      <c r="A664" s="537"/>
      <c r="B664" s="538"/>
      <c r="C664" s="538"/>
      <c r="D664" s="538"/>
      <c r="E664" s="727"/>
      <c r="F664" s="727" t="s">
        <v>189</v>
      </c>
      <c r="G664" s="189"/>
      <c r="H664" s="161" t="s">
        <v>12</v>
      </c>
      <c r="I664" s="269"/>
      <c r="J664" s="269"/>
      <c r="K664" s="465"/>
      <c r="L664" s="465"/>
      <c r="M664" s="465"/>
      <c r="N664" s="789">
        <v>0</v>
      </c>
      <c r="O664" s="465"/>
      <c r="P664" s="465"/>
      <c r="Q664" s="541"/>
      <c r="R664" s="541"/>
      <c r="S664" s="541"/>
      <c r="T664" s="541"/>
      <c r="U664" s="541"/>
      <c r="V664" s="541"/>
      <c r="W664" s="541"/>
      <c r="X664" s="541"/>
      <c r="Y664" s="541"/>
      <c r="Z664" s="541"/>
    </row>
    <row r="665" spans="1:26" ht="18.75">
      <c r="A665" s="561"/>
      <c r="B665" s="538"/>
      <c r="C665" s="538"/>
      <c r="D665" s="570" t="s">
        <v>21</v>
      </c>
      <c r="E665" s="727"/>
      <c r="F665" s="727"/>
      <c r="G665" s="189"/>
      <c r="H665" s="168" t="s">
        <v>12</v>
      </c>
      <c r="I665" s="184"/>
      <c r="J665" s="184"/>
      <c r="K665" s="163"/>
      <c r="L665" s="465">
        <f t="shared" ref="L665:N665" si="277">L666+L667</f>
        <v>0</v>
      </c>
      <c r="M665" s="465">
        <f t="shared" si="277"/>
        <v>0</v>
      </c>
      <c r="N665" s="465">
        <f t="shared" si="277"/>
        <v>0</v>
      </c>
      <c r="O665" s="465">
        <f t="shared" ref="O665:O667" si="278">IF(L665&gt;0,N665*100/L665,0)</f>
        <v>0</v>
      </c>
      <c r="P665" s="465">
        <f t="shared" ref="P665:P667" si="279">IF(M665&gt;0,N665*100/M665,0)</f>
        <v>0</v>
      </c>
      <c r="Q665" s="541"/>
      <c r="R665" s="541"/>
      <c r="S665" s="541"/>
      <c r="T665" s="541"/>
      <c r="U665" s="541"/>
      <c r="V665" s="541"/>
      <c r="W665" s="541"/>
      <c r="X665" s="541"/>
      <c r="Y665" s="541"/>
      <c r="Z665" s="541"/>
    </row>
    <row r="666" spans="1:26" ht="18.75" hidden="1">
      <c r="A666" s="563"/>
      <c r="B666" s="571"/>
      <c r="C666" s="571"/>
      <c r="D666" s="571"/>
      <c r="E666" s="723" t="s">
        <v>18</v>
      </c>
      <c r="F666" s="723"/>
      <c r="G666" s="567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8"/>
        <v>0</v>
      </c>
      <c r="P666" s="93">
        <f t="shared" si="279"/>
        <v>0</v>
      </c>
      <c r="Q666" s="568"/>
      <c r="R666" s="568"/>
      <c r="S666" s="568"/>
      <c r="T666" s="568"/>
      <c r="U666" s="568"/>
      <c r="V666" s="568"/>
      <c r="W666" s="568"/>
      <c r="X666" s="568"/>
      <c r="Y666" s="568"/>
      <c r="Z666" s="568"/>
    </row>
    <row r="667" spans="1:26" ht="18.75" hidden="1">
      <c r="A667" s="563"/>
      <c r="B667" s="571"/>
      <c r="C667" s="571"/>
      <c r="D667" s="571"/>
      <c r="E667" s="723" t="s">
        <v>19</v>
      </c>
      <c r="F667" s="723"/>
      <c r="G667" s="567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8"/>
        <v>0</v>
      </c>
      <c r="P667" s="93">
        <f t="shared" si="279"/>
        <v>0</v>
      </c>
      <c r="Q667" s="568"/>
      <c r="R667" s="568"/>
      <c r="S667" s="568"/>
      <c r="T667" s="568"/>
      <c r="U667" s="568"/>
      <c r="V667" s="568"/>
      <c r="W667" s="568"/>
      <c r="X667" s="568"/>
      <c r="Y667" s="568"/>
      <c r="Z667" s="568"/>
    </row>
    <row r="668" spans="1:26" ht="19.5">
      <c r="A668" s="572"/>
      <c r="B668" s="584"/>
      <c r="C668" s="538" t="s">
        <v>16</v>
      </c>
      <c r="D668" s="850" t="s">
        <v>38</v>
      </c>
      <c r="E668" s="725"/>
      <c r="F668" s="725"/>
      <c r="G668" s="577"/>
      <c r="H668" s="726"/>
      <c r="I668" s="184"/>
      <c r="J668" s="184"/>
      <c r="K668" s="163"/>
      <c r="L668" s="163"/>
      <c r="M668" s="163"/>
      <c r="N668" s="163"/>
      <c r="O668" s="163"/>
      <c r="P668" s="163"/>
      <c r="Q668" s="541"/>
      <c r="R668" s="541"/>
      <c r="S668" s="541"/>
      <c r="T668" s="541"/>
      <c r="U668" s="541"/>
      <c r="V668" s="541"/>
      <c r="W668" s="541"/>
      <c r="X668" s="541"/>
      <c r="Y668" s="541"/>
      <c r="Z668" s="541"/>
    </row>
    <row r="669" spans="1:26" ht="19.5">
      <c r="A669" s="572"/>
      <c r="B669" s="584"/>
      <c r="C669" s="584"/>
      <c r="D669" s="584" t="s">
        <v>280</v>
      </c>
      <c r="E669" s="592"/>
      <c r="F669" s="592"/>
      <c r="G669" s="726"/>
      <c r="H669" s="731" t="s">
        <v>46</v>
      </c>
      <c r="I669" s="647">
        <f ca="1">IFERROR(__xludf.DUMMYFUNCTION("IMPORTRANGE(""https://docs.google.com/spreadsheets/d/1QqKyyYR6Q21VydFLVH3TRQUabQu_ym0Zz7PgGX0-kHA/edit?usp=sharing"",""แผน!IA20"")"),50)</f>
        <v>50</v>
      </c>
      <c r="J669" s="647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41"/>
      <c r="R669" s="541"/>
      <c r="S669" s="541"/>
      <c r="T669" s="541"/>
      <c r="U669" s="541"/>
      <c r="V669" s="541"/>
      <c r="W669" s="541"/>
      <c r="X669" s="541"/>
      <c r="Y669" s="541"/>
      <c r="Z669" s="541"/>
    </row>
    <row r="670" spans="1:26" ht="18.75">
      <c r="A670" s="572"/>
      <c r="B670" s="584"/>
      <c r="C670" s="584"/>
      <c r="D670" s="584"/>
      <c r="E670" s="592" t="s">
        <v>281</v>
      </c>
      <c r="F670" s="592"/>
      <c r="G670" s="726"/>
      <c r="H670" s="728" t="s">
        <v>69</v>
      </c>
      <c r="I670" s="269">
        <f ca="1">IFERROR(__xludf.DUMMYFUNCTION("IMPORTRANGE(""https://docs.google.com/spreadsheets/d/1QqKyyYR6Q21VydFLVH3TRQUabQu_ym0Zz7PgGX0-kHA/edit?usp=sharing"",""แผน!HZ20"")"),4)</f>
        <v>4</v>
      </c>
      <c r="J670" s="214">
        <v>0</v>
      </c>
      <c r="K670" s="465">
        <f ca="1">IF(I670&gt;0,(J670*100)/I670,0)</f>
        <v>0</v>
      </c>
      <c r="L670" s="163"/>
      <c r="M670" s="163"/>
      <c r="N670" s="163"/>
      <c r="O670" s="163"/>
      <c r="P670" s="163"/>
      <c r="Q670" s="541"/>
      <c r="R670" s="541"/>
      <c r="S670" s="541"/>
      <c r="T670" s="541"/>
      <c r="U670" s="541"/>
      <c r="V670" s="541"/>
      <c r="W670" s="541"/>
      <c r="X670" s="541"/>
      <c r="Y670" s="541"/>
      <c r="Z670" s="541"/>
    </row>
    <row r="671" spans="1:26" ht="18.75">
      <c r="A671" s="572"/>
      <c r="B671" s="584"/>
      <c r="C671" s="584"/>
      <c r="D671" s="584"/>
      <c r="E671" s="592" t="s">
        <v>282</v>
      </c>
      <c r="F671" s="592"/>
      <c r="G671" s="726"/>
      <c r="H671" s="728" t="s">
        <v>69</v>
      </c>
      <c r="I671" s="269">
        <f ca="1">IFERROR(__xludf.DUMMYFUNCTION("IMPORTRANGE(""https://docs.google.com/spreadsheets/d/1QqKyyYR6Q21VydFLVH3TRQUabQu_ym0Zz7PgGX0-kHA/edit?usp=sharing"",""แผน!HZ20"")"),4)</f>
        <v>4</v>
      </c>
      <c r="J671" s="214">
        <v>0</v>
      </c>
      <c r="K671" s="465">
        <f ca="1">IF(I$671&gt;0,J671*100/I$671,0)</f>
        <v>0</v>
      </c>
      <c r="L671" s="163"/>
      <c r="M671" s="163"/>
      <c r="N671" s="163"/>
      <c r="O671" s="163"/>
      <c r="P671" s="163"/>
      <c r="Q671" s="541"/>
      <c r="R671" s="541"/>
      <c r="S671" s="541"/>
      <c r="T671" s="541"/>
      <c r="U671" s="541"/>
      <c r="V671" s="541"/>
      <c r="W671" s="541"/>
      <c r="X671" s="541"/>
      <c r="Y671" s="541"/>
      <c r="Z671" s="541"/>
    </row>
    <row r="672" spans="1:26" ht="18.75">
      <c r="A672" s="572"/>
      <c r="B672" s="584"/>
      <c r="C672" s="584"/>
      <c r="D672" s="584"/>
      <c r="E672" s="592" t="s">
        <v>283</v>
      </c>
      <c r="F672" s="592"/>
      <c r="G672" s="726"/>
      <c r="H672" s="728" t="s">
        <v>46</v>
      </c>
      <c r="I672" s="269"/>
      <c r="J672" s="214">
        <v>0</v>
      </c>
      <c r="K672" s="465">
        <f t="shared" ref="K672:K675" ca="1" si="280">IF(I$669&gt;0,J672*100/I$669,0)</f>
        <v>0</v>
      </c>
      <c r="L672" s="163"/>
      <c r="M672" s="163"/>
      <c r="N672" s="163"/>
      <c r="O672" s="163"/>
      <c r="P672" s="163"/>
      <c r="Q672" s="541"/>
      <c r="R672" s="541"/>
      <c r="S672" s="541"/>
      <c r="T672" s="541"/>
      <c r="U672" s="541"/>
      <c r="V672" s="541"/>
      <c r="W672" s="541"/>
      <c r="X672" s="541"/>
      <c r="Y672" s="541"/>
      <c r="Z672" s="541"/>
    </row>
    <row r="673" spans="1:26" ht="18.75">
      <c r="A673" s="572"/>
      <c r="B673" s="584"/>
      <c r="C673" s="584"/>
      <c r="D673" s="584"/>
      <c r="E673" s="592" t="s">
        <v>284</v>
      </c>
      <c r="F673" s="592"/>
      <c r="G673" s="726"/>
      <c r="H673" s="728" t="s">
        <v>46</v>
      </c>
      <c r="I673" s="269"/>
      <c r="J673" s="214">
        <v>0</v>
      </c>
      <c r="K673" s="465">
        <f t="shared" ca="1" si="280"/>
        <v>0</v>
      </c>
      <c r="L673" s="163"/>
      <c r="M673" s="163"/>
      <c r="N673" s="163"/>
      <c r="O673" s="163"/>
      <c r="P673" s="163"/>
      <c r="Q673" s="541"/>
      <c r="R673" s="541"/>
      <c r="S673" s="541"/>
      <c r="T673" s="541"/>
      <c r="U673" s="541"/>
      <c r="V673" s="541"/>
      <c r="W673" s="541"/>
      <c r="X673" s="541"/>
      <c r="Y673" s="541"/>
      <c r="Z673" s="541"/>
    </row>
    <row r="674" spans="1:26" ht="18.75">
      <c r="A674" s="572"/>
      <c r="B674" s="584"/>
      <c r="C674" s="584"/>
      <c r="D674" s="584"/>
      <c r="E674" s="592" t="s">
        <v>285</v>
      </c>
      <c r="F674" s="592"/>
      <c r="G674" s="726"/>
      <c r="H674" s="728" t="s">
        <v>46</v>
      </c>
      <c r="I674" s="269"/>
      <c r="J674" s="214">
        <v>0</v>
      </c>
      <c r="K674" s="465">
        <f t="shared" ca="1" si="280"/>
        <v>0</v>
      </c>
      <c r="L674" s="163"/>
      <c r="M674" s="163"/>
      <c r="N674" s="163"/>
      <c r="O674" s="163"/>
      <c r="P674" s="163"/>
      <c r="Q674" s="541"/>
      <c r="R674" s="541"/>
      <c r="S674" s="541"/>
      <c r="T674" s="541"/>
      <c r="U674" s="541"/>
      <c r="V674" s="541"/>
      <c r="W674" s="541"/>
      <c r="X674" s="541"/>
      <c r="Y674" s="541"/>
      <c r="Z674" s="541"/>
    </row>
    <row r="675" spans="1:26" ht="19.5">
      <c r="A675" s="572"/>
      <c r="B675" s="584"/>
      <c r="C675" s="584"/>
      <c r="D675" s="584"/>
      <c r="E675" s="592" t="s">
        <v>286</v>
      </c>
      <c r="F675" s="592"/>
      <c r="G675" s="726"/>
      <c r="H675" s="728" t="s">
        <v>46</v>
      </c>
      <c r="I675" s="269"/>
      <c r="J675" s="647">
        <f>J676+J677</f>
        <v>0</v>
      </c>
      <c r="K675" s="195">
        <f t="shared" ca="1" si="280"/>
        <v>0</v>
      </c>
      <c r="L675" s="163"/>
      <c r="M675" s="163"/>
      <c r="N675" s="163"/>
      <c r="O675" s="163"/>
      <c r="P675" s="163"/>
      <c r="Q675" s="541"/>
      <c r="R675" s="541"/>
      <c r="S675" s="541"/>
      <c r="T675" s="541"/>
      <c r="U675" s="541"/>
      <c r="V675" s="541"/>
      <c r="W675" s="541"/>
      <c r="X675" s="541"/>
      <c r="Y675" s="541"/>
      <c r="Z675" s="541"/>
    </row>
    <row r="676" spans="1:26" ht="18.75">
      <c r="A676" s="572"/>
      <c r="B676" s="584"/>
      <c r="C676" s="584"/>
      <c r="D676" s="584"/>
      <c r="E676" s="592"/>
      <c r="F676" s="592" t="s">
        <v>287</v>
      </c>
      <c r="G676" s="726"/>
      <c r="H676" s="728" t="s">
        <v>46</v>
      </c>
      <c r="I676" s="269"/>
      <c r="J676" s="214">
        <v>0</v>
      </c>
      <c r="K676" s="465"/>
      <c r="L676" s="163"/>
      <c r="M676" s="163"/>
      <c r="N676" s="163"/>
      <c r="O676" s="163"/>
      <c r="P676" s="163"/>
      <c r="Q676" s="541"/>
      <c r="R676" s="541"/>
      <c r="S676" s="541"/>
      <c r="T676" s="541"/>
      <c r="U676" s="541"/>
      <c r="V676" s="541"/>
      <c r="W676" s="541"/>
      <c r="X676" s="541"/>
      <c r="Y676" s="541"/>
      <c r="Z676" s="541"/>
    </row>
    <row r="677" spans="1:26" ht="18.75">
      <c r="A677" s="572"/>
      <c r="B677" s="584"/>
      <c r="C677" s="584"/>
      <c r="D677" s="584"/>
      <c r="E677" s="592"/>
      <c r="F677" s="592" t="s">
        <v>288</v>
      </c>
      <c r="G677" s="726"/>
      <c r="H677" s="728" t="s">
        <v>46</v>
      </c>
      <c r="I677" s="269"/>
      <c r="J677" s="214">
        <v>0</v>
      </c>
      <c r="K677" s="465"/>
      <c r="L677" s="163"/>
      <c r="M677" s="163"/>
      <c r="N677" s="163"/>
      <c r="O677" s="163"/>
      <c r="P677" s="163"/>
      <c r="Q677" s="541"/>
      <c r="R677" s="541"/>
      <c r="S677" s="541"/>
      <c r="T677" s="541"/>
      <c r="U677" s="541"/>
      <c r="V677" s="541"/>
      <c r="W677" s="541"/>
      <c r="X677" s="541"/>
      <c r="Y677" s="541"/>
      <c r="Z677" s="541"/>
    </row>
    <row r="678" spans="1:26" ht="19.5">
      <c r="A678" s="572"/>
      <c r="B678" s="584"/>
      <c r="C678" s="584"/>
      <c r="D678" s="584" t="s">
        <v>289</v>
      </c>
      <c r="E678" s="592"/>
      <c r="F678" s="592"/>
      <c r="G678" s="726"/>
      <c r="H678" s="728" t="s">
        <v>46</v>
      </c>
      <c r="I678" s="647">
        <f ca="1">IFERROR(__xludf.DUMMYFUNCTION("IMPORTRANGE(""https://docs.google.com/spreadsheets/d/1QqKyyYR6Q21VydFLVH3TRQUabQu_ym0Zz7PgGX0-kHA/edit?usp=sharing"",""แผน!IB20"")"),0)</f>
        <v>0</v>
      </c>
      <c r="J678" s="647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41"/>
      <c r="R678" s="541"/>
      <c r="S678" s="541"/>
      <c r="T678" s="541"/>
      <c r="U678" s="541"/>
      <c r="V678" s="541"/>
      <c r="W678" s="541"/>
      <c r="X678" s="541"/>
      <c r="Y678" s="541"/>
      <c r="Z678" s="541"/>
    </row>
    <row r="679" spans="1:26" ht="18.75">
      <c r="A679" s="572"/>
      <c r="B679" s="584"/>
      <c r="C679" s="584"/>
      <c r="D679" s="584"/>
      <c r="E679" s="592" t="s">
        <v>290</v>
      </c>
      <c r="F679" s="592"/>
      <c r="G679" s="726"/>
      <c r="H679" s="728" t="s">
        <v>46</v>
      </c>
      <c r="I679" s="269"/>
      <c r="J679" s="269">
        <f>J680+J681</f>
        <v>0</v>
      </c>
      <c r="K679" s="465"/>
      <c r="L679" s="163"/>
      <c r="M679" s="163"/>
      <c r="N679" s="163"/>
      <c r="O679" s="163"/>
      <c r="P679" s="163"/>
      <c r="Q679" s="541"/>
      <c r="R679" s="541"/>
      <c r="S679" s="541"/>
      <c r="T679" s="541"/>
      <c r="U679" s="541"/>
      <c r="V679" s="541"/>
      <c r="W679" s="541"/>
      <c r="X679" s="541"/>
      <c r="Y679" s="541"/>
      <c r="Z679" s="541"/>
    </row>
    <row r="680" spans="1:26" ht="18.75">
      <c r="A680" s="572"/>
      <c r="B680" s="584"/>
      <c r="C680" s="584"/>
      <c r="D680" s="584"/>
      <c r="E680" s="592"/>
      <c r="F680" s="592" t="s">
        <v>287</v>
      </c>
      <c r="G680" s="726"/>
      <c r="H680" s="728" t="s">
        <v>46</v>
      </c>
      <c r="I680" s="269"/>
      <c r="J680" s="214">
        <v>0</v>
      </c>
      <c r="K680" s="465"/>
      <c r="L680" s="163"/>
      <c r="M680" s="163"/>
      <c r="N680" s="163"/>
      <c r="O680" s="163"/>
      <c r="P680" s="163"/>
      <c r="Q680" s="541"/>
      <c r="R680" s="541"/>
      <c r="S680" s="541"/>
      <c r="T680" s="541"/>
      <c r="U680" s="541"/>
      <c r="V680" s="541"/>
      <c r="W680" s="541"/>
      <c r="X680" s="541"/>
      <c r="Y680" s="541"/>
      <c r="Z680" s="541"/>
    </row>
    <row r="681" spans="1:26" ht="18.75">
      <c r="A681" s="572"/>
      <c r="B681" s="584"/>
      <c r="C681" s="584"/>
      <c r="D681" s="584"/>
      <c r="E681" s="592"/>
      <c r="F681" s="592" t="s">
        <v>288</v>
      </c>
      <c r="G681" s="726"/>
      <c r="H681" s="728" t="s">
        <v>46</v>
      </c>
      <c r="I681" s="269"/>
      <c r="J681" s="214">
        <v>0</v>
      </c>
      <c r="K681" s="465"/>
      <c r="L681" s="163"/>
      <c r="M681" s="163"/>
      <c r="N681" s="163"/>
      <c r="O681" s="163"/>
      <c r="P681" s="163"/>
      <c r="Q681" s="541"/>
      <c r="R681" s="541"/>
      <c r="S681" s="541"/>
      <c r="T681" s="541"/>
      <c r="U681" s="541"/>
      <c r="V681" s="541"/>
      <c r="W681" s="541"/>
      <c r="X681" s="541"/>
      <c r="Y681" s="541"/>
      <c r="Z681" s="541"/>
    </row>
    <row r="682" spans="1:26" ht="18.75">
      <c r="A682" s="572"/>
      <c r="B682" s="584"/>
      <c r="C682" s="584"/>
      <c r="D682" s="584"/>
      <c r="E682" s="592" t="s">
        <v>291</v>
      </c>
      <c r="F682" s="592"/>
      <c r="G682" s="726"/>
      <c r="H682" s="728" t="s">
        <v>46</v>
      </c>
      <c r="I682" s="269"/>
      <c r="J682" s="214">
        <v>0</v>
      </c>
      <c r="K682" s="465"/>
      <c r="L682" s="163"/>
      <c r="M682" s="163"/>
      <c r="N682" s="163"/>
      <c r="O682" s="163"/>
      <c r="P682" s="163"/>
      <c r="Q682" s="541"/>
      <c r="R682" s="541"/>
      <c r="S682" s="541"/>
      <c r="T682" s="541"/>
      <c r="U682" s="541"/>
      <c r="V682" s="541"/>
      <c r="W682" s="541"/>
      <c r="X682" s="541"/>
      <c r="Y682" s="541"/>
      <c r="Z682" s="541"/>
    </row>
    <row r="683" spans="1:26" ht="18.75">
      <c r="A683" s="572"/>
      <c r="B683" s="584"/>
      <c r="C683" s="584"/>
      <c r="D683" s="584"/>
      <c r="E683" s="592"/>
      <c r="F683" s="592" t="s">
        <v>292</v>
      </c>
      <c r="G683" s="726"/>
      <c r="H683" s="728" t="s">
        <v>46</v>
      </c>
      <c r="I683" s="269"/>
      <c r="J683" s="214">
        <v>0</v>
      </c>
      <c r="K683" s="465"/>
      <c r="L683" s="163"/>
      <c r="M683" s="163"/>
      <c r="N683" s="163"/>
      <c r="O683" s="163"/>
      <c r="P683" s="163"/>
      <c r="Q683" s="541"/>
      <c r="R683" s="541"/>
      <c r="S683" s="541"/>
      <c r="T683" s="541"/>
      <c r="U683" s="541"/>
      <c r="V683" s="541"/>
      <c r="W683" s="541"/>
      <c r="X683" s="541"/>
      <c r="Y683" s="541"/>
      <c r="Z683" s="541"/>
    </row>
    <row r="684" spans="1:26" ht="19.5">
      <c r="A684" s="717"/>
      <c r="B684" s="718" t="s">
        <v>293</v>
      </c>
      <c r="C684" s="717"/>
      <c r="D684" s="717"/>
      <c r="E684" s="717"/>
      <c r="F684" s="717"/>
      <c r="G684" s="719"/>
      <c r="H684" s="719"/>
      <c r="I684" s="720"/>
      <c r="J684" s="720"/>
      <c r="K684" s="721"/>
      <c r="L684" s="721"/>
      <c r="M684" s="721"/>
      <c r="N684" s="721"/>
      <c r="O684" s="721"/>
      <c r="P684" s="721"/>
      <c r="Q684" s="541"/>
      <c r="R684" s="541"/>
      <c r="S684" s="541"/>
      <c r="T684" s="541"/>
      <c r="U684" s="541"/>
      <c r="V684" s="541"/>
      <c r="W684" s="541"/>
      <c r="X684" s="541"/>
      <c r="Y684" s="541"/>
      <c r="Z684" s="541"/>
    </row>
    <row r="685" spans="1:26" ht="19.5">
      <c r="A685" s="561"/>
      <c r="B685" s="727"/>
      <c r="C685" s="727" t="s">
        <v>16</v>
      </c>
      <c r="D685" s="811" t="s">
        <v>17</v>
      </c>
      <c r="E685" s="805"/>
      <c r="F685" s="805"/>
      <c r="G685" s="189"/>
      <c r="H685" s="562" t="s">
        <v>12</v>
      </c>
      <c r="I685" s="269"/>
      <c r="J685" s="269"/>
      <c r="K685" s="465"/>
      <c r="L685" s="195">
        <f t="shared" ref="L685:N685" ca="1" si="281">L686+L687</f>
        <v>13000</v>
      </c>
      <c r="M685" s="195">
        <f t="shared" si="281"/>
        <v>0</v>
      </c>
      <c r="N685" s="195">
        <f t="shared" si="281"/>
        <v>0</v>
      </c>
      <c r="O685" s="195">
        <f t="shared" ref="O685:O688" ca="1" si="282">IF(L685&gt;0,N685*100/L685,0)</f>
        <v>0</v>
      </c>
      <c r="P685" s="195">
        <f t="shared" ref="P685:P688" si="283">IF(M685&gt;0,N685*100/M685,0)</f>
        <v>0</v>
      </c>
      <c r="Q685" s="541"/>
      <c r="R685" s="541"/>
      <c r="S685" s="541"/>
      <c r="T685" s="541"/>
      <c r="U685" s="541"/>
      <c r="V685" s="541"/>
      <c r="W685" s="541"/>
      <c r="X685" s="541"/>
      <c r="Y685" s="541"/>
      <c r="Z685" s="541"/>
    </row>
    <row r="686" spans="1:26" ht="18.75" hidden="1">
      <c r="A686" s="563"/>
      <c r="B686" s="723"/>
      <c r="C686" s="723"/>
      <c r="D686" s="684"/>
      <c r="E686" s="723" t="s">
        <v>184</v>
      </c>
      <c r="F686" s="723"/>
      <c r="G686" s="567"/>
      <c r="H686" s="165" t="s">
        <v>12</v>
      </c>
      <c r="I686" s="583"/>
      <c r="J686" s="583"/>
      <c r="K686" s="93"/>
      <c r="L686" s="93">
        <f t="shared" ref="L686:N687" si="284">L689+L696</f>
        <v>0</v>
      </c>
      <c r="M686" s="93">
        <f t="shared" si="284"/>
        <v>0</v>
      </c>
      <c r="N686" s="93">
        <f t="shared" si="284"/>
        <v>0</v>
      </c>
      <c r="O686" s="93">
        <f t="shared" si="282"/>
        <v>0</v>
      </c>
      <c r="P686" s="93">
        <f t="shared" si="283"/>
        <v>0</v>
      </c>
      <c r="Q686" s="568"/>
      <c r="R686" s="568"/>
      <c r="S686" s="568"/>
      <c r="T686" s="568"/>
      <c r="U686" s="568"/>
      <c r="V686" s="568"/>
      <c r="W686" s="568"/>
      <c r="X686" s="568"/>
      <c r="Y686" s="568"/>
      <c r="Z686" s="568"/>
    </row>
    <row r="687" spans="1:26" ht="18.75" hidden="1">
      <c r="A687" s="563"/>
      <c r="B687" s="571"/>
      <c r="C687" s="723"/>
      <c r="D687" s="684"/>
      <c r="E687" s="723" t="s">
        <v>185</v>
      </c>
      <c r="F687" s="723"/>
      <c r="G687" s="567"/>
      <c r="H687" s="165" t="s">
        <v>12</v>
      </c>
      <c r="I687" s="583"/>
      <c r="J687" s="583"/>
      <c r="K687" s="93"/>
      <c r="L687" s="93">
        <f t="shared" ca="1" si="284"/>
        <v>13000</v>
      </c>
      <c r="M687" s="93">
        <f t="shared" si="284"/>
        <v>0</v>
      </c>
      <c r="N687" s="93">
        <f t="shared" si="284"/>
        <v>0</v>
      </c>
      <c r="O687" s="93">
        <f t="shared" ca="1" si="282"/>
        <v>0</v>
      </c>
      <c r="P687" s="93">
        <f t="shared" si="283"/>
        <v>0</v>
      </c>
      <c r="Q687" s="568"/>
      <c r="R687" s="568"/>
      <c r="S687" s="568"/>
      <c r="T687" s="568"/>
      <c r="U687" s="568"/>
      <c r="V687" s="568"/>
      <c r="W687" s="568"/>
      <c r="X687" s="568"/>
      <c r="Y687" s="568"/>
      <c r="Z687" s="568"/>
    </row>
    <row r="688" spans="1:26" ht="18.75">
      <c r="A688" s="561"/>
      <c r="B688" s="538"/>
      <c r="C688" s="727"/>
      <c r="D688" s="570" t="s">
        <v>20</v>
      </c>
      <c r="E688" s="727"/>
      <c r="F688" s="727"/>
      <c r="G688" s="189"/>
      <c r="H688" s="161" t="s">
        <v>12</v>
      </c>
      <c r="I688" s="184"/>
      <c r="J688" s="184"/>
      <c r="K688" s="163"/>
      <c r="L688" s="465">
        <f t="shared" ref="L688:N688" ca="1" si="285">L689+L690</f>
        <v>13000</v>
      </c>
      <c r="M688" s="465">
        <f t="shared" si="285"/>
        <v>0</v>
      </c>
      <c r="N688" s="465">
        <f t="shared" si="285"/>
        <v>0</v>
      </c>
      <c r="O688" s="465">
        <f t="shared" ca="1" si="282"/>
        <v>0</v>
      </c>
      <c r="P688" s="465">
        <f t="shared" si="283"/>
        <v>0</v>
      </c>
      <c r="Q688" s="541"/>
      <c r="R688" s="541"/>
      <c r="S688" s="541"/>
      <c r="T688" s="541"/>
      <c r="U688" s="541"/>
      <c r="V688" s="541"/>
      <c r="W688" s="541"/>
      <c r="X688" s="541"/>
      <c r="Y688" s="541"/>
      <c r="Z688" s="541"/>
    </row>
    <row r="689" spans="1:26" ht="18.75" hidden="1">
      <c r="A689" s="563"/>
      <c r="B689" s="571"/>
      <c r="C689" s="723"/>
      <c r="D689" s="684"/>
      <c r="E689" s="723" t="s">
        <v>184</v>
      </c>
      <c r="F689" s="723"/>
      <c r="G689" s="567"/>
      <c r="H689" s="165" t="s">
        <v>12</v>
      </c>
      <c r="I689" s="583"/>
      <c r="J689" s="583"/>
      <c r="K689" s="93"/>
      <c r="L689" s="93">
        <v>0</v>
      </c>
      <c r="M689" s="93">
        <v>0</v>
      </c>
      <c r="N689" s="93">
        <v>0</v>
      </c>
      <c r="O689" s="93"/>
      <c r="P689" s="93"/>
      <c r="Q689" s="568"/>
      <c r="R689" s="568"/>
      <c r="S689" s="568"/>
      <c r="T689" s="568"/>
      <c r="U689" s="568"/>
      <c r="V689" s="568"/>
      <c r="W689" s="568"/>
      <c r="X689" s="568"/>
      <c r="Y689" s="568"/>
      <c r="Z689" s="568"/>
    </row>
    <row r="690" spans="1:26" ht="18.75" hidden="1">
      <c r="A690" s="563"/>
      <c r="B690" s="571"/>
      <c r="C690" s="723"/>
      <c r="D690" s="684"/>
      <c r="E690" s="723" t="s">
        <v>185</v>
      </c>
      <c r="F690" s="723"/>
      <c r="G690" s="567"/>
      <c r="H690" s="165" t="s">
        <v>12</v>
      </c>
      <c r="I690" s="583"/>
      <c r="J690" s="583"/>
      <c r="K690" s="93"/>
      <c r="L690" s="93">
        <f ca="1">IFERROR(__xludf.DUMMYFUNCTION("IMPORTRANGE(""https://docs.google.com/spreadsheets/d/1QqKyyYR6Q21VydFLVH3TRQUabQu_ym0Zz7PgGX0-kHA/edit?usp=sharing"",""แผน!HW20"")"),13000)</f>
        <v>13000</v>
      </c>
      <c r="M690" s="93">
        <v>0</v>
      </c>
      <c r="N690" s="93">
        <f>N691+N692+N693+N694</f>
        <v>0</v>
      </c>
      <c r="O690" s="93">
        <f ca="1">IF(L690&gt;0,N690*100/L690,0)</f>
        <v>0</v>
      </c>
      <c r="P690" s="93">
        <f>IF(M690&gt;0,N690*100/M690,0)</f>
        <v>0</v>
      </c>
      <c r="Q690" s="568"/>
      <c r="R690" s="568"/>
      <c r="S690" s="568"/>
      <c r="T690" s="568"/>
      <c r="U690" s="568"/>
      <c r="V690" s="568"/>
      <c r="W690" s="568"/>
      <c r="X690" s="568"/>
      <c r="Y690" s="568"/>
      <c r="Z690" s="568"/>
    </row>
    <row r="691" spans="1:26" ht="18.75">
      <c r="A691" s="537"/>
      <c r="B691" s="538"/>
      <c r="C691" s="727"/>
      <c r="D691" s="727"/>
      <c r="E691" s="727"/>
      <c r="F691" s="727" t="s">
        <v>186</v>
      </c>
      <c r="G691" s="189"/>
      <c r="H691" s="161" t="s">
        <v>12</v>
      </c>
      <c r="I691" s="269"/>
      <c r="J691" s="269"/>
      <c r="K691" s="465"/>
      <c r="L691" s="465"/>
      <c r="M691" s="465"/>
      <c r="N691" s="789">
        <v>0</v>
      </c>
      <c r="O691" s="465"/>
      <c r="P691" s="465"/>
      <c r="Q691" s="541"/>
      <c r="R691" s="541"/>
      <c r="S691" s="541"/>
      <c r="T691" s="541"/>
      <c r="U691" s="541"/>
      <c r="V691" s="541"/>
      <c r="W691" s="541"/>
      <c r="X691" s="541"/>
      <c r="Y691" s="541"/>
      <c r="Z691" s="541"/>
    </row>
    <row r="692" spans="1:26" ht="18.75">
      <c r="A692" s="537"/>
      <c r="B692" s="538"/>
      <c r="C692" s="727"/>
      <c r="D692" s="727"/>
      <c r="E692" s="727"/>
      <c r="F692" s="727" t="s">
        <v>187</v>
      </c>
      <c r="G692" s="189"/>
      <c r="H692" s="161" t="s">
        <v>12</v>
      </c>
      <c r="I692" s="269"/>
      <c r="J692" s="269"/>
      <c r="K692" s="465"/>
      <c r="L692" s="465"/>
      <c r="M692" s="465"/>
      <c r="N692" s="789">
        <v>0</v>
      </c>
      <c r="O692" s="465"/>
      <c r="P692" s="465"/>
      <c r="Q692" s="541"/>
      <c r="R692" s="541"/>
      <c r="S692" s="541"/>
      <c r="T692" s="541"/>
      <c r="U692" s="541"/>
      <c r="V692" s="541"/>
      <c r="W692" s="541"/>
      <c r="X692" s="541"/>
      <c r="Y692" s="541"/>
      <c r="Z692" s="541"/>
    </row>
    <row r="693" spans="1:26" ht="18.75">
      <c r="A693" s="537"/>
      <c r="B693" s="538"/>
      <c r="C693" s="727"/>
      <c r="D693" s="727"/>
      <c r="E693" s="727"/>
      <c r="F693" s="727" t="s">
        <v>188</v>
      </c>
      <c r="G693" s="189"/>
      <c r="H693" s="161" t="s">
        <v>12</v>
      </c>
      <c r="I693" s="269"/>
      <c r="J693" s="269"/>
      <c r="K693" s="465"/>
      <c r="L693" s="465"/>
      <c r="M693" s="465"/>
      <c r="N693" s="789">
        <v>0</v>
      </c>
      <c r="O693" s="465"/>
      <c r="P693" s="465"/>
      <c r="Q693" s="541"/>
      <c r="R693" s="541"/>
      <c r="S693" s="541"/>
      <c r="T693" s="541"/>
      <c r="U693" s="541"/>
      <c r="V693" s="541"/>
      <c r="W693" s="541"/>
      <c r="X693" s="541"/>
      <c r="Y693" s="541"/>
      <c r="Z693" s="541"/>
    </row>
    <row r="694" spans="1:26" ht="18.75">
      <c r="A694" s="537"/>
      <c r="B694" s="538"/>
      <c r="C694" s="727"/>
      <c r="D694" s="727"/>
      <c r="E694" s="727"/>
      <c r="F694" s="727" t="s">
        <v>189</v>
      </c>
      <c r="G694" s="189"/>
      <c r="H694" s="161" t="s">
        <v>12</v>
      </c>
      <c r="I694" s="269"/>
      <c r="J694" s="269"/>
      <c r="K694" s="465"/>
      <c r="L694" s="465"/>
      <c r="M694" s="465"/>
      <c r="N694" s="789">
        <v>0</v>
      </c>
      <c r="O694" s="465"/>
      <c r="P694" s="465"/>
      <c r="Q694" s="541"/>
      <c r="R694" s="541"/>
      <c r="S694" s="541"/>
      <c r="T694" s="541"/>
      <c r="U694" s="541"/>
      <c r="V694" s="541"/>
      <c r="W694" s="541"/>
      <c r="X694" s="541"/>
      <c r="Y694" s="541"/>
      <c r="Z694" s="541"/>
    </row>
    <row r="695" spans="1:26" ht="18.75">
      <c r="A695" s="561"/>
      <c r="B695" s="538"/>
      <c r="C695" s="727"/>
      <c r="D695" s="570" t="s">
        <v>21</v>
      </c>
      <c r="E695" s="727"/>
      <c r="F695" s="727"/>
      <c r="G695" s="189"/>
      <c r="H695" s="168" t="s">
        <v>12</v>
      </c>
      <c r="I695" s="184"/>
      <c r="J695" s="184"/>
      <c r="K695" s="163"/>
      <c r="L695" s="465">
        <f t="shared" ref="L695:N695" si="286">L696+L697</f>
        <v>0</v>
      </c>
      <c r="M695" s="465">
        <f t="shared" si="286"/>
        <v>0</v>
      </c>
      <c r="N695" s="465">
        <f t="shared" si="286"/>
        <v>0</v>
      </c>
      <c r="O695" s="465">
        <f t="shared" ref="O695:O697" si="287">IF(L695&gt;0,N695*100/L695,0)</f>
        <v>0</v>
      </c>
      <c r="P695" s="465">
        <f t="shared" ref="P695:P697" si="288">IF(M695&gt;0,N695*100/M695,0)</f>
        <v>0</v>
      </c>
      <c r="Q695" s="541"/>
      <c r="R695" s="541"/>
      <c r="S695" s="541"/>
      <c r="T695" s="541"/>
      <c r="U695" s="541"/>
      <c r="V695" s="541"/>
      <c r="W695" s="541"/>
      <c r="X695" s="541"/>
      <c r="Y695" s="541"/>
      <c r="Z695" s="541"/>
    </row>
    <row r="696" spans="1:26" ht="18.75" hidden="1">
      <c r="A696" s="563"/>
      <c r="B696" s="571"/>
      <c r="C696" s="723"/>
      <c r="D696" s="723"/>
      <c r="E696" s="723" t="s">
        <v>18</v>
      </c>
      <c r="F696" s="723"/>
      <c r="G696" s="567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7"/>
        <v>0</v>
      </c>
      <c r="P696" s="93">
        <f t="shared" si="288"/>
        <v>0</v>
      </c>
      <c r="Q696" s="568"/>
      <c r="R696" s="568"/>
      <c r="S696" s="568"/>
      <c r="T696" s="568"/>
      <c r="U696" s="568"/>
      <c r="V696" s="568"/>
      <c r="W696" s="568"/>
      <c r="X696" s="568"/>
      <c r="Y696" s="568"/>
      <c r="Z696" s="568"/>
    </row>
    <row r="697" spans="1:26" ht="18.75" hidden="1">
      <c r="A697" s="563"/>
      <c r="B697" s="571"/>
      <c r="C697" s="723"/>
      <c r="D697" s="723"/>
      <c r="E697" s="723" t="s">
        <v>19</v>
      </c>
      <c r="F697" s="723"/>
      <c r="G697" s="567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7"/>
        <v>0</v>
      </c>
      <c r="P697" s="93">
        <f t="shared" si="288"/>
        <v>0</v>
      </c>
      <c r="Q697" s="568"/>
      <c r="R697" s="568"/>
      <c r="S697" s="568"/>
      <c r="T697" s="568"/>
      <c r="U697" s="568"/>
      <c r="V697" s="568"/>
      <c r="W697" s="568"/>
      <c r="X697" s="568"/>
      <c r="Y697" s="568"/>
      <c r="Z697" s="568"/>
    </row>
    <row r="698" spans="1:26" ht="19.5">
      <c r="A698" s="572"/>
      <c r="B698" s="584"/>
      <c r="C698" s="727" t="s">
        <v>16</v>
      </c>
      <c r="D698" s="855" t="s">
        <v>38</v>
      </c>
      <c r="E698" s="725"/>
      <c r="F698" s="725"/>
      <c r="G698" s="577"/>
      <c r="H698" s="726"/>
      <c r="I698" s="184"/>
      <c r="J698" s="184"/>
      <c r="K698" s="163"/>
      <c r="L698" s="163"/>
      <c r="M698" s="163"/>
      <c r="N698" s="163"/>
      <c r="O698" s="163"/>
      <c r="P698" s="163"/>
      <c r="Q698" s="541"/>
      <c r="R698" s="541"/>
      <c r="S698" s="541"/>
      <c r="T698" s="541"/>
      <c r="U698" s="541"/>
      <c r="V698" s="541"/>
      <c r="W698" s="541"/>
      <c r="X698" s="541"/>
      <c r="Y698" s="541"/>
      <c r="Z698" s="541"/>
    </row>
    <row r="699" spans="1:26" ht="18.75">
      <c r="A699" s="708"/>
      <c r="B699" s="727"/>
      <c r="C699" s="727"/>
      <c r="D699" s="727" t="s">
        <v>294</v>
      </c>
      <c r="E699" s="727"/>
      <c r="F699" s="727"/>
      <c r="G699" s="189"/>
      <c r="H699" s="728" t="s">
        <v>46</v>
      </c>
      <c r="I699" s="729">
        <f ca="1">IFERROR(__xludf.DUMMYFUNCTION("IMPORTRANGE(""https://docs.google.com/spreadsheets/d/1QqKyyYR6Q21VydFLVH3TRQUabQu_ym0Zz7PgGX0-kHA/edit?usp=sharing"",""แผน!IC20"")"),0)</f>
        <v>0</v>
      </c>
      <c r="J699" s="269">
        <f ca="1">IFERROR(__xludf.DUMMYFUNCTION("IMPORTRANGE(""https://docs.google.com/spreadsheets/d/1XWAQStnk-4SwqDmLtmXYiTMKHgktTP8We1SCoS47DrQ/edit?usp=sharing"",""จัดที่ดิน!BB20"")"),0)</f>
        <v>0</v>
      </c>
      <c r="K699" s="465">
        <f t="shared" ref="K699:K701" ca="1" si="289">IF(I699&gt;0,J699*100/I699,0)</f>
        <v>0</v>
      </c>
      <c r="L699" s="465"/>
      <c r="M699" s="189"/>
      <c r="N699" s="730"/>
      <c r="O699" s="465"/>
      <c r="P699" s="465"/>
      <c r="Q699" s="541"/>
      <c r="R699" s="541"/>
      <c r="S699" s="541"/>
      <c r="T699" s="541"/>
      <c r="U699" s="541"/>
      <c r="V699" s="541"/>
      <c r="W699" s="541"/>
      <c r="X699" s="541"/>
      <c r="Y699" s="541"/>
      <c r="Z699" s="541"/>
    </row>
    <row r="700" spans="1:26" ht="18.75">
      <c r="A700" s="708"/>
      <c r="B700" s="727"/>
      <c r="C700" s="727"/>
      <c r="D700" s="727" t="s">
        <v>295</v>
      </c>
      <c r="E700" s="727"/>
      <c r="F700" s="727"/>
      <c r="G700" s="189"/>
      <c r="H700" s="728" t="s">
        <v>35</v>
      </c>
      <c r="I700" s="729">
        <f ca="1">IFERROR(__xludf.DUMMYFUNCTION("IMPORTRANGE(""https://docs.google.com/spreadsheets/d/1QqKyyYR6Q21VydFLVH3TRQUabQu_ym0Zz7PgGX0-kHA/edit?usp=sharing"",""แผน!ID20"")"),100)</f>
        <v>100</v>
      </c>
      <c r="J700" s="269">
        <f ca="1">IFERROR(__xludf.DUMMYFUNCTION("IMPORTRANGE(""https://docs.google.com/spreadsheets/d/1XWAQStnk-4SwqDmLtmXYiTMKHgktTP8We1SCoS47DrQ/edit?usp=sharing"",""จัดที่ดิน!BD20"")"),0)</f>
        <v>0</v>
      </c>
      <c r="K700" s="465">
        <f t="shared" ca="1" si="289"/>
        <v>0</v>
      </c>
      <c r="L700" s="465"/>
      <c r="M700" s="189"/>
      <c r="N700" s="730"/>
      <c r="O700" s="465"/>
      <c r="P700" s="465"/>
      <c r="Q700" s="541"/>
      <c r="R700" s="541"/>
      <c r="S700" s="541"/>
      <c r="T700" s="541"/>
      <c r="U700" s="541"/>
      <c r="V700" s="541"/>
      <c r="W700" s="541"/>
      <c r="X700" s="541"/>
      <c r="Y700" s="541"/>
      <c r="Z700" s="541"/>
    </row>
    <row r="701" spans="1:26" ht="19.5">
      <c r="A701" s="708"/>
      <c r="B701" s="727"/>
      <c r="C701" s="727"/>
      <c r="D701" s="727" t="s">
        <v>296</v>
      </c>
      <c r="E701" s="727"/>
      <c r="F701" s="727"/>
      <c r="G701" s="189"/>
      <c r="H701" s="731" t="s">
        <v>46</v>
      </c>
      <c r="I701" s="732">
        <f ca="1">IFERROR(__xludf.DUMMYFUNCTION("IMPORTRANGE(""https://docs.google.com/spreadsheets/d/1QqKyyYR6Q21VydFLVH3TRQUabQu_ym0Zz7PgGX0-kHA/edit?usp=sharing"",""แผน!IE20"")"),0)</f>
        <v>0</v>
      </c>
      <c r="J701" s="647">
        <f>J704+J707</f>
        <v>0</v>
      </c>
      <c r="K701" s="195">
        <f t="shared" ca="1" si="289"/>
        <v>0</v>
      </c>
      <c r="L701" s="465"/>
      <c r="M701" s="189"/>
      <c r="N701" s="730"/>
      <c r="O701" s="465"/>
      <c r="P701" s="465"/>
      <c r="Q701" s="541"/>
      <c r="R701" s="541"/>
      <c r="S701" s="541"/>
      <c r="T701" s="541"/>
      <c r="U701" s="541"/>
      <c r="V701" s="541"/>
      <c r="W701" s="541"/>
      <c r="X701" s="541"/>
      <c r="Y701" s="541"/>
      <c r="Z701" s="541"/>
    </row>
    <row r="702" spans="1:26" ht="18.75">
      <c r="A702" s="708"/>
      <c r="B702" s="727"/>
      <c r="C702" s="727"/>
      <c r="D702" s="727"/>
      <c r="E702" s="727" t="s">
        <v>297</v>
      </c>
      <c r="F702" s="727"/>
      <c r="G702" s="189"/>
      <c r="H702" s="728" t="s">
        <v>35</v>
      </c>
      <c r="I702" s="729"/>
      <c r="J702" s="214">
        <v>0</v>
      </c>
      <c r="K702" s="465"/>
      <c r="L702" s="465"/>
      <c r="M702" s="189"/>
      <c r="N702" s="730"/>
      <c r="O702" s="465"/>
      <c r="P702" s="465"/>
      <c r="Q702" s="541"/>
      <c r="R702" s="541"/>
      <c r="S702" s="541"/>
      <c r="T702" s="541"/>
      <c r="U702" s="541"/>
      <c r="V702" s="541"/>
      <c r="W702" s="541"/>
      <c r="X702" s="541"/>
      <c r="Y702" s="541"/>
      <c r="Z702" s="541"/>
    </row>
    <row r="703" spans="1:26" ht="18.75">
      <c r="A703" s="708"/>
      <c r="B703" s="727"/>
      <c r="C703" s="727"/>
      <c r="D703" s="727"/>
      <c r="E703" s="727"/>
      <c r="F703" s="727"/>
      <c r="G703" s="189"/>
      <c r="H703" s="728" t="s">
        <v>34</v>
      </c>
      <c r="I703" s="729"/>
      <c r="J703" s="214">
        <v>0</v>
      </c>
      <c r="K703" s="465"/>
      <c r="L703" s="465"/>
      <c r="M703" s="189"/>
      <c r="N703" s="730"/>
      <c r="O703" s="465"/>
      <c r="P703" s="465"/>
      <c r="Q703" s="541"/>
      <c r="R703" s="541"/>
      <c r="S703" s="541"/>
      <c r="T703" s="541"/>
      <c r="U703" s="541"/>
      <c r="V703" s="541"/>
      <c r="W703" s="541"/>
      <c r="X703" s="541"/>
      <c r="Y703" s="541"/>
      <c r="Z703" s="541"/>
    </row>
    <row r="704" spans="1:26" ht="18.75">
      <c r="A704" s="708"/>
      <c r="B704" s="727"/>
      <c r="C704" s="727"/>
      <c r="D704" s="727"/>
      <c r="E704" s="727"/>
      <c r="F704" s="727"/>
      <c r="G704" s="189"/>
      <c r="H704" s="728" t="s">
        <v>46</v>
      </c>
      <c r="I704" s="729">
        <f ca="1">IFERROR(__xludf.DUMMYFUNCTION("IMPORTRANGE(""https://docs.google.com/spreadsheets/d/1QqKyyYR6Q21VydFLVH3TRQUabQu_ym0Zz7PgGX0-kHA/edit?usp=sharing"",""แผน!IF20"")"),0)</f>
        <v>0</v>
      </c>
      <c r="J704" s="214">
        <v>0</v>
      </c>
      <c r="K704" s="465"/>
      <c r="L704" s="465"/>
      <c r="M704" s="189"/>
      <c r="N704" s="730"/>
      <c r="O704" s="465"/>
      <c r="P704" s="465"/>
      <c r="Q704" s="541"/>
      <c r="R704" s="541"/>
      <c r="S704" s="541"/>
      <c r="T704" s="541"/>
      <c r="U704" s="541"/>
      <c r="V704" s="541"/>
      <c r="W704" s="541"/>
      <c r="X704" s="541"/>
      <c r="Y704" s="541"/>
      <c r="Z704" s="541"/>
    </row>
    <row r="705" spans="1:26" ht="18.75">
      <c r="A705" s="708"/>
      <c r="B705" s="727"/>
      <c r="C705" s="727"/>
      <c r="D705" s="727"/>
      <c r="E705" s="727" t="s">
        <v>298</v>
      </c>
      <c r="F705" s="727"/>
      <c r="G705" s="189"/>
      <c r="H705" s="728" t="s">
        <v>35</v>
      </c>
      <c r="I705" s="729"/>
      <c r="J705" s="214">
        <v>0</v>
      </c>
      <c r="K705" s="465"/>
      <c r="L705" s="465"/>
      <c r="M705" s="189"/>
      <c r="N705" s="730"/>
      <c r="O705" s="465"/>
      <c r="P705" s="465"/>
      <c r="Q705" s="541"/>
      <c r="R705" s="541"/>
      <c r="S705" s="541"/>
      <c r="T705" s="541"/>
      <c r="U705" s="541"/>
      <c r="V705" s="541"/>
      <c r="W705" s="541"/>
      <c r="X705" s="541"/>
      <c r="Y705" s="541"/>
      <c r="Z705" s="541"/>
    </row>
    <row r="706" spans="1:26" ht="18.75">
      <c r="A706" s="708"/>
      <c r="B706" s="727"/>
      <c r="C706" s="727"/>
      <c r="D706" s="727"/>
      <c r="E706" s="727"/>
      <c r="F706" s="727"/>
      <c r="G706" s="189"/>
      <c r="H706" s="728" t="s">
        <v>34</v>
      </c>
      <c r="I706" s="729"/>
      <c r="J706" s="214">
        <v>0</v>
      </c>
      <c r="K706" s="465"/>
      <c r="L706" s="465"/>
      <c r="M706" s="189"/>
      <c r="N706" s="730"/>
      <c r="O706" s="465"/>
      <c r="P706" s="465"/>
      <c r="Q706" s="541"/>
      <c r="R706" s="541"/>
      <c r="S706" s="541"/>
      <c r="T706" s="541"/>
      <c r="U706" s="541"/>
      <c r="V706" s="541"/>
      <c r="W706" s="541"/>
      <c r="X706" s="541"/>
      <c r="Y706" s="541"/>
      <c r="Z706" s="541"/>
    </row>
    <row r="707" spans="1:26" ht="18.75">
      <c r="A707" s="708"/>
      <c r="B707" s="727"/>
      <c r="C707" s="727"/>
      <c r="D707" s="727"/>
      <c r="E707" s="727"/>
      <c r="F707" s="727"/>
      <c r="G707" s="189"/>
      <c r="H707" s="728" t="s">
        <v>46</v>
      </c>
      <c r="I707" s="729">
        <f ca="1">IFERROR(__xludf.DUMMYFUNCTION("IMPORTRANGE(""https://docs.google.com/spreadsheets/d/1QqKyyYR6Q21VydFLVH3TRQUabQu_ym0Zz7PgGX0-kHA/edit?usp=sharing"",""แผน!IG20"")"),0)</f>
        <v>0</v>
      </c>
      <c r="J707" s="214">
        <v>0</v>
      </c>
      <c r="K707" s="465"/>
      <c r="L707" s="465"/>
      <c r="M707" s="189"/>
      <c r="N707" s="730"/>
      <c r="O707" s="465"/>
      <c r="P707" s="465"/>
      <c r="Q707" s="541"/>
      <c r="R707" s="541"/>
      <c r="S707" s="541"/>
      <c r="T707" s="541"/>
      <c r="U707" s="541"/>
      <c r="V707" s="541"/>
      <c r="W707" s="541"/>
      <c r="X707" s="541"/>
      <c r="Y707" s="541"/>
      <c r="Z707" s="541"/>
    </row>
    <row r="708" spans="1:26" ht="19.5">
      <c r="A708" s="708"/>
      <c r="B708" s="727"/>
      <c r="C708" s="727"/>
      <c r="D708" s="733" t="s">
        <v>299</v>
      </c>
      <c r="E708" s="727"/>
      <c r="F708" s="727"/>
      <c r="G708" s="189"/>
      <c r="H708" s="731" t="s">
        <v>46</v>
      </c>
      <c r="I708" s="732">
        <f ca="1">IFERROR(__xludf.DUMMYFUNCTION("IMPORTRANGE(""https://docs.google.com/spreadsheets/d/1QqKyyYR6Q21VydFLVH3TRQUabQu_ym0Zz7PgGX0-kHA/edit?usp=sharing"",""แผน!IH20"")"),0)</f>
        <v>0</v>
      </c>
      <c r="J708" s="647">
        <f>J714+J717</f>
        <v>0</v>
      </c>
      <c r="K708" s="195">
        <f ca="1">IF(I708&gt;0,J708*100/I708,0)</f>
        <v>0</v>
      </c>
      <c r="L708" s="465"/>
      <c r="M708" s="189"/>
      <c r="N708" s="730"/>
      <c r="O708" s="465"/>
      <c r="P708" s="465"/>
      <c r="Q708" s="541"/>
      <c r="R708" s="541"/>
      <c r="S708" s="541"/>
      <c r="T708" s="541"/>
      <c r="U708" s="541"/>
      <c r="V708" s="541"/>
      <c r="W708" s="541"/>
      <c r="X708" s="541"/>
      <c r="Y708" s="541"/>
      <c r="Z708" s="541"/>
    </row>
    <row r="709" spans="1:26" ht="18.75">
      <c r="A709" s="708"/>
      <c r="B709" s="727"/>
      <c r="C709" s="727"/>
      <c r="D709" s="727"/>
      <c r="E709" s="727" t="s">
        <v>300</v>
      </c>
      <c r="F709" s="727"/>
      <c r="G709" s="189"/>
      <c r="H709" s="728" t="s">
        <v>34</v>
      </c>
      <c r="I709" s="729"/>
      <c r="J709" s="214">
        <v>0</v>
      </c>
      <c r="K709" s="465"/>
      <c r="L709" s="730"/>
      <c r="M709" s="189"/>
      <c r="N709" s="730"/>
      <c r="O709" s="465"/>
      <c r="P709" s="465"/>
      <c r="Q709" s="541"/>
      <c r="R709" s="541"/>
      <c r="S709" s="541"/>
      <c r="T709" s="541"/>
      <c r="U709" s="541"/>
      <c r="V709" s="541"/>
      <c r="W709" s="541"/>
      <c r="X709" s="541"/>
      <c r="Y709" s="541"/>
      <c r="Z709" s="541"/>
    </row>
    <row r="710" spans="1:26" ht="18.75">
      <c r="A710" s="708"/>
      <c r="B710" s="727"/>
      <c r="C710" s="727"/>
      <c r="D710" s="727"/>
      <c r="E710" s="727"/>
      <c r="F710" s="727"/>
      <c r="G710" s="189"/>
      <c r="H710" s="728" t="s">
        <v>46</v>
      </c>
      <c r="I710" s="729"/>
      <c r="J710" s="214">
        <v>0</v>
      </c>
      <c r="K710" s="465"/>
      <c r="L710" s="730"/>
      <c r="M710" s="189"/>
      <c r="N710" s="730"/>
      <c r="O710" s="465"/>
      <c r="P710" s="465"/>
      <c r="Q710" s="541"/>
      <c r="R710" s="541"/>
      <c r="S710" s="541"/>
      <c r="T710" s="541"/>
      <c r="U710" s="541"/>
      <c r="V710" s="541"/>
      <c r="W710" s="541"/>
      <c r="X710" s="541"/>
      <c r="Y710" s="541"/>
      <c r="Z710" s="541"/>
    </row>
    <row r="711" spans="1:26" ht="18.75">
      <c r="A711" s="708"/>
      <c r="B711" s="727"/>
      <c r="C711" s="727"/>
      <c r="D711" s="727"/>
      <c r="E711" s="727" t="s">
        <v>301</v>
      </c>
      <c r="F711" s="727"/>
      <c r="G711" s="189"/>
      <c r="H711" s="726"/>
      <c r="I711" s="729"/>
      <c r="J711" s="269"/>
      <c r="K711" s="465"/>
      <c r="L711" s="730"/>
      <c r="M711" s="189"/>
      <c r="N711" s="730"/>
      <c r="O711" s="465"/>
      <c r="P711" s="465"/>
      <c r="Q711" s="541"/>
      <c r="R711" s="541"/>
      <c r="S711" s="541"/>
      <c r="T711" s="541"/>
      <c r="U711" s="541"/>
      <c r="V711" s="541"/>
      <c r="W711" s="541"/>
      <c r="X711" s="541"/>
      <c r="Y711" s="541"/>
      <c r="Z711" s="541"/>
    </row>
    <row r="712" spans="1:26" ht="18.75">
      <c r="A712" s="708"/>
      <c r="B712" s="727"/>
      <c r="C712" s="727"/>
      <c r="D712" s="727"/>
      <c r="E712" s="727"/>
      <c r="F712" s="727" t="s">
        <v>302</v>
      </c>
      <c r="G712" s="189"/>
      <c r="H712" s="728" t="s">
        <v>35</v>
      </c>
      <c r="I712" s="729"/>
      <c r="J712" s="214">
        <v>0</v>
      </c>
      <c r="K712" s="465"/>
      <c r="L712" s="730"/>
      <c r="M712" s="189"/>
      <c r="N712" s="730"/>
      <c r="O712" s="465"/>
      <c r="P712" s="465"/>
      <c r="Q712" s="541"/>
      <c r="R712" s="541"/>
      <c r="S712" s="541"/>
      <c r="T712" s="541"/>
      <c r="U712" s="541"/>
      <c r="V712" s="541"/>
      <c r="W712" s="541"/>
      <c r="X712" s="541"/>
      <c r="Y712" s="541"/>
      <c r="Z712" s="541"/>
    </row>
    <row r="713" spans="1:26" ht="18.75">
      <c r="A713" s="708"/>
      <c r="B713" s="727"/>
      <c r="C713" s="727"/>
      <c r="D713" s="727"/>
      <c r="E713" s="727"/>
      <c r="F713" s="727"/>
      <c r="G713" s="189"/>
      <c r="H713" s="728" t="s">
        <v>34</v>
      </c>
      <c r="I713" s="729"/>
      <c r="J713" s="214">
        <v>0</v>
      </c>
      <c r="K713" s="465"/>
      <c r="L713" s="730"/>
      <c r="M713" s="189"/>
      <c r="N713" s="730"/>
      <c r="O713" s="465"/>
      <c r="P713" s="465"/>
      <c r="Q713" s="541"/>
      <c r="R713" s="541"/>
      <c r="S713" s="541"/>
      <c r="T713" s="541"/>
      <c r="U713" s="541"/>
      <c r="V713" s="541"/>
      <c r="W713" s="541"/>
      <c r="X713" s="541"/>
      <c r="Y713" s="541"/>
      <c r="Z713" s="541"/>
    </row>
    <row r="714" spans="1:26" ht="18.75">
      <c r="A714" s="708"/>
      <c r="B714" s="727"/>
      <c r="C714" s="727"/>
      <c r="D714" s="727"/>
      <c r="E714" s="727"/>
      <c r="F714" s="727"/>
      <c r="G714" s="189"/>
      <c r="H714" s="728" t="s">
        <v>46</v>
      </c>
      <c r="I714" s="729"/>
      <c r="J714" s="214">
        <v>0</v>
      </c>
      <c r="K714" s="465"/>
      <c r="L714" s="730"/>
      <c r="M714" s="189"/>
      <c r="N714" s="730"/>
      <c r="O714" s="465"/>
      <c r="P714" s="465"/>
      <c r="Q714" s="541"/>
      <c r="R714" s="541"/>
      <c r="S714" s="541"/>
      <c r="T714" s="541"/>
      <c r="U714" s="541"/>
      <c r="V714" s="541"/>
      <c r="W714" s="541"/>
      <c r="X714" s="541"/>
      <c r="Y714" s="541"/>
      <c r="Z714" s="541"/>
    </row>
    <row r="715" spans="1:26" ht="18.75">
      <c r="A715" s="708"/>
      <c r="B715" s="727"/>
      <c r="C715" s="727"/>
      <c r="D715" s="727"/>
      <c r="E715" s="727"/>
      <c r="F715" s="727" t="s">
        <v>303</v>
      </c>
      <c r="G715" s="189"/>
      <c r="H715" s="728" t="s">
        <v>35</v>
      </c>
      <c r="I715" s="729"/>
      <c r="J715" s="214">
        <v>0</v>
      </c>
      <c r="K715" s="465"/>
      <c r="L715" s="730"/>
      <c r="M715" s="189"/>
      <c r="N715" s="730"/>
      <c r="O715" s="465"/>
      <c r="P715" s="465"/>
      <c r="Q715" s="541"/>
      <c r="R715" s="541"/>
      <c r="S715" s="541"/>
      <c r="T715" s="541"/>
      <c r="U715" s="541"/>
      <c r="V715" s="541"/>
      <c r="W715" s="541"/>
      <c r="X715" s="541"/>
      <c r="Y715" s="541"/>
      <c r="Z715" s="541"/>
    </row>
    <row r="716" spans="1:26" ht="18.75">
      <c r="A716" s="708"/>
      <c r="B716" s="727"/>
      <c r="C716" s="727"/>
      <c r="D716" s="727"/>
      <c r="E716" s="727"/>
      <c r="F716" s="727"/>
      <c r="G716" s="189"/>
      <c r="H716" s="728" t="s">
        <v>34</v>
      </c>
      <c r="I716" s="729"/>
      <c r="J716" s="214">
        <v>0</v>
      </c>
      <c r="K716" s="465"/>
      <c r="L716" s="730"/>
      <c r="M716" s="189"/>
      <c r="N716" s="730"/>
      <c r="O716" s="465"/>
      <c r="P716" s="465"/>
      <c r="Q716" s="541"/>
      <c r="R716" s="541"/>
      <c r="S716" s="541"/>
      <c r="T716" s="541"/>
      <c r="U716" s="541"/>
      <c r="V716" s="541"/>
      <c r="W716" s="541"/>
      <c r="X716" s="541"/>
      <c r="Y716" s="541"/>
      <c r="Z716" s="541"/>
    </row>
    <row r="717" spans="1:26" ht="18.75">
      <c r="A717" s="708"/>
      <c r="B717" s="727"/>
      <c r="C717" s="727"/>
      <c r="D717" s="727"/>
      <c r="E717" s="727"/>
      <c r="F717" s="727"/>
      <c r="G717" s="189"/>
      <c r="H717" s="728" t="s">
        <v>46</v>
      </c>
      <c r="I717" s="729"/>
      <c r="J717" s="214">
        <v>0</v>
      </c>
      <c r="K717" s="465"/>
      <c r="L717" s="730"/>
      <c r="M717" s="189"/>
      <c r="N717" s="730"/>
      <c r="O717" s="465"/>
      <c r="P717" s="465"/>
      <c r="Q717" s="541"/>
      <c r="R717" s="541"/>
      <c r="S717" s="541"/>
      <c r="T717" s="541"/>
      <c r="U717" s="541"/>
      <c r="V717" s="541"/>
      <c r="W717" s="541"/>
      <c r="X717" s="541"/>
      <c r="Y717" s="541"/>
      <c r="Z717" s="541"/>
    </row>
    <row r="718" spans="1:26" ht="18.75">
      <c r="A718" s="708"/>
      <c r="B718" s="727"/>
      <c r="C718" s="727"/>
      <c r="D718" s="727" t="s">
        <v>304</v>
      </c>
      <c r="E718" s="727"/>
      <c r="F718" s="727"/>
      <c r="G718" s="189"/>
      <c r="H718" s="728" t="s">
        <v>35</v>
      </c>
      <c r="I718" s="729"/>
      <c r="J718" s="269">
        <f ca="1">IFERROR(__xludf.DUMMYFUNCTION("IMPORTRANGE(""https://docs.google.com/spreadsheets/d/1XWAQStnk-4SwqDmLtmXYiTMKHgktTP8We1SCoS47DrQ/edit?usp=sharing"",""จัดที่ดิน!BF20"")"),0)</f>
        <v>0</v>
      </c>
      <c r="K718" s="465"/>
      <c r="L718" s="465"/>
      <c r="M718" s="189"/>
      <c r="N718" s="730"/>
      <c r="O718" s="465"/>
      <c r="P718" s="465"/>
      <c r="Q718" s="541"/>
      <c r="R718" s="541"/>
      <c r="S718" s="541"/>
      <c r="T718" s="541"/>
      <c r="U718" s="541"/>
      <c r="V718" s="541"/>
      <c r="W718" s="541"/>
      <c r="X718" s="541"/>
      <c r="Y718" s="541"/>
      <c r="Z718" s="541"/>
    </row>
    <row r="719" spans="1:26" ht="18.75">
      <c r="A719" s="708"/>
      <c r="B719" s="727"/>
      <c r="C719" s="727"/>
      <c r="D719" s="727"/>
      <c r="E719" s="727"/>
      <c r="F719" s="727"/>
      <c r="G719" s="189"/>
      <c r="H719" s="728" t="s">
        <v>34</v>
      </c>
      <c r="I719" s="729"/>
      <c r="J719" s="269">
        <f ca="1">IFERROR(__xludf.DUMMYFUNCTION("IMPORTRANGE(""https://docs.google.com/spreadsheets/d/1XWAQStnk-4SwqDmLtmXYiTMKHgktTP8We1SCoS47DrQ/edit?usp=sharing"",""จัดที่ดิน!BG20"")"),0)</f>
        <v>0</v>
      </c>
      <c r="K719" s="465"/>
      <c r="L719" s="730"/>
      <c r="M719" s="189"/>
      <c r="N719" s="730"/>
      <c r="O719" s="465"/>
      <c r="P719" s="465"/>
      <c r="Q719" s="541"/>
      <c r="R719" s="541"/>
      <c r="S719" s="541"/>
      <c r="T719" s="541"/>
      <c r="U719" s="541"/>
      <c r="V719" s="541"/>
      <c r="W719" s="541"/>
      <c r="X719" s="541"/>
      <c r="Y719" s="541"/>
      <c r="Z719" s="541"/>
    </row>
    <row r="720" spans="1:26" ht="18.75">
      <c r="A720" s="708"/>
      <c r="B720" s="727"/>
      <c r="C720" s="727"/>
      <c r="D720" s="727"/>
      <c r="E720" s="727"/>
      <c r="F720" s="727"/>
      <c r="G720" s="189"/>
      <c r="H720" s="728" t="s">
        <v>46</v>
      </c>
      <c r="I720" s="729">
        <f ca="1">IFERROR(__xludf.DUMMYFUNCTION("IMPORTRANGE(""https://docs.google.com/spreadsheets/d/1QqKyyYR6Q21VydFLVH3TRQUabQu_ym0Zz7PgGX0-kHA/edit?usp=sharing"",""แผน!II20"")"),0)</f>
        <v>0</v>
      </c>
      <c r="J720" s="269">
        <f ca="1">IFERROR(__xludf.DUMMYFUNCTION("IMPORTRANGE(""https://docs.google.com/spreadsheets/d/1XWAQStnk-4SwqDmLtmXYiTMKHgktTP8We1SCoS47DrQ/edit?usp=sharing"",""จัดที่ดิน!BH20"")"),0)</f>
        <v>0</v>
      </c>
      <c r="K720" s="465">
        <f t="shared" ref="K720:K723" ca="1" si="290">IF(I720&gt;0,J720*100/I720,0)</f>
        <v>0</v>
      </c>
      <c r="L720" s="730"/>
      <c r="M720" s="189"/>
      <c r="N720" s="730"/>
      <c r="O720" s="465"/>
      <c r="P720" s="465"/>
      <c r="Q720" s="541"/>
      <c r="R720" s="541"/>
      <c r="S720" s="541"/>
      <c r="T720" s="541"/>
      <c r="U720" s="541"/>
      <c r="V720" s="541"/>
      <c r="W720" s="541"/>
      <c r="X720" s="541"/>
      <c r="Y720" s="541"/>
      <c r="Z720" s="541"/>
    </row>
    <row r="721" spans="1:26" ht="19.5">
      <c r="A721" s="708"/>
      <c r="B721" s="727"/>
      <c r="C721" s="727"/>
      <c r="D721" s="727" t="s">
        <v>305</v>
      </c>
      <c r="E721" s="727"/>
      <c r="F721" s="727"/>
      <c r="G721" s="189"/>
      <c r="H721" s="731" t="s">
        <v>35</v>
      </c>
      <c r="I721" s="732">
        <f ca="1">IFERROR(__xludf.DUMMYFUNCTION("IMPORTRANGE(""https://docs.google.com/spreadsheets/d/1QqKyyYR6Q21VydFLVH3TRQUabQu_ym0Zz7PgGX0-kHA/edit?usp=sharing"",""แผน!IJ20"")"),0)</f>
        <v>0</v>
      </c>
      <c r="J721" s="647">
        <f ca="1">J723+J726</f>
        <v>0</v>
      </c>
      <c r="K721" s="195">
        <f t="shared" ca="1" si="290"/>
        <v>0</v>
      </c>
      <c r="L721" s="730"/>
      <c r="M721" s="189"/>
      <c r="N721" s="730"/>
      <c r="O721" s="465"/>
      <c r="P721" s="465"/>
      <c r="Q721" s="541"/>
      <c r="R721" s="541"/>
      <c r="S721" s="541"/>
      <c r="T721" s="541"/>
      <c r="U721" s="541"/>
      <c r="V721" s="541"/>
      <c r="W721" s="541"/>
      <c r="X721" s="541"/>
      <c r="Y721" s="541"/>
      <c r="Z721" s="541"/>
    </row>
    <row r="722" spans="1:26" ht="19.5">
      <c r="A722" s="708"/>
      <c r="B722" s="727"/>
      <c r="C722" s="727"/>
      <c r="D722" s="727"/>
      <c r="E722" s="727"/>
      <c r="F722" s="727"/>
      <c r="G722" s="189"/>
      <c r="H722" s="731" t="s">
        <v>46</v>
      </c>
      <c r="I722" s="732">
        <f ca="1">IFERROR(__xludf.DUMMYFUNCTION("IMPORTRANGE(""https://docs.google.com/spreadsheets/d/1QqKyyYR6Q21VydFLVH3TRQUabQu_ym0Zz7PgGX0-kHA/edit?usp=sharing"",""แผน!IK20"")"),0)</f>
        <v>0</v>
      </c>
      <c r="J722" s="647">
        <f ca="1">J725+J728</f>
        <v>0</v>
      </c>
      <c r="K722" s="195">
        <f t="shared" ca="1" si="290"/>
        <v>0</v>
      </c>
      <c r="L722" s="465"/>
      <c r="M722" s="189"/>
      <c r="N722" s="730"/>
      <c r="O722" s="465"/>
      <c r="P722" s="465"/>
      <c r="Q722" s="541"/>
      <c r="R722" s="541"/>
      <c r="S722" s="541"/>
      <c r="T722" s="541"/>
      <c r="U722" s="541"/>
      <c r="V722" s="541"/>
      <c r="W722" s="541"/>
      <c r="X722" s="541"/>
      <c r="Y722" s="541"/>
      <c r="Z722" s="541"/>
    </row>
    <row r="723" spans="1:26" ht="18.75">
      <c r="A723" s="708"/>
      <c r="B723" s="727"/>
      <c r="C723" s="727"/>
      <c r="D723" s="727"/>
      <c r="E723" s="727" t="s">
        <v>306</v>
      </c>
      <c r="F723" s="727"/>
      <c r="G723" s="189"/>
      <c r="H723" s="728" t="s">
        <v>35</v>
      </c>
      <c r="I723" s="729">
        <f ca="1">IFERROR(__xludf.DUMMYFUNCTION("IMPORTRANGE(""https://docs.google.com/spreadsheets/d/1QqKyyYR6Q21VydFLVH3TRQUabQu_ym0Zz7PgGX0-kHA/edit?usp=sharing"",""แผน!IL20"")"),0)</f>
        <v>0</v>
      </c>
      <c r="J723" s="269">
        <f ca="1">IFERROR(__xludf.DUMMYFUNCTION("IMPORTRANGE(""https://docs.google.com/spreadsheets/d/1XWAQStnk-4SwqDmLtmXYiTMKHgktTP8We1SCoS47DrQ/edit?usp=sharing"",""จัดที่ดิน!BM20"")"),0)</f>
        <v>0</v>
      </c>
      <c r="K723" s="465">
        <f t="shared" ca="1" si="290"/>
        <v>0</v>
      </c>
      <c r="L723" s="465"/>
      <c r="M723" s="189"/>
      <c r="N723" s="730"/>
      <c r="O723" s="465"/>
      <c r="P723" s="465"/>
      <c r="Q723" s="541"/>
      <c r="R723" s="541"/>
      <c r="S723" s="541"/>
      <c r="T723" s="541"/>
      <c r="U723" s="541"/>
      <c r="V723" s="541"/>
      <c r="W723" s="541"/>
      <c r="X723" s="541"/>
      <c r="Y723" s="541"/>
      <c r="Z723" s="541"/>
    </row>
    <row r="724" spans="1:26" ht="18.75">
      <c r="A724" s="708"/>
      <c r="B724" s="727"/>
      <c r="C724" s="727"/>
      <c r="D724" s="727"/>
      <c r="E724" s="727"/>
      <c r="F724" s="727"/>
      <c r="G724" s="189"/>
      <c r="H724" s="728" t="s">
        <v>34</v>
      </c>
      <c r="I724" s="729"/>
      <c r="J724" s="269">
        <f ca="1">IFERROR(__xludf.DUMMYFUNCTION("IMPORTRANGE(""https://docs.google.com/spreadsheets/d/1XWAQStnk-4SwqDmLtmXYiTMKHgktTP8We1SCoS47DrQ/edit?usp=sharing"",""จัดที่ดิน!BN20"")"),0)</f>
        <v>0</v>
      </c>
      <c r="K724" s="465"/>
      <c r="L724" s="730"/>
      <c r="M724" s="189"/>
      <c r="N724" s="730"/>
      <c r="O724" s="465"/>
      <c r="P724" s="465"/>
      <c r="Q724" s="541"/>
      <c r="R724" s="541"/>
      <c r="S724" s="541"/>
      <c r="T724" s="541"/>
      <c r="U724" s="541"/>
      <c r="V724" s="541"/>
      <c r="W724" s="541"/>
      <c r="X724" s="541"/>
      <c r="Y724" s="541"/>
      <c r="Z724" s="541"/>
    </row>
    <row r="725" spans="1:26" ht="18.75">
      <c r="A725" s="708"/>
      <c r="B725" s="727"/>
      <c r="C725" s="727"/>
      <c r="D725" s="727"/>
      <c r="E725" s="727"/>
      <c r="F725" s="727"/>
      <c r="G725" s="189"/>
      <c r="H725" s="728" t="s">
        <v>46</v>
      </c>
      <c r="I725" s="729">
        <f ca="1">IFERROR(__xludf.DUMMYFUNCTION("IMPORTRANGE(""https://docs.google.com/spreadsheets/d/1QqKyyYR6Q21VydFLVH3TRQUabQu_ym0Zz7PgGX0-kHA/edit?usp=sharing"",""แผน!IM20"")"),0)</f>
        <v>0</v>
      </c>
      <c r="J725" s="269">
        <f ca="1">IFERROR(__xludf.DUMMYFUNCTION("IMPORTRANGE(""https://docs.google.com/spreadsheets/d/1XWAQStnk-4SwqDmLtmXYiTMKHgktTP8We1SCoS47DrQ/edit?usp=sharing"",""จัดที่ดิน!BO20"")"),0)</f>
        <v>0</v>
      </c>
      <c r="K725" s="465">
        <f t="shared" ref="K725:K726" ca="1" si="291">IF(I725&gt;0,J725*100/I725,0)</f>
        <v>0</v>
      </c>
      <c r="L725" s="730"/>
      <c r="M725" s="189"/>
      <c r="N725" s="730"/>
      <c r="O725" s="465"/>
      <c r="P725" s="465"/>
      <c r="Q725" s="541"/>
      <c r="R725" s="541"/>
      <c r="S725" s="541"/>
      <c r="T725" s="541"/>
      <c r="U725" s="541"/>
      <c r="V725" s="541"/>
      <c r="W725" s="541"/>
      <c r="X725" s="541"/>
      <c r="Y725" s="541"/>
      <c r="Z725" s="541"/>
    </row>
    <row r="726" spans="1:26" ht="18.75">
      <c r="A726" s="708"/>
      <c r="B726" s="727"/>
      <c r="C726" s="727"/>
      <c r="D726" s="727"/>
      <c r="E726" s="727" t="s">
        <v>307</v>
      </c>
      <c r="F726" s="727"/>
      <c r="G726" s="189"/>
      <c r="H726" s="728" t="s">
        <v>35</v>
      </c>
      <c r="I726" s="729">
        <f ca="1">IFERROR(__xludf.DUMMYFUNCTION("IMPORTRANGE(""https://docs.google.com/spreadsheets/d/1QqKyyYR6Q21VydFLVH3TRQUabQu_ym0Zz7PgGX0-kHA/edit?usp=sharing"",""แผน!IN20"")"),0)</f>
        <v>0</v>
      </c>
      <c r="J726" s="269">
        <f ca="1">IFERROR(__xludf.DUMMYFUNCTION("IMPORTRANGE(""https://docs.google.com/spreadsheets/d/1XWAQStnk-4SwqDmLtmXYiTMKHgktTP8We1SCoS47DrQ/edit?usp=sharing"",""จัดที่ดิน!BR20"")"),0)</f>
        <v>0</v>
      </c>
      <c r="K726" s="465">
        <f t="shared" ca="1" si="291"/>
        <v>0</v>
      </c>
      <c r="L726" s="465"/>
      <c r="M726" s="189"/>
      <c r="N726" s="730"/>
      <c r="O726" s="465"/>
      <c r="P726" s="465"/>
      <c r="Q726" s="541"/>
      <c r="R726" s="541"/>
      <c r="S726" s="541"/>
      <c r="T726" s="541"/>
      <c r="U726" s="541"/>
      <c r="V726" s="541"/>
      <c r="W726" s="541"/>
      <c r="X726" s="541"/>
      <c r="Y726" s="541"/>
      <c r="Z726" s="541"/>
    </row>
    <row r="727" spans="1:26" ht="18.75">
      <c r="A727" s="708"/>
      <c r="B727" s="727"/>
      <c r="C727" s="727"/>
      <c r="D727" s="727"/>
      <c r="E727" s="727"/>
      <c r="F727" s="727"/>
      <c r="G727" s="189"/>
      <c r="H727" s="728" t="s">
        <v>34</v>
      </c>
      <c r="I727" s="729"/>
      <c r="J727" s="269">
        <f ca="1">IFERROR(__xludf.DUMMYFUNCTION("IMPORTRANGE(""https://docs.google.com/spreadsheets/d/1XWAQStnk-4SwqDmLtmXYiTMKHgktTP8We1SCoS47DrQ/edit?usp=sharing"",""จัดที่ดิน!BS20"")"),0)</f>
        <v>0</v>
      </c>
      <c r="K727" s="465"/>
      <c r="L727" s="730"/>
      <c r="M727" s="189"/>
      <c r="N727" s="730"/>
      <c r="O727" s="465"/>
      <c r="P727" s="465"/>
      <c r="Q727" s="541"/>
      <c r="R727" s="541"/>
      <c r="S727" s="541"/>
      <c r="T727" s="541"/>
      <c r="U727" s="541"/>
      <c r="V727" s="541"/>
      <c r="W727" s="541"/>
      <c r="X727" s="541"/>
      <c r="Y727" s="541"/>
      <c r="Z727" s="541"/>
    </row>
    <row r="728" spans="1:26" ht="18.75">
      <c r="A728" s="708"/>
      <c r="B728" s="727"/>
      <c r="C728" s="727"/>
      <c r="D728" s="727"/>
      <c r="E728" s="727"/>
      <c r="F728" s="727"/>
      <c r="G728" s="189"/>
      <c r="H728" s="728" t="s">
        <v>46</v>
      </c>
      <c r="I728" s="729">
        <f ca="1">IFERROR(__xludf.DUMMYFUNCTION("IMPORTRANGE(""https://docs.google.com/spreadsheets/d/1QqKyyYR6Q21VydFLVH3TRQUabQu_ym0Zz7PgGX0-kHA/edit?usp=sharing"",""แผน!IO20"")"),0)</f>
        <v>0</v>
      </c>
      <c r="J728" s="269">
        <f ca="1">IFERROR(__xludf.DUMMYFUNCTION("IMPORTRANGE(""https://docs.google.com/spreadsheets/d/1XWAQStnk-4SwqDmLtmXYiTMKHgktTP8We1SCoS47DrQ/edit?usp=sharing"",""จัดที่ดิน!BT20"")"),0)</f>
        <v>0</v>
      </c>
      <c r="K728" s="465">
        <f t="shared" ref="K728:K729" ca="1" si="292">IF(I728&gt;0,J728*100/I728,0)</f>
        <v>0</v>
      </c>
      <c r="L728" s="730"/>
      <c r="M728" s="189"/>
      <c r="N728" s="730"/>
      <c r="O728" s="465"/>
      <c r="P728" s="465"/>
      <c r="Q728" s="541"/>
      <c r="R728" s="541"/>
      <c r="S728" s="541"/>
      <c r="T728" s="541"/>
      <c r="U728" s="541"/>
      <c r="V728" s="541"/>
      <c r="W728" s="541"/>
      <c r="X728" s="541"/>
      <c r="Y728" s="541"/>
      <c r="Z728" s="541"/>
    </row>
    <row r="729" spans="1:26" ht="19.5">
      <c r="A729" s="708"/>
      <c r="B729" s="727"/>
      <c r="C729" s="727"/>
      <c r="D729" s="727" t="s">
        <v>308</v>
      </c>
      <c r="E729" s="727"/>
      <c r="F729" s="727"/>
      <c r="G729" s="189"/>
      <c r="H729" s="731" t="s">
        <v>46</v>
      </c>
      <c r="I729" s="732">
        <f ca="1">IFERROR(__xludf.DUMMYFUNCTION("IMPORTRANGE(""https://docs.google.com/spreadsheets/d/1QqKyyYR6Q21VydFLVH3TRQUabQu_ym0Zz7PgGX0-kHA/edit?usp=sharing"",""แผน!IP20"")"),0)</f>
        <v>0</v>
      </c>
      <c r="J729" s="647">
        <f>J732+J735</f>
        <v>0</v>
      </c>
      <c r="K729" s="195">
        <f t="shared" ca="1" si="292"/>
        <v>0</v>
      </c>
      <c r="L729" s="465"/>
      <c r="M729" s="189"/>
      <c r="N729" s="730"/>
      <c r="O729" s="465"/>
      <c r="P729" s="465"/>
      <c r="Q729" s="541"/>
      <c r="R729" s="541"/>
      <c r="S729" s="541"/>
      <c r="T729" s="541"/>
      <c r="U729" s="541"/>
      <c r="V729" s="541"/>
      <c r="W729" s="541"/>
      <c r="X729" s="541"/>
      <c r="Y729" s="541"/>
      <c r="Z729" s="541"/>
    </row>
    <row r="730" spans="1:26" ht="18.75">
      <c r="A730" s="708"/>
      <c r="B730" s="727"/>
      <c r="C730" s="727"/>
      <c r="D730" s="727"/>
      <c r="E730" s="727" t="s">
        <v>309</v>
      </c>
      <c r="F730" s="727"/>
      <c r="G730" s="189"/>
      <c r="H730" s="728" t="s">
        <v>35</v>
      </c>
      <c r="I730" s="729"/>
      <c r="J730" s="214">
        <v>0</v>
      </c>
      <c r="K730" s="465"/>
      <c r="L730" s="730"/>
      <c r="M730" s="465"/>
      <c r="N730" s="730"/>
      <c r="O730" s="465"/>
      <c r="P730" s="465"/>
      <c r="Q730" s="541"/>
      <c r="R730" s="541"/>
      <c r="S730" s="541"/>
      <c r="T730" s="541"/>
      <c r="U730" s="541"/>
      <c r="V730" s="541"/>
      <c r="W730" s="541"/>
      <c r="X730" s="541"/>
      <c r="Y730" s="541"/>
      <c r="Z730" s="541"/>
    </row>
    <row r="731" spans="1:26" ht="18.75">
      <c r="A731" s="708"/>
      <c r="B731" s="727"/>
      <c r="C731" s="727"/>
      <c r="D731" s="727"/>
      <c r="E731" s="727"/>
      <c r="F731" s="727"/>
      <c r="G731" s="189"/>
      <c r="H731" s="728" t="s">
        <v>34</v>
      </c>
      <c r="I731" s="729"/>
      <c r="J731" s="214">
        <v>0</v>
      </c>
      <c r="K731" s="465"/>
      <c r="L731" s="730"/>
      <c r="M731" s="465"/>
      <c r="N731" s="730"/>
      <c r="O731" s="465"/>
      <c r="P731" s="465"/>
      <c r="Q731" s="541"/>
      <c r="R731" s="541"/>
      <c r="S731" s="541"/>
      <c r="T731" s="541"/>
      <c r="U731" s="541"/>
      <c r="V731" s="541"/>
      <c r="W731" s="541"/>
      <c r="X731" s="541"/>
      <c r="Y731" s="541"/>
      <c r="Z731" s="541"/>
    </row>
    <row r="732" spans="1:26" ht="18.75">
      <c r="A732" s="708"/>
      <c r="B732" s="727"/>
      <c r="C732" s="727"/>
      <c r="D732" s="727"/>
      <c r="E732" s="727"/>
      <c r="F732" s="727"/>
      <c r="G732" s="189"/>
      <c r="H732" s="728" t="s">
        <v>46</v>
      </c>
      <c r="I732" s="729"/>
      <c r="J732" s="214">
        <v>0</v>
      </c>
      <c r="K732" s="465"/>
      <c r="L732" s="730"/>
      <c r="M732" s="465"/>
      <c r="N732" s="730"/>
      <c r="O732" s="465"/>
      <c r="P732" s="465"/>
      <c r="Q732" s="541"/>
      <c r="R732" s="541"/>
      <c r="S732" s="541"/>
      <c r="T732" s="541"/>
      <c r="U732" s="541"/>
      <c r="V732" s="541"/>
      <c r="W732" s="541"/>
      <c r="X732" s="541"/>
      <c r="Y732" s="541"/>
      <c r="Z732" s="541"/>
    </row>
    <row r="733" spans="1:26" ht="18.75">
      <c r="A733" s="708"/>
      <c r="B733" s="727"/>
      <c r="C733" s="727"/>
      <c r="D733" s="727"/>
      <c r="E733" s="727" t="s">
        <v>310</v>
      </c>
      <c r="F733" s="727"/>
      <c r="G733" s="189"/>
      <c r="H733" s="728" t="s">
        <v>35</v>
      </c>
      <c r="I733" s="729"/>
      <c r="J733" s="214">
        <v>0</v>
      </c>
      <c r="K733" s="465"/>
      <c r="L733" s="730"/>
      <c r="M733" s="465"/>
      <c r="N733" s="730"/>
      <c r="O733" s="465"/>
      <c r="P733" s="465"/>
      <c r="Q733" s="541"/>
      <c r="R733" s="541"/>
      <c r="S733" s="541"/>
      <c r="T733" s="541"/>
      <c r="U733" s="541"/>
      <c r="V733" s="541"/>
      <c r="W733" s="541"/>
      <c r="X733" s="541"/>
      <c r="Y733" s="541"/>
      <c r="Z733" s="541"/>
    </row>
    <row r="734" spans="1:26" ht="18.75">
      <c r="A734" s="708"/>
      <c r="B734" s="727"/>
      <c r="C734" s="727"/>
      <c r="D734" s="727"/>
      <c r="E734" s="727"/>
      <c r="F734" s="727"/>
      <c r="G734" s="189"/>
      <c r="H734" s="728" t="s">
        <v>34</v>
      </c>
      <c r="I734" s="729"/>
      <c r="J734" s="214">
        <v>0</v>
      </c>
      <c r="K734" s="465"/>
      <c r="L734" s="730"/>
      <c r="M734" s="465"/>
      <c r="N734" s="730"/>
      <c r="O734" s="465"/>
      <c r="P734" s="465"/>
      <c r="Q734" s="541"/>
      <c r="R734" s="541"/>
      <c r="S734" s="541"/>
      <c r="T734" s="541"/>
      <c r="U734" s="541"/>
      <c r="V734" s="541"/>
      <c r="W734" s="541"/>
      <c r="X734" s="541"/>
      <c r="Y734" s="541"/>
      <c r="Z734" s="541"/>
    </row>
    <row r="735" spans="1:26" ht="19.5">
      <c r="A735" s="734"/>
      <c r="B735" s="735" t="s">
        <v>311</v>
      </c>
      <c r="C735" s="698"/>
      <c r="D735" s="698"/>
      <c r="E735" s="698"/>
      <c r="F735" s="698"/>
      <c r="G735" s="699"/>
      <c r="H735" s="390" t="s">
        <v>46</v>
      </c>
      <c r="I735" s="736"/>
      <c r="J735" s="392">
        <v>0</v>
      </c>
      <c r="K735" s="469"/>
      <c r="L735" s="737"/>
      <c r="M735" s="469"/>
      <c r="N735" s="737"/>
      <c r="O735" s="469"/>
      <c r="P735" s="469"/>
      <c r="Q735" s="541"/>
      <c r="R735" s="541"/>
      <c r="S735" s="541"/>
      <c r="T735" s="541"/>
      <c r="U735" s="541"/>
      <c r="V735" s="541"/>
      <c r="W735" s="541"/>
      <c r="X735" s="541"/>
      <c r="Y735" s="541"/>
      <c r="Z735" s="541"/>
    </row>
    <row r="736" spans="1:26" ht="19.5" hidden="1">
      <c r="A736" s="738">
        <v>9</v>
      </c>
      <c r="B736" s="739" t="s">
        <v>312</v>
      </c>
      <c r="C736" s="740"/>
      <c r="D736" s="740"/>
      <c r="E736" s="740"/>
      <c r="F736" s="740"/>
      <c r="G736" s="741"/>
      <c r="H736" s="742" t="s">
        <v>46</v>
      </c>
      <c r="I736" s="743"/>
      <c r="J736" s="743">
        <f>J751</f>
        <v>0</v>
      </c>
      <c r="K736" s="744">
        <f>IF(I736&gt;0,J736*100/I736,0)</f>
        <v>0</v>
      </c>
      <c r="L736" s="745"/>
      <c r="M736" s="745"/>
      <c r="N736" s="745"/>
      <c r="O736" s="745"/>
      <c r="P736" s="745"/>
      <c r="Q736" s="568"/>
      <c r="R736" s="568"/>
      <c r="S736" s="568"/>
      <c r="T736" s="568"/>
      <c r="U736" s="568"/>
      <c r="V736" s="568"/>
      <c r="W736" s="568"/>
      <c r="X736" s="568"/>
      <c r="Y736" s="568"/>
      <c r="Z736" s="568"/>
    </row>
    <row r="737" spans="1:26" ht="19.5" hidden="1">
      <c r="A737" s="563"/>
      <c r="B737" s="723"/>
      <c r="C737" s="723" t="s">
        <v>16</v>
      </c>
      <c r="D737" s="812" t="s">
        <v>17</v>
      </c>
      <c r="E737" s="805"/>
      <c r="F737" s="805"/>
      <c r="G737" s="567"/>
      <c r="H737" s="612" t="s">
        <v>12</v>
      </c>
      <c r="I737" s="583"/>
      <c r="J737" s="583"/>
      <c r="K737" s="93"/>
      <c r="L737" s="613">
        <f t="shared" ref="L737:N737" si="293">L738+L739</f>
        <v>0</v>
      </c>
      <c r="M737" s="613">
        <f t="shared" si="293"/>
        <v>0</v>
      </c>
      <c r="N737" s="613">
        <f t="shared" si="293"/>
        <v>0</v>
      </c>
      <c r="O737" s="613">
        <f t="shared" ref="O737:O742" si="294">IF(L737&gt;0,N737*100/L737,0)</f>
        <v>0</v>
      </c>
      <c r="P737" s="613">
        <f t="shared" ref="P737:P742" si="295">IF(M737&gt;0,N737*100/M737,0)</f>
        <v>0</v>
      </c>
      <c r="Q737" s="568"/>
      <c r="R737" s="568"/>
      <c r="S737" s="568"/>
      <c r="T737" s="568"/>
      <c r="U737" s="568"/>
      <c r="V737" s="568"/>
      <c r="W737" s="568"/>
      <c r="X737" s="568"/>
      <c r="Y737" s="568"/>
      <c r="Z737" s="568"/>
    </row>
    <row r="738" spans="1:26" ht="18.75" hidden="1">
      <c r="A738" s="563"/>
      <c r="B738" s="723"/>
      <c r="C738" s="723"/>
      <c r="D738" s="684"/>
      <c r="E738" s="723" t="s">
        <v>184</v>
      </c>
      <c r="F738" s="723"/>
      <c r="G738" s="567"/>
      <c r="H738" s="165" t="s">
        <v>12</v>
      </c>
      <c r="I738" s="583"/>
      <c r="J738" s="583"/>
      <c r="K738" s="93"/>
      <c r="L738" s="93">
        <f t="shared" ref="L738:N739" si="296">L741+L748</f>
        <v>0</v>
      </c>
      <c r="M738" s="93">
        <f t="shared" si="296"/>
        <v>0</v>
      </c>
      <c r="N738" s="93">
        <f t="shared" si="296"/>
        <v>0</v>
      </c>
      <c r="O738" s="93">
        <f t="shared" si="294"/>
        <v>0</v>
      </c>
      <c r="P738" s="93">
        <f t="shared" si="295"/>
        <v>0</v>
      </c>
      <c r="Q738" s="568"/>
      <c r="R738" s="568"/>
      <c r="S738" s="568"/>
      <c r="T738" s="568"/>
      <c r="U738" s="568"/>
      <c r="V738" s="568"/>
      <c r="W738" s="568"/>
      <c r="X738" s="568"/>
      <c r="Y738" s="568"/>
      <c r="Z738" s="568"/>
    </row>
    <row r="739" spans="1:26" ht="18.75" hidden="1">
      <c r="A739" s="563"/>
      <c r="B739" s="571"/>
      <c r="C739" s="723"/>
      <c r="D739" s="684"/>
      <c r="E739" s="723" t="s">
        <v>185</v>
      </c>
      <c r="F739" s="723"/>
      <c r="G739" s="567"/>
      <c r="H739" s="165" t="s">
        <v>12</v>
      </c>
      <c r="I739" s="583"/>
      <c r="J739" s="583"/>
      <c r="K739" s="93"/>
      <c r="L739" s="93">
        <f t="shared" si="296"/>
        <v>0</v>
      </c>
      <c r="M739" s="93">
        <f t="shared" si="296"/>
        <v>0</v>
      </c>
      <c r="N739" s="93">
        <f t="shared" si="296"/>
        <v>0</v>
      </c>
      <c r="O739" s="93">
        <f t="shared" si="294"/>
        <v>0</v>
      </c>
      <c r="P739" s="93">
        <f t="shared" si="295"/>
        <v>0</v>
      </c>
      <c r="Q739" s="568"/>
      <c r="R739" s="568"/>
      <c r="S739" s="568"/>
      <c r="T739" s="568"/>
      <c r="U739" s="568"/>
      <c r="V739" s="568"/>
      <c r="W739" s="568"/>
      <c r="X739" s="568"/>
      <c r="Y739" s="568"/>
      <c r="Z739" s="568"/>
    </row>
    <row r="740" spans="1:26" ht="19.5" hidden="1">
      <c r="A740" s="563"/>
      <c r="B740" s="571"/>
      <c r="C740" s="723"/>
      <c r="D740" s="611" t="s">
        <v>20</v>
      </c>
      <c r="E740" s="723"/>
      <c r="F740" s="723"/>
      <c r="G740" s="567"/>
      <c r="H740" s="612" t="s">
        <v>12</v>
      </c>
      <c r="I740" s="166"/>
      <c r="J740" s="166"/>
      <c r="K740" s="167"/>
      <c r="L740" s="613">
        <f t="shared" ref="L740:N740" si="297">L741+L742</f>
        <v>0</v>
      </c>
      <c r="M740" s="613">
        <f t="shared" si="297"/>
        <v>0</v>
      </c>
      <c r="N740" s="613">
        <f t="shared" si="297"/>
        <v>0</v>
      </c>
      <c r="O740" s="613">
        <f t="shared" si="294"/>
        <v>0</v>
      </c>
      <c r="P740" s="613">
        <f t="shared" si="295"/>
        <v>0</v>
      </c>
      <c r="Q740" s="568"/>
      <c r="R740" s="568"/>
      <c r="S740" s="568"/>
      <c r="T740" s="568"/>
      <c r="U740" s="568"/>
      <c r="V740" s="568"/>
      <c r="W740" s="568"/>
      <c r="X740" s="568"/>
      <c r="Y740" s="568"/>
      <c r="Z740" s="568"/>
    </row>
    <row r="741" spans="1:26" ht="18.75" hidden="1">
      <c r="A741" s="563"/>
      <c r="B741" s="571"/>
      <c r="C741" s="723"/>
      <c r="D741" s="684"/>
      <c r="E741" s="723" t="s">
        <v>184</v>
      </c>
      <c r="F741" s="723"/>
      <c r="G741" s="567"/>
      <c r="H741" s="165" t="s">
        <v>12</v>
      </c>
      <c r="I741" s="583"/>
      <c r="J741" s="583"/>
      <c r="K741" s="93"/>
      <c r="L741" s="93">
        <v>0</v>
      </c>
      <c r="M741" s="93">
        <v>0</v>
      </c>
      <c r="N741" s="93">
        <v>0</v>
      </c>
      <c r="O741" s="93">
        <f t="shared" si="294"/>
        <v>0</v>
      </c>
      <c r="P741" s="93">
        <f t="shared" si="295"/>
        <v>0</v>
      </c>
      <c r="Q741" s="568"/>
      <c r="R741" s="568"/>
      <c r="S741" s="568"/>
      <c r="T741" s="568"/>
      <c r="U741" s="568"/>
      <c r="V741" s="568"/>
      <c r="W741" s="568"/>
      <c r="X741" s="568"/>
      <c r="Y741" s="568"/>
      <c r="Z741" s="568"/>
    </row>
    <row r="742" spans="1:26" ht="18.75" hidden="1">
      <c r="A742" s="563"/>
      <c r="B742" s="571"/>
      <c r="C742" s="723"/>
      <c r="D742" s="684"/>
      <c r="E742" s="723" t="s">
        <v>185</v>
      </c>
      <c r="F742" s="723"/>
      <c r="G742" s="567"/>
      <c r="H742" s="165" t="s">
        <v>12</v>
      </c>
      <c r="I742" s="583"/>
      <c r="J742" s="583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4"/>
        <v>0</v>
      </c>
      <c r="P742" s="93">
        <f t="shared" si="295"/>
        <v>0</v>
      </c>
      <c r="Q742" s="568"/>
      <c r="R742" s="568"/>
      <c r="S742" s="568"/>
      <c r="T742" s="568"/>
      <c r="U742" s="568"/>
      <c r="V742" s="568"/>
      <c r="W742" s="568"/>
      <c r="X742" s="568"/>
      <c r="Y742" s="568"/>
      <c r="Z742" s="568"/>
    </row>
    <row r="743" spans="1:26" ht="18.75" hidden="1">
      <c r="A743" s="615"/>
      <c r="B743" s="571"/>
      <c r="C743" s="723"/>
      <c r="D743" s="723"/>
      <c r="E743" s="723"/>
      <c r="F743" s="723" t="s">
        <v>186</v>
      </c>
      <c r="G743" s="567"/>
      <c r="H743" s="165" t="s">
        <v>12</v>
      </c>
      <c r="I743" s="583"/>
      <c r="J743" s="583"/>
      <c r="K743" s="93"/>
      <c r="L743" s="93"/>
      <c r="M743" s="93"/>
      <c r="N743" s="93"/>
      <c r="O743" s="93"/>
      <c r="P743" s="93"/>
      <c r="Q743" s="568"/>
      <c r="R743" s="568"/>
      <c r="S743" s="568"/>
      <c r="T743" s="568"/>
      <c r="U743" s="568"/>
      <c r="V743" s="568"/>
      <c r="W743" s="568"/>
      <c r="X743" s="568"/>
      <c r="Y743" s="568"/>
      <c r="Z743" s="568"/>
    </row>
    <row r="744" spans="1:26" ht="18.75" hidden="1">
      <c r="A744" s="615"/>
      <c r="B744" s="571"/>
      <c r="C744" s="723"/>
      <c r="D744" s="723"/>
      <c r="E744" s="723"/>
      <c r="F744" s="723" t="s">
        <v>187</v>
      </c>
      <c r="G744" s="567"/>
      <c r="H744" s="165" t="s">
        <v>12</v>
      </c>
      <c r="I744" s="583"/>
      <c r="J744" s="583"/>
      <c r="K744" s="93"/>
      <c r="L744" s="93"/>
      <c r="M744" s="93"/>
      <c r="N744" s="93"/>
      <c r="O744" s="93"/>
      <c r="P744" s="93"/>
      <c r="Q744" s="568"/>
      <c r="R744" s="568"/>
      <c r="S744" s="568"/>
      <c r="T744" s="568"/>
      <c r="U744" s="568"/>
      <c r="V744" s="568"/>
      <c r="W744" s="568"/>
      <c r="X744" s="568"/>
      <c r="Y744" s="568"/>
      <c r="Z744" s="568"/>
    </row>
    <row r="745" spans="1:26" ht="18.75" hidden="1">
      <c r="A745" s="615"/>
      <c r="B745" s="571"/>
      <c r="C745" s="723"/>
      <c r="D745" s="723"/>
      <c r="E745" s="723"/>
      <c r="F745" s="723" t="s">
        <v>188</v>
      </c>
      <c r="G745" s="567"/>
      <c r="H745" s="165" t="s">
        <v>12</v>
      </c>
      <c r="I745" s="583"/>
      <c r="J745" s="583"/>
      <c r="K745" s="93"/>
      <c r="L745" s="93"/>
      <c r="M745" s="93"/>
      <c r="N745" s="93"/>
      <c r="O745" s="93"/>
      <c r="P745" s="93"/>
      <c r="Q745" s="568"/>
      <c r="R745" s="568"/>
      <c r="S745" s="568"/>
      <c r="T745" s="568"/>
      <c r="U745" s="568"/>
      <c r="V745" s="568"/>
      <c r="W745" s="568"/>
      <c r="X745" s="568"/>
      <c r="Y745" s="568"/>
      <c r="Z745" s="568"/>
    </row>
    <row r="746" spans="1:26" ht="18.75" hidden="1">
      <c r="A746" s="615"/>
      <c r="B746" s="571"/>
      <c r="C746" s="723"/>
      <c r="D746" s="723"/>
      <c r="E746" s="723"/>
      <c r="F746" s="723" t="s">
        <v>189</v>
      </c>
      <c r="G746" s="567"/>
      <c r="H746" s="165" t="s">
        <v>12</v>
      </c>
      <c r="I746" s="583"/>
      <c r="J746" s="583"/>
      <c r="K746" s="93"/>
      <c r="L746" s="93"/>
      <c r="M746" s="93"/>
      <c r="N746" s="93"/>
      <c r="O746" s="93"/>
      <c r="P746" s="93"/>
      <c r="Q746" s="568"/>
      <c r="R746" s="568"/>
      <c r="S746" s="568"/>
      <c r="T746" s="568"/>
      <c r="U746" s="568"/>
      <c r="V746" s="568"/>
      <c r="W746" s="568"/>
      <c r="X746" s="568"/>
      <c r="Y746" s="568"/>
      <c r="Z746" s="568"/>
    </row>
    <row r="747" spans="1:26" ht="19.5" hidden="1">
      <c r="A747" s="563"/>
      <c r="B747" s="571"/>
      <c r="C747" s="723"/>
      <c r="D747" s="611" t="s">
        <v>21</v>
      </c>
      <c r="E747" s="723"/>
      <c r="F747" s="723"/>
      <c r="G747" s="567"/>
      <c r="H747" s="747" t="s">
        <v>12</v>
      </c>
      <c r="I747" s="166"/>
      <c r="J747" s="166"/>
      <c r="K747" s="167"/>
      <c r="L747" s="613">
        <f t="shared" ref="L747:N747" si="298">L748+L749</f>
        <v>0</v>
      </c>
      <c r="M747" s="613">
        <f t="shared" si="298"/>
        <v>0</v>
      </c>
      <c r="N747" s="613">
        <f t="shared" si="298"/>
        <v>0</v>
      </c>
      <c r="O747" s="613">
        <f t="shared" ref="O747:O749" si="299">IF(L747&gt;0,N747*100/L747,0)</f>
        <v>0</v>
      </c>
      <c r="P747" s="613">
        <f t="shared" ref="P747:P749" si="300">IF(M747&gt;0,N747*100/M747,0)</f>
        <v>0</v>
      </c>
      <c r="Q747" s="568"/>
      <c r="R747" s="568"/>
      <c r="S747" s="568"/>
      <c r="T747" s="568"/>
      <c r="U747" s="568"/>
      <c r="V747" s="568"/>
      <c r="W747" s="568"/>
      <c r="X747" s="568"/>
      <c r="Y747" s="568"/>
      <c r="Z747" s="568"/>
    </row>
    <row r="748" spans="1:26" ht="18.75" hidden="1">
      <c r="A748" s="563"/>
      <c r="B748" s="571"/>
      <c r="C748" s="723"/>
      <c r="D748" s="723"/>
      <c r="E748" s="723" t="s">
        <v>18</v>
      </c>
      <c r="F748" s="723"/>
      <c r="G748" s="567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299"/>
        <v>0</v>
      </c>
      <c r="P748" s="93">
        <f t="shared" si="300"/>
        <v>0</v>
      </c>
      <c r="Q748" s="568"/>
      <c r="R748" s="568"/>
      <c r="S748" s="568"/>
      <c r="T748" s="568"/>
      <c r="U748" s="568"/>
      <c r="V748" s="568"/>
      <c r="W748" s="568"/>
      <c r="X748" s="568"/>
      <c r="Y748" s="568"/>
      <c r="Z748" s="568"/>
    </row>
    <row r="749" spans="1:26" ht="18.75" hidden="1">
      <c r="A749" s="563"/>
      <c r="B749" s="571"/>
      <c r="C749" s="723"/>
      <c r="D749" s="723"/>
      <c r="E749" s="723" t="s">
        <v>19</v>
      </c>
      <c r="F749" s="723"/>
      <c r="G749" s="567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299"/>
        <v>0</v>
      </c>
      <c r="P749" s="93">
        <f t="shared" si="300"/>
        <v>0</v>
      </c>
      <c r="Q749" s="568"/>
      <c r="R749" s="568"/>
      <c r="S749" s="568"/>
      <c r="T749" s="568"/>
      <c r="U749" s="568"/>
      <c r="V749" s="568"/>
      <c r="W749" s="568"/>
      <c r="X749" s="568"/>
      <c r="Y749" s="568"/>
      <c r="Z749" s="568"/>
    </row>
    <row r="750" spans="1:26" ht="19.5" hidden="1">
      <c r="A750" s="578"/>
      <c r="B750" s="580"/>
      <c r="C750" s="723" t="s">
        <v>16</v>
      </c>
      <c r="D750" s="856" t="s">
        <v>38</v>
      </c>
      <c r="E750" s="617"/>
      <c r="F750" s="617"/>
      <c r="G750" s="618"/>
      <c r="H750" s="581"/>
      <c r="I750" s="166"/>
      <c r="J750" s="166"/>
      <c r="K750" s="167"/>
      <c r="L750" s="167"/>
      <c r="M750" s="167"/>
      <c r="N750" s="167"/>
      <c r="O750" s="167"/>
      <c r="P750" s="167"/>
      <c r="Q750" s="568"/>
      <c r="R750" s="568"/>
      <c r="S750" s="568"/>
      <c r="T750" s="568"/>
      <c r="U750" s="568"/>
      <c r="V750" s="568"/>
      <c r="W750" s="568"/>
      <c r="X750" s="568"/>
      <c r="Y750" s="568"/>
      <c r="Z750" s="568"/>
    </row>
    <row r="751" spans="1:26" ht="18.75" hidden="1">
      <c r="A751" s="615"/>
      <c r="B751" s="571"/>
      <c r="C751" s="723"/>
      <c r="D751" s="723"/>
      <c r="E751" s="723" t="s">
        <v>313</v>
      </c>
      <c r="F751" s="723"/>
      <c r="G751" s="567"/>
      <c r="H751" s="165" t="s">
        <v>46</v>
      </c>
      <c r="I751" s="583"/>
      <c r="J751" s="583"/>
      <c r="K751" s="93"/>
      <c r="L751" s="93"/>
      <c r="M751" s="93"/>
      <c r="N751" s="93"/>
      <c r="O751" s="93"/>
      <c r="P751" s="93"/>
      <c r="Q751" s="568"/>
      <c r="R751" s="568"/>
      <c r="S751" s="568"/>
      <c r="T751" s="568"/>
      <c r="U751" s="568"/>
      <c r="V751" s="568"/>
      <c r="W751" s="568"/>
      <c r="X751" s="568"/>
      <c r="Y751" s="568"/>
      <c r="Z751" s="568"/>
    </row>
    <row r="752" spans="1:26" ht="18.75" hidden="1">
      <c r="A752" s="615"/>
      <c r="B752" s="571"/>
      <c r="C752" s="723"/>
      <c r="D752" s="723"/>
      <c r="E752" s="723"/>
      <c r="F752" s="723"/>
      <c r="G752" s="567"/>
      <c r="H752" s="165" t="s">
        <v>314</v>
      </c>
      <c r="I752" s="583"/>
      <c r="J752" s="583"/>
      <c r="K752" s="93"/>
      <c r="L752" s="93"/>
      <c r="M752" s="93"/>
      <c r="N752" s="93"/>
      <c r="O752" s="93"/>
      <c r="P752" s="93"/>
      <c r="Q752" s="568"/>
      <c r="R752" s="568"/>
      <c r="S752" s="568"/>
      <c r="T752" s="568"/>
      <c r="U752" s="568"/>
      <c r="V752" s="568"/>
      <c r="W752" s="568"/>
      <c r="X752" s="568"/>
      <c r="Y752" s="568"/>
      <c r="Z752" s="568"/>
    </row>
    <row r="753" spans="1:26" ht="19.5" hidden="1">
      <c r="A753" s="749">
        <v>10</v>
      </c>
      <c r="B753" s="750" t="s">
        <v>315</v>
      </c>
      <c r="C753" s="751"/>
      <c r="D753" s="751"/>
      <c r="E753" s="751"/>
      <c r="F753" s="751"/>
      <c r="G753" s="752"/>
      <c r="H753" s="753" t="s">
        <v>46</v>
      </c>
      <c r="I753" s="754"/>
      <c r="J753" s="754">
        <f>J768</f>
        <v>0</v>
      </c>
      <c r="K753" s="755">
        <f>IF(I753&gt;0,J753*100/I753,0)</f>
        <v>0</v>
      </c>
      <c r="L753" s="756"/>
      <c r="M753" s="756"/>
      <c r="N753" s="756"/>
      <c r="O753" s="756"/>
      <c r="P753" s="756"/>
      <c r="Q753" s="568"/>
      <c r="R753" s="568"/>
      <c r="S753" s="568"/>
      <c r="T753" s="568"/>
      <c r="U753" s="568"/>
      <c r="V753" s="568"/>
      <c r="W753" s="568"/>
      <c r="X753" s="568"/>
      <c r="Y753" s="568"/>
      <c r="Z753" s="568"/>
    </row>
    <row r="754" spans="1:26" ht="19.5" hidden="1">
      <c r="A754" s="563"/>
      <c r="B754" s="723"/>
      <c r="C754" s="723" t="s">
        <v>16</v>
      </c>
      <c r="D754" s="812" t="s">
        <v>17</v>
      </c>
      <c r="E754" s="805"/>
      <c r="F754" s="805"/>
      <c r="G754" s="567"/>
      <c r="H754" s="612" t="s">
        <v>12</v>
      </c>
      <c r="I754" s="583"/>
      <c r="J754" s="583"/>
      <c r="K754" s="93"/>
      <c r="L754" s="613">
        <f t="shared" ref="L754:N754" si="301">L755+L756</f>
        <v>0</v>
      </c>
      <c r="M754" s="613">
        <f t="shared" si="301"/>
        <v>0</v>
      </c>
      <c r="N754" s="613">
        <f t="shared" si="301"/>
        <v>0</v>
      </c>
      <c r="O754" s="613">
        <f t="shared" ref="O754:O759" si="302">IF(L754&gt;0,N754*100/L754,0)</f>
        <v>0</v>
      </c>
      <c r="P754" s="613">
        <f t="shared" ref="P754:P759" si="303">IF(M754&gt;0,N754*100/M754,0)</f>
        <v>0</v>
      </c>
      <c r="Q754" s="568"/>
      <c r="R754" s="568"/>
      <c r="S754" s="568"/>
      <c r="T754" s="568"/>
      <c r="U754" s="568"/>
      <c r="V754" s="568"/>
      <c r="W754" s="568"/>
      <c r="X754" s="568"/>
      <c r="Y754" s="568"/>
      <c r="Z754" s="568"/>
    </row>
    <row r="755" spans="1:26" ht="18.75" hidden="1">
      <c r="A755" s="563"/>
      <c r="B755" s="723"/>
      <c r="C755" s="723"/>
      <c r="D755" s="684"/>
      <c r="E755" s="723" t="s">
        <v>184</v>
      </c>
      <c r="F755" s="723"/>
      <c r="G755" s="567"/>
      <c r="H755" s="165" t="s">
        <v>12</v>
      </c>
      <c r="I755" s="583"/>
      <c r="J755" s="583"/>
      <c r="K755" s="93"/>
      <c r="L755" s="93">
        <f t="shared" ref="L755:N756" si="304">L758+L765</f>
        <v>0</v>
      </c>
      <c r="M755" s="93">
        <f t="shared" si="304"/>
        <v>0</v>
      </c>
      <c r="N755" s="93">
        <f t="shared" si="304"/>
        <v>0</v>
      </c>
      <c r="O755" s="93">
        <f t="shared" si="302"/>
        <v>0</v>
      </c>
      <c r="P755" s="93">
        <f t="shared" si="303"/>
        <v>0</v>
      </c>
      <c r="Q755" s="568"/>
      <c r="R755" s="568"/>
      <c r="S755" s="568"/>
      <c r="T755" s="568"/>
      <c r="U755" s="568"/>
      <c r="V755" s="568"/>
      <c r="W755" s="568"/>
      <c r="X755" s="568"/>
      <c r="Y755" s="568"/>
      <c r="Z755" s="568"/>
    </row>
    <row r="756" spans="1:26" ht="18.75" hidden="1">
      <c r="A756" s="563"/>
      <c r="B756" s="571"/>
      <c r="C756" s="723"/>
      <c r="D756" s="684"/>
      <c r="E756" s="723" t="s">
        <v>185</v>
      </c>
      <c r="F756" s="723"/>
      <c r="G756" s="567"/>
      <c r="H756" s="165" t="s">
        <v>12</v>
      </c>
      <c r="I756" s="583"/>
      <c r="J756" s="583"/>
      <c r="K756" s="93"/>
      <c r="L756" s="93">
        <f t="shared" si="304"/>
        <v>0</v>
      </c>
      <c r="M756" s="93">
        <f t="shared" si="304"/>
        <v>0</v>
      </c>
      <c r="N756" s="93">
        <f t="shared" si="304"/>
        <v>0</v>
      </c>
      <c r="O756" s="93">
        <f t="shared" si="302"/>
        <v>0</v>
      </c>
      <c r="P756" s="93">
        <f t="shared" si="303"/>
        <v>0</v>
      </c>
      <c r="Q756" s="568"/>
      <c r="R756" s="568"/>
      <c r="S756" s="568"/>
      <c r="T756" s="568"/>
      <c r="U756" s="568"/>
      <c r="V756" s="568"/>
      <c r="W756" s="568"/>
      <c r="X756" s="568"/>
      <c r="Y756" s="568"/>
      <c r="Z756" s="568"/>
    </row>
    <row r="757" spans="1:26" ht="19.5" hidden="1">
      <c r="A757" s="563"/>
      <c r="B757" s="571"/>
      <c r="C757" s="723"/>
      <c r="D757" s="611" t="s">
        <v>20</v>
      </c>
      <c r="E757" s="723"/>
      <c r="F757" s="723"/>
      <c r="G757" s="567"/>
      <c r="H757" s="612" t="s">
        <v>12</v>
      </c>
      <c r="I757" s="166"/>
      <c r="J757" s="166"/>
      <c r="K757" s="167"/>
      <c r="L757" s="613">
        <f t="shared" ref="L757:N757" si="305">L758+L759</f>
        <v>0</v>
      </c>
      <c r="M757" s="613">
        <f t="shared" si="305"/>
        <v>0</v>
      </c>
      <c r="N757" s="613">
        <f t="shared" si="305"/>
        <v>0</v>
      </c>
      <c r="O757" s="613">
        <f t="shared" si="302"/>
        <v>0</v>
      </c>
      <c r="P757" s="613">
        <f t="shared" si="303"/>
        <v>0</v>
      </c>
      <c r="Q757" s="568"/>
      <c r="R757" s="568"/>
      <c r="S757" s="568"/>
      <c r="T757" s="568"/>
      <c r="U757" s="568"/>
      <c r="V757" s="568"/>
      <c r="W757" s="568"/>
      <c r="X757" s="568"/>
      <c r="Y757" s="568"/>
      <c r="Z757" s="568"/>
    </row>
    <row r="758" spans="1:26" ht="18.75" hidden="1">
      <c r="A758" s="563"/>
      <c r="B758" s="571"/>
      <c r="C758" s="723"/>
      <c r="D758" s="684"/>
      <c r="E758" s="723" t="s">
        <v>184</v>
      </c>
      <c r="F758" s="723"/>
      <c r="G758" s="567"/>
      <c r="H758" s="165" t="s">
        <v>12</v>
      </c>
      <c r="I758" s="583"/>
      <c r="J758" s="583"/>
      <c r="K758" s="93"/>
      <c r="L758" s="93">
        <v>0</v>
      </c>
      <c r="M758" s="93">
        <v>0</v>
      </c>
      <c r="N758" s="93">
        <v>0</v>
      </c>
      <c r="O758" s="93">
        <f t="shared" si="302"/>
        <v>0</v>
      </c>
      <c r="P758" s="93">
        <f t="shared" si="303"/>
        <v>0</v>
      </c>
      <c r="Q758" s="568"/>
      <c r="R758" s="568"/>
      <c r="S758" s="568"/>
      <c r="T758" s="568"/>
      <c r="U758" s="568"/>
      <c r="V758" s="568"/>
      <c r="W758" s="568"/>
      <c r="X758" s="568"/>
      <c r="Y758" s="568"/>
      <c r="Z758" s="568"/>
    </row>
    <row r="759" spans="1:26" ht="18.75" hidden="1">
      <c r="A759" s="563"/>
      <c r="B759" s="571"/>
      <c r="C759" s="723"/>
      <c r="D759" s="684"/>
      <c r="E759" s="723" t="s">
        <v>185</v>
      </c>
      <c r="F759" s="723"/>
      <c r="G759" s="567"/>
      <c r="H759" s="165" t="s">
        <v>12</v>
      </c>
      <c r="I759" s="583"/>
      <c r="J759" s="583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2"/>
        <v>0</v>
      </c>
      <c r="P759" s="93">
        <f t="shared" si="303"/>
        <v>0</v>
      </c>
      <c r="Q759" s="568"/>
      <c r="R759" s="568"/>
      <c r="S759" s="568"/>
      <c r="T759" s="568"/>
      <c r="U759" s="568"/>
      <c r="V759" s="568"/>
      <c r="W759" s="568"/>
      <c r="X759" s="568"/>
      <c r="Y759" s="568"/>
      <c r="Z759" s="568"/>
    </row>
    <row r="760" spans="1:26" ht="18.75" hidden="1">
      <c r="A760" s="615"/>
      <c r="B760" s="571"/>
      <c r="C760" s="723"/>
      <c r="D760" s="723"/>
      <c r="E760" s="723"/>
      <c r="F760" s="723" t="s">
        <v>186</v>
      </c>
      <c r="G760" s="567"/>
      <c r="H760" s="165" t="s">
        <v>12</v>
      </c>
      <c r="I760" s="583"/>
      <c r="J760" s="583"/>
      <c r="K760" s="93"/>
      <c r="L760" s="93"/>
      <c r="M760" s="93"/>
      <c r="N760" s="93"/>
      <c r="O760" s="93"/>
      <c r="P760" s="93"/>
      <c r="Q760" s="568"/>
      <c r="R760" s="568"/>
      <c r="S760" s="568"/>
      <c r="T760" s="568"/>
      <c r="U760" s="568"/>
      <c r="V760" s="568"/>
      <c r="W760" s="568"/>
      <c r="X760" s="568"/>
      <c r="Y760" s="568"/>
      <c r="Z760" s="568"/>
    </row>
    <row r="761" spans="1:26" ht="18.75" hidden="1">
      <c r="A761" s="615"/>
      <c r="B761" s="571"/>
      <c r="C761" s="723"/>
      <c r="D761" s="723"/>
      <c r="E761" s="723"/>
      <c r="F761" s="723" t="s">
        <v>187</v>
      </c>
      <c r="G761" s="567"/>
      <c r="H761" s="165" t="s">
        <v>12</v>
      </c>
      <c r="I761" s="583"/>
      <c r="J761" s="583"/>
      <c r="K761" s="93"/>
      <c r="L761" s="93"/>
      <c r="M761" s="93"/>
      <c r="N761" s="93"/>
      <c r="O761" s="93"/>
      <c r="P761" s="93"/>
      <c r="Q761" s="568"/>
      <c r="R761" s="568"/>
      <c r="S761" s="568"/>
      <c r="T761" s="568"/>
      <c r="U761" s="568"/>
      <c r="V761" s="568"/>
      <c r="W761" s="568"/>
      <c r="X761" s="568"/>
      <c r="Y761" s="568"/>
      <c r="Z761" s="568"/>
    </row>
    <row r="762" spans="1:26" ht="18.75" hidden="1">
      <c r="A762" s="615"/>
      <c r="B762" s="571"/>
      <c r="C762" s="723"/>
      <c r="D762" s="723"/>
      <c r="E762" s="723"/>
      <c r="F762" s="723" t="s">
        <v>188</v>
      </c>
      <c r="G762" s="567"/>
      <c r="H762" s="165" t="s">
        <v>12</v>
      </c>
      <c r="I762" s="583"/>
      <c r="J762" s="583"/>
      <c r="K762" s="93"/>
      <c r="L762" s="93"/>
      <c r="M762" s="93"/>
      <c r="N762" s="93"/>
      <c r="O762" s="93"/>
      <c r="P762" s="93"/>
      <c r="Q762" s="568"/>
      <c r="R762" s="568"/>
      <c r="S762" s="568"/>
      <c r="T762" s="568"/>
      <c r="U762" s="568"/>
      <c r="V762" s="568"/>
      <c r="W762" s="568"/>
      <c r="X762" s="568"/>
      <c r="Y762" s="568"/>
      <c r="Z762" s="568"/>
    </row>
    <row r="763" spans="1:26" ht="18.75" hidden="1">
      <c r="A763" s="615"/>
      <c r="B763" s="571"/>
      <c r="C763" s="723"/>
      <c r="D763" s="723"/>
      <c r="E763" s="723"/>
      <c r="F763" s="723" t="s">
        <v>189</v>
      </c>
      <c r="G763" s="567"/>
      <c r="H763" s="165" t="s">
        <v>12</v>
      </c>
      <c r="I763" s="583"/>
      <c r="J763" s="583"/>
      <c r="K763" s="93"/>
      <c r="L763" s="93"/>
      <c r="M763" s="93"/>
      <c r="N763" s="93"/>
      <c r="O763" s="93"/>
      <c r="P763" s="93"/>
      <c r="Q763" s="568"/>
      <c r="R763" s="568"/>
      <c r="S763" s="568"/>
      <c r="T763" s="568"/>
      <c r="U763" s="568"/>
      <c r="V763" s="568"/>
      <c r="W763" s="568"/>
      <c r="X763" s="568"/>
      <c r="Y763" s="568"/>
      <c r="Z763" s="568"/>
    </row>
    <row r="764" spans="1:26" ht="19.5" hidden="1">
      <c r="A764" s="563"/>
      <c r="B764" s="571"/>
      <c r="C764" s="723"/>
      <c r="D764" s="611" t="s">
        <v>21</v>
      </c>
      <c r="E764" s="723"/>
      <c r="F764" s="723"/>
      <c r="G764" s="567"/>
      <c r="H764" s="747" t="s">
        <v>12</v>
      </c>
      <c r="I764" s="166"/>
      <c r="J764" s="166"/>
      <c r="K764" s="167"/>
      <c r="L764" s="613">
        <f t="shared" ref="L764:N764" si="306">L765+L766</f>
        <v>0</v>
      </c>
      <c r="M764" s="613">
        <f t="shared" si="306"/>
        <v>0</v>
      </c>
      <c r="N764" s="613">
        <f t="shared" si="306"/>
        <v>0</v>
      </c>
      <c r="O764" s="613">
        <f t="shared" ref="O764:O766" si="307">IF(L764&gt;0,N764*100/L764,0)</f>
        <v>0</v>
      </c>
      <c r="P764" s="613">
        <f t="shared" ref="P764:P766" si="308">IF(M764&gt;0,N764*100/M764,0)</f>
        <v>0</v>
      </c>
      <c r="Q764" s="568"/>
      <c r="R764" s="568"/>
      <c r="S764" s="568"/>
      <c r="T764" s="568"/>
      <c r="U764" s="568"/>
      <c r="V764" s="568"/>
      <c r="W764" s="568"/>
      <c r="X764" s="568"/>
      <c r="Y764" s="568"/>
      <c r="Z764" s="568"/>
    </row>
    <row r="765" spans="1:26" ht="18.75" hidden="1">
      <c r="A765" s="563"/>
      <c r="B765" s="571"/>
      <c r="C765" s="723"/>
      <c r="D765" s="723"/>
      <c r="E765" s="723" t="s">
        <v>18</v>
      </c>
      <c r="F765" s="723"/>
      <c r="G765" s="567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7"/>
        <v>0</v>
      </c>
      <c r="P765" s="93">
        <f t="shared" si="308"/>
        <v>0</v>
      </c>
      <c r="Q765" s="568"/>
      <c r="R765" s="568"/>
      <c r="S765" s="568"/>
      <c r="T765" s="568"/>
      <c r="U765" s="568"/>
      <c r="V765" s="568"/>
      <c r="W765" s="568"/>
      <c r="X765" s="568"/>
      <c r="Y765" s="568"/>
      <c r="Z765" s="568"/>
    </row>
    <row r="766" spans="1:26" ht="18.75" hidden="1">
      <c r="A766" s="563"/>
      <c r="B766" s="571"/>
      <c r="C766" s="723"/>
      <c r="D766" s="723"/>
      <c r="E766" s="723" t="s">
        <v>19</v>
      </c>
      <c r="F766" s="723"/>
      <c r="G766" s="567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7"/>
        <v>0</v>
      </c>
      <c r="P766" s="93">
        <f t="shared" si="308"/>
        <v>0</v>
      </c>
      <c r="Q766" s="568"/>
      <c r="R766" s="568"/>
      <c r="S766" s="568"/>
      <c r="T766" s="568"/>
      <c r="U766" s="568"/>
      <c r="V766" s="568"/>
      <c r="W766" s="568"/>
      <c r="X766" s="568"/>
      <c r="Y766" s="568"/>
      <c r="Z766" s="568"/>
    </row>
    <row r="767" spans="1:26" ht="19.5" hidden="1">
      <c r="A767" s="578"/>
      <c r="B767" s="580"/>
      <c r="C767" s="723" t="s">
        <v>16</v>
      </c>
      <c r="D767" s="856" t="s">
        <v>38</v>
      </c>
      <c r="E767" s="617"/>
      <c r="F767" s="617"/>
      <c r="G767" s="618"/>
      <c r="H767" s="581"/>
      <c r="I767" s="166"/>
      <c r="J767" s="166"/>
      <c r="K767" s="167"/>
      <c r="L767" s="167"/>
      <c r="M767" s="167"/>
      <c r="N767" s="167"/>
      <c r="O767" s="167"/>
      <c r="P767" s="167"/>
      <c r="Q767" s="568"/>
      <c r="R767" s="568"/>
      <c r="S767" s="568"/>
      <c r="T767" s="568"/>
      <c r="U767" s="568"/>
      <c r="V767" s="568"/>
      <c r="W767" s="568"/>
      <c r="X767" s="568"/>
      <c r="Y767" s="568"/>
      <c r="Z767" s="568"/>
    </row>
    <row r="768" spans="1:26" ht="18.75" hidden="1">
      <c r="A768" s="615"/>
      <c r="B768" s="571"/>
      <c r="C768" s="723"/>
      <c r="D768" s="723"/>
      <c r="E768" s="723" t="s">
        <v>316</v>
      </c>
      <c r="F768" s="723"/>
      <c r="G768" s="567"/>
      <c r="H768" s="165" t="s">
        <v>46</v>
      </c>
      <c r="I768" s="583"/>
      <c r="J768" s="583"/>
      <c r="K768" s="93"/>
      <c r="L768" s="93"/>
      <c r="M768" s="93"/>
      <c r="N768" s="93"/>
      <c r="O768" s="93"/>
      <c r="P768" s="93"/>
      <c r="Q768" s="568"/>
      <c r="R768" s="568"/>
      <c r="S768" s="568"/>
      <c r="T768" s="568"/>
      <c r="U768" s="568"/>
      <c r="V768" s="568"/>
      <c r="W768" s="568"/>
      <c r="X768" s="568"/>
      <c r="Y768" s="568"/>
      <c r="Z768" s="568"/>
    </row>
    <row r="769" spans="1:26" ht="19.5" hidden="1">
      <c r="A769" s="757">
        <v>11</v>
      </c>
      <c r="B769" s="758" t="s">
        <v>317</v>
      </c>
      <c r="C769" s="759"/>
      <c r="D769" s="759"/>
      <c r="E769" s="759"/>
      <c r="F769" s="759"/>
      <c r="G769" s="760"/>
      <c r="H769" s="761" t="s">
        <v>46</v>
      </c>
      <c r="I769" s="762"/>
      <c r="J769" s="762">
        <f>J784</f>
        <v>0</v>
      </c>
      <c r="K769" s="763">
        <f>IF(I769&gt;0,J769*100/I769,0)</f>
        <v>0</v>
      </c>
      <c r="L769" s="764"/>
      <c r="M769" s="764"/>
      <c r="N769" s="764"/>
      <c r="O769" s="764"/>
      <c r="P769" s="764"/>
      <c r="Q769" s="568"/>
      <c r="R769" s="568"/>
      <c r="S769" s="568"/>
      <c r="T769" s="568"/>
      <c r="U769" s="568"/>
      <c r="V769" s="568"/>
      <c r="W769" s="568"/>
      <c r="X769" s="568"/>
      <c r="Y769" s="568"/>
      <c r="Z769" s="568"/>
    </row>
    <row r="770" spans="1:26" ht="19.5" hidden="1">
      <c r="A770" s="563"/>
      <c r="B770" s="723"/>
      <c r="C770" s="723" t="s">
        <v>16</v>
      </c>
      <c r="D770" s="812" t="s">
        <v>17</v>
      </c>
      <c r="E770" s="805"/>
      <c r="F770" s="805"/>
      <c r="G770" s="567"/>
      <c r="H770" s="612" t="s">
        <v>12</v>
      </c>
      <c r="I770" s="583"/>
      <c r="J770" s="583"/>
      <c r="K770" s="93"/>
      <c r="L770" s="613">
        <f t="shared" ref="L770:N770" si="309">L771+L772</f>
        <v>0</v>
      </c>
      <c r="M770" s="613">
        <f t="shared" si="309"/>
        <v>0</v>
      </c>
      <c r="N770" s="613">
        <f t="shared" si="309"/>
        <v>0</v>
      </c>
      <c r="O770" s="613">
        <f t="shared" ref="O770:O775" si="310">IF(L770&gt;0,N770*100/L770,0)</f>
        <v>0</v>
      </c>
      <c r="P770" s="613">
        <f t="shared" ref="P770:P775" si="311">IF(M770&gt;0,N770*100/M770,0)</f>
        <v>0</v>
      </c>
      <c r="Q770" s="568"/>
      <c r="R770" s="568"/>
      <c r="S770" s="568"/>
      <c r="T770" s="568"/>
      <c r="U770" s="568"/>
      <c r="V770" s="568"/>
      <c r="W770" s="568"/>
      <c r="X770" s="568"/>
      <c r="Y770" s="568"/>
      <c r="Z770" s="568"/>
    </row>
    <row r="771" spans="1:26" ht="18.75" hidden="1">
      <c r="A771" s="563"/>
      <c r="B771" s="723"/>
      <c r="C771" s="723"/>
      <c r="D771" s="684"/>
      <c r="E771" s="723" t="s">
        <v>184</v>
      </c>
      <c r="F771" s="723"/>
      <c r="G771" s="567"/>
      <c r="H771" s="165" t="s">
        <v>12</v>
      </c>
      <c r="I771" s="583"/>
      <c r="J771" s="583"/>
      <c r="K771" s="93"/>
      <c r="L771" s="93">
        <f t="shared" ref="L771:N772" si="312">L774+L781</f>
        <v>0</v>
      </c>
      <c r="M771" s="93">
        <f t="shared" si="312"/>
        <v>0</v>
      </c>
      <c r="N771" s="93">
        <f t="shared" si="312"/>
        <v>0</v>
      </c>
      <c r="O771" s="93">
        <f t="shared" si="310"/>
        <v>0</v>
      </c>
      <c r="P771" s="93">
        <f t="shared" si="311"/>
        <v>0</v>
      </c>
      <c r="Q771" s="568"/>
      <c r="R771" s="568"/>
      <c r="S771" s="568"/>
      <c r="T771" s="568"/>
      <c r="U771" s="568"/>
      <c r="V771" s="568"/>
      <c r="W771" s="568"/>
      <c r="X771" s="568"/>
      <c r="Y771" s="568"/>
      <c r="Z771" s="568"/>
    </row>
    <row r="772" spans="1:26" ht="18.75" hidden="1">
      <c r="A772" s="563"/>
      <c r="B772" s="571"/>
      <c r="C772" s="723"/>
      <c r="D772" s="684"/>
      <c r="E772" s="723" t="s">
        <v>185</v>
      </c>
      <c r="F772" s="723"/>
      <c r="G772" s="567"/>
      <c r="H772" s="165" t="s">
        <v>12</v>
      </c>
      <c r="I772" s="583"/>
      <c r="J772" s="583"/>
      <c r="K772" s="93"/>
      <c r="L772" s="93">
        <f t="shared" si="312"/>
        <v>0</v>
      </c>
      <c r="M772" s="93">
        <f t="shared" si="312"/>
        <v>0</v>
      </c>
      <c r="N772" s="93">
        <f t="shared" si="312"/>
        <v>0</v>
      </c>
      <c r="O772" s="93">
        <f t="shared" si="310"/>
        <v>0</v>
      </c>
      <c r="P772" s="93">
        <f t="shared" si="311"/>
        <v>0</v>
      </c>
      <c r="Q772" s="568"/>
      <c r="R772" s="568"/>
      <c r="S772" s="568"/>
      <c r="T772" s="568"/>
      <c r="U772" s="568"/>
      <c r="V772" s="568"/>
      <c r="W772" s="568"/>
      <c r="X772" s="568"/>
      <c r="Y772" s="568"/>
      <c r="Z772" s="568"/>
    </row>
    <row r="773" spans="1:26" ht="19.5" hidden="1">
      <c r="A773" s="563"/>
      <c r="B773" s="571"/>
      <c r="C773" s="723"/>
      <c r="D773" s="611" t="s">
        <v>20</v>
      </c>
      <c r="E773" s="723"/>
      <c r="F773" s="723"/>
      <c r="G773" s="567"/>
      <c r="H773" s="612" t="s">
        <v>12</v>
      </c>
      <c r="I773" s="166"/>
      <c r="J773" s="166"/>
      <c r="K773" s="167"/>
      <c r="L773" s="613">
        <f t="shared" ref="L773:N773" si="313">L774+L775</f>
        <v>0</v>
      </c>
      <c r="M773" s="613">
        <f t="shared" si="313"/>
        <v>0</v>
      </c>
      <c r="N773" s="613">
        <f t="shared" si="313"/>
        <v>0</v>
      </c>
      <c r="O773" s="613">
        <f t="shared" si="310"/>
        <v>0</v>
      </c>
      <c r="P773" s="613">
        <f t="shared" si="311"/>
        <v>0</v>
      </c>
      <c r="Q773" s="568"/>
      <c r="R773" s="568"/>
      <c r="S773" s="568"/>
      <c r="T773" s="568"/>
      <c r="U773" s="568"/>
      <c r="V773" s="568"/>
      <c r="W773" s="568"/>
      <c r="X773" s="568"/>
      <c r="Y773" s="568"/>
      <c r="Z773" s="568"/>
    </row>
    <row r="774" spans="1:26" ht="18.75" hidden="1">
      <c r="A774" s="563"/>
      <c r="B774" s="571"/>
      <c r="C774" s="723"/>
      <c r="D774" s="684"/>
      <c r="E774" s="723" t="s">
        <v>184</v>
      </c>
      <c r="F774" s="723"/>
      <c r="G774" s="567"/>
      <c r="H774" s="165" t="s">
        <v>12</v>
      </c>
      <c r="I774" s="583"/>
      <c r="J774" s="583"/>
      <c r="K774" s="93"/>
      <c r="L774" s="93">
        <v>0</v>
      </c>
      <c r="M774" s="93">
        <v>0</v>
      </c>
      <c r="N774" s="93">
        <v>0</v>
      </c>
      <c r="O774" s="93">
        <f t="shared" si="310"/>
        <v>0</v>
      </c>
      <c r="P774" s="93">
        <f t="shared" si="311"/>
        <v>0</v>
      </c>
      <c r="Q774" s="568"/>
      <c r="R774" s="568"/>
      <c r="S774" s="568"/>
      <c r="T774" s="568"/>
      <c r="U774" s="568"/>
      <c r="V774" s="568"/>
      <c r="W774" s="568"/>
      <c r="X774" s="568"/>
      <c r="Y774" s="568"/>
      <c r="Z774" s="568"/>
    </row>
    <row r="775" spans="1:26" ht="18.75" hidden="1">
      <c r="A775" s="563"/>
      <c r="B775" s="571"/>
      <c r="C775" s="723"/>
      <c r="D775" s="684"/>
      <c r="E775" s="723" t="s">
        <v>185</v>
      </c>
      <c r="F775" s="723"/>
      <c r="G775" s="567"/>
      <c r="H775" s="165" t="s">
        <v>12</v>
      </c>
      <c r="I775" s="583"/>
      <c r="J775" s="583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0"/>
        <v>0</v>
      </c>
      <c r="P775" s="93">
        <f t="shared" si="311"/>
        <v>0</v>
      </c>
      <c r="Q775" s="568"/>
      <c r="R775" s="568"/>
      <c r="S775" s="568"/>
      <c r="T775" s="568"/>
      <c r="U775" s="568"/>
      <c r="V775" s="568"/>
      <c r="W775" s="568"/>
      <c r="X775" s="568"/>
      <c r="Y775" s="568"/>
      <c r="Z775" s="568"/>
    </row>
    <row r="776" spans="1:26" ht="18.75" hidden="1">
      <c r="A776" s="615"/>
      <c r="B776" s="571"/>
      <c r="C776" s="723"/>
      <c r="D776" s="723"/>
      <c r="E776" s="723"/>
      <c r="F776" s="723" t="s">
        <v>186</v>
      </c>
      <c r="G776" s="567"/>
      <c r="H776" s="165" t="s">
        <v>12</v>
      </c>
      <c r="I776" s="583"/>
      <c r="J776" s="583"/>
      <c r="K776" s="93"/>
      <c r="L776" s="93"/>
      <c r="M776" s="93"/>
      <c r="N776" s="93"/>
      <c r="O776" s="93"/>
      <c r="P776" s="93"/>
      <c r="Q776" s="568"/>
      <c r="R776" s="568"/>
      <c r="S776" s="568"/>
      <c r="T776" s="568"/>
      <c r="U776" s="568"/>
      <c r="V776" s="568"/>
      <c r="W776" s="568"/>
      <c r="X776" s="568"/>
      <c r="Y776" s="568"/>
      <c r="Z776" s="568"/>
    </row>
    <row r="777" spans="1:26" ht="18.75" hidden="1">
      <c r="A777" s="615"/>
      <c r="B777" s="571"/>
      <c r="C777" s="723"/>
      <c r="D777" s="723"/>
      <c r="E777" s="723"/>
      <c r="F777" s="723" t="s">
        <v>187</v>
      </c>
      <c r="G777" s="567"/>
      <c r="H777" s="165" t="s">
        <v>12</v>
      </c>
      <c r="I777" s="583"/>
      <c r="J777" s="583"/>
      <c r="K777" s="93"/>
      <c r="L777" s="93"/>
      <c r="M777" s="93"/>
      <c r="N777" s="93"/>
      <c r="O777" s="93"/>
      <c r="P777" s="93"/>
      <c r="Q777" s="568"/>
      <c r="R777" s="568"/>
      <c r="S777" s="568"/>
      <c r="T777" s="568"/>
      <c r="U777" s="568"/>
      <c r="V777" s="568"/>
      <c r="W777" s="568"/>
      <c r="X777" s="568"/>
      <c r="Y777" s="568"/>
      <c r="Z777" s="568"/>
    </row>
    <row r="778" spans="1:26" ht="18.75" hidden="1">
      <c r="A778" s="615"/>
      <c r="B778" s="571"/>
      <c r="C778" s="723"/>
      <c r="D778" s="723"/>
      <c r="E778" s="723"/>
      <c r="F778" s="723" t="s">
        <v>188</v>
      </c>
      <c r="G778" s="567"/>
      <c r="H778" s="165" t="s">
        <v>12</v>
      </c>
      <c r="I778" s="583"/>
      <c r="J778" s="583"/>
      <c r="K778" s="93"/>
      <c r="L778" s="93"/>
      <c r="M778" s="93"/>
      <c r="N778" s="93"/>
      <c r="O778" s="93"/>
      <c r="P778" s="93"/>
      <c r="Q778" s="568"/>
      <c r="R778" s="568"/>
      <c r="S778" s="568"/>
      <c r="T778" s="568"/>
      <c r="U778" s="568"/>
      <c r="V778" s="568"/>
      <c r="W778" s="568"/>
      <c r="X778" s="568"/>
      <c r="Y778" s="568"/>
      <c r="Z778" s="568"/>
    </row>
    <row r="779" spans="1:26" ht="18.75" hidden="1">
      <c r="A779" s="615"/>
      <c r="B779" s="571"/>
      <c r="C779" s="723"/>
      <c r="D779" s="723"/>
      <c r="E779" s="723"/>
      <c r="F779" s="723" t="s">
        <v>189</v>
      </c>
      <c r="G779" s="567"/>
      <c r="H779" s="165" t="s">
        <v>12</v>
      </c>
      <c r="I779" s="583"/>
      <c r="J779" s="583"/>
      <c r="K779" s="93"/>
      <c r="L779" s="93"/>
      <c r="M779" s="93"/>
      <c r="N779" s="93"/>
      <c r="O779" s="93"/>
      <c r="P779" s="93"/>
      <c r="Q779" s="568"/>
      <c r="R779" s="568"/>
      <c r="S779" s="568"/>
      <c r="T779" s="568"/>
      <c r="U779" s="568"/>
      <c r="V779" s="568"/>
      <c r="W779" s="568"/>
      <c r="X779" s="568"/>
      <c r="Y779" s="568"/>
      <c r="Z779" s="568"/>
    </row>
    <row r="780" spans="1:26" ht="19.5" hidden="1">
      <c r="A780" s="563"/>
      <c r="B780" s="571"/>
      <c r="C780" s="723"/>
      <c r="D780" s="611" t="s">
        <v>21</v>
      </c>
      <c r="E780" s="723"/>
      <c r="F780" s="723"/>
      <c r="G780" s="567"/>
      <c r="H780" s="747" t="s">
        <v>12</v>
      </c>
      <c r="I780" s="166"/>
      <c r="J780" s="166"/>
      <c r="K780" s="167"/>
      <c r="L780" s="613">
        <f t="shared" ref="L780:N780" si="314">L781+L782</f>
        <v>0</v>
      </c>
      <c r="M780" s="613">
        <f t="shared" si="314"/>
        <v>0</v>
      </c>
      <c r="N780" s="613">
        <f t="shared" si="314"/>
        <v>0</v>
      </c>
      <c r="O780" s="613">
        <f t="shared" ref="O780:O782" si="315">IF(L780&gt;0,N780*100/L780,0)</f>
        <v>0</v>
      </c>
      <c r="P780" s="613">
        <f t="shared" ref="P780:P782" si="316">IF(M780&gt;0,N780*100/M780,0)</f>
        <v>0</v>
      </c>
      <c r="Q780" s="568"/>
      <c r="R780" s="568"/>
      <c r="S780" s="568"/>
      <c r="T780" s="568"/>
      <c r="U780" s="568"/>
      <c r="V780" s="568"/>
      <c r="W780" s="568"/>
      <c r="X780" s="568"/>
      <c r="Y780" s="568"/>
      <c r="Z780" s="568"/>
    </row>
    <row r="781" spans="1:26" ht="18.75" hidden="1">
      <c r="A781" s="563"/>
      <c r="B781" s="571"/>
      <c r="C781" s="723"/>
      <c r="D781" s="723"/>
      <c r="E781" s="723" t="s">
        <v>18</v>
      </c>
      <c r="F781" s="723"/>
      <c r="G781" s="567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5"/>
        <v>0</v>
      </c>
      <c r="P781" s="93">
        <f t="shared" si="316"/>
        <v>0</v>
      </c>
      <c r="Q781" s="568"/>
      <c r="R781" s="568"/>
      <c r="S781" s="568"/>
      <c r="T781" s="568"/>
      <c r="U781" s="568"/>
      <c r="V781" s="568"/>
      <c r="W781" s="568"/>
      <c r="X781" s="568"/>
      <c r="Y781" s="568"/>
      <c r="Z781" s="568"/>
    </row>
    <row r="782" spans="1:26" ht="18.75" hidden="1">
      <c r="A782" s="563"/>
      <c r="B782" s="571"/>
      <c r="C782" s="723"/>
      <c r="D782" s="723"/>
      <c r="E782" s="723" t="s">
        <v>19</v>
      </c>
      <c r="F782" s="723"/>
      <c r="G782" s="567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5"/>
        <v>0</v>
      </c>
      <c r="P782" s="93">
        <f t="shared" si="316"/>
        <v>0</v>
      </c>
      <c r="Q782" s="568"/>
      <c r="R782" s="568"/>
      <c r="S782" s="568"/>
      <c r="T782" s="568"/>
      <c r="U782" s="568"/>
      <c r="V782" s="568"/>
      <c r="W782" s="568"/>
      <c r="X782" s="568"/>
      <c r="Y782" s="568"/>
      <c r="Z782" s="568"/>
    </row>
    <row r="783" spans="1:26" ht="19.5" hidden="1">
      <c r="A783" s="578"/>
      <c r="B783" s="580"/>
      <c r="C783" s="723" t="s">
        <v>16</v>
      </c>
      <c r="D783" s="856" t="s">
        <v>38</v>
      </c>
      <c r="E783" s="617"/>
      <c r="F783" s="617"/>
      <c r="G783" s="618"/>
      <c r="H783" s="765"/>
      <c r="I783" s="166"/>
      <c r="J783" s="166"/>
      <c r="K783" s="167"/>
      <c r="L783" s="167"/>
      <c r="M783" s="167"/>
      <c r="N783" s="167"/>
      <c r="O783" s="167"/>
      <c r="P783" s="167"/>
      <c r="Q783" s="568"/>
      <c r="R783" s="568"/>
      <c r="S783" s="568"/>
      <c r="T783" s="568"/>
      <c r="U783" s="568"/>
      <c r="V783" s="568"/>
      <c r="W783" s="568"/>
      <c r="X783" s="568"/>
      <c r="Y783" s="568"/>
      <c r="Z783" s="568"/>
    </row>
    <row r="784" spans="1:26" ht="18.75" hidden="1">
      <c r="A784" s="615"/>
      <c r="B784" s="571"/>
      <c r="C784" s="723"/>
      <c r="D784" s="723"/>
      <c r="E784" s="723" t="s">
        <v>318</v>
      </c>
      <c r="F784" s="723"/>
      <c r="G784" s="567"/>
      <c r="H784" s="165" t="s">
        <v>46</v>
      </c>
      <c r="I784" s="583"/>
      <c r="J784" s="583"/>
      <c r="K784" s="93"/>
      <c r="L784" s="93"/>
      <c r="M784" s="93"/>
      <c r="N784" s="93"/>
      <c r="O784" s="93"/>
      <c r="P784" s="93"/>
      <c r="Q784" s="568"/>
      <c r="R784" s="568"/>
      <c r="S784" s="568"/>
      <c r="T784" s="568"/>
      <c r="U784" s="568"/>
      <c r="V784" s="568"/>
      <c r="W784" s="568"/>
      <c r="X784" s="568"/>
      <c r="Y784" s="568"/>
      <c r="Z784" s="568"/>
    </row>
    <row r="785" spans="1:26" ht="19.5" hidden="1">
      <c r="A785" s="766">
        <v>12</v>
      </c>
      <c r="B785" s="767" t="s">
        <v>319</v>
      </c>
      <c r="C785" s="768"/>
      <c r="D785" s="768"/>
      <c r="E785" s="768"/>
      <c r="F785" s="768"/>
      <c r="G785" s="769"/>
      <c r="H785" s="770" t="s">
        <v>46</v>
      </c>
      <c r="I785" s="860">
        <f t="shared" ref="I785:J785" ca="1" si="317">I800</f>
        <v>0</v>
      </c>
      <c r="J785" s="771">
        <f t="shared" ca="1" si="317"/>
        <v>0</v>
      </c>
      <c r="K785" s="772">
        <f ca="1">IF(I785&gt;0,J785*100/I785,0)</f>
        <v>0</v>
      </c>
      <c r="L785" s="773"/>
      <c r="M785" s="773"/>
      <c r="N785" s="773"/>
      <c r="O785" s="773"/>
      <c r="P785" s="773"/>
      <c r="Q785" s="541"/>
      <c r="R785" s="541"/>
      <c r="S785" s="541"/>
      <c r="T785" s="541"/>
      <c r="U785" s="541"/>
      <c r="V785" s="541"/>
      <c r="W785" s="541"/>
      <c r="X785" s="541"/>
      <c r="Y785" s="541"/>
      <c r="Z785" s="541"/>
    </row>
    <row r="786" spans="1:26" ht="19.5" hidden="1">
      <c r="A786" s="561"/>
      <c r="B786" s="538"/>
      <c r="C786" s="727" t="s">
        <v>16</v>
      </c>
      <c r="D786" s="811" t="s">
        <v>17</v>
      </c>
      <c r="E786" s="805"/>
      <c r="F786" s="805"/>
      <c r="G786" s="189"/>
      <c r="H786" s="562" t="s">
        <v>12</v>
      </c>
      <c r="I786" s="269"/>
      <c r="J786" s="269"/>
      <c r="K786" s="465"/>
      <c r="L786" s="195">
        <f t="shared" ref="L786:N786" ca="1" si="318">L787+L788</f>
        <v>0</v>
      </c>
      <c r="M786" s="195">
        <f t="shared" si="318"/>
        <v>0</v>
      </c>
      <c r="N786" s="195">
        <f t="shared" si="318"/>
        <v>0</v>
      </c>
      <c r="O786" s="195">
        <f t="shared" ref="O786:O791" ca="1" si="319">IF(L786&gt;0,N786*100/L786,0)</f>
        <v>0</v>
      </c>
      <c r="P786" s="195">
        <f t="shared" ref="P786:P791" si="320">IF(M786&gt;0,N786*100/M786,0)</f>
        <v>0</v>
      </c>
      <c r="Q786" s="541"/>
      <c r="R786" s="541"/>
      <c r="S786" s="541"/>
      <c r="T786" s="541"/>
      <c r="U786" s="541"/>
      <c r="V786" s="541"/>
      <c r="W786" s="541"/>
      <c r="X786" s="541"/>
      <c r="Y786" s="541"/>
      <c r="Z786" s="541"/>
    </row>
    <row r="787" spans="1:26" ht="18.75" hidden="1">
      <c r="A787" s="563"/>
      <c r="B787" s="571"/>
      <c r="C787" s="723"/>
      <c r="D787" s="684"/>
      <c r="E787" s="723" t="s">
        <v>184</v>
      </c>
      <c r="F787" s="723"/>
      <c r="G787" s="567"/>
      <c r="H787" s="165" t="s">
        <v>12</v>
      </c>
      <c r="I787" s="583"/>
      <c r="J787" s="583"/>
      <c r="K787" s="93"/>
      <c r="L787" s="93">
        <f t="shared" ref="L787:N788" si="321">L790+L797</f>
        <v>0</v>
      </c>
      <c r="M787" s="93">
        <f t="shared" si="321"/>
        <v>0</v>
      </c>
      <c r="N787" s="93">
        <f t="shared" si="321"/>
        <v>0</v>
      </c>
      <c r="O787" s="93">
        <f t="shared" si="319"/>
        <v>0</v>
      </c>
      <c r="P787" s="93">
        <f t="shared" si="320"/>
        <v>0</v>
      </c>
      <c r="Q787" s="568"/>
      <c r="R787" s="568"/>
      <c r="S787" s="568"/>
      <c r="T787" s="568"/>
      <c r="U787" s="568"/>
      <c r="V787" s="568"/>
      <c r="W787" s="568"/>
      <c r="X787" s="568"/>
      <c r="Y787" s="568"/>
      <c r="Z787" s="568"/>
    </row>
    <row r="788" spans="1:26" ht="18.75" hidden="1">
      <c r="A788" s="563"/>
      <c r="B788" s="571"/>
      <c r="C788" s="571"/>
      <c r="D788" s="580"/>
      <c r="E788" s="723" t="s">
        <v>185</v>
      </c>
      <c r="F788" s="723"/>
      <c r="G788" s="567"/>
      <c r="H788" s="165" t="s">
        <v>12</v>
      </c>
      <c r="I788" s="583"/>
      <c r="J788" s="583"/>
      <c r="K788" s="93"/>
      <c r="L788" s="93">
        <f t="shared" ca="1" si="321"/>
        <v>0</v>
      </c>
      <c r="M788" s="93">
        <f t="shared" si="321"/>
        <v>0</v>
      </c>
      <c r="N788" s="93">
        <f t="shared" si="321"/>
        <v>0</v>
      </c>
      <c r="O788" s="93">
        <f t="shared" ca="1" si="319"/>
        <v>0</v>
      </c>
      <c r="P788" s="93">
        <f t="shared" si="320"/>
        <v>0</v>
      </c>
      <c r="Q788" s="568"/>
      <c r="R788" s="568"/>
      <c r="S788" s="568"/>
      <c r="T788" s="568"/>
      <c r="U788" s="568"/>
      <c r="V788" s="568"/>
      <c r="W788" s="568"/>
      <c r="X788" s="568"/>
      <c r="Y788" s="568"/>
      <c r="Z788" s="568"/>
    </row>
    <row r="789" spans="1:26" ht="18.75" hidden="1">
      <c r="A789" s="561"/>
      <c r="B789" s="538"/>
      <c r="C789" s="538"/>
      <c r="D789" s="570" t="s">
        <v>20</v>
      </c>
      <c r="E789" s="727"/>
      <c r="F789" s="727"/>
      <c r="G789" s="189"/>
      <c r="H789" s="161" t="s">
        <v>12</v>
      </c>
      <c r="I789" s="184"/>
      <c r="J789" s="184"/>
      <c r="K789" s="163"/>
      <c r="L789" s="465">
        <f t="shared" ref="L789:N789" ca="1" si="322">L790+L791</f>
        <v>0</v>
      </c>
      <c r="M789" s="465">
        <f t="shared" si="322"/>
        <v>0</v>
      </c>
      <c r="N789" s="465">
        <f t="shared" si="322"/>
        <v>0</v>
      </c>
      <c r="O789" s="465">
        <f t="shared" ca="1" si="319"/>
        <v>0</v>
      </c>
      <c r="P789" s="465">
        <f t="shared" si="320"/>
        <v>0</v>
      </c>
      <c r="Q789" s="541"/>
      <c r="R789" s="541"/>
      <c r="S789" s="541"/>
      <c r="T789" s="541"/>
      <c r="U789" s="541"/>
      <c r="V789" s="541"/>
      <c r="W789" s="541"/>
      <c r="X789" s="541"/>
      <c r="Y789" s="541"/>
      <c r="Z789" s="541"/>
    </row>
    <row r="790" spans="1:26" ht="18.75" hidden="1">
      <c r="A790" s="563"/>
      <c r="B790" s="571"/>
      <c r="C790" s="571"/>
      <c r="D790" s="580"/>
      <c r="E790" s="723" t="s">
        <v>184</v>
      </c>
      <c r="F790" s="723"/>
      <c r="G790" s="567"/>
      <c r="H790" s="165" t="s">
        <v>12</v>
      </c>
      <c r="I790" s="583"/>
      <c r="J790" s="583"/>
      <c r="K790" s="93"/>
      <c r="L790" s="93">
        <v>0</v>
      </c>
      <c r="M790" s="93">
        <v>0</v>
      </c>
      <c r="N790" s="93">
        <v>0</v>
      </c>
      <c r="O790" s="93">
        <f t="shared" si="319"/>
        <v>0</v>
      </c>
      <c r="P790" s="93">
        <f t="shared" si="320"/>
        <v>0</v>
      </c>
      <c r="Q790" s="568"/>
      <c r="R790" s="568"/>
      <c r="S790" s="568"/>
      <c r="T790" s="568"/>
      <c r="U790" s="568"/>
      <c r="V790" s="568"/>
      <c r="W790" s="568"/>
      <c r="X790" s="568"/>
      <c r="Y790" s="568"/>
      <c r="Z790" s="568"/>
    </row>
    <row r="791" spans="1:26" ht="18.75" hidden="1">
      <c r="A791" s="563"/>
      <c r="B791" s="571"/>
      <c r="C791" s="571"/>
      <c r="D791" s="580"/>
      <c r="E791" s="723" t="s">
        <v>185</v>
      </c>
      <c r="F791" s="723"/>
      <c r="G791" s="567"/>
      <c r="H791" s="165" t="s">
        <v>12</v>
      </c>
      <c r="I791" s="583"/>
      <c r="J791" s="583"/>
      <c r="K791" s="93"/>
      <c r="L791" s="93">
        <f ca="1">IFERROR(__xludf.DUMMYFUNCTION("IMPORTRANGE(""https://docs.google.com/spreadsheets/d/1QqKyyYR6Q21VydFLVH3TRQUabQu_ym0Zz7PgGX0-kHA/edit?usp=sharing"",""แผน!JJ20"")"),0)</f>
        <v>0</v>
      </c>
      <c r="M791" s="93">
        <v>0</v>
      </c>
      <c r="N791" s="93">
        <f>N792+N793+N794+N795</f>
        <v>0</v>
      </c>
      <c r="O791" s="93">
        <f t="shared" ca="1" si="319"/>
        <v>0</v>
      </c>
      <c r="P791" s="93">
        <f t="shared" si="320"/>
        <v>0</v>
      </c>
      <c r="Q791" s="568"/>
      <c r="R791" s="568"/>
      <c r="S791" s="568"/>
      <c r="T791" s="568"/>
      <c r="U791" s="568"/>
      <c r="V791" s="568"/>
      <c r="W791" s="568"/>
      <c r="X791" s="568"/>
      <c r="Y791" s="568"/>
      <c r="Z791" s="568"/>
    </row>
    <row r="792" spans="1:26" ht="18.75" hidden="1">
      <c r="A792" s="537"/>
      <c r="B792" s="538"/>
      <c r="C792" s="727"/>
      <c r="D792" s="727"/>
      <c r="E792" s="727"/>
      <c r="F792" s="727" t="s">
        <v>186</v>
      </c>
      <c r="G792" s="189"/>
      <c r="H792" s="161" t="s">
        <v>12</v>
      </c>
      <c r="I792" s="269"/>
      <c r="J792" s="269"/>
      <c r="K792" s="465"/>
      <c r="L792" s="465"/>
      <c r="M792" s="465"/>
      <c r="N792" s="789">
        <v>0</v>
      </c>
      <c r="O792" s="465"/>
      <c r="P792" s="465"/>
      <c r="Q792" s="541"/>
      <c r="R792" s="541"/>
      <c r="S792" s="541"/>
      <c r="T792" s="541"/>
      <c r="U792" s="541"/>
      <c r="V792" s="541"/>
      <c r="W792" s="541"/>
      <c r="X792" s="541"/>
      <c r="Y792" s="541"/>
      <c r="Z792" s="541"/>
    </row>
    <row r="793" spans="1:26" ht="18.75" hidden="1">
      <c r="A793" s="537"/>
      <c r="B793" s="538"/>
      <c r="C793" s="727"/>
      <c r="D793" s="727"/>
      <c r="E793" s="727"/>
      <c r="F793" s="727" t="s">
        <v>187</v>
      </c>
      <c r="G793" s="189"/>
      <c r="H793" s="161" t="s">
        <v>12</v>
      </c>
      <c r="I793" s="269"/>
      <c r="J793" s="269"/>
      <c r="K793" s="465"/>
      <c r="L793" s="465"/>
      <c r="M793" s="465"/>
      <c r="N793" s="789">
        <v>0</v>
      </c>
      <c r="O793" s="465"/>
      <c r="P793" s="465"/>
      <c r="Q793" s="541"/>
      <c r="R793" s="541"/>
      <c r="S793" s="541"/>
      <c r="T793" s="541"/>
      <c r="U793" s="541"/>
      <c r="V793" s="541"/>
      <c r="W793" s="541"/>
      <c r="X793" s="541"/>
      <c r="Y793" s="541"/>
      <c r="Z793" s="541"/>
    </row>
    <row r="794" spans="1:26" ht="18.75" hidden="1">
      <c r="A794" s="537"/>
      <c r="B794" s="538"/>
      <c r="C794" s="727"/>
      <c r="D794" s="727"/>
      <c r="E794" s="727"/>
      <c r="F794" s="727" t="s">
        <v>188</v>
      </c>
      <c r="G794" s="189"/>
      <c r="H794" s="161" t="s">
        <v>12</v>
      </c>
      <c r="I794" s="269"/>
      <c r="J794" s="269"/>
      <c r="K794" s="465"/>
      <c r="L794" s="465"/>
      <c r="M794" s="465"/>
      <c r="N794" s="789">
        <v>0</v>
      </c>
      <c r="O794" s="465"/>
      <c r="P794" s="465"/>
      <c r="Q794" s="541"/>
      <c r="R794" s="541"/>
      <c r="S794" s="541"/>
      <c r="T794" s="541"/>
      <c r="U794" s="541"/>
      <c r="V794" s="541"/>
      <c r="W794" s="541"/>
      <c r="X794" s="541"/>
      <c r="Y794" s="541"/>
      <c r="Z794" s="541"/>
    </row>
    <row r="795" spans="1:26" ht="18.75" hidden="1">
      <c r="A795" s="537"/>
      <c r="B795" s="538"/>
      <c r="C795" s="727"/>
      <c r="D795" s="727"/>
      <c r="E795" s="727"/>
      <c r="F795" s="727" t="s">
        <v>189</v>
      </c>
      <c r="G795" s="189"/>
      <c r="H795" s="161" t="s">
        <v>12</v>
      </c>
      <c r="I795" s="269"/>
      <c r="J795" s="269"/>
      <c r="K795" s="465"/>
      <c r="L795" s="465"/>
      <c r="M795" s="465"/>
      <c r="N795" s="789">
        <v>0</v>
      </c>
      <c r="O795" s="465"/>
      <c r="P795" s="465"/>
      <c r="Q795" s="541"/>
      <c r="R795" s="541"/>
      <c r="S795" s="541"/>
      <c r="T795" s="541"/>
      <c r="U795" s="541"/>
      <c r="V795" s="541"/>
      <c r="W795" s="541"/>
      <c r="X795" s="541"/>
      <c r="Y795" s="541"/>
      <c r="Z795" s="541"/>
    </row>
    <row r="796" spans="1:26" ht="18.75" hidden="1">
      <c r="A796" s="561"/>
      <c r="B796" s="538"/>
      <c r="C796" s="727"/>
      <c r="D796" s="570" t="s">
        <v>21</v>
      </c>
      <c r="E796" s="727"/>
      <c r="F796" s="727"/>
      <c r="G796" s="189"/>
      <c r="H796" s="168" t="s">
        <v>12</v>
      </c>
      <c r="I796" s="184"/>
      <c r="J796" s="184"/>
      <c r="K796" s="163"/>
      <c r="L796" s="465">
        <f t="shared" ref="L796:N796" si="323">L797+L798</f>
        <v>0</v>
      </c>
      <c r="M796" s="465">
        <f t="shared" si="323"/>
        <v>0</v>
      </c>
      <c r="N796" s="465">
        <f t="shared" si="323"/>
        <v>0</v>
      </c>
      <c r="O796" s="465">
        <f t="shared" ref="O796:O798" si="324">IF(L796&gt;0,N796*100/L796,0)</f>
        <v>0</v>
      </c>
      <c r="P796" s="465">
        <f t="shared" ref="P796:P798" si="325">IF(M796&gt;0,N796*100/M796,0)</f>
        <v>0</v>
      </c>
      <c r="Q796" s="541"/>
      <c r="R796" s="541"/>
      <c r="S796" s="541"/>
      <c r="T796" s="541"/>
      <c r="U796" s="541"/>
      <c r="V796" s="541"/>
      <c r="W796" s="541"/>
      <c r="X796" s="541"/>
      <c r="Y796" s="541"/>
      <c r="Z796" s="541"/>
    </row>
    <row r="797" spans="1:26" ht="18.75" hidden="1">
      <c r="A797" s="563"/>
      <c r="B797" s="571"/>
      <c r="C797" s="723"/>
      <c r="D797" s="723"/>
      <c r="E797" s="723" t="s">
        <v>18</v>
      </c>
      <c r="F797" s="723"/>
      <c r="G797" s="567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4"/>
        <v>0</v>
      </c>
      <c r="P797" s="93">
        <f t="shared" si="325"/>
        <v>0</v>
      </c>
      <c r="Q797" s="568"/>
      <c r="R797" s="568"/>
      <c r="S797" s="568"/>
      <c r="T797" s="568"/>
      <c r="U797" s="568"/>
      <c r="V797" s="568"/>
      <c r="W797" s="568"/>
      <c r="X797" s="568"/>
      <c r="Y797" s="568"/>
      <c r="Z797" s="568"/>
    </row>
    <row r="798" spans="1:26" ht="18.75" hidden="1">
      <c r="A798" s="563"/>
      <c r="B798" s="571"/>
      <c r="C798" s="723"/>
      <c r="D798" s="723"/>
      <c r="E798" s="723" t="s">
        <v>19</v>
      </c>
      <c r="F798" s="723"/>
      <c r="G798" s="567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4"/>
        <v>0</v>
      </c>
      <c r="P798" s="93">
        <f t="shared" si="325"/>
        <v>0</v>
      </c>
      <c r="Q798" s="568"/>
      <c r="R798" s="568"/>
      <c r="S798" s="568"/>
      <c r="T798" s="568"/>
      <c r="U798" s="568"/>
      <c r="V798" s="568"/>
      <c r="W798" s="568"/>
      <c r="X798" s="568"/>
      <c r="Y798" s="568"/>
      <c r="Z798" s="568"/>
    </row>
    <row r="799" spans="1:26" ht="19.5" hidden="1">
      <c r="A799" s="572"/>
      <c r="B799" s="584"/>
      <c r="C799" s="727" t="s">
        <v>16</v>
      </c>
      <c r="D799" s="855" t="s">
        <v>38</v>
      </c>
      <c r="E799" s="725"/>
      <c r="F799" s="725"/>
      <c r="G799" s="577"/>
      <c r="H799" s="774"/>
      <c r="I799" s="184"/>
      <c r="J799" s="184"/>
      <c r="K799" s="163"/>
      <c r="L799" s="163"/>
      <c r="M799" s="163"/>
      <c r="N799" s="163"/>
      <c r="O799" s="163"/>
      <c r="P799" s="163"/>
      <c r="Q799" s="541"/>
      <c r="R799" s="541"/>
      <c r="S799" s="541"/>
      <c r="T799" s="541"/>
      <c r="U799" s="541"/>
      <c r="V799" s="541"/>
      <c r="W799" s="541"/>
      <c r="X799" s="541"/>
      <c r="Y799" s="541"/>
      <c r="Z799" s="541"/>
    </row>
    <row r="800" spans="1:26" ht="18.75" hidden="1">
      <c r="A800" s="572"/>
      <c r="B800" s="584"/>
      <c r="C800" s="584"/>
      <c r="D800" s="584"/>
      <c r="E800" s="592"/>
      <c r="F800" s="592" t="s">
        <v>320</v>
      </c>
      <c r="G800" s="726"/>
      <c r="H800" s="185" t="s">
        <v>46</v>
      </c>
      <c r="I800" s="184">
        <f ca="1">IFERROR(__xludf.DUMMYFUNCTION("IMPORTRANGE(""https://docs.google.com/spreadsheets/d/1QqKyyYR6Q21VydFLVH3TRQUabQu_ym0Zz7PgGX0-kHA/edit?usp=sharing"",""แผน!JN20"")"),0)</f>
        <v>0</v>
      </c>
      <c r="J800" s="184">
        <f ca="1">IFERROR(__xludf.DUMMYFUNCTION("IMPORTRANGE(""https://docs.google.com/spreadsheets/d/1MaWodYyGHDf7siQLGxnXhG4mBNTNIuy296niS2xXulU/edit?usp=sharing"",""RTK!H20"")"),0)</f>
        <v>0</v>
      </c>
      <c r="K800" s="465">
        <f ca="1">IF(I800&gt;0,J800*100/I800,0)</f>
        <v>0</v>
      </c>
      <c r="L800" s="465"/>
      <c r="M800" s="465"/>
      <c r="N800" s="465"/>
      <c r="O800" s="163"/>
      <c r="P800" s="163"/>
      <c r="Q800" s="541"/>
      <c r="R800" s="541"/>
      <c r="S800" s="541"/>
      <c r="T800" s="541"/>
      <c r="U800" s="541"/>
      <c r="V800" s="541"/>
      <c r="W800" s="541"/>
      <c r="X800" s="541"/>
      <c r="Y800" s="541"/>
      <c r="Z800" s="541"/>
    </row>
    <row r="801" spans="1:26" ht="18.75" hidden="1">
      <c r="A801" s="572"/>
      <c r="B801" s="584"/>
      <c r="C801" s="584"/>
      <c r="D801" s="584"/>
      <c r="E801" s="592"/>
      <c r="F801" s="592"/>
      <c r="G801" s="726"/>
      <c r="H801" s="161" t="s">
        <v>34</v>
      </c>
      <c r="I801" s="184"/>
      <c r="J801" s="269">
        <f ca="1">IFERROR(__xludf.DUMMYFUNCTION("IMPORTRANGE(""https://docs.google.com/spreadsheets/d/1MaWodYyGHDf7siQLGxnXhG4mBNTNIuy296niS2xXulU/edit?usp=sharing"",""RTK!I20"")"),0)</f>
        <v>0</v>
      </c>
      <c r="K801" s="465"/>
      <c r="L801" s="465"/>
      <c r="M801" s="465"/>
      <c r="N801" s="465"/>
      <c r="O801" s="163"/>
      <c r="P801" s="163"/>
      <c r="Q801" s="541"/>
      <c r="R801" s="541"/>
      <c r="S801" s="541"/>
      <c r="T801" s="541"/>
      <c r="U801" s="541"/>
      <c r="V801" s="541"/>
      <c r="W801" s="541"/>
      <c r="X801" s="541"/>
      <c r="Y801" s="541"/>
      <c r="Z801" s="541"/>
    </row>
    <row r="802" spans="1:26" ht="18.75" hidden="1">
      <c r="A802" s="578"/>
      <c r="B802" s="580"/>
      <c r="C802" s="580"/>
      <c r="D802" s="580"/>
      <c r="E802" s="684"/>
      <c r="F802" s="684" t="s">
        <v>321</v>
      </c>
      <c r="G802" s="581"/>
      <c r="H802" s="619" t="s">
        <v>46</v>
      </c>
      <c r="I802" s="166"/>
      <c r="J802" s="583"/>
      <c r="K802" s="167">
        <f>IF(I802&gt;0,J802*100/I802,0)</f>
        <v>0</v>
      </c>
      <c r="L802" s="167"/>
      <c r="M802" s="167"/>
      <c r="N802" s="167"/>
      <c r="O802" s="167"/>
      <c r="P802" s="167"/>
      <c r="Q802" s="568"/>
      <c r="R802" s="568"/>
      <c r="S802" s="568"/>
      <c r="T802" s="568"/>
      <c r="U802" s="568"/>
      <c r="V802" s="568"/>
      <c r="W802" s="568"/>
      <c r="X802" s="568"/>
      <c r="Y802" s="568"/>
      <c r="Z802" s="568"/>
    </row>
    <row r="803" spans="1:26" ht="18.75" hidden="1">
      <c r="A803" s="578"/>
      <c r="B803" s="580"/>
      <c r="C803" s="580"/>
      <c r="D803" s="580"/>
      <c r="E803" s="684"/>
      <c r="F803" s="684"/>
      <c r="G803" s="581"/>
      <c r="H803" s="619" t="s">
        <v>34</v>
      </c>
      <c r="I803" s="166"/>
      <c r="J803" s="583"/>
      <c r="K803" s="167"/>
      <c r="L803" s="167"/>
      <c r="M803" s="167"/>
      <c r="N803" s="167"/>
      <c r="O803" s="167"/>
      <c r="P803" s="167"/>
      <c r="Q803" s="568"/>
      <c r="R803" s="568"/>
      <c r="S803" s="568"/>
      <c r="T803" s="568"/>
      <c r="U803" s="568"/>
      <c r="V803" s="568"/>
      <c r="W803" s="568"/>
      <c r="X803" s="568"/>
      <c r="Y803" s="568"/>
      <c r="Z803" s="568"/>
    </row>
    <row r="804" spans="1:26" ht="19.5" hidden="1">
      <c r="A804" s="757">
        <v>13</v>
      </c>
      <c r="B804" s="758" t="s">
        <v>322</v>
      </c>
      <c r="C804" s="759"/>
      <c r="D804" s="775"/>
      <c r="E804" s="759"/>
      <c r="F804" s="759"/>
      <c r="G804" s="760"/>
      <c r="H804" s="761" t="s">
        <v>46</v>
      </c>
      <c r="I804" s="762"/>
      <c r="J804" s="762">
        <f>J819</f>
        <v>0</v>
      </c>
      <c r="K804" s="763">
        <f>IF(I804&gt;0,J804*100/I804,0)</f>
        <v>0</v>
      </c>
      <c r="L804" s="764"/>
      <c r="M804" s="764"/>
      <c r="N804" s="764"/>
      <c r="O804" s="764"/>
      <c r="P804" s="764"/>
      <c r="Q804" s="568"/>
      <c r="R804" s="568"/>
      <c r="S804" s="568"/>
      <c r="T804" s="568"/>
      <c r="U804" s="568"/>
      <c r="V804" s="568"/>
      <c r="W804" s="568"/>
      <c r="X804" s="568"/>
      <c r="Y804" s="568"/>
      <c r="Z804" s="568"/>
    </row>
    <row r="805" spans="1:26" ht="19.5" hidden="1">
      <c r="A805" s="563"/>
      <c r="B805" s="723"/>
      <c r="C805" s="723" t="s">
        <v>16</v>
      </c>
      <c r="D805" s="812" t="s">
        <v>17</v>
      </c>
      <c r="E805" s="805"/>
      <c r="F805" s="805"/>
      <c r="G805" s="567"/>
      <c r="H805" s="612" t="s">
        <v>12</v>
      </c>
      <c r="I805" s="583"/>
      <c r="J805" s="583"/>
      <c r="K805" s="93"/>
      <c r="L805" s="613">
        <f t="shared" ref="L805:N805" si="326">L806+L807</f>
        <v>0</v>
      </c>
      <c r="M805" s="613">
        <f t="shared" si="326"/>
        <v>0</v>
      </c>
      <c r="N805" s="613">
        <f t="shared" si="326"/>
        <v>0</v>
      </c>
      <c r="O805" s="613">
        <f t="shared" ref="O805:O810" si="327">IF(L805&gt;0,N805*100/L805,0)</f>
        <v>0</v>
      </c>
      <c r="P805" s="613">
        <f t="shared" ref="P805:P810" si="328">IF(M805&gt;0,N805*100/M805,0)</f>
        <v>0</v>
      </c>
      <c r="Q805" s="568"/>
      <c r="R805" s="568"/>
      <c r="S805" s="568"/>
      <c r="T805" s="568"/>
      <c r="U805" s="568"/>
      <c r="V805" s="568"/>
      <c r="W805" s="568"/>
      <c r="X805" s="568"/>
      <c r="Y805" s="568"/>
      <c r="Z805" s="568"/>
    </row>
    <row r="806" spans="1:26" ht="18.75" hidden="1">
      <c r="A806" s="563"/>
      <c r="B806" s="723"/>
      <c r="C806" s="723"/>
      <c r="D806" s="580"/>
      <c r="E806" s="723" t="s">
        <v>184</v>
      </c>
      <c r="F806" s="723"/>
      <c r="G806" s="567"/>
      <c r="H806" s="165" t="s">
        <v>12</v>
      </c>
      <c r="I806" s="583"/>
      <c r="J806" s="583"/>
      <c r="K806" s="93"/>
      <c r="L806" s="93">
        <f t="shared" ref="L806:N807" si="329">L809+L816</f>
        <v>0</v>
      </c>
      <c r="M806" s="93">
        <f t="shared" si="329"/>
        <v>0</v>
      </c>
      <c r="N806" s="93">
        <f t="shared" si="329"/>
        <v>0</v>
      </c>
      <c r="O806" s="93">
        <f t="shared" si="327"/>
        <v>0</v>
      </c>
      <c r="P806" s="93">
        <f t="shared" si="328"/>
        <v>0</v>
      </c>
      <c r="Q806" s="568"/>
      <c r="R806" s="568"/>
      <c r="S806" s="568"/>
      <c r="T806" s="568"/>
      <c r="U806" s="568"/>
      <c r="V806" s="568"/>
      <c r="W806" s="568"/>
      <c r="X806" s="568"/>
      <c r="Y806" s="568"/>
      <c r="Z806" s="568"/>
    </row>
    <row r="807" spans="1:26" ht="18.75" hidden="1">
      <c r="A807" s="563"/>
      <c r="B807" s="723"/>
      <c r="C807" s="723"/>
      <c r="D807" s="580"/>
      <c r="E807" s="723" t="s">
        <v>185</v>
      </c>
      <c r="F807" s="723"/>
      <c r="G807" s="567"/>
      <c r="H807" s="165" t="s">
        <v>12</v>
      </c>
      <c r="I807" s="583"/>
      <c r="J807" s="583"/>
      <c r="K807" s="93"/>
      <c r="L807" s="93">
        <f t="shared" si="329"/>
        <v>0</v>
      </c>
      <c r="M807" s="93">
        <f t="shared" si="329"/>
        <v>0</v>
      </c>
      <c r="N807" s="93">
        <f t="shared" si="329"/>
        <v>0</v>
      </c>
      <c r="O807" s="93">
        <f t="shared" si="327"/>
        <v>0</v>
      </c>
      <c r="P807" s="93">
        <f t="shared" si="328"/>
        <v>0</v>
      </c>
      <c r="Q807" s="568"/>
      <c r="R807" s="568"/>
      <c r="S807" s="568"/>
      <c r="T807" s="568"/>
      <c r="U807" s="568"/>
      <c r="V807" s="568"/>
      <c r="W807" s="568"/>
      <c r="X807" s="568"/>
      <c r="Y807" s="568"/>
      <c r="Z807" s="568"/>
    </row>
    <row r="808" spans="1:26" ht="19.5" hidden="1">
      <c r="A808" s="563"/>
      <c r="B808" s="571"/>
      <c r="C808" s="723"/>
      <c r="D808" s="857" t="s">
        <v>20</v>
      </c>
      <c r="E808" s="805"/>
      <c r="F808" s="805"/>
      <c r="G808" s="567"/>
      <c r="H808" s="612" t="s">
        <v>12</v>
      </c>
      <c r="I808" s="166"/>
      <c r="J808" s="166"/>
      <c r="K808" s="167"/>
      <c r="L808" s="613">
        <f t="shared" ref="L808:N808" si="330">L809+L810</f>
        <v>0</v>
      </c>
      <c r="M808" s="613">
        <f t="shared" si="330"/>
        <v>0</v>
      </c>
      <c r="N808" s="613">
        <f t="shared" si="330"/>
        <v>0</v>
      </c>
      <c r="O808" s="613">
        <f t="shared" si="327"/>
        <v>0</v>
      </c>
      <c r="P808" s="613">
        <f t="shared" si="328"/>
        <v>0</v>
      </c>
      <c r="Q808" s="568"/>
      <c r="R808" s="568"/>
      <c r="S808" s="568"/>
      <c r="T808" s="568"/>
      <c r="U808" s="568"/>
      <c r="V808" s="568"/>
      <c r="W808" s="568"/>
      <c r="X808" s="568"/>
      <c r="Y808" s="568"/>
      <c r="Z808" s="568"/>
    </row>
    <row r="809" spans="1:26" ht="18.75" hidden="1">
      <c r="A809" s="563"/>
      <c r="B809" s="723"/>
      <c r="C809" s="723"/>
      <c r="D809" s="580"/>
      <c r="E809" s="723" t="s">
        <v>184</v>
      </c>
      <c r="F809" s="723"/>
      <c r="G809" s="567"/>
      <c r="H809" s="165" t="s">
        <v>12</v>
      </c>
      <c r="I809" s="583"/>
      <c r="J809" s="583"/>
      <c r="K809" s="93"/>
      <c r="L809" s="93">
        <v>0</v>
      </c>
      <c r="M809" s="93">
        <v>0</v>
      </c>
      <c r="N809" s="93">
        <v>0</v>
      </c>
      <c r="O809" s="93">
        <f t="shared" si="327"/>
        <v>0</v>
      </c>
      <c r="P809" s="93">
        <f t="shared" si="328"/>
        <v>0</v>
      </c>
      <c r="Q809" s="568"/>
      <c r="R809" s="568"/>
      <c r="S809" s="568"/>
      <c r="T809" s="568"/>
      <c r="U809" s="568"/>
      <c r="V809" s="568"/>
      <c r="W809" s="568"/>
      <c r="X809" s="568"/>
      <c r="Y809" s="568"/>
      <c r="Z809" s="568"/>
    </row>
    <row r="810" spans="1:26" ht="18.75" hidden="1">
      <c r="A810" s="563"/>
      <c r="B810" s="723"/>
      <c r="C810" s="723"/>
      <c r="D810" s="580"/>
      <c r="E810" s="723" t="s">
        <v>185</v>
      </c>
      <c r="F810" s="723"/>
      <c r="G810" s="567"/>
      <c r="H810" s="165" t="s">
        <v>12</v>
      </c>
      <c r="I810" s="583"/>
      <c r="J810" s="583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7"/>
        <v>0</v>
      </c>
      <c r="P810" s="93">
        <f t="shared" si="328"/>
        <v>0</v>
      </c>
      <c r="Q810" s="568"/>
      <c r="R810" s="568"/>
      <c r="S810" s="568"/>
      <c r="T810" s="568"/>
      <c r="U810" s="568"/>
      <c r="V810" s="568"/>
      <c r="W810" s="568"/>
      <c r="X810" s="568"/>
      <c r="Y810" s="568"/>
      <c r="Z810" s="568"/>
    </row>
    <row r="811" spans="1:26" ht="18.75" hidden="1">
      <c r="A811" s="615"/>
      <c r="B811" s="571"/>
      <c r="C811" s="723"/>
      <c r="D811" s="571"/>
      <c r="E811" s="723"/>
      <c r="F811" s="723" t="s">
        <v>186</v>
      </c>
      <c r="G811" s="567"/>
      <c r="H811" s="165" t="s">
        <v>12</v>
      </c>
      <c r="I811" s="583"/>
      <c r="J811" s="583"/>
      <c r="K811" s="93"/>
      <c r="L811" s="93"/>
      <c r="M811" s="93"/>
      <c r="N811" s="93"/>
      <c r="O811" s="93"/>
      <c r="P811" s="93"/>
      <c r="Q811" s="568"/>
      <c r="R811" s="568"/>
      <c r="S811" s="568"/>
      <c r="T811" s="568"/>
      <c r="U811" s="568"/>
      <c r="V811" s="568"/>
      <c r="W811" s="568"/>
      <c r="X811" s="568"/>
      <c r="Y811" s="568"/>
      <c r="Z811" s="568"/>
    </row>
    <row r="812" spans="1:26" ht="18.75" hidden="1">
      <c r="A812" s="615"/>
      <c r="B812" s="571"/>
      <c r="C812" s="723"/>
      <c r="D812" s="571"/>
      <c r="E812" s="723"/>
      <c r="F812" s="723" t="s">
        <v>187</v>
      </c>
      <c r="G812" s="567"/>
      <c r="H812" s="165" t="s">
        <v>12</v>
      </c>
      <c r="I812" s="583"/>
      <c r="J812" s="583"/>
      <c r="K812" s="93"/>
      <c r="L812" s="93"/>
      <c r="M812" s="93"/>
      <c r="N812" s="93"/>
      <c r="O812" s="93"/>
      <c r="P812" s="93"/>
      <c r="Q812" s="568"/>
      <c r="R812" s="568"/>
      <c r="S812" s="568"/>
      <c r="T812" s="568"/>
      <c r="U812" s="568"/>
      <c r="V812" s="568"/>
      <c r="W812" s="568"/>
      <c r="X812" s="568"/>
      <c r="Y812" s="568"/>
      <c r="Z812" s="568"/>
    </row>
    <row r="813" spans="1:26" ht="18.75" hidden="1">
      <c r="A813" s="615"/>
      <c r="B813" s="571"/>
      <c r="C813" s="723"/>
      <c r="D813" s="571"/>
      <c r="E813" s="723"/>
      <c r="F813" s="723" t="s">
        <v>188</v>
      </c>
      <c r="G813" s="567"/>
      <c r="H813" s="165" t="s">
        <v>12</v>
      </c>
      <c r="I813" s="583"/>
      <c r="J813" s="583"/>
      <c r="K813" s="93"/>
      <c r="L813" s="93"/>
      <c r="M813" s="93"/>
      <c r="N813" s="93"/>
      <c r="O813" s="93"/>
      <c r="P813" s="93"/>
      <c r="Q813" s="568"/>
      <c r="R813" s="568"/>
      <c r="S813" s="568"/>
      <c r="T813" s="568"/>
      <c r="U813" s="568"/>
      <c r="V813" s="568"/>
      <c r="W813" s="568"/>
      <c r="X813" s="568"/>
      <c r="Y813" s="568"/>
      <c r="Z813" s="568"/>
    </row>
    <row r="814" spans="1:26" ht="18.75" hidden="1">
      <c r="A814" s="615"/>
      <c r="B814" s="571"/>
      <c r="C814" s="723"/>
      <c r="D814" s="571"/>
      <c r="E814" s="723"/>
      <c r="F814" s="723" t="s">
        <v>189</v>
      </c>
      <c r="G814" s="567"/>
      <c r="H814" s="165" t="s">
        <v>12</v>
      </c>
      <c r="I814" s="583"/>
      <c r="J814" s="583"/>
      <c r="K814" s="93"/>
      <c r="L814" s="93"/>
      <c r="M814" s="93"/>
      <c r="N814" s="93"/>
      <c r="O814" s="93"/>
      <c r="P814" s="93"/>
      <c r="Q814" s="568"/>
      <c r="R814" s="568"/>
      <c r="S814" s="568"/>
      <c r="T814" s="568"/>
      <c r="U814" s="568"/>
      <c r="V814" s="568"/>
      <c r="W814" s="568"/>
      <c r="X814" s="568"/>
      <c r="Y814" s="568"/>
      <c r="Z814" s="568"/>
    </row>
    <row r="815" spans="1:26" ht="19.5" hidden="1">
      <c r="A815" s="563"/>
      <c r="B815" s="571"/>
      <c r="C815" s="723"/>
      <c r="D815" s="857" t="s">
        <v>21</v>
      </c>
      <c r="E815" s="805"/>
      <c r="F815" s="805"/>
      <c r="G815" s="567"/>
      <c r="H815" s="747" t="s">
        <v>12</v>
      </c>
      <c r="I815" s="166"/>
      <c r="J815" s="166"/>
      <c r="K815" s="167"/>
      <c r="L815" s="613">
        <f t="shared" ref="L815:N815" si="331">L816+L817</f>
        <v>0</v>
      </c>
      <c r="M815" s="613">
        <f t="shared" si="331"/>
        <v>0</v>
      </c>
      <c r="N815" s="613">
        <f t="shared" si="331"/>
        <v>0</v>
      </c>
      <c r="O815" s="613">
        <f t="shared" ref="O815:O817" si="332">IF(L815&gt;0,N815*100/L815,0)</f>
        <v>0</v>
      </c>
      <c r="P815" s="613">
        <f t="shared" ref="P815:P817" si="333">IF(M815&gt;0,N815*100/M815,0)</f>
        <v>0</v>
      </c>
      <c r="Q815" s="568"/>
      <c r="R815" s="568"/>
      <c r="S815" s="568"/>
      <c r="T815" s="568"/>
      <c r="U815" s="568"/>
      <c r="V815" s="568"/>
      <c r="W815" s="568"/>
      <c r="X815" s="568"/>
      <c r="Y815" s="568"/>
      <c r="Z815" s="568"/>
    </row>
    <row r="816" spans="1:26" ht="18.75" hidden="1">
      <c r="A816" s="563"/>
      <c r="B816" s="571"/>
      <c r="C816" s="723"/>
      <c r="D816" s="571"/>
      <c r="E816" s="723" t="s">
        <v>18</v>
      </c>
      <c r="F816" s="723"/>
      <c r="G816" s="567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2"/>
        <v>0</v>
      </c>
      <c r="P816" s="93">
        <f t="shared" si="333"/>
        <v>0</v>
      </c>
      <c r="Q816" s="568"/>
      <c r="R816" s="568"/>
      <c r="S816" s="568"/>
      <c r="T816" s="568"/>
      <c r="U816" s="568"/>
      <c r="V816" s="568"/>
      <c r="W816" s="568"/>
      <c r="X816" s="568"/>
      <c r="Y816" s="568"/>
      <c r="Z816" s="568"/>
    </row>
    <row r="817" spans="1:26" ht="18.75" hidden="1">
      <c r="A817" s="563"/>
      <c r="B817" s="571"/>
      <c r="C817" s="723"/>
      <c r="D817" s="571"/>
      <c r="E817" s="723" t="s">
        <v>19</v>
      </c>
      <c r="F817" s="723"/>
      <c r="G817" s="567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2"/>
        <v>0</v>
      </c>
      <c r="P817" s="93">
        <f t="shared" si="333"/>
        <v>0</v>
      </c>
      <c r="Q817" s="568"/>
      <c r="R817" s="568"/>
      <c r="S817" s="568"/>
      <c r="T817" s="568"/>
      <c r="U817" s="568"/>
      <c r="V817" s="568"/>
      <c r="W817" s="568"/>
      <c r="X817" s="568"/>
      <c r="Y817" s="568"/>
      <c r="Z817" s="568"/>
    </row>
    <row r="818" spans="1:26" ht="19.5" hidden="1">
      <c r="A818" s="578"/>
      <c r="B818" s="580"/>
      <c r="C818" s="723" t="s">
        <v>16</v>
      </c>
      <c r="D818" s="858" t="s">
        <v>38</v>
      </c>
      <c r="E818" s="617"/>
      <c r="F818" s="617"/>
      <c r="G818" s="618"/>
      <c r="H818" s="581"/>
      <c r="I818" s="166"/>
      <c r="J818" s="166"/>
      <c r="K818" s="167"/>
      <c r="L818" s="167"/>
      <c r="M818" s="167"/>
      <c r="N818" s="167"/>
      <c r="O818" s="167"/>
      <c r="P818" s="167"/>
      <c r="Q818" s="568"/>
      <c r="R818" s="568"/>
      <c r="S818" s="568"/>
      <c r="T818" s="568"/>
      <c r="U818" s="568"/>
      <c r="V818" s="568"/>
      <c r="W818" s="568"/>
      <c r="X818" s="568"/>
      <c r="Y818" s="568"/>
      <c r="Z818" s="568"/>
    </row>
    <row r="819" spans="1:26" ht="19.5" hidden="1" thickBot="1">
      <c r="A819" s="777"/>
      <c r="B819" s="778"/>
      <c r="C819" s="780"/>
      <c r="D819" s="778"/>
      <c r="E819" s="780" t="s">
        <v>323</v>
      </c>
      <c r="F819" s="780"/>
      <c r="G819" s="781"/>
      <c r="H819" s="782" t="s">
        <v>46</v>
      </c>
      <c r="I819" s="783"/>
      <c r="J819" s="783"/>
      <c r="K819" s="784"/>
      <c r="L819" s="784"/>
      <c r="M819" s="784"/>
      <c r="N819" s="784"/>
      <c r="O819" s="784"/>
      <c r="P819" s="784"/>
      <c r="Q819" s="568"/>
      <c r="R819" s="568"/>
      <c r="S819" s="568"/>
      <c r="T819" s="568"/>
      <c r="U819" s="568"/>
      <c r="V819" s="568"/>
      <c r="W819" s="568"/>
      <c r="X819" s="568"/>
      <c r="Y819" s="568"/>
      <c r="Z819" s="568"/>
    </row>
    <row r="820" spans="1:26" ht="19.5">
      <c r="A820" s="785" t="s">
        <v>332</v>
      </c>
      <c r="B820" s="786"/>
      <c r="C820" s="786"/>
      <c r="D820" s="787"/>
      <c r="E820" s="786"/>
      <c r="F820" s="786"/>
      <c r="G820" s="788"/>
      <c r="H820" s="788"/>
      <c r="I820" s="214"/>
      <c r="J820" s="214"/>
      <c r="K820" s="789"/>
      <c r="L820" s="789"/>
      <c r="M820" s="789"/>
      <c r="N820" s="789"/>
      <c r="O820" s="789"/>
      <c r="P820" s="789"/>
      <c r="Q820" s="541"/>
      <c r="R820" s="541"/>
      <c r="S820" s="541"/>
      <c r="T820" s="541"/>
      <c r="U820" s="541"/>
      <c r="V820" s="541"/>
      <c r="W820" s="541"/>
      <c r="X820" s="541"/>
      <c r="Y820" s="541"/>
      <c r="Z820" s="541"/>
    </row>
    <row r="821" spans="1:26" ht="18.75">
      <c r="A821" s="708"/>
      <c r="B821" s="727" t="s">
        <v>325</v>
      </c>
      <c r="C821" s="727"/>
      <c r="D821" s="538"/>
      <c r="E821" s="727"/>
      <c r="F821" s="727"/>
      <c r="G821" s="189"/>
      <c r="H821" s="589" t="s">
        <v>12</v>
      </c>
      <c r="I821" s="269">
        <f ca="1">IFERROR(__xludf.DUMMYFUNCTION("IMPORTRANGE(""https://docs.google.com/spreadsheets/d/19vJNZY_5yjcGF2XGBMNZRCAIB0Kwfpjp8YEOfu-bneM/edit?usp=sharing"",""งานกองทุน!D20"")"),4251141.49)</f>
        <v>4251141.49</v>
      </c>
      <c r="J821" s="269">
        <f ca="1">IFERROR(__xludf.DUMMYFUNCTION("IMPORTRANGE(""https://docs.google.com/spreadsheets/d/19vJNZY_5yjcGF2XGBMNZRCAIB0Kwfpjp8YEOfu-bneM/edit?usp=sharing"",""งานกองทุน!F20"")"),30241.39)</f>
        <v>30241.39</v>
      </c>
      <c r="K821" s="465">
        <f t="shared" ref="K821:K828" ca="1" si="334">IF(I821&gt;0,J821*100/I821,0)</f>
        <v>0.71137105342499429</v>
      </c>
      <c r="L821" s="465"/>
      <c r="M821" s="465"/>
      <c r="N821" s="465"/>
      <c r="O821" s="465"/>
      <c r="P821" s="465"/>
      <c r="Q821" s="541"/>
      <c r="R821" s="541"/>
      <c r="S821" s="541"/>
      <c r="T821" s="541"/>
      <c r="U821" s="541"/>
      <c r="V821" s="541"/>
      <c r="W821" s="541"/>
      <c r="X821" s="541"/>
      <c r="Y821" s="541"/>
      <c r="Z821" s="541"/>
    </row>
    <row r="822" spans="1:26" ht="18.75">
      <c r="A822" s="708"/>
      <c r="B822" s="727"/>
      <c r="C822" s="727"/>
      <c r="D822" s="538"/>
      <c r="E822" s="727"/>
      <c r="F822" s="727"/>
      <c r="G822" s="189"/>
      <c r="H822" s="589" t="s">
        <v>35</v>
      </c>
      <c r="I822" s="269">
        <f ca="1">IFERROR(__xludf.DUMMYFUNCTION("IMPORTRANGE(""https://docs.google.com/spreadsheets/d/19vJNZY_5yjcGF2XGBMNZRCAIB0Kwfpjp8YEOfu-bneM/edit?usp=sharing"",""งานกองทุน!C20"")"),408)</f>
        <v>408</v>
      </c>
      <c r="J822" s="269">
        <f ca="1">IFERROR(__xludf.DUMMYFUNCTION("IMPORTRANGE(""https://docs.google.com/spreadsheets/d/19vJNZY_5yjcGF2XGBMNZRCAIB0Kwfpjp8YEOfu-bneM/edit?usp=sharing"",""งานกองทุน!E20"")"),3)</f>
        <v>3</v>
      </c>
      <c r="K822" s="465">
        <f t="shared" ca="1" si="334"/>
        <v>0.73529411764705888</v>
      </c>
      <c r="L822" s="465"/>
      <c r="M822" s="465"/>
      <c r="N822" s="465"/>
      <c r="O822" s="465"/>
      <c r="P822" s="465"/>
      <c r="Q822" s="541"/>
      <c r="R822" s="541"/>
      <c r="S822" s="541"/>
      <c r="T822" s="541"/>
      <c r="U822" s="541"/>
      <c r="V822" s="541"/>
      <c r="W822" s="541"/>
      <c r="X822" s="541"/>
      <c r="Y822" s="541"/>
      <c r="Z822" s="541"/>
    </row>
    <row r="823" spans="1:26" ht="18.75">
      <c r="A823" s="708"/>
      <c r="B823" s="727" t="s">
        <v>326</v>
      </c>
      <c r="C823" s="727"/>
      <c r="D823" s="538"/>
      <c r="E823" s="727"/>
      <c r="F823" s="727"/>
      <c r="G823" s="189"/>
      <c r="H823" s="589" t="s">
        <v>12</v>
      </c>
      <c r="I823" s="269">
        <f ca="1">IFERROR(__xludf.DUMMYFUNCTION("IMPORTRANGE(""https://docs.google.com/spreadsheets/d/19vJNZY_5yjcGF2XGBMNZRCAIB0Kwfpjp8YEOfu-bneM/edit?usp=sharing"",""งานกองทุน!I20"")"),24687178.04)</f>
        <v>24687178.039999999</v>
      </c>
      <c r="J823" s="269">
        <f ca="1">IFERROR(__xludf.DUMMYFUNCTION("IMPORTRANGE(""https://docs.google.com/spreadsheets/d/19vJNZY_5yjcGF2XGBMNZRCAIB0Kwfpjp8YEOfu-bneM/edit?usp=sharing"",""งานกองทุน!K20"")"),36638.16)</f>
        <v>36638.160000000003</v>
      </c>
      <c r="K823" s="465">
        <f t="shared" ca="1" si="334"/>
        <v>0.14840967218138962</v>
      </c>
      <c r="L823" s="465"/>
      <c r="M823" s="465"/>
      <c r="N823" s="465"/>
      <c r="O823" s="465"/>
      <c r="P823" s="465"/>
      <c r="Q823" s="541"/>
      <c r="R823" s="541"/>
      <c r="S823" s="541"/>
      <c r="T823" s="541"/>
      <c r="U823" s="541"/>
      <c r="V823" s="541"/>
      <c r="W823" s="541"/>
      <c r="X823" s="541"/>
      <c r="Y823" s="541"/>
      <c r="Z823" s="541"/>
    </row>
    <row r="824" spans="1:26" ht="18.75">
      <c r="A824" s="708"/>
      <c r="B824" s="727"/>
      <c r="C824" s="727"/>
      <c r="D824" s="538"/>
      <c r="E824" s="727"/>
      <c r="F824" s="727"/>
      <c r="G824" s="189"/>
      <c r="H824" s="589" t="s">
        <v>35</v>
      </c>
      <c r="I824" s="269">
        <f ca="1">IFERROR(__xludf.DUMMYFUNCTION("IMPORTRANGE(""https://docs.google.com/spreadsheets/d/19vJNZY_5yjcGF2XGBMNZRCAIB0Kwfpjp8YEOfu-bneM/edit?usp=sharing"",""งานกองทุน!H20"")"),411)</f>
        <v>411</v>
      </c>
      <c r="J824" s="269">
        <f ca="1">IFERROR(__xludf.DUMMYFUNCTION("IMPORTRANGE(""https://docs.google.com/spreadsheets/d/19vJNZY_5yjcGF2XGBMNZRCAIB0Kwfpjp8YEOfu-bneM/edit?usp=sharing"",""งานกองทุน!J20"")"),8)</f>
        <v>8</v>
      </c>
      <c r="K824" s="465">
        <f t="shared" ca="1" si="334"/>
        <v>1.9464720194647203</v>
      </c>
      <c r="L824" s="465"/>
      <c r="M824" s="465"/>
      <c r="N824" s="465"/>
      <c r="O824" s="465"/>
      <c r="P824" s="465"/>
      <c r="Q824" s="541"/>
      <c r="R824" s="541"/>
      <c r="S824" s="541"/>
      <c r="T824" s="541"/>
      <c r="U824" s="541"/>
      <c r="V824" s="541"/>
      <c r="W824" s="541"/>
      <c r="X824" s="541"/>
      <c r="Y824" s="541"/>
      <c r="Z824" s="541"/>
    </row>
    <row r="825" spans="1:26" ht="18.75">
      <c r="A825" s="708"/>
      <c r="B825" s="727" t="s">
        <v>327</v>
      </c>
      <c r="C825" s="727"/>
      <c r="D825" s="538"/>
      <c r="E825" s="727"/>
      <c r="F825" s="727"/>
      <c r="G825" s="189"/>
      <c r="H825" s="589" t="s">
        <v>12</v>
      </c>
      <c r="I825" s="269">
        <f ca="1">IFERROR(__xludf.DUMMYFUNCTION("IMPORTRANGE(""https://docs.google.com/spreadsheets/d/19vJNZY_5yjcGF2XGBMNZRCAIB0Kwfpjp8YEOfu-bneM/edit?usp=sharing"",""งานกองทุน!N20"")"),64494.86)</f>
        <v>64494.86</v>
      </c>
      <c r="J825" s="269">
        <f ca="1">IFERROR(__xludf.DUMMYFUNCTION("IMPORTRANGE(""https://docs.google.com/spreadsheets/d/19vJNZY_5yjcGF2XGBMNZRCAIB0Kwfpjp8YEOfu-bneM/edit?usp=sharing"",""งานกองทุน!P20"")"),0)</f>
        <v>0</v>
      </c>
      <c r="K825" s="465">
        <f t="shared" ca="1" si="334"/>
        <v>0</v>
      </c>
      <c r="L825" s="465"/>
      <c r="M825" s="465"/>
      <c r="N825" s="465"/>
      <c r="O825" s="465"/>
      <c r="P825" s="465"/>
      <c r="Q825" s="541"/>
      <c r="R825" s="541"/>
      <c r="S825" s="541"/>
      <c r="T825" s="541"/>
      <c r="U825" s="541"/>
      <c r="V825" s="541"/>
      <c r="W825" s="541"/>
      <c r="X825" s="541"/>
      <c r="Y825" s="541"/>
      <c r="Z825" s="541"/>
    </row>
    <row r="826" spans="1:26" ht="18.75">
      <c r="A826" s="708"/>
      <c r="B826" s="727"/>
      <c r="C826" s="727"/>
      <c r="D826" s="538"/>
      <c r="E826" s="727"/>
      <c r="F826" s="727"/>
      <c r="G826" s="189"/>
      <c r="H826" s="589" t="s">
        <v>35</v>
      </c>
      <c r="I826" s="269">
        <f ca="1">IFERROR(__xludf.DUMMYFUNCTION("IMPORTRANGE(""https://docs.google.com/spreadsheets/d/19vJNZY_5yjcGF2XGBMNZRCAIB0Kwfpjp8YEOfu-bneM/edit?usp=sharing"",""งานกองทุน!M20"")"),107)</f>
        <v>107</v>
      </c>
      <c r="J826" s="269">
        <f ca="1">IFERROR(__xludf.DUMMYFUNCTION("IMPORTRANGE(""https://docs.google.com/spreadsheets/d/19vJNZY_5yjcGF2XGBMNZRCAIB0Kwfpjp8YEOfu-bneM/edit?usp=sharing"",""งานกองทุน!O20"")"),0)</f>
        <v>0</v>
      </c>
      <c r="K826" s="465">
        <f t="shared" ca="1" si="334"/>
        <v>0</v>
      </c>
      <c r="L826" s="465"/>
      <c r="M826" s="465"/>
      <c r="N826" s="465"/>
      <c r="O826" s="465"/>
      <c r="P826" s="465"/>
      <c r="Q826" s="541"/>
      <c r="R826" s="541"/>
      <c r="S826" s="541"/>
      <c r="T826" s="541"/>
      <c r="U826" s="541"/>
      <c r="V826" s="541"/>
      <c r="W826" s="541"/>
      <c r="X826" s="541"/>
      <c r="Y826" s="541"/>
      <c r="Z826" s="541"/>
    </row>
    <row r="827" spans="1:26" ht="18.75">
      <c r="A827" s="708"/>
      <c r="B827" s="727" t="s">
        <v>328</v>
      </c>
      <c r="C827" s="727"/>
      <c r="D827" s="538"/>
      <c r="E827" s="727"/>
      <c r="F827" s="727"/>
      <c r="G827" s="189"/>
      <c r="H827" s="589" t="s">
        <v>12</v>
      </c>
      <c r="I827" s="269">
        <f ca="1">IFERROR(__xludf.DUMMYFUNCTION("IMPORTRANGE(""https://docs.google.com/spreadsheets/d/19vJNZY_5yjcGF2XGBMNZRCAIB0Kwfpjp8YEOfu-bneM/edit?usp=sharing"",""งานกองทุน!S20"")"),5530000)</f>
        <v>5530000</v>
      </c>
      <c r="J827" s="269">
        <f ca="1">IFERROR(__xludf.DUMMYFUNCTION("IMPORTRANGE(""https://docs.google.com/spreadsheets/d/19vJNZY_5yjcGF2XGBMNZRCAIB0Kwfpjp8YEOfu-bneM/edit?usp=sharing"",""งานกองทุน!U20"")"),0)</f>
        <v>0</v>
      </c>
      <c r="K827" s="465">
        <f t="shared" ca="1" si="334"/>
        <v>0</v>
      </c>
      <c r="L827" s="465"/>
      <c r="M827" s="465"/>
      <c r="N827" s="465"/>
      <c r="O827" s="465"/>
      <c r="P827" s="465"/>
      <c r="Q827" s="541"/>
      <c r="R827" s="541"/>
      <c r="S827" s="541"/>
      <c r="T827" s="541"/>
      <c r="U827" s="541"/>
      <c r="V827" s="541"/>
      <c r="W827" s="541"/>
      <c r="X827" s="541"/>
      <c r="Y827" s="541"/>
      <c r="Z827" s="541"/>
    </row>
    <row r="828" spans="1:26" ht="18.75">
      <c r="A828" s="711"/>
      <c r="B828" s="713"/>
      <c r="C828" s="713"/>
      <c r="D828" s="712"/>
      <c r="E828" s="713"/>
      <c r="F828" s="713"/>
      <c r="G828" s="790"/>
      <c r="H828" s="791" t="s">
        <v>35</v>
      </c>
      <c r="I828" s="468">
        <f ca="1">IFERROR(__xludf.DUMMYFUNCTION("IMPORTRANGE(""https://docs.google.com/spreadsheets/d/19vJNZY_5yjcGF2XGBMNZRCAIB0Kwfpjp8YEOfu-bneM/edit?usp=sharing"",""งานกองทุน!R20"")"),221)</f>
        <v>221</v>
      </c>
      <c r="J828" s="468">
        <f ca="1">IFERROR(__xludf.DUMMYFUNCTION("IMPORTRANGE(""https://docs.google.com/spreadsheets/d/19vJNZY_5yjcGF2XGBMNZRCAIB0Kwfpjp8YEOfu-bneM/edit?usp=sharing"",""งานกองทุน!T20"")"),7)</f>
        <v>7</v>
      </c>
      <c r="K828" s="469">
        <f t="shared" ca="1" si="334"/>
        <v>3.1674208144796379</v>
      </c>
      <c r="L828" s="469"/>
      <c r="M828" s="469"/>
      <c r="N828" s="469"/>
      <c r="O828" s="469"/>
      <c r="P828" s="469"/>
      <c r="Q828" s="541"/>
      <c r="R828" s="541"/>
      <c r="S828" s="541"/>
      <c r="T828" s="541"/>
      <c r="U828" s="541"/>
      <c r="V828" s="541"/>
      <c r="W828" s="541"/>
      <c r="X828" s="541"/>
      <c r="Y828" s="541"/>
      <c r="Z828" s="541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1" fitToHeight="0" pageOrder="overThenDown" orientation="portrait" cellComments="atEnd" r:id="rId1"/>
  <headerFooter>
    <oddFooter>&amp;Cหน้า &amp;P/&amp;N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11BA05-51CF-4326-96DD-1361263BC4D7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activeCell="S28" sqref="S28"/>
      <selection pane="bottomLeft" activeCell="A2" sqref="A2:P2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9" width="16.85546875" bestFit="1" customWidth="1"/>
    <col min="10" max="10" width="14.42578125" bestFit="1" customWidth="1"/>
    <col min="11" max="11" width="12.5703125" customWidth="1"/>
    <col min="12" max="13" width="21.28515625" bestFit="1" customWidth="1"/>
    <col min="14" max="14" width="18.7109375" bestFit="1" customWidth="1"/>
    <col min="15" max="15" width="20.140625" bestFit="1" customWidth="1"/>
    <col min="16" max="16" width="22" bestFit="1" customWidth="1"/>
  </cols>
  <sheetData>
    <row r="1" spans="1:26" ht="19.5">
      <c r="A1" s="792" t="s">
        <v>0</v>
      </c>
      <c r="B1" s="793"/>
      <c r="C1" s="793"/>
      <c r="D1" s="793"/>
      <c r="E1" s="793"/>
      <c r="F1" s="793"/>
      <c r="G1" s="793"/>
      <c r="H1" s="793"/>
      <c r="I1" s="793"/>
      <c r="J1" s="793"/>
      <c r="K1" s="793"/>
      <c r="L1" s="793"/>
      <c r="M1" s="793"/>
      <c r="N1" s="793"/>
      <c r="O1" s="793"/>
      <c r="P1" s="793"/>
    </row>
    <row r="2" spans="1:26" ht="19.5">
      <c r="A2" s="792" t="s">
        <v>343</v>
      </c>
      <c r="B2" s="793"/>
      <c r="C2" s="793"/>
      <c r="D2" s="793"/>
      <c r="E2" s="793"/>
      <c r="F2" s="793"/>
      <c r="G2" s="793"/>
      <c r="H2" s="793"/>
      <c r="I2" s="793"/>
      <c r="J2" s="793"/>
      <c r="K2" s="793"/>
      <c r="L2" s="793"/>
      <c r="M2" s="793"/>
      <c r="N2" s="793"/>
      <c r="O2" s="793"/>
      <c r="P2" s="793"/>
    </row>
    <row r="3" spans="1:26" ht="19.5">
      <c r="A3" s="792" t="s">
        <v>355</v>
      </c>
      <c r="B3" s="793"/>
      <c r="C3" s="793"/>
      <c r="D3" s="793"/>
      <c r="E3" s="793"/>
      <c r="F3" s="793"/>
      <c r="G3" s="793"/>
      <c r="H3" s="793"/>
      <c r="I3" s="793"/>
      <c r="J3" s="793"/>
      <c r="K3" s="793"/>
      <c r="L3" s="793"/>
      <c r="M3" s="793"/>
      <c r="N3" s="793"/>
      <c r="O3" s="793"/>
      <c r="P3" s="793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00" t="s">
        <v>2</v>
      </c>
      <c r="B5" s="793"/>
      <c r="C5" s="793"/>
      <c r="D5" s="793"/>
      <c r="E5" s="793"/>
      <c r="F5" s="793"/>
      <c r="G5" s="801"/>
      <c r="H5" s="794" t="s">
        <v>3</v>
      </c>
      <c r="I5" s="796" t="s">
        <v>4</v>
      </c>
      <c r="J5" s="797"/>
      <c r="K5" s="795"/>
      <c r="L5" s="798" t="s">
        <v>5</v>
      </c>
      <c r="M5" s="795"/>
      <c r="N5" s="799" t="s">
        <v>6</v>
      </c>
      <c r="O5" s="797"/>
      <c r="P5" s="795"/>
    </row>
    <row r="6" spans="1:26" ht="19.5">
      <c r="A6" s="802"/>
      <c r="B6" s="797"/>
      <c r="C6" s="797"/>
      <c r="D6" s="797"/>
      <c r="E6" s="797"/>
      <c r="F6" s="797"/>
      <c r="G6" s="795"/>
      <c r="H6" s="795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03" t="s">
        <v>15</v>
      </c>
      <c r="B7" s="797"/>
      <c r="C7" s="797"/>
      <c r="D7" s="797"/>
      <c r="E7" s="797"/>
      <c r="F7" s="797"/>
      <c r="G7" s="795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4510889</v>
      </c>
      <c r="M8" s="22">
        <f t="shared" ca="1" si="0"/>
        <v>1514115</v>
      </c>
      <c r="N8" s="22">
        <f t="shared" ca="1" si="0"/>
        <v>619294.66999999993</v>
      </c>
      <c r="O8" s="22">
        <f t="shared" ref="O8:O16" ca="1" si="1">IF(L8&gt;0,N8*100/L8,0)</f>
        <v>13.728882931945343</v>
      </c>
      <c r="P8" s="22">
        <f t="shared" ref="P8:P16" ca="1" si="2">IF(M8&gt;0,N8*100/M8,0)</f>
        <v>40.901428887501936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4510889</v>
      </c>
      <c r="M10" s="30">
        <f t="shared" ca="1" si="3"/>
        <v>1514115</v>
      </c>
      <c r="N10" s="30">
        <f t="shared" ca="1" si="3"/>
        <v>619294.66999999993</v>
      </c>
      <c r="O10" s="30">
        <f t="shared" ca="1" si="1"/>
        <v>13.728882931945343</v>
      </c>
      <c r="P10" s="30">
        <f t="shared" ca="1" si="2"/>
        <v>40.901428887501936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589" t="s">
        <v>12</v>
      </c>
      <c r="I11" s="269"/>
      <c r="J11" s="269"/>
      <c r="K11" s="465"/>
      <c r="L11" s="465">
        <f t="shared" ref="L11:N11" ca="1" si="4">L12+L13</f>
        <v>4405289</v>
      </c>
      <c r="M11" s="465">
        <f t="shared" ca="1" si="4"/>
        <v>1408515</v>
      </c>
      <c r="N11" s="465">
        <f t="shared" ca="1" si="4"/>
        <v>513694.67</v>
      </c>
      <c r="O11" s="465">
        <f t="shared" ca="1" si="1"/>
        <v>11.660861977500227</v>
      </c>
      <c r="P11" s="465">
        <f t="shared" ca="1" si="2"/>
        <v>36.470656684522353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2" t="s">
        <v>18</v>
      </c>
      <c r="F12" s="40"/>
      <c r="G12" s="42"/>
      <c r="H12" s="43" t="s">
        <v>12</v>
      </c>
      <c r="I12" s="583"/>
      <c r="J12" s="583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2" t="s">
        <v>19</v>
      </c>
      <c r="F13" s="40"/>
      <c r="G13" s="42"/>
      <c r="H13" s="43" t="s">
        <v>12</v>
      </c>
      <c r="I13" s="583"/>
      <c r="J13" s="583"/>
      <c r="K13" s="93"/>
      <c r="L13" s="93">
        <f t="shared" ca="1" si="5"/>
        <v>4405289</v>
      </c>
      <c r="M13" s="93">
        <f t="shared" ca="1" si="5"/>
        <v>1408515</v>
      </c>
      <c r="N13" s="93">
        <f t="shared" ca="1" si="5"/>
        <v>513694.67</v>
      </c>
      <c r="O13" s="93">
        <f t="shared" ca="1" si="1"/>
        <v>11.660861977500227</v>
      </c>
      <c r="P13" s="93">
        <f t="shared" ca="1" si="2"/>
        <v>36.470656684522353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589" t="s">
        <v>12</v>
      </c>
      <c r="I14" s="269"/>
      <c r="J14" s="269"/>
      <c r="K14" s="465"/>
      <c r="L14" s="465">
        <f t="shared" ref="L14:N14" ca="1" si="6">L15+L16</f>
        <v>105600</v>
      </c>
      <c r="M14" s="465">
        <f t="shared" ca="1" si="6"/>
        <v>105600</v>
      </c>
      <c r="N14" s="465">
        <f t="shared" ca="1" si="6"/>
        <v>105600</v>
      </c>
      <c r="O14" s="465">
        <f t="shared" ca="1" si="1"/>
        <v>100</v>
      </c>
      <c r="P14" s="465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2" t="s">
        <v>18</v>
      </c>
      <c r="F15" s="40"/>
      <c r="G15" s="42"/>
      <c r="H15" s="43" t="s">
        <v>12</v>
      </c>
      <c r="I15" s="583"/>
      <c r="J15" s="583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105600</v>
      </c>
      <c r="M16" s="52">
        <f t="shared" ca="1" si="7"/>
        <v>105600</v>
      </c>
      <c r="N16" s="52">
        <f t="shared" ca="1" si="7"/>
        <v>105600</v>
      </c>
      <c r="O16" s="52">
        <f t="shared" ca="1" si="1"/>
        <v>100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03" t="s">
        <v>22</v>
      </c>
      <c r="B17" s="797"/>
      <c r="C17" s="797"/>
      <c r="D17" s="797"/>
      <c r="E17" s="797"/>
      <c r="F17" s="797"/>
      <c r="G17" s="795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2944145</v>
      </c>
      <c r="M18" s="22">
        <f t="shared" ca="1" si="8"/>
        <v>1514115</v>
      </c>
      <c r="N18" s="22">
        <f t="shared" ca="1" si="8"/>
        <v>619294.66999999993</v>
      </c>
      <c r="O18" s="22">
        <f t="shared" ref="O18:O26" ca="1" si="9">IF(L18&gt;0,N18*100/L18,0)</f>
        <v>21.034788368100074</v>
      </c>
      <c r="P18" s="22">
        <f t="shared" ref="P18:P26" ca="1" si="10">IF(M18&gt;0,N18*100/M18,0)</f>
        <v>40.901428887501936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2944145</v>
      </c>
      <c r="M20" s="30">
        <f t="shared" ca="1" si="11"/>
        <v>1514115</v>
      </c>
      <c r="N20" s="30">
        <f t="shared" ca="1" si="11"/>
        <v>619294.66999999993</v>
      </c>
      <c r="O20" s="30">
        <f t="shared" ca="1" si="9"/>
        <v>21.034788368100074</v>
      </c>
      <c r="P20" s="30">
        <f t="shared" ca="1" si="10"/>
        <v>40.901428887501936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589" t="s">
        <v>12</v>
      </c>
      <c r="I21" s="269"/>
      <c r="J21" s="269"/>
      <c r="K21" s="465"/>
      <c r="L21" s="465">
        <f t="shared" ref="L21:N21" ca="1" si="12">L22+L23</f>
        <v>2838545</v>
      </c>
      <c r="M21" s="465">
        <f t="shared" ca="1" si="12"/>
        <v>1408515</v>
      </c>
      <c r="N21" s="465">
        <f t="shared" ca="1" si="12"/>
        <v>513694.67</v>
      </c>
      <c r="O21" s="465">
        <f t="shared" ca="1" si="9"/>
        <v>18.09711207678582</v>
      </c>
      <c r="P21" s="465">
        <f t="shared" ca="1" si="10"/>
        <v>36.470656684522353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2" t="s">
        <v>18</v>
      </c>
      <c r="F22" s="40"/>
      <c r="G22" s="42"/>
      <c r="H22" s="43" t="s">
        <v>12</v>
      </c>
      <c r="I22" s="583"/>
      <c r="J22" s="583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2" t="s">
        <v>19</v>
      </c>
      <c r="F23" s="40"/>
      <c r="G23" s="42"/>
      <c r="H23" s="43" t="s">
        <v>12</v>
      </c>
      <c r="I23" s="583"/>
      <c r="J23" s="583"/>
      <c r="K23" s="93"/>
      <c r="L23" s="93">
        <f t="shared" ca="1" si="13"/>
        <v>2838545</v>
      </c>
      <c r="M23" s="93">
        <f t="shared" ca="1" si="13"/>
        <v>1408515</v>
      </c>
      <c r="N23" s="93">
        <f t="shared" ca="1" si="13"/>
        <v>513694.67</v>
      </c>
      <c r="O23" s="93">
        <f t="shared" ca="1" si="9"/>
        <v>18.09711207678582</v>
      </c>
      <c r="P23" s="93">
        <f t="shared" ca="1" si="10"/>
        <v>36.470656684522353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589" t="s">
        <v>12</v>
      </c>
      <c r="I24" s="269"/>
      <c r="J24" s="269"/>
      <c r="K24" s="465"/>
      <c r="L24" s="465">
        <f t="shared" ref="L24:N24" ca="1" si="14">L25+L26</f>
        <v>105600</v>
      </c>
      <c r="M24" s="465">
        <f t="shared" ca="1" si="14"/>
        <v>105600</v>
      </c>
      <c r="N24" s="465">
        <f t="shared" ca="1" si="14"/>
        <v>105600</v>
      </c>
      <c r="O24" s="465">
        <f t="shared" ca="1" si="9"/>
        <v>100</v>
      </c>
      <c r="P24" s="465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2" t="s">
        <v>18</v>
      </c>
      <c r="F25" s="40"/>
      <c r="G25" s="42"/>
      <c r="H25" s="43" t="s">
        <v>12</v>
      </c>
      <c r="I25" s="583"/>
      <c r="J25" s="583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105600</v>
      </c>
      <c r="M26" s="52">
        <f t="shared" ca="1" si="15"/>
        <v>105600</v>
      </c>
      <c r="N26" s="52">
        <f t="shared" ca="1" si="15"/>
        <v>105600</v>
      </c>
      <c r="O26" s="52">
        <f t="shared" ca="1" si="9"/>
        <v>100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03" t="s">
        <v>23</v>
      </c>
      <c r="B27" s="797"/>
      <c r="C27" s="797"/>
      <c r="D27" s="797"/>
      <c r="E27" s="797"/>
      <c r="F27" s="797"/>
      <c r="G27" s="795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1566744</v>
      </c>
      <c r="M28" s="22">
        <f t="shared" si="16"/>
        <v>0</v>
      </c>
      <c r="N28" s="22">
        <f t="shared" si="16"/>
        <v>0</v>
      </c>
      <c r="O28" s="22">
        <f t="shared" ref="O28:O37" ca="1" si="17">IF(L28&gt;0,N28*100/L28,0)</f>
        <v>0</v>
      </c>
      <c r="P28" s="22">
        <f t="shared" ref="P28:P37" si="18">IF(M28&gt;0,N28*100/M28,0)</f>
        <v>0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1566744</v>
      </c>
      <c r="M30" s="30">
        <f t="shared" si="19"/>
        <v>0</v>
      </c>
      <c r="N30" s="30">
        <f t="shared" si="19"/>
        <v>0</v>
      </c>
      <c r="O30" s="30">
        <f t="shared" ca="1" si="17"/>
        <v>0</v>
      </c>
      <c r="P30" s="30">
        <f t="shared" si="18"/>
        <v>0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589" t="s">
        <v>12</v>
      </c>
      <c r="I31" s="269"/>
      <c r="J31" s="269"/>
      <c r="K31" s="465"/>
      <c r="L31" s="465">
        <f t="shared" ref="L31:N31" ca="1" si="20">L32+L33</f>
        <v>1566744</v>
      </c>
      <c r="M31" s="465">
        <f t="shared" si="20"/>
        <v>0</v>
      </c>
      <c r="N31" s="465">
        <f t="shared" si="20"/>
        <v>0</v>
      </c>
      <c r="O31" s="465">
        <f t="shared" ca="1" si="17"/>
        <v>0</v>
      </c>
      <c r="P31" s="465">
        <f t="shared" si="18"/>
        <v>0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2" t="s">
        <v>18</v>
      </c>
      <c r="F32" s="40"/>
      <c r="G32" s="42"/>
      <c r="H32" s="43" t="s">
        <v>12</v>
      </c>
      <c r="I32" s="583"/>
      <c r="J32" s="583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2" t="s">
        <v>19</v>
      </c>
      <c r="F33" s="40"/>
      <c r="G33" s="42"/>
      <c r="H33" s="43" t="s">
        <v>12</v>
      </c>
      <c r="I33" s="583"/>
      <c r="J33" s="583"/>
      <c r="K33" s="93"/>
      <c r="L33" s="93">
        <f t="shared" ca="1" si="21"/>
        <v>1566744</v>
      </c>
      <c r="M33" s="93">
        <f t="shared" si="21"/>
        <v>0</v>
      </c>
      <c r="N33" s="93">
        <f t="shared" si="21"/>
        <v>0</v>
      </c>
      <c r="O33" s="93">
        <f t="shared" ca="1" si="17"/>
        <v>0</v>
      </c>
      <c r="P33" s="93">
        <f t="shared" si="18"/>
        <v>0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589" t="s">
        <v>12</v>
      </c>
      <c r="I34" s="269"/>
      <c r="J34" s="269"/>
      <c r="K34" s="465"/>
      <c r="L34" s="465">
        <f t="shared" ref="L34:N34" ca="1" si="22">L35+L36</f>
        <v>0</v>
      </c>
      <c r="M34" s="465">
        <f t="shared" si="22"/>
        <v>0</v>
      </c>
      <c r="N34" s="465">
        <f t="shared" si="22"/>
        <v>0</v>
      </c>
      <c r="O34" s="465">
        <f t="shared" ca="1" si="17"/>
        <v>0</v>
      </c>
      <c r="P34" s="465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2" t="s">
        <v>18</v>
      </c>
      <c r="F35" s="40"/>
      <c r="G35" s="42"/>
      <c r="H35" s="43" t="s">
        <v>12</v>
      </c>
      <c r="I35" s="583"/>
      <c r="J35" s="583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53" t="s">
        <v>24</v>
      </c>
      <c r="B37" s="54"/>
      <c r="C37" s="54"/>
      <c r="D37" s="54"/>
      <c r="E37" s="54"/>
      <c r="F37" s="54"/>
      <c r="G37" s="55"/>
      <c r="H37" s="56"/>
      <c r="I37" s="392"/>
      <c r="J37" s="392"/>
      <c r="K37" s="58"/>
      <c r="L37" s="59">
        <f t="shared" ref="L37:N37" ca="1" si="24">L41+L53+L66+L88+L119+L132+L149+L165+L181+L261+L277+L298+L315+L328+L345+L389+L402</f>
        <v>2944145</v>
      </c>
      <c r="M37" s="59">
        <f t="shared" ca="1" si="24"/>
        <v>1514115</v>
      </c>
      <c r="N37" s="59">
        <f t="shared" ca="1" si="24"/>
        <v>619294.66999999993</v>
      </c>
      <c r="O37" s="59">
        <f t="shared" ca="1" si="17"/>
        <v>21.034788368100074</v>
      </c>
      <c r="P37" s="59">
        <f t="shared" ca="1" si="18"/>
        <v>40.901428887501936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04" t="s">
        <v>27</v>
      </c>
      <c r="C40" s="805"/>
      <c r="D40" s="805"/>
      <c r="E40" s="805"/>
      <c r="F40" s="805"/>
      <c r="G40" s="806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15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564750</v>
      </c>
      <c r="M41" s="85">
        <f t="shared" ca="1" si="25"/>
        <v>284400</v>
      </c>
      <c r="N41" s="85">
        <f t="shared" ca="1" si="25"/>
        <v>120146.77</v>
      </c>
      <c r="O41" s="85">
        <f t="shared" ref="O41:O49" ca="1" si="26">IF(L41&gt;0,N41*100/L41,0)</f>
        <v>21.274328463922089</v>
      </c>
      <c r="P41" s="85">
        <f t="shared" ref="P41:P49" ca="1" si="27">IF(M41&gt;0,N41*100/M41,0)</f>
        <v>42.245699718706049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564750</v>
      </c>
      <c r="M43" s="92">
        <f t="shared" ca="1" si="28"/>
        <v>284400</v>
      </c>
      <c r="N43" s="92">
        <f t="shared" ca="1" si="28"/>
        <v>120146.77</v>
      </c>
      <c r="O43" s="92">
        <f t="shared" ca="1" si="26"/>
        <v>21.274328463922089</v>
      </c>
      <c r="P43" s="92">
        <f t="shared" ca="1" si="27"/>
        <v>42.245699718706049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589" t="s">
        <v>12</v>
      </c>
      <c r="I44" s="269"/>
      <c r="J44" s="269"/>
      <c r="K44" s="465"/>
      <c r="L44" s="465">
        <f t="shared" ref="L44:N44" ca="1" si="29">L45+L46</f>
        <v>564750</v>
      </c>
      <c r="M44" s="465">
        <f t="shared" ca="1" si="29"/>
        <v>284400</v>
      </c>
      <c r="N44" s="465">
        <f t="shared" ca="1" si="29"/>
        <v>120146.77</v>
      </c>
      <c r="O44" s="465">
        <f t="shared" ca="1" si="26"/>
        <v>21.274328463922089</v>
      </c>
      <c r="P44" s="465">
        <f t="shared" ca="1" si="27"/>
        <v>42.245699718706049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2" t="s">
        <v>18</v>
      </c>
      <c r="F45" s="40"/>
      <c r="G45" s="42"/>
      <c r="H45" s="43" t="s">
        <v>12</v>
      </c>
      <c r="I45" s="583"/>
      <c r="J45" s="583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2" t="s">
        <v>19</v>
      </c>
      <c r="F46" s="40"/>
      <c r="G46" s="42"/>
      <c r="H46" s="43" t="s">
        <v>12</v>
      </c>
      <c r="I46" s="583"/>
      <c r="J46" s="583"/>
      <c r="K46" s="93"/>
      <c r="L46" s="93">
        <f ca="1">IFERROR(__xludf.DUMMYFUNCTION("IMPORTRANGE(""https://docs.google.com/spreadsheets/d/1MeEWN-I1oV_STSDYn1IFDPWt_1FKiwhDph83XaGc0o0/edit?usp=sharing"",""งบพรบ!M21"")"),564750)</f>
        <v>564750</v>
      </c>
      <c r="M46" s="93">
        <f ca="1">IFERROR(__xludf.DUMMYFUNCTION("IMPORTRANGE(""https://docs.google.com/spreadsheets/d/1MeEWN-I1oV_STSDYn1IFDPWt_1FKiwhDph83XaGc0o0/edit?usp=sharing"",""งบพรบ!R21"")"),284400)</f>
        <v>284400</v>
      </c>
      <c r="N46" s="93">
        <f ca="1">IFERROR(__xludf.DUMMYFUNCTION("IMPORTRANGE(""https://docs.google.com/spreadsheets/d/1MeEWN-I1oV_STSDYn1IFDPWt_1FKiwhDph83XaGc0o0/edit?usp=sharing"",""งบพรบ!T21"")"),120146.77)</f>
        <v>120146.77</v>
      </c>
      <c r="O46" s="93">
        <f t="shared" ca="1" si="26"/>
        <v>21.274328463922089</v>
      </c>
      <c r="P46" s="93">
        <f t="shared" ca="1" si="27"/>
        <v>42.245699718706049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589" t="s">
        <v>12</v>
      </c>
      <c r="I47" s="269"/>
      <c r="J47" s="269"/>
      <c r="K47" s="465"/>
      <c r="L47" s="465">
        <f t="shared" ref="L47:N47" ca="1" si="30">L48+L49</f>
        <v>0</v>
      </c>
      <c r="M47" s="465">
        <f t="shared" ca="1" si="30"/>
        <v>0</v>
      </c>
      <c r="N47" s="465">
        <f t="shared" ca="1" si="30"/>
        <v>0</v>
      </c>
      <c r="O47" s="465">
        <f t="shared" ca="1" si="26"/>
        <v>0</v>
      </c>
      <c r="P47" s="465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2" t="s">
        <v>18</v>
      </c>
      <c r="F48" s="40"/>
      <c r="G48" s="42"/>
      <c r="H48" s="43" t="s">
        <v>12</v>
      </c>
      <c r="I48" s="583"/>
      <c r="J48" s="583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IFERROR(__xludf.DUMMYFUNCTION("IMPORTRANGE(""https://docs.google.com/spreadsheets/d/1MeEWN-I1oV_STSDYn1IFDPWt_1FKiwhDph83XaGc0o0/edit?usp=sharing"",""งบพรบ!P21"")"),0)</f>
        <v>0</v>
      </c>
      <c r="M49" s="52">
        <f ca="1">IFERROR(__xludf.DUMMYFUNCTION("IMPORTRANGE(""https://docs.google.com/spreadsheets/d/1MeEWN-I1oV_STSDYn1IFDPWt_1FKiwhDph83XaGc0o0/edit?usp=sharing"",""งบพรบ!S21"")"),0)</f>
        <v>0</v>
      </c>
      <c r="N49" s="52">
        <f ca="1">IFERROR(__xludf.DUMMYFUNCTION("IMPORTRANGE(""https://docs.google.com/spreadsheets/d/1MeEWN-I1oV_STSDYn1IFDPWt_1FKiwhDph83XaGc0o0/edit?usp=sharing"",""งบพรบ!U21"")"),0)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07" t="s">
        <v>28</v>
      </c>
      <c r="B50" s="797"/>
      <c r="C50" s="797"/>
      <c r="D50" s="797"/>
      <c r="E50" s="797"/>
      <c r="F50" s="797"/>
      <c r="G50" s="795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08" t="s">
        <v>29</v>
      </c>
      <c r="C51" s="805"/>
      <c r="D51" s="805"/>
      <c r="E51" s="805"/>
      <c r="F51" s="805"/>
      <c r="G51" s="806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16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660900</v>
      </c>
      <c r="M53" s="116">
        <f t="shared" ca="1" si="31"/>
        <v>330450</v>
      </c>
      <c r="N53" s="116">
        <f t="shared" ca="1" si="31"/>
        <v>209689.22</v>
      </c>
      <c r="O53" s="116">
        <f t="shared" ref="O53:O61" ca="1" si="32">IF(L53&gt;0,N53*100/L53,0)</f>
        <v>31.727828718414283</v>
      </c>
      <c r="P53" s="116">
        <f t="shared" ref="P53:P61" ca="1" si="33">IF(M53&gt;0,N53*100/M53,0)</f>
        <v>63.455657436828567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660900</v>
      </c>
      <c r="M55" s="123">
        <f t="shared" ca="1" si="34"/>
        <v>330450</v>
      </c>
      <c r="N55" s="123">
        <f t="shared" ca="1" si="34"/>
        <v>209689.22</v>
      </c>
      <c r="O55" s="123">
        <f t="shared" ca="1" si="32"/>
        <v>31.727828718414283</v>
      </c>
      <c r="P55" s="123">
        <f t="shared" ca="1" si="33"/>
        <v>63.455657436828567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589" t="s">
        <v>12</v>
      </c>
      <c r="I56" s="269"/>
      <c r="J56" s="269"/>
      <c r="K56" s="465"/>
      <c r="L56" s="465">
        <f t="shared" ref="L56:N56" ca="1" si="35">L57+L58</f>
        <v>660900</v>
      </c>
      <c r="M56" s="465">
        <f t="shared" ca="1" si="35"/>
        <v>330450</v>
      </c>
      <c r="N56" s="465">
        <f t="shared" ca="1" si="35"/>
        <v>209689.22</v>
      </c>
      <c r="O56" s="465">
        <f t="shared" ca="1" si="32"/>
        <v>31.727828718414283</v>
      </c>
      <c r="P56" s="465">
        <f t="shared" ca="1" si="33"/>
        <v>63.455657436828567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2" t="s">
        <v>18</v>
      </c>
      <c r="F57" s="40"/>
      <c r="G57" s="42"/>
      <c r="H57" s="43" t="s">
        <v>12</v>
      </c>
      <c r="I57" s="583"/>
      <c r="J57" s="583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2" t="s">
        <v>19</v>
      </c>
      <c r="F58" s="40"/>
      <c r="G58" s="42"/>
      <c r="H58" s="43" t="s">
        <v>12</v>
      </c>
      <c r="I58" s="583"/>
      <c r="J58" s="583"/>
      <c r="K58" s="93"/>
      <c r="L58" s="93">
        <f ca="1">IFERROR(__xludf.DUMMYFUNCTION("IMPORTRANGE(""https://docs.google.com/spreadsheets/d/1MeEWN-I1oV_STSDYn1IFDPWt_1FKiwhDph83XaGc0o0/edit?usp=sharing"",""งบพรบ!W21"")"),660900)</f>
        <v>660900</v>
      </c>
      <c r="M58" s="93">
        <f ca="1">IFERROR(__xludf.DUMMYFUNCTION("IMPORTRANGE(""https://docs.google.com/spreadsheets/d/1MeEWN-I1oV_STSDYn1IFDPWt_1FKiwhDph83XaGc0o0/edit?usp=sharing"",""งบพรบ!AB21"")"),330450)</f>
        <v>330450</v>
      </c>
      <c r="N58" s="93">
        <f ca="1">IFERROR(__xludf.DUMMYFUNCTION("IMPORTRANGE(""https://docs.google.com/spreadsheets/d/1MeEWN-I1oV_STSDYn1IFDPWt_1FKiwhDph83XaGc0o0/edit?usp=sharing"",""งบพรบ!AD21"")"),209689.22)</f>
        <v>209689.22</v>
      </c>
      <c r="O58" s="93">
        <f t="shared" ca="1" si="32"/>
        <v>31.727828718414283</v>
      </c>
      <c r="P58" s="93">
        <f t="shared" ca="1" si="33"/>
        <v>63.455657436828567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589" t="s">
        <v>12</v>
      </c>
      <c r="I59" s="269"/>
      <c r="J59" s="269"/>
      <c r="K59" s="465"/>
      <c r="L59" s="465">
        <f t="shared" ref="L59:N59" ca="1" si="36">L60+L61</f>
        <v>0</v>
      </c>
      <c r="M59" s="465">
        <f t="shared" ca="1" si="36"/>
        <v>0</v>
      </c>
      <c r="N59" s="465">
        <f t="shared" ca="1" si="36"/>
        <v>0</v>
      </c>
      <c r="O59" s="465">
        <f t="shared" ca="1" si="32"/>
        <v>0</v>
      </c>
      <c r="P59" s="465">
        <f t="shared" ca="1" si="33"/>
        <v>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2" t="s">
        <v>18</v>
      </c>
      <c r="F60" s="40"/>
      <c r="G60" s="42"/>
      <c r="H60" s="43" t="s">
        <v>12</v>
      </c>
      <c r="I60" s="583"/>
      <c r="J60" s="583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IFERROR(__xludf.DUMMYFUNCTION("IMPORTRANGE(""https://docs.google.com/spreadsheets/d/1MeEWN-I1oV_STSDYn1IFDPWt_1FKiwhDph83XaGc0o0/edit?usp=sharing"",""งบพรบ!Z21"")"),0)</f>
        <v>0</v>
      </c>
      <c r="M61" s="52">
        <f ca="1">IFERROR(__xludf.DUMMYFUNCTION("IMPORTRANGE(""https://docs.google.com/spreadsheets/d/1MeEWN-I1oV_STSDYn1IFDPWt_1FKiwhDph83XaGc0o0/edit?usp=sharing"",""งบพรบ!AC21"")"),0)</f>
        <v>0</v>
      </c>
      <c r="N61" s="52">
        <f ca="1">IFERROR(__xludf.DUMMYFUNCTION("IMPORTRANGE(""https://docs.google.com/spreadsheets/d/1MeEWN-I1oV_STSDYn1IFDPWt_1FKiwhDph83XaGc0o0/edit?usp=sharing"",""งบพรบ!AE21"")"),0)</f>
        <v>0</v>
      </c>
      <c r="O61" s="52">
        <f t="shared" ca="1" si="32"/>
        <v>0</v>
      </c>
      <c r="P61" s="52">
        <f t="shared" ca="1" si="33"/>
        <v>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 hidden="1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 hidden="1">
      <c r="A64" s="138"/>
      <c r="B64" s="208" t="s">
        <v>33</v>
      </c>
      <c r="C64" s="140"/>
      <c r="D64" s="141"/>
      <c r="E64" s="140"/>
      <c r="F64" s="140"/>
      <c r="G64" s="142"/>
      <c r="H64" s="143" t="s">
        <v>34</v>
      </c>
      <c r="I64" s="144">
        <f t="shared" ref="I64:J65" ca="1" si="37">I76</f>
        <v>0</v>
      </c>
      <c r="J64" s="144">
        <f t="shared" si="37"/>
        <v>0</v>
      </c>
      <c r="K64" s="145">
        <f t="shared" ref="K64:K65" ca="1" si="38">IF(I64&gt;0,J64*100/I64,0)</f>
        <v>0</v>
      </c>
      <c r="L64" s="146"/>
      <c r="M64" s="146"/>
      <c r="N64" s="146"/>
      <c r="O64" s="146"/>
      <c r="P64" s="146"/>
    </row>
    <row r="65" spans="1:26" ht="19.5" hidden="1">
      <c r="A65" s="138"/>
      <c r="B65" s="140"/>
      <c r="C65" s="140"/>
      <c r="D65" s="141"/>
      <c r="E65" s="140"/>
      <c r="F65" s="140"/>
      <c r="G65" s="142"/>
      <c r="H65" s="143" t="s">
        <v>35</v>
      </c>
      <c r="I65" s="144">
        <f t="shared" ca="1" si="37"/>
        <v>0</v>
      </c>
      <c r="J65" s="144">
        <f t="shared" si="37"/>
        <v>0</v>
      </c>
      <c r="K65" s="145">
        <f t="shared" ca="1" si="38"/>
        <v>0</v>
      </c>
      <c r="L65" s="146"/>
      <c r="M65" s="146"/>
      <c r="N65" s="146"/>
      <c r="O65" s="146"/>
      <c r="P65" s="146"/>
    </row>
    <row r="66" spans="1:26" ht="19.5" hidden="1">
      <c r="A66" s="147"/>
      <c r="B66" s="148"/>
      <c r="C66" s="149" t="s">
        <v>16</v>
      </c>
      <c r="D66" s="817" t="s">
        <v>17</v>
      </c>
      <c r="E66" s="148"/>
      <c r="F66" s="148"/>
      <c r="G66" s="151"/>
      <c r="H66" s="152" t="s">
        <v>12</v>
      </c>
      <c r="I66" s="388"/>
      <c r="J66" s="388"/>
      <c r="K66" s="154"/>
      <c r="L66" s="155">
        <f t="shared" ref="L66:N66" ca="1" si="39">L67+L68</f>
        <v>0</v>
      </c>
      <c r="M66" s="155">
        <f t="shared" ca="1" si="39"/>
        <v>0</v>
      </c>
      <c r="N66" s="155">
        <f t="shared" ca="1" si="39"/>
        <v>0</v>
      </c>
      <c r="O66" s="155">
        <f t="shared" ref="O66:O74" ca="1" si="40">IF(L66&gt;0,N66*100/L66,0)</f>
        <v>0</v>
      </c>
      <c r="P66" s="155">
        <f t="shared" ref="P66:P74" ca="1" si="41">IF(M66&gt;0,N66*100/M66,0)</f>
        <v>0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2" t="s">
        <v>18</v>
      </c>
      <c r="F67" s="40"/>
      <c r="G67" s="157"/>
      <c r="H67" s="158" t="s">
        <v>12</v>
      </c>
      <c r="I67" s="583"/>
      <c r="J67" s="583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2" t="s">
        <v>19</v>
      </c>
      <c r="F68" s="40"/>
      <c r="G68" s="157"/>
      <c r="H68" s="158" t="s">
        <v>12</v>
      </c>
      <c r="I68" s="583"/>
      <c r="J68" s="583"/>
      <c r="K68" s="93"/>
      <c r="L68" s="93">
        <f t="shared" ca="1" si="42"/>
        <v>0</v>
      </c>
      <c r="M68" s="93">
        <f t="shared" ca="1" si="42"/>
        <v>0</v>
      </c>
      <c r="N68" s="93">
        <f t="shared" ca="1" si="42"/>
        <v>0</v>
      </c>
      <c r="O68" s="93">
        <f t="shared" ca="1" si="40"/>
        <v>0</v>
      </c>
      <c r="P68" s="93">
        <f t="shared" ca="1" si="41"/>
        <v>0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 hidden="1">
      <c r="A69" s="159"/>
      <c r="B69" s="33"/>
      <c r="C69" s="281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65">
        <f t="shared" ref="L69:N69" ca="1" si="43">L70+L71</f>
        <v>0</v>
      </c>
      <c r="M69" s="465">
        <f t="shared" ca="1" si="43"/>
        <v>0</v>
      </c>
      <c r="N69" s="465">
        <f t="shared" ca="1" si="43"/>
        <v>0</v>
      </c>
      <c r="O69" s="465">
        <f t="shared" ca="1" si="40"/>
        <v>0</v>
      </c>
      <c r="P69" s="465">
        <f t="shared" ca="1" si="41"/>
        <v>0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2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2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IFERROR(__xludf.DUMMYFUNCTION("IMPORTRANGE(""https://docs.google.com/spreadsheets/d/1MeEWN-I1oV_STSDYn1IFDPWt_1FKiwhDph83XaGc0o0/edit?usp=sharing"",""งบพรบ!AG21"")"),0)</f>
        <v>0</v>
      </c>
      <c r="M71" s="93">
        <f ca="1">IFERROR(__xludf.DUMMYFUNCTION("IMPORTRANGE(""https://docs.google.com/spreadsheets/d/1MeEWN-I1oV_STSDYn1IFDPWt_1FKiwhDph83XaGc0o0/edit?usp=sharing"",""งบพรบ!AL21"")"),0)</f>
        <v>0</v>
      </c>
      <c r="N71" s="93">
        <f ca="1">IFERROR(__xludf.DUMMYFUNCTION("IMPORTRANGE(""https://docs.google.com/spreadsheets/d/1MeEWN-I1oV_STSDYn1IFDPWt_1FKiwhDph83XaGc0o0/edit?usp=sharing"",""งบพรบ!AN21"")"),0)</f>
        <v>0</v>
      </c>
      <c r="O71" s="93">
        <f t="shared" ca="1" si="40"/>
        <v>0</v>
      </c>
      <c r="P71" s="93">
        <f t="shared" ca="1" si="41"/>
        <v>0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 hidden="1">
      <c r="A72" s="159"/>
      <c r="B72" s="33"/>
      <c r="C72" s="281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65">
        <f t="shared" ref="L72:N72" ca="1" si="44">L73+L74</f>
        <v>0</v>
      </c>
      <c r="M72" s="465">
        <f t="shared" ca="1" si="44"/>
        <v>0</v>
      </c>
      <c r="N72" s="465">
        <f t="shared" ca="1" si="44"/>
        <v>0</v>
      </c>
      <c r="O72" s="465">
        <f t="shared" ca="1" si="40"/>
        <v>0</v>
      </c>
      <c r="P72" s="465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2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2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IFERROR(__xludf.DUMMYFUNCTION("IMPORTRANGE(""https://docs.google.com/spreadsheets/d/1MeEWN-I1oV_STSDYn1IFDPWt_1FKiwhDph83XaGc0o0/edit?usp=sharing"",""งบพรบ!AJ21"")"),0)</f>
        <v>0</v>
      </c>
      <c r="M74" s="93">
        <f ca="1">IFERROR(__xludf.DUMMYFUNCTION("IMPORTRANGE(""https://docs.google.com/spreadsheets/d/1MeEWN-I1oV_STSDYn1IFDPWt_1FKiwhDph83XaGc0o0/edit?usp=sharing"",""งบพรบ!AM21"")"),0)</f>
        <v>0</v>
      </c>
      <c r="N74" s="93">
        <f ca="1">IFERROR(__xludf.DUMMYFUNCTION("IMPORTRANGE(""https://docs.google.com/spreadsheets/d/1MeEWN-I1oV_STSDYn1IFDPWt_1FKiwhDph83XaGc0o0/edit?usp=sharing"",""งบพรบ!AO21"")"),0)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 hidden="1">
      <c r="A75" s="170"/>
      <c r="B75" s="171"/>
      <c r="C75" s="164" t="s">
        <v>16</v>
      </c>
      <c r="D75" s="818" t="s">
        <v>38</v>
      </c>
      <c r="E75" s="173"/>
      <c r="F75" s="173"/>
      <c r="G75" s="174"/>
      <c r="H75" s="726"/>
      <c r="I75" s="184"/>
      <c r="J75" s="184"/>
      <c r="K75" s="163"/>
      <c r="L75" s="163"/>
      <c r="M75" s="163"/>
      <c r="N75" s="163"/>
      <c r="O75" s="163"/>
      <c r="P75" s="163"/>
    </row>
    <row r="76" spans="1:26" ht="19.5" hidden="1">
      <c r="A76" s="170"/>
      <c r="B76" s="171"/>
      <c r="C76" s="171"/>
      <c r="D76" s="343" t="s">
        <v>39</v>
      </c>
      <c r="E76" s="415"/>
      <c r="F76" s="342"/>
      <c r="G76" s="179"/>
      <c r="H76" s="180" t="s">
        <v>34</v>
      </c>
      <c r="I76" s="269">
        <f t="shared" ref="I76:J77" ca="1" si="45">I78+I80+I82</f>
        <v>0</v>
      </c>
      <c r="J76" s="269">
        <f t="shared" si="45"/>
        <v>0</v>
      </c>
      <c r="K76" s="163">
        <f t="shared" ref="K76:K84" ca="1" si="46">IF(I76&gt;0,J76*100/I76,0)</f>
        <v>0</v>
      </c>
      <c r="L76" s="163"/>
      <c r="M76" s="163"/>
      <c r="N76" s="163"/>
      <c r="O76" s="163"/>
      <c r="P76" s="163"/>
    </row>
    <row r="77" spans="1:26" ht="19.5" hidden="1">
      <c r="A77" s="170"/>
      <c r="B77" s="171"/>
      <c r="C77" s="171"/>
      <c r="D77" s="171"/>
      <c r="E77" s="342"/>
      <c r="F77" s="342"/>
      <c r="G77" s="179"/>
      <c r="H77" s="180" t="s">
        <v>35</v>
      </c>
      <c r="I77" s="269">
        <f t="shared" ca="1" si="45"/>
        <v>0</v>
      </c>
      <c r="J77" s="269">
        <f t="shared" si="45"/>
        <v>0</v>
      </c>
      <c r="K77" s="163">
        <f t="shared" ca="1" si="46"/>
        <v>0</v>
      </c>
      <c r="L77" s="163"/>
      <c r="M77" s="163"/>
      <c r="N77" s="163"/>
      <c r="O77" s="163"/>
      <c r="P77" s="163"/>
    </row>
    <row r="78" spans="1:26" ht="18.75" hidden="1">
      <c r="A78" s="170"/>
      <c r="B78" s="171"/>
      <c r="C78" s="171"/>
      <c r="D78" s="171"/>
      <c r="E78" s="415" t="s">
        <v>40</v>
      </c>
      <c r="F78" s="415"/>
      <c r="G78" s="179"/>
      <c r="H78" s="728" t="s">
        <v>34</v>
      </c>
      <c r="I78" s="184">
        <f ca="1">IFERROR(__xludf.DUMMYFUNCTION("IMPORTRANGE(""https://docs.google.com/spreadsheets/d/1QqKyyYR6Q21VydFLVH3TRQUabQu_ym0Zz7PgGX0-kHA/edit?usp=sharing"",""แผน!H21"")"),0)</f>
        <v>0</v>
      </c>
      <c r="J78" s="214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 hidden="1">
      <c r="A79" s="170"/>
      <c r="B79" s="171"/>
      <c r="C79" s="171"/>
      <c r="D79" s="171"/>
      <c r="E79" s="342"/>
      <c r="F79" s="342"/>
      <c r="G79" s="179"/>
      <c r="H79" s="728" t="s">
        <v>35</v>
      </c>
      <c r="I79" s="184">
        <f ca="1">IFERROR(__xludf.DUMMYFUNCTION("IMPORTRANGE(""https://docs.google.com/spreadsheets/d/1QqKyyYR6Q21VydFLVH3TRQUabQu_ym0Zz7PgGX0-kHA/edit?usp=sharing"",""แผน!I21"")"),0)</f>
        <v>0</v>
      </c>
      <c r="J79" s="214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 hidden="1">
      <c r="A80" s="170"/>
      <c r="B80" s="171"/>
      <c r="C80" s="171"/>
      <c r="D80" s="171"/>
      <c r="E80" s="415" t="s">
        <v>41</v>
      </c>
      <c r="F80" s="415"/>
      <c r="G80" s="179"/>
      <c r="H80" s="728" t="s">
        <v>34</v>
      </c>
      <c r="I80" s="184">
        <f ca="1">IFERROR(__xludf.DUMMYFUNCTION("IMPORTRANGE(""https://docs.google.com/spreadsheets/d/1QqKyyYR6Q21VydFLVH3TRQUabQu_ym0Zz7PgGX0-kHA/edit?usp=sharing"",""แผน!F21"")"),0)</f>
        <v>0</v>
      </c>
      <c r="J80" s="214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 hidden="1">
      <c r="A81" s="170"/>
      <c r="B81" s="171"/>
      <c r="C81" s="171"/>
      <c r="D81" s="171"/>
      <c r="E81" s="342"/>
      <c r="F81" s="342"/>
      <c r="G81" s="179"/>
      <c r="H81" s="728" t="s">
        <v>35</v>
      </c>
      <c r="I81" s="184">
        <f ca="1">IFERROR(__xludf.DUMMYFUNCTION("IMPORTRANGE(""https://docs.google.com/spreadsheets/d/1QqKyyYR6Q21VydFLVH3TRQUabQu_ym0Zz7PgGX0-kHA/edit?usp=sharing"",""แผน!G21"")"),0)</f>
        <v>0</v>
      </c>
      <c r="J81" s="214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 hidden="1">
      <c r="A82" s="170"/>
      <c r="B82" s="171"/>
      <c r="C82" s="171"/>
      <c r="D82" s="171"/>
      <c r="E82" s="415" t="s">
        <v>42</v>
      </c>
      <c r="F82" s="415"/>
      <c r="G82" s="179"/>
      <c r="H82" s="728" t="s">
        <v>34</v>
      </c>
      <c r="I82" s="184">
        <f ca="1">IFERROR(__xludf.DUMMYFUNCTION("IMPORTRANGE(""https://docs.google.com/spreadsheets/d/1QqKyyYR6Q21VydFLVH3TRQUabQu_ym0Zz7PgGX0-kHA/edit?usp=sharing"",""แผน!D21"")"),0)</f>
        <v>0</v>
      </c>
      <c r="J82" s="214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 hidden="1">
      <c r="A83" s="170"/>
      <c r="B83" s="171"/>
      <c r="C83" s="171"/>
      <c r="D83" s="171"/>
      <c r="E83" s="342"/>
      <c r="F83" s="342"/>
      <c r="G83" s="179"/>
      <c r="H83" s="728" t="s">
        <v>35</v>
      </c>
      <c r="I83" s="184">
        <f ca="1">IFERROR(__xludf.DUMMYFUNCTION("IMPORTRANGE(""https://docs.google.com/spreadsheets/d/1QqKyyYR6Q21VydFLVH3TRQUabQu_ym0Zz7PgGX0-kHA/edit?usp=sharing"",""แผน!E21"")"),0)</f>
        <v>0</v>
      </c>
      <c r="J83" s="214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 hidden="1">
      <c r="A84" s="170"/>
      <c r="B84" s="171"/>
      <c r="C84" s="171"/>
      <c r="D84" s="343" t="s">
        <v>43</v>
      </c>
      <c r="E84" s="415"/>
      <c r="F84" s="342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IFERROR(__xludf.DUMMYFUNCTION("IMPORTRANGE(""https://docs.google.com/spreadsheets/d/1QqKyyYR6Q21VydFLVH3TRQUabQu_ym0Zz7PgGX0-kHA/edit?usp=sharing"",""แผน!J21"")"),0)</f>
        <v>0</v>
      </c>
      <c r="J84" s="214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8" t="s">
        <v>45</v>
      </c>
      <c r="C86" s="140"/>
      <c r="D86" s="141"/>
      <c r="E86" s="140"/>
      <c r="F86" s="140"/>
      <c r="G86" s="142"/>
      <c r="H86" s="143" t="s">
        <v>46</v>
      </c>
      <c r="I86" s="144">
        <f t="shared" ref="I86:J87" ca="1" si="47">I98</f>
        <v>30</v>
      </c>
      <c r="J86" s="144">
        <f t="shared" si="47"/>
        <v>0</v>
      </c>
      <c r="K86" s="145">
        <f t="shared" ref="K86:K87" ca="1" si="48">IF(I86&gt;0,J86*100/I86,0)</f>
        <v>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143" t="s">
        <v>35</v>
      </c>
      <c r="I87" s="144">
        <f t="shared" ca="1" si="47"/>
        <v>10</v>
      </c>
      <c r="J87" s="144">
        <f t="shared" si="47"/>
        <v>0</v>
      </c>
      <c r="K87" s="145">
        <f t="shared" ca="1" si="48"/>
        <v>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17" t="s">
        <v>17</v>
      </c>
      <c r="E88" s="148"/>
      <c r="F88" s="148"/>
      <c r="G88" s="151"/>
      <c r="H88" s="152" t="s">
        <v>12</v>
      </c>
      <c r="I88" s="388"/>
      <c r="J88" s="388"/>
      <c r="K88" s="154"/>
      <c r="L88" s="155">
        <f t="shared" ref="L88:N88" ca="1" si="49">L89+L90</f>
        <v>85840</v>
      </c>
      <c r="M88" s="155">
        <f t="shared" ca="1" si="49"/>
        <v>21840</v>
      </c>
      <c r="N88" s="155">
        <f t="shared" ca="1" si="49"/>
        <v>0</v>
      </c>
      <c r="O88" s="155">
        <f t="shared" ref="O88:O96" ca="1" si="50">IF(L88&gt;0,N88*100/L88,0)</f>
        <v>0</v>
      </c>
      <c r="P88" s="155">
        <f t="shared" ref="P88:P96" ca="1" si="51">IF(M88&gt;0,N88*100/M88,0)</f>
        <v>0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2" t="s">
        <v>18</v>
      </c>
      <c r="F89" s="40"/>
      <c r="G89" s="157"/>
      <c r="H89" s="158" t="s">
        <v>12</v>
      </c>
      <c r="I89" s="583"/>
      <c r="J89" s="583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2" t="s">
        <v>19</v>
      </c>
      <c r="F90" s="40"/>
      <c r="G90" s="157"/>
      <c r="H90" s="158" t="s">
        <v>12</v>
      </c>
      <c r="I90" s="583"/>
      <c r="J90" s="583"/>
      <c r="K90" s="93"/>
      <c r="L90" s="93">
        <f t="shared" ca="1" si="52"/>
        <v>85840</v>
      </c>
      <c r="M90" s="93">
        <f t="shared" ca="1" si="52"/>
        <v>21840</v>
      </c>
      <c r="N90" s="93">
        <f t="shared" ca="1" si="52"/>
        <v>0</v>
      </c>
      <c r="O90" s="93">
        <f t="shared" ca="1" si="50"/>
        <v>0</v>
      </c>
      <c r="P90" s="93">
        <f t="shared" ca="1" si="51"/>
        <v>0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1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65">
        <f t="shared" ref="L91:N91" ca="1" si="53">L92+L93</f>
        <v>85840</v>
      </c>
      <c r="M91" s="465">
        <f t="shared" ca="1" si="53"/>
        <v>21840</v>
      </c>
      <c r="N91" s="465">
        <f t="shared" ca="1" si="53"/>
        <v>0</v>
      </c>
      <c r="O91" s="465">
        <f t="shared" ca="1" si="50"/>
        <v>0</v>
      </c>
      <c r="P91" s="465">
        <f t="shared" ca="1" si="51"/>
        <v>0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2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2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IFERROR(__xludf.DUMMYFUNCTION("IMPORTRANGE(""https://docs.google.com/spreadsheets/d/1MeEWN-I1oV_STSDYn1IFDPWt_1FKiwhDph83XaGc0o0/edit?usp=sharing"",""งบพรบ!AQ21"")"),85840)</f>
        <v>85840</v>
      </c>
      <c r="M93" s="93">
        <f ca="1">IFERROR(__xludf.DUMMYFUNCTION("IMPORTRANGE(""https://docs.google.com/spreadsheets/d/1MeEWN-I1oV_STSDYn1IFDPWt_1FKiwhDph83XaGc0o0/edit?usp=sharing"",""งบพรบ!AV21"")"),21840)</f>
        <v>21840</v>
      </c>
      <c r="N93" s="93">
        <f ca="1">IFERROR(__xludf.DUMMYFUNCTION("IMPORTRANGE(""https://docs.google.com/spreadsheets/d/1MeEWN-I1oV_STSDYn1IFDPWt_1FKiwhDph83XaGc0o0/edit?usp=sharing"",""งบพรบ!AX21"")"),0)</f>
        <v>0</v>
      </c>
      <c r="O93" s="93">
        <f t="shared" ca="1" si="50"/>
        <v>0</v>
      </c>
      <c r="P93" s="93">
        <f t="shared" ca="1" si="51"/>
        <v>0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1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65">
        <f t="shared" ref="L94:N94" ca="1" si="54">L95+L96</f>
        <v>0</v>
      </c>
      <c r="M94" s="465">
        <f t="shared" ca="1" si="54"/>
        <v>0</v>
      </c>
      <c r="N94" s="465">
        <f t="shared" ca="1" si="54"/>
        <v>0</v>
      </c>
      <c r="O94" s="465">
        <f t="shared" ca="1" si="50"/>
        <v>0</v>
      </c>
      <c r="P94" s="465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2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2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IFERROR(__xludf.DUMMYFUNCTION("IMPORTRANGE(""https://docs.google.com/spreadsheets/d/1MeEWN-I1oV_STSDYn1IFDPWt_1FKiwhDph83XaGc0o0/edit?usp=sharing"",""งบพรบ!AT21"")"),0)</f>
        <v>0</v>
      </c>
      <c r="M96" s="93">
        <f ca="1">IFERROR(__xludf.DUMMYFUNCTION("IMPORTRANGE(""https://docs.google.com/spreadsheets/d/1MeEWN-I1oV_STSDYn1IFDPWt_1FKiwhDph83XaGc0o0/edit?usp=sharing"",""งบพรบ!AW21"")"),0)</f>
        <v>0</v>
      </c>
      <c r="N96" s="93">
        <f ca="1">IFERROR(__xludf.DUMMYFUNCTION("IMPORTRANGE(""https://docs.google.com/spreadsheets/d/1MeEWN-I1oV_STSDYn1IFDPWt_1FKiwhDph83XaGc0o0/edit?usp=sharing"",""งบพรบ!AY21"")"),0)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18" t="s">
        <v>38</v>
      </c>
      <c r="E97" s="173"/>
      <c r="F97" s="173"/>
      <c r="G97" s="174"/>
      <c r="H97" s="726"/>
      <c r="I97" s="184"/>
      <c r="J97" s="269"/>
      <c r="K97" s="465"/>
      <c r="L97" s="465"/>
      <c r="M97" s="465"/>
      <c r="N97" s="465"/>
      <c r="O97" s="163"/>
      <c r="P97" s="163"/>
    </row>
    <row r="98" spans="1:16" ht="18.75">
      <c r="A98" s="170"/>
      <c r="B98" s="171"/>
      <c r="C98" s="171"/>
      <c r="D98" s="415" t="s">
        <v>47</v>
      </c>
      <c r="E98" s="415"/>
      <c r="F98" s="342"/>
      <c r="G98" s="179"/>
      <c r="H98" s="589" t="s">
        <v>46</v>
      </c>
      <c r="I98" s="269">
        <f ca="1">IFERROR(__xludf.DUMMYFUNCTION("IMPORTRANGE(""https://docs.google.com/spreadsheets/d/1QqKyyYR6Q21VydFLVH3TRQUabQu_ym0Zz7PgGX0-kHA/edit?usp=sharing"",""แผน!K21"")"),30)</f>
        <v>30</v>
      </c>
      <c r="J98" s="269">
        <f>J102</f>
        <v>0</v>
      </c>
      <c r="K98" s="465">
        <f t="shared" ref="K98:K100" ca="1" si="55">IF(I98&gt;0,J98*100/I98,0)</f>
        <v>0</v>
      </c>
      <c r="L98" s="465"/>
      <c r="M98" s="465"/>
      <c r="N98" s="465"/>
      <c r="O98" s="163"/>
      <c r="P98" s="163"/>
    </row>
    <row r="99" spans="1:16" ht="18.75">
      <c r="A99" s="170"/>
      <c r="B99" s="171"/>
      <c r="C99" s="171"/>
      <c r="D99" s="415" t="s">
        <v>48</v>
      </c>
      <c r="E99" s="415"/>
      <c r="F99" s="342"/>
      <c r="G99" s="179"/>
      <c r="H99" s="589" t="s">
        <v>35</v>
      </c>
      <c r="I99" s="269">
        <f ca="1">IFERROR(__xludf.DUMMYFUNCTION("IMPORTRANGE(""https://docs.google.com/spreadsheets/d/1QqKyyYR6Q21VydFLVH3TRQUabQu_ym0Zz7PgGX0-kHA/edit?usp=sharing"",""แผน!L21"")"),10)</f>
        <v>10</v>
      </c>
      <c r="J99" s="269">
        <f>J104</f>
        <v>0</v>
      </c>
      <c r="K99" s="465">
        <f t="shared" ca="1" si="55"/>
        <v>0</v>
      </c>
      <c r="L99" s="465"/>
      <c r="M99" s="465"/>
      <c r="N99" s="465"/>
      <c r="O99" s="163"/>
      <c r="P99" s="163"/>
    </row>
    <row r="100" spans="1:16" ht="18.75">
      <c r="A100" s="170"/>
      <c r="B100" s="171"/>
      <c r="C100" s="171"/>
      <c r="D100" s="171"/>
      <c r="E100" s="342"/>
      <c r="F100" s="342"/>
      <c r="G100" s="179"/>
      <c r="H100" s="589" t="s">
        <v>49</v>
      </c>
      <c r="I100" s="269">
        <f ca="1">IFERROR(__xludf.DUMMYFUNCTION("IMPORTRANGE(""https://docs.google.com/spreadsheets/d/1QqKyyYR6Q21VydFLVH3TRQUabQu_ym0Zz7PgGX0-kHA/edit?usp=sharing"",""แผน!M21"")"),2)</f>
        <v>2</v>
      </c>
      <c r="J100" s="269">
        <f>J107+J110</f>
        <v>0</v>
      </c>
      <c r="K100" s="465">
        <f t="shared" ca="1" si="55"/>
        <v>0</v>
      </c>
      <c r="L100" s="465"/>
      <c r="M100" s="465"/>
      <c r="N100" s="465"/>
      <c r="O100" s="163"/>
      <c r="P100" s="163"/>
    </row>
    <row r="101" spans="1:16" ht="19.5">
      <c r="A101" s="170"/>
      <c r="B101" s="171"/>
      <c r="C101" s="171"/>
      <c r="D101" s="342"/>
      <c r="E101" s="191" t="s">
        <v>50</v>
      </c>
      <c r="F101" s="342"/>
      <c r="G101" s="179"/>
      <c r="H101" s="589"/>
      <c r="I101" s="269"/>
      <c r="J101" s="269"/>
      <c r="K101" s="465"/>
      <c r="L101" s="465"/>
      <c r="M101" s="465"/>
      <c r="N101" s="465"/>
      <c r="O101" s="163"/>
      <c r="P101" s="163"/>
    </row>
    <row r="102" spans="1:16" ht="18.75">
      <c r="A102" s="170"/>
      <c r="B102" s="171"/>
      <c r="C102" s="171"/>
      <c r="D102" s="342"/>
      <c r="E102" s="592" t="s">
        <v>47</v>
      </c>
      <c r="F102" s="342"/>
      <c r="G102" s="179"/>
      <c r="H102" s="589" t="s">
        <v>46</v>
      </c>
      <c r="I102" s="269">
        <f ca="1">IFERROR(__xludf.DUMMYFUNCTION("IMPORTRANGE(""https://docs.google.com/spreadsheets/d/1QqKyyYR6Q21VydFLVH3TRQUabQu_ym0Zz7PgGX0-kHA/edit?usp=sharing"",""แผน!N21"")"),30)</f>
        <v>30</v>
      </c>
      <c r="J102" s="214">
        <v>0</v>
      </c>
      <c r="K102" s="465">
        <f t="shared" ref="K102:K104" ca="1" si="56">IF(I102&gt;0,J102*100/I102,0)</f>
        <v>0</v>
      </c>
      <c r="L102" s="465"/>
      <c r="M102" s="465"/>
      <c r="N102" s="465"/>
      <c r="O102" s="163"/>
      <c r="P102" s="163"/>
    </row>
    <row r="103" spans="1:16" ht="19.5">
      <c r="A103" s="170"/>
      <c r="B103" s="171"/>
      <c r="C103" s="171"/>
      <c r="D103" s="342"/>
      <c r="E103" s="415" t="s">
        <v>51</v>
      </c>
      <c r="F103" s="342"/>
      <c r="G103" s="179"/>
      <c r="H103" s="589" t="s">
        <v>35</v>
      </c>
      <c r="I103" s="269">
        <f ca="1">IFERROR(__xludf.DUMMYFUNCTION("IMPORTRANGE(""https://docs.google.com/spreadsheets/d/1QqKyyYR6Q21VydFLVH3TRQUabQu_ym0Zz7PgGX0-kHA/edit?usp=sharing"",""แผน!O21"")"),10)</f>
        <v>10</v>
      </c>
      <c r="J103" s="214">
        <v>0</v>
      </c>
      <c r="K103" s="465">
        <f t="shared" ca="1" si="56"/>
        <v>0</v>
      </c>
      <c r="L103" s="465"/>
      <c r="M103" s="465"/>
      <c r="N103" s="465"/>
      <c r="O103" s="163"/>
      <c r="P103" s="163"/>
    </row>
    <row r="104" spans="1:16" ht="18.75">
      <c r="A104" s="170"/>
      <c r="B104" s="171"/>
      <c r="C104" s="171"/>
      <c r="D104" s="342"/>
      <c r="E104" s="188" t="s">
        <v>52</v>
      </c>
      <c r="F104" s="342"/>
      <c r="G104" s="179"/>
      <c r="H104" s="589" t="s">
        <v>35</v>
      </c>
      <c r="I104" s="269">
        <f ca="1">IFERROR(__xludf.DUMMYFUNCTION("IMPORTRANGE(""https://docs.google.com/spreadsheets/d/1QqKyyYR6Q21VydFLVH3TRQUabQu_ym0Zz7PgGX0-kHA/edit?usp=sharing"",""แผน!O21"")"),10)</f>
        <v>10</v>
      </c>
      <c r="J104" s="214">
        <v>0</v>
      </c>
      <c r="K104" s="465">
        <f t="shared" ca="1" si="56"/>
        <v>0</v>
      </c>
      <c r="L104" s="465"/>
      <c r="M104" s="465"/>
      <c r="N104" s="465"/>
      <c r="O104" s="163"/>
      <c r="P104" s="163"/>
    </row>
    <row r="105" spans="1:16" ht="19.5">
      <c r="A105" s="170"/>
      <c r="B105" s="171"/>
      <c r="C105" s="171"/>
      <c r="D105" s="342"/>
      <c r="E105" s="191" t="s">
        <v>53</v>
      </c>
      <c r="F105" s="342"/>
      <c r="G105" s="179"/>
      <c r="H105" s="189"/>
      <c r="I105" s="269"/>
      <c r="J105" s="269"/>
      <c r="K105" s="465"/>
      <c r="L105" s="465"/>
      <c r="M105" s="465"/>
      <c r="N105" s="465"/>
      <c r="O105" s="163"/>
      <c r="P105" s="163"/>
    </row>
    <row r="106" spans="1:16" ht="19.5">
      <c r="A106" s="170"/>
      <c r="B106" s="171"/>
      <c r="C106" s="171"/>
      <c r="D106" s="342"/>
      <c r="E106" s="415" t="s">
        <v>54</v>
      </c>
      <c r="F106" s="342"/>
      <c r="G106" s="179"/>
      <c r="H106" s="589" t="s">
        <v>49</v>
      </c>
      <c r="I106" s="269">
        <f ca="1">IFERROR(__xludf.DUMMYFUNCTION("IMPORTRANGE(""https://docs.google.com/spreadsheets/d/1QqKyyYR6Q21VydFLVH3TRQUabQu_ym0Zz7PgGX0-kHA/edit?usp=sharing"",""แผน!P21"")"),1)</f>
        <v>1</v>
      </c>
      <c r="J106" s="214">
        <v>0</v>
      </c>
      <c r="K106" s="465">
        <f t="shared" ref="K106:K107" ca="1" si="57">IF(I106&gt;0,J106*100/I106,0)</f>
        <v>0</v>
      </c>
      <c r="L106" s="465"/>
      <c r="M106" s="465"/>
      <c r="N106" s="465"/>
      <c r="O106" s="163"/>
      <c r="P106" s="163"/>
    </row>
    <row r="107" spans="1:16" ht="18.75">
      <c r="A107" s="170"/>
      <c r="B107" s="171"/>
      <c r="C107" s="171"/>
      <c r="D107" s="342"/>
      <c r="E107" s="188" t="s">
        <v>55</v>
      </c>
      <c r="F107" s="342"/>
      <c r="G107" s="179"/>
      <c r="H107" s="589" t="s">
        <v>49</v>
      </c>
      <c r="I107" s="269">
        <f ca="1">IFERROR(__xludf.DUMMYFUNCTION("IMPORTRANGE(""https://docs.google.com/spreadsheets/d/1QqKyyYR6Q21VydFLVH3TRQUabQu_ym0Zz7PgGX0-kHA/edit?usp=sharing"",""แผน!P21"")"),1)</f>
        <v>1</v>
      </c>
      <c r="J107" s="214">
        <v>0</v>
      </c>
      <c r="K107" s="465">
        <f t="shared" ca="1" si="57"/>
        <v>0</v>
      </c>
      <c r="L107" s="465"/>
      <c r="M107" s="465"/>
      <c r="N107" s="465"/>
      <c r="O107" s="163"/>
      <c r="P107" s="163"/>
    </row>
    <row r="108" spans="1:16" ht="19.5">
      <c r="A108" s="170"/>
      <c r="B108" s="171"/>
      <c r="C108" s="171"/>
      <c r="D108" s="342"/>
      <c r="E108" s="191" t="s">
        <v>56</v>
      </c>
      <c r="F108" s="342"/>
      <c r="G108" s="179"/>
      <c r="H108" s="189"/>
      <c r="I108" s="269"/>
      <c r="J108" s="269"/>
      <c r="K108" s="465"/>
      <c r="L108" s="465"/>
      <c r="M108" s="465"/>
      <c r="N108" s="465"/>
      <c r="O108" s="163"/>
      <c r="P108" s="163"/>
    </row>
    <row r="109" spans="1:16" ht="19.5">
      <c r="A109" s="170"/>
      <c r="B109" s="171"/>
      <c r="C109" s="171"/>
      <c r="D109" s="342"/>
      <c r="E109" s="415" t="s">
        <v>57</v>
      </c>
      <c r="F109" s="342"/>
      <c r="G109" s="179"/>
      <c r="H109" s="589" t="s">
        <v>49</v>
      </c>
      <c r="I109" s="269">
        <f ca="1">IFERROR(__xludf.DUMMYFUNCTION("IMPORTRANGE(""https://docs.google.com/spreadsheets/d/1QqKyyYR6Q21VydFLVH3TRQUabQu_ym0Zz7PgGX0-kHA/edit?usp=sharing"",""แผน!Q21"")"),1)</f>
        <v>1</v>
      </c>
      <c r="J109" s="214">
        <v>0</v>
      </c>
      <c r="K109" s="465">
        <f t="shared" ref="K109:K116" ca="1" si="58">IF(I109&gt;0,J109*100/I109,0)</f>
        <v>0</v>
      </c>
      <c r="L109" s="465"/>
      <c r="M109" s="465"/>
      <c r="N109" s="465"/>
      <c r="O109" s="163"/>
      <c r="P109" s="163"/>
    </row>
    <row r="110" spans="1:16" ht="18.75">
      <c r="A110" s="170"/>
      <c r="B110" s="171"/>
      <c r="C110" s="171"/>
      <c r="D110" s="342"/>
      <c r="E110" s="190" t="s">
        <v>58</v>
      </c>
      <c r="F110" s="342"/>
      <c r="G110" s="179"/>
      <c r="H110" s="589" t="s">
        <v>49</v>
      </c>
      <c r="I110" s="269">
        <f ca="1">IFERROR(__xludf.DUMMYFUNCTION("IMPORTRANGE(""https://docs.google.com/spreadsheets/d/1QqKyyYR6Q21VydFLVH3TRQUabQu_ym0Zz7PgGX0-kHA/edit?usp=sharing"",""แผน!Q21"")"),1)</f>
        <v>1</v>
      </c>
      <c r="J110" s="214">
        <v>0</v>
      </c>
      <c r="K110" s="465">
        <f t="shared" ca="1" si="58"/>
        <v>0</v>
      </c>
      <c r="L110" s="465"/>
      <c r="M110" s="465"/>
      <c r="N110" s="465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342"/>
      <c r="G111" s="179"/>
      <c r="H111" s="731" t="s">
        <v>35</v>
      </c>
      <c r="I111" s="193">
        <f ca="1">IFERROR(__xludf.DUMMYFUNCTION("IMPORTRANGE(""https://docs.google.com/spreadsheets/d/1QqKyyYR6Q21VydFLVH3TRQUabQu_ym0Zz7PgGX0-kHA/edit?usp=sharing"",""แผน!R21"")"),10)</f>
        <v>10</v>
      </c>
      <c r="J111" s="647">
        <f>J114</f>
        <v>0</v>
      </c>
      <c r="K111" s="195">
        <f t="shared" ca="1" si="58"/>
        <v>0</v>
      </c>
      <c r="L111" s="465"/>
      <c r="M111" s="465"/>
      <c r="N111" s="465"/>
      <c r="O111" s="163"/>
      <c r="P111" s="163"/>
    </row>
    <row r="112" spans="1:16" ht="19.5">
      <c r="A112" s="170"/>
      <c r="B112" s="171"/>
      <c r="C112" s="171"/>
      <c r="D112" s="171"/>
      <c r="E112" s="342"/>
      <c r="F112" s="342"/>
      <c r="G112" s="179"/>
      <c r="H112" s="196" t="s">
        <v>49</v>
      </c>
      <c r="I112" s="193">
        <f t="shared" ref="I112:J112" ca="1" si="59">I115+I116</f>
        <v>2</v>
      </c>
      <c r="J112" s="647">
        <f t="shared" si="59"/>
        <v>0</v>
      </c>
      <c r="K112" s="195">
        <f t="shared" ca="1" si="58"/>
        <v>0</v>
      </c>
      <c r="L112" s="465"/>
      <c r="M112" s="465"/>
      <c r="N112" s="465"/>
      <c r="O112" s="163"/>
      <c r="P112" s="163"/>
    </row>
    <row r="113" spans="1:26" ht="19.5">
      <c r="A113" s="170"/>
      <c r="B113" s="171"/>
      <c r="C113" s="171"/>
      <c r="D113" s="171"/>
      <c r="E113" s="494" t="s">
        <v>60</v>
      </c>
      <c r="F113" s="342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IFERROR(__xludf.DUMMYFUNCTION("IMPORTRANGE(""https://docs.google.com/spreadsheets/d/1QqKyyYR6Q21VydFLVH3TRQUabQu_ym0Zz7PgGX0-kHA/edit?usp=sharing"",""แผน!R21"")"),10)</f>
        <v>10</v>
      </c>
      <c r="J113" s="214">
        <v>0</v>
      </c>
      <c r="K113" s="465">
        <f t="shared" ca="1" si="58"/>
        <v>0</v>
      </c>
      <c r="L113" s="465"/>
      <c r="M113" s="465"/>
      <c r="N113" s="465"/>
      <c r="O113" s="163"/>
      <c r="P113" s="163"/>
    </row>
    <row r="114" spans="1:26" ht="19.5">
      <c r="A114" s="170"/>
      <c r="B114" s="171"/>
      <c r="C114" s="171"/>
      <c r="D114" s="171"/>
      <c r="E114" s="415" t="s">
        <v>61</v>
      </c>
      <c r="F114" s="342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IFERROR(__xludf.DUMMYFUNCTION("IMPORTRANGE(""https://docs.google.com/spreadsheets/d/1QqKyyYR6Q21VydFLVH3TRQUabQu_ym0Zz7PgGX0-kHA/edit?usp=sharing"",""แผน!R21"")"),10)</f>
        <v>10</v>
      </c>
      <c r="J114" s="214">
        <v>0</v>
      </c>
      <c r="K114" s="465">
        <f t="shared" ca="1" si="58"/>
        <v>0</v>
      </c>
      <c r="L114" s="465"/>
      <c r="M114" s="465"/>
      <c r="N114" s="465"/>
      <c r="O114" s="163"/>
      <c r="P114" s="163"/>
    </row>
    <row r="115" spans="1:26" ht="18.75">
      <c r="A115" s="170"/>
      <c r="B115" s="171"/>
      <c r="C115" s="171"/>
      <c r="D115" s="171"/>
      <c r="E115" s="415" t="s">
        <v>62</v>
      </c>
      <c r="F115" s="342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IFERROR(__xludf.DUMMYFUNCTION("IMPORTRANGE(""https://docs.google.com/spreadsheets/d/1QqKyyYR6Q21VydFLVH3TRQUabQu_ym0Zz7PgGX0-kHA/edit?usp=sharing"",""แผน!S21"")"),1)</f>
        <v>1</v>
      </c>
      <c r="J115" s="214">
        <v>0</v>
      </c>
      <c r="K115" s="465">
        <f t="shared" ca="1" si="58"/>
        <v>0</v>
      </c>
      <c r="L115" s="465"/>
      <c r="M115" s="465"/>
      <c r="N115" s="465"/>
      <c r="O115" s="163"/>
      <c r="P115" s="163"/>
    </row>
    <row r="116" spans="1:26" ht="18.75">
      <c r="A116" s="170"/>
      <c r="B116" s="171"/>
      <c r="C116" s="171"/>
      <c r="D116" s="171"/>
      <c r="E116" s="415" t="s">
        <v>63</v>
      </c>
      <c r="F116" s="342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IFERROR(__xludf.DUMMYFUNCTION("IMPORTRANGE(""https://docs.google.com/spreadsheets/d/1QqKyyYR6Q21VydFLVH3TRQUabQu_ym0Zz7PgGX0-kHA/edit?usp=sharing"",""แผน!T21"")"),1)</f>
        <v>1</v>
      </c>
      <c r="J116" s="214">
        <v>0</v>
      </c>
      <c r="K116" s="465">
        <f t="shared" ca="1" si="58"/>
        <v>0</v>
      </c>
      <c r="L116" s="465"/>
      <c r="M116" s="465"/>
      <c r="N116" s="465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8" t="s">
        <v>65</v>
      </c>
      <c r="C118" s="204"/>
      <c r="D118" s="141"/>
      <c r="E118" s="140"/>
      <c r="F118" s="140"/>
      <c r="G118" s="142"/>
      <c r="H118" s="143"/>
      <c r="I118" s="205"/>
      <c r="J118" s="205"/>
      <c r="K118" s="146"/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17" t="s">
        <v>17</v>
      </c>
      <c r="E119" s="148"/>
      <c r="F119" s="148"/>
      <c r="G119" s="151"/>
      <c r="H119" s="152" t="s">
        <v>12</v>
      </c>
      <c r="I119" s="388"/>
      <c r="J119" s="388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2" t="s">
        <v>18</v>
      </c>
      <c r="F120" s="40"/>
      <c r="G120" s="157"/>
      <c r="H120" s="158" t="s">
        <v>12</v>
      </c>
      <c r="I120" s="583"/>
      <c r="J120" s="583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2" t="s">
        <v>19</v>
      </c>
      <c r="F121" s="40"/>
      <c r="G121" s="157"/>
      <c r="H121" s="158" t="s">
        <v>12</v>
      </c>
      <c r="I121" s="583"/>
      <c r="J121" s="583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1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65">
        <f t="shared" ref="L122:N122" ca="1" si="64">L123+L124</f>
        <v>0</v>
      </c>
      <c r="M122" s="465">
        <f t="shared" ca="1" si="64"/>
        <v>0</v>
      </c>
      <c r="N122" s="465">
        <f t="shared" ca="1" si="64"/>
        <v>0</v>
      </c>
      <c r="O122" s="465">
        <f t="shared" ca="1" si="61"/>
        <v>0</v>
      </c>
      <c r="P122" s="465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2"/>
      <c r="D123" s="40"/>
      <c r="E123" s="222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2"/>
      <c r="D124" s="40"/>
      <c r="E124" s="222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IFERROR(__xludf.DUMMYFUNCTION("IMPORTRANGE(""https://docs.google.com/spreadsheets/d/1MeEWN-I1oV_STSDYn1IFDPWt_1FKiwhDph83XaGc0o0/edit?usp=sharing"",""งบพรบ!BA21"")"),0)</f>
        <v>0</v>
      </c>
      <c r="M124" s="93">
        <f ca="1">IFERROR(__xludf.DUMMYFUNCTION("IMPORTRANGE(""https://docs.google.com/spreadsheets/d/1MeEWN-I1oV_STSDYn1IFDPWt_1FKiwhDph83XaGc0o0/edit?usp=sharing"",""งบพรบ!BF21"")"),0)</f>
        <v>0</v>
      </c>
      <c r="N124" s="93">
        <f ca="1">IFERROR(__xludf.DUMMYFUNCTION("IMPORTRANGE(""https://docs.google.com/spreadsheets/d/1MeEWN-I1oV_STSDYn1IFDPWt_1FKiwhDph83XaGc0o0/edit?usp=sharing"",""งบพรบ!BH21"")"),0)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1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65">
        <f t="shared" ref="L125:N125" ca="1" si="65">L126+L127</f>
        <v>0</v>
      </c>
      <c r="M125" s="465">
        <f t="shared" ca="1" si="65"/>
        <v>0</v>
      </c>
      <c r="N125" s="465">
        <f t="shared" ca="1" si="65"/>
        <v>0</v>
      </c>
      <c r="O125" s="465">
        <f t="shared" ca="1" si="61"/>
        <v>0</v>
      </c>
      <c r="P125" s="465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2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2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IFERROR(__xludf.DUMMYFUNCTION("IMPORTRANGE(""https://docs.google.com/spreadsheets/d/1MeEWN-I1oV_STSDYn1IFDPWt_1FKiwhDph83XaGc0o0/edit?usp=sharing"",""งบพรบ!BD21"")"),0)</f>
        <v>0</v>
      </c>
      <c r="M127" s="93">
        <f ca="1">IFERROR(__xludf.DUMMYFUNCTION("IMPORTRANGE(""https://docs.google.com/spreadsheets/d/1MeEWN-I1oV_STSDYn1IFDPWt_1FKiwhDph83XaGc0o0/edit?usp=sharing"",""งบพรบ!BG21"")"),0)</f>
        <v>0</v>
      </c>
      <c r="N127" s="93">
        <f ca="1">IFERROR(__xludf.DUMMYFUNCTION("IMPORTRANGE(""https://docs.google.com/spreadsheets/d/1MeEWN-I1oV_STSDYn1IFDPWt_1FKiwhDph83XaGc0o0/edit?usp=sharing"",""งบพรบ!BI21"")"),0)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66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8" t="s">
        <v>67</v>
      </c>
      <c r="C129" s="204"/>
      <c r="D129" s="141"/>
      <c r="E129" s="140"/>
      <c r="F129" s="140"/>
      <c r="G129" s="140"/>
      <c r="H129" s="207"/>
      <c r="I129" s="205"/>
      <c r="J129" s="205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8"/>
      <c r="C130" s="209" t="s">
        <v>68</v>
      </c>
      <c r="D130" s="141"/>
      <c r="E130" s="140"/>
      <c r="F130" s="140"/>
      <c r="G130" s="142"/>
      <c r="H130" s="143" t="s">
        <v>69</v>
      </c>
      <c r="I130" s="144">
        <f t="shared" ref="I130:J130" ca="1" si="66">I146</f>
        <v>0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8"/>
      <c r="C131" s="209" t="s">
        <v>70</v>
      </c>
      <c r="D131" s="141"/>
      <c r="E131" s="140"/>
      <c r="F131" s="140"/>
      <c r="G131" s="142"/>
      <c r="H131" s="143" t="s">
        <v>35</v>
      </c>
      <c r="I131" s="144">
        <f t="shared" ref="I131:J131" ca="1" si="68">I143</f>
        <v>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817" t="s">
        <v>17</v>
      </c>
      <c r="E132" s="148"/>
      <c r="F132" s="148"/>
      <c r="G132" s="151"/>
      <c r="H132" s="152" t="s">
        <v>12</v>
      </c>
      <c r="I132" s="388"/>
      <c r="J132" s="388"/>
      <c r="K132" s="154"/>
      <c r="L132" s="155">
        <f t="shared" ref="L132:N132" ca="1" si="69">L133+L134</f>
        <v>0</v>
      </c>
      <c r="M132" s="155">
        <f t="shared" ca="1" si="69"/>
        <v>0</v>
      </c>
      <c r="N132" s="155">
        <f t="shared" ca="1" si="69"/>
        <v>0</v>
      </c>
      <c r="O132" s="155">
        <f t="shared" ref="O132:O140" ca="1" si="70">IF(L132&gt;0,N132*100/L132,0)</f>
        <v>0</v>
      </c>
      <c r="P132" s="155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2" t="s">
        <v>18</v>
      </c>
      <c r="F133" s="40"/>
      <c r="G133" s="157"/>
      <c r="H133" s="158" t="s">
        <v>12</v>
      </c>
      <c r="I133" s="583"/>
      <c r="J133" s="583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2" t="s">
        <v>19</v>
      </c>
      <c r="F134" s="40"/>
      <c r="G134" s="157"/>
      <c r="H134" s="158" t="s">
        <v>12</v>
      </c>
      <c r="I134" s="583"/>
      <c r="J134" s="583"/>
      <c r="K134" s="93"/>
      <c r="L134" s="93">
        <f t="shared" ca="1" si="72"/>
        <v>0</v>
      </c>
      <c r="M134" s="93">
        <f t="shared" ca="1" si="72"/>
        <v>0</v>
      </c>
      <c r="N134" s="93">
        <f t="shared" ca="1" si="72"/>
        <v>0</v>
      </c>
      <c r="O134" s="93">
        <f t="shared" ca="1" si="70"/>
        <v>0</v>
      </c>
      <c r="P134" s="93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1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65">
        <f t="shared" ref="L135:N135" ca="1" si="73">L136+L137</f>
        <v>0</v>
      </c>
      <c r="M135" s="465">
        <f t="shared" ca="1" si="73"/>
        <v>0</v>
      </c>
      <c r="N135" s="465">
        <f t="shared" ca="1" si="73"/>
        <v>0</v>
      </c>
      <c r="O135" s="465">
        <f t="shared" ca="1" si="70"/>
        <v>0</v>
      </c>
      <c r="P135" s="465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2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2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IFERROR(__xludf.DUMMYFUNCTION("IMPORTRANGE(""https://docs.google.com/spreadsheets/d/1MeEWN-I1oV_STSDYn1IFDPWt_1FKiwhDph83XaGc0o0/edit?usp=sharing"",""งบพรบ!BK21"")"),0)</f>
        <v>0</v>
      </c>
      <c r="M137" s="93">
        <f ca="1">IFERROR(__xludf.DUMMYFUNCTION("IMPORTRANGE(""https://docs.google.com/spreadsheets/d/1MeEWN-I1oV_STSDYn1IFDPWt_1FKiwhDph83XaGc0o0/edit?usp=sharing"",""งบพรบ!BP21"")"),0)</f>
        <v>0</v>
      </c>
      <c r="N137" s="93">
        <f ca="1">IFERROR(__xludf.DUMMYFUNCTION("IMPORTRANGE(""https://docs.google.com/spreadsheets/d/1MeEWN-I1oV_STSDYn1IFDPWt_1FKiwhDph83XaGc0o0/edit?usp=sharing"",""งบพรบ!BR21"")"),0)</f>
        <v>0</v>
      </c>
      <c r="O137" s="93">
        <f t="shared" ca="1" si="70"/>
        <v>0</v>
      </c>
      <c r="P137" s="93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1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65">
        <f t="shared" ref="L138:N138" ca="1" si="74">L139+L140</f>
        <v>0</v>
      </c>
      <c r="M138" s="465">
        <f t="shared" ca="1" si="74"/>
        <v>0</v>
      </c>
      <c r="N138" s="465">
        <f t="shared" ca="1" si="74"/>
        <v>0</v>
      </c>
      <c r="O138" s="465">
        <f t="shared" ca="1" si="70"/>
        <v>0</v>
      </c>
      <c r="P138" s="465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2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2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IFERROR(__xludf.DUMMYFUNCTION("IMPORTRANGE(""https://docs.google.com/spreadsheets/d/1MeEWN-I1oV_STSDYn1IFDPWt_1FKiwhDph83XaGc0o0/edit?usp=sharing"",""งบพรบ!BN21"")"),0)</f>
        <v>0</v>
      </c>
      <c r="M140" s="93">
        <f ca="1">IFERROR(__xludf.DUMMYFUNCTION("IMPORTRANGE(""https://docs.google.com/spreadsheets/d/1MeEWN-I1oV_STSDYn1IFDPWt_1FKiwhDph83XaGc0o0/edit?usp=sharing"",""งบพรบ!BQ21"")"),0)</f>
        <v>0</v>
      </c>
      <c r="N140" s="93">
        <f ca="1">IFERROR(__xludf.DUMMYFUNCTION("IMPORTRANGE(""https://docs.google.com/spreadsheets/d/1MeEWN-I1oV_STSDYn1IFDPWt_1FKiwhDph83XaGc0o0/edit?usp=sharing"",""งบพรบ!BS21"")"),0)</f>
        <v>0</v>
      </c>
      <c r="O140" s="93">
        <f t="shared" ca="1" si="70"/>
        <v>0</v>
      </c>
      <c r="P140" s="93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818" t="s">
        <v>38</v>
      </c>
      <c r="E141" s="173"/>
      <c r="F141" s="173"/>
      <c r="G141" s="174"/>
      <c r="H141" s="168"/>
      <c r="I141" s="269"/>
      <c r="J141" s="269"/>
      <c r="K141" s="465"/>
      <c r="L141" s="465"/>
      <c r="M141" s="465"/>
      <c r="N141" s="465"/>
      <c r="O141" s="465"/>
      <c r="P141" s="465"/>
    </row>
    <row r="142" spans="1:26" ht="19.5" hidden="1">
      <c r="A142" s="159"/>
      <c r="B142" s="33"/>
      <c r="C142" s="210"/>
      <c r="D142" s="281" t="s">
        <v>71</v>
      </c>
      <c r="E142" s="34"/>
      <c r="F142" s="33"/>
      <c r="G142" s="213"/>
      <c r="H142" s="168"/>
      <c r="I142" s="269"/>
      <c r="J142" s="214">
        <v>0</v>
      </c>
      <c r="K142" s="465"/>
      <c r="L142" s="465"/>
      <c r="M142" s="465"/>
      <c r="N142" s="465"/>
      <c r="O142" s="465"/>
      <c r="P142" s="465"/>
    </row>
    <row r="143" spans="1:26" ht="19.5" hidden="1">
      <c r="A143" s="159"/>
      <c r="B143" s="33"/>
      <c r="C143" s="210"/>
      <c r="D143" s="281" t="s">
        <v>72</v>
      </c>
      <c r="E143" s="34"/>
      <c r="F143" s="33"/>
      <c r="G143" s="213"/>
      <c r="H143" s="168" t="s">
        <v>35</v>
      </c>
      <c r="I143" s="269">
        <f ca="1">I145</f>
        <v>0</v>
      </c>
      <c r="J143" s="269">
        <f ca="1">IF(AND(J144&gt;=I144,J145&gt;=I145),J145,0)</f>
        <v>0</v>
      </c>
      <c r="K143" s="465">
        <f t="shared" ref="K143:K146" ca="1" si="75">IF(I143&gt;0,J143*100/I143,0)</f>
        <v>0</v>
      </c>
      <c r="L143" s="465"/>
      <c r="M143" s="465"/>
      <c r="N143" s="465"/>
      <c r="O143" s="465"/>
      <c r="P143" s="465"/>
    </row>
    <row r="144" spans="1:26" ht="19.5" hidden="1">
      <c r="A144" s="159"/>
      <c r="B144" s="33"/>
      <c r="C144" s="210"/>
      <c r="D144" s="342"/>
      <c r="E144" s="281" t="s">
        <v>73</v>
      </c>
      <c r="F144" s="33"/>
      <c r="G144" s="213"/>
      <c r="H144" s="168" t="s">
        <v>35</v>
      </c>
      <c r="I144" s="269">
        <f ca="1">IFERROR(__xludf.DUMMYFUNCTION("IMPORTRANGE(""https://docs.google.com/spreadsheets/d/1QqKyyYR6Q21VydFLVH3TRQUabQu_ym0Zz7PgGX0-kHA/edit?usp=sharing"",""แผน!U21"")"),0)</f>
        <v>0</v>
      </c>
      <c r="J144" s="214">
        <v>0</v>
      </c>
      <c r="K144" s="465">
        <f t="shared" ca="1" si="75"/>
        <v>0</v>
      </c>
      <c r="L144" s="465"/>
      <c r="M144" s="465"/>
      <c r="N144" s="465"/>
      <c r="O144" s="465"/>
      <c r="P144" s="465"/>
    </row>
    <row r="145" spans="1:26" ht="19.5" hidden="1">
      <c r="A145" s="159"/>
      <c r="B145" s="33"/>
      <c r="C145" s="210"/>
      <c r="D145" s="342"/>
      <c r="E145" s="281" t="s">
        <v>74</v>
      </c>
      <c r="F145" s="33"/>
      <c r="G145" s="213"/>
      <c r="H145" s="168" t="s">
        <v>35</v>
      </c>
      <c r="I145" s="269">
        <f ca="1">IFERROR(__xludf.DUMMYFUNCTION("IMPORTRANGE(""https://docs.google.com/spreadsheets/d/1QqKyyYR6Q21VydFLVH3TRQUabQu_ym0Zz7PgGX0-kHA/edit?usp=sharing"",""แผน!V21"")"),0)</f>
        <v>0</v>
      </c>
      <c r="J145" s="214">
        <v>0</v>
      </c>
      <c r="K145" s="465">
        <f t="shared" ca="1" si="75"/>
        <v>0</v>
      </c>
      <c r="L145" s="465"/>
      <c r="M145" s="465"/>
      <c r="N145" s="465"/>
      <c r="O145" s="465"/>
      <c r="P145" s="465"/>
    </row>
    <row r="146" spans="1:26" ht="19.5" hidden="1">
      <c r="A146" s="159"/>
      <c r="B146" s="33"/>
      <c r="C146" s="210"/>
      <c r="D146" s="281" t="s">
        <v>75</v>
      </c>
      <c r="E146" s="34"/>
      <c r="F146" s="33"/>
      <c r="G146" s="213"/>
      <c r="H146" s="168" t="s">
        <v>69</v>
      </c>
      <c r="I146" s="269">
        <f ca="1">IFERROR(__xludf.DUMMYFUNCTION("IMPORTRANGE(""https://docs.google.com/spreadsheets/d/1QqKyyYR6Q21VydFLVH3TRQUabQu_ym0Zz7PgGX0-kHA/edit?usp=sharing"",""แผน!W21"")"),0)</f>
        <v>0</v>
      </c>
      <c r="J146" s="214">
        <v>0</v>
      </c>
      <c r="K146" s="465">
        <f t="shared" ca="1" si="75"/>
        <v>0</v>
      </c>
      <c r="L146" s="465"/>
      <c r="M146" s="465"/>
      <c r="N146" s="465"/>
      <c r="O146" s="465"/>
      <c r="P146" s="465"/>
    </row>
    <row r="147" spans="1:26" ht="19.5" hidden="1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 hidden="1">
      <c r="A148" s="216"/>
      <c r="B148" s="208" t="s">
        <v>77</v>
      </c>
      <c r="C148" s="208"/>
      <c r="D148" s="208"/>
      <c r="E148" s="819"/>
      <c r="F148" s="218"/>
      <c r="G148" s="219"/>
      <c r="H148" s="220" t="s">
        <v>35</v>
      </c>
      <c r="I148" s="144">
        <f t="shared" ref="I148:J148" ca="1" si="76">I159</f>
        <v>0</v>
      </c>
      <c r="J148" s="144">
        <f t="shared" si="76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1"/>
      <c r="R148" s="221"/>
      <c r="S148" s="221"/>
      <c r="T148" s="221"/>
      <c r="U148" s="221"/>
      <c r="V148" s="221"/>
      <c r="W148" s="221"/>
      <c r="X148" s="221"/>
      <c r="Y148" s="221"/>
      <c r="Z148" s="221"/>
    </row>
    <row r="149" spans="1:26" ht="19.5" hidden="1">
      <c r="A149" s="147"/>
      <c r="B149" s="148"/>
      <c r="C149" s="149" t="s">
        <v>16</v>
      </c>
      <c r="D149" s="817" t="s">
        <v>17</v>
      </c>
      <c r="E149" s="148"/>
      <c r="F149" s="148"/>
      <c r="G149" s="151"/>
      <c r="H149" s="152" t="s">
        <v>12</v>
      </c>
      <c r="I149" s="388"/>
      <c r="J149" s="388"/>
      <c r="K149" s="154"/>
      <c r="L149" s="155">
        <f t="shared" ref="L149:N149" ca="1" si="77">L150+L151</f>
        <v>0</v>
      </c>
      <c r="M149" s="155">
        <f t="shared" ca="1" si="77"/>
        <v>0</v>
      </c>
      <c r="N149" s="155">
        <f t="shared" ca="1" si="77"/>
        <v>0</v>
      </c>
      <c r="O149" s="155">
        <f t="shared" ref="O149:O157" ca="1" si="78">IF(L149&gt;0,N149*100/L149,0)</f>
        <v>0</v>
      </c>
      <c r="P149" s="155">
        <f t="shared" ref="P149:P157" ca="1" si="79">IF(M149&gt;0,N149*100/M149,0)</f>
        <v>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2" t="s">
        <v>18</v>
      </c>
      <c r="F150" s="40"/>
      <c r="G150" s="157"/>
      <c r="H150" s="158" t="s">
        <v>12</v>
      </c>
      <c r="I150" s="583"/>
      <c r="J150" s="583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2" t="s">
        <v>19</v>
      </c>
      <c r="F151" s="40"/>
      <c r="G151" s="157"/>
      <c r="H151" s="158" t="s">
        <v>12</v>
      </c>
      <c r="I151" s="583"/>
      <c r="J151" s="583"/>
      <c r="K151" s="93"/>
      <c r="L151" s="93">
        <f t="shared" ca="1" si="80"/>
        <v>0</v>
      </c>
      <c r="M151" s="93">
        <f t="shared" ca="1" si="80"/>
        <v>0</v>
      </c>
      <c r="N151" s="93">
        <f t="shared" ca="1" si="80"/>
        <v>0</v>
      </c>
      <c r="O151" s="93">
        <f t="shared" ca="1" si="78"/>
        <v>0</v>
      </c>
      <c r="P151" s="93">
        <f t="shared" ca="1" si="79"/>
        <v>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 hidden="1">
      <c r="A152" s="159"/>
      <c r="B152" s="33"/>
      <c r="C152" s="281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65">
        <f t="shared" ref="L152:N152" ca="1" si="81">L153+L154</f>
        <v>0</v>
      </c>
      <c r="M152" s="465">
        <f t="shared" ca="1" si="81"/>
        <v>0</v>
      </c>
      <c r="N152" s="465">
        <f t="shared" ca="1" si="81"/>
        <v>0</v>
      </c>
      <c r="O152" s="465">
        <f t="shared" ca="1" si="78"/>
        <v>0</v>
      </c>
      <c r="P152" s="465">
        <f t="shared" ca="1" si="79"/>
        <v>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2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2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IFERROR(__xludf.DUMMYFUNCTION("IMPORTRANGE(""https://docs.google.com/spreadsheets/d/1MeEWN-I1oV_STSDYn1IFDPWt_1FKiwhDph83XaGc0o0/edit?usp=sharing"",""งบพรบ!BU21"")"),0)</f>
        <v>0</v>
      </c>
      <c r="M154" s="93">
        <f ca="1">IFERROR(__xludf.DUMMYFUNCTION("IMPORTRANGE(""https://docs.google.com/spreadsheets/d/1MeEWN-I1oV_STSDYn1IFDPWt_1FKiwhDph83XaGc0o0/edit?usp=sharing"",""งบพรบ!BZ21"")"),0)</f>
        <v>0</v>
      </c>
      <c r="N154" s="93">
        <f ca="1">IFERROR(__xludf.DUMMYFUNCTION("IMPORTRANGE(""https://docs.google.com/spreadsheets/d/1MeEWN-I1oV_STSDYn1IFDPWt_1FKiwhDph83XaGc0o0/edit?usp=sharing"",""งบพรบ!CB21"")"),0)</f>
        <v>0</v>
      </c>
      <c r="O154" s="93">
        <f t="shared" ca="1" si="78"/>
        <v>0</v>
      </c>
      <c r="P154" s="93">
        <f t="shared" ca="1" si="79"/>
        <v>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 hidden="1">
      <c r="A155" s="159"/>
      <c r="B155" s="33"/>
      <c r="C155" s="281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65">
        <f t="shared" ref="L155:N155" ca="1" si="82">L156+L157</f>
        <v>0</v>
      </c>
      <c r="M155" s="465">
        <f t="shared" ca="1" si="82"/>
        <v>0</v>
      </c>
      <c r="N155" s="465">
        <f t="shared" ca="1" si="82"/>
        <v>0</v>
      </c>
      <c r="O155" s="465">
        <f t="shared" ca="1" si="78"/>
        <v>0</v>
      </c>
      <c r="P155" s="465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2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2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IFERROR(__xludf.DUMMYFUNCTION("IMPORTRANGE(""https://docs.google.com/spreadsheets/d/1MeEWN-I1oV_STSDYn1IFDPWt_1FKiwhDph83XaGc0o0/edit?usp=sharing"",""งบพรบ!BX21"")"),0)</f>
        <v>0</v>
      </c>
      <c r="M157" s="93">
        <f ca="1">IFERROR(__xludf.DUMMYFUNCTION("IMPORTRANGE(""https://docs.google.com/spreadsheets/d/1MeEWN-I1oV_STSDYn1IFDPWt_1FKiwhDph83XaGc0o0/edit?usp=sharing"",""งบพรบ!CA21"")"),0)</f>
        <v>0</v>
      </c>
      <c r="N157" s="93">
        <f ca="1">IFERROR(__xludf.DUMMYFUNCTION("IMPORTRANGE(""https://docs.google.com/spreadsheets/d/1MeEWN-I1oV_STSDYn1IFDPWt_1FKiwhDph83XaGc0o0/edit?usp=sharing"",""งบพรบ!CC21"")"),0)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 hidden="1">
      <c r="A158" s="170"/>
      <c r="B158" s="171"/>
      <c r="C158" s="164" t="s">
        <v>16</v>
      </c>
      <c r="D158" s="818" t="s">
        <v>38</v>
      </c>
      <c r="E158" s="173"/>
      <c r="F158" s="173"/>
      <c r="G158" s="174"/>
      <c r="H158" s="168"/>
      <c r="I158" s="269"/>
      <c r="J158" s="269"/>
      <c r="K158" s="465"/>
      <c r="L158" s="465"/>
      <c r="M158" s="465"/>
      <c r="N158" s="465"/>
      <c r="O158" s="465"/>
      <c r="P158" s="465"/>
    </row>
    <row r="159" spans="1:26" ht="19.5" hidden="1">
      <c r="A159" s="159"/>
      <c r="B159" s="33"/>
      <c r="C159" s="210"/>
      <c r="D159" s="281" t="s">
        <v>78</v>
      </c>
      <c r="E159" s="34"/>
      <c r="F159" s="33"/>
      <c r="G159" s="213"/>
      <c r="H159" s="168" t="s">
        <v>35</v>
      </c>
      <c r="I159" s="269">
        <f ca="1">IFERROR(__xludf.DUMMYFUNCTION("IMPORTRANGE(""https://docs.google.com/spreadsheets/d/1QqKyyYR6Q21VydFLVH3TRQUabQu_ym0Zz7PgGX0-kHA/edit?usp=sharing"",""แผน!X21"")"),0)</f>
        <v>0</v>
      </c>
      <c r="J159" s="214">
        <v>0</v>
      </c>
      <c r="K159" s="465">
        <f ca="1">IF(I159&gt;0,J159*100/I159,0)</f>
        <v>0</v>
      </c>
      <c r="L159" s="465"/>
      <c r="M159" s="465"/>
      <c r="N159" s="465"/>
      <c r="O159" s="465"/>
      <c r="P159" s="465"/>
    </row>
    <row r="160" spans="1:26" ht="19.5" hidden="1">
      <c r="A160" s="156"/>
      <c r="B160" s="40"/>
      <c r="C160" s="164"/>
      <c r="D160" s="222" t="s">
        <v>79</v>
      </c>
      <c r="E160" s="223"/>
      <c r="F160" s="40"/>
      <c r="G160" s="157"/>
      <c r="H160" s="169" t="s">
        <v>35</v>
      </c>
      <c r="I160" s="583"/>
      <c r="J160" s="583"/>
      <c r="K160" s="93"/>
      <c r="L160" s="93"/>
      <c r="M160" s="93"/>
      <c r="N160" s="93"/>
      <c r="O160" s="93"/>
      <c r="P160" s="93"/>
      <c r="Q160" s="224"/>
      <c r="R160" s="224"/>
      <c r="S160" s="224"/>
      <c r="T160" s="224"/>
      <c r="U160" s="224"/>
      <c r="V160" s="224"/>
      <c r="W160" s="224"/>
      <c r="X160" s="224"/>
      <c r="Y160" s="224"/>
      <c r="Z160" s="224"/>
    </row>
    <row r="161" spans="1:26" ht="19.5" hidden="1">
      <c r="A161" s="225"/>
      <c r="B161" s="226"/>
      <c r="C161" s="227"/>
      <c r="D161" s="228" t="s">
        <v>80</v>
      </c>
      <c r="E161" s="820"/>
      <c r="F161" s="226"/>
      <c r="G161" s="230"/>
      <c r="H161" s="231" t="s">
        <v>35</v>
      </c>
      <c r="I161" s="232"/>
      <c r="J161" s="232"/>
      <c r="K161" s="233"/>
      <c r="L161" s="233"/>
      <c r="M161" s="233"/>
      <c r="N161" s="233"/>
      <c r="O161" s="233"/>
      <c r="P161" s="233"/>
      <c r="Q161" s="224"/>
      <c r="R161" s="224"/>
      <c r="S161" s="224"/>
      <c r="T161" s="224"/>
      <c r="U161" s="224"/>
      <c r="V161" s="224"/>
      <c r="W161" s="224"/>
      <c r="X161" s="224"/>
      <c r="Y161" s="224"/>
      <c r="Z161" s="224"/>
    </row>
    <row r="162" spans="1:26" ht="19.5">
      <c r="A162" s="234" t="s">
        <v>81</v>
      </c>
      <c r="B162" s="235"/>
      <c r="C162" s="235"/>
      <c r="D162" s="235"/>
      <c r="E162" s="236"/>
      <c r="F162" s="236"/>
      <c r="G162" s="237"/>
      <c r="H162" s="238"/>
      <c r="I162" s="239"/>
      <c r="J162" s="239"/>
      <c r="K162" s="240"/>
      <c r="L162" s="240"/>
      <c r="M162" s="240"/>
      <c r="N162" s="240"/>
      <c r="O162" s="240"/>
      <c r="P162" s="240"/>
    </row>
    <row r="163" spans="1:26" ht="19.5">
      <c r="A163" s="241" t="s">
        <v>82</v>
      </c>
      <c r="B163" s="242"/>
      <c r="C163" s="242"/>
      <c r="D163" s="243"/>
      <c r="E163" s="243"/>
      <c r="F163" s="243"/>
      <c r="G163" s="244"/>
      <c r="H163" s="245"/>
      <c r="I163" s="246"/>
      <c r="J163" s="246"/>
      <c r="K163" s="247"/>
      <c r="L163" s="247"/>
      <c r="M163" s="247"/>
      <c r="N163" s="247"/>
      <c r="O163" s="247"/>
      <c r="P163" s="247"/>
    </row>
    <row r="164" spans="1:26" ht="19.5">
      <c r="A164" s="248"/>
      <c r="B164" s="249" t="s">
        <v>83</v>
      </c>
      <c r="C164" s="250"/>
      <c r="D164" s="173"/>
      <c r="E164" s="173"/>
      <c r="F164" s="173"/>
      <c r="G164" s="174"/>
      <c r="H164" s="251" t="s">
        <v>35</v>
      </c>
      <c r="I164" s="252">
        <f t="shared" ref="I164:J164" ca="1" si="83">I174+I177</f>
        <v>11</v>
      </c>
      <c r="J164" s="252">
        <f t="shared" si="83"/>
        <v>0</v>
      </c>
      <c r="K164" s="253">
        <f ca="1">IF(I164&gt;0,J164*100/I164,0)</f>
        <v>0</v>
      </c>
      <c r="L164" s="254"/>
      <c r="M164" s="254"/>
      <c r="N164" s="254"/>
      <c r="O164" s="254"/>
      <c r="P164" s="254"/>
    </row>
    <row r="165" spans="1:26" ht="19.5">
      <c r="A165" s="147"/>
      <c r="B165" s="148"/>
      <c r="C165" s="149" t="s">
        <v>16</v>
      </c>
      <c r="D165" s="817" t="s">
        <v>17</v>
      </c>
      <c r="E165" s="148"/>
      <c r="F165" s="148"/>
      <c r="G165" s="151"/>
      <c r="H165" s="152" t="s">
        <v>12</v>
      </c>
      <c r="I165" s="388"/>
      <c r="J165" s="388"/>
      <c r="K165" s="154"/>
      <c r="L165" s="155">
        <f t="shared" ref="L165:N165" ca="1" si="84">L166+L167</f>
        <v>22055</v>
      </c>
      <c r="M165" s="155">
        <f t="shared" ca="1" si="84"/>
        <v>22055</v>
      </c>
      <c r="N165" s="155">
        <f t="shared" ca="1" si="84"/>
        <v>0</v>
      </c>
      <c r="O165" s="155">
        <f t="shared" ref="O165:O173" ca="1" si="85">IF(L165&gt;0,N165*100/L165,0)</f>
        <v>0</v>
      </c>
      <c r="P165" s="155">
        <f t="shared" ref="P165:P173" ca="1" si="86">IF(M165&gt;0,N165*100/M165,0)</f>
        <v>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2" t="s">
        <v>18</v>
      </c>
      <c r="F166" s="40"/>
      <c r="G166" s="157"/>
      <c r="H166" s="158" t="s">
        <v>12</v>
      </c>
      <c r="I166" s="583"/>
      <c r="J166" s="583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2" t="s">
        <v>19</v>
      </c>
      <c r="F167" s="40"/>
      <c r="G167" s="157"/>
      <c r="H167" s="158" t="s">
        <v>12</v>
      </c>
      <c r="I167" s="583"/>
      <c r="J167" s="583"/>
      <c r="K167" s="93"/>
      <c r="L167" s="93">
        <f t="shared" ca="1" si="87"/>
        <v>22055</v>
      </c>
      <c r="M167" s="93">
        <f t="shared" ca="1" si="87"/>
        <v>22055</v>
      </c>
      <c r="N167" s="93">
        <f t="shared" ca="1" si="87"/>
        <v>0</v>
      </c>
      <c r="O167" s="93">
        <f t="shared" ca="1" si="85"/>
        <v>0</v>
      </c>
      <c r="P167" s="93">
        <f t="shared" ca="1" si="86"/>
        <v>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1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65">
        <f t="shared" ref="L168:N168" ca="1" si="88">L169+L170</f>
        <v>22055</v>
      </c>
      <c r="M168" s="465">
        <f t="shared" ca="1" si="88"/>
        <v>22055</v>
      </c>
      <c r="N168" s="465">
        <f t="shared" ca="1" si="88"/>
        <v>0</v>
      </c>
      <c r="O168" s="465">
        <f t="shared" ca="1" si="85"/>
        <v>0</v>
      </c>
      <c r="P168" s="465">
        <f t="shared" ca="1" si="86"/>
        <v>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2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2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IFERROR(__xludf.DUMMYFUNCTION("IMPORTRANGE(""https://docs.google.com/spreadsheets/d/1MeEWN-I1oV_STSDYn1IFDPWt_1FKiwhDph83XaGc0o0/edit?usp=sharing"",""งบพรบ!CE21"")"),22055)</f>
        <v>22055</v>
      </c>
      <c r="M170" s="93">
        <f ca="1">IFERROR(__xludf.DUMMYFUNCTION("IMPORTRANGE(""https://docs.google.com/spreadsheets/d/1MeEWN-I1oV_STSDYn1IFDPWt_1FKiwhDph83XaGc0o0/edit?usp=sharing"",""งบพรบ!CJ21"")"),22055)</f>
        <v>22055</v>
      </c>
      <c r="N170" s="93">
        <f ca="1">IFERROR(__xludf.DUMMYFUNCTION("IMPORTRANGE(""https://docs.google.com/spreadsheets/d/1MeEWN-I1oV_STSDYn1IFDPWt_1FKiwhDph83XaGc0o0/edit?usp=sharing"",""งบพรบ!CL21"")"),0)</f>
        <v>0</v>
      </c>
      <c r="O170" s="93">
        <f t="shared" ca="1" si="85"/>
        <v>0</v>
      </c>
      <c r="P170" s="93">
        <f t="shared" ca="1" si="86"/>
        <v>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1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65">
        <f t="shared" ref="L171:N171" ca="1" si="89">L172+L173</f>
        <v>0</v>
      </c>
      <c r="M171" s="465">
        <f t="shared" ca="1" si="89"/>
        <v>0</v>
      </c>
      <c r="N171" s="465">
        <f t="shared" ca="1" si="89"/>
        <v>0</v>
      </c>
      <c r="O171" s="465">
        <f t="shared" ca="1" si="85"/>
        <v>0</v>
      </c>
      <c r="P171" s="465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2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2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IFERROR(__xludf.DUMMYFUNCTION("IMPORTRANGE(""https://docs.google.com/spreadsheets/d/1MeEWN-I1oV_STSDYn1IFDPWt_1FKiwhDph83XaGc0o0/edit?usp=sharing"",""งบพรบ!CH21"")"),0)</f>
        <v>0</v>
      </c>
      <c r="M173" s="93">
        <f ca="1">IFERROR(__xludf.DUMMYFUNCTION("IMPORTRANGE(""https://docs.google.com/spreadsheets/d/1MeEWN-I1oV_STSDYn1IFDPWt_1FKiwhDph83XaGc0o0/edit?usp=sharing"",""งบพรบ!CK21"")"),0)</f>
        <v>0</v>
      </c>
      <c r="N173" s="93">
        <f ca="1">IFERROR(__xludf.DUMMYFUNCTION("IMPORTRANGE(""https://docs.google.com/spreadsheets/d/1MeEWN-I1oV_STSDYn1IFDPWt_1FKiwhDph83XaGc0o0/edit?usp=sharing"",""งบพรบ!CM21"")"),0)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5"/>
      <c r="B174" s="256"/>
      <c r="C174" s="257" t="s">
        <v>84</v>
      </c>
      <c r="D174" s="256"/>
      <c r="E174" s="256"/>
      <c r="F174" s="256"/>
      <c r="G174" s="258"/>
      <c r="H174" s="259" t="s">
        <v>35</v>
      </c>
      <c r="I174" s="260">
        <f t="shared" ref="I174:J174" ca="1" si="90">I176</f>
        <v>11</v>
      </c>
      <c r="J174" s="260">
        <f t="shared" si="90"/>
        <v>0</v>
      </c>
      <c r="K174" s="261">
        <f ca="1">IF(I174&gt;0,J174*100/I174,0)</f>
        <v>0</v>
      </c>
      <c r="L174" s="261"/>
      <c r="M174" s="261"/>
      <c r="N174" s="261"/>
      <c r="O174" s="261"/>
      <c r="P174" s="261"/>
    </row>
    <row r="175" spans="1:26" ht="19.5">
      <c r="A175" s="170"/>
      <c r="B175" s="171"/>
      <c r="C175" s="164" t="s">
        <v>16</v>
      </c>
      <c r="D175" s="818" t="s">
        <v>38</v>
      </c>
      <c r="E175" s="173"/>
      <c r="F175" s="173"/>
      <c r="G175" s="174"/>
      <c r="H175" s="726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10" t="s">
        <v>85</v>
      </c>
      <c r="E176" s="342"/>
      <c r="F176" s="342"/>
      <c r="G176" s="179"/>
      <c r="H176" s="589" t="s">
        <v>35</v>
      </c>
      <c r="I176" s="269">
        <f ca="1">IFERROR(__xludf.DUMMYFUNCTION("IMPORTRANGE(""https://docs.google.com/spreadsheets/d/1QqKyyYR6Q21VydFLVH3TRQUabQu_ym0Zz7PgGX0-kHA/edit?usp=sharing"",""แผน!Y21"")"),11)</f>
        <v>11</v>
      </c>
      <c r="J176" s="214">
        <v>0</v>
      </c>
      <c r="K176" s="163">
        <f ca="1">IF(I176&gt;0,J176*100/I176,0)</f>
        <v>0</v>
      </c>
      <c r="L176" s="163"/>
      <c r="M176" s="163"/>
      <c r="N176" s="163"/>
      <c r="O176" s="163"/>
      <c r="P176" s="163"/>
    </row>
    <row r="177" spans="1:26" ht="19.5" hidden="1">
      <c r="A177" s="255"/>
      <c r="B177" s="263"/>
      <c r="C177" s="264" t="s">
        <v>86</v>
      </c>
      <c r="D177" s="263"/>
      <c r="E177" s="256"/>
      <c r="F177" s="256"/>
      <c r="G177" s="258"/>
      <c r="H177" s="265" t="s">
        <v>35</v>
      </c>
      <c r="I177" s="260"/>
      <c r="J177" s="260">
        <f>J179</f>
        <v>0</v>
      </c>
      <c r="K177" s="261"/>
      <c r="L177" s="261"/>
      <c r="M177" s="261"/>
      <c r="N177" s="261"/>
      <c r="O177" s="261"/>
      <c r="P177" s="261"/>
    </row>
    <row r="178" spans="1:26" ht="19.5" hidden="1">
      <c r="A178" s="170"/>
      <c r="B178" s="171"/>
      <c r="C178" s="164" t="s">
        <v>16</v>
      </c>
      <c r="D178" s="266" t="s">
        <v>38</v>
      </c>
      <c r="E178" s="173"/>
      <c r="F178" s="173"/>
      <c r="G178" s="174"/>
      <c r="H178" s="726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267" t="s">
        <v>87</v>
      </c>
      <c r="E179" s="342"/>
      <c r="F179" s="268"/>
      <c r="G179" s="179"/>
      <c r="H179" s="43" t="s">
        <v>35</v>
      </c>
      <c r="I179" s="269"/>
      <c r="J179" s="269"/>
      <c r="K179" s="163"/>
      <c r="L179" s="163"/>
      <c r="M179" s="163"/>
      <c r="N179" s="163"/>
      <c r="O179" s="163"/>
      <c r="P179" s="163"/>
    </row>
    <row r="180" spans="1:26" ht="19.5">
      <c r="A180" s="248"/>
      <c r="B180" s="249" t="s">
        <v>88</v>
      </c>
      <c r="C180" s="250"/>
      <c r="D180" s="173"/>
      <c r="E180" s="173"/>
      <c r="F180" s="173"/>
      <c r="G180" s="174"/>
      <c r="H180" s="251" t="s">
        <v>35</v>
      </c>
      <c r="I180" s="821"/>
      <c r="J180" s="821">
        <f>J225+J226</f>
        <v>0</v>
      </c>
      <c r="K180" s="254">
        <f>IF(I180&gt;0,J180*100/I180,0)</f>
        <v>0</v>
      </c>
      <c r="L180" s="254"/>
      <c r="M180" s="254"/>
      <c r="N180" s="254"/>
      <c r="O180" s="254"/>
      <c r="P180" s="254"/>
    </row>
    <row r="181" spans="1:26" ht="19.5">
      <c r="A181" s="147"/>
      <c r="B181" s="148"/>
      <c r="C181" s="149" t="s">
        <v>16</v>
      </c>
      <c r="D181" s="817" t="s">
        <v>17</v>
      </c>
      <c r="E181" s="148"/>
      <c r="F181" s="148"/>
      <c r="G181" s="151"/>
      <c r="H181" s="152" t="s">
        <v>12</v>
      </c>
      <c r="I181" s="388"/>
      <c r="J181" s="388"/>
      <c r="K181" s="154"/>
      <c r="L181" s="155">
        <f t="shared" ref="L181:N181" ca="1" si="91">L182+L183</f>
        <v>53000</v>
      </c>
      <c r="M181" s="155">
        <f t="shared" ca="1" si="91"/>
        <v>30000</v>
      </c>
      <c r="N181" s="155">
        <f t="shared" ca="1" si="91"/>
        <v>0</v>
      </c>
      <c r="O181" s="155">
        <f t="shared" ref="O181:O189" ca="1" si="92">IF(L181&gt;0,N181*100/L181,0)</f>
        <v>0</v>
      </c>
      <c r="P181" s="155">
        <f t="shared" ref="P181:P189" ca="1" si="93">IF(M181&gt;0,N181*100/M181,0)</f>
        <v>0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2" t="s">
        <v>18</v>
      </c>
      <c r="F182" s="40"/>
      <c r="G182" s="157"/>
      <c r="H182" s="158" t="s">
        <v>12</v>
      </c>
      <c r="I182" s="583"/>
      <c r="J182" s="583"/>
      <c r="K182" s="93"/>
      <c r="L182" s="93">
        <f t="shared" ref="L182:N183" si="94">L185+L188</f>
        <v>0</v>
      </c>
      <c r="M182" s="93">
        <f t="shared" si="94"/>
        <v>0</v>
      </c>
      <c r="N182" s="93">
        <f t="shared" si="94"/>
        <v>0</v>
      </c>
      <c r="O182" s="93">
        <f t="shared" si="92"/>
        <v>0</v>
      </c>
      <c r="P182" s="93">
        <f t="shared" si="93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2" t="s">
        <v>19</v>
      </c>
      <c r="F183" s="40"/>
      <c r="G183" s="157"/>
      <c r="H183" s="158" t="s">
        <v>12</v>
      </c>
      <c r="I183" s="583"/>
      <c r="J183" s="583"/>
      <c r="K183" s="93"/>
      <c r="L183" s="93">
        <f t="shared" ca="1" si="94"/>
        <v>53000</v>
      </c>
      <c r="M183" s="93">
        <f t="shared" ca="1" si="94"/>
        <v>30000</v>
      </c>
      <c r="N183" s="93">
        <f t="shared" ca="1" si="94"/>
        <v>0</v>
      </c>
      <c r="O183" s="93">
        <f t="shared" ca="1" si="92"/>
        <v>0</v>
      </c>
      <c r="P183" s="93">
        <f t="shared" ca="1" si="93"/>
        <v>0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1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65">
        <f t="shared" ref="L184:N184" ca="1" si="95">L185+L186</f>
        <v>53000</v>
      </c>
      <c r="M184" s="465">
        <f t="shared" ca="1" si="95"/>
        <v>30000</v>
      </c>
      <c r="N184" s="465">
        <f t="shared" ca="1" si="95"/>
        <v>0</v>
      </c>
      <c r="O184" s="465">
        <f t="shared" ca="1" si="92"/>
        <v>0</v>
      </c>
      <c r="P184" s="465">
        <f t="shared" ca="1" si="93"/>
        <v>0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2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2"/>
        <v>0</v>
      </c>
      <c r="P185" s="93">
        <f t="shared" si="93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2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IFERROR(__xludf.DUMMYFUNCTION("IMPORTRANGE(""https://docs.google.com/spreadsheets/d/1MeEWN-I1oV_STSDYn1IFDPWt_1FKiwhDph83XaGc0o0/edit?usp=sharing"",""งบพรบ!CO21"")"),53000)</f>
        <v>53000</v>
      </c>
      <c r="M186" s="93">
        <f ca="1">IFERROR(__xludf.DUMMYFUNCTION("IMPORTRANGE(""https://docs.google.com/spreadsheets/d/1MeEWN-I1oV_STSDYn1IFDPWt_1FKiwhDph83XaGc0o0/edit?usp=sharing"",""งบพรบ!CT21"")"),30000)</f>
        <v>30000</v>
      </c>
      <c r="N186" s="93">
        <f ca="1">IFERROR(__xludf.DUMMYFUNCTION("IMPORTRANGE(""https://docs.google.com/spreadsheets/d/1MeEWN-I1oV_STSDYn1IFDPWt_1FKiwhDph83XaGc0o0/edit?usp=sharing"",""งบพรบ!CV21"")"),0)</f>
        <v>0</v>
      </c>
      <c r="O186" s="93">
        <f t="shared" ca="1" si="92"/>
        <v>0</v>
      </c>
      <c r="P186" s="93">
        <f t="shared" ca="1" si="93"/>
        <v>0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1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65">
        <f t="shared" ref="L187:N187" ca="1" si="96">L188+L189</f>
        <v>0</v>
      </c>
      <c r="M187" s="465">
        <f t="shared" ca="1" si="96"/>
        <v>0</v>
      </c>
      <c r="N187" s="465">
        <f t="shared" ca="1" si="96"/>
        <v>0</v>
      </c>
      <c r="O187" s="465">
        <f t="shared" ca="1" si="92"/>
        <v>0</v>
      </c>
      <c r="P187" s="465">
        <f t="shared" ca="1" si="93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2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2"/>
        <v>0</v>
      </c>
      <c r="P188" s="93">
        <f t="shared" si="93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2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IFERROR(__xludf.DUMMYFUNCTION("IMPORTRANGE(""https://docs.google.com/spreadsheets/d/1MeEWN-I1oV_STSDYn1IFDPWt_1FKiwhDph83XaGc0o0/edit?usp=sharing"",""งบพรบ!CR21"")"),0)</f>
        <v>0</v>
      </c>
      <c r="M189" s="93">
        <f ca="1">IFERROR(__xludf.DUMMYFUNCTION("IMPORTRANGE(""https://docs.google.com/spreadsheets/d/1MeEWN-I1oV_STSDYn1IFDPWt_1FKiwhDph83XaGc0o0/edit?usp=sharing"",""งบพรบ!CU21"")"),0)</f>
        <v>0</v>
      </c>
      <c r="N189" s="93">
        <f ca="1">IFERROR(__xludf.DUMMYFUNCTION("IMPORTRANGE(""https://docs.google.com/spreadsheets/d/1MeEWN-I1oV_STSDYn1IFDPWt_1FKiwhDph83XaGc0o0/edit?usp=sharing"",""งบพรบ!CW21"")"),0)</f>
        <v>0</v>
      </c>
      <c r="O189" s="93">
        <f t="shared" ca="1" si="92"/>
        <v>0</v>
      </c>
      <c r="P189" s="93">
        <f t="shared" ca="1" si="93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5"/>
      <c r="B190" s="263"/>
      <c r="C190" s="339" t="s">
        <v>89</v>
      </c>
      <c r="D190" s="256"/>
      <c r="E190" s="256"/>
      <c r="F190" s="256"/>
      <c r="G190" s="258"/>
      <c r="H190" s="259" t="s">
        <v>90</v>
      </c>
      <c r="I190" s="271">
        <f t="shared" ref="I190:J190" ca="1" si="97">I193</f>
        <v>4</v>
      </c>
      <c r="J190" s="271">
        <f t="shared" si="97"/>
        <v>0</v>
      </c>
      <c r="K190" s="272">
        <f ca="1">IF(I190&gt;0,J190*100/I190,0)</f>
        <v>0</v>
      </c>
      <c r="L190" s="261"/>
      <c r="M190" s="261"/>
      <c r="N190" s="261"/>
      <c r="O190" s="261"/>
      <c r="P190" s="261"/>
    </row>
    <row r="191" spans="1:26" ht="19.5">
      <c r="A191" s="147"/>
      <c r="B191" s="148"/>
      <c r="C191" s="149" t="s">
        <v>16</v>
      </c>
      <c r="D191" s="822" t="s">
        <v>17</v>
      </c>
      <c r="E191" s="148"/>
      <c r="F191" s="148"/>
      <c r="G191" s="151"/>
      <c r="H191" s="274" t="s">
        <v>12</v>
      </c>
      <c r="I191" s="388"/>
      <c r="J191" s="388"/>
      <c r="K191" s="154"/>
      <c r="L191" s="155">
        <f ca="1">IFERROR(__xludf.DUMMYFUNCTION("IMPORTRANGE(""https://docs.google.com/spreadsheets/d/1QqKyyYR6Q21VydFLVH3TRQUabQu_ym0Zz7PgGX0-kHA/edit?usp=sharing"",""แผน!Z21"")"),6000)</f>
        <v>6000</v>
      </c>
      <c r="M191" s="155"/>
      <c r="N191" s="275">
        <v>0</v>
      </c>
      <c r="O191" s="155">
        <f ca="1">IF(L191&gt;0,N191*100/L191,0)</f>
        <v>0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0" t="s">
        <v>16</v>
      </c>
      <c r="D192" s="818" t="s">
        <v>38</v>
      </c>
      <c r="E192" s="173"/>
      <c r="F192" s="173"/>
      <c r="G192" s="174"/>
      <c r="H192" s="726"/>
      <c r="I192" s="269"/>
      <c r="J192" s="269"/>
      <c r="K192" s="465"/>
      <c r="L192" s="465"/>
      <c r="M192" s="465"/>
      <c r="N192" s="465"/>
      <c r="O192" s="465"/>
      <c r="P192" s="465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15" t="s">
        <v>91</v>
      </c>
      <c r="E193" s="342"/>
      <c r="F193" s="342"/>
      <c r="G193" s="179"/>
      <c r="H193" s="728" t="s">
        <v>90</v>
      </c>
      <c r="I193" s="269">
        <f ca="1">IFERROR(__xludf.DUMMYFUNCTION("IMPORTRANGE(""https://docs.google.com/spreadsheets/d/1QqKyyYR6Q21VydFLVH3TRQUabQu_ym0Zz7PgGX0-kHA/edit?usp=sharing"",""แผน!AC21"")"),4)</f>
        <v>4</v>
      </c>
      <c r="J193" s="214">
        <v>0</v>
      </c>
      <c r="K193" s="465">
        <f ca="1">IF(I193&gt;0,J193*100/I193,0)</f>
        <v>0</v>
      </c>
      <c r="L193" s="465"/>
      <c r="M193" s="465"/>
      <c r="N193" s="465"/>
      <c r="O193" s="465"/>
      <c r="P193" s="465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15" t="s">
        <v>92</v>
      </c>
      <c r="E194" s="342"/>
      <c r="F194" s="342"/>
      <c r="G194" s="179"/>
      <c r="H194" s="276" t="s">
        <v>35</v>
      </c>
      <c r="I194" s="269"/>
      <c r="J194" s="269">
        <f>J195+J196</f>
        <v>0</v>
      </c>
      <c r="K194" s="465"/>
      <c r="L194" s="465"/>
      <c r="M194" s="465"/>
      <c r="N194" s="465"/>
      <c r="O194" s="465"/>
      <c r="P194" s="465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15" t="s">
        <v>93</v>
      </c>
      <c r="F195" s="342"/>
      <c r="G195" s="179"/>
      <c r="H195" s="276" t="s">
        <v>35</v>
      </c>
      <c r="I195" s="269"/>
      <c r="J195" s="214">
        <v>0</v>
      </c>
      <c r="K195" s="465"/>
      <c r="L195" s="465"/>
      <c r="M195" s="465"/>
      <c r="N195" s="465"/>
      <c r="O195" s="465"/>
      <c r="P195" s="465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15" t="s">
        <v>94</v>
      </c>
      <c r="F196" s="342"/>
      <c r="G196" s="179"/>
      <c r="H196" s="276" t="s">
        <v>35</v>
      </c>
      <c r="I196" s="269"/>
      <c r="J196" s="214">
        <v>0</v>
      </c>
      <c r="K196" s="465"/>
      <c r="L196" s="465"/>
      <c r="M196" s="465"/>
      <c r="N196" s="465"/>
      <c r="O196" s="465"/>
      <c r="P196" s="465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5"/>
      <c r="B197" s="263"/>
      <c r="C197" s="339" t="s">
        <v>95</v>
      </c>
      <c r="D197" s="256"/>
      <c r="E197" s="256"/>
      <c r="F197" s="256"/>
      <c r="G197" s="258"/>
      <c r="H197" s="277" t="s">
        <v>96</v>
      </c>
      <c r="I197" s="271">
        <f t="shared" ref="I197:J197" ca="1" si="98">I204</f>
        <v>3</v>
      </c>
      <c r="J197" s="271">
        <f t="shared" si="98"/>
        <v>0</v>
      </c>
      <c r="K197" s="272">
        <f ca="1">IF(I197&gt;0,J197*100/I197,0)</f>
        <v>0</v>
      </c>
      <c r="L197" s="261"/>
      <c r="M197" s="261"/>
      <c r="N197" s="261"/>
      <c r="O197" s="261"/>
      <c r="P197" s="261"/>
    </row>
    <row r="198" spans="1:26" ht="19.5">
      <c r="A198" s="147"/>
      <c r="B198" s="148"/>
      <c r="C198" s="149" t="s">
        <v>16</v>
      </c>
      <c r="D198" s="822" t="s">
        <v>17</v>
      </c>
      <c r="E198" s="148"/>
      <c r="F198" s="148"/>
      <c r="G198" s="151"/>
      <c r="H198" s="274" t="s">
        <v>12</v>
      </c>
      <c r="I198" s="387"/>
      <c r="J198" s="387"/>
      <c r="K198" s="279"/>
      <c r="L198" s="155">
        <f ca="1">L199+L200+L201+L202</f>
        <v>39000</v>
      </c>
      <c r="M198" s="155"/>
      <c r="N198" s="155">
        <f>N199+N200+N201+N202</f>
        <v>0</v>
      </c>
      <c r="O198" s="155">
        <f ca="1">IF(L198&gt;0,N198*100/L198,0)</f>
        <v>0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0"/>
      <c r="C199" s="33"/>
      <c r="D199" s="281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65">
        <f ca="1">IFERROR(__xludf.DUMMYFUNCTION("IMPORTRANGE(""https://docs.google.com/spreadsheets/d/1QqKyyYR6Q21VydFLVH3TRQUabQu_ym0Zz7PgGX0-kHA/edit?usp=sharing"",""แผน!AE21"")"),3000)</f>
        <v>3000</v>
      </c>
      <c r="M199" s="465"/>
      <c r="N199" s="789">
        <v>0</v>
      </c>
      <c r="O199" s="465"/>
      <c r="P199" s="465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3"/>
      <c r="B200" s="280"/>
      <c r="C200" s="210"/>
      <c r="D200" s="281" t="s">
        <v>98</v>
      </c>
      <c r="E200" s="33"/>
      <c r="F200" s="33"/>
      <c r="G200" s="35"/>
      <c r="H200" s="589" t="s">
        <v>12</v>
      </c>
      <c r="I200" s="269"/>
      <c r="J200" s="269"/>
      <c r="K200" s="465"/>
      <c r="L200" s="465">
        <f ca="1">IFERROR(__xludf.DUMMYFUNCTION("IMPORTRANGE(""https://docs.google.com/spreadsheets/d/1QqKyyYR6Q21VydFLVH3TRQUabQu_ym0Zz7PgGX0-kHA/edit?usp=sharing"",""แผน!AF21"")"),24000)</f>
        <v>24000</v>
      </c>
      <c r="M200" s="465"/>
      <c r="N200" s="789">
        <v>0</v>
      </c>
      <c r="O200" s="465"/>
      <c r="P200" s="465"/>
      <c r="Q200" s="285"/>
      <c r="R200" s="285"/>
      <c r="S200" s="285"/>
      <c r="T200" s="285"/>
      <c r="U200" s="285"/>
      <c r="V200" s="285"/>
      <c r="W200" s="285"/>
      <c r="X200" s="285"/>
      <c r="Y200" s="285"/>
      <c r="Z200" s="285"/>
    </row>
    <row r="201" spans="1:26" ht="19.5">
      <c r="A201" s="283"/>
      <c r="B201" s="280"/>
      <c r="C201" s="210"/>
      <c r="D201" s="281" t="s">
        <v>99</v>
      </c>
      <c r="E201" s="33"/>
      <c r="F201" s="33"/>
      <c r="G201" s="35"/>
      <c r="H201" s="589" t="s">
        <v>12</v>
      </c>
      <c r="I201" s="269"/>
      <c r="J201" s="269"/>
      <c r="K201" s="465"/>
      <c r="L201" s="465">
        <f ca="1">IFERROR(__xludf.DUMMYFUNCTION("IMPORTRANGE(""https://docs.google.com/spreadsheets/d/1QqKyyYR6Q21VydFLVH3TRQUabQu_ym0Zz7PgGX0-kHA/edit?usp=sharing"",""แผน!AG21"")"),12000)</f>
        <v>12000</v>
      </c>
      <c r="M201" s="465"/>
      <c r="N201" s="789">
        <v>0</v>
      </c>
      <c r="O201" s="465"/>
      <c r="P201" s="465"/>
      <c r="Q201" s="285"/>
      <c r="R201" s="285"/>
      <c r="S201" s="285"/>
      <c r="T201" s="285"/>
      <c r="U201" s="285"/>
      <c r="V201" s="285"/>
      <c r="W201" s="285"/>
      <c r="X201" s="285"/>
      <c r="Y201" s="285"/>
      <c r="Z201" s="285"/>
    </row>
    <row r="202" spans="1:26" ht="19.5">
      <c r="A202" s="283"/>
      <c r="B202" s="280"/>
      <c r="C202" s="210"/>
      <c r="D202" s="281" t="s">
        <v>100</v>
      </c>
      <c r="E202" s="33"/>
      <c r="F202" s="33"/>
      <c r="G202" s="35"/>
      <c r="H202" s="589" t="s">
        <v>12</v>
      </c>
      <c r="I202" s="269"/>
      <c r="J202" s="269"/>
      <c r="K202" s="465"/>
      <c r="L202" s="465">
        <f ca="1">IFERROR(__xludf.DUMMYFUNCTION("IMPORTRANGE(""https://docs.google.com/spreadsheets/d/1QqKyyYR6Q21VydFLVH3TRQUabQu_ym0Zz7PgGX0-kHA/edit?usp=sharing"",""แผน!AH21"")"),0)</f>
        <v>0</v>
      </c>
      <c r="M202" s="465"/>
      <c r="N202" s="789">
        <v>0</v>
      </c>
      <c r="O202" s="465"/>
      <c r="P202" s="465"/>
      <c r="Q202" s="285"/>
      <c r="R202" s="285"/>
      <c r="S202" s="285"/>
      <c r="T202" s="285"/>
      <c r="U202" s="285"/>
      <c r="V202" s="285"/>
      <c r="W202" s="285"/>
      <c r="X202" s="285"/>
      <c r="Y202" s="285"/>
      <c r="Z202" s="285"/>
    </row>
    <row r="203" spans="1:26" ht="19.5">
      <c r="A203" s="170"/>
      <c r="B203" s="171"/>
      <c r="C203" s="210" t="s">
        <v>16</v>
      </c>
      <c r="D203" s="818" t="s">
        <v>38</v>
      </c>
      <c r="E203" s="173"/>
      <c r="F203" s="173"/>
      <c r="G203" s="174"/>
      <c r="H203" s="726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343" t="s">
        <v>101</v>
      </c>
      <c r="E204" s="342"/>
      <c r="F204" s="342"/>
      <c r="G204" s="179"/>
      <c r="H204" s="726" t="s">
        <v>96</v>
      </c>
      <c r="I204" s="269">
        <f ca="1">IFERROR(__xludf.DUMMYFUNCTION("IMPORTRANGE(""https://docs.google.com/spreadsheets/d/1QqKyyYR6Q21VydFLVH3TRQUabQu_ym0Zz7PgGX0-kHA/edit?usp=sharing"",""แผน!AI21"")"),3)</f>
        <v>3</v>
      </c>
      <c r="J204" s="214">
        <v>0</v>
      </c>
      <c r="K204" s="163">
        <f ca="1">IF(I204&gt;0,J204*100/I204,0)</f>
        <v>0</v>
      </c>
      <c r="L204" s="465"/>
      <c r="M204" s="465"/>
      <c r="N204" s="465"/>
      <c r="O204" s="465"/>
      <c r="P204" s="465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15" t="s">
        <v>59</v>
      </c>
      <c r="E205" s="342"/>
      <c r="F205" s="342"/>
      <c r="G205" s="179"/>
      <c r="H205" s="726"/>
      <c r="I205" s="269"/>
      <c r="J205" s="269"/>
      <c r="K205" s="163"/>
      <c r="L205" s="465"/>
      <c r="M205" s="465"/>
      <c r="N205" s="465"/>
      <c r="O205" s="465"/>
      <c r="P205" s="465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342"/>
      <c r="E206" s="494" t="s">
        <v>102</v>
      </c>
      <c r="F206" s="286"/>
      <c r="G206" s="287"/>
      <c r="H206" s="288" t="s">
        <v>96</v>
      </c>
      <c r="I206" s="269">
        <v>3</v>
      </c>
      <c r="J206" s="214">
        <v>0</v>
      </c>
      <c r="K206" s="163">
        <f t="shared" ref="K206:K208" si="99">IF(I206&gt;0,J206*100/I206,0)</f>
        <v>0</v>
      </c>
      <c r="L206" s="465"/>
      <c r="M206" s="465"/>
      <c r="N206" s="465"/>
      <c r="O206" s="465"/>
      <c r="P206" s="465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15"/>
      <c r="E207" s="415" t="s">
        <v>103</v>
      </c>
      <c r="F207" s="342"/>
      <c r="G207" s="342"/>
      <c r="H207" s="289" t="s">
        <v>104</v>
      </c>
      <c r="I207" s="269">
        <v>0</v>
      </c>
      <c r="J207" s="214">
        <v>0</v>
      </c>
      <c r="K207" s="163">
        <f t="shared" si="99"/>
        <v>0</v>
      </c>
      <c r="L207" s="465"/>
      <c r="M207" s="465"/>
      <c r="N207" s="465"/>
      <c r="O207" s="465"/>
      <c r="P207" s="465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 hidden="1">
      <c r="A208" s="255"/>
      <c r="B208" s="263"/>
      <c r="C208" s="339" t="s">
        <v>105</v>
      </c>
      <c r="D208" s="256"/>
      <c r="E208" s="256"/>
      <c r="F208" s="290"/>
      <c r="G208" s="258"/>
      <c r="H208" s="277" t="s">
        <v>96</v>
      </c>
      <c r="I208" s="271">
        <f t="shared" ref="I208:J208" ca="1" si="100">I215</f>
        <v>0</v>
      </c>
      <c r="J208" s="271">
        <f t="shared" si="100"/>
        <v>0</v>
      </c>
      <c r="K208" s="272">
        <f t="shared" ca="1" si="99"/>
        <v>0</v>
      </c>
      <c r="L208" s="261"/>
      <c r="M208" s="261"/>
      <c r="N208" s="261"/>
      <c r="O208" s="261"/>
      <c r="P208" s="261"/>
    </row>
    <row r="209" spans="1:26" ht="19.5" hidden="1">
      <c r="A209" s="147"/>
      <c r="B209" s="148"/>
      <c r="C209" s="149" t="s">
        <v>16</v>
      </c>
      <c r="D209" s="822" t="s">
        <v>17</v>
      </c>
      <c r="E209" s="148"/>
      <c r="F209" s="148"/>
      <c r="G209" s="151"/>
      <c r="H209" s="274" t="s">
        <v>12</v>
      </c>
      <c r="I209" s="387"/>
      <c r="J209" s="387"/>
      <c r="K209" s="279"/>
      <c r="L209" s="155">
        <f ca="1">L210+L211+L212</f>
        <v>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 hidden="1">
      <c r="A210" s="159"/>
      <c r="B210" s="280"/>
      <c r="C210" s="33"/>
      <c r="D210" s="281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65">
        <f ca="1">IFERROR(__xludf.DUMMYFUNCTION("IMPORTRANGE(""https://docs.google.com/spreadsheets/d/1QqKyyYR6Q21VydFLVH3TRQUabQu_ym0Zz7PgGX0-kHA/edit?usp=sharing"",""แผน!AK21"")"),0)</f>
        <v>0</v>
      </c>
      <c r="M210" s="465"/>
      <c r="N210" s="789">
        <v>0</v>
      </c>
      <c r="O210" s="465"/>
      <c r="P210" s="465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 hidden="1">
      <c r="A211" s="283"/>
      <c r="B211" s="280"/>
      <c r="C211" s="291"/>
      <c r="D211" s="281" t="s">
        <v>99</v>
      </c>
      <c r="E211" s="33"/>
      <c r="F211" s="33"/>
      <c r="G211" s="35"/>
      <c r="H211" s="161" t="s">
        <v>12</v>
      </c>
      <c r="I211" s="269"/>
      <c r="J211" s="269"/>
      <c r="K211" s="465"/>
      <c r="L211" s="465">
        <f ca="1">IFERROR(__xludf.DUMMYFUNCTION("IMPORTRANGE(""https://docs.google.com/spreadsheets/d/1QqKyyYR6Q21VydFLVH3TRQUabQu_ym0Zz7PgGX0-kHA/edit?usp=sharing"",""แผน!AL21"")"),0)</f>
        <v>0</v>
      </c>
      <c r="M211" s="465"/>
      <c r="N211" s="789">
        <v>0</v>
      </c>
      <c r="O211" s="465"/>
      <c r="P211" s="465"/>
      <c r="Q211" s="285"/>
      <c r="R211" s="285"/>
      <c r="S211" s="285"/>
      <c r="T211" s="285"/>
      <c r="U211" s="285"/>
      <c r="V211" s="285"/>
      <c r="W211" s="285"/>
      <c r="X211" s="285"/>
      <c r="Y211" s="285"/>
      <c r="Z211" s="285"/>
    </row>
    <row r="212" spans="1:26" ht="19.5" hidden="1">
      <c r="A212" s="283"/>
      <c r="B212" s="280"/>
      <c r="C212" s="291"/>
      <c r="D212" s="281" t="s">
        <v>98</v>
      </c>
      <c r="E212" s="33"/>
      <c r="F212" s="33"/>
      <c r="G212" s="35"/>
      <c r="H212" s="161" t="s">
        <v>12</v>
      </c>
      <c r="I212" s="269"/>
      <c r="J212" s="269"/>
      <c r="K212" s="465"/>
      <c r="L212" s="465">
        <f ca="1">IFERROR(__xludf.DUMMYFUNCTION("IMPORTRANGE(""https://docs.google.com/spreadsheets/d/1QqKyyYR6Q21VydFLVH3TRQUabQu_ym0Zz7PgGX0-kHA/edit?usp=sharing"",""แผน!AM21"")"),0)</f>
        <v>0</v>
      </c>
      <c r="M212" s="465"/>
      <c r="N212" s="789">
        <v>0</v>
      </c>
      <c r="O212" s="465"/>
      <c r="P212" s="465"/>
      <c r="Q212" s="285"/>
      <c r="R212" s="285"/>
      <c r="S212" s="285"/>
      <c r="T212" s="285"/>
      <c r="U212" s="285"/>
      <c r="V212" s="285"/>
      <c r="W212" s="285"/>
      <c r="X212" s="285"/>
      <c r="Y212" s="285"/>
      <c r="Z212" s="285"/>
    </row>
    <row r="213" spans="1:26" ht="19.5" hidden="1">
      <c r="A213" s="170"/>
      <c r="B213" s="171"/>
      <c r="C213" s="291" t="s">
        <v>16</v>
      </c>
      <c r="D213" s="818" t="s">
        <v>38</v>
      </c>
      <c r="E213" s="173"/>
      <c r="F213" s="173"/>
      <c r="G213" s="174"/>
      <c r="H213" s="726"/>
      <c r="I213" s="184"/>
      <c r="J213" s="269"/>
      <c r="K213" s="465"/>
      <c r="L213" s="465"/>
      <c r="M213" s="465"/>
      <c r="N213" s="465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 hidden="1">
      <c r="A214" s="170"/>
      <c r="B214" s="171"/>
      <c r="C214" s="171"/>
      <c r="D214" s="343" t="s">
        <v>106</v>
      </c>
      <c r="E214" s="342"/>
      <c r="F214" s="342"/>
      <c r="G214" s="179"/>
      <c r="H214" s="726" t="s">
        <v>96</v>
      </c>
      <c r="I214" s="269">
        <f ca="1">IFERROR(__xludf.DUMMYFUNCTION("IMPORTRANGE(""https://docs.google.com/spreadsheets/d/1QqKyyYR6Q21VydFLVH3TRQUabQu_ym0Zz7PgGX0-kHA/edit?usp=sharing"",""แผน!AN21"")"),0)</f>
        <v>0</v>
      </c>
      <c r="J214" s="214">
        <v>0</v>
      </c>
      <c r="K214" s="465">
        <f t="shared" ref="K214:K216" ca="1" si="101">IF(I214&gt;0,J214*100/I214,0)</f>
        <v>0</v>
      </c>
      <c r="L214" s="465"/>
      <c r="M214" s="465"/>
      <c r="N214" s="465"/>
      <c r="O214" s="465"/>
      <c r="P214" s="465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 hidden="1">
      <c r="A215" s="170"/>
      <c r="B215" s="171"/>
      <c r="C215" s="171"/>
      <c r="D215" s="343" t="s">
        <v>107</v>
      </c>
      <c r="E215" s="342"/>
      <c r="F215" s="342"/>
      <c r="G215" s="179"/>
      <c r="H215" s="726" t="s">
        <v>96</v>
      </c>
      <c r="I215" s="269">
        <f ca="1">IFERROR(__xludf.DUMMYFUNCTION("IMPORTRANGE(""https://docs.google.com/spreadsheets/d/1QqKyyYR6Q21VydFLVH3TRQUabQu_ym0Zz7PgGX0-kHA/edit?usp=sharing"",""แผน!AN21"")"),0)</f>
        <v>0</v>
      </c>
      <c r="J215" s="214">
        <v>0</v>
      </c>
      <c r="K215" s="465">
        <f t="shared" ca="1" si="101"/>
        <v>0</v>
      </c>
      <c r="L215" s="465"/>
      <c r="M215" s="465"/>
      <c r="N215" s="465"/>
      <c r="O215" s="465"/>
      <c r="P215" s="465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5"/>
      <c r="B216" s="263"/>
      <c r="C216" s="339" t="s">
        <v>108</v>
      </c>
      <c r="D216" s="256"/>
      <c r="E216" s="256"/>
      <c r="F216" s="290"/>
      <c r="G216" s="258"/>
      <c r="H216" s="259" t="s">
        <v>109</v>
      </c>
      <c r="I216" s="271">
        <f t="shared" ref="I216:J216" ca="1" si="102">I224</f>
        <v>20000</v>
      </c>
      <c r="J216" s="271">
        <f t="shared" si="102"/>
        <v>0</v>
      </c>
      <c r="K216" s="272">
        <f t="shared" ca="1" si="101"/>
        <v>0</v>
      </c>
      <c r="L216" s="261"/>
      <c r="M216" s="261"/>
      <c r="N216" s="261"/>
      <c r="O216" s="261"/>
      <c r="P216" s="261"/>
    </row>
    <row r="217" spans="1:26" ht="19.5">
      <c r="A217" s="147"/>
      <c r="B217" s="148"/>
      <c r="C217" s="149" t="s">
        <v>16</v>
      </c>
      <c r="D217" s="822" t="s">
        <v>17</v>
      </c>
      <c r="E217" s="148"/>
      <c r="F217" s="148"/>
      <c r="G217" s="151"/>
      <c r="H217" s="274" t="s">
        <v>12</v>
      </c>
      <c r="I217" s="387"/>
      <c r="J217" s="387"/>
      <c r="K217" s="279"/>
      <c r="L217" s="155">
        <f ca="1">L218+L219+L220</f>
        <v>8000</v>
      </c>
      <c r="M217" s="155"/>
      <c r="N217" s="155">
        <f>N218+N219+N220</f>
        <v>0</v>
      </c>
      <c r="O217" s="155">
        <f ca="1">IF(L217&gt;0,N217*100/L217,0)</f>
        <v>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0"/>
      <c r="C218" s="33"/>
      <c r="D218" s="281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65">
        <f ca="1">IFERROR(__xludf.DUMMYFUNCTION("IMPORTRANGE(""https://docs.google.com/spreadsheets/d/1QqKyyYR6Q21VydFLVH3TRQUabQu_ym0Zz7PgGX0-kHA/edit?usp=sharing"",""แผน!AP21"")"),3000)</f>
        <v>3000</v>
      </c>
      <c r="M218" s="465"/>
      <c r="N218" s="789">
        <v>0</v>
      </c>
      <c r="O218" s="465"/>
      <c r="P218" s="465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3"/>
      <c r="B219" s="280"/>
      <c r="C219" s="291"/>
      <c r="D219" s="281" t="s">
        <v>110</v>
      </c>
      <c r="E219" s="33"/>
      <c r="F219" s="33"/>
      <c r="G219" s="35"/>
      <c r="H219" s="161" t="s">
        <v>12</v>
      </c>
      <c r="I219" s="269"/>
      <c r="J219" s="269"/>
      <c r="K219" s="465"/>
      <c r="L219" s="465">
        <f ca="1">IFERROR(__xludf.DUMMYFUNCTION("IMPORTRANGE(""https://docs.google.com/spreadsheets/d/1QqKyyYR6Q21VydFLVH3TRQUabQu_ym0Zz7PgGX0-kHA/edit?usp=sharing"",""แผน!AQ21"")"),5000)</f>
        <v>5000</v>
      </c>
      <c r="M219" s="465"/>
      <c r="N219" s="789">
        <v>0</v>
      </c>
      <c r="O219" s="465"/>
      <c r="P219" s="465"/>
      <c r="Q219" s="285"/>
      <c r="R219" s="285"/>
      <c r="S219" s="285"/>
      <c r="T219" s="285"/>
      <c r="U219" s="285"/>
      <c r="V219" s="285"/>
      <c r="W219" s="285"/>
      <c r="X219" s="285"/>
      <c r="Y219" s="285"/>
      <c r="Z219" s="285"/>
    </row>
    <row r="220" spans="1:26" ht="19.5">
      <c r="A220" s="283"/>
      <c r="B220" s="280"/>
      <c r="C220" s="291"/>
      <c r="D220" s="281" t="s">
        <v>98</v>
      </c>
      <c r="E220" s="33"/>
      <c r="F220" s="33"/>
      <c r="G220" s="35"/>
      <c r="H220" s="161" t="s">
        <v>12</v>
      </c>
      <c r="I220" s="269"/>
      <c r="J220" s="269"/>
      <c r="K220" s="465"/>
      <c r="L220" s="465">
        <f ca="1">IFERROR(__xludf.DUMMYFUNCTION("IMPORTRANGE(""https://docs.google.com/spreadsheets/d/1QqKyyYR6Q21VydFLVH3TRQUabQu_ym0Zz7PgGX0-kHA/edit?usp=sharing"",""แผน!AR21"")"),0)</f>
        <v>0</v>
      </c>
      <c r="M220" s="465"/>
      <c r="N220" s="789">
        <v>0</v>
      </c>
      <c r="O220" s="465"/>
      <c r="P220" s="465"/>
      <c r="Q220" s="285"/>
      <c r="R220" s="285"/>
      <c r="S220" s="285"/>
      <c r="T220" s="285"/>
      <c r="U220" s="285"/>
      <c r="V220" s="285"/>
      <c r="W220" s="285"/>
      <c r="X220" s="285"/>
      <c r="Y220" s="285"/>
      <c r="Z220" s="285"/>
    </row>
    <row r="221" spans="1:26" ht="19.5">
      <c r="A221" s="170"/>
      <c r="B221" s="171"/>
      <c r="C221" s="291" t="s">
        <v>16</v>
      </c>
      <c r="D221" s="818" t="s">
        <v>38</v>
      </c>
      <c r="E221" s="173"/>
      <c r="F221" s="173"/>
      <c r="G221" s="174"/>
      <c r="H221" s="726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1" t="s">
        <v>111</v>
      </c>
      <c r="E222" s="342"/>
      <c r="F222" s="342"/>
      <c r="G222" s="179"/>
      <c r="H222" s="726"/>
      <c r="I222" s="269"/>
      <c r="J222" s="269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343" t="s">
        <v>112</v>
      </c>
      <c r="F223" s="342"/>
      <c r="G223" s="179"/>
      <c r="H223" s="728" t="s">
        <v>109</v>
      </c>
      <c r="I223" s="269">
        <f ca="1">IFERROR(__xludf.DUMMYFUNCTION("IMPORTRANGE(""https://docs.google.com/spreadsheets/d/1QqKyyYR6Q21VydFLVH3TRQUabQu_ym0Zz7PgGX0-kHA/edit?usp=sharing"",""แผน!AT21"")"),20000)</f>
        <v>20000</v>
      </c>
      <c r="J223" s="214">
        <v>0</v>
      </c>
      <c r="K223" s="163">
        <f t="shared" ref="K223:K226" ca="1" si="103">IF(I223&gt;0,J223*100/I223,0)</f>
        <v>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343" t="s">
        <v>113</v>
      </c>
      <c r="F224" s="342"/>
      <c r="G224" s="179"/>
      <c r="H224" s="728" t="s">
        <v>109</v>
      </c>
      <c r="I224" s="269">
        <f ca="1">IFERROR(__xludf.DUMMYFUNCTION("IMPORTRANGE(""https://docs.google.com/spreadsheets/d/1QqKyyYR6Q21VydFLVH3TRQUabQu_ym0Zz7PgGX0-kHA/edit?usp=sharing"",""แผน!AT21"")"),20000)</f>
        <v>20000</v>
      </c>
      <c r="J224" s="214">
        <v>0</v>
      </c>
      <c r="K224" s="163">
        <f t="shared" ca="1" si="103"/>
        <v>0</v>
      </c>
      <c r="L224" s="465"/>
      <c r="M224" s="465"/>
      <c r="N224" s="465"/>
      <c r="O224" s="465"/>
      <c r="P224" s="465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1" t="s">
        <v>114</v>
      </c>
      <c r="E225" s="342"/>
      <c r="F225" s="342"/>
      <c r="G225" s="179"/>
      <c r="H225" s="728" t="s">
        <v>35</v>
      </c>
      <c r="I225" s="269">
        <f ca="1">IFERROR(__xludf.DUMMYFUNCTION("IMPORTRANGE(""https://docs.google.com/spreadsheets/d/1QqKyyYR6Q21VydFLVH3TRQUabQu_ym0Zz7PgGX0-kHA/edit?usp=sharing"",""แผน!AS21"")"),0)</f>
        <v>0</v>
      </c>
      <c r="J225" s="214">
        <v>0</v>
      </c>
      <c r="K225" s="163">
        <f t="shared" ca="1" si="103"/>
        <v>0</v>
      </c>
      <c r="L225" s="465"/>
      <c r="M225" s="465"/>
      <c r="N225" s="465"/>
      <c r="O225" s="465"/>
      <c r="P225" s="465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5"/>
      <c r="B226" s="263"/>
      <c r="C226" s="823" t="s">
        <v>115</v>
      </c>
      <c r="D226" s="256"/>
      <c r="E226" s="256"/>
      <c r="F226" s="256"/>
      <c r="G226" s="258"/>
      <c r="H226" s="265" t="s">
        <v>35</v>
      </c>
      <c r="I226" s="824">
        <f t="shared" ref="I226:J226" ca="1" si="104">I237+I248</f>
        <v>0</v>
      </c>
      <c r="J226" s="824">
        <f t="shared" si="104"/>
        <v>0</v>
      </c>
      <c r="K226" s="825">
        <f t="shared" ca="1" si="103"/>
        <v>0</v>
      </c>
      <c r="L226" s="261"/>
      <c r="M226" s="261"/>
      <c r="N226" s="261"/>
      <c r="O226" s="261"/>
      <c r="P226" s="261"/>
    </row>
    <row r="227" spans="1:26" ht="19.5" hidden="1">
      <c r="A227" s="826"/>
      <c r="B227" s="827"/>
      <c r="C227" s="828" t="s">
        <v>16</v>
      </c>
      <c r="D227" s="829" t="s">
        <v>17</v>
      </c>
      <c r="E227" s="827"/>
      <c r="F227" s="827"/>
      <c r="G227" s="830"/>
      <c r="H227" s="831" t="s">
        <v>12</v>
      </c>
      <c r="I227" s="832"/>
      <c r="J227" s="832"/>
      <c r="K227" s="833"/>
      <c r="L227" s="834">
        <f t="shared" ref="L227:L231" ca="1" si="105">L238+L249</f>
        <v>0</v>
      </c>
      <c r="M227" s="834"/>
      <c r="N227" s="834">
        <f t="shared" ref="N227:N231" si="106">N238+N249</f>
        <v>0</v>
      </c>
      <c r="O227" s="835"/>
      <c r="P227" s="835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542"/>
      <c r="C228" s="40"/>
      <c r="D228" s="222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5"/>
        <v>0</v>
      </c>
      <c r="M228" s="93"/>
      <c r="N228" s="93">
        <f t="shared" si="106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836"/>
      <c r="B229" s="542"/>
      <c r="C229" s="837"/>
      <c r="D229" s="222" t="s">
        <v>98</v>
      </c>
      <c r="E229" s="40"/>
      <c r="F229" s="40"/>
      <c r="G229" s="42"/>
      <c r="H229" s="165" t="s">
        <v>12</v>
      </c>
      <c r="I229" s="583"/>
      <c r="J229" s="583"/>
      <c r="K229" s="93"/>
      <c r="L229" s="93">
        <f t="shared" ca="1" si="105"/>
        <v>0</v>
      </c>
      <c r="M229" s="93"/>
      <c r="N229" s="93">
        <f t="shared" si="106"/>
        <v>0</v>
      </c>
      <c r="O229" s="93"/>
      <c r="P229" s="93"/>
      <c r="Q229" s="838"/>
      <c r="R229" s="838"/>
      <c r="S229" s="838"/>
      <c r="T229" s="838"/>
      <c r="U229" s="838"/>
      <c r="V229" s="838"/>
      <c r="W229" s="838"/>
      <c r="X229" s="838"/>
      <c r="Y229" s="838"/>
      <c r="Z229" s="838"/>
    </row>
    <row r="230" spans="1:26" ht="19.5" hidden="1">
      <c r="A230" s="836"/>
      <c r="B230" s="542"/>
      <c r="C230" s="837"/>
      <c r="D230" s="222" t="s">
        <v>116</v>
      </c>
      <c r="E230" s="40"/>
      <c r="F230" s="40"/>
      <c r="G230" s="42"/>
      <c r="H230" s="165" t="s">
        <v>12</v>
      </c>
      <c r="I230" s="583"/>
      <c r="J230" s="583"/>
      <c r="K230" s="93"/>
      <c r="L230" s="93">
        <f t="shared" ca="1" si="105"/>
        <v>0</v>
      </c>
      <c r="M230" s="93"/>
      <c r="N230" s="93">
        <f t="shared" si="106"/>
        <v>0</v>
      </c>
      <c r="O230" s="93"/>
      <c r="P230" s="93"/>
      <c r="Q230" s="838"/>
      <c r="R230" s="838"/>
      <c r="S230" s="838"/>
      <c r="T230" s="838"/>
      <c r="U230" s="838"/>
      <c r="V230" s="838"/>
      <c r="W230" s="838"/>
      <c r="X230" s="838"/>
      <c r="Y230" s="838"/>
      <c r="Z230" s="838"/>
    </row>
    <row r="231" spans="1:26" ht="19.5" hidden="1">
      <c r="A231" s="836"/>
      <c r="B231" s="542"/>
      <c r="C231" s="837"/>
      <c r="D231" s="222" t="s">
        <v>100</v>
      </c>
      <c r="E231" s="40"/>
      <c r="F231" s="40"/>
      <c r="G231" s="42"/>
      <c r="H231" s="165" t="s">
        <v>12</v>
      </c>
      <c r="I231" s="583"/>
      <c r="J231" s="583"/>
      <c r="K231" s="93"/>
      <c r="L231" s="93">
        <f t="shared" ca="1" si="105"/>
        <v>0</v>
      </c>
      <c r="M231" s="93"/>
      <c r="N231" s="93">
        <f t="shared" si="106"/>
        <v>0</v>
      </c>
      <c r="O231" s="93"/>
      <c r="P231" s="93"/>
      <c r="Q231" s="838"/>
      <c r="R231" s="838"/>
      <c r="S231" s="838"/>
      <c r="T231" s="838"/>
      <c r="U231" s="838"/>
      <c r="V231" s="838"/>
      <c r="W231" s="838"/>
      <c r="X231" s="838"/>
      <c r="Y231" s="838"/>
      <c r="Z231" s="838"/>
    </row>
    <row r="232" spans="1:26" ht="19.5" hidden="1">
      <c r="A232" s="839"/>
      <c r="B232" s="840"/>
      <c r="C232" s="837" t="s">
        <v>16</v>
      </c>
      <c r="D232" s="266" t="s">
        <v>38</v>
      </c>
      <c r="E232" s="841"/>
      <c r="F232" s="841"/>
      <c r="G232" s="842"/>
      <c r="H232" s="581"/>
      <c r="I232" s="166"/>
      <c r="J232" s="583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839"/>
      <c r="B233" s="840"/>
      <c r="C233" s="840"/>
      <c r="D233" s="268" t="s">
        <v>117</v>
      </c>
      <c r="E233" s="536"/>
      <c r="F233" s="536"/>
      <c r="G233" s="843"/>
      <c r="H233" s="582" t="s">
        <v>35</v>
      </c>
      <c r="I233" s="583">
        <f t="shared" ref="I233:J233" ca="1" si="107">I244+I255</f>
        <v>0</v>
      </c>
      <c r="J233" s="583">
        <f t="shared" si="107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839"/>
      <c r="B234" s="840"/>
      <c r="C234" s="840"/>
      <c r="D234" s="844" t="s">
        <v>43</v>
      </c>
      <c r="E234" s="536"/>
      <c r="F234" s="536"/>
      <c r="G234" s="843"/>
      <c r="H234" s="582"/>
      <c r="I234" s="583"/>
      <c r="J234" s="583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839"/>
      <c r="B235" s="840"/>
      <c r="C235" s="840"/>
      <c r="D235" s="840"/>
      <c r="E235" s="267" t="s">
        <v>118</v>
      </c>
      <c r="F235" s="536"/>
      <c r="G235" s="843"/>
      <c r="H235" s="582" t="s">
        <v>35</v>
      </c>
      <c r="I235" s="583">
        <f t="shared" ref="I235:J236" si="108">I246+I257</f>
        <v>0</v>
      </c>
      <c r="J235" s="583">
        <f t="shared" si="108"/>
        <v>0</v>
      </c>
      <c r="K235" s="93">
        <f t="shared" ref="K235:K237" si="109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839"/>
      <c r="B236" s="840"/>
      <c r="C236" s="840"/>
      <c r="D236" s="840"/>
      <c r="E236" s="267" t="s">
        <v>119</v>
      </c>
      <c r="F236" s="536"/>
      <c r="G236" s="843"/>
      <c r="H236" s="582" t="s">
        <v>69</v>
      </c>
      <c r="I236" s="583">
        <f t="shared" si="108"/>
        <v>0</v>
      </c>
      <c r="J236" s="583">
        <f t="shared" si="108"/>
        <v>0</v>
      </c>
      <c r="K236" s="93">
        <f t="shared" si="109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5"/>
      <c r="B237" s="263"/>
      <c r="C237" s="339" t="s">
        <v>330</v>
      </c>
      <c r="D237" s="256"/>
      <c r="E237" s="256"/>
      <c r="F237" s="256"/>
      <c r="G237" s="258"/>
      <c r="H237" s="259" t="s">
        <v>35</v>
      </c>
      <c r="I237" s="271">
        <f t="shared" ref="I237:J237" ca="1" si="110">I244</f>
        <v>0</v>
      </c>
      <c r="J237" s="271">
        <f t="shared" si="110"/>
        <v>0</v>
      </c>
      <c r="K237" s="272">
        <f t="shared" ca="1" si="109"/>
        <v>0</v>
      </c>
      <c r="L237" s="261"/>
      <c r="M237" s="261"/>
      <c r="N237" s="261"/>
      <c r="O237" s="261"/>
      <c r="P237" s="261"/>
    </row>
    <row r="238" spans="1:26" ht="19.5" hidden="1">
      <c r="A238" s="147"/>
      <c r="B238" s="148"/>
      <c r="C238" s="149" t="s">
        <v>16</v>
      </c>
      <c r="D238" s="817" t="s">
        <v>17</v>
      </c>
      <c r="E238" s="148"/>
      <c r="F238" s="148"/>
      <c r="G238" s="151"/>
      <c r="H238" s="274" t="s">
        <v>12</v>
      </c>
      <c r="I238" s="387"/>
      <c r="J238" s="387"/>
      <c r="K238" s="279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3"/>
      <c r="B239" s="314"/>
      <c r="C239" s="315"/>
      <c r="D239" s="324" t="s">
        <v>97</v>
      </c>
      <c r="E239" s="315"/>
      <c r="F239" s="315"/>
      <c r="G239" s="317"/>
      <c r="H239" s="318" t="s">
        <v>12</v>
      </c>
      <c r="I239" s="319"/>
      <c r="J239" s="319"/>
      <c r="K239" s="320"/>
      <c r="L239" s="321">
        <f ca="1">IFERROR(__xludf.DUMMYFUNCTION("IMPORTRANGE(""https://docs.google.com/spreadsheets/d/1QqKyyYR6Q21VydFLVH3TRQUabQu_ym0Zz7PgGX0-kHA/edit?usp=sharing"",""แผน!AV21"")"),0)</f>
        <v>0</v>
      </c>
      <c r="M239" s="321"/>
      <c r="N239" s="340">
        <v>0</v>
      </c>
      <c r="O239" s="321"/>
      <c r="P239" s="321"/>
      <c r="Q239" s="312"/>
      <c r="R239" s="312"/>
      <c r="S239" s="312"/>
      <c r="T239" s="312"/>
      <c r="U239" s="312"/>
      <c r="V239" s="312"/>
      <c r="W239" s="312"/>
      <c r="X239" s="312"/>
      <c r="Y239" s="312"/>
      <c r="Z239" s="312"/>
    </row>
    <row r="240" spans="1:26" ht="19.5" hidden="1">
      <c r="A240" s="322"/>
      <c r="B240" s="314"/>
      <c r="C240" s="323"/>
      <c r="D240" s="324" t="s">
        <v>98</v>
      </c>
      <c r="E240" s="315"/>
      <c r="F240" s="315"/>
      <c r="G240" s="317"/>
      <c r="H240" s="318" t="s">
        <v>12</v>
      </c>
      <c r="I240" s="325"/>
      <c r="J240" s="325"/>
      <c r="K240" s="321"/>
      <c r="L240" s="321">
        <f ca="1">IFERROR(__xludf.DUMMYFUNCTION("IMPORTRANGE(""https://docs.google.com/spreadsheets/d/1QqKyyYR6Q21VydFLVH3TRQUabQu_ym0Zz7PgGX0-kHA/edit?usp=sharing"",""แผน!AW21"")"),0)</f>
        <v>0</v>
      </c>
      <c r="M240" s="321"/>
      <c r="N240" s="340">
        <v>0</v>
      </c>
      <c r="O240" s="321"/>
      <c r="P240" s="321"/>
      <c r="Q240" s="326"/>
      <c r="R240" s="326"/>
      <c r="S240" s="326"/>
      <c r="T240" s="326"/>
      <c r="U240" s="326"/>
      <c r="V240" s="326"/>
      <c r="W240" s="326"/>
      <c r="X240" s="326"/>
      <c r="Y240" s="326"/>
      <c r="Z240" s="326"/>
    </row>
    <row r="241" spans="1:26" ht="19.5" hidden="1">
      <c r="A241" s="322"/>
      <c r="B241" s="314"/>
      <c r="C241" s="323"/>
      <c r="D241" s="324" t="s">
        <v>116</v>
      </c>
      <c r="E241" s="315"/>
      <c r="F241" s="315"/>
      <c r="G241" s="317"/>
      <c r="H241" s="318" t="s">
        <v>12</v>
      </c>
      <c r="I241" s="325"/>
      <c r="J241" s="325"/>
      <c r="K241" s="321"/>
      <c r="L241" s="321">
        <f ca="1">IFERROR(__xludf.DUMMYFUNCTION("IMPORTRANGE(""https://docs.google.com/spreadsheets/d/1QqKyyYR6Q21VydFLVH3TRQUabQu_ym0Zz7PgGX0-kHA/edit?usp=sharing"",""แผน!AX21"")"),0)</f>
        <v>0</v>
      </c>
      <c r="M241" s="321"/>
      <c r="N241" s="340">
        <v>0</v>
      </c>
      <c r="O241" s="321"/>
      <c r="P241" s="321"/>
      <c r="Q241" s="326"/>
      <c r="R241" s="326"/>
      <c r="S241" s="326"/>
      <c r="T241" s="326"/>
      <c r="U241" s="326"/>
      <c r="V241" s="326"/>
      <c r="W241" s="326"/>
      <c r="X241" s="326"/>
      <c r="Y241" s="326"/>
      <c r="Z241" s="326"/>
    </row>
    <row r="242" spans="1:26" ht="19.5" hidden="1">
      <c r="A242" s="322"/>
      <c r="B242" s="314"/>
      <c r="C242" s="323"/>
      <c r="D242" s="324" t="s">
        <v>100</v>
      </c>
      <c r="E242" s="315"/>
      <c r="F242" s="315"/>
      <c r="G242" s="317"/>
      <c r="H242" s="318" t="s">
        <v>12</v>
      </c>
      <c r="I242" s="325"/>
      <c r="J242" s="325"/>
      <c r="K242" s="321"/>
      <c r="L242" s="321">
        <f ca="1">IFERROR(__xludf.DUMMYFUNCTION("IMPORTRANGE(""https://docs.google.com/spreadsheets/d/1QqKyyYR6Q21VydFLVH3TRQUabQu_ym0Zz7PgGX0-kHA/edit?usp=sharing"",""แผน!AY21"")"),0)</f>
        <v>0</v>
      </c>
      <c r="M242" s="321"/>
      <c r="N242" s="340">
        <v>0</v>
      </c>
      <c r="O242" s="321"/>
      <c r="P242" s="321"/>
      <c r="Q242" s="326"/>
      <c r="R242" s="326"/>
      <c r="S242" s="326"/>
      <c r="T242" s="326"/>
      <c r="U242" s="326"/>
      <c r="V242" s="326"/>
      <c r="W242" s="326"/>
      <c r="X242" s="326"/>
      <c r="Y242" s="326"/>
      <c r="Z242" s="326"/>
    </row>
    <row r="243" spans="1:26" ht="19.5" hidden="1">
      <c r="A243" s="170"/>
      <c r="B243" s="171"/>
      <c r="C243" s="291" t="s">
        <v>16</v>
      </c>
      <c r="D243" s="818" t="s">
        <v>38</v>
      </c>
      <c r="E243" s="173"/>
      <c r="F243" s="173"/>
      <c r="G243" s="174"/>
      <c r="H243" s="726"/>
      <c r="I243" s="184"/>
      <c r="J243" s="269"/>
      <c r="K243" s="465"/>
      <c r="L243" s="465"/>
      <c r="M243" s="465"/>
      <c r="N243" s="465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15" t="s">
        <v>117</v>
      </c>
      <c r="E244" s="342"/>
      <c r="F244" s="342"/>
      <c r="G244" s="179"/>
      <c r="H244" s="728" t="s">
        <v>35</v>
      </c>
      <c r="I244" s="269">
        <f ca="1">IFERROR(__xludf.DUMMYFUNCTION("IMPORTRANGE(""https://docs.google.com/spreadsheets/d/1QqKyyYR6Q21VydFLVH3TRQUabQu_ym0Zz7PgGX0-kHA/edit?usp=sharing"",""แผน!BE21"")"),0)</f>
        <v>0</v>
      </c>
      <c r="J244" s="214">
        <v>0</v>
      </c>
      <c r="K244" s="465">
        <f ca="1">IF(I244&gt;0,J244*100/I244,0)</f>
        <v>0</v>
      </c>
      <c r="L244" s="465"/>
      <c r="M244" s="465"/>
      <c r="N244" s="465"/>
      <c r="O244" s="465"/>
      <c r="P244" s="465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341" t="s">
        <v>43</v>
      </c>
      <c r="E245" s="342"/>
      <c r="F245" s="342"/>
      <c r="G245" s="179"/>
      <c r="H245" s="728"/>
      <c r="I245" s="269"/>
      <c r="J245" s="269"/>
      <c r="K245" s="465"/>
      <c r="L245" s="465"/>
      <c r="M245" s="465"/>
      <c r="N245" s="465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343" t="s">
        <v>118</v>
      </c>
      <c r="F246" s="342"/>
      <c r="G246" s="179"/>
      <c r="H246" s="728" t="s">
        <v>35</v>
      </c>
      <c r="I246" s="269"/>
      <c r="J246" s="214">
        <v>0</v>
      </c>
      <c r="K246" s="465">
        <f t="shared" ref="K246:K248" si="111">IF(I246&gt;0,J246*100/I246,0)</f>
        <v>0</v>
      </c>
      <c r="L246" s="465"/>
      <c r="M246" s="465"/>
      <c r="N246" s="465"/>
      <c r="O246" s="465"/>
      <c r="P246" s="465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343" t="s">
        <v>119</v>
      </c>
      <c r="F247" s="342"/>
      <c r="G247" s="179"/>
      <c r="H247" s="728" t="s">
        <v>69</v>
      </c>
      <c r="I247" s="269"/>
      <c r="J247" s="214">
        <v>0</v>
      </c>
      <c r="K247" s="465">
        <f t="shared" si="111"/>
        <v>0</v>
      </c>
      <c r="L247" s="465"/>
      <c r="M247" s="465"/>
      <c r="N247" s="465"/>
      <c r="O247" s="465"/>
      <c r="P247" s="465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5"/>
      <c r="B248" s="263"/>
      <c r="C248" s="339" t="s">
        <v>331</v>
      </c>
      <c r="D248" s="256"/>
      <c r="E248" s="256"/>
      <c r="F248" s="256"/>
      <c r="G248" s="258"/>
      <c r="H248" s="259" t="s">
        <v>35</v>
      </c>
      <c r="I248" s="271">
        <f t="shared" ref="I248:J248" ca="1" si="112">I255</f>
        <v>0</v>
      </c>
      <c r="J248" s="271">
        <f t="shared" si="112"/>
        <v>0</v>
      </c>
      <c r="K248" s="272">
        <f t="shared" ca="1" si="111"/>
        <v>0</v>
      </c>
      <c r="L248" s="261"/>
      <c r="M248" s="261"/>
      <c r="N248" s="261"/>
      <c r="O248" s="261"/>
      <c r="P248" s="261"/>
    </row>
    <row r="249" spans="1:26" ht="19.5" hidden="1">
      <c r="A249" s="147"/>
      <c r="B249" s="148"/>
      <c r="C249" s="149" t="s">
        <v>16</v>
      </c>
      <c r="D249" s="822" t="s">
        <v>17</v>
      </c>
      <c r="E249" s="148"/>
      <c r="F249" s="148"/>
      <c r="G249" s="151"/>
      <c r="H249" s="274" t="s">
        <v>12</v>
      </c>
      <c r="I249" s="387"/>
      <c r="J249" s="387"/>
      <c r="K249" s="279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3"/>
      <c r="B250" s="314"/>
      <c r="C250" s="315"/>
      <c r="D250" s="324" t="s">
        <v>97</v>
      </c>
      <c r="E250" s="315"/>
      <c r="F250" s="315"/>
      <c r="G250" s="317"/>
      <c r="H250" s="318" t="s">
        <v>12</v>
      </c>
      <c r="I250" s="319"/>
      <c r="J250" s="319"/>
      <c r="K250" s="320"/>
      <c r="L250" s="321">
        <f ca="1">IFERROR(__xludf.DUMMYFUNCTION("IMPORTRANGE(""https://docs.google.com/spreadsheets/d/1QqKyyYR6Q21VydFLVH3TRQUabQu_ym0Zz7PgGX0-kHA/edit?usp=sharing"",""แผน!AZ21"")"),0)</f>
        <v>0</v>
      </c>
      <c r="M250" s="321"/>
      <c r="N250" s="340">
        <v>0</v>
      </c>
      <c r="O250" s="321"/>
      <c r="P250" s="321"/>
      <c r="Q250" s="312"/>
      <c r="R250" s="312"/>
      <c r="S250" s="312"/>
      <c r="T250" s="312"/>
      <c r="U250" s="312"/>
      <c r="V250" s="312"/>
      <c r="W250" s="312"/>
      <c r="X250" s="312"/>
      <c r="Y250" s="312"/>
      <c r="Z250" s="312"/>
    </row>
    <row r="251" spans="1:26" ht="19.5" hidden="1">
      <c r="A251" s="322"/>
      <c r="B251" s="314"/>
      <c r="C251" s="323"/>
      <c r="D251" s="324" t="s">
        <v>98</v>
      </c>
      <c r="E251" s="315"/>
      <c r="F251" s="315"/>
      <c r="G251" s="317"/>
      <c r="H251" s="318" t="s">
        <v>12</v>
      </c>
      <c r="I251" s="325"/>
      <c r="J251" s="325"/>
      <c r="K251" s="321"/>
      <c r="L251" s="321">
        <f ca="1">IFERROR(__xludf.DUMMYFUNCTION("IMPORTRANGE(""https://docs.google.com/spreadsheets/d/1QqKyyYR6Q21VydFLVH3TRQUabQu_ym0Zz7PgGX0-kHA/edit?usp=sharing"",""แผน!BA21"")"),0)</f>
        <v>0</v>
      </c>
      <c r="M251" s="321"/>
      <c r="N251" s="340">
        <v>0</v>
      </c>
      <c r="O251" s="321"/>
      <c r="P251" s="321"/>
      <c r="Q251" s="326"/>
      <c r="R251" s="326"/>
      <c r="S251" s="326"/>
      <c r="T251" s="326"/>
      <c r="U251" s="326"/>
      <c r="V251" s="326"/>
      <c r="W251" s="326"/>
      <c r="X251" s="326"/>
      <c r="Y251" s="326"/>
      <c r="Z251" s="326"/>
    </row>
    <row r="252" spans="1:26" ht="19.5" hidden="1">
      <c r="A252" s="322"/>
      <c r="B252" s="314"/>
      <c r="C252" s="323"/>
      <c r="D252" s="324" t="s">
        <v>116</v>
      </c>
      <c r="E252" s="315"/>
      <c r="F252" s="315"/>
      <c r="G252" s="317"/>
      <c r="H252" s="318" t="s">
        <v>12</v>
      </c>
      <c r="I252" s="325"/>
      <c r="J252" s="325"/>
      <c r="K252" s="321"/>
      <c r="L252" s="321">
        <f ca="1">IFERROR(__xludf.DUMMYFUNCTION("IMPORTRANGE(""https://docs.google.com/spreadsheets/d/1QqKyyYR6Q21VydFLVH3TRQUabQu_ym0Zz7PgGX0-kHA/edit?usp=sharing"",""แผน!BB21"")"),0)</f>
        <v>0</v>
      </c>
      <c r="M252" s="321"/>
      <c r="N252" s="340">
        <v>0</v>
      </c>
      <c r="O252" s="321"/>
      <c r="P252" s="321"/>
      <c r="Q252" s="326"/>
      <c r="R252" s="326"/>
      <c r="S252" s="326"/>
      <c r="T252" s="326"/>
      <c r="U252" s="326"/>
      <c r="V252" s="326"/>
      <c r="W252" s="326"/>
      <c r="X252" s="326"/>
      <c r="Y252" s="326"/>
      <c r="Z252" s="326"/>
    </row>
    <row r="253" spans="1:26" ht="19.5" hidden="1">
      <c r="A253" s="322"/>
      <c r="B253" s="314"/>
      <c r="C253" s="323"/>
      <c r="D253" s="324" t="s">
        <v>100</v>
      </c>
      <c r="E253" s="315"/>
      <c r="F253" s="315"/>
      <c r="G253" s="317"/>
      <c r="H253" s="318" t="s">
        <v>12</v>
      </c>
      <c r="I253" s="325"/>
      <c r="J253" s="325"/>
      <c r="K253" s="321"/>
      <c r="L253" s="321">
        <f ca="1">IFERROR(__xludf.DUMMYFUNCTION("IMPORTRANGE(""https://docs.google.com/spreadsheets/d/1QqKyyYR6Q21VydFLVH3TRQUabQu_ym0Zz7PgGX0-kHA/edit?usp=sharing"",""แผน!BC21"")"),0)</f>
        <v>0</v>
      </c>
      <c r="M253" s="321"/>
      <c r="N253" s="340">
        <v>0</v>
      </c>
      <c r="O253" s="321"/>
      <c r="P253" s="321"/>
      <c r="Q253" s="326"/>
      <c r="R253" s="326"/>
      <c r="S253" s="326"/>
      <c r="T253" s="326"/>
      <c r="U253" s="326"/>
      <c r="V253" s="326"/>
      <c r="W253" s="326"/>
      <c r="X253" s="326"/>
      <c r="Y253" s="326"/>
      <c r="Z253" s="326"/>
    </row>
    <row r="254" spans="1:26" ht="19.5" hidden="1">
      <c r="A254" s="170"/>
      <c r="B254" s="171"/>
      <c r="C254" s="291" t="s">
        <v>16</v>
      </c>
      <c r="D254" s="818" t="s">
        <v>38</v>
      </c>
      <c r="E254" s="173"/>
      <c r="F254" s="173"/>
      <c r="G254" s="174"/>
      <c r="H254" s="726"/>
      <c r="I254" s="184"/>
      <c r="J254" s="269"/>
      <c r="K254" s="465"/>
      <c r="L254" s="465"/>
      <c r="M254" s="465"/>
      <c r="N254" s="465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15" t="s">
        <v>117</v>
      </c>
      <c r="E255" s="342"/>
      <c r="F255" s="342"/>
      <c r="G255" s="179"/>
      <c r="H255" s="728" t="s">
        <v>35</v>
      </c>
      <c r="I255" s="269">
        <f ca="1">IFERROR(__xludf.DUMMYFUNCTION("IMPORTRANGE(""https://docs.google.com/spreadsheets/d/1QqKyyYR6Q21VydFLVH3TRQUabQu_ym0Zz7PgGX0-kHA/edit?usp=sharing"",""แผน!BF21"")"),0)</f>
        <v>0</v>
      </c>
      <c r="J255" s="214">
        <v>0</v>
      </c>
      <c r="K255" s="465">
        <f ca="1">IF(I255&gt;0,J255*100/I255,0)</f>
        <v>0</v>
      </c>
      <c r="L255" s="465"/>
      <c r="M255" s="465"/>
      <c r="N255" s="465"/>
      <c r="O255" s="465"/>
      <c r="P255" s="465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341" t="s">
        <v>43</v>
      </c>
      <c r="E256" s="342"/>
      <c r="F256" s="342"/>
      <c r="G256" s="179"/>
      <c r="H256" s="728"/>
      <c r="I256" s="269"/>
      <c r="J256" s="269"/>
      <c r="K256" s="465"/>
      <c r="L256" s="465"/>
      <c r="M256" s="465"/>
      <c r="N256" s="465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343" t="s">
        <v>118</v>
      </c>
      <c r="F257" s="342"/>
      <c r="G257" s="179"/>
      <c r="H257" s="728" t="s">
        <v>35</v>
      </c>
      <c r="I257" s="269"/>
      <c r="J257" s="214">
        <v>0</v>
      </c>
      <c r="K257" s="465">
        <f t="shared" ref="K257:K258" si="113">IF(I257&gt;0,J257*100/I257,0)</f>
        <v>0</v>
      </c>
      <c r="L257" s="465"/>
      <c r="M257" s="465"/>
      <c r="N257" s="465"/>
      <c r="O257" s="465"/>
      <c r="P257" s="465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343" t="s">
        <v>119</v>
      </c>
      <c r="F258" s="342"/>
      <c r="G258" s="179"/>
      <c r="H258" s="728" t="s">
        <v>69</v>
      </c>
      <c r="I258" s="269"/>
      <c r="J258" s="214">
        <v>0</v>
      </c>
      <c r="K258" s="465">
        <f t="shared" si="113"/>
        <v>0</v>
      </c>
      <c r="L258" s="465"/>
      <c r="M258" s="465"/>
      <c r="N258" s="465"/>
      <c r="O258" s="465"/>
      <c r="P258" s="465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1" t="s">
        <v>122</v>
      </c>
      <c r="B259" s="242"/>
      <c r="C259" s="242"/>
      <c r="D259" s="243"/>
      <c r="E259" s="243"/>
      <c r="F259" s="243"/>
      <c r="G259" s="244"/>
      <c r="H259" s="245"/>
      <c r="I259" s="246"/>
      <c r="J259" s="246"/>
      <c r="K259" s="247"/>
      <c r="L259" s="247"/>
      <c r="M259" s="247"/>
      <c r="N259" s="247"/>
      <c r="O259" s="247"/>
      <c r="P259" s="247"/>
    </row>
    <row r="260" spans="1:26" ht="19.5">
      <c r="A260" s="248"/>
      <c r="B260" s="249" t="s">
        <v>123</v>
      </c>
      <c r="C260" s="250"/>
      <c r="D260" s="173"/>
      <c r="E260" s="173"/>
      <c r="F260" s="173"/>
      <c r="G260" s="174"/>
      <c r="H260" s="251" t="s">
        <v>35</v>
      </c>
      <c r="I260" s="252">
        <f t="shared" ref="I260:J260" ca="1" si="114">I271</f>
        <v>22</v>
      </c>
      <c r="J260" s="252">
        <f t="shared" si="114"/>
        <v>0</v>
      </c>
      <c r="K260" s="253">
        <f ca="1">IF(I260&gt;0,J260*100/I260,0)</f>
        <v>0</v>
      </c>
      <c r="L260" s="254"/>
      <c r="M260" s="254"/>
      <c r="N260" s="254"/>
      <c r="O260" s="254"/>
      <c r="P260" s="254"/>
    </row>
    <row r="261" spans="1:26" ht="19.5">
      <c r="A261" s="147"/>
      <c r="B261" s="148"/>
      <c r="C261" s="149" t="s">
        <v>16</v>
      </c>
      <c r="D261" s="817" t="s">
        <v>17</v>
      </c>
      <c r="E261" s="148"/>
      <c r="F261" s="148"/>
      <c r="G261" s="151"/>
      <c r="H261" s="152" t="s">
        <v>12</v>
      </c>
      <c r="I261" s="388"/>
      <c r="J261" s="388"/>
      <c r="K261" s="154"/>
      <c r="L261" s="155">
        <f t="shared" ref="L261:N261" ca="1" si="115">L262+L263</f>
        <v>312900</v>
      </c>
      <c r="M261" s="155">
        <f t="shared" ca="1" si="115"/>
        <v>153900</v>
      </c>
      <c r="N261" s="155">
        <f t="shared" ca="1" si="115"/>
        <v>48946.67</v>
      </c>
      <c r="O261" s="155">
        <f t="shared" ref="O261:O269" ca="1" si="116">IF(L261&gt;0,N261*100/L261,0)</f>
        <v>15.642911473314157</v>
      </c>
      <c r="P261" s="155">
        <f t="shared" ref="P261:P269" ca="1" si="117">IF(M261&gt;0,N261*100/M261,0)</f>
        <v>31.804204028589993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2" t="s">
        <v>18</v>
      </c>
      <c r="F262" s="40"/>
      <c r="G262" s="157"/>
      <c r="H262" s="158" t="s">
        <v>12</v>
      </c>
      <c r="I262" s="583"/>
      <c r="J262" s="583"/>
      <c r="K262" s="93"/>
      <c r="L262" s="93">
        <f t="shared" ref="L262:N263" si="118">L265+L268</f>
        <v>0</v>
      </c>
      <c r="M262" s="93">
        <f t="shared" si="118"/>
        <v>0</v>
      </c>
      <c r="N262" s="93">
        <f t="shared" si="118"/>
        <v>0</v>
      </c>
      <c r="O262" s="93">
        <f t="shared" si="116"/>
        <v>0</v>
      </c>
      <c r="P262" s="93">
        <f t="shared" si="117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2" t="s">
        <v>19</v>
      </c>
      <c r="F263" s="40"/>
      <c r="G263" s="157"/>
      <c r="H263" s="158" t="s">
        <v>12</v>
      </c>
      <c r="I263" s="583"/>
      <c r="J263" s="583"/>
      <c r="K263" s="93"/>
      <c r="L263" s="93">
        <f t="shared" ca="1" si="118"/>
        <v>312900</v>
      </c>
      <c r="M263" s="93">
        <f t="shared" ca="1" si="118"/>
        <v>153900</v>
      </c>
      <c r="N263" s="93">
        <f t="shared" ca="1" si="118"/>
        <v>48946.67</v>
      </c>
      <c r="O263" s="93">
        <f t="shared" ca="1" si="116"/>
        <v>15.642911473314157</v>
      </c>
      <c r="P263" s="93">
        <f t="shared" ca="1" si="117"/>
        <v>31.804204028589993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1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65">
        <f t="shared" ref="L264:N264" ca="1" si="119">L265+L266</f>
        <v>312900</v>
      </c>
      <c r="M264" s="465">
        <f t="shared" ca="1" si="119"/>
        <v>153900</v>
      </c>
      <c r="N264" s="465">
        <f t="shared" ca="1" si="119"/>
        <v>48946.67</v>
      </c>
      <c r="O264" s="465">
        <f t="shared" ca="1" si="116"/>
        <v>15.642911473314157</v>
      </c>
      <c r="P264" s="465">
        <f t="shared" ca="1" si="117"/>
        <v>31.804204028589993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2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6"/>
        <v>0</v>
      </c>
      <c r="P265" s="93">
        <f t="shared" si="117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2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IFERROR(__xludf.DUMMYFUNCTION("IMPORTRANGE(""https://docs.google.com/spreadsheets/d/1MeEWN-I1oV_STSDYn1IFDPWt_1FKiwhDph83XaGc0o0/edit?usp=sharing"",""งบพรบ!CY21"")"),312900)</f>
        <v>312900</v>
      </c>
      <c r="M266" s="93">
        <f ca="1">IFERROR(__xludf.DUMMYFUNCTION("IMPORTRANGE(""https://docs.google.com/spreadsheets/d/1MeEWN-I1oV_STSDYn1IFDPWt_1FKiwhDph83XaGc0o0/edit?usp=sharing"",""งบพรบ!DD21"")"),153900)</f>
        <v>153900</v>
      </c>
      <c r="N266" s="93">
        <f ca="1">IFERROR(__xludf.DUMMYFUNCTION("IMPORTRANGE(""https://docs.google.com/spreadsheets/d/1MeEWN-I1oV_STSDYn1IFDPWt_1FKiwhDph83XaGc0o0/edit?usp=sharing"",""งบพรบ!DF21"")"),48946.67)</f>
        <v>48946.67</v>
      </c>
      <c r="O266" s="93">
        <f t="shared" ca="1" si="116"/>
        <v>15.642911473314157</v>
      </c>
      <c r="P266" s="93">
        <f t="shared" ca="1" si="117"/>
        <v>31.804204028589993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1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65">
        <f t="shared" ref="L267:N267" ca="1" si="120">L268+L269</f>
        <v>0</v>
      </c>
      <c r="M267" s="465">
        <f t="shared" ca="1" si="120"/>
        <v>0</v>
      </c>
      <c r="N267" s="465">
        <f t="shared" ca="1" si="120"/>
        <v>0</v>
      </c>
      <c r="O267" s="465">
        <f t="shared" ca="1" si="116"/>
        <v>0</v>
      </c>
      <c r="P267" s="465">
        <f t="shared" ca="1" si="117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2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6"/>
        <v>0</v>
      </c>
      <c r="P268" s="93">
        <f t="shared" si="117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2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IFERROR(__xludf.DUMMYFUNCTION("IMPORTRANGE(""https://docs.google.com/spreadsheets/d/1MeEWN-I1oV_STSDYn1IFDPWt_1FKiwhDph83XaGc0o0/edit?usp=sharing"",""งบพรบ!DB21"")"),0)</f>
        <v>0</v>
      </c>
      <c r="M269" s="93">
        <f ca="1">IFERROR(__xludf.DUMMYFUNCTION("IMPORTRANGE(""https://docs.google.com/spreadsheets/d/1MeEWN-I1oV_STSDYn1IFDPWt_1FKiwhDph83XaGc0o0/edit?usp=sharing"",""งบพรบ!DE21"")"),0)</f>
        <v>0</v>
      </c>
      <c r="N269" s="93">
        <f ca="1">IFERROR(__xludf.DUMMYFUNCTION("IMPORTRANGE(""https://docs.google.com/spreadsheets/d/1MeEWN-I1oV_STSDYn1IFDPWt_1FKiwhDph83XaGc0o0/edit?usp=sharing"",""งบพรบ!DG21"")"),0)</f>
        <v>0</v>
      </c>
      <c r="O269" s="93">
        <f t="shared" ca="1" si="116"/>
        <v>0</v>
      </c>
      <c r="P269" s="93">
        <f t="shared" ca="1" si="117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1" t="s">
        <v>16</v>
      </c>
      <c r="D270" s="818" t="s">
        <v>38</v>
      </c>
      <c r="E270" s="173"/>
      <c r="F270" s="173"/>
      <c r="G270" s="174"/>
      <c r="H270" s="726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44" t="s">
        <v>124</v>
      </c>
      <c r="E271" s="342"/>
      <c r="F271" s="268"/>
      <c r="G271" s="179"/>
      <c r="H271" s="345" t="s">
        <v>35</v>
      </c>
      <c r="I271" s="269">
        <f ca="1">IFERROR(__xludf.DUMMYFUNCTION("IMPORTRANGE(""https://docs.google.com/spreadsheets/d/1QqKyyYR6Q21VydFLVH3TRQUabQu_ym0Zz7PgGX0-kHA/edit?usp=sharing"",""แผน!EA21"")"),22)</f>
        <v>22</v>
      </c>
      <c r="J271" s="214">
        <v>0</v>
      </c>
      <c r="K271" s="163">
        <f ca="1">IF(I271&gt;0,J271*100/I271,0)</f>
        <v>0</v>
      </c>
      <c r="L271" s="163"/>
      <c r="M271" s="163"/>
      <c r="N271" s="163"/>
      <c r="O271" s="163"/>
      <c r="P271" s="163"/>
    </row>
    <row r="272" spans="1:26" ht="18.75" hidden="1">
      <c r="A272" s="346"/>
      <c r="B272" s="347"/>
      <c r="C272" s="347"/>
      <c r="D272" s="348" t="s">
        <v>125</v>
      </c>
      <c r="E272" s="349"/>
      <c r="F272" s="349"/>
      <c r="G272" s="350"/>
      <c r="H272" s="50" t="s">
        <v>35</v>
      </c>
      <c r="I272" s="468">
        <v>0</v>
      </c>
      <c r="J272" s="468">
        <v>0</v>
      </c>
      <c r="K272" s="353">
        <v>0</v>
      </c>
      <c r="L272" s="353"/>
      <c r="M272" s="353"/>
      <c r="N272" s="353"/>
      <c r="O272" s="353"/>
      <c r="P272" s="353"/>
    </row>
    <row r="273" spans="1:26" ht="19.5">
      <c r="A273" s="354" t="s">
        <v>126</v>
      </c>
      <c r="B273" s="355"/>
      <c r="C273" s="355"/>
      <c r="D273" s="355"/>
      <c r="E273" s="356"/>
      <c r="F273" s="356"/>
      <c r="G273" s="357"/>
      <c r="H273" s="358"/>
      <c r="I273" s="359"/>
      <c r="J273" s="359"/>
      <c r="K273" s="360"/>
      <c r="L273" s="360"/>
      <c r="M273" s="360"/>
      <c r="N273" s="360"/>
      <c r="O273" s="360"/>
      <c r="P273" s="360"/>
    </row>
    <row r="274" spans="1:26" ht="19.5">
      <c r="A274" s="361" t="s">
        <v>127</v>
      </c>
      <c r="B274" s="362"/>
      <c r="C274" s="363"/>
      <c r="D274" s="362"/>
      <c r="E274" s="362"/>
      <c r="F274" s="362"/>
      <c r="G274" s="362"/>
      <c r="H274" s="364"/>
      <c r="I274" s="365"/>
      <c r="J274" s="366"/>
      <c r="K274" s="367"/>
      <c r="L274" s="367"/>
      <c r="M274" s="367"/>
      <c r="N274" s="367"/>
      <c r="O274" s="367"/>
      <c r="P274" s="367"/>
    </row>
    <row r="275" spans="1:26" ht="19.5">
      <c r="A275" s="368"/>
      <c r="B275" s="377" t="s">
        <v>128</v>
      </c>
      <c r="C275" s="370"/>
      <c r="D275" s="371"/>
      <c r="E275" s="370"/>
      <c r="F275" s="370"/>
      <c r="G275" s="372"/>
      <c r="H275" s="373" t="s">
        <v>35</v>
      </c>
      <c r="I275" s="374">
        <f t="shared" ref="I275:J275" ca="1" si="121">I288</f>
        <v>10</v>
      </c>
      <c r="J275" s="374">
        <f t="shared" ca="1" si="121"/>
        <v>0</v>
      </c>
      <c r="K275" s="375">
        <f t="shared" ref="K275:K276" ca="1" si="122">IF(I275&gt;0,J275*100/I275,0)</f>
        <v>0</v>
      </c>
      <c r="L275" s="376"/>
      <c r="M275" s="376"/>
      <c r="N275" s="376"/>
      <c r="O275" s="376"/>
      <c r="P275" s="376"/>
    </row>
    <row r="276" spans="1:26" ht="19.5">
      <c r="A276" s="368"/>
      <c r="B276" s="377"/>
      <c r="C276" s="370"/>
      <c r="D276" s="371"/>
      <c r="E276" s="370"/>
      <c r="F276" s="370"/>
      <c r="G276" s="372"/>
      <c r="H276" s="373" t="s">
        <v>46</v>
      </c>
      <c r="I276" s="859">
        <f t="shared" ref="I276:J276" ca="1" si="123">I287</f>
        <v>100</v>
      </c>
      <c r="J276" s="859">
        <f t="shared" si="123"/>
        <v>0</v>
      </c>
      <c r="K276" s="376">
        <f t="shared" ca="1" si="122"/>
        <v>0</v>
      </c>
      <c r="L276" s="376"/>
      <c r="M276" s="376"/>
      <c r="N276" s="376"/>
      <c r="O276" s="376"/>
      <c r="P276" s="376"/>
    </row>
    <row r="277" spans="1:26" ht="19.5">
      <c r="A277" s="147"/>
      <c r="B277" s="148"/>
      <c r="C277" s="149" t="s">
        <v>16</v>
      </c>
      <c r="D277" s="817" t="s">
        <v>17</v>
      </c>
      <c r="E277" s="148"/>
      <c r="F277" s="148"/>
      <c r="G277" s="151"/>
      <c r="H277" s="152" t="s">
        <v>12</v>
      </c>
      <c r="I277" s="388"/>
      <c r="J277" s="388"/>
      <c r="K277" s="154"/>
      <c r="L277" s="155">
        <f t="shared" ref="L277:N277" ca="1" si="124">L278+L279</f>
        <v>189110</v>
      </c>
      <c r="M277" s="155">
        <f t="shared" ca="1" si="124"/>
        <v>90870</v>
      </c>
      <c r="N277" s="155">
        <f t="shared" ca="1" si="124"/>
        <v>37041.82</v>
      </c>
      <c r="O277" s="155">
        <f t="shared" ref="O277:O285" ca="1" si="125">IF(L277&gt;0,N277*100/L277,0)</f>
        <v>19.58744645973243</v>
      </c>
      <c r="P277" s="155">
        <f t="shared" ref="P277:P285" ca="1" si="126">IF(M277&gt;0,N277*100/M277,0)</f>
        <v>40.763530318036757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2" t="s">
        <v>18</v>
      </c>
      <c r="F278" s="40"/>
      <c r="G278" s="157"/>
      <c r="H278" s="158" t="s">
        <v>12</v>
      </c>
      <c r="I278" s="583"/>
      <c r="J278" s="583"/>
      <c r="K278" s="93"/>
      <c r="L278" s="93">
        <f t="shared" ref="L278:N279" si="127">L281+L284</f>
        <v>0</v>
      </c>
      <c r="M278" s="93">
        <f t="shared" si="127"/>
        <v>0</v>
      </c>
      <c r="N278" s="93">
        <f t="shared" si="127"/>
        <v>0</v>
      </c>
      <c r="O278" s="93">
        <f t="shared" si="125"/>
        <v>0</v>
      </c>
      <c r="P278" s="93">
        <f t="shared" si="126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2" t="s">
        <v>19</v>
      </c>
      <c r="F279" s="40"/>
      <c r="G279" s="157"/>
      <c r="H279" s="158" t="s">
        <v>12</v>
      </c>
      <c r="I279" s="583"/>
      <c r="J279" s="583"/>
      <c r="K279" s="93"/>
      <c r="L279" s="93">
        <f t="shared" ca="1" si="127"/>
        <v>189110</v>
      </c>
      <c r="M279" s="93">
        <f t="shared" ca="1" si="127"/>
        <v>90870</v>
      </c>
      <c r="N279" s="93">
        <f t="shared" ca="1" si="127"/>
        <v>37041.82</v>
      </c>
      <c r="O279" s="93">
        <f t="shared" ca="1" si="125"/>
        <v>19.58744645973243</v>
      </c>
      <c r="P279" s="93">
        <f t="shared" ca="1" si="126"/>
        <v>40.763530318036757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>
      <c r="A280" s="159"/>
      <c r="B280" s="33"/>
      <c r="C280" s="281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65">
        <f t="shared" ref="L280:N280" ca="1" si="128">L281+L282</f>
        <v>189110</v>
      </c>
      <c r="M280" s="465">
        <f t="shared" ca="1" si="128"/>
        <v>90870</v>
      </c>
      <c r="N280" s="465">
        <f t="shared" ca="1" si="128"/>
        <v>37041.82</v>
      </c>
      <c r="O280" s="465">
        <f t="shared" ca="1" si="125"/>
        <v>19.58744645973243</v>
      </c>
      <c r="P280" s="465">
        <f t="shared" ca="1" si="126"/>
        <v>40.763530318036757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2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5"/>
        <v>0</v>
      </c>
      <c r="P281" s="93">
        <f t="shared" si="126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2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IFERROR(__xludf.DUMMYFUNCTION("IMPORTRANGE(""https://docs.google.com/spreadsheets/d/1MeEWN-I1oV_STSDYn1IFDPWt_1FKiwhDph83XaGc0o0/edit?usp=sharing"",""งบพรบ!DI21"")"),189110)</f>
        <v>189110</v>
      </c>
      <c r="M282" s="93">
        <f ca="1">IFERROR(__xludf.DUMMYFUNCTION("IMPORTRANGE(""https://docs.google.com/spreadsheets/d/1MeEWN-I1oV_STSDYn1IFDPWt_1FKiwhDph83XaGc0o0/edit?usp=sharing"",""งบพรบ!DN21"")"),90870)</f>
        <v>90870</v>
      </c>
      <c r="N282" s="93">
        <f ca="1">IFERROR(__xludf.DUMMYFUNCTION("IMPORTRANGE(""https://docs.google.com/spreadsheets/d/1MeEWN-I1oV_STSDYn1IFDPWt_1FKiwhDph83XaGc0o0/edit?usp=sharing"",""งบพรบ!DP21"")"),37041.82)</f>
        <v>37041.82</v>
      </c>
      <c r="O282" s="93">
        <f t="shared" ca="1" si="125"/>
        <v>19.58744645973243</v>
      </c>
      <c r="P282" s="93">
        <f t="shared" ca="1" si="126"/>
        <v>40.763530318036757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>
      <c r="A283" s="159"/>
      <c r="B283" s="33"/>
      <c r="C283" s="281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65">
        <f t="shared" ref="L283:N283" ca="1" si="129">L284+L285</f>
        <v>0</v>
      </c>
      <c r="M283" s="465">
        <f t="shared" ca="1" si="129"/>
        <v>0</v>
      </c>
      <c r="N283" s="465">
        <f t="shared" ca="1" si="129"/>
        <v>0</v>
      </c>
      <c r="O283" s="465">
        <f t="shared" ca="1" si="125"/>
        <v>0</v>
      </c>
      <c r="P283" s="465">
        <f t="shared" ca="1" si="126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2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5"/>
        <v>0</v>
      </c>
      <c r="P284" s="93">
        <f t="shared" si="126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2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IFERROR(__xludf.DUMMYFUNCTION("IMPORTRANGE(""https://docs.google.com/spreadsheets/d/1MeEWN-I1oV_STSDYn1IFDPWt_1FKiwhDph83XaGc0o0/edit?usp=sharing"",""งบพรบ!DL21"")"),0)</f>
        <v>0</v>
      </c>
      <c r="M285" s="93">
        <f ca="1">IFERROR(__xludf.DUMMYFUNCTION("IMPORTRANGE(""https://docs.google.com/spreadsheets/d/1MeEWN-I1oV_STSDYn1IFDPWt_1FKiwhDph83XaGc0o0/edit?usp=sharing"",""งบพรบ!DO21"")"),0)</f>
        <v>0</v>
      </c>
      <c r="N285" s="93">
        <f ca="1">IFERROR(__xludf.DUMMYFUNCTION("IMPORTRANGE(""https://docs.google.com/spreadsheets/d/1MeEWN-I1oV_STSDYn1IFDPWt_1FKiwhDph83XaGc0o0/edit?usp=sharing"",""งบพรบ!DQ21"")"),0)</f>
        <v>0</v>
      </c>
      <c r="O285" s="93">
        <f t="shared" ca="1" si="125"/>
        <v>0</v>
      </c>
      <c r="P285" s="93">
        <f t="shared" ca="1" si="126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>
      <c r="A286" s="170"/>
      <c r="B286" s="171"/>
      <c r="C286" s="164" t="s">
        <v>16</v>
      </c>
      <c r="D286" s="818" t="s">
        <v>38</v>
      </c>
      <c r="E286" s="173"/>
      <c r="F286" s="173"/>
      <c r="G286" s="174"/>
      <c r="H286" s="726"/>
      <c r="I286" s="184"/>
      <c r="J286" s="184"/>
      <c r="K286" s="163"/>
      <c r="L286" s="163"/>
      <c r="M286" s="163"/>
      <c r="N286" s="163"/>
      <c r="O286" s="163"/>
      <c r="P286" s="163"/>
    </row>
    <row r="287" spans="1:26" ht="18.75">
      <c r="A287" s="170"/>
      <c r="B287" s="171"/>
      <c r="C287" s="171"/>
      <c r="D287" s="592" t="s">
        <v>129</v>
      </c>
      <c r="E287" s="171"/>
      <c r="F287" s="342"/>
      <c r="G287" s="179"/>
      <c r="H287" s="185" t="s">
        <v>46</v>
      </c>
      <c r="I287" s="269">
        <f ca="1">IFERROR(__xludf.DUMMYFUNCTION("IMPORTRANGE(""https://docs.google.com/spreadsheets/d/1QqKyyYR6Q21VydFLVH3TRQUabQu_ym0Zz7PgGX0-kHA/edit?usp=sharing"",""แผน!EC21"")"),100)</f>
        <v>100</v>
      </c>
      <c r="J287" s="214">
        <v>0</v>
      </c>
      <c r="K287" s="163">
        <f t="shared" ref="K287:K288" ca="1" si="130">IF(I287&gt;0,J287*100/I287,0)</f>
        <v>0</v>
      </c>
      <c r="L287" s="163"/>
      <c r="M287" s="163"/>
      <c r="N287" s="163"/>
      <c r="O287" s="163"/>
      <c r="P287" s="163"/>
    </row>
    <row r="288" spans="1:26" ht="19.5">
      <c r="A288" s="170"/>
      <c r="B288" s="171"/>
      <c r="C288" s="171"/>
      <c r="D288" s="592" t="s">
        <v>130</v>
      </c>
      <c r="E288" s="171"/>
      <c r="F288" s="342"/>
      <c r="G288" s="179"/>
      <c r="H288" s="180" t="s">
        <v>35</v>
      </c>
      <c r="I288" s="647">
        <f ca="1">IFERROR(__xludf.DUMMYFUNCTION("IMPORTRANGE(""https://docs.google.com/spreadsheets/d/1QqKyyYR6Q21VydFLVH3TRQUabQu_ym0Zz7PgGX0-kHA/edit?usp=sharing"",""แผน!EB21"")"),10)</f>
        <v>10</v>
      </c>
      <c r="J288" s="647">
        <f ca="1">IF(AND(J291&gt;=I288,J294&gt;=I288),J294,0)</f>
        <v>0</v>
      </c>
      <c r="K288" s="379">
        <f t="shared" ca="1" si="130"/>
        <v>0</v>
      </c>
      <c r="L288" s="163"/>
      <c r="M288" s="163"/>
      <c r="N288" s="163"/>
      <c r="O288" s="163"/>
      <c r="P288" s="163"/>
    </row>
    <row r="289" spans="1:26" ht="19.5">
      <c r="A289" s="170"/>
      <c r="B289" s="171"/>
      <c r="C289" s="171"/>
      <c r="D289" s="380"/>
      <c r="E289" s="381" t="s">
        <v>131</v>
      </c>
      <c r="F289" s="342"/>
      <c r="G289" s="179"/>
      <c r="H289" s="728"/>
      <c r="I289" s="184"/>
      <c r="J289" s="269"/>
      <c r="K289" s="163"/>
      <c r="L289" s="163"/>
      <c r="M289" s="163"/>
      <c r="N289" s="163"/>
      <c r="O289" s="163"/>
      <c r="P289" s="163"/>
    </row>
    <row r="290" spans="1:26" ht="19.5">
      <c r="A290" s="170"/>
      <c r="B290" s="171"/>
      <c r="C290" s="171"/>
      <c r="D290" s="380"/>
      <c r="E290" s="592" t="s">
        <v>132</v>
      </c>
      <c r="F290" s="342"/>
      <c r="G290" s="179"/>
      <c r="H290" s="728" t="s">
        <v>35</v>
      </c>
      <c r="I290" s="184">
        <f ca="1">IFERROR(__xludf.DUMMYFUNCTION("IMPORTRANGE(""https://docs.google.com/spreadsheets/d/1QqKyyYR6Q21VydFLVH3TRQUabQu_ym0Zz7PgGX0-kHA/edit?usp=sharing"",""แผน!EB21"")"),10)</f>
        <v>10</v>
      </c>
      <c r="J290" s="214">
        <v>0</v>
      </c>
      <c r="K290" s="163">
        <f t="shared" ref="K290:K291" ca="1" si="131">IF(I290&gt;0,J290*100/I290,0)</f>
        <v>0</v>
      </c>
      <c r="L290" s="163"/>
      <c r="M290" s="163"/>
      <c r="N290" s="163"/>
      <c r="O290" s="163"/>
      <c r="P290" s="163"/>
    </row>
    <row r="291" spans="1:26" ht="19.5">
      <c r="A291" s="170"/>
      <c r="B291" s="171"/>
      <c r="C291" s="171"/>
      <c r="D291" s="342"/>
      <c r="E291" s="592" t="s">
        <v>133</v>
      </c>
      <c r="F291" s="342"/>
      <c r="G291" s="179"/>
      <c r="H291" s="728" t="s">
        <v>35</v>
      </c>
      <c r="I291" s="184">
        <f ca="1">IFERROR(__xludf.DUMMYFUNCTION("IMPORTRANGE(""https://docs.google.com/spreadsheets/d/1QqKyyYR6Q21VydFLVH3TRQUabQu_ym0Zz7PgGX0-kHA/edit?usp=sharing"",""แผน!EB21"")"),10)</f>
        <v>10</v>
      </c>
      <c r="J291" s="214">
        <v>0</v>
      </c>
      <c r="K291" s="163">
        <f t="shared" ca="1" si="131"/>
        <v>0</v>
      </c>
      <c r="L291" s="163"/>
      <c r="M291" s="163"/>
      <c r="N291" s="163"/>
      <c r="O291" s="163"/>
      <c r="P291" s="163"/>
    </row>
    <row r="292" spans="1:26" ht="19.5">
      <c r="A292" s="382"/>
      <c r="B292" s="383"/>
      <c r="C292" s="383"/>
      <c r="D292" s="384"/>
      <c r="E292" s="385" t="s">
        <v>134</v>
      </c>
      <c r="F292" s="286"/>
      <c r="G292" s="287"/>
      <c r="H292" s="386"/>
      <c r="I292" s="387"/>
      <c r="J292" s="388"/>
      <c r="K292" s="279"/>
      <c r="L292" s="279"/>
      <c r="M292" s="279"/>
      <c r="N292" s="279"/>
      <c r="O292" s="279"/>
      <c r="P292" s="279"/>
    </row>
    <row r="293" spans="1:26" ht="19.5">
      <c r="A293" s="170"/>
      <c r="B293" s="171"/>
      <c r="C293" s="171"/>
      <c r="D293" s="380"/>
      <c r="E293" s="592" t="s">
        <v>132</v>
      </c>
      <c r="F293" s="342"/>
      <c r="G293" s="179"/>
      <c r="H293" s="728" t="s">
        <v>35</v>
      </c>
      <c r="I293" s="184">
        <f ca="1">IFERROR(__xludf.DUMMYFUNCTION("IMPORTRANGE(""https://docs.google.com/spreadsheets/d/1QqKyyYR6Q21VydFLVH3TRQUabQu_ym0Zz7PgGX0-kHA/edit?usp=sharing"",""แผน!EB21"")"),10)</f>
        <v>10</v>
      </c>
      <c r="J293" s="214">
        <v>0</v>
      </c>
      <c r="K293" s="163">
        <f t="shared" ref="K293:K294" ca="1" si="132">IF(I293&gt;0,J293*100/I293,0)</f>
        <v>0</v>
      </c>
      <c r="L293" s="163"/>
      <c r="M293" s="163"/>
      <c r="N293" s="163"/>
      <c r="O293" s="163"/>
      <c r="P293" s="163"/>
    </row>
    <row r="294" spans="1:26" ht="19.5">
      <c r="A294" s="346"/>
      <c r="B294" s="347"/>
      <c r="C294" s="347"/>
      <c r="D294" s="349"/>
      <c r="E294" s="698" t="s">
        <v>136</v>
      </c>
      <c r="F294" s="349"/>
      <c r="G294" s="350"/>
      <c r="H294" s="390" t="s">
        <v>35</v>
      </c>
      <c r="I294" s="391">
        <f ca="1">IFERROR(__xludf.DUMMYFUNCTION("IMPORTRANGE(""https://docs.google.com/spreadsheets/d/1QqKyyYR6Q21VydFLVH3TRQUabQu_ym0Zz7PgGX0-kHA/edit?usp=sharing"",""แผน!EB21"")"),10)</f>
        <v>10</v>
      </c>
      <c r="J294" s="392">
        <v>0</v>
      </c>
      <c r="K294" s="353">
        <f t="shared" ca="1" si="132"/>
        <v>0</v>
      </c>
      <c r="L294" s="353"/>
      <c r="M294" s="353"/>
      <c r="N294" s="353"/>
      <c r="O294" s="353"/>
      <c r="P294" s="353"/>
    </row>
    <row r="295" spans="1:26" ht="19.5">
      <c r="A295" s="393" t="s">
        <v>137</v>
      </c>
      <c r="B295" s="394"/>
      <c r="C295" s="394"/>
      <c r="D295" s="394"/>
      <c r="E295" s="395"/>
      <c r="F295" s="395"/>
      <c r="G295" s="396"/>
      <c r="H295" s="397"/>
      <c r="I295" s="398"/>
      <c r="J295" s="398"/>
      <c r="K295" s="399"/>
      <c r="L295" s="399"/>
      <c r="M295" s="399"/>
      <c r="N295" s="399"/>
      <c r="O295" s="399"/>
      <c r="P295" s="399"/>
    </row>
    <row r="296" spans="1:26" ht="19.5" hidden="1">
      <c r="A296" s="400" t="s">
        <v>138</v>
      </c>
      <c r="B296" s="401"/>
      <c r="C296" s="401"/>
      <c r="D296" s="402"/>
      <c r="E296" s="402"/>
      <c r="F296" s="402"/>
      <c r="G296" s="403"/>
      <c r="H296" s="404"/>
      <c r="I296" s="405"/>
      <c r="J296" s="405"/>
      <c r="K296" s="406"/>
      <c r="L296" s="406"/>
      <c r="M296" s="406"/>
      <c r="N296" s="406"/>
      <c r="O296" s="406"/>
      <c r="P296" s="406"/>
    </row>
    <row r="297" spans="1:26" ht="19.5" hidden="1">
      <c r="A297" s="407"/>
      <c r="B297" s="408" t="s">
        <v>139</v>
      </c>
      <c r="C297" s="409"/>
      <c r="D297" s="409"/>
      <c r="E297" s="409"/>
      <c r="F297" s="409"/>
      <c r="G297" s="410"/>
      <c r="H297" s="411" t="s">
        <v>35</v>
      </c>
      <c r="I297" s="412">
        <f t="shared" ref="I297:J297" ca="1" si="133">I309</f>
        <v>0</v>
      </c>
      <c r="J297" s="412">
        <f t="shared" si="133"/>
        <v>0</v>
      </c>
      <c r="K297" s="413">
        <f ca="1">IF(I297&gt;0,J297*100/I297,0)</f>
        <v>0</v>
      </c>
      <c r="L297" s="414"/>
      <c r="M297" s="414"/>
      <c r="N297" s="414"/>
      <c r="O297" s="414"/>
      <c r="P297" s="414"/>
    </row>
    <row r="298" spans="1:26" ht="19.5" hidden="1">
      <c r="A298" s="147"/>
      <c r="B298" s="148"/>
      <c r="C298" s="149" t="s">
        <v>16</v>
      </c>
      <c r="D298" s="817" t="s">
        <v>17</v>
      </c>
      <c r="E298" s="148"/>
      <c r="F298" s="148"/>
      <c r="G298" s="151"/>
      <c r="H298" s="152" t="s">
        <v>12</v>
      </c>
      <c r="I298" s="388"/>
      <c r="J298" s="388"/>
      <c r="K298" s="154"/>
      <c r="L298" s="155">
        <f t="shared" ref="L298:N298" ca="1" si="134">L299+L300</f>
        <v>0</v>
      </c>
      <c r="M298" s="155">
        <f t="shared" ca="1" si="134"/>
        <v>0</v>
      </c>
      <c r="N298" s="155">
        <f t="shared" ca="1" si="134"/>
        <v>0</v>
      </c>
      <c r="O298" s="155">
        <f t="shared" ref="O298:O306" ca="1" si="135">IF(L298&gt;0,N298*100/L298,0)</f>
        <v>0</v>
      </c>
      <c r="P298" s="155">
        <f t="shared" ref="P298:P306" ca="1" si="136">IF(M298&gt;0,N298*100/M298,0)</f>
        <v>0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2" t="s">
        <v>18</v>
      </c>
      <c r="F299" s="40"/>
      <c r="G299" s="157"/>
      <c r="H299" s="158" t="s">
        <v>12</v>
      </c>
      <c r="I299" s="583"/>
      <c r="J299" s="583"/>
      <c r="K299" s="93"/>
      <c r="L299" s="93">
        <f t="shared" ref="L299:N300" si="137">L302+L305</f>
        <v>0</v>
      </c>
      <c r="M299" s="93">
        <f t="shared" si="137"/>
        <v>0</v>
      </c>
      <c r="N299" s="93">
        <f t="shared" si="137"/>
        <v>0</v>
      </c>
      <c r="O299" s="93">
        <f t="shared" si="135"/>
        <v>0</v>
      </c>
      <c r="P299" s="93">
        <f t="shared" si="136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2" t="s">
        <v>19</v>
      </c>
      <c r="F300" s="40"/>
      <c r="G300" s="157"/>
      <c r="H300" s="158" t="s">
        <v>12</v>
      </c>
      <c r="I300" s="583"/>
      <c r="J300" s="583"/>
      <c r="K300" s="93"/>
      <c r="L300" s="93">
        <f t="shared" ca="1" si="137"/>
        <v>0</v>
      </c>
      <c r="M300" s="93">
        <f t="shared" ca="1" si="137"/>
        <v>0</v>
      </c>
      <c r="N300" s="93">
        <f t="shared" ca="1" si="137"/>
        <v>0</v>
      </c>
      <c r="O300" s="93">
        <f t="shared" ca="1" si="135"/>
        <v>0</v>
      </c>
      <c r="P300" s="93">
        <f t="shared" ca="1" si="136"/>
        <v>0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 hidden="1">
      <c r="A301" s="159"/>
      <c r="B301" s="33"/>
      <c r="C301" s="281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65">
        <f t="shared" ref="L301:N301" ca="1" si="138">L302+L303</f>
        <v>0</v>
      </c>
      <c r="M301" s="465">
        <f t="shared" ca="1" si="138"/>
        <v>0</v>
      </c>
      <c r="N301" s="465">
        <f t="shared" ca="1" si="138"/>
        <v>0</v>
      </c>
      <c r="O301" s="465">
        <f t="shared" ca="1" si="135"/>
        <v>0</v>
      </c>
      <c r="P301" s="465">
        <f t="shared" ca="1" si="136"/>
        <v>0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2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5"/>
        <v>0</v>
      </c>
      <c r="P302" s="93">
        <f t="shared" si="136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2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IFERROR(__xludf.DUMMYFUNCTION("IMPORTRANGE(""https://docs.google.com/spreadsheets/d/1MeEWN-I1oV_STSDYn1IFDPWt_1FKiwhDph83XaGc0o0/edit?usp=sharing"",""งบพรบ!DS21"")"),0)</f>
        <v>0</v>
      </c>
      <c r="M303" s="93">
        <f ca="1">IFERROR(__xludf.DUMMYFUNCTION("IMPORTRANGE(""https://docs.google.com/spreadsheets/d/1MeEWN-I1oV_STSDYn1IFDPWt_1FKiwhDph83XaGc0o0/edit?usp=sharing"",""งบพรบ!DX21"")"),0)</f>
        <v>0</v>
      </c>
      <c r="N303" s="93">
        <f ca="1">IFERROR(__xludf.DUMMYFUNCTION("IMPORTRANGE(""https://docs.google.com/spreadsheets/d/1MeEWN-I1oV_STSDYn1IFDPWt_1FKiwhDph83XaGc0o0/edit?usp=sharing"",""งบพรบ!DZ21"")"),0)</f>
        <v>0</v>
      </c>
      <c r="O303" s="93">
        <f t="shared" ca="1" si="135"/>
        <v>0</v>
      </c>
      <c r="P303" s="93">
        <f t="shared" ca="1" si="136"/>
        <v>0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 hidden="1">
      <c r="A304" s="159"/>
      <c r="B304" s="33"/>
      <c r="C304" s="281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65">
        <f t="shared" ref="L304:N304" ca="1" si="139">L305+L306</f>
        <v>0</v>
      </c>
      <c r="M304" s="465">
        <f t="shared" ca="1" si="139"/>
        <v>0</v>
      </c>
      <c r="N304" s="465">
        <f t="shared" ca="1" si="139"/>
        <v>0</v>
      </c>
      <c r="O304" s="465">
        <f t="shared" ca="1" si="135"/>
        <v>0</v>
      </c>
      <c r="P304" s="465">
        <f t="shared" ca="1" si="136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2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5"/>
        <v>0</v>
      </c>
      <c r="P305" s="93">
        <f t="shared" si="136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2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IFERROR(__xludf.DUMMYFUNCTION("IMPORTRANGE(""https://docs.google.com/spreadsheets/d/1MeEWN-I1oV_STSDYn1IFDPWt_1FKiwhDph83XaGc0o0/edit?usp=sharing"",""งบพรบ!DV21"")"),0)</f>
        <v>0</v>
      </c>
      <c r="M306" s="93">
        <f ca="1">IFERROR(__xludf.DUMMYFUNCTION("IMPORTRANGE(""https://docs.google.com/spreadsheets/d/1MeEWN-I1oV_STSDYn1IFDPWt_1FKiwhDph83XaGc0o0/edit?usp=sharing"",""งบพรบ!DY21"")"),0)</f>
        <v>0</v>
      </c>
      <c r="N306" s="93">
        <f ca="1">IFERROR(__xludf.DUMMYFUNCTION("IMPORTRANGE(""https://docs.google.com/spreadsheets/d/1MeEWN-I1oV_STSDYn1IFDPWt_1FKiwhDph83XaGc0o0/edit?usp=sharing"",""งบพรบ!EA21"")"),0)</f>
        <v>0</v>
      </c>
      <c r="O306" s="93">
        <f t="shared" ca="1" si="135"/>
        <v>0</v>
      </c>
      <c r="P306" s="93">
        <f t="shared" ca="1" si="136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 hidden="1">
      <c r="A307" s="170"/>
      <c r="B307" s="171"/>
      <c r="C307" s="164" t="s">
        <v>16</v>
      </c>
      <c r="D307" s="818" t="s">
        <v>38</v>
      </c>
      <c r="E307" s="173"/>
      <c r="F307" s="173"/>
      <c r="G307" s="174"/>
      <c r="H307" s="726"/>
      <c r="I307" s="269"/>
      <c r="J307" s="269"/>
      <c r="K307" s="465"/>
      <c r="L307" s="465"/>
      <c r="M307" s="465"/>
      <c r="N307" s="465"/>
      <c r="O307" s="465"/>
      <c r="P307" s="465"/>
    </row>
    <row r="308" spans="1:26" ht="18.75" hidden="1">
      <c r="A308" s="170"/>
      <c r="B308" s="171"/>
      <c r="C308" s="171"/>
      <c r="D308" s="415" t="s">
        <v>140</v>
      </c>
      <c r="E308" s="415"/>
      <c r="F308" s="415"/>
      <c r="G308" s="179"/>
      <c r="H308" s="728"/>
      <c r="I308" s="269"/>
      <c r="J308" s="214">
        <v>0</v>
      </c>
      <c r="K308" s="465"/>
      <c r="L308" s="465"/>
      <c r="M308" s="465"/>
      <c r="N308" s="465"/>
      <c r="O308" s="465"/>
      <c r="P308" s="465"/>
    </row>
    <row r="309" spans="1:26" ht="18.75" hidden="1">
      <c r="A309" s="170"/>
      <c r="B309" s="171"/>
      <c r="C309" s="171"/>
      <c r="D309" s="415" t="s">
        <v>141</v>
      </c>
      <c r="E309" s="415"/>
      <c r="F309" s="415"/>
      <c r="G309" s="179"/>
      <c r="H309" s="728" t="s">
        <v>35</v>
      </c>
      <c r="I309" s="269">
        <f ca="1">IFERROR(__xludf.DUMMYFUNCTION("IMPORTRANGE(""https://docs.google.com/spreadsheets/d/1QqKyyYR6Q21VydFLVH3TRQUabQu_ym0Zz7PgGX0-kHA/edit?usp=sharing"",""แผน!ED21"")"),0)</f>
        <v>0</v>
      </c>
      <c r="J309" s="214">
        <v>0</v>
      </c>
      <c r="K309" s="465">
        <f t="shared" ref="K309:K312" ca="1" si="140">IF(I309&gt;0,J309*100/I309,0)</f>
        <v>0</v>
      </c>
      <c r="L309" s="465"/>
      <c r="M309" s="465"/>
      <c r="N309" s="465"/>
      <c r="O309" s="465"/>
      <c r="P309" s="465"/>
    </row>
    <row r="310" spans="1:26" ht="18.75" hidden="1">
      <c r="A310" s="170"/>
      <c r="B310" s="171"/>
      <c r="C310" s="171"/>
      <c r="D310" s="415" t="s">
        <v>142</v>
      </c>
      <c r="E310" s="415"/>
      <c r="F310" s="415"/>
      <c r="G310" s="179"/>
      <c r="H310" s="728" t="s">
        <v>35</v>
      </c>
      <c r="I310" s="269">
        <f ca="1">IFERROR(__xludf.DUMMYFUNCTION("IMPORTRANGE(""https://docs.google.com/spreadsheets/d/1QqKyyYR6Q21VydFLVH3TRQUabQu_ym0Zz7PgGX0-kHA/edit?usp=sharing"",""แผน!ED21"")"),0)</f>
        <v>0</v>
      </c>
      <c r="J310" s="214">
        <v>0</v>
      </c>
      <c r="K310" s="465">
        <f t="shared" ca="1" si="140"/>
        <v>0</v>
      </c>
      <c r="L310" s="465"/>
      <c r="M310" s="465"/>
      <c r="N310" s="465"/>
      <c r="O310" s="465"/>
      <c r="P310" s="465"/>
    </row>
    <row r="311" spans="1:26" ht="18.75" hidden="1">
      <c r="A311" s="170"/>
      <c r="B311" s="171"/>
      <c r="C311" s="171"/>
      <c r="D311" s="415" t="s">
        <v>59</v>
      </c>
      <c r="E311" s="415"/>
      <c r="F311" s="415"/>
      <c r="G311" s="179"/>
      <c r="H311" s="728" t="s">
        <v>35</v>
      </c>
      <c r="I311" s="269">
        <f ca="1">IFERROR(__xludf.DUMMYFUNCTION("IMPORTRANGE(""https://docs.google.com/spreadsheets/d/1QqKyyYR6Q21VydFLVH3TRQUabQu_ym0Zz7PgGX0-kHA/edit?usp=sharing"",""แผน!ED21"")"),0)</f>
        <v>0</v>
      </c>
      <c r="J311" s="214">
        <v>0</v>
      </c>
      <c r="K311" s="465">
        <f t="shared" ca="1" si="140"/>
        <v>0</v>
      </c>
      <c r="L311" s="465"/>
      <c r="M311" s="465"/>
      <c r="N311" s="465"/>
      <c r="O311" s="465"/>
      <c r="P311" s="465"/>
    </row>
    <row r="312" spans="1:26" ht="18.75">
      <c r="A312" s="170"/>
      <c r="B312" s="171"/>
      <c r="C312" s="171"/>
      <c r="D312" s="415" t="s">
        <v>143</v>
      </c>
      <c r="E312" s="415"/>
      <c r="F312" s="415"/>
      <c r="G312" s="179"/>
      <c r="H312" s="728" t="s">
        <v>35</v>
      </c>
      <c r="I312" s="269">
        <f ca="1">IFERROR(__xludf.DUMMYFUNCTION("IMPORTRANGE(""https://docs.google.com/spreadsheets/d/1QqKyyYR6Q21VydFLVH3TRQUabQu_ym0Zz7PgGX0-kHA/edit?usp=sharing"",""แผน!EE21"")"),0)</f>
        <v>0</v>
      </c>
      <c r="J312" s="214">
        <v>0</v>
      </c>
      <c r="K312" s="465">
        <f t="shared" ca="1" si="140"/>
        <v>0</v>
      </c>
      <c r="L312" s="465"/>
      <c r="M312" s="465"/>
      <c r="N312" s="465"/>
      <c r="O312" s="465"/>
      <c r="P312" s="465"/>
    </row>
    <row r="313" spans="1:26" ht="19.5" hidden="1">
      <c r="A313" s="400" t="s">
        <v>144</v>
      </c>
      <c r="B313" s="401"/>
      <c r="C313" s="401"/>
      <c r="D313" s="402"/>
      <c r="E313" s="401"/>
      <c r="F313" s="401"/>
      <c r="G313" s="401"/>
      <c r="H313" s="417"/>
      <c r="I313" s="405"/>
      <c r="J313" s="405"/>
      <c r="K313" s="406"/>
      <c r="L313" s="406"/>
      <c r="M313" s="406"/>
      <c r="N313" s="406"/>
      <c r="O313" s="406"/>
      <c r="P313" s="406"/>
    </row>
    <row r="314" spans="1:26" ht="19.5" hidden="1">
      <c r="A314" s="418"/>
      <c r="B314" s="408" t="s">
        <v>145</v>
      </c>
      <c r="C314" s="419"/>
      <c r="D314" s="420"/>
      <c r="E314" s="409"/>
      <c r="F314" s="409"/>
      <c r="G314" s="410"/>
      <c r="H314" s="411" t="s">
        <v>146</v>
      </c>
      <c r="I314" s="412">
        <f t="shared" ref="I314:J314" ca="1" si="141">I325</f>
        <v>0</v>
      </c>
      <c r="J314" s="412">
        <f t="shared" si="141"/>
        <v>0</v>
      </c>
      <c r="K314" s="413">
        <f ca="1">IF(I314&gt;0,J314*100/I314,0)</f>
        <v>0</v>
      </c>
      <c r="L314" s="414"/>
      <c r="M314" s="414"/>
      <c r="N314" s="414"/>
      <c r="O314" s="414"/>
      <c r="P314" s="414"/>
    </row>
    <row r="315" spans="1:26" ht="19.5" hidden="1">
      <c r="A315" s="147"/>
      <c r="B315" s="148"/>
      <c r="C315" s="149" t="s">
        <v>16</v>
      </c>
      <c r="D315" s="817" t="s">
        <v>17</v>
      </c>
      <c r="E315" s="148"/>
      <c r="F315" s="148"/>
      <c r="G315" s="151"/>
      <c r="H315" s="152" t="s">
        <v>12</v>
      </c>
      <c r="I315" s="388"/>
      <c r="J315" s="388"/>
      <c r="K315" s="154"/>
      <c r="L315" s="155">
        <f t="shared" ref="L315:N315" ca="1" si="142">L316+L317</f>
        <v>0</v>
      </c>
      <c r="M315" s="155">
        <f t="shared" ca="1" si="142"/>
        <v>0</v>
      </c>
      <c r="N315" s="155">
        <f t="shared" ca="1" si="142"/>
        <v>0</v>
      </c>
      <c r="O315" s="155">
        <f t="shared" ref="O315:O323" ca="1" si="143">IF(L315&gt;0,N315*100/L315,0)</f>
        <v>0</v>
      </c>
      <c r="P315" s="155">
        <f t="shared" ref="P315:P323" ca="1" si="144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2" t="s">
        <v>18</v>
      </c>
      <c r="F316" s="40"/>
      <c r="G316" s="157"/>
      <c r="H316" s="158" t="s">
        <v>12</v>
      </c>
      <c r="I316" s="583"/>
      <c r="J316" s="583"/>
      <c r="K316" s="93"/>
      <c r="L316" s="93">
        <f t="shared" ref="L316:N317" si="145">L319+L322</f>
        <v>0</v>
      </c>
      <c r="M316" s="93">
        <f t="shared" si="145"/>
        <v>0</v>
      </c>
      <c r="N316" s="93">
        <f t="shared" si="145"/>
        <v>0</v>
      </c>
      <c r="O316" s="93">
        <f t="shared" si="143"/>
        <v>0</v>
      </c>
      <c r="P316" s="93">
        <f t="shared" si="144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2" t="s">
        <v>19</v>
      </c>
      <c r="F317" s="40"/>
      <c r="G317" s="157"/>
      <c r="H317" s="158" t="s">
        <v>12</v>
      </c>
      <c r="I317" s="583"/>
      <c r="J317" s="583"/>
      <c r="K317" s="93"/>
      <c r="L317" s="93">
        <f t="shared" ca="1" si="145"/>
        <v>0</v>
      </c>
      <c r="M317" s="93">
        <f t="shared" ca="1" si="145"/>
        <v>0</v>
      </c>
      <c r="N317" s="93">
        <f t="shared" ca="1" si="145"/>
        <v>0</v>
      </c>
      <c r="O317" s="93">
        <f t="shared" ca="1" si="143"/>
        <v>0</v>
      </c>
      <c r="P317" s="93">
        <f t="shared" ca="1" si="144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1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65">
        <f t="shared" ref="L318:N318" ca="1" si="146">L319+L320</f>
        <v>0</v>
      </c>
      <c r="M318" s="465">
        <f t="shared" ca="1" si="146"/>
        <v>0</v>
      </c>
      <c r="N318" s="465">
        <f t="shared" ca="1" si="146"/>
        <v>0</v>
      </c>
      <c r="O318" s="465">
        <f t="shared" ca="1" si="143"/>
        <v>0</v>
      </c>
      <c r="P318" s="465">
        <f t="shared" ca="1" si="144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2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3"/>
        <v>0</v>
      </c>
      <c r="P319" s="93">
        <f t="shared" si="144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2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IFERROR(__xludf.DUMMYFUNCTION("IMPORTRANGE(""https://docs.google.com/spreadsheets/d/1MeEWN-I1oV_STSDYn1IFDPWt_1FKiwhDph83XaGc0o0/edit?usp=sharing"",""งบพรบ!EC21"")"),0)</f>
        <v>0</v>
      </c>
      <c r="M320" s="93">
        <f ca="1">IFERROR(__xludf.DUMMYFUNCTION("IMPORTRANGE(""https://docs.google.com/spreadsheets/d/1MeEWN-I1oV_STSDYn1IFDPWt_1FKiwhDph83XaGc0o0/edit?usp=sharing"",""งบพรบ!EH21"")"),0)</f>
        <v>0</v>
      </c>
      <c r="N320" s="93">
        <f ca="1">IFERROR(__xludf.DUMMYFUNCTION("IMPORTRANGE(""https://docs.google.com/spreadsheets/d/1MeEWN-I1oV_STSDYn1IFDPWt_1FKiwhDph83XaGc0o0/edit?usp=sharing"",""งบพรบ!EJ21"")"),0)</f>
        <v>0</v>
      </c>
      <c r="O320" s="93">
        <f t="shared" ca="1" si="143"/>
        <v>0</v>
      </c>
      <c r="P320" s="93">
        <f t="shared" ca="1" si="144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1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65">
        <f t="shared" ref="L321:N321" ca="1" si="147">L322+L323</f>
        <v>0</v>
      </c>
      <c r="M321" s="465">
        <f t="shared" ca="1" si="147"/>
        <v>0</v>
      </c>
      <c r="N321" s="465">
        <f t="shared" ca="1" si="147"/>
        <v>0</v>
      </c>
      <c r="O321" s="465">
        <f t="shared" ca="1" si="143"/>
        <v>0</v>
      </c>
      <c r="P321" s="465">
        <f t="shared" ca="1" si="144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2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3"/>
        <v>0</v>
      </c>
      <c r="P322" s="93">
        <f t="shared" si="144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2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IFERROR(__xludf.DUMMYFUNCTION("IMPORTRANGE(""https://docs.google.com/spreadsheets/d/1MeEWN-I1oV_STSDYn1IFDPWt_1FKiwhDph83XaGc0o0/edit?usp=sharing"",""งบพรบ!EF21"")"),0)</f>
        <v>0</v>
      </c>
      <c r="M323" s="93">
        <f ca="1">IFERROR(__xludf.DUMMYFUNCTION("IMPORTRANGE(""https://docs.google.com/spreadsheets/d/1MeEWN-I1oV_STSDYn1IFDPWt_1FKiwhDph83XaGc0o0/edit?usp=sharing"",""งบพรบ!EI21"")"),0)</f>
        <v>0</v>
      </c>
      <c r="N323" s="93">
        <f ca="1">IFERROR(__xludf.DUMMYFUNCTION("IMPORTRANGE(""https://docs.google.com/spreadsheets/d/1MeEWN-I1oV_STSDYn1IFDPWt_1FKiwhDph83XaGc0o0/edit?usp=sharing"",""งบพรบ!EK21"")"),0)</f>
        <v>0</v>
      </c>
      <c r="O323" s="93">
        <f t="shared" ca="1" si="143"/>
        <v>0</v>
      </c>
      <c r="P323" s="93">
        <f t="shared" ca="1" si="144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18" t="s">
        <v>38</v>
      </c>
      <c r="E324" s="173"/>
      <c r="F324" s="173"/>
      <c r="G324" s="174"/>
      <c r="H324" s="726"/>
      <c r="I324" s="184"/>
      <c r="J324" s="269"/>
      <c r="K324" s="465"/>
      <c r="L324" s="465"/>
      <c r="M324" s="465"/>
      <c r="N324" s="465"/>
      <c r="O324" s="163"/>
      <c r="P324" s="163"/>
    </row>
    <row r="325" spans="1:26" ht="18.75" hidden="1">
      <c r="A325" s="170"/>
      <c r="B325" s="171"/>
      <c r="C325" s="171"/>
      <c r="D325" s="343" t="s">
        <v>147</v>
      </c>
      <c r="E325" s="342"/>
      <c r="F325" s="415"/>
      <c r="G325" s="179"/>
      <c r="H325" s="589" t="s">
        <v>146</v>
      </c>
      <c r="I325" s="269">
        <f ca="1">IFERROR(__xludf.DUMMYFUNCTION("IMPORTRANGE(""https://docs.google.com/spreadsheets/d/1QqKyyYR6Q21VydFLVH3TRQUabQu_ym0Zz7PgGX0-kHA/edit?usp=sharing"",""แผน!EF21"")"),0)</f>
        <v>0</v>
      </c>
      <c r="J325" s="214">
        <v>0</v>
      </c>
      <c r="K325" s="465">
        <f ca="1">IF(I325&gt;0,J325*100/I325,0)</f>
        <v>0</v>
      </c>
      <c r="L325" s="465"/>
      <c r="M325" s="465"/>
      <c r="N325" s="465"/>
      <c r="O325" s="163"/>
      <c r="P325" s="163"/>
    </row>
    <row r="326" spans="1:26" ht="19.5">
      <c r="A326" s="400" t="s">
        <v>148</v>
      </c>
      <c r="B326" s="401"/>
      <c r="C326" s="401"/>
      <c r="D326" s="402"/>
      <c r="E326" s="401"/>
      <c r="F326" s="401"/>
      <c r="G326" s="401"/>
      <c r="H326" s="417"/>
      <c r="I326" s="405"/>
      <c r="J326" s="405"/>
      <c r="K326" s="406"/>
      <c r="L326" s="406"/>
      <c r="M326" s="406"/>
      <c r="N326" s="406"/>
      <c r="O326" s="406"/>
      <c r="P326" s="406"/>
    </row>
    <row r="327" spans="1:26" ht="19.5">
      <c r="A327" s="407"/>
      <c r="B327" s="408" t="s">
        <v>149</v>
      </c>
      <c r="C327" s="420"/>
      <c r="D327" s="409"/>
      <c r="E327" s="409"/>
      <c r="F327" s="409"/>
      <c r="G327" s="410"/>
      <c r="H327" s="411" t="s">
        <v>35</v>
      </c>
      <c r="I327" s="412">
        <f ca="1">IFERROR(__xludf.DUMMYFUNCTION("IMPORTRANGE(""https://docs.google.com/spreadsheets/d/1QqKyyYR6Q21VydFLVH3TRQUabQu_ym0Zz7PgGX0-kHA/edit?usp=sharing"",""แผน!EG21"")"),1000)</f>
        <v>1000</v>
      </c>
      <c r="J327" s="412">
        <f ca="1">J338+J341+J342+J343</f>
        <v>221</v>
      </c>
      <c r="K327" s="413">
        <f ca="1">IF(I327&gt;0,J327*100/I327,0)</f>
        <v>22.1</v>
      </c>
      <c r="L327" s="414"/>
      <c r="M327" s="414"/>
      <c r="N327" s="414"/>
      <c r="O327" s="414"/>
      <c r="P327" s="414"/>
    </row>
    <row r="328" spans="1:26" ht="19.5">
      <c r="A328" s="147"/>
      <c r="B328" s="148"/>
      <c r="C328" s="149" t="s">
        <v>16</v>
      </c>
      <c r="D328" s="817" t="s">
        <v>17</v>
      </c>
      <c r="E328" s="148"/>
      <c r="F328" s="148"/>
      <c r="G328" s="151"/>
      <c r="H328" s="152" t="s">
        <v>12</v>
      </c>
      <c r="I328" s="388"/>
      <c r="J328" s="388"/>
      <c r="K328" s="154"/>
      <c r="L328" s="155">
        <f t="shared" ref="L328:N328" ca="1" si="148">L329+L330</f>
        <v>161000</v>
      </c>
      <c r="M328" s="155">
        <f t="shared" ca="1" si="148"/>
        <v>80500</v>
      </c>
      <c r="N328" s="155">
        <f t="shared" ca="1" si="148"/>
        <v>15530</v>
      </c>
      <c r="O328" s="155">
        <f t="shared" ref="O328:O336" ca="1" si="149">IF(L328&gt;0,N328*100/L328,0)</f>
        <v>9.645962732919255</v>
      </c>
      <c r="P328" s="155">
        <f t="shared" ref="P328:P336" ca="1" si="150">IF(M328&gt;0,N328*100/M328,0)</f>
        <v>19.29192546583851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2" t="s">
        <v>18</v>
      </c>
      <c r="F329" s="40"/>
      <c r="G329" s="157"/>
      <c r="H329" s="158" t="s">
        <v>12</v>
      </c>
      <c r="I329" s="583"/>
      <c r="J329" s="583"/>
      <c r="K329" s="93"/>
      <c r="L329" s="93">
        <f t="shared" ref="L329:N330" si="151">L332+L335</f>
        <v>0</v>
      </c>
      <c r="M329" s="93">
        <f t="shared" si="151"/>
        <v>0</v>
      </c>
      <c r="N329" s="93">
        <f t="shared" si="151"/>
        <v>0</v>
      </c>
      <c r="O329" s="93">
        <f t="shared" si="149"/>
        <v>0</v>
      </c>
      <c r="P329" s="93">
        <f t="shared" si="150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2" t="s">
        <v>19</v>
      </c>
      <c r="F330" s="40"/>
      <c r="G330" s="157"/>
      <c r="H330" s="158" t="s">
        <v>12</v>
      </c>
      <c r="I330" s="583"/>
      <c r="J330" s="583"/>
      <c r="K330" s="93"/>
      <c r="L330" s="93">
        <f t="shared" ca="1" si="151"/>
        <v>161000</v>
      </c>
      <c r="M330" s="93">
        <f t="shared" ca="1" si="151"/>
        <v>80500</v>
      </c>
      <c r="N330" s="93">
        <f t="shared" ca="1" si="151"/>
        <v>15530</v>
      </c>
      <c r="O330" s="93">
        <f t="shared" ca="1" si="149"/>
        <v>9.645962732919255</v>
      </c>
      <c r="P330" s="93">
        <f t="shared" ca="1" si="150"/>
        <v>19.29192546583851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1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65">
        <f t="shared" ref="L331:N331" ca="1" si="152">L332+L333</f>
        <v>161000</v>
      </c>
      <c r="M331" s="465">
        <f t="shared" ca="1" si="152"/>
        <v>80500</v>
      </c>
      <c r="N331" s="465">
        <f t="shared" ca="1" si="152"/>
        <v>15530</v>
      </c>
      <c r="O331" s="465">
        <f t="shared" ca="1" si="149"/>
        <v>9.645962732919255</v>
      </c>
      <c r="P331" s="465">
        <f t="shared" ca="1" si="150"/>
        <v>19.29192546583851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2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49"/>
        <v>0</v>
      </c>
      <c r="P332" s="93">
        <f t="shared" si="150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2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IFERROR(__xludf.DUMMYFUNCTION("IMPORTRANGE(""https://docs.google.com/spreadsheets/d/1MeEWN-I1oV_STSDYn1IFDPWt_1FKiwhDph83XaGc0o0/edit?usp=sharing"",""งบพรบ!EM21"")"),161000)</f>
        <v>161000</v>
      </c>
      <c r="M333" s="93">
        <f ca="1">IFERROR(__xludf.DUMMYFUNCTION("IMPORTRANGE(""https://docs.google.com/spreadsheets/d/1MeEWN-I1oV_STSDYn1IFDPWt_1FKiwhDph83XaGc0o0/edit?usp=sharing"",""งบพรบ!ER21"")"),80500)</f>
        <v>80500</v>
      </c>
      <c r="N333" s="93">
        <f ca="1">IFERROR(__xludf.DUMMYFUNCTION("IMPORTRANGE(""https://docs.google.com/spreadsheets/d/1MeEWN-I1oV_STSDYn1IFDPWt_1FKiwhDph83XaGc0o0/edit?usp=sharing"",""งบพรบ!ET21"")"),15530)</f>
        <v>15530</v>
      </c>
      <c r="O333" s="93">
        <f t="shared" ca="1" si="149"/>
        <v>9.645962732919255</v>
      </c>
      <c r="P333" s="93">
        <f t="shared" ca="1" si="150"/>
        <v>19.29192546583851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1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65">
        <f t="shared" ref="L334:N334" ca="1" si="153">L335+L336</f>
        <v>0</v>
      </c>
      <c r="M334" s="465">
        <f t="shared" ca="1" si="153"/>
        <v>0</v>
      </c>
      <c r="N334" s="465">
        <f t="shared" ca="1" si="153"/>
        <v>0</v>
      </c>
      <c r="O334" s="465">
        <f t="shared" ca="1" si="149"/>
        <v>0</v>
      </c>
      <c r="P334" s="465">
        <f t="shared" ca="1" si="150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2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49"/>
        <v>0</v>
      </c>
      <c r="P335" s="93">
        <f t="shared" si="150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2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IFERROR(__xludf.DUMMYFUNCTION("IMPORTRANGE(""https://docs.google.com/spreadsheets/d/1MeEWN-I1oV_STSDYn1IFDPWt_1FKiwhDph83XaGc0o0/edit?usp=sharing"",""งบพรบ!EP21"")"),0)</f>
        <v>0</v>
      </c>
      <c r="M336" s="93">
        <f ca="1">IFERROR(__xludf.DUMMYFUNCTION("IMPORTRANGE(""https://docs.google.com/spreadsheets/d/1MeEWN-I1oV_STSDYn1IFDPWt_1FKiwhDph83XaGc0o0/edit?usp=sharing"",""งบพรบ!ES21"")"),0)</f>
        <v>0</v>
      </c>
      <c r="N336" s="93">
        <f ca="1">IFERROR(__xludf.DUMMYFUNCTION("IMPORTRANGE(""https://docs.google.com/spreadsheets/d/1MeEWN-I1oV_STSDYn1IFDPWt_1FKiwhDph83XaGc0o0/edit?usp=sharing"",""งบพรบ!EU21"")"),0)</f>
        <v>0</v>
      </c>
      <c r="O336" s="93">
        <f t="shared" ca="1" si="149"/>
        <v>0</v>
      </c>
      <c r="P336" s="93">
        <f t="shared" ca="1" si="150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18" t="s">
        <v>38</v>
      </c>
      <c r="E337" s="173"/>
      <c r="F337" s="173"/>
      <c r="G337" s="174"/>
      <c r="H337" s="726"/>
      <c r="I337" s="184"/>
      <c r="J337" s="269"/>
      <c r="K337" s="465"/>
      <c r="L337" s="465"/>
      <c r="M337" s="465"/>
      <c r="N337" s="465"/>
      <c r="O337" s="163"/>
      <c r="P337" s="163"/>
    </row>
    <row r="338" spans="1:26" ht="18.75">
      <c r="A338" s="283"/>
      <c r="B338" s="33"/>
      <c r="C338" s="280"/>
      <c r="D338" s="415" t="s">
        <v>150</v>
      </c>
      <c r="E338" s="171"/>
      <c r="F338" s="33"/>
      <c r="G338" s="35"/>
      <c r="H338" s="276" t="s">
        <v>35</v>
      </c>
      <c r="I338" s="269">
        <f ca="1">IFERROR(__xludf.DUMMYFUNCTION("IMPORTRANGE(""https://docs.google.com/spreadsheets/d/1QqKyyYR6Q21VydFLVH3TRQUabQu_ym0Zz7PgGX0-kHA/edit?usp=sharing"",""แผน!EG21"")"),1000)</f>
        <v>1000</v>
      </c>
      <c r="J338" s="269">
        <f ca="1">IFERROR(__xludf.DUMMYFUNCTION("IMPORTRANGE(""https://docs.google.com/spreadsheets/d/1kVcqe37tkHyjCSG3S0O1AXqVkqjo8mSIZil3BcpIysc/edit?usp=sharing"",""ศูนย์!D21"")"),221)</f>
        <v>221</v>
      </c>
      <c r="K338" s="465">
        <f ca="1">IF(I338&gt;0,J338*100/I338,0)</f>
        <v>22.1</v>
      </c>
      <c r="L338" s="465"/>
      <c r="M338" s="465"/>
      <c r="N338" s="465"/>
      <c r="O338" s="465"/>
      <c r="P338" s="465"/>
    </row>
    <row r="339" spans="1:26" ht="18.75">
      <c r="A339" s="283"/>
      <c r="B339" s="33"/>
      <c r="C339" s="280"/>
      <c r="D339" s="415" t="s">
        <v>151</v>
      </c>
      <c r="E339" s="171"/>
      <c r="F339" s="33"/>
      <c r="G339" s="35"/>
      <c r="H339" s="276"/>
      <c r="I339" s="269"/>
      <c r="J339" s="269"/>
      <c r="K339" s="465"/>
      <c r="L339" s="465"/>
      <c r="M339" s="465"/>
      <c r="N339" s="465"/>
      <c r="O339" s="465"/>
      <c r="P339" s="465"/>
    </row>
    <row r="340" spans="1:26" ht="18.75">
      <c r="A340" s="283"/>
      <c r="B340" s="33"/>
      <c r="C340" s="280"/>
      <c r="D340" s="342"/>
      <c r="E340" s="415" t="s">
        <v>152</v>
      </c>
      <c r="F340" s="33"/>
      <c r="G340" s="35"/>
      <c r="H340" s="276" t="s">
        <v>153</v>
      </c>
      <c r="I340" s="269">
        <f ca="1">IFERROR(__xludf.DUMMYFUNCTION("IMPORTRANGE(""https://docs.google.com/spreadsheets/d/1QqKyyYR6Q21VydFLVH3TRQUabQu_ym0Zz7PgGX0-kHA/edit?usp=sharing"",""แผน!EH21"")"),4)</f>
        <v>4</v>
      </c>
      <c r="J340" s="269">
        <f ca="1">IFERROR(__xludf.DUMMYFUNCTION("IMPORTRANGE(""https://docs.google.com/spreadsheets/d/1kVcqe37tkHyjCSG3S0O1AXqVkqjo8mSIZil3BcpIysc/edit?usp=sharing"",""ศูนย์!E21"")"),0)</f>
        <v>0</v>
      </c>
      <c r="K340" s="465">
        <f ca="1">IF(I340&gt;0,J340*100/I340,0)</f>
        <v>0</v>
      </c>
      <c r="L340" s="465"/>
      <c r="M340" s="465"/>
      <c r="N340" s="465"/>
      <c r="O340" s="465"/>
      <c r="P340" s="465"/>
    </row>
    <row r="341" spans="1:26" ht="18.75">
      <c r="A341" s="283"/>
      <c r="B341" s="33"/>
      <c r="C341" s="280"/>
      <c r="D341" s="342"/>
      <c r="E341" s="415" t="s">
        <v>154</v>
      </c>
      <c r="F341" s="33"/>
      <c r="G341" s="35"/>
      <c r="H341" s="276" t="s">
        <v>35</v>
      </c>
      <c r="I341" s="269"/>
      <c r="J341" s="269">
        <f ca="1">IFERROR(__xludf.DUMMYFUNCTION("IMPORTRANGE(""https://docs.google.com/spreadsheets/d/1kVcqe37tkHyjCSG3S0O1AXqVkqjo8mSIZil3BcpIysc/edit?usp=sharing"",""ศูนย์!F21"")"),0)</f>
        <v>0</v>
      </c>
      <c r="K341" s="465"/>
      <c r="L341" s="465"/>
      <c r="M341" s="465"/>
      <c r="N341" s="465"/>
      <c r="O341" s="465"/>
      <c r="P341" s="465"/>
    </row>
    <row r="342" spans="1:26" ht="18.75">
      <c r="A342" s="283"/>
      <c r="B342" s="33"/>
      <c r="C342" s="280"/>
      <c r="D342" s="415" t="s">
        <v>155</v>
      </c>
      <c r="E342" s="342"/>
      <c r="F342" s="342"/>
      <c r="G342" s="35"/>
      <c r="H342" s="276" t="s">
        <v>35</v>
      </c>
      <c r="I342" s="269"/>
      <c r="J342" s="269">
        <f ca="1">IFERROR(__xludf.DUMMYFUNCTION("IMPORTRANGE(""https://docs.google.com/spreadsheets/d/1kVcqe37tkHyjCSG3S0O1AXqVkqjo8mSIZil3BcpIysc/edit?usp=sharing"",""ศูนย์!G21"")"),0)</f>
        <v>0</v>
      </c>
      <c r="K342" s="465"/>
      <c r="L342" s="465"/>
      <c r="M342" s="465"/>
      <c r="N342" s="465"/>
      <c r="O342" s="465"/>
      <c r="P342" s="465"/>
    </row>
    <row r="343" spans="1:26" ht="18.75">
      <c r="A343" s="283"/>
      <c r="B343" s="33"/>
      <c r="C343" s="280"/>
      <c r="D343" s="415" t="s">
        <v>156</v>
      </c>
      <c r="E343" s="342"/>
      <c r="F343" s="342"/>
      <c r="G343" s="35"/>
      <c r="H343" s="276" t="s">
        <v>35</v>
      </c>
      <c r="I343" s="269"/>
      <c r="J343" s="269">
        <f ca="1">IFERROR(__xludf.DUMMYFUNCTION("IMPORTRANGE(""https://docs.google.com/spreadsheets/d/1kVcqe37tkHyjCSG3S0O1AXqVkqjo8mSIZil3BcpIysc/edit?usp=sharing"",""ศูนย์!H21"")"),0)</f>
        <v>0</v>
      </c>
      <c r="K343" s="465"/>
      <c r="L343" s="465"/>
      <c r="M343" s="465"/>
      <c r="N343" s="465"/>
      <c r="O343" s="465"/>
      <c r="P343" s="465"/>
    </row>
    <row r="344" spans="1:26" ht="19.5">
      <c r="A344" s="407"/>
      <c r="B344" s="408" t="s">
        <v>157</v>
      </c>
      <c r="C344" s="420"/>
      <c r="D344" s="409"/>
      <c r="E344" s="409"/>
      <c r="F344" s="409"/>
      <c r="G344" s="410"/>
      <c r="H344" s="411"/>
      <c r="I344" s="421"/>
      <c r="J344" s="421"/>
      <c r="K344" s="414"/>
      <c r="L344" s="414"/>
      <c r="M344" s="414"/>
      <c r="N344" s="414"/>
      <c r="O344" s="414"/>
      <c r="P344" s="414"/>
    </row>
    <row r="345" spans="1:26" ht="19.5">
      <c r="A345" s="147"/>
      <c r="B345" s="148"/>
      <c r="C345" s="149" t="s">
        <v>16</v>
      </c>
      <c r="D345" s="817" t="s">
        <v>17</v>
      </c>
      <c r="E345" s="148"/>
      <c r="F345" s="148"/>
      <c r="G345" s="151"/>
      <c r="H345" s="152" t="s">
        <v>12</v>
      </c>
      <c r="I345" s="388"/>
      <c r="J345" s="388"/>
      <c r="K345" s="154"/>
      <c r="L345" s="155">
        <f t="shared" ref="L345:N345" ca="1" si="154">L346+L347</f>
        <v>894590</v>
      </c>
      <c r="M345" s="155">
        <f t="shared" ca="1" si="154"/>
        <v>500100</v>
      </c>
      <c r="N345" s="155">
        <f t="shared" ca="1" si="154"/>
        <v>187940.19</v>
      </c>
      <c r="O345" s="155">
        <f t="shared" ref="O345:O353" ca="1" si="155">IF(L345&gt;0,N345*100/L345,0)</f>
        <v>21.008527928995406</v>
      </c>
      <c r="P345" s="155">
        <f t="shared" ref="P345:P353" ca="1" si="156">IF(M345&gt;0,N345*100/M345,0)</f>
        <v>37.580521895620876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2" t="s">
        <v>18</v>
      </c>
      <c r="F346" s="40"/>
      <c r="G346" s="157"/>
      <c r="H346" s="158" t="s">
        <v>12</v>
      </c>
      <c r="I346" s="583"/>
      <c r="J346" s="583"/>
      <c r="K346" s="93"/>
      <c r="L346" s="93">
        <f t="shared" ref="L346:N347" si="157">L349+L352</f>
        <v>0</v>
      </c>
      <c r="M346" s="93">
        <f t="shared" si="157"/>
        <v>0</v>
      </c>
      <c r="N346" s="93">
        <f t="shared" si="157"/>
        <v>0</v>
      </c>
      <c r="O346" s="93">
        <f t="shared" si="155"/>
        <v>0</v>
      </c>
      <c r="P346" s="93">
        <f t="shared" si="156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2" t="s">
        <v>19</v>
      </c>
      <c r="F347" s="40"/>
      <c r="G347" s="157"/>
      <c r="H347" s="158" t="s">
        <v>12</v>
      </c>
      <c r="I347" s="583"/>
      <c r="J347" s="583"/>
      <c r="K347" s="93"/>
      <c r="L347" s="93">
        <f t="shared" ca="1" si="157"/>
        <v>894590</v>
      </c>
      <c r="M347" s="93">
        <f t="shared" ca="1" si="157"/>
        <v>500100</v>
      </c>
      <c r="N347" s="93">
        <f t="shared" ca="1" si="157"/>
        <v>187940.19</v>
      </c>
      <c r="O347" s="93">
        <f t="shared" ca="1" si="155"/>
        <v>21.008527928995406</v>
      </c>
      <c r="P347" s="93">
        <f t="shared" ca="1" si="156"/>
        <v>37.580521895620876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1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65">
        <f t="shared" ref="L348:N348" ca="1" si="158">L349+L350</f>
        <v>788990</v>
      </c>
      <c r="M348" s="465">
        <f t="shared" ca="1" si="158"/>
        <v>394500</v>
      </c>
      <c r="N348" s="465">
        <f t="shared" ca="1" si="158"/>
        <v>82340.19</v>
      </c>
      <c r="O348" s="465">
        <f t="shared" ca="1" si="155"/>
        <v>10.436151282018784</v>
      </c>
      <c r="P348" s="465">
        <f t="shared" ca="1" si="156"/>
        <v>20.872038022813687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2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5"/>
        <v>0</v>
      </c>
      <c r="P349" s="93">
        <f t="shared" si="156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2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IFERROR(__xludf.DUMMYFUNCTION("IMPORTRANGE(""https://docs.google.com/spreadsheets/d/1MeEWN-I1oV_STSDYn1IFDPWt_1FKiwhDph83XaGc0o0/edit?usp=sharing"",""งบพรบ!EW21"")"),788990)</f>
        <v>788990</v>
      </c>
      <c r="M350" s="93">
        <f ca="1">IFERROR(__xludf.DUMMYFUNCTION("IMPORTRANGE(""https://docs.google.com/spreadsheets/d/1MeEWN-I1oV_STSDYn1IFDPWt_1FKiwhDph83XaGc0o0/edit?usp=sharing"",""งบพรบ!FB21"")"),394500)</f>
        <v>394500</v>
      </c>
      <c r="N350" s="93">
        <f ca="1">IFERROR(__xludf.DUMMYFUNCTION("IMPORTRANGE(""https://docs.google.com/spreadsheets/d/1MeEWN-I1oV_STSDYn1IFDPWt_1FKiwhDph83XaGc0o0/edit?usp=sharing"",""งบพรบ!FD21"")"),82340.19)</f>
        <v>82340.19</v>
      </c>
      <c r="O350" s="93">
        <f t="shared" ca="1" si="155"/>
        <v>10.436151282018784</v>
      </c>
      <c r="P350" s="93">
        <f t="shared" ca="1" si="156"/>
        <v>20.872038022813687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1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65">
        <f t="shared" ref="L351:N351" ca="1" si="159">L352+L353</f>
        <v>105600</v>
      </c>
      <c r="M351" s="465">
        <f t="shared" ca="1" si="159"/>
        <v>105600</v>
      </c>
      <c r="N351" s="465">
        <f t="shared" ca="1" si="159"/>
        <v>105600</v>
      </c>
      <c r="O351" s="465">
        <f t="shared" ca="1" si="155"/>
        <v>100</v>
      </c>
      <c r="P351" s="465">
        <f t="shared" ca="1" si="156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2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5"/>
        <v>0</v>
      </c>
      <c r="P352" s="93">
        <f t="shared" si="156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2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IFERROR(__xludf.DUMMYFUNCTION("IMPORTRANGE(""https://docs.google.com/spreadsheets/d/1MeEWN-I1oV_STSDYn1IFDPWt_1FKiwhDph83XaGc0o0/edit?usp=sharing"",""งบพรบ!EZ21"")"),105600)</f>
        <v>105600</v>
      </c>
      <c r="M353" s="93">
        <f ca="1">IFERROR(__xludf.DUMMYFUNCTION("IMPORTRANGE(""https://docs.google.com/spreadsheets/d/1MeEWN-I1oV_STSDYn1IFDPWt_1FKiwhDph83XaGc0o0/edit?usp=sharing"",""งบพรบ!FC21"")"),105600)</f>
        <v>105600</v>
      </c>
      <c r="N353" s="93">
        <f ca="1">IFERROR(__xludf.DUMMYFUNCTION("IMPORTRANGE(""https://docs.google.com/spreadsheets/d/1MeEWN-I1oV_STSDYn1IFDPWt_1FKiwhDph83XaGc0o0/edit?usp=sharing"",""งบพรบ!FE21"")"),105600)</f>
        <v>105600</v>
      </c>
      <c r="O353" s="93">
        <f t="shared" ca="1" si="155"/>
        <v>100</v>
      </c>
      <c r="P353" s="93">
        <f t="shared" ca="1" si="156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5"/>
      <c r="B354" s="263"/>
      <c r="C354" s="256"/>
      <c r="D354" s="845" t="s">
        <v>158</v>
      </c>
      <c r="E354" s="256"/>
      <c r="F354" s="256"/>
      <c r="G354" s="258"/>
      <c r="H354" s="423"/>
      <c r="I354" s="260"/>
      <c r="J354" s="260"/>
      <c r="K354" s="261"/>
      <c r="L354" s="261"/>
      <c r="M354" s="261"/>
      <c r="N354" s="261"/>
      <c r="O354" s="261"/>
      <c r="P354" s="261"/>
    </row>
    <row r="355" spans="1:26" ht="19.5">
      <c r="A355" s="424"/>
      <c r="B355" s="425"/>
      <c r="C355" s="426"/>
      <c r="D355" s="846" t="s">
        <v>159</v>
      </c>
      <c r="E355" s="428"/>
      <c r="F355" s="428"/>
      <c r="G355" s="429"/>
      <c r="H355" s="430" t="s">
        <v>35</v>
      </c>
      <c r="I355" s="432">
        <f ca="1">IFERROR(__xludf.DUMMYFUNCTION("IMPORTRANGE(""https://docs.google.com/spreadsheets/d/1QqKyyYR6Q21VydFLVH3TRQUabQu_ym0Zz7PgGX0-kHA/edit?usp=sharing"",""แผน!EP21"")"),125)</f>
        <v>125</v>
      </c>
      <c r="J355" s="432">
        <f ca="1">J362</f>
        <v>0</v>
      </c>
      <c r="K355" s="433">
        <f ca="1">IF(I355&gt;0,J355*100/I355,0)</f>
        <v>0</v>
      </c>
      <c r="L355" s="434"/>
      <c r="M355" s="434"/>
      <c r="N355" s="434"/>
      <c r="O355" s="434"/>
      <c r="P355" s="434"/>
    </row>
    <row r="356" spans="1:26" ht="19.5">
      <c r="A356" s="424"/>
      <c r="B356" s="425"/>
      <c r="C356" s="426"/>
      <c r="D356" s="435" t="s">
        <v>160</v>
      </c>
      <c r="E356" s="428"/>
      <c r="F356" s="428"/>
      <c r="G356" s="429"/>
      <c r="H356" s="436"/>
      <c r="I356" s="437"/>
      <c r="J356" s="437"/>
      <c r="K356" s="434"/>
      <c r="L356" s="434"/>
      <c r="M356" s="434"/>
      <c r="N356" s="434"/>
      <c r="O356" s="434"/>
      <c r="P356" s="434"/>
    </row>
    <row r="357" spans="1:26" ht="19.5">
      <c r="A357" s="170"/>
      <c r="B357" s="171"/>
      <c r="C357" s="164" t="s">
        <v>16</v>
      </c>
      <c r="D357" s="818" t="s">
        <v>38</v>
      </c>
      <c r="E357" s="173"/>
      <c r="F357" s="173"/>
      <c r="G357" s="174"/>
      <c r="H357" s="726"/>
      <c r="I357" s="269"/>
      <c r="J357" s="269"/>
      <c r="K357" s="465"/>
      <c r="L357" s="163"/>
      <c r="M357" s="163"/>
      <c r="N357" s="163"/>
      <c r="O357" s="163"/>
      <c r="P357" s="163"/>
    </row>
    <row r="358" spans="1:26" ht="18.75">
      <c r="A358" s="170"/>
      <c r="B358" s="342"/>
      <c r="C358" s="171"/>
      <c r="D358" s="342"/>
      <c r="E358" s="343" t="s">
        <v>161</v>
      </c>
      <c r="F358" s="342"/>
      <c r="G358" s="179"/>
      <c r="H358" s="185" t="s">
        <v>35</v>
      </c>
      <c r="I358" s="269">
        <v>0</v>
      </c>
      <c r="J358" s="269">
        <f ca="1">IFERROR(__xludf.DUMMYFUNCTION("IMPORTRANGE(""https://docs.google.com/spreadsheets/d/1XWAQStnk-4SwqDmLtmXYiTMKHgktTP8We1SCoS47DrQ/edit?usp=sharing"",""จัดที่ดิน!W21"")"),2)</f>
        <v>2</v>
      </c>
      <c r="K358" s="465">
        <f t="shared" ref="K358:K365" si="160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342"/>
      <c r="C359" s="171"/>
      <c r="D359" s="342"/>
      <c r="E359" s="342"/>
      <c r="F359" s="342"/>
      <c r="G359" s="179"/>
      <c r="H359" s="185" t="s">
        <v>46</v>
      </c>
      <c r="I359" s="269">
        <f ca="1">IFERROR(__xludf.DUMMYFUNCTION("IMPORTRANGE(""https://docs.google.com/spreadsheets/d/1QqKyyYR6Q21VydFLVH3TRQUabQu_ym0Zz7PgGX0-kHA/edit?usp=sharing"",""แผน!EO21"")"),1250)</f>
        <v>1250</v>
      </c>
      <c r="J359" s="269">
        <f ca="1">IFERROR(__xludf.DUMMYFUNCTION("IMPORTRANGE(""https://docs.google.com/spreadsheets/d/1XWAQStnk-4SwqDmLtmXYiTMKHgktTP8We1SCoS47DrQ/edit?usp=sharing"",""จัดที่ดิน!X21"")"),2.17)</f>
        <v>2.17</v>
      </c>
      <c r="K359" s="465">
        <f t="shared" ca="1" si="160"/>
        <v>0.1736</v>
      </c>
      <c r="L359" s="163"/>
      <c r="M359" s="163"/>
      <c r="N359" s="163"/>
      <c r="O359" s="163"/>
      <c r="P359" s="163"/>
    </row>
    <row r="360" spans="1:26" ht="18.75">
      <c r="A360" s="170"/>
      <c r="B360" s="342"/>
      <c r="C360" s="171"/>
      <c r="D360" s="342"/>
      <c r="E360" s="343" t="s">
        <v>162</v>
      </c>
      <c r="F360" s="342"/>
      <c r="G360" s="179"/>
      <c r="H360" s="728" t="s">
        <v>35</v>
      </c>
      <c r="I360" s="269">
        <f ca="1">IFERROR(__xludf.DUMMYFUNCTION("IMPORTRANGE(""https://docs.google.com/spreadsheets/d/1QqKyyYR6Q21VydFLVH3TRQUabQu_ym0Zz7PgGX0-kHA/edit?usp=sharing"",""แผน!EP21"")"),125)</f>
        <v>125</v>
      </c>
      <c r="J360" s="269">
        <f ca="1">IFERROR(__xludf.DUMMYFUNCTION("IMPORTRANGE(""https://docs.google.com/spreadsheets/d/1XWAQStnk-4SwqDmLtmXYiTMKHgktTP8We1SCoS47DrQ/edit?usp=sharing"",""จัดที่ดิน!Y21"")"),0)</f>
        <v>0</v>
      </c>
      <c r="K360" s="465">
        <f t="shared" ca="1" si="160"/>
        <v>0</v>
      </c>
      <c r="L360" s="163"/>
      <c r="M360" s="163"/>
      <c r="N360" s="163"/>
      <c r="O360" s="163"/>
      <c r="P360" s="163"/>
    </row>
    <row r="361" spans="1:26" ht="18.75">
      <c r="A361" s="170"/>
      <c r="B361" s="342"/>
      <c r="C361" s="171"/>
      <c r="D361" s="342"/>
      <c r="E361" s="342"/>
      <c r="F361" s="342"/>
      <c r="G361" s="179"/>
      <c r="H361" s="728" t="s">
        <v>46</v>
      </c>
      <c r="I361" s="269">
        <v>0</v>
      </c>
      <c r="J361" s="269">
        <f ca="1">IFERROR(__xludf.DUMMYFUNCTION("IMPORTRANGE(""https://docs.google.com/spreadsheets/d/1XWAQStnk-4SwqDmLtmXYiTMKHgktTP8We1SCoS47DrQ/edit?usp=sharing"",""จัดที่ดิน!Z21"")"),0)</f>
        <v>0</v>
      </c>
      <c r="K361" s="465">
        <f t="shared" si="160"/>
        <v>0</v>
      </c>
      <c r="L361" s="163"/>
      <c r="M361" s="163"/>
      <c r="N361" s="163"/>
      <c r="O361" s="163"/>
      <c r="P361" s="163"/>
    </row>
    <row r="362" spans="1:26" ht="18.75">
      <c r="A362" s="170"/>
      <c r="B362" s="342"/>
      <c r="C362" s="171"/>
      <c r="D362" s="342"/>
      <c r="E362" s="343" t="s">
        <v>163</v>
      </c>
      <c r="F362" s="342"/>
      <c r="G362" s="179"/>
      <c r="H362" s="728" t="s">
        <v>35</v>
      </c>
      <c r="I362" s="269">
        <f ca="1">IFERROR(__xludf.DUMMYFUNCTION("IMPORTRANGE(""https://docs.google.com/spreadsheets/d/1QqKyyYR6Q21VydFLVH3TRQUabQu_ym0Zz7PgGX0-kHA/edit?usp=sharing"",""แผน!EP21"")"),125)</f>
        <v>125</v>
      </c>
      <c r="J362" s="269">
        <f ca="1">IFERROR(__xludf.DUMMYFUNCTION("IMPORTRANGE(""https://docs.google.com/spreadsheets/d/1XWAQStnk-4SwqDmLtmXYiTMKHgktTP8We1SCoS47DrQ/edit?usp=sharing"",""จัดที่ดิน!AA21"")"),0)</f>
        <v>0</v>
      </c>
      <c r="K362" s="465">
        <f t="shared" ca="1" si="160"/>
        <v>0</v>
      </c>
      <c r="L362" s="163"/>
      <c r="M362" s="163"/>
      <c r="N362" s="163"/>
      <c r="O362" s="163"/>
      <c r="P362" s="163"/>
    </row>
    <row r="363" spans="1:26" ht="18.75">
      <c r="A363" s="438" t="s">
        <v>164</v>
      </c>
      <c r="B363" s="342"/>
      <c r="C363" s="171"/>
      <c r="D363" s="342"/>
      <c r="E363" s="415"/>
      <c r="F363" s="342"/>
      <c r="G363" s="179"/>
      <c r="H363" s="728" t="s">
        <v>46</v>
      </c>
      <c r="I363" s="269">
        <v>0</v>
      </c>
      <c r="J363" s="269">
        <f ca="1">IFERROR(__xludf.DUMMYFUNCTION("IMPORTRANGE(""https://docs.google.com/spreadsheets/d/1XWAQStnk-4SwqDmLtmXYiTMKHgktTP8We1SCoS47DrQ/edit?usp=sharing"",""จัดที่ดิน!AB21"")"),0)</f>
        <v>0</v>
      </c>
      <c r="K363" s="465">
        <f t="shared" si="160"/>
        <v>0</v>
      </c>
      <c r="L363" s="163"/>
      <c r="M363" s="163"/>
      <c r="N363" s="163"/>
      <c r="O363" s="163"/>
      <c r="P363" s="163"/>
    </row>
    <row r="364" spans="1:26" ht="19.5">
      <c r="A364" s="439"/>
      <c r="B364" s="440"/>
      <c r="C364" s="441"/>
      <c r="D364" s="442" t="s">
        <v>165</v>
      </c>
      <c r="E364" s="443"/>
      <c r="F364" s="443"/>
      <c r="G364" s="444"/>
      <c r="H364" s="445" t="s">
        <v>35</v>
      </c>
      <c r="I364" s="446">
        <f t="shared" ref="I364:J364" ca="1" si="161">I365+I374</f>
        <v>425</v>
      </c>
      <c r="J364" s="446">
        <f t="shared" ca="1" si="161"/>
        <v>17</v>
      </c>
      <c r="K364" s="447">
        <f t="shared" ca="1" si="160"/>
        <v>4</v>
      </c>
      <c r="L364" s="448"/>
      <c r="M364" s="448"/>
      <c r="N364" s="448"/>
      <c r="O364" s="448"/>
      <c r="P364" s="448"/>
      <c r="Q364" s="449"/>
      <c r="R364" s="449"/>
      <c r="S364" s="449"/>
      <c r="T364" s="449"/>
      <c r="U364" s="449"/>
      <c r="V364" s="449"/>
      <c r="W364" s="449"/>
      <c r="X364" s="449"/>
      <c r="Y364" s="449"/>
      <c r="Z364" s="449"/>
    </row>
    <row r="365" spans="1:26" ht="19.5">
      <c r="A365" s="450"/>
      <c r="B365" s="451"/>
      <c r="C365" s="453"/>
      <c r="D365" s="453" t="s">
        <v>166</v>
      </c>
      <c r="E365" s="454"/>
      <c r="F365" s="454"/>
      <c r="G365" s="455"/>
      <c r="H365" s="456" t="s">
        <v>35</v>
      </c>
      <c r="I365" s="458">
        <f ca="1">IFERROR(__xludf.DUMMYFUNCTION("IMPORTRANGE(""https://docs.google.com/spreadsheets/d/1QqKyyYR6Q21VydFLVH3TRQUabQu_ym0Zz7PgGX0-kHA/edit?usp=sharing"",""แผน!EJ21"")"),5)</f>
        <v>5</v>
      </c>
      <c r="J365" s="458">
        <f ca="1">J372</f>
        <v>0</v>
      </c>
      <c r="K365" s="459">
        <f t="shared" ca="1" si="160"/>
        <v>0</v>
      </c>
      <c r="L365" s="460"/>
      <c r="M365" s="460"/>
      <c r="N365" s="460"/>
      <c r="O365" s="460"/>
      <c r="P365" s="460"/>
      <c r="Q365" s="449"/>
      <c r="R365" s="449"/>
      <c r="S365" s="449"/>
      <c r="T365" s="449"/>
      <c r="U365" s="449"/>
      <c r="V365" s="449"/>
      <c r="W365" s="449"/>
      <c r="X365" s="449"/>
      <c r="Y365" s="449"/>
      <c r="Z365" s="449"/>
    </row>
    <row r="366" spans="1:26" ht="19.5">
      <c r="A366" s="450"/>
      <c r="B366" s="451"/>
      <c r="C366" s="453"/>
      <c r="D366" s="461" t="s">
        <v>167</v>
      </c>
      <c r="E366" s="454"/>
      <c r="F366" s="454"/>
      <c r="G366" s="455"/>
      <c r="H366" s="462"/>
      <c r="I366" s="463"/>
      <c r="J366" s="463"/>
      <c r="K366" s="460"/>
      <c r="L366" s="460"/>
      <c r="M366" s="460"/>
      <c r="N366" s="460"/>
      <c r="O366" s="460"/>
      <c r="P366" s="460"/>
      <c r="Q366" s="449"/>
      <c r="R366" s="449"/>
      <c r="S366" s="449"/>
      <c r="T366" s="449"/>
      <c r="U366" s="449"/>
      <c r="V366" s="449"/>
      <c r="W366" s="449"/>
      <c r="X366" s="449"/>
      <c r="Y366" s="449"/>
      <c r="Z366" s="449"/>
    </row>
    <row r="367" spans="1:26" ht="19.5">
      <c r="A367" s="170"/>
      <c r="B367" s="171"/>
      <c r="C367" s="164" t="s">
        <v>16</v>
      </c>
      <c r="D367" s="818" t="s">
        <v>38</v>
      </c>
      <c r="E367" s="173"/>
      <c r="F367" s="173"/>
      <c r="G367" s="174"/>
      <c r="H367" s="726"/>
      <c r="I367" s="269"/>
      <c r="J367" s="269"/>
      <c r="K367" s="465"/>
      <c r="L367" s="163"/>
      <c r="M367" s="163"/>
      <c r="N367" s="163"/>
      <c r="O367" s="163"/>
      <c r="P367" s="163"/>
    </row>
    <row r="368" spans="1:26" ht="18.75">
      <c r="A368" s="170"/>
      <c r="B368" s="342"/>
      <c r="C368" s="171"/>
      <c r="D368" s="342"/>
      <c r="E368" s="343" t="s">
        <v>161</v>
      </c>
      <c r="F368" s="342"/>
      <c r="G368" s="179"/>
      <c r="H368" s="185" t="s">
        <v>35</v>
      </c>
      <c r="I368" s="269">
        <v>0</v>
      </c>
      <c r="J368" s="269">
        <f ca="1">IFERROR(__xludf.DUMMYFUNCTION("IMPORTRANGE(""https://docs.google.com/spreadsheets/d/1XWAQStnk-4SwqDmLtmXYiTMKHgktTP8We1SCoS47DrQ/edit?usp=sharing"",""จัดที่ดิน!E21"")"),2)</f>
        <v>2</v>
      </c>
      <c r="K368" s="465">
        <f t="shared" ref="K368:K374" si="162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342"/>
      <c r="C369" s="171"/>
      <c r="D369" s="342"/>
      <c r="E369" s="342"/>
      <c r="F369" s="342"/>
      <c r="G369" s="179"/>
      <c r="H369" s="185" t="s">
        <v>46</v>
      </c>
      <c r="I369" s="269">
        <f ca="1">IFERROR(__xludf.DUMMYFUNCTION("IMPORTRANGE(""https://docs.google.com/spreadsheets/d/1QqKyyYR6Q21VydFLVH3TRQUabQu_ym0Zz7PgGX0-kHA/edit?usp=sharing"",""แผน!EI21"")"),50)</f>
        <v>50</v>
      </c>
      <c r="J369" s="269">
        <f ca="1">IFERROR(__xludf.DUMMYFUNCTION("IMPORTRANGE(""https://docs.google.com/spreadsheets/d/1XWAQStnk-4SwqDmLtmXYiTMKHgktTP8We1SCoS47DrQ/edit?usp=sharing"",""จัดที่ดิน!F21"")"),2.17)</f>
        <v>2.17</v>
      </c>
      <c r="K369" s="465">
        <f t="shared" ca="1" si="162"/>
        <v>4.34</v>
      </c>
      <c r="L369" s="163"/>
      <c r="M369" s="163"/>
      <c r="N369" s="163"/>
      <c r="O369" s="163"/>
      <c r="P369" s="163"/>
    </row>
    <row r="370" spans="1:26" ht="18.75">
      <c r="A370" s="170"/>
      <c r="B370" s="342"/>
      <c r="C370" s="171"/>
      <c r="D370" s="342"/>
      <c r="E370" s="343" t="s">
        <v>162</v>
      </c>
      <c r="F370" s="342"/>
      <c r="G370" s="179"/>
      <c r="H370" s="728" t="s">
        <v>35</v>
      </c>
      <c r="I370" s="269">
        <f ca="1">IFERROR(__xludf.DUMMYFUNCTION("IMPORTRANGE(""https://docs.google.com/spreadsheets/d/1QqKyyYR6Q21VydFLVH3TRQUabQu_ym0Zz7PgGX0-kHA/edit?usp=sharing"",""แผน!EJ21"")"),5)</f>
        <v>5</v>
      </c>
      <c r="J370" s="269">
        <f ca="1">IFERROR(__xludf.DUMMYFUNCTION("IMPORTRANGE(""https://docs.google.com/spreadsheets/d/1XWAQStnk-4SwqDmLtmXYiTMKHgktTP8We1SCoS47DrQ/edit?usp=sharing"",""จัดที่ดิน!G21"")"),0)</f>
        <v>0</v>
      </c>
      <c r="K370" s="465">
        <f t="shared" ca="1" si="162"/>
        <v>0</v>
      </c>
      <c r="L370" s="163"/>
      <c r="M370" s="163"/>
      <c r="N370" s="163"/>
      <c r="O370" s="163"/>
      <c r="P370" s="163"/>
    </row>
    <row r="371" spans="1:26" ht="18.75">
      <c r="A371" s="170"/>
      <c r="B371" s="342"/>
      <c r="C371" s="171"/>
      <c r="D371" s="342"/>
      <c r="E371" s="342"/>
      <c r="F371" s="342"/>
      <c r="G371" s="179"/>
      <c r="H371" s="728" t="s">
        <v>46</v>
      </c>
      <c r="I371" s="269">
        <v>0</v>
      </c>
      <c r="J371" s="269">
        <f ca="1">IFERROR(__xludf.DUMMYFUNCTION("IMPORTRANGE(""https://docs.google.com/spreadsheets/d/1XWAQStnk-4SwqDmLtmXYiTMKHgktTP8We1SCoS47DrQ/edit?usp=sharing"",""จัดที่ดิน!H21"")"),0)</f>
        <v>0</v>
      </c>
      <c r="K371" s="465">
        <f t="shared" si="162"/>
        <v>0</v>
      </c>
      <c r="L371" s="163"/>
      <c r="M371" s="163"/>
      <c r="N371" s="163"/>
      <c r="O371" s="163"/>
      <c r="P371" s="163"/>
    </row>
    <row r="372" spans="1:26" ht="18.75">
      <c r="A372" s="170"/>
      <c r="B372" s="342"/>
      <c r="C372" s="171"/>
      <c r="D372" s="342"/>
      <c r="E372" s="343" t="s">
        <v>163</v>
      </c>
      <c r="F372" s="342"/>
      <c r="G372" s="179"/>
      <c r="H372" s="728" t="s">
        <v>35</v>
      </c>
      <c r="I372" s="269">
        <f ca="1">IFERROR(__xludf.DUMMYFUNCTION("IMPORTRANGE(""https://docs.google.com/spreadsheets/d/1QqKyyYR6Q21VydFLVH3TRQUabQu_ym0Zz7PgGX0-kHA/edit?usp=sharing"",""แผน!EJ21"")"),5)</f>
        <v>5</v>
      </c>
      <c r="J372" s="269">
        <f ca="1">IFERROR(__xludf.DUMMYFUNCTION("IMPORTRANGE(""https://docs.google.com/spreadsheets/d/1XWAQStnk-4SwqDmLtmXYiTMKHgktTP8We1SCoS47DrQ/edit?usp=sharing"",""จัดที่ดิน!I21"")"),0)</f>
        <v>0</v>
      </c>
      <c r="K372" s="465">
        <f t="shared" ca="1" si="162"/>
        <v>0</v>
      </c>
      <c r="L372" s="163"/>
      <c r="M372" s="163"/>
      <c r="N372" s="163"/>
      <c r="O372" s="163"/>
      <c r="P372" s="163"/>
    </row>
    <row r="373" spans="1:26" ht="18.75">
      <c r="A373" s="438" t="s">
        <v>164</v>
      </c>
      <c r="B373" s="342"/>
      <c r="C373" s="171"/>
      <c r="D373" s="342"/>
      <c r="E373" s="415"/>
      <c r="F373" s="342"/>
      <c r="G373" s="179"/>
      <c r="H373" s="728" t="s">
        <v>46</v>
      </c>
      <c r="I373" s="269">
        <v>0</v>
      </c>
      <c r="J373" s="269">
        <f ca="1">IFERROR(__xludf.DUMMYFUNCTION("IMPORTRANGE(""https://docs.google.com/spreadsheets/d/1XWAQStnk-4SwqDmLtmXYiTMKHgktTP8We1SCoS47DrQ/edit?usp=sharing"",""จัดที่ดิน!J21"")"),0)</f>
        <v>0</v>
      </c>
      <c r="K373" s="465">
        <f t="shared" si="162"/>
        <v>0</v>
      </c>
      <c r="L373" s="163"/>
      <c r="M373" s="163"/>
      <c r="N373" s="163"/>
      <c r="O373" s="163"/>
      <c r="P373" s="163"/>
    </row>
    <row r="374" spans="1:26" ht="19.5">
      <c r="A374" s="450"/>
      <c r="B374" s="451"/>
      <c r="C374" s="453"/>
      <c r="D374" s="453" t="s">
        <v>168</v>
      </c>
      <c r="E374" s="454"/>
      <c r="F374" s="454"/>
      <c r="G374" s="455"/>
      <c r="H374" s="456" t="s">
        <v>35</v>
      </c>
      <c r="I374" s="464">
        <f ca="1">IFERROR(__xludf.DUMMYFUNCTION("IMPORTRANGE(""https://docs.google.com/spreadsheets/d/1QqKyyYR6Q21VydFLVH3TRQUabQu_ym0Zz7PgGX0-kHA/edit?usp=sharing"",""แผน!EU21"")"),420)</f>
        <v>420</v>
      </c>
      <c r="J374" s="458">
        <f ca="1">J381</f>
        <v>17</v>
      </c>
      <c r="K374" s="459">
        <f t="shared" ca="1" si="162"/>
        <v>4.0476190476190474</v>
      </c>
      <c r="L374" s="460"/>
      <c r="M374" s="460"/>
      <c r="N374" s="460"/>
      <c r="O374" s="460"/>
      <c r="P374" s="460"/>
      <c r="Q374" s="449"/>
      <c r="R374" s="449"/>
      <c r="S374" s="449"/>
      <c r="T374" s="449"/>
      <c r="U374" s="449"/>
      <c r="V374" s="449"/>
      <c r="W374" s="449"/>
      <c r="X374" s="449"/>
      <c r="Y374" s="449"/>
      <c r="Z374" s="449"/>
    </row>
    <row r="375" spans="1:26" ht="19.5">
      <c r="A375" s="450"/>
      <c r="B375" s="451"/>
      <c r="C375" s="453"/>
      <c r="D375" s="461" t="s">
        <v>169</v>
      </c>
      <c r="E375" s="454"/>
      <c r="F375" s="454"/>
      <c r="G375" s="455"/>
      <c r="H375" s="462"/>
      <c r="I375" s="463"/>
      <c r="J375" s="463"/>
      <c r="K375" s="460"/>
      <c r="L375" s="460"/>
      <c r="M375" s="460"/>
      <c r="N375" s="460"/>
      <c r="O375" s="460"/>
      <c r="P375" s="460"/>
      <c r="Q375" s="449"/>
      <c r="R375" s="449"/>
      <c r="S375" s="449"/>
      <c r="T375" s="449"/>
      <c r="U375" s="449"/>
      <c r="V375" s="449"/>
      <c r="W375" s="449"/>
      <c r="X375" s="449"/>
      <c r="Y375" s="449"/>
      <c r="Z375" s="449"/>
    </row>
    <row r="376" spans="1:26" ht="19.5">
      <c r="A376" s="170"/>
      <c r="B376" s="171"/>
      <c r="C376" s="164" t="s">
        <v>16</v>
      </c>
      <c r="D376" s="818" t="s">
        <v>38</v>
      </c>
      <c r="E376" s="173"/>
      <c r="F376" s="173"/>
      <c r="G376" s="174"/>
      <c r="H376" s="726"/>
      <c r="I376" s="269"/>
      <c r="J376" s="269"/>
      <c r="K376" s="465"/>
      <c r="L376" s="163"/>
      <c r="M376" s="163"/>
      <c r="N376" s="163"/>
      <c r="O376" s="163"/>
      <c r="P376" s="163"/>
    </row>
    <row r="377" spans="1:26" ht="18.75">
      <c r="A377" s="170"/>
      <c r="B377" s="342"/>
      <c r="C377" s="171"/>
      <c r="D377" s="342"/>
      <c r="E377" s="343" t="s">
        <v>161</v>
      </c>
      <c r="F377" s="342"/>
      <c r="G377" s="179"/>
      <c r="H377" s="185" t="s">
        <v>35</v>
      </c>
      <c r="I377" s="269">
        <v>0</v>
      </c>
      <c r="J377" s="269">
        <f ca="1">IFERROR(__xludf.DUMMYFUNCTION("IMPORTRANGE(""https://docs.google.com/spreadsheets/d/1XWAQStnk-4SwqDmLtmXYiTMKHgktTP8We1SCoS47DrQ/edit?usp=sharing"",""จัดที่ดิน!AH21"")"),0)</f>
        <v>0</v>
      </c>
      <c r="K377" s="465">
        <f t="shared" ref="K377:K382" si="163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342"/>
      <c r="C378" s="171"/>
      <c r="D378" s="342"/>
      <c r="E378" s="342"/>
      <c r="F378" s="342"/>
      <c r="G378" s="179"/>
      <c r="H378" s="185" t="s">
        <v>46</v>
      </c>
      <c r="I378" s="269">
        <f ca="1">IFERROR(__xludf.DUMMYFUNCTION("IMPORTRANGE(""https://docs.google.com/spreadsheets/d/1QqKyyYR6Q21VydFLVH3TRQUabQu_ym0Zz7PgGX0-kHA/edit?usp=sharing"",""แผน!ET21"")"),1200)</f>
        <v>1200</v>
      </c>
      <c r="J378" s="269">
        <f ca="1">IFERROR(__xludf.DUMMYFUNCTION("IMPORTRANGE(""https://docs.google.com/spreadsheets/d/1XWAQStnk-4SwqDmLtmXYiTMKHgktTP8We1SCoS47DrQ/edit?usp=sharing"",""จัดที่ดิน!AI21"")"),0)</f>
        <v>0</v>
      </c>
      <c r="K378" s="465">
        <f t="shared" ca="1" si="163"/>
        <v>0</v>
      </c>
      <c r="L378" s="163"/>
      <c r="M378" s="163"/>
      <c r="N378" s="163"/>
      <c r="O378" s="163"/>
      <c r="P378" s="163"/>
    </row>
    <row r="379" spans="1:26" ht="18.75">
      <c r="A379" s="170"/>
      <c r="B379" s="342"/>
      <c r="C379" s="171"/>
      <c r="D379" s="342"/>
      <c r="E379" s="343" t="s">
        <v>162</v>
      </c>
      <c r="F379" s="342"/>
      <c r="G379" s="179"/>
      <c r="H379" s="728" t="s">
        <v>35</v>
      </c>
      <c r="I379" s="269">
        <f ca="1">IFERROR(__xludf.DUMMYFUNCTION("IMPORTRANGE(""https://docs.google.com/spreadsheets/d/1QqKyyYR6Q21VydFLVH3TRQUabQu_ym0Zz7PgGX0-kHA/edit?usp=sharing"",""แผน!EU21"")"),420)</f>
        <v>420</v>
      </c>
      <c r="J379" s="269">
        <f ca="1">IFERROR(__xludf.DUMMYFUNCTION("IMPORTRANGE(""https://docs.google.com/spreadsheets/d/1XWAQStnk-4SwqDmLtmXYiTMKHgktTP8We1SCoS47DrQ/edit?usp=sharing"",""จัดที่ดิน!AJ21"")"),19)</f>
        <v>19</v>
      </c>
      <c r="K379" s="465">
        <f t="shared" ca="1" si="163"/>
        <v>4.5238095238095237</v>
      </c>
      <c r="L379" s="163"/>
      <c r="M379" s="163"/>
      <c r="N379" s="163"/>
      <c r="O379" s="163"/>
      <c r="P379" s="163"/>
    </row>
    <row r="380" spans="1:26" ht="18.75">
      <c r="A380" s="170"/>
      <c r="B380" s="342"/>
      <c r="C380" s="171"/>
      <c r="D380" s="342"/>
      <c r="E380" s="342"/>
      <c r="F380" s="342"/>
      <c r="G380" s="179"/>
      <c r="H380" s="728" t="s">
        <v>46</v>
      </c>
      <c r="I380" s="269">
        <v>0</v>
      </c>
      <c r="J380" s="269">
        <f ca="1">IFERROR(__xludf.DUMMYFUNCTION("IMPORTRANGE(""https://docs.google.com/spreadsheets/d/1XWAQStnk-4SwqDmLtmXYiTMKHgktTP8We1SCoS47DrQ/edit?usp=sharing"",""จัดที่ดิน!AK21"")"),284.81)</f>
        <v>284.81</v>
      </c>
      <c r="K380" s="465">
        <f t="shared" si="163"/>
        <v>0</v>
      </c>
      <c r="L380" s="163"/>
      <c r="M380" s="163"/>
      <c r="N380" s="163"/>
      <c r="O380" s="163"/>
      <c r="P380" s="163"/>
    </row>
    <row r="381" spans="1:26" ht="18.75">
      <c r="A381" s="170"/>
      <c r="B381" s="342"/>
      <c r="C381" s="171"/>
      <c r="D381" s="342"/>
      <c r="E381" s="343" t="s">
        <v>163</v>
      </c>
      <c r="F381" s="342"/>
      <c r="G381" s="179"/>
      <c r="H381" s="728" t="s">
        <v>35</v>
      </c>
      <c r="I381" s="269">
        <f ca="1">IFERROR(__xludf.DUMMYFUNCTION("IMPORTRANGE(""https://docs.google.com/spreadsheets/d/1QqKyyYR6Q21VydFLVH3TRQUabQu_ym0Zz7PgGX0-kHA/edit?usp=sharing"",""แผน!EU21"")"),420)</f>
        <v>420</v>
      </c>
      <c r="J381" s="269">
        <f ca="1">IFERROR(__xludf.DUMMYFUNCTION("IMPORTRANGE(""https://docs.google.com/spreadsheets/d/1XWAQStnk-4SwqDmLtmXYiTMKHgktTP8We1SCoS47DrQ/edit?usp=sharing"",""จัดที่ดิน!AL21"")"),17)</f>
        <v>17</v>
      </c>
      <c r="K381" s="465">
        <f t="shared" ca="1" si="163"/>
        <v>4.0476190476190474</v>
      </c>
      <c r="L381" s="163"/>
      <c r="M381" s="163"/>
      <c r="N381" s="163"/>
      <c r="O381" s="163"/>
      <c r="P381" s="163"/>
    </row>
    <row r="382" spans="1:26" ht="18.75">
      <c r="A382" s="438" t="s">
        <v>164</v>
      </c>
      <c r="B382" s="342"/>
      <c r="C382" s="171"/>
      <c r="D382" s="342"/>
      <c r="E382" s="415"/>
      <c r="F382" s="342"/>
      <c r="G382" s="179"/>
      <c r="H382" s="728" t="s">
        <v>46</v>
      </c>
      <c r="I382" s="269">
        <v>0</v>
      </c>
      <c r="J382" s="269">
        <f ca="1">IFERROR(__xludf.DUMMYFUNCTION("IMPORTRANGE(""https://docs.google.com/spreadsheets/d/1XWAQStnk-4SwqDmLtmXYiTMKHgktTP8We1SCoS47DrQ/edit?usp=sharing"",""จัดที่ดิน!AM21"")"),255.03)</f>
        <v>255.03</v>
      </c>
      <c r="K382" s="465">
        <f t="shared" si="163"/>
        <v>0</v>
      </c>
      <c r="L382" s="163"/>
      <c r="M382" s="163"/>
      <c r="N382" s="163"/>
      <c r="O382" s="163"/>
      <c r="P382" s="163"/>
    </row>
    <row r="383" spans="1:26" ht="19.5">
      <c r="A383" s="255"/>
      <c r="B383" s="263"/>
      <c r="C383" s="256"/>
      <c r="D383" s="845" t="s">
        <v>170</v>
      </c>
      <c r="E383" s="256"/>
      <c r="F383" s="256"/>
      <c r="G383" s="258"/>
      <c r="H383" s="423"/>
      <c r="I383" s="260"/>
      <c r="J383" s="260"/>
      <c r="K383" s="261"/>
      <c r="L383" s="261"/>
      <c r="M383" s="261"/>
      <c r="N383" s="261"/>
      <c r="O383" s="261"/>
      <c r="P383" s="261"/>
    </row>
    <row r="384" spans="1:26" ht="19.5">
      <c r="A384" s="170"/>
      <c r="B384" s="171"/>
      <c r="C384" s="33" t="s">
        <v>16</v>
      </c>
      <c r="D384" s="818" t="s">
        <v>38</v>
      </c>
      <c r="E384" s="173"/>
      <c r="F384" s="173"/>
      <c r="G384" s="174"/>
      <c r="H384" s="726"/>
      <c r="I384" s="269"/>
      <c r="J384" s="269"/>
      <c r="K384" s="465"/>
      <c r="L384" s="163"/>
      <c r="M384" s="163"/>
      <c r="N384" s="163"/>
      <c r="O384" s="163"/>
      <c r="P384" s="163"/>
    </row>
    <row r="385" spans="1:26" ht="18.75">
      <c r="A385" s="346"/>
      <c r="B385" s="349"/>
      <c r="C385" s="347"/>
      <c r="D385" s="349"/>
      <c r="E385" s="466" t="s">
        <v>163</v>
      </c>
      <c r="F385" s="349"/>
      <c r="G385" s="350"/>
      <c r="H385" s="467" t="s">
        <v>35</v>
      </c>
      <c r="I385" s="468">
        <f ca="1">IFERROR(__xludf.DUMMYFUNCTION("IMPORTRANGE(""https://docs.google.com/spreadsheets/d/1QqKyyYR6Q21VydFLVH3TRQUabQu_ym0Zz7PgGX0-kHA/edit?usp=sharing"",""แผน!EW21"")"),30)</f>
        <v>30</v>
      </c>
      <c r="J385" s="468">
        <f ca="1">IFERROR(__xludf.DUMMYFUNCTION("IMPORTRANGE(""https://docs.google.com/spreadsheets/d/1XWAQStnk-4SwqDmLtmXYiTMKHgktTP8We1SCoS47DrQ/edit?usp=sharing"",""จัดที่ดิน!AP21"")"),7)</f>
        <v>7</v>
      </c>
      <c r="K385" s="469">
        <f ca="1">IF(I385&gt;0,J385*100/I385,0)</f>
        <v>23.333333333333332</v>
      </c>
      <c r="L385" s="353"/>
      <c r="M385" s="353"/>
      <c r="N385" s="353"/>
      <c r="O385" s="353"/>
      <c r="P385" s="353"/>
    </row>
    <row r="386" spans="1:26" ht="19.5" hidden="1">
      <c r="A386" s="470" t="s">
        <v>171</v>
      </c>
      <c r="B386" s="471"/>
      <c r="C386" s="471"/>
      <c r="D386" s="471"/>
      <c r="E386" s="472"/>
      <c r="F386" s="472"/>
      <c r="G386" s="473"/>
      <c r="H386" s="474"/>
      <c r="I386" s="475"/>
      <c r="J386" s="475"/>
      <c r="K386" s="476"/>
      <c r="L386" s="476"/>
      <c r="M386" s="476"/>
      <c r="N386" s="476"/>
      <c r="O386" s="476"/>
      <c r="P386" s="476"/>
    </row>
    <row r="387" spans="1:26" ht="19.5" hidden="1">
      <c r="A387" s="477" t="s">
        <v>172</v>
      </c>
      <c r="B387" s="478"/>
      <c r="C387" s="478"/>
      <c r="D387" s="479"/>
      <c r="E387" s="478"/>
      <c r="F387" s="478"/>
      <c r="G387" s="478"/>
      <c r="H387" s="480"/>
      <c r="I387" s="481"/>
      <c r="J387" s="481"/>
      <c r="K387" s="482"/>
      <c r="L387" s="482"/>
      <c r="M387" s="482"/>
      <c r="N387" s="482"/>
      <c r="O387" s="482"/>
      <c r="P387" s="482"/>
    </row>
    <row r="388" spans="1:26" ht="19.5" hidden="1">
      <c r="A388" s="483"/>
      <c r="B388" s="484" t="s">
        <v>173</v>
      </c>
      <c r="C388" s="485"/>
      <c r="D388" s="486"/>
      <c r="E388" s="486"/>
      <c r="F388" s="486"/>
      <c r="G388" s="487"/>
      <c r="H388" s="488" t="s">
        <v>69</v>
      </c>
      <c r="I388" s="489">
        <f t="shared" ref="I388:J388" si="164">I400</f>
        <v>0</v>
      </c>
      <c r="J388" s="489">
        <f t="shared" si="164"/>
        <v>0</v>
      </c>
      <c r="K388" s="490">
        <f>IF(I388&gt;0,J388*100/I388,0)</f>
        <v>0</v>
      </c>
      <c r="L388" s="491"/>
      <c r="M388" s="491"/>
      <c r="N388" s="491"/>
      <c r="O388" s="491"/>
      <c r="P388" s="491"/>
    </row>
    <row r="389" spans="1:26" ht="19.5" hidden="1">
      <c r="A389" s="147"/>
      <c r="B389" s="148"/>
      <c r="C389" s="149" t="s">
        <v>16</v>
      </c>
      <c r="D389" s="817" t="s">
        <v>17</v>
      </c>
      <c r="E389" s="148"/>
      <c r="F389" s="148"/>
      <c r="G389" s="151"/>
      <c r="H389" s="152" t="s">
        <v>12</v>
      </c>
      <c r="I389" s="388"/>
      <c r="J389" s="388"/>
      <c r="K389" s="154"/>
      <c r="L389" s="155">
        <f t="shared" ref="L389:N389" ca="1" si="165">L390+L391</f>
        <v>0</v>
      </c>
      <c r="M389" s="155">
        <f t="shared" ca="1" si="165"/>
        <v>0</v>
      </c>
      <c r="N389" s="155">
        <f t="shared" ca="1" si="165"/>
        <v>0</v>
      </c>
      <c r="O389" s="155">
        <f t="shared" ref="O389:O397" ca="1" si="166">IF(L389&gt;0,N389*100/L389,0)</f>
        <v>0</v>
      </c>
      <c r="P389" s="155">
        <f t="shared" ref="P389:P397" ca="1" si="167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2" t="s">
        <v>18</v>
      </c>
      <c r="F390" s="40"/>
      <c r="G390" s="157"/>
      <c r="H390" s="158" t="s">
        <v>12</v>
      </c>
      <c r="I390" s="583"/>
      <c r="J390" s="583"/>
      <c r="K390" s="93"/>
      <c r="L390" s="93">
        <f t="shared" ref="L390:N391" si="168">L393+L396</f>
        <v>0</v>
      </c>
      <c r="M390" s="93">
        <f t="shared" si="168"/>
        <v>0</v>
      </c>
      <c r="N390" s="93">
        <f t="shared" si="168"/>
        <v>0</v>
      </c>
      <c r="O390" s="93">
        <f t="shared" si="166"/>
        <v>0</v>
      </c>
      <c r="P390" s="93">
        <f t="shared" si="167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2" t="s">
        <v>19</v>
      </c>
      <c r="F391" s="40"/>
      <c r="G391" s="157"/>
      <c r="H391" s="158" t="s">
        <v>12</v>
      </c>
      <c r="I391" s="583"/>
      <c r="J391" s="583"/>
      <c r="K391" s="93"/>
      <c r="L391" s="93">
        <f t="shared" ca="1" si="168"/>
        <v>0</v>
      </c>
      <c r="M391" s="93">
        <f t="shared" ca="1" si="168"/>
        <v>0</v>
      </c>
      <c r="N391" s="93">
        <f t="shared" ca="1" si="168"/>
        <v>0</v>
      </c>
      <c r="O391" s="93">
        <f t="shared" ca="1" si="166"/>
        <v>0</v>
      </c>
      <c r="P391" s="93">
        <f t="shared" ca="1" si="167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1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65">
        <f t="shared" ref="L392:N392" ca="1" si="169">L393+L394</f>
        <v>0</v>
      </c>
      <c r="M392" s="465">
        <f t="shared" ca="1" si="169"/>
        <v>0</v>
      </c>
      <c r="N392" s="465">
        <f t="shared" ca="1" si="169"/>
        <v>0</v>
      </c>
      <c r="O392" s="465">
        <f t="shared" ca="1" si="166"/>
        <v>0</v>
      </c>
      <c r="P392" s="465">
        <f t="shared" ca="1" si="167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2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6"/>
        <v>0</v>
      </c>
      <c r="P393" s="93">
        <f t="shared" si="167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2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IFERROR(__xludf.DUMMYFUNCTION("IMPORTRANGE(""https://docs.google.com/spreadsheets/d/1MeEWN-I1oV_STSDYn1IFDPWt_1FKiwhDph83XaGc0o0/edit?usp=sharing"",""งบพรบ!FG21"")"),0)</f>
        <v>0</v>
      </c>
      <c r="M394" s="93">
        <f ca="1">IFERROR(__xludf.DUMMYFUNCTION("IMPORTRANGE(""https://docs.google.com/spreadsheets/d/1MeEWN-I1oV_STSDYn1IFDPWt_1FKiwhDph83XaGc0o0/edit?usp=sharing"",""งบพรบ!FL21"")"),0)</f>
        <v>0</v>
      </c>
      <c r="N394" s="93">
        <f ca="1">IFERROR(__xludf.DUMMYFUNCTION("IMPORTRANGE(""https://docs.google.com/spreadsheets/d/1MeEWN-I1oV_STSDYn1IFDPWt_1FKiwhDph83XaGc0o0/edit?usp=sharing"",""งบพรบ!FN21"")"),0)</f>
        <v>0</v>
      </c>
      <c r="O394" s="93">
        <f t="shared" ca="1" si="166"/>
        <v>0</v>
      </c>
      <c r="P394" s="93">
        <f t="shared" ca="1" si="167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1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65">
        <f t="shared" ref="L395:N395" ca="1" si="170">L396+L397</f>
        <v>0</v>
      </c>
      <c r="M395" s="465">
        <f t="shared" ca="1" si="170"/>
        <v>0</v>
      </c>
      <c r="N395" s="465">
        <f t="shared" ca="1" si="170"/>
        <v>0</v>
      </c>
      <c r="O395" s="465">
        <f t="shared" ca="1" si="166"/>
        <v>0</v>
      </c>
      <c r="P395" s="465">
        <f t="shared" ca="1" si="167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2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6"/>
        <v>0</v>
      </c>
      <c r="P396" s="93">
        <f t="shared" si="167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2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IFERROR(__xludf.DUMMYFUNCTION("IMPORTRANGE(""https://docs.google.com/spreadsheets/d/1MeEWN-I1oV_STSDYn1IFDPWt_1FKiwhDph83XaGc0o0/edit?usp=sharing"",""งบพรบ!FJ21"")"),0)</f>
        <v>0</v>
      </c>
      <c r="M397" s="93">
        <f ca="1">IFERROR(__xludf.DUMMYFUNCTION("IMPORTRANGE(""https://docs.google.com/spreadsheets/d/1MeEWN-I1oV_STSDYn1IFDPWt_1FKiwhDph83XaGc0o0/edit?usp=sharing"",""งบพรบ!FM21"")"),0)</f>
        <v>0</v>
      </c>
      <c r="N397" s="93">
        <f ca="1">IFERROR(__xludf.DUMMYFUNCTION("IMPORTRANGE(""https://docs.google.com/spreadsheets/d/1MeEWN-I1oV_STSDYn1IFDPWt_1FKiwhDph83XaGc0o0/edit?usp=sharing"",""งบพรบ!FO21"")"),0)</f>
        <v>0</v>
      </c>
      <c r="O397" s="93">
        <f t="shared" ca="1" si="166"/>
        <v>0</v>
      </c>
      <c r="P397" s="93">
        <f t="shared" ca="1" si="167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18" t="s">
        <v>38</v>
      </c>
      <c r="E398" s="173"/>
      <c r="F398" s="173"/>
      <c r="G398" s="174"/>
      <c r="H398" s="726"/>
      <c r="I398" s="184"/>
      <c r="J398" s="269"/>
      <c r="K398" s="465"/>
      <c r="L398" s="465"/>
      <c r="M398" s="465"/>
      <c r="N398" s="465"/>
      <c r="O398" s="163"/>
      <c r="P398" s="163"/>
    </row>
    <row r="399" spans="1:26" ht="18.75" hidden="1">
      <c r="A399" s="492"/>
      <c r="B399" s="148"/>
      <c r="C399" s="493"/>
      <c r="D399" s="494" t="s">
        <v>174</v>
      </c>
      <c r="E399" s="383"/>
      <c r="F399" s="148"/>
      <c r="G399" s="151"/>
      <c r="H399" s="495" t="s">
        <v>9</v>
      </c>
      <c r="I399" s="269">
        <v>0</v>
      </c>
      <c r="J399" s="214">
        <v>0</v>
      </c>
      <c r="K399" s="465">
        <f t="shared" ref="K399:K401" si="171">IF(I399&gt;0,J399*100/I399,0)</f>
        <v>0</v>
      </c>
      <c r="L399" s="496"/>
      <c r="M399" s="496"/>
      <c r="N399" s="496"/>
      <c r="O399" s="496"/>
      <c r="P399" s="496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3"/>
      <c r="B400" s="33"/>
      <c r="C400" s="280"/>
      <c r="D400" s="415" t="s">
        <v>175</v>
      </c>
      <c r="E400" s="171"/>
      <c r="F400" s="33"/>
      <c r="G400" s="35"/>
      <c r="H400" s="276" t="s">
        <v>69</v>
      </c>
      <c r="I400" s="269">
        <v>0</v>
      </c>
      <c r="J400" s="214">
        <v>0</v>
      </c>
      <c r="K400" s="465">
        <f t="shared" si="171"/>
        <v>0</v>
      </c>
      <c r="L400" s="465"/>
      <c r="M400" s="465"/>
      <c r="N400" s="465"/>
      <c r="O400" s="465"/>
      <c r="P400" s="465"/>
    </row>
    <row r="401" spans="1:26" ht="19.5" hidden="1">
      <c r="A401" s="483"/>
      <c r="B401" s="484" t="s">
        <v>176</v>
      </c>
      <c r="C401" s="485"/>
      <c r="D401" s="486"/>
      <c r="E401" s="486"/>
      <c r="F401" s="486"/>
      <c r="G401" s="487"/>
      <c r="H401" s="488" t="s">
        <v>69</v>
      </c>
      <c r="I401" s="489">
        <f t="shared" ref="I401:J401" si="172">I412</f>
        <v>0</v>
      </c>
      <c r="J401" s="489">
        <f t="shared" si="172"/>
        <v>0</v>
      </c>
      <c r="K401" s="490">
        <f t="shared" si="171"/>
        <v>0</v>
      </c>
      <c r="L401" s="491"/>
      <c r="M401" s="491"/>
      <c r="N401" s="491"/>
      <c r="O401" s="491"/>
      <c r="P401" s="491"/>
    </row>
    <row r="402" spans="1:26" ht="19.5" hidden="1">
      <c r="A402" s="147"/>
      <c r="B402" s="148"/>
      <c r="C402" s="149" t="s">
        <v>16</v>
      </c>
      <c r="D402" s="817" t="s">
        <v>17</v>
      </c>
      <c r="E402" s="148"/>
      <c r="F402" s="148"/>
      <c r="G402" s="151"/>
      <c r="H402" s="152" t="s">
        <v>12</v>
      </c>
      <c r="I402" s="388"/>
      <c r="J402" s="388"/>
      <c r="K402" s="154"/>
      <c r="L402" s="155">
        <f t="shared" ref="L402:N402" ca="1" si="173">L403+L404</f>
        <v>0</v>
      </c>
      <c r="M402" s="155">
        <f t="shared" ca="1" si="173"/>
        <v>0</v>
      </c>
      <c r="N402" s="155">
        <f t="shared" ca="1" si="173"/>
        <v>0</v>
      </c>
      <c r="O402" s="155">
        <f t="shared" ref="O402:O410" ca="1" si="174">IF(L402&gt;0,N402*100/L402,0)</f>
        <v>0</v>
      </c>
      <c r="P402" s="155">
        <f t="shared" ref="P402:P410" ca="1" si="175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2" t="s">
        <v>18</v>
      </c>
      <c r="F403" s="40"/>
      <c r="G403" s="157"/>
      <c r="H403" s="158" t="s">
        <v>12</v>
      </c>
      <c r="I403" s="583"/>
      <c r="J403" s="583"/>
      <c r="K403" s="93"/>
      <c r="L403" s="93">
        <f t="shared" ref="L403:N404" si="176">L406+L409</f>
        <v>0</v>
      </c>
      <c r="M403" s="93">
        <f t="shared" si="176"/>
        <v>0</v>
      </c>
      <c r="N403" s="93">
        <f t="shared" si="176"/>
        <v>0</v>
      </c>
      <c r="O403" s="93">
        <f t="shared" si="174"/>
        <v>0</v>
      </c>
      <c r="P403" s="93">
        <f t="shared" si="175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2" t="s">
        <v>19</v>
      </c>
      <c r="F404" s="40"/>
      <c r="G404" s="157"/>
      <c r="H404" s="158" t="s">
        <v>12</v>
      </c>
      <c r="I404" s="583"/>
      <c r="J404" s="583"/>
      <c r="K404" s="93"/>
      <c r="L404" s="93">
        <f t="shared" ca="1" si="176"/>
        <v>0</v>
      </c>
      <c r="M404" s="93">
        <f t="shared" ca="1" si="176"/>
        <v>0</v>
      </c>
      <c r="N404" s="93">
        <f t="shared" ca="1" si="176"/>
        <v>0</v>
      </c>
      <c r="O404" s="93">
        <f t="shared" ca="1" si="174"/>
        <v>0</v>
      </c>
      <c r="P404" s="93">
        <f t="shared" ca="1" si="175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1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65">
        <f t="shared" ref="L405:N405" ca="1" si="177">L406+L407</f>
        <v>0</v>
      </c>
      <c r="M405" s="465">
        <f t="shared" ca="1" si="177"/>
        <v>0</v>
      </c>
      <c r="N405" s="465">
        <f t="shared" ca="1" si="177"/>
        <v>0</v>
      </c>
      <c r="O405" s="465">
        <f t="shared" ca="1" si="174"/>
        <v>0</v>
      </c>
      <c r="P405" s="465">
        <f t="shared" ca="1" si="175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2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4"/>
        <v>0</v>
      </c>
      <c r="P406" s="93">
        <f t="shared" si="175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2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IFERROR(__xludf.DUMMYFUNCTION("IMPORTRANGE(""https://docs.google.com/spreadsheets/d/1MeEWN-I1oV_STSDYn1IFDPWt_1FKiwhDph83XaGc0o0/edit?usp=sharing"",""งบพรบ!FQ21"")"),0)</f>
        <v>0</v>
      </c>
      <c r="M407" s="93">
        <f ca="1">IFERROR(__xludf.DUMMYFUNCTION("IMPORTRANGE(""https://docs.google.com/spreadsheets/d/1MeEWN-I1oV_STSDYn1IFDPWt_1FKiwhDph83XaGc0o0/edit?usp=sharing"",""งบพรบ!FV21"")"),0)</f>
        <v>0</v>
      </c>
      <c r="N407" s="93">
        <f ca="1">IFERROR(__xludf.DUMMYFUNCTION("IMPORTRANGE(""https://docs.google.com/spreadsheets/d/1MeEWN-I1oV_STSDYn1IFDPWt_1FKiwhDph83XaGc0o0/edit?usp=sharing"",""งบพรบ!FX21"")"),0)</f>
        <v>0</v>
      </c>
      <c r="O407" s="93">
        <f t="shared" ca="1" si="174"/>
        <v>0</v>
      </c>
      <c r="P407" s="93">
        <f t="shared" ca="1" si="175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1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65">
        <f t="shared" ref="L408:N408" ca="1" si="178">L409+L410</f>
        <v>0</v>
      </c>
      <c r="M408" s="465">
        <f t="shared" ca="1" si="178"/>
        <v>0</v>
      </c>
      <c r="N408" s="465">
        <f t="shared" ca="1" si="178"/>
        <v>0</v>
      </c>
      <c r="O408" s="465">
        <f t="shared" ca="1" si="174"/>
        <v>0</v>
      </c>
      <c r="P408" s="465">
        <f t="shared" ca="1" si="175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2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4"/>
        <v>0</v>
      </c>
      <c r="P409" s="93">
        <f t="shared" si="175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2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IFERROR(__xludf.DUMMYFUNCTION("IMPORTRANGE(""https://docs.google.com/spreadsheets/d/1MeEWN-I1oV_STSDYn1IFDPWt_1FKiwhDph83XaGc0o0/edit?usp=sharing"",""งบพรบ!FT21"")"),0)</f>
        <v>0</v>
      </c>
      <c r="M410" s="93">
        <f ca="1">IFERROR(__xludf.DUMMYFUNCTION("IMPORTRANGE(""https://docs.google.com/spreadsheets/d/1MeEWN-I1oV_STSDYn1IFDPWt_1FKiwhDph83XaGc0o0/edit?usp=sharing"",""งบพรบ!FW21"")"),0)</f>
        <v>0</v>
      </c>
      <c r="N410" s="93">
        <f ca="1">IFERROR(__xludf.DUMMYFUNCTION("IMPORTRANGE(""https://docs.google.com/spreadsheets/d/1MeEWN-I1oV_STSDYn1IFDPWt_1FKiwhDph83XaGc0o0/edit?usp=sharing"",""งบพรบ!FY21"")"),0)</f>
        <v>0</v>
      </c>
      <c r="O410" s="93">
        <f t="shared" ca="1" si="174"/>
        <v>0</v>
      </c>
      <c r="P410" s="93">
        <f t="shared" ca="1" si="175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47" t="s">
        <v>38</v>
      </c>
      <c r="E411" s="498"/>
      <c r="F411" s="498"/>
      <c r="G411" s="499"/>
      <c r="H411" s="726"/>
      <c r="I411" s="269"/>
      <c r="J411" s="269"/>
      <c r="K411" s="465"/>
      <c r="L411" s="163"/>
      <c r="M411" s="163"/>
      <c r="N411" s="163"/>
      <c r="O411" s="163"/>
      <c r="P411" s="163"/>
    </row>
    <row r="412" spans="1:26" ht="18.75" hidden="1">
      <c r="A412" s="170"/>
      <c r="B412" s="342"/>
      <c r="C412" s="342"/>
      <c r="D412" s="415" t="s">
        <v>177</v>
      </c>
      <c r="E412" s="342"/>
      <c r="F412" s="342"/>
      <c r="G412" s="179"/>
      <c r="H412" s="500" t="s">
        <v>69</v>
      </c>
      <c r="I412" s="269">
        <v>0</v>
      </c>
      <c r="J412" s="214">
        <v>0</v>
      </c>
      <c r="K412" s="465">
        <f t="shared" ref="K412:K413" si="179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01"/>
      <c r="B413" s="502"/>
      <c r="C413" s="502"/>
      <c r="D413" s="503" t="s">
        <v>178</v>
      </c>
      <c r="E413" s="502"/>
      <c r="F413" s="502"/>
      <c r="G413" s="504"/>
      <c r="H413" s="505" t="s">
        <v>179</v>
      </c>
      <c r="I413" s="506">
        <v>0</v>
      </c>
      <c r="J413" s="507">
        <v>0</v>
      </c>
      <c r="K413" s="508">
        <f t="shared" si="179"/>
        <v>0</v>
      </c>
      <c r="L413" s="509"/>
      <c r="M413" s="509"/>
      <c r="N413" s="509"/>
      <c r="O413" s="509"/>
      <c r="P413" s="509"/>
    </row>
    <row r="414" spans="1:26" ht="19.5">
      <c r="A414" s="510" t="s">
        <v>180</v>
      </c>
      <c r="B414" s="511"/>
      <c r="C414" s="511"/>
      <c r="D414" s="511"/>
      <c r="E414" s="511"/>
      <c r="F414" s="511"/>
      <c r="G414" s="512"/>
      <c r="H414" s="513"/>
      <c r="I414" s="514"/>
      <c r="J414" s="514"/>
      <c r="K414" s="515"/>
      <c r="L414" s="516">
        <f t="shared" ref="L414:N414" ca="1" si="180">L419+L444+L467+L502+L523+L544+L629+L655+L685+L737+L754+L770+L786+L805</f>
        <v>1566744</v>
      </c>
      <c r="M414" s="516">
        <f t="shared" si="180"/>
        <v>0</v>
      </c>
      <c r="N414" s="516">
        <f t="shared" si="180"/>
        <v>0</v>
      </c>
      <c r="O414" s="516">
        <f ca="1">IF(L414&gt;0,N414*100/L414,0)</f>
        <v>0</v>
      </c>
      <c r="P414" s="516">
        <f>IF(M414&gt;0,N414*100/M414,0)</f>
        <v>0</v>
      </c>
    </row>
    <row r="415" spans="1:26" ht="19.5">
      <c r="A415" s="517" t="s">
        <v>181</v>
      </c>
      <c r="B415" s="518"/>
      <c r="C415" s="518"/>
      <c r="D415" s="518"/>
      <c r="E415" s="518"/>
      <c r="F415" s="518"/>
      <c r="G415" s="518"/>
      <c r="H415" s="519"/>
      <c r="I415" s="520"/>
      <c r="J415" s="520"/>
      <c r="K415" s="521"/>
      <c r="L415" s="522"/>
      <c r="M415" s="522"/>
      <c r="N415" s="522"/>
      <c r="O415" s="522"/>
      <c r="P415" s="522"/>
    </row>
    <row r="416" spans="1:26" ht="19.5">
      <c r="A416" s="517" t="s">
        <v>182</v>
      </c>
      <c r="B416" s="518"/>
      <c r="C416" s="518"/>
      <c r="D416" s="518"/>
      <c r="E416" s="518"/>
      <c r="F416" s="518"/>
      <c r="G416" s="523"/>
      <c r="H416" s="524"/>
      <c r="I416" s="525"/>
      <c r="J416" s="525"/>
      <c r="K416" s="522"/>
      <c r="L416" s="522"/>
      <c r="M416" s="522"/>
      <c r="N416" s="522"/>
      <c r="O416" s="522"/>
      <c r="P416" s="522"/>
    </row>
    <row r="417" spans="1:26" ht="39">
      <c r="A417" s="526">
        <v>1</v>
      </c>
      <c r="B417" s="528" t="s">
        <v>183</v>
      </c>
      <c r="C417" s="528"/>
      <c r="D417" s="529"/>
      <c r="E417" s="529"/>
      <c r="F417" s="529"/>
      <c r="G417" s="530"/>
      <c r="H417" s="531" t="s">
        <v>35</v>
      </c>
      <c r="I417" s="532">
        <f t="shared" ref="I417:J418" ca="1" si="181">I433</f>
        <v>20</v>
      </c>
      <c r="J417" s="532">
        <f t="shared" ca="1" si="181"/>
        <v>0</v>
      </c>
      <c r="K417" s="533">
        <f t="shared" ref="K417:K418" ca="1" si="182">IF(I417&gt;0,J417*100/I417,0)</f>
        <v>0</v>
      </c>
      <c r="L417" s="534"/>
      <c r="M417" s="534"/>
      <c r="N417" s="534"/>
      <c r="O417" s="534"/>
      <c r="P417" s="534"/>
    </row>
    <row r="418" spans="1:26" ht="19.5">
      <c r="A418" s="535"/>
      <c r="B418" s="526"/>
      <c r="C418" s="528"/>
      <c r="D418" s="529"/>
      <c r="E418" s="529"/>
      <c r="F418" s="529"/>
      <c r="G418" s="530"/>
      <c r="H418" s="531" t="s">
        <v>49</v>
      </c>
      <c r="I418" s="532">
        <f t="shared" ca="1" si="181"/>
        <v>1</v>
      </c>
      <c r="J418" s="532">
        <f t="shared" si="181"/>
        <v>0</v>
      </c>
      <c r="K418" s="533">
        <f t="shared" ca="1" si="182"/>
        <v>0</v>
      </c>
      <c r="L418" s="534"/>
      <c r="M418" s="534"/>
      <c r="N418" s="534"/>
      <c r="O418" s="534"/>
      <c r="P418" s="534"/>
    </row>
    <row r="419" spans="1:26" ht="19.5">
      <c r="A419" s="147"/>
      <c r="B419" s="148"/>
      <c r="C419" s="148" t="s">
        <v>16</v>
      </c>
      <c r="D419" s="848" t="s">
        <v>17</v>
      </c>
      <c r="E419" s="810"/>
      <c r="F419" s="810"/>
      <c r="G419" s="151"/>
      <c r="H419" s="274" t="s">
        <v>12</v>
      </c>
      <c r="I419" s="388"/>
      <c r="J419" s="388"/>
      <c r="K419" s="154"/>
      <c r="L419" s="155">
        <f t="shared" ref="L419:N419" ca="1" si="183">L420+L421</f>
        <v>78660</v>
      </c>
      <c r="M419" s="155">
        <f t="shared" si="183"/>
        <v>0</v>
      </c>
      <c r="N419" s="155">
        <f t="shared" si="183"/>
        <v>0</v>
      </c>
      <c r="O419" s="155">
        <f t="shared" ref="O419:O424" ca="1" si="184">IF(L419&gt;0,N419*100/L419,0)</f>
        <v>0</v>
      </c>
      <c r="P419" s="155">
        <f t="shared" ref="P419:P424" si="185">IF(M419&gt;0,N419*100/M419,0)</f>
        <v>0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536"/>
      <c r="E420" s="222" t="s">
        <v>184</v>
      </c>
      <c r="F420" s="40"/>
      <c r="G420" s="157"/>
      <c r="H420" s="165" t="s">
        <v>12</v>
      </c>
      <c r="I420" s="583"/>
      <c r="J420" s="583"/>
      <c r="K420" s="93"/>
      <c r="L420" s="93">
        <f t="shared" ref="L420:N421" si="186">L423+L430</f>
        <v>0</v>
      </c>
      <c r="M420" s="93">
        <f t="shared" si="186"/>
        <v>0</v>
      </c>
      <c r="N420" s="93">
        <f t="shared" si="186"/>
        <v>0</v>
      </c>
      <c r="O420" s="93">
        <f t="shared" si="184"/>
        <v>0</v>
      </c>
      <c r="P420" s="93">
        <f t="shared" si="185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536"/>
      <c r="E421" s="222" t="s">
        <v>185</v>
      </c>
      <c r="F421" s="40"/>
      <c r="G421" s="157"/>
      <c r="H421" s="165" t="s">
        <v>12</v>
      </c>
      <c r="I421" s="583"/>
      <c r="J421" s="583"/>
      <c r="K421" s="93"/>
      <c r="L421" s="93">
        <f t="shared" ca="1" si="186"/>
        <v>78660</v>
      </c>
      <c r="M421" s="93">
        <f t="shared" si="186"/>
        <v>0</v>
      </c>
      <c r="N421" s="93">
        <f t="shared" si="186"/>
        <v>0</v>
      </c>
      <c r="O421" s="93">
        <f t="shared" ca="1" si="184"/>
        <v>0</v>
      </c>
      <c r="P421" s="93">
        <f t="shared" si="185"/>
        <v>0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0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65">
        <f t="shared" ref="L422:N422" ca="1" si="187">L423+L424</f>
        <v>78660</v>
      </c>
      <c r="M422" s="465">
        <f t="shared" si="187"/>
        <v>0</v>
      </c>
      <c r="N422" s="465">
        <f t="shared" si="187"/>
        <v>0</v>
      </c>
      <c r="O422" s="465">
        <f t="shared" ca="1" si="184"/>
        <v>0</v>
      </c>
      <c r="P422" s="465">
        <f t="shared" si="185"/>
        <v>0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536"/>
      <c r="E423" s="222" t="s">
        <v>184</v>
      </c>
      <c r="F423" s="40"/>
      <c r="G423" s="157"/>
      <c r="H423" s="165" t="s">
        <v>12</v>
      </c>
      <c r="I423" s="583"/>
      <c r="J423" s="583"/>
      <c r="K423" s="93"/>
      <c r="L423" s="93">
        <v>0</v>
      </c>
      <c r="M423" s="93">
        <v>0</v>
      </c>
      <c r="N423" s="93">
        <v>0</v>
      </c>
      <c r="O423" s="93">
        <f t="shared" si="184"/>
        <v>0</v>
      </c>
      <c r="P423" s="93">
        <f t="shared" si="185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536"/>
      <c r="E424" s="222" t="s">
        <v>185</v>
      </c>
      <c r="F424" s="40"/>
      <c r="G424" s="157"/>
      <c r="H424" s="165" t="s">
        <v>12</v>
      </c>
      <c r="I424" s="583"/>
      <c r="J424" s="583"/>
      <c r="K424" s="93"/>
      <c r="L424" s="93">
        <f ca="1">IFERROR(__xludf.DUMMYFUNCTION("IMPORTRANGE(""https://docs.google.com/spreadsheets/d/1QqKyyYR6Q21VydFLVH3TRQUabQu_ym0Zz7PgGX0-kHA/edit?usp=sharing"",""แผน!EY21"")"),78660)</f>
        <v>78660</v>
      </c>
      <c r="M424" s="93">
        <v>0</v>
      </c>
      <c r="N424" s="93">
        <f>N425+N426+N427+N428</f>
        <v>0</v>
      </c>
      <c r="O424" s="93">
        <f t="shared" ca="1" si="184"/>
        <v>0</v>
      </c>
      <c r="P424" s="93">
        <f t="shared" si="185"/>
        <v>0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37"/>
      <c r="B425" s="538"/>
      <c r="C425" s="727"/>
      <c r="D425" s="727"/>
      <c r="E425" s="727"/>
      <c r="F425" s="727" t="s">
        <v>186</v>
      </c>
      <c r="G425" s="189"/>
      <c r="H425" s="161" t="s">
        <v>12</v>
      </c>
      <c r="I425" s="269"/>
      <c r="J425" s="269"/>
      <c r="K425" s="465"/>
      <c r="L425" s="465"/>
      <c r="M425" s="465"/>
      <c r="N425" s="789">
        <v>0</v>
      </c>
      <c r="O425" s="465"/>
      <c r="P425" s="465"/>
      <c r="Q425" s="541"/>
      <c r="R425" s="541"/>
      <c r="S425" s="541"/>
      <c r="T425" s="541"/>
      <c r="U425" s="541"/>
      <c r="V425" s="541"/>
      <c r="W425" s="541"/>
      <c r="X425" s="541"/>
      <c r="Y425" s="541"/>
      <c r="Z425" s="541"/>
    </row>
    <row r="426" spans="1:26" ht="18.75">
      <c r="A426" s="537"/>
      <c r="B426" s="538"/>
      <c r="C426" s="727"/>
      <c r="D426" s="727"/>
      <c r="E426" s="727"/>
      <c r="F426" s="727" t="s">
        <v>187</v>
      </c>
      <c r="G426" s="189"/>
      <c r="H426" s="161" t="s">
        <v>12</v>
      </c>
      <c r="I426" s="269"/>
      <c r="J426" s="269"/>
      <c r="K426" s="465"/>
      <c r="L426" s="465"/>
      <c r="M426" s="465"/>
      <c r="N426" s="789">
        <v>0</v>
      </c>
      <c r="O426" s="465"/>
      <c r="P426" s="465"/>
      <c r="Q426" s="541"/>
      <c r="R426" s="541"/>
      <c r="S426" s="541"/>
      <c r="T426" s="541"/>
      <c r="U426" s="541"/>
      <c r="V426" s="541"/>
      <c r="W426" s="541"/>
      <c r="X426" s="541"/>
      <c r="Y426" s="541"/>
      <c r="Z426" s="541"/>
    </row>
    <row r="427" spans="1:26" ht="18.75">
      <c r="A427" s="537"/>
      <c r="B427" s="538"/>
      <c r="C427" s="727"/>
      <c r="D427" s="727"/>
      <c r="E427" s="727"/>
      <c r="F427" s="727" t="s">
        <v>188</v>
      </c>
      <c r="G427" s="189"/>
      <c r="H427" s="161" t="s">
        <v>12</v>
      </c>
      <c r="I427" s="269"/>
      <c r="J427" s="269"/>
      <c r="K427" s="465"/>
      <c r="L427" s="465"/>
      <c r="M427" s="465"/>
      <c r="N427" s="789">
        <v>0</v>
      </c>
      <c r="O427" s="465"/>
      <c r="P427" s="465"/>
      <c r="Q427" s="541"/>
      <c r="R427" s="541"/>
      <c r="S427" s="541"/>
      <c r="T427" s="541"/>
      <c r="U427" s="541"/>
      <c r="V427" s="541"/>
      <c r="W427" s="541"/>
      <c r="X427" s="541"/>
      <c r="Y427" s="541"/>
      <c r="Z427" s="541"/>
    </row>
    <row r="428" spans="1:26" ht="18.75">
      <c r="A428" s="283"/>
      <c r="B428" s="280"/>
      <c r="C428" s="33"/>
      <c r="D428" s="33"/>
      <c r="E428" s="33"/>
      <c r="F428" s="281" t="s">
        <v>189</v>
      </c>
      <c r="G428" s="213"/>
      <c r="H428" s="161" t="s">
        <v>12</v>
      </c>
      <c r="I428" s="269"/>
      <c r="J428" s="269"/>
      <c r="K428" s="465"/>
      <c r="L428" s="465"/>
      <c r="M428" s="465"/>
      <c r="N428" s="789">
        <v>0</v>
      </c>
      <c r="O428" s="465"/>
      <c r="P428" s="465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0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65">
        <f t="shared" ref="L429:N429" ca="1" si="188">L430+L431</f>
        <v>0</v>
      </c>
      <c r="M429" s="465">
        <f t="shared" si="188"/>
        <v>0</v>
      </c>
      <c r="N429" s="465">
        <f t="shared" si="188"/>
        <v>0</v>
      </c>
      <c r="O429" s="465">
        <f t="shared" ref="O429:O431" ca="1" si="189">IF(L429&gt;0,N429*100/L429,0)</f>
        <v>0</v>
      </c>
      <c r="P429" s="465">
        <f t="shared" ref="P429:P431" si="190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542"/>
      <c r="C430" s="40"/>
      <c r="D430" s="40"/>
      <c r="E430" s="222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89"/>
        <v>0</v>
      </c>
      <c r="P430" s="93">
        <f t="shared" si="190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542"/>
      <c r="C431" s="40"/>
      <c r="D431" s="40"/>
      <c r="E431" s="222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IFERROR(__xludf.DUMMYFUNCTION("IMPORTRANGE(""https://docs.google.com/spreadsheets/d/1QqKyyYR6Q21VydFLVH3TRQUabQu_ym0Zz7PgGX0-kHA/edit?usp=sharing"",""แผน!FB21"")"),0)</f>
        <v>0</v>
      </c>
      <c r="M431" s="93">
        <v>0</v>
      </c>
      <c r="N431" s="93">
        <v>0</v>
      </c>
      <c r="O431" s="93">
        <f t="shared" ca="1" si="189"/>
        <v>0</v>
      </c>
      <c r="P431" s="93">
        <f t="shared" si="190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382"/>
      <c r="B432" s="383"/>
      <c r="C432" s="148" t="s">
        <v>16</v>
      </c>
      <c r="D432" s="849" t="s">
        <v>38</v>
      </c>
      <c r="E432" s="544"/>
      <c r="F432" s="544"/>
      <c r="G432" s="545"/>
      <c r="H432" s="546"/>
      <c r="I432" s="388"/>
      <c r="J432" s="388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190</v>
      </c>
      <c r="E433" s="342"/>
      <c r="F433" s="342"/>
      <c r="G433" s="179"/>
      <c r="H433" s="196" t="s">
        <v>35</v>
      </c>
      <c r="I433" s="647">
        <f ca="1">I435</f>
        <v>20</v>
      </c>
      <c r="J433" s="647">
        <f ca="1">IF(AND(J435=I435,J437=I437,J439=I439),I437+I439,IF(AND(J435=I437,J437=I437),I437,IF(AND(J435=I439,J439=I439),I439,0)))</f>
        <v>0</v>
      </c>
      <c r="K433" s="195">
        <f t="shared" ref="K433:K435" ca="1" si="191">IF(I433&gt;0,J433*100/I433,0)</f>
        <v>0</v>
      </c>
      <c r="L433" s="465"/>
      <c r="M433" s="465"/>
      <c r="N433" s="465"/>
      <c r="O433" s="465"/>
      <c r="P433" s="465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191</v>
      </c>
      <c r="E434" s="342"/>
      <c r="F434" s="342"/>
      <c r="G434" s="179"/>
      <c r="H434" s="196" t="s">
        <v>49</v>
      </c>
      <c r="I434" s="647">
        <f t="shared" ref="I434:J434" ca="1" si="192">I438+I440</f>
        <v>1</v>
      </c>
      <c r="J434" s="647">
        <f t="shared" si="192"/>
        <v>0</v>
      </c>
      <c r="K434" s="195">
        <f t="shared" ca="1" si="191"/>
        <v>0</v>
      </c>
      <c r="L434" s="465"/>
      <c r="M434" s="465"/>
      <c r="N434" s="465"/>
      <c r="O434" s="465"/>
      <c r="P434" s="465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15" t="s">
        <v>192</v>
      </c>
      <c r="E435" s="342"/>
      <c r="F435" s="342"/>
      <c r="G435" s="179"/>
      <c r="H435" s="589" t="s">
        <v>35</v>
      </c>
      <c r="I435" s="547">
        <f ca="1">IFERROR(__xludf.DUMMYFUNCTION("IMPORTRANGE(""https://docs.google.com/spreadsheets/d/1QqKyyYR6Q21VydFLVH3TRQUabQu_ym0Zz7PgGX0-kHA/edit?usp=sharing"",""แผน!FC21"")"),20)</f>
        <v>20</v>
      </c>
      <c r="J435" s="548">
        <v>0</v>
      </c>
      <c r="K435" s="465">
        <f t="shared" ca="1" si="191"/>
        <v>0</v>
      </c>
      <c r="L435" s="465"/>
      <c r="M435" s="465"/>
      <c r="N435" s="465"/>
      <c r="O435" s="465"/>
      <c r="P435" s="465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15" t="s">
        <v>193</v>
      </c>
      <c r="E436" s="342"/>
      <c r="F436" s="342"/>
      <c r="G436" s="179"/>
      <c r="H436" s="589"/>
      <c r="I436" s="269"/>
      <c r="J436" s="269"/>
      <c r="K436" s="465"/>
      <c r="L436" s="465"/>
      <c r="M436" s="465"/>
      <c r="N436" s="465"/>
      <c r="O436" s="465"/>
      <c r="P436" s="465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15" t="s">
        <v>194</v>
      </c>
      <c r="E437" s="342"/>
      <c r="F437" s="342"/>
      <c r="G437" s="179"/>
      <c r="H437" s="589" t="s">
        <v>35</v>
      </c>
      <c r="I437" s="547">
        <f ca="1">IFERROR(__xludf.DUMMYFUNCTION("IMPORTRANGE(""https://docs.google.com/spreadsheets/d/1QqKyyYR6Q21VydFLVH3TRQUabQu_ym0Zz7PgGX0-kHA/edit?usp=sharing"",""แผน!FD21"")"),0)</f>
        <v>0</v>
      </c>
      <c r="J437" s="548">
        <v>0</v>
      </c>
      <c r="K437" s="465">
        <f t="shared" ref="K437:K443" ca="1" si="193">IF(I437&gt;0,J437*100/I437,0)</f>
        <v>0</v>
      </c>
      <c r="L437" s="465"/>
      <c r="M437" s="465"/>
      <c r="N437" s="465"/>
      <c r="O437" s="465"/>
      <c r="P437" s="465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15" t="s">
        <v>195</v>
      </c>
      <c r="E438" s="342"/>
      <c r="F438" s="342"/>
      <c r="G438" s="179"/>
      <c r="H438" s="589" t="s">
        <v>49</v>
      </c>
      <c r="I438" s="269">
        <f ca="1">IFERROR(__xludf.DUMMYFUNCTION("IMPORTRANGE(""https://docs.google.com/spreadsheets/d/1QqKyyYR6Q21VydFLVH3TRQUabQu_ym0Zz7PgGX0-kHA/edit?usp=sharing"",""แผน!FE21"")"),0)</f>
        <v>0</v>
      </c>
      <c r="J438" s="214">
        <v>0</v>
      </c>
      <c r="K438" s="465">
        <f t="shared" ca="1" si="193"/>
        <v>0</v>
      </c>
      <c r="L438" s="465"/>
      <c r="M438" s="465"/>
      <c r="N438" s="465"/>
      <c r="O438" s="465"/>
      <c r="P438" s="465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15" t="s">
        <v>196</v>
      </c>
      <c r="E439" s="342"/>
      <c r="F439" s="342"/>
      <c r="G439" s="179"/>
      <c r="H439" s="589" t="s">
        <v>35</v>
      </c>
      <c r="I439" s="547">
        <f ca="1">IFERROR(__xludf.DUMMYFUNCTION("IMPORTRANGE(""https://docs.google.com/spreadsheets/d/1QqKyyYR6Q21VydFLVH3TRQUabQu_ym0Zz7PgGX0-kHA/edit?usp=sharing"",""แผน!FF21"")"),20)</f>
        <v>20</v>
      </c>
      <c r="J439" s="548">
        <v>0</v>
      </c>
      <c r="K439" s="465">
        <f t="shared" ca="1" si="193"/>
        <v>0</v>
      </c>
      <c r="L439" s="465"/>
      <c r="M439" s="465"/>
      <c r="N439" s="465"/>
      <c r="O439" s="465"/>
      <c r="P439" s="465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15" t="s">
        <v>197</v>
      </c>
      <c r="E440" s="342"/>
      <c r="F440" s="342"/>
      <c r="G440" s="179"/>
      <c r="H440" s="589" t="s">
        <v>49</v>
      </c>
      <c r="I440" s="269">
        <f ca="1">IFERROR(__xludf.DUMMYFUNCTION("IMPORTRANGE(""https://docs.google.com/spreadsheets/d/1QqKyyYR6Q21VydFLVH3TRQUabQu_ym0Zz7PgGX0-kHA/edit?usp=sharing"",""แผน!FG21"")"),1)</f>
        <v>1</v>
      </c>
      <c r="J440" s="214">
        <v>0</v>
      </c>
      <c r="K440" s="465">
        <f t="shared" ca="1" si="193"/>
        <v>0</v>
      </c>
      <c r="L440" s="465"/>
      <c r="M440" s="465"/>
      <c r="N440" s="465"/>
      <c r="O440" s="465"/>
      <c r="P440" s="465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 hidden="1">
      <c r="A441" s="170"/>
      <c r="B441" s="171"/>
      <c r="C441" s="171"/>
      <c r="D441" s="415" t="s">
        <v>198</v>
      </c>
      <c r="E441" s="342"/>
      <c r="F441" s="342"/>
      <c r="G441" s="179"/>
      <c r="H441" s="589" t="s">
        <v>35</v>
      </c>
      <c r="I441" s="269">
        <f ca="1">IFERROR(__xludf.DUMMYFUNCTION("IMPORTRANGE(""https://docs.google.com/spreadsheets/d/1QqKyyYR6Q21VydFLVH3TRQUabQu_ym0Zz7PgGX0-kHA/edit?usp=sharing"",""แผน!FH21"")"),0)</f>
        <v>0</v>
      </c>
      <c r="J441" s="269">
        <v>0</v>
      </c>
      <c r="K441" s="465">
        <f t="shared" ca="1" si="193"/>
        <v>0</v>
      </c>
      <c r="L441" s="465"/>
      <c r="M441" s="465"/>
      <c r="N441" s="465"/>
      <c r="O441" s="465"/>
      <c r="P441" s="465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49">
        <v>2</v>
      </c>
      <c r="B442" s="550" t="s">
        <v>199</v>
      </c>
      <c r="C442" s="551"/>
      <c r="D442" s="551"/>
      <c r="E442" s="551"/>
      <c r="F442" s="551"/>
      <c r="G442" s="552"/>
      <c r="H442" s="553" t="s">
        <v>35</v>
      </c>
      <c r="I442" s="554">
        <f t="shared" ref="I442:J442" ca="1" si="194">I460</f>
        <v>55</v>
      </c>
      <c r="J442" s="554">
        <f t="shared" si="194"/>
        <v>0</v>
      </c>
      <c r="K442" s="555">
        <f t="shared" ca="1" si="193"/>
        <v>0</v>
      </c>
      <c r="L442" s="556"/>
      <c r="M442" s="556"/>
      <c r="N442" s="556"/>
      <c r="O442" s="556"/>
      <c r="P442" s="556"/>
      <c r="Q442" s="541"/>
      <c r="R442" s="541"/>
      <c r="S442" s="541"/>
      <c r="T442" s="541"/>
      <c r="U442" s="541"/>
      <c r="V442" s="541"/>
      <c r="W442" s="541"/>
      <c r="X442" s="541"/>
      <c r="Y442" s="541"/>
      <c r="Z442" s="541"/>
    </row>
    <row r="443" spans="1:26" ht="19.5">
      <c r="A443" s="557"/>
      <c r="B443" s="558"/>
      <c r="C443" s="559"/>
      <c r="D443" s="559"/>
      <c r="E443" s="559"/>
      <c r="F443" s="559"/>
      <c r="G443" s="560"/>
      <c r="H443" s="531" t="s">
        <v>46</v>
      </c>
      <c r="I443" s="532">
        <f t="shared" ref="I443:J443" ca="1" si="195">I462</f>
        <v>110</v>
      </c>
      <c r="J443" s="532">
        <f t="shared" si="195"/>
        <v>0</v>
      </c>
      <c r="K443" s="533">
        <f t="shared" ca="1" si="193"/>
        <v>0</v>
      </c>
      <c r="L443" s="534"/>
      <c r="M443" s="534"/>
      <c r="N443" s="534"/>
      <c r="O443" s="534"/>
      <c r="P443" s="534"/>
      <c r="Q443" s="541"/>
      <c r="R443" s="541"/>
      <c r="S443" s="541"/>
      <c r="T443" s="541"/>
      <c r="U443" s="541"/>
      <c r="V443" s="541"/>
      <c r="W443" s="541"/>
      <c r="X443" s="541"/>
      <c r="Y443" s="541"/>
      <c r="Z443" s="541"/>
    </row>
    <row r="444" spans="1:26" ht="19.5">
      <c r="A444" s="561"/>
      <c r="B444" s="727"/>
      <c r="C444" s="727" t="s">
        <v>16</v>
      </c>
      <c r="D444" s="811" t="s">
        <v>17</v>
      </c>
      <c r="E444" s="805"/>
      <c r="F444" s="805"/>
      <c r="G444" s="189"/>
      <c r="H444" s="562" t="s">
        <v>12</v>
      </c>
      <c r="I444" s="269"/>
      <c r="J444" s="269"/>
      <c r="K444" s="465"/>
      <c r="L444" s="195">
        <f t="shared" ref="L444:N444" ca="1" si="196">L445+L446</f>
        <v>382500</v>
      </c>
      <c r="M444" s="195">
        <f t="shared" si="196"/>
        <v>0</v>
      </c>
      <c r="N444" s="195">
        <f t="shared" si="196"/>
        <v>0</v>
      </c>
      <c r="O444" s="195">
        <f t="shared" ref="O444:O449" ca="1" si="197">IF(L444&gt;0,N444*100/L444,0)</f>
        <v>0</v>
      </c>
      <c r="P444" s="195">
        <f t="shared" ref="P444:P449" si="198">IF(M444&gt;0,N444*100/M444,0)</f>
        <v>0</v>
      </c>
      <c r="Q444" s="541"/>
      <c r="R444" s="541"/>
      <c r="S444" s="541"/>
      <c r="T444" s="541"/>
      <c r="U444" s="541"/>
      <c r="V444" s="541"/>
      <c r="W444" s="541"/>
      <c r="X444" s="541"/>
      <c r="Y444" s="541"/>
      <c r="Z444" s="541"/>
    </row>
    <row r="445" spans="1:26" ht="18.75" hidden="1">
      <c r="A445" s="563"/>
      <c r="B445" s="723"/>
      <c r="C445" s="723"/>
      <c r="D445" s="684"/>
      <c r="E445" s="723" t="s">
        <v>184</v>
      </c>
      <c r="F445" s="723"/>
      <c r="G445" s="567"/>
      <c r="H445" s="165" t="s">
        <v>12</v>
      </c>
      <c r="I445" s="583"/>
      <c r="J445" s="583"/>
      <c r="K445" s="93"/>
      <c r="L445" s="93">
        <f t="shared" ref="L445:N446" si="199">L448+L455</f>
        <v>0</v>
      </c>
      <c r="M445" s="93">
        <f t="shared" si="199"/>
        <v>0</v>
      </c>
      <c r="N445" s="93">
        <f t="shared" si="199"/>
        <v>0</v>
      </c>
      <c r="O445" s="93">
        <f t="shared" si="197"/>
        <v>0</v>
      </c>
      <c r="P445" s="93">
        <f t="shared" si="198"/>
        <v>0</v>
      </c>
      <c r="Q445" s="568"/>
      <c r="R445" s="568"/>
      <c r="S445" s="568"/>
      <c r="T445" s="568"/>
      <c r="U445" s="568"/>
      <c r="V445" s="568"/>
      <c r="W445" s="568"/>
      <c r="X445" s="568"/>
      <c r="Y445" s="568"/>
      <c r="Z445" s="568"/>
    </row>
    <row r="446" spans="1:26" ht="18.75" hidden="1">
      <c r="A446" s="563"/>
      <c r="B446" s="571"/>
      <c r="C446" s="723"/>
      <c r="D446" s="684"/>
      <c r="E446" s="723" t="s">
        <v>185</v>
      </c>
      <c r="F446" s="723"/>
      <c r="G446" s="567"/>
      <c r="H446" s="165" t="s">
        <v>12</v>
      </c>
      <c r="I446" s="583"/>
      <c r="J446" s="583"/>
      <c r="K446" s="93"/>
      <c r="L446" s="93">
        <f t="shared" ca="1" si="199"/>
        <v>382500</v>
      </c>
      <c r="M446" s="93">
        <f t="shared" si="199"/>
        <v>0</v>
      </c>
      <c r="N446" s="93">
        <f t="shared" si="199"/>
        <v>0</v>
      </c>
      <c r="O446" s="93">
        <f t="shared" ca="1" si="197"/>
        <v>0</v>
      </c>
      <c r="P446" s="93">
        <f t="shared" si="198"/>
        <v>0</v>
      </c>
      <c r="Q446" s="568"/>
      <c r="R446" s="568"/>
      <c r="S446" s="568"/>
      <c r="T446" s="568"/>
      <c r="U446" s="568"/>
      <c r="V446" s="568"/>
      <c r="W446" s="568"/>
      <c r="X446" s="568"/>
      <c r="Y446" s="568"/>
      <c r="Z446" s="568"/>
    </row>
    <row r="447" spans="1:26" ht="18.75">
      <c r="A447" s="561"/>
      <c r="B447" s="538"/>
      <c r="C447" s="727"/>
      <c r="D447" s="570" t="s">
        <v>20</v>
      </c>
      <c r="E447" s="727"/>
      <c r="F447" s="727"/>
      <c r="G447" s="189"/>
      <c r="H447" s="161" t="s">
        <v>12</v>
      </c>
      <c r="I447" s="184"/>
      <c r="J447" s="184"/>
      <c r="K447" s="163"/>
      <c r="L447" s="465">
        <f t="shared" ref="L447:N447" ca="1" si="200">L448+L449</f>
        <v>382500</v>
      </c>
      <c r="M447" s="465">
        <f t="shared" si="200"/>
        <v>0</v>
      </c>
      <c r="N447" s="465">
        <f t="shared" si="200"/>
        <v>0</v>
      </c>
      <c r="O447" s="465">
        <f t="shared" ca="1" si="197"/>
        <v>0</v>
      </c>
      <c r="P447" s="465">
        <f t="shared" si="198"/>
        <v>0</v>
      </c>
      <c r="Q447" s="541"/>
      <c r="R447" s="541"/>
      <c r="S447" s="541"/>
      <c r="T447" s="541"/>
      <c r="U447" s="541"/>
      <c r="V447" s="541"/>
      <c r="W447" s="541"/>
      <c r="X447" s="541"/>
      <c r="Y447" s="541"/>
      <c r="Z447" s="541"/>
    </row>
    <row r="448" spans="1:26" ht="18.75" hidden="1">
      <c r="A448" s="563"/>
      <c r="B448" s="571"/>
      <c r="C448" s="723"/>
      <c r="D448" s="684"/>
      <c r="E448" s="723" t="s">
        <v>184</v>
      </c>
      <c r="F448" s="723"/>
      <c r="G448" s="567"/>
      <c r="H448" s="165" t="s">
        <v>12</v>
      </c>
      <c r="I448" s="583"/>
      <c r="J448" s="583"/>
      <c r="K448" s="93"/>
      <c r="L448" s="93">
        <v>0</v>
      </c>
      <c r="M448" s="93">
        <v>0</v>
      </c>
      <c r="N448" s="93">
        <v>0</v>
      </c>
      <c r="O448" s="93">
        <f t="shared" si="197"/>
        <v>0</v>
      </c>
      <c r="P448" s="93">
        <f t="shared" si="198"/>
        <v>0</v>
      </c>
      <c r="Q448" s="568"/>
      <c r="R448" s="568"/>
      <c r="S448" s="568"/>
      <c r="T448" s="568"/>
      <c r="U448" s="568"/>
      <c r="V448" s="568"/>
      <c r="W448" s="568"/>
      <c r="X448" s="568"/>
      <c r="Y448" s="568"/>
      <c r="Z448" s="568"/>
    </row>
    <row r="449" spans="1:26" ht="18.75" hidden="1">
      <c r="A449" s="563"/>
      <c r="B449" s="571"/>
      <c r="C449" s="723"/>
      <c r="D449" s="684"/>
      <c r="E449" s="723" t="s">
        <v>185</v>
      </c>
      <c r="F449" s="723"/>
      <c r="G449" s="567"/>
      <c r="H449" s="165" t="s">
        <v>12</v>
      </c>
      <c r="I449" s="583"/>
      <c r="J449" s="583"/>
      <c r="K449" s="93"/>
      <c r="L449" s="93">
        <f ca="1">IFERROR(__xludf.DUMMYFUNCTION("IMPORTRANGE(""https://docs.google.com/spreadsheets/d/1QqKyyYR6Q21VydFLVH3TRQUabQu_ym0Zz7PgGX0-kHA/edit?usp=sharing"",""แผน!FJ21"")"),382500)</f>
        <v>382500</v>
      </c>
      <c r="M449" s="93">
        <v>0</v>
      </c>
      <c r="N449" s="93">
        <f>N450+N451+N452+N453</f>
        <v>0</v>
      </c>
      <c r="O449" s="93">
        <f t="shared" ca="1" si="197"/>
        <v>0</v>
      </c>
      <c r="P449" s="93">
        <f t="shared" si="198"/>
        <v>0</v>
      </c>
      <c r="Q449" s="568"/>
      <c r="R449" s="568"/>
      <c r="S449" s="568"/>
      <c r="T449" s="568"/>
      <c r="U449" s="568"/>
      <c r="V449" s="568"/>
      <c r="W449" s="568"/>
      <c r="X449" s="568"/>
      <c r="Y449" s="568"/>
      <c r="Z449" s="568"/>
    </row>
    <row r="450" spans="1:26" ht="18.75">
      <c r="A450" s="537"/>
      <c r="B450" s="538"/>
      <c r="C450" s="727"/>
      <c r="D450" s="727"/>
      <c r="E450" s="727"/>
      <c r="F450" s="727" t="s">
        <v>186</v>
      </c>
      <c r="G450" s="189"/>
      <c r="H450" s="161" t="s">
        <v>12</v>
      </c>
      <c r="I450" s="269"/>
      <c r="J450" s="269"/>
      <c r="K450" s="465"/>
      <c r="L450" s="465"/>
      <c r="M450" s="465"/>
      <c r="N450" s="789">
        <v>0</v>
      </c>
      <c r="O450" s="465"/>
      <c r="P450" s="465"/>
      <c r="Q450" s="541"/>
      <c r="R450" s="541"/>
      <c r="S450" s="541"/>
      <c r="T450" s="541"/>
      <c r="U450" s="541"/>
      <c r="V450" s="541"/>
      <c r="W450" s="541"/>
      <c r="X450" s="541"/>
      <c r="Y450" s="541"/>
      <c r="Z450" s="541"/>
    </row>
    <row r="451" spans="1:26" ht="18.75">
      <c r="A451" s="537"/>
      <c r="B451" s="538"/>
      <c r="C451" s="727"/>
      <c r="D451" s="727"/>
      <c r="E451" s="727"/>
      <c r="F451" s="727" t="s">
        <v>187</v>
      </c>
      <c r="G451" s="189"/>
      <c r="H451" s="161" t="s">
        <v>12</v>
      </c>
      <c r="I451" s="269"/>
      <c r="J451" s="269"/>
      <c r="K451" s="465"/>
      <c r="L451" s="465"/>
      <c r="M451" s="465"/>
      <c r="N451" s="789">
        <v>0</v>
      </c>
      <c r="O451" s="465"/>
      <c r="P451" s="465"/>
      <c r="Q451" s="541"/>
      <c r="R451" s="541"/>
      <c r="S451" s="541"/>
      <c r="T451" s="541"/>
      <c r="U451" s="541"/>
      <c r="V451" s="541"/>
      <c r="W451" s="541"/>
      <c r="X451" s="541"/>
      <c r="Y451" s="541"/>
      <c r="Z451" s="541"/>
    </row>
    <row r="452" spans="1:26" ht="18.75">
      <c r="A452" s="537"/>
      <c r="B452" s="538"/>
      <c r="C452" s="538"/>
      <c r="D452" s="538"/>
      <c r="E452" s="538"/>
      <c r="F452" s="727" t="s">
        <v>188</v>
      </c>
      <c r="G452" s="189"/>
      <c r="H452" s="161" t="s">
        <v>12</v>
      </c>
      <c r="I452" s="269"/>
      <c r="J452" s="269"/>
      <c r="K452" s="465"/>
      <c r="L452" s="465"/>
      <c r="M452" s="465"/>
      <c r="N452" s="789">
        <v>0</v>
      </c>
      <c r="O452" s="465"/>
      <c r="P452" s="465"/>
      <c r="Q452" s="541"/>
      <c r="R452" s="541"/>
      <c r="S452" s="541"/>
      <c r="T452" s="541"/>
      <c r="U452" s="541"/>
      <c r="V452" s="541"/>
      <c r="W452" s="541"/>
      <c r="X452" s="541"/>
      <c r="Y452" s="541"/>
      <c r="Z452" s="541"/>
    </row>
    <row r="453" spans="1:26" ht="18.75">
      <c r="A453" s="537"/>
      <c r="B453" s="538"/>
      <c r="C453" s="538"/>
      <c r="D453" s="538"/>
      <c r="E453" s="538"/>
      <c r="F453" s="727" t="s">
        <v>189</v>
      </c>
      <c r="G453" s="189"/>
      <c r="H453" s="161" t="s">
        <v>12</v>
      </c>
      <c r="I453" s="269"/>
      <c r="J453" s="269"/>
      <c r="K453" s="465"/>
      <c r="L453" s="465"/>
      <c r="M453" s="465"/>
      <c r="N453" s="789">
        <v>0</v>
      </c>
      <c r="O453" s="465"/>
      <c r="P453" s="465"/>
      <c r="Q453" s="541"/>
      <c r="R453" s="541"/>
      <c r="S453" s="541"/>
      <c r="T453" s="541"/>
      <c r="U453" s="541"/>
      <c r="V453" s="541"/>
      <c r="W453" s="541"/>
      <c r="X453" s="541"/>
      <c r="Y453" s="541"/>
      <c r="Z453" s="541"/>
    </row>
    <row r="454" spans="1:26" ht="18.75">
      <c r="A454" s="561"/>
      <c r="B454" s="538"/>
      <c r="C454" s="538"/>
      <c r="D454" s="570" t="s">
        <v>21</v>
      </c>
      <c r="E454" s="538"/>
      <c r="F454" s="727"/>
      <c r="G454" s="189"/>
      <c r="H454" s="168" t="s">
        <v>12</v>
      </c>
      <c r="I454" s="184"/>
      <c r="J454" s="184"/>
      <c r="K454" s="163"/>
      <c r="L454" s="465">
        <f t="shared" ref="L454:N454" ca="1" si="201">L455+L456</f>
        <v>0</v>
      </c>
      <c r="M454" s="465">
        <f t="shared" si="201"/>
        <v>0</v>
      </c>
      <c r="N454" s="465">
        <f t="shared" si="201"/>
        <v>0</v>
      </c>
      <c r="O454" s="465">
        <f t="shared" ref="O454:O456" ca="1" si="202">IF(L454&gt;0,N454*100/L454,0)</f>
        <v>0</v>
      </c>
      <c r="P454" s="465">
        <f t="shared" ref="P454:P456" si="203">IF(M454&gt;0,N454*100/M454,0)</f>
        <v>0</v>
      </c>
      <c r="Q454" s="541"/>
      <c r="R454" s="541"/>
      <c r="S454" s="541"/>
      <c r="T454" s="541"/>
      <c r="U454" s="541"/>
      <c r="V454" s="541"/>
      <c r="W454" s="541"/>
      <c r="X454" s="541"/>
      <c r="Y454" s="541"/>
      <c r="Z454" s="541"/>
    </row>
    <row r="455" spans="1:26" ht="18.75" hidden="1">
      <c r="A455" s="563"/>
      <c r="B455" s="571"/>
      <c r="C455" s="571"/>
      <c r="D455" s="571"/>
      <c r="E455" s="571" t="s">
        <v>18</v>
      </c>
      <c r="F455" s="723"/>
      <c r="G455" s="567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2"/>
        <v>0</v>
      </c>
      <c r="P455" s="93">
        <f t="shared" si="203"/>
        <v>0</v>
      </c>
      <c r="Q455" s="568"/>
      <c r="R455" s="568"/>
      <c r="S455" s="568"/>
      <c r="T455" s="568"/>
      <c r="U455" s="568"/>
      <c r="V455" s="568"/>
      <c r="W455" s="568"/>
      <c r="X455" s="568"/>
      <c r="Y455" s="568"/>
      <c r="Z455" s="568"/>
    </row>
    <row r="456" spans="1:26" ht="18.75" hidden="1">
      <c r="A456" s="563"/>
      <c r="B456" s="571"/>
      <c r="C456" s="571"/>
      <c r="D456" s="571"/>
      <c r="E456" s="571" t="s">
        <v>19</v>
      </c>
      <c r="F456" s="723"/>
      <c r="G456" s="567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IFERROR(__xludf.DUMMYFUNCTION("IMPORTRANGE(""https://docs.google.com/spreadsheets/d/1QqKyyYR6Q21VydFLVH3TRQUabQu_ym0Zz7PgGX0-kHA/edit?usp=sharing"",""แผน!FM21"")"),0)</f>
        <v>0</v>
      </c>
      <c r="M456" s="93">
        <v>0</v>
      </c>
      <c r="N456" s="93">
        <v>0</v>
      </c>
      <c r="O456" s="93">
        <f t="shared" ca="1" si="202"/>
        <v>0</v>
      </c>
      <c r="P456" s="93">
        <f t="shared" si="203"/>
        <v>0</v>
      </c>
      <c r="Q456" s="568"/>
      <c r="R456" s="568"/>
      <c r="S456" s="568"/>
      <c r="T456" s="568"/>
      <c r="U456" s="568"/>
      <c r="V456" s="568"/>
      <c r="W456" s="568"/>
      <c r="X456" s="568"/>
      <c r="Y456" s="568"/>
      <c r="Z456" s="568"/>
    </row>
    <row r="457" spans="1:26" ht="19.5">
      <c r="A457" s="572"/>
      <c r="B457" s="584"/>
      <c r="C457" s="538" t="s">
        <v>16</v>
      </c>
      <c r="D457" s="850" t="s">
        <v>38</v>
      </c>
      <c r="E457" s="575"/>
      <c r="F457" s="725"/>
      <c r="G457" s="577"/>
      <c r="H457" s="726"/>
      <c r="I457" s="269"/>
      <c r="J457" s="269"/>
      <c r="K457" s="465"/>
      <c r="L457" s="465"/>
      <c r="M457" s="465"/>
      <c r="N457" s="465"/>
      <c r="O457" s="465"/>
      <c r="P457" s="465"/>
      <c r="Q457" s="541"/>
      <c r="R457" s="541"/>
      <c r="S457" s="541"/>
      <c r="T457" s="541"/>
      <c r="U457" s="541"/>
      <c r="V457" s="541"/>
      <c r="W457" s="541"/>
      <c r="X457" s="541"/>
      <c r="Y457" s="541"/>
      <c r="Z457" s="541"/>
    </row>
    <row r="458" spans="1:26" ht="18.75" hidden="1">
      <c r="A458" s="578"/>
      <c r="B458" s="580"/>
      <c r="C458" s="580"/>
      <c r="D458" s="580" t="s">
        <v>200</v>
      </c>
      <c r="E458" s="580"/>
      <c r="F458" s="684"/>
      <c r="G458" s="581"/>
      <c r="H458" s="582" t="s">
        <v>35</v>
      </c>
      <c r="I458" s="583">
        <v>0</v>
      </c>
      <c r="J458" s="583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568"/>
      <c r="R458" s="568"/>
      <c r="S458" s="568"/>
      <c r="T458" s="568"/>
      <c r="U458" s="568"/>
      <c r="V458" s="568"/>
      <c r="W458" s="568"/>
      <c r="X458" s="568"/>
      <c r="Y458" s="568"/>
      <c r="Z458" s="568"/>
    </row>
    <row r="459" spans="1:26" ht="18.75" hidden="1">
      <c r="A459" s="578"/>
      <c r="B459" s="580"/>
      <c r="C459" s="580"/>
      <c r="D459" s="580" t="s">
        <v>201</v>
      </c>
      <c r="E459" s="580"/>
      <c r="F459" s="684"/>
      <c r="G459" s="581"/>
      <c r="H459" s="582"/>
      <c r="I459" s="583"/>
      <c r="J459" s="583"/>
      <c r="K459" s="93"/>
      <c r="L459" s="93"/>
      <c r="M459" s="93"/>
      <c r="N459" s="93"/>
      <c r="O459" s="93"/>
      <c r="P459" s="93"/>
      <c r="Q459" s="568"/>
      <c r="R459" s="568"/>
      <c r="S459" s="568"/>
      <c r="T459" s="568"/>
      <c r="U459" s="568"/>
      <c r="V459" s="568"/>
      <c r="W459" s="568"/>
      <c r="X459" s="568"/>
      <c r="Y459" s="568"/>
      <c r="Z459" s="568"/>
    </row>
    <row r="460" spans="1:26" ht="18.75">
      <c r="A460" s="572"/>
      <c r="B460" s="584"/>
      <c r="C460" s="584"/>
      <c r="D460" s="584" t="s">
        <v>202</v>
      </c>
      <c r="E460" s="584"/>
      <c r="F460" s="592"/>
      <c r="G460" s="726"/>
      <c r="H460" s="728" t="s">
        <v>35</v>
      </c>
      <c r="I460" s="269">
        <f ca="1">IFERROR(__xludf.DUMMYFUNCTION("IMPORTRANGE(""https://docs.google.com/spreadsheets/d/1QqKyyYR6Q21VydFLVH3TRQUabQu_ym0Zz7PgGX0-kHA/edit?usp=sharing"",""แผน!FN21"")"),55)</f>
        <v>55</v>
      </c>
      <c r="J460" s="214">
        <v>0</v>
      </c>
      <c r="K460" s="465">
        <f ca="1">IF(I460&gt;0,J460*100/I460,0)</f>
        <v>0</v>
      </c>
      <c r="L460" s="465"/>
      <c r="M460" s="465"/>
      <c r="N460" s="465"/>
      <c r="O460" s="465"/>
      <c r="P460" s="465"/>
      <c r="Q460" s="541"/>
      <c r="R460" s="541"/>
      <c r="S460" s="541"/>
      <c r="T460" s="541"/>
      <c r="U460" s="541"/>
      <c r="V460" s="541"/>
      <c r="W460" s="541"/>
      <c r="X460" s="541"/>
      <c r="Y460" s="541"/>
      <c r="Z460" s="541"/>
    </row>
    <row r="461" spans="1:26" ht="18.75">
      <c r="A461" s="572"/>
      <c r="B461" s="584"/>
      <c r="C461" s="584"/>
      <c r="D461" s="584" t="s">
        <v>203</v>
      </c>
      <c r="E461" s="592"/>
      <c r="F461" s="592"/>
      <c r="G461" s="726"/>
      <c r="H461" s="728"/>
      <c r="I461" s="269"/>
      <c r="J461" s="269"/>
      <c r="K461" s="465"/>
      <c r="L461" s="465"/>
      <c r="M461" s="465"/>
      <c r="N461" s="465"/>
      <c r="O461" s="465"/>
      <c r="P461" s="465"/>
      <c r="Q461" s="541"/>
      <c r="R461" s="541"/>
      <c r="S461" s="541"/>
      <c r="T461" s="541"/>
      <c r="U461" s="541"/>
      <c r="V461" s="541"/>
      <c r="W461" s="541"/>
      <c r="X461" s="541"/>
      <c r="Y461" s="541"/>
      <c r="Z461" s="541"/>
    </row>
    <row r="462" spans="1:26" ht="18.75">
      <c r="A462" s="572"/>
      <c r="B462" s="584"/>
      <c r="C462" s="584"/>
      <c r="D462" s="584" t="s">
        <v>204</v>
      </c>
      <c r="E462" s="592"/>
      <c r="F462" s="592"/>
      <c r="G462" s="726"/>
      <c r="H462" s="728" t="s">
        <v>46</v>
      </c>
      <c r="I462" s="269">
        <f ca="1">IFERROR(__xludf.DUMMYFUNCTION("IMPORTRANGE(""https://docs.google.com/spreadsheets/d/1QqKyyYR6Q21VydFLVH3TRQUabQu_ym0Zz7PgGX0-kHA/edit?usp=sharing"",""แผน!FO21"")"),110)</f>
        <v>110</v>
      </c>
      <c r="J462" s="214">
        <v>0</v>
      </c>
      <c r="K462" s="465">
        <f ca="1">IF(I462&gt;0,J462*100/I462,0)</f>
        <v>0</v>
      </c>
      <c r="L462" s="465"/>
      <c r="M462" s="465"/>
      <c r="N462" s="465"/>
      <c r="O462" s="465"/>
      <c r="P462" s="465"/>
      <c r="Q462" s="541"/>
      <c r="R462" s="541"/>
      <c r="S462" s="541"/>
      <c r="T462" s="541"/>
      <c r="U462" s="541"/>
      <c r="V462" s="541"/>
      <c r="W462" s="541"/>
      <c r="X462" s="541"/>
      <c r="Y462" s="541"/>
      <c r="Z462" s="541"/>
    </row>
    <row r="463" spans="1:26" ht="18.75">
      <c r="A463" s="572"/>
      <c r="B463" s="584"/>
      <c r="C463" s="584"/>
      <c r="D463" s="584" t="s">
        <v>59</v>
      </c>
      <c r="E463" s="592"/>
      <c r="F463" s="727"/>
      <c r="G463" s="189"/>
      <c r="H463" s="728" t="s">
        <v>46</v>
      </c>
      <c r="I463" s="269">
        <f ca="1">IFERROR(__xludf.DUMMYFUNCTION("IMPORTRANGE(""https://docs.google.com/spreadsheets/d/1QqKyyYR6Q21VydFLVH3TRQUabQu_ym0Zz7PgGX0-kHA/edit?usp=sharing"",""แผน!FO21"")"),110)</f>
        <v>110</v>
      </c>
      <c r="J463" s="214">
        <v>0</v>
      </c>
      <c r="K463" s="465"/>
      <c r="L463" s="465"/>
      <c r="M463" s="465"/>
      <c r="N463" s="465"/>
      <c r="O463" s="465"/>
      <c r="P463" s="465"/>
      <c r="Q463" s="541"/>
      <c r="R463" s="541"/>
      <c r="S463" s="541"/>
      <c r="T463" s="541"/>
      <c r="U463" s="541"/>
      <c r="V463" s="541"/>
      <c r="W463" s="541"/>
      <c r="X463" s="541"/>
      <c r="Y463" s="541"/>
      <c r="Z463" s="541"/>
    </row>
    <row r="464" spans="1:26" ht="19.5">
      <c r="A464" s="572"/>
      <c r="B464" s="584"/>
      <c r="C464" s="584"/>
      <c r="D464" s="584"/>
      <c r="E464" s="592"/>
      <c r="F464" s="592"/>
      <c r="G464" s="586"/>
      <c r="H464" s="728" t="s">
        <v>35</v>
      </c>
      <c r="I464" s="269">
        <f ca="1">IFERROR(__xludf.DUMMYFUNCTION("IMPORTRANGE(""https://docs.google.com/spreadsheets/d/1QqKyyYR6Q21VydFLVH3TRQUabQu_ym0Zz7PgGX0-kHA/edit?usp=sharing"",""แผน!FN21"")"),55)</f>
        <v>55</v>
      </c>
      <c r="J464" s="214">
        <v>0</v>
      </c>
      <c r="K464" s="465"/>
      <c r="L464" s="465"/>
      <c r="M464" s="465"/>
      <c r="N464" s="465"/>
      <c r="O464" s="465"/>
      <c r="P464" s="465"/>
      <c r="Q464" s="541"/>
      <c r="R464" s="541"/>
      <c r="S464" s="541"/>
      <c r="T464" s="541"/>
      <c r="U464" s="541"/>
      <c r="V464" s="541"/>
      <c r="W464" s="541"/>
      <c r="X464" s="541"/>
      <c r="Y464" s="541"/>
      <c r="Z464" s="541"/>
    </row>
    <row r="465" spans="1:26" ht="19.5">
      <c r="A465" s="549">
        <v>3</v>
      </c>
      <c r="B465" s="550" t="s">
        <v>205</v>
      </c>
      <c r="C465" s="551"/>
      <c r="D465" s="551"/>
      <c r="E465" s="551"/>
      <c r="F465" s="551"/>
      <c r="G465" s="552"/>
      <c r="H465" s="553" t="s">
        <v>35</v>
      </c>
      <c r="I465" s="554">
        <f ca="1">IFERROR(__xludf.DUMMYFUNCTION("IMPORTRANGE(""https://docs.google.com/spreadsheets/d/1QqKyyYR6Q21VydFLVH3TRQUabQu_ym0Zz7PgGX0-kHA/edit?usp=sharing"",""แผน!FX21"")"),31)</f>
        <v>31</v>
      </c>
      <c r="J465" s="554">
        <f>J485+J489+J492</f>
        <v>0</v>
      </c>
      <c r="K465" s="555">
        <f t="shared" ref="K465:K466" ca="1" si="204">IF(I465&gt;0,J465*100/I465,0)</f>
        <v>0</v>
      </c>
      <c r="L465" s="556"/>
      <c r="M465" s="556"/>
      <c r="N465" s="556"/>
      <c r="O465" s="556"/>
      <c r="P465" s="556"/>
      <c r="Q465" s="541"/>
      <c r="R465" s="541"/>
      <c r="S465" s="541"/>
      <c r="T465" s="541"/>
      <c r="U465" s="541"/>
      <c r="V465" s="541"/>
      <c r="W465" s="541"/>
      <c r="X465" s="541"/>
      <c r="Y465" s="541"/>
      <c r="Z465" s="541"/>
    </row>
    <row r="466" spans="1:26" ht="19.5">
      <c r="A466" s="557"/>
      <c r="B466" s="558"/>
      <c r="C466" s="559"/>
      <c r="D466" s="559"/>
      <c r="E466" s="559"/>
      <c r="F466" s="559"/>
      <c r="G466" s="560"/>
      <c r="H466" s="531" t="s">
        <v>46</v>
      </c>
      <c r="I466" s="532">
        <f ca="1">IFERROR(__xludf.DUMMYFUNCTION("IMPORTRANGE(""https://docs.google.com/spreadsheets/d/1QqKyyYR6Q21VydFLVH3TRQUabQu_ym0Zz7PgGX0-kHA/edit?usp=sharing"",""แผน!FW21"")"),300)</f>
        <v>300</v>
      </c>
      <c r="J466" s="532">
        <f>J483+J487</f>
        <v>0</v>
      </c>
      <c r="K466" s="533">
        <f t="shared" ca="1" si="204"/>
        <v>0</v>
      </c>
      <c r="L466" s="534"/>
      <c r="M466" s="534"/>
      <c r="N466" s="534"/>
      <c r="O466" s="534"/>
      <c r="P466" s="534"/>
      <c r="Q466" s="541"/>
      <c r="R466" s="541"/>
      <c r="S466" s="541"/>
      <c r="T466" s="541"/>
      <c r="U466" s="541"/>
      <c r="V466" s="541"/>
      <c r="W466" s="541"/>
      <c r="X466" s="541"/>
      <c r="Y466" s="541"/>
      <c r="Z466" s="541"/>
    </row>
    <row r="467" spans="1:26" ht="19.5">
      <c r="A467" s="561"/>
      <c r="B467" s="727"/>
      <c r="C467" s="727" t="s">
        <v>16</v>
      </c>
      <c r="D467" s="811" t="s">
        <v>17</v>
      </c>
      <c r="E467" s="805"/>
      <c r="F467" s="805"/>
      <c r="G467" s="189"/>
      <c r="H467" s="562" t="s">
        <v>12</v>
      </c>
      <c r="I467" s="269"/>
      <c r="J467" s="269"/>
      <c r="K467" s="465"/>
      <c r="L467" s="195">
        <f t="shared" ref="L467:N467" ca="1" si="205">L468+L469</f>
        <v>250523</v>
      </c>
      <c r="M467" s="195">
        <f t="shared" si="205"/>
        <v>0</v>
      </c>
      <c r="N467" s="195">
        <f t="shared" si="205"/>
        <v>0</v>
      </c>
      <c r="O467" s="195">
        <f t="shared" ref="O467:O472" ca="1" si="206">IF(L467&gt;0,N467*100/L467,0)</f>
        <v>0</v>
      </c>
      <c r="P467" s="195">
        <f t="shared" ref="P467:P472" si="207">IF(M467&gt;0,N467*100/M467,0)</f>
        <v>0</v>
      </c>
      <c r="Q467" s="541"/>
      <c r="R467" s="541"/>
      <c r="S467" s="541"/>
      <c r="T467" s="541"/>
      <c r="U467" s="541"/>
      <c r="V467" s="541"/>
      <c r="W467" s="541"/>
      <c r="X467" s="541"/>
      <c r="Y467" s="541"/>
      <c r="Z467" s="541"/>
    </row>
    <row r="468" spans="1:26" ht="18.75" hidden="1">
      <c r="A468" s="563"/>
      <c r="B468" s="723"/>
      <c r="C468" s="723"/>
      <c r="D468" s="684"/>
      <c r="E468" s="723" t="s">
        <v>184</v>
      </c>
      <c r="F468" s="723"/>
      <c r="G468" s="567"/>
      <c r="H468" s="165" t="s">
        <v>12</v>
      </c>
      <c r="I468" s="583"/>
      <c r="J468" s="583"/>
      <c r="K468" s="93"/>
      <c r="L468" s="93">
        <f t="shared" ref="L468:N469" si="208">L471+L478</f>
        <v>0</v>
      </c>
      <c r="M468" s="93">
        <f t="shared" si="208"/>
        <v>0</v>
      </c>
      <c r="N468" s="93">
        <f t="shared" si="208"/>
        <v>0</v>
      </c>
      <c r="O468" s="93">
        <f t="shared" si="206"/>
        <v>0</v>
      </c>
      <c r="P468" s="93">
        <f t="shared" si="207"/>
        <v>0</v>
      </c>
      <c r="Q468" s="568"/>
      <c r="R468" s="568"/>
      <c r="S468" s="568"/>
      <c r="T468" s="568"/>
      <c r="U468" s="568"/>
      <c r="V468" s="568"/>
      <c r="W468" s="568"/>
      <c r="X468" s="568"/>
      <c r="Y468" s="568"/>
      <c r="Z468" s="568"/>
    </row>
    <row r="469" spans="1:26" ht="18.75" hidden="1">
      <c r="A469" s="563"/>
      <c r="B469" s="571"/>
      <c r="C469" s="723"/>
      <c r="D469" s="684"/>
      <c r="E469" s="723" t="s">
        <v>185</v>
      </c>
      <c r="F469" s="723"/>
      <c r="G469" s="567"/>
      <c r="H469" s="165" t="s">
        <v>12</v>
      </c>
      <c r="I469" s="583"/>
      <c r="J469" s="583"/>
      <c r="K469" s="93"/>
      <c r="L469" s="93">
        <f t="shared" ca="1" si="208"/>
        <v>250523</v>
      </c>
      <c r="M469" s="93">
        <f t="shared" si="208"/>
        <v>0</v>
      </c>
      <c r="N469" s="93">
        <f t="shared" si="208"/>
        <v>0</v>
      </c>
      <c r="O469" s="93">
        <f t="shared" ca="1" si="206"/>
        <v>0</v>
      </c>
      <c r="P469" s="93">
        <f t="shared" si="207"/>
        <v>0</v>
      </c>
      <c r="Q469" s="568"/>
      <c r="R469" s="568"/>
      <c r="S469" s="568"/>
      <c r="T469" s="568"/>
      <c r="U469" s="568"/>
      <c r="V469" s="568"/>
      <c r="W469" s="568"/>
      <c r="X469" s="568"/>
      <c r="Y469" s="568"/>
      <c r="Z469" s="568"/>
    </row>
    <row r="470" spans="1:26" ht="18.75">
      <c r="A470" s="561"/>
      <c r="B470" s="538"/>
      <c r="C470" s="727"/>
      <c r="D470" s="570" t="s">
        <v>20</v>
      </c>
      <c r="E470" s="727"/>
      <c r="F470" s="727"/>
      <c r="G470" s="189"/>
      <c r="H470" s="161" t="s">
        <v>12</v>
      </c>
      <c r="I470" s="184"/>
      <c r="J470" s="184"/>
      <c r="K470" s="163"/>
      <c r="L470" s="465">
        <f t="shared" ref="L470:N470" ca="1" si="209">L471+L472</f>
        <v>250523</v>
      </c>
      <c r="M470" s="465">
        <f t="shared" si="209"/>
        <v>0</v>
      </c>
      <c r="N470" s="465">
        <f t="shared" si="209"/>
        <v>0</v>
      </c>
      <c r="O470" s="465">
        <f t="shared" ca="1" si="206"/>
        <v>0</v>
      </c>
      <c r="P470" s="465">
        <f t="shared" si="207"/>
        <v>0</v>
      </c>
      <c r="Q470" s="541"/>
      <c r="R470" s="541"/>
      <c r="S470" s="541"/>
      <c r="T470" s="541"/>
      <c r="U470" s="541"/>
      <c r="V470" s="541"/>
      <c r="W470" s="541"/>
      <c r="X470" s="541"/>
      <c r="Y470" s="541"/>
      <c r="Z470" s="541"/>
    </row>
    <row r="471" spans="1:26" ht="18.75" hidden="1">
      <c r="A471" s="563"/>
      <c r="B471" s="571"/>
      <c r="C471" s="723"/>
      <c r="D471" s="684"/>
      <c r="E471" s="723" t="s">
        <v>184</v>
      </c>
      <c r="F471" s="723"/>
      <c r="G471" s="567"/>
      <c r="H471" s="165" t="s">
        <v>12</v>
      </c>
      <c r="I471" s="583"/>
      <c r="J471" s="583"/>
      <c r="K471" s="93"/>
      <c r="L471" s="93">
        <v>0</v>
      </c>
      <c r="M471" s="93">
        <v>0</v>
      </c>
      <c r="N471" s="93">
        <v>0</v>
      </c>
      <c r="O471" s="93">
        <f t="shared" si="206"/>
        <v>0</v>
      </c>
      <c r="P471" s="93">
        <f t="shared" si="207"/>
        <v>0</v>
      </c>
      <c r="Q471" s="568"/>
      <c r="R471" s="568"/>
      <c r="S471" s="568"/>
      <c r="T471" s="568"/>
      <c r="U471" s="568"/>
      <c r="V471" s="568"/>
      <c r="W471" s="568"/>
      <c r="X471" s="568"/>
      <c r="Y471" s="568"/>
      <c r="Z471" s="568"/>
    </row>
    <row r="472" spans="1:26" ht="18.75" hidden="1">
      <c r="A472" s="563"/>
      <c r="B472" s="571"/>
      <c r="C472" s="723"/>
      <c r="D472" s="684"/>
      <c r="E472" s="723" t="s">
        <v>185</v>
      </c>
      <c r="F472" s="723"/>
      <c r="G472" s="567"/>
      <c r="H472" s="165" t="s">
        <v>12</v>
      </c>
      <c r="I472" s="583"/>
      <c r="J472" s="583"/>
      <c r="K472" s="93"/>
      <c r="L472" s="93">
        <f ca="1">IFERROR(__xludf.DUMMYFUNCTION("IMPORTRANGE(""https://docs.google.com/spreadsheets/d/1QqKyyYR6Q21VydFLVH3TRQUabQu_ym0Zz7PgGX0-kHA/edit?usp=sharing"",""แผน!FS21"")"),250523)</f>
        <v>250523</v>
      </c>
      <c r="M472" s="93">
        <v>0</v>
      </c>
      <c r="N472" s="93">
        <f>N473+N474+N475+N476</f>
        <v>0</v>
      </c>
      <c r="O472" s="93">
        <f t="shared" ca="1" si="206"/>
        <v>0</v>
      </c>
      <c r="P472" s="93">
        <f t="shared" si="207"/>
        <v>0</v>
      </c>
      <c r="Q472" s="568"/>
      <c r="R472" s="568"/>
      <c r="S472" s="568"/>
      <c r="T472" s="568"/>
      <c r="U472" s="568"/>
      <c r="V472" s="568"/>
      <c r="W472" s="568"/>
      <c r="X472" s="568"/>
      <c r="Y472" s="568"/>
      <c r="Z472" s="568"/>
    </row>
    <row r="473" spans="1:26" ht="18.75">
      <c r="A473" s="537"/>
      <c r="B473" s="538"/>
      <c r="C473" s="727"/>
      <c r="D473" s="727"/>
      <c r="E473" s="727"/>
      <c r="F473" s="727" t="s">
        <v>186</v>
      </c>
      <c r="G473" s="189"/>
      <c r="H473" s="161" t="s">
        <v>12</v>
      </c>
      <c r="I473" s="269"/>
      <c r="J473" s="269"/>
      <c r="K473" s="465"/>
      <c r="L473" s="465"/>
      <c r="M473" s="465"/>
      <c r="N473" s="789">
        <v>0</v>
      </c>
      <c r="O473" s="465"/>
      <c r="P473" s="465"/>
      <c r="Q473" s="541"/>
      <c r="R473" s="541"/>
      <c r="S473" s="541"/>
      <c r="T473" s="541"/>
      <c r="U473" s="541"/>
      <c r="V473" s="541"/>
      <c r="W473" s="541"/>
      <c r="X473" s="541"/>
      <c r="Y473" s="541"/>
      <c r="Z473" s="541"/>
    </row>
    <row r="474" spans="1:26" ht="18.75">
      <c r="A474" s="537"/>
      <c r="B474" s="538"/>
      <c r="C474" s="727"/>
      <c r="D474" s="727"/>
      <c r="E474" s="727"/>
      <c r="F474" s="727" t="s">
        <v>187</v>
      </c>
      <c r="G474" s="189"/>
      <c r="H474" s="161" t="s">
        <v>12</v>
      </c>
      <c r="I474" s="269"/>
      <c r="J474" s="269"/>
      <c r="K474" s="465"/>
      <c r="L474" s="465"/>
      <c r="M474" s="465"/>
      <c r="N474" s="789">
        <v>0</v>
      </c>
      <c r="O474" s="465"/>
      <c r="P474" s="465"/>
      <c r="Q474" s="541"/>
      <c r="R474" s="541"/>
      <c r="S474" s="541"/>
      <c r="T474" s="541"/>
      <c r="U474" s="541"/>
      <c r="V474" s="541"/>
      <c r="W474" s="541"/>
      <c r="X474" s="541"/>
      <c r="Y474" s="541"/>
      <c r="Z474" s="541"/>
    </row>
    <row r="475" spans="1:26" ht="18.75">
      <c r="A475" s="537"/>
      <c r="B475" s="538"/>
      <c r="C475" s="538"/>
      <c r="D475" s="538"/>
      <c r="E475" s="538"/>
      <c r="F475" s="727" t="s">
        <v>188</v>
      </c>
      <c r="G475" s="189"/>
      <c r="H475" s="161" t="s">
        <v>12</v>
      </c>
      <c r="I475" s="269"/>
      <c r="J475" s="269"/>
      <c r="K475" s="465"/>
      <c r="L475" s="465"/>
      <c r="M475" s="465"/>
      <c r="N475" s="789">
        <v>0</v>
      </c>
      <c r="O475" s="465"/>
      <c r="P475" s="465"/>
      <c r="Q475" s="541"/>
      <c r="R475" s="541"/>
      <c r="S475" s="541"/>
      <c r="T475" s="541"/>
      <c r="U475" s="541"/>
      <c r="V475" s="541"/>
      <c r="W475" s="541"/>
      <c r="X475" s="541"/>
      <c r="Y475" s="541"/>
      <c r="Z475" s="541"/>
    </row>
    <row r="476" spans="1:26" ht="18.75">
      <c r="A476" s="537"/>
      <c r="B476" s="538"/>
      <c r="C476" s="538"/>
      <c r="D476" s="538"/>
      <c r="E476" s="538"/>
      <c r="F476" s="727" t="s">
        <v>189</v>
      </c>
      <c r="G476" s="189"/>
      <c r="H476" s="161" t="s">
        <v>12</v>
      </c>
      <c r="I476" s="269"/>
      <c r="J476" s="269"/>
      <c r="K476" s="465"/>
      <c r="L476" s="465"/>
      <c r="M476" s="465"/>
      <c r="N476" s="789">
        <v>0</v>
      </c>
      <c r="O476" s="465"/>
      <c r="P476" s="465"/>
      <c r="Q476" s="541"/>
      <c r="R476" s="541"/>
      <c r="S476" s="541"/>
      <c r="T476" s="541"/>
      <c r="U476" s="541"/>
      <c r="V476" s="541"/>
      <c r="W476" s="541"/>
      <c r="X476" s="541"/>
      <c r="Y476" s="541"/>
      <c r="Z476" s="541"/>
    </row>
    <row r="477" spans="1:26" ht="18.75">
      <c r="A477" s="561"/>
      <c r="B477" s="538"/>
      <c r="C477" s="538"/>
      <c r="D477" s="570" t="s">
        <v>21</v>
      </c>
      <c r="E477" s="538"/>
      <c r="F477" s="538"/>
      <c r="G477" s="189"/>
      <c r="H477" s="168" t="s">
        <v>12</v>
      </c>
      <c r="I477" s="184"/>
      <c r="J477" s="184"/>
      <c r="K477" s="163"/>
      <c r="L477" s="465">
        <f t="shared" ref="L477:N477" ca="1" si="210">L478+L479</f>
        <v>0</v>
      </c>
      <c r="M477" s="465">
        <f t="shared" si="210"/>
        <v>0</v>
      </c>
      <c r="N477" s="465">
        <f t="shared" si="210"/>
        <v>0</v>
      </c>
      <c r="O477" s="465">
        <f t="shared" ref="O477:O479" ca="1" si="211">IF(L477&gt;0,N477*100/L477,0)</f>
        <v>0</v>
      </c>
      <c r="P477" s="465">
        <f t="shared" ref="P477:P479" si="212">IF(M477&gt;0,N477*100/M477,0)</f>
        <v>0</v>
      </c>
      <c r="Q477" s="541"/>
      <c r="R477" s="541"/>
      <c r="S477" s="541"/>
      <c r="T477" s="541"/>
      <c r="U477" s="541"/>
      <c r="V477" s="541"/>
      <c r="W477" s="541"/>
      <c r="X477" s="541"/>
      <c r="Y477" s="541"/>
      <c r="Z477" s="541"/>
    </row>
    <row r="478" spans="1:26" ht="18.75" hidden="1">
      <c r="A478" s="563"/>
      <c r="B478" s="571"/>
      <c r="C478" s="571"/>
      <c r="D478" s="571"/>
      <c r="E478" s="571" t="s">
        <v>18</v>
      </c>
      <c r="F478" s="571"/>
      <c r="G478" s="567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1"/>
        <v>0</v>
      </c>
      <c r="P478" s="93">
        <f t="shared" si="212"/>
        <v>0</v>
      </c>
      <c r="Q478" s="568"/>
      <c r="R478" s="568"/>
      <c r="S478" s="568"/>
      <c r="T478" s="568"/>
      <c r="U478" s="568"/>
      <c r="V478" s="568"/>
      <c r="W478" s="568"/>
      <c r="X478" s="568"/>
      <c r="Y478" s="568"/>
      <c r="Z478" s="568"/>
    </row>
    <row r="479" spans="1:26" ht="18.75" hidden="1">
      <c r="A479" s="563"/>
      <c r="B479" s="571"/>
      <c r="C479" s="571"/>
      <c r="D479" s="571"/>
      <c r="E479" s="571" t="s">
        <v>19</v>
      </c>
      <c r="F479" s="571"/>
      <c r="G479" s="567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IFERROR(__xludf.DUMMYFUNCTION("IMPORTRANGE(""https://docs.google.com/spreadsheets/d/1QqKyyYR6Q21VydFLVH3TRQUabQu_ym0Zz7PgGX0-kHA/edit?usp=sharing"",""แผน!FV21"")"),0)</f>
        <v>0</v>
      </c>
      <c r="M479" s="93">
        <v>0</v>
      </c>
      <c r="N479" s="93">
        <v>0</v>
      </c>
      <c r="O479" s="93">
        <f t="shared" ca="1" si="211"/>
        <v>0</v>
      </c>
      <c r="P479" s="93">
        <f t="shared" si="212"/>
        <v>0</v>
      </c>
      <c r="Q479" s="568"/>
      <c r="R479" s="568"/>
      <c r="S479" s="568"/>
      <c r="T479" s="568"/>
      <c r="U479" s="568"/>
      <c r="V479" s="568"/>
      <c r="W479" s="568"/>
      <c r="X479" s="568"/>
      <c r="Y479" s="568"/>
      <c r="Z479" s="568"/>
    </row>
    <row r="480" spans="1:26" ht="19.5">
      <c r="A480" s="572"/>
      <c r="B480" s="584"/>
      <c r="C480" s="538" t="s">
        <v>16</v>
      </c>
      <c r="D480" s="851" t="s">
        <v>38</v>
      </c>
      <c r="E480" s="575"/>
      <c r="F480" s="725"/>
      <c r="G480" s="577"/>
      <c r="H480" s="726"/>
      <c r="I480" s="269"/>
      <c r="J480" s="269"/>
      <c r="K480" s="465"/>
      <c r="L480" s="465"/>
      <c r="M480" s="465"/>
      <c r="N480" s="465"/>
      <c r="O480" s="465"/>
      <c r="P480" s="465"/>
      <c r="Q480" s="541"/>
      <c r="R480" s="541"/>
      <c r="S480" s="541"/>
      <c r="T480" s="541"/>
      <c r="U480" s="541"/>
      <c r="V480" s="541"/>
      <c r="W480" s="541"/>
      <c r="X480" s="541"/>
      <c r="Y480" s="541"/>
      <c r="Z480" s="541"/>
    </row>
    <row r="481" spans="1:26" ht="19.5">
      <c r="A481" s="572"/>
      <c r="B481" s="584"/>
      <c r="C481" s="584"/>
      <c r="D481" s="591" t="s">
        <v>206</v>
      </c>
      <c r="E481" s="584"/>
      <c r="F481" s="584"/>
      <c r="G481" s="726"/>
      <c r="H481" s="189"/>
      <c r="I481" s="269"/>
      <c r="J481" s="269"/>
      <c r="K481" s="465"/>
      <c r="L481" s="465"/>
      <c r="M481" s="465"/>
      <c r="N481" s="465"/>
      <c r="O481" s="465"/>
      <c r="P481" s="465"/>
      <c r="Q481" s="541"/>
      <c r="R481" s="541"/>
      <c r="S481" s="541"/>
      <c r="T481" s="541"/>
      <c r="U481" s="541"/>
      <c r="V481" s="541"/>
      <c r="W481" s="541"/>
      <c r="X481" s="541"/>
      <c r="Y481" s="541"/>
      <c r="Z481" s="541"/>
    </row>
    <row r="482" spans="1:26" ht="18.75">
      <c r="A482" s="572"/>
      <c r="B482" s="584"/>
      <c r="C482" s="584"/>
      <c r="D482" s="584"/>
      <c r="E482" s="584" t="s">
        <v>207</v>
      </c>
      <c r="F482" s="584"/>
      <c r="G482" s="726"/>
      <c r="H482" s="189"/>
      <c r="I482" s="269"/>
      <c r="J482" s="269"/>
      <c r="K482" s="465"/>
      <c r="L482" s="465"/>
      <c r="M482" s="465"/>
      <c r="N482" s="465"/>
      <c r="O482" s="465"/>
      <c r="P482" s="465"/>
      <c r="Q482" s="541"/>
      <c r="R482" s="541"/>
      <c r="S482" s="541"/>
      <c r="T482" s="541"/>
      <c r="U482" s="541"/>
      <c r="V482" s="541"/>
      <c r="W482" s="541"/>
      <c r="X482" s="541"/>
      <c r="Y482" s="541"/>
      <c r="Z482" s="541"/>
    </row>
    <row r="483" spans="1:26" ht="18.75">
      <c r="A483" s="572"/>
      <c r="B483" s="584"/>
      <c r="C483" s="584"/>
      <c r="D483" s="584"/>
      <c r="E483" s="584"/>
      <c r="F483" s="584" t="s">
        <v>208</v>
      </c>
      <c r="G483" s="726"/>
      <c r="H483" s="589" t="s">
        <v>46</v>
      </c>
      <c r="I483" s="269">
        <f ca="1">IFERROR(__xludf.DUMMYFUNCTION("IMPORTRANGE(""https://docs.google.com/spreadsheets/d/1QqKyyYR6Q21VydFLVH3TRQUabQu_ym0Zz7PgGX0-kHA/edit?usp=sharing"",""แผน!FY21"")"),270)</f>
        <v>270</v>
      </c>
      <c r="J483" s="214">
        <v>0</v>
      </c>
      <c r="K483" s="465">
        <f ca="1">IF(I483&gt;0,J483*100/I483,0)</f>
        <v>0</v>
      </c>
      <c r="L483" s="465"/>
      <c r="M483" s="465"/>
      <c r="N483" s="465"/>
      <c r="O483" s="465"/>
      <c r="P483" s="465"/>
      <c r="Q483" s="541"/>
      <c r="R483" s="541"/>
      <c r="S483" s="541"/>
      <c r="T483" s="541"/>
      <c r="U483" s="541"/>
      <c r="V483" s="541"/>
      <c r="W483" s="541"/>
      <c r="X483" s="541"/>
      <c r="Y483" s="541"/>
      <c r="Z483" s="541"/>
    </row>
    <row r="484" spans="1:26" ht="18.75">
      <c r="A484" s="572"/>
      <c r="B484" s="584"/>
      <c r="C484" s="584"/>
      <c r="D484" s="584"/>
      <c r="E484" s="584"/>
      <c r="F484" s="584" t="s">
        <v>209</v>
      </c>
      <c r="G484" s="726"/>
      <c r="H484" s="589" t="s">
        <v>35</v>
      </c>
      <c r="I484" s="269"/>
      <c r="J484" s="214">
        <v>0</v>
      </c>
      <c r="K484" s="465"/>
      <c r="L484" s="465"/>
      <c r="M484" s="465"/>
      <c r="N484" s="465"/>
      <c r="O484" s="465"/>
      <c r="P484" s="465"/>
      <c r="Q484" s="541"/>
      <c r="R484" s="541"/>
      <c r="S484" s="541"/>
      <c r="T484" s="541"/>
      <c r="U484" s="541"/>
      <c r="V484" s="541"/>
      <c r="W484" s="541"/>
      <c r="X484" s="541"/>
      <c r="Y484" s="541"/>
      <c r="Z484" s="541"/>
    </row>
    <row r="485" spans="1:26" ht="18.75">
      <c r="A485" s="572"/>
      <c r="B485" s="584"/>
      <c r="C485" s="584"/>
      <c r="D485" s="584"/>
      <c r="E485" s="584"/>
      <c r="F485" s="584" t="s">
        <v>210</v>
      </c>
      <c r="G485" s="726"/>
      <c r="H485" s="589" t="s">
        <v>35</v>
      </c>
      <c r="I485" s="269">
        <f ca="1">IFERROR(__xludf.DUMMYFUNCTION("IMPORTRANGE(""https://docs.google.com/spreadsheets/d/1QqKyyYR6Q21VydFLVH3TRQUabQu_ym0Zz7PgGX0-kHA/edit?usp=sharing"",""แผน!FZ21"")"),27)</f>
        <v>27</v>
      </c>
      <c r="J485" s="214">
        <v>0</v>
      </c>
      <c r="K485" s="465">
        <f ca="1">IF(I485&gt;0,J485*100/I485,0)</f>
        <v>0</v>
      </c>
      <c r="L485" s="465"/>
      <c r="M485" s="465"/>
      <c r="N485" s="465"/>
      <c r="O485" s="465"/>
      <c r="P485" s="465"/>
      <c r="Q485" s="541"/>
      <c r="R485" s="541"/>
      <c r="S485" s="541"/>
      <c r="T485" s="541"/>
      <c r="U485" s="541"/>
      <c r="V485" s="541"/>
      <c r="W485" s="541"/>
      <c r="X485" s="541"/>
      <c r="Y485" s="541"/>
      <c r="Z485" s="541"/>
    </row>
    <row r="486" spans="1:26" ht="18.75">
      <c r="A486" s="572"/>
      <c r="B486" s="584"/>
      <c r="C486" s="584"/>
      <c r="D486" s="584"/>
      <c r="E486" s="584" t="s">
        <v>62</v>
      </c>
      <c r="F486" s="584"/>
      <c r="G486" s="726"/>
      <c r="H486" s="589"/>
      <c r="I486" s="269"/>
      <c r="J486" s="269"/>
      <c r="K486" s="465"/>
      <c r="L486" s="465"/>
      <c r="M486" s="465"/>
      <c r="N486" s="465"/>
      <c r="O486" s="465"/>
      <c r="P486" s="465"/>
      <c r="Q486" s="541"/>
      <c r="R486" s="541"/>
      <c r="S486" s="541"/>
      <c r="T486" s="541"/>
      <c r="U486" s="541"/>
      <c r="V486" s="541"/>
      <c r="W486" s="541"/>
      <c r="X486" s="541"/>
      <c r="Y486" s="541"/>
      <c r="Z486" s="541"/>
    </row>
    <row r="487" spans="1:26" ht="18.75">
      <c r="A487" s="572"/>
      <c r="B487" s="584"/>
      <c r="C487" s="584"/>
      <c r="D487" s="584"/>
      <c r="E487" s="584"/>
      <c r="F487" s="584" t="s">
        <v>208</v>
      </c>
      <c r="G487" s="726"/>
      <c r="H487" s="589" t="s">
        <v>46</v>
      </c>
      <c r="I487" s="269">
        <f ca="1">IFERROR(__xludf.DUMMYFUNCTION("IMPORTRANGE(""https://docs.google.com/spreadsheets/d/1QqKyyYR6Q21VydFLVH3TRQUabQu_ym0Zz7PgGX0-kHA/edit?usp=sharing"",""แผน!GA21"")"),30)</f>
        <v>30</v>
      </c>
      <c r="J487" s="214">
        <v>0</v>
      </c>
      <c r="K487" s="465">
        <f ca="1">IF(I487&gt;0,J487*100/I487,0)</f>
        <v>0</v>
      </c>
      <c r="L487" s="465"/>
      <c r="M487" s="465"/>
      <c r="N487" s="465"/>
      <c r="O487" s="465"/>
      <c r="P487" s="465"/>
      <c r="Q487" s="541"/>
      <c r="R487" s="541"/>
      <c r="S487" s="541"/>
      <c r="T487" s="541"/>
      <c r="U487" s="541"/>
      <c r="V487" s="541"/>
      <c r="W487" s="541"/>
      <c r="X487" s="541"/>
      <c r="Y487" s="541"/>
      <c r="Z487" s="541"/>
    </row>
    <row r="488" spans="1:26" ht="18.75">
      <c r="A488" s="572"/>
      <c r="B488" s="584"/>
      <c r="C488" s="584"/>
      <c r="D488" s="584"/>
      <c r="E488" s="584"/>
      <c r="F488" s="584" t="s">
        <v>211</v>
      </c>
      <c r="G488" s="726"/>
      <c r="H488" s="589" t="s">
        <v>35</v>
      </c>
      <c r="I488" s="269"/>
      <c r="J488" s="214">
        <v>0</v>
      </c>
      <c r="K488" s="465"/>
      <c r="L488" s="465"/>
      <c r="M488" s="465"/>
      <c r="N488" s="465"/>
      <c r="O488" s="465"/>
      <c r="P488" s="465"/>
      <c r="Q488" s="541"/>
      <c r="R488" s="541"/>
      <c r="S488" s="541"/>
      <c r="T488" s="541"/>
      <c r="U488" s="541"/>
      <c r="V488" s="541"/>
      <c r="W488" s="541"/>
      <c r="X488" s="541"/>
      <c r="Y488" s="541"/>
      <c r="Z488" s="541"/>
    </row>
    <row r="489" spans="1:26" ht="18.75">
      <c r="A489" s="572"/>
      <c r="B489" s="584"/>
      <c r="C489" s="584"/>
      <c r="D489" s="584"/>
      <c r="E489" s="584"/>
      <c r="F489" s="584" t="s">
        <v>212</v>
      </c>
      <c r="G489" s="726"/>
      <c r="H489" s="589" t="s">
        <v>35</v>
      </c>
      <c r="I489" s="269">
        <f ca="1">IFERROR(__xludf.DUMMYFUNCTION("IMPORTRANGE(""https://docs.google.com/spreadsheets/d/1QqKyyYR6Q21VydFLVH3TRQUabQu_ym0Zz7PgGX0-kHA/edit?usp=sharing"",""แผน!GB21"")"),3)</f>
        <v>3</v>
      </c>
      <c r="J489" s="214">
        <v>0</v>
      </c>
      <c r="K489" s="465">
        <f ca="1">IF(I489&gt;0,J489*100/I489,0)</f>
        <v>0</v>
      </c>
      <c r="L489" s="465"/>
      <c r="M489" s="465"/>
      <c r="N489" s="465"/>
      <c r="O489" s="465"/>
      <c r="P489" s="465"/>
      <c r="Q489" s="541"/>
      <c r="R489" s="541"/>
      <c r="S489" s="541"/>
      <c r="T489" s="541"/>
      <c r="U489" s="541"/>
      <c r="V489" s="541"/>
      <c r="W489" s="541"/>
      <c r="X489" s="541"/>
      <c r="Y489" s="541"/>
      <c r="Z489" s="541"/>
    </row>
    <row r="490" spans="1:26" ht="18.75">
      <c r="A490" s="572"/>
      <c r="B490" s="584"/>
      <c r="C490" s="584"/>
      <c r="D490" s="584"/>
      <c r="E490" s="584" t="s">
        <v>63</v>
      </c>
      <c r="F490" s="592"/>
      <c r="G490" s="726"/>
      <c r="H490" s="589"/>
      <c r="I490" s="269"/>
      <c r="J490" s="269"/>
      <c r="K490" s="465"/>
      <c r="L490" s="465"/>
      <c r="M490" s="465"/>
      <c r="N490" s="465"/>
      <c r="O490" s="465"/>
      <c r="P490" s="465"/>
      <c r="Q490" s="541"/>
      <c r="R490" s="541"/>
      <c r="S490" s="541"/>
      <c r="T490" s="541"/>
      <c r="U490" s="541"/>
      <c r="V490" s="541"/>
      <c r="W490" s="541"/>
      <c r="X490" s="541"/>
      <c r="Y490" s="541"/>
      <c r="Z490" s="541"/>
    </row>
    <row r="491" spans="1:26" ht="18.75">
      <c r="A491" s="572"/>
      <c r="B491" s="584"/>
      <c r="C491" s="584"/>
      <c r="D491" s="584"/>
      <c r="E491" s="584"/>
      <c r="F491" s="584" t="s">
        <v>213</v>
      </c>
      <c r="G491" s="726"/>
      <c r="H491" s="589" t="s">
        <v>35</v>
      </c>
      <c r="I491" s="269"/>
      <c r="J491" s="214">
        <v>0</v>
      </c>
      <c r="K491" s="465"/>
      <c r="L491" s="465"/>
      <c r="M491" s="465"/>
      <c r="N491" s="465"/>
      <c r="O491" s="465"/>
      <c r="P491" s="465"/>
      <c r="Q491" s="541"/>
      <c r="R491" s="541"/>
      <c r="S491" s="541"/>
      <c r="T491" s="541"/>
      <c r="U491" s="541"/>
      <c r="V491" s="541"/>
      <c r="W491" s="541"/>
      <c r="X491" s="541"/>
      <c r="Y491" s="541"/>
      <c r="Z491" s="541"/>
    </row>
    <row r="492" spans="1:26" ht="18.75">
      <c r="A492" s="572"/>
      <c r="B492" s="584"/>
      <c r="C492" s="584"/>
      <c r="D492" s="584"/>
      <c r="E492" s="584"/>
      <c r="F492" s="584" t="s">
        <v>214</v>
      </c>
      <c r="G492" s="726"/>
      <c r="H492" s="589" t="s">
        <v>35</v>
      </c>
      <c r="I492" s="269">
        <f ca="1">IFERROR(__xludf.DUMMYFUNCTION("IMPORTRANGE(""https://docs.google.com/spreadsheets/d/1QqKyyYR6Q21VydFLVH3TRQUabQu_ym0Zz7PgGX0-kHA/edit?usp=sharing"",""แผน!GC21"")"),1)</f>
        <v>1</v>
      </c>
      <c r="J492" s="214">
        <v>0</v>
      </c>
      <c r="K492" s="465">
        <f ca="1">IF(I492&gt;0,J492*100/I492,0)</f>
        <v>0</v>
      </c>
      <c r="L492" s="465"/>
      <c r="M492" s="465"/>
      <c r="N492" s="465"/>
      <c r="O492" s="465"/>
      <c r="P492" s="465"/>
      <c r="Q492" s="541"/>
      <c r="R492" s="541"/>
      <c r="S492" s="541"/>
      <c r="T492" s="541"/>
      <c r="U492" s="541"/>
      <c r="V492" s="541"/>
      <c r="W492" s="541"/>
      <c r="X492" s="541"/>
      <c r="Y492" s="541"/>
      <c r="Z492" s="541"/>
    </row>
    <row r="493" spans="1:26" ht="19.5">
      <c r="A493" s="572"/>
      <c r="B493" s="584"/>
      <c r="C493" s="584"/>
      <c r="D493" s="591" t="s">
        <v>59</v>
      </c>
      <c r="E493" s="584"/>
      <c r="F493" s="592"/>
      <c r="G493" s="726"/>
      <c r="H493" s="189"/>
      <c r="I493" s="269"/>
      <c r="J493" s="269"/>
      <c r="K493" s="465"/>
      <c r="L493" s="465"/>
      <c r="M493" s="465"/>
      <c r="N493" s="465"/>
      <c r="O493" s="465"/>
      <c r="P493" s="465"/>
      <c r="Q493" s="541"/>
      <c r="R493" s="541"/>
      <c r="S493" s="541"/>
      <c r="T493" s="541"/>
      <c r="U493" s="541"/>
      <c r="V493" s="541"/>
      <c r="W493" s="541"/>
      <c r="X493" s="541"/>
      <c r="Y493" s="541"/>
      <c r="Z493" s="541"/>
    </row>
    <row r="494" spans="1:26" ht="18.75">
      <c r="A494" s="572"/>
      <c r="B494" s="584"/>
      <c r="C494" s="584"/>
      <c r="D494" s="584"/>
      <c r="E494" s="584" t="s">
        <v>207</v>
      </c>
      <c r="F494" s="592"/>
      <c r="G494" s="726"/>
      <c r="H494" s="189"/>
      <c r="I494" s="269"/>
      <c r="J494" s="269"/>
      <c r="K494" s="465"/>
      <c r="L494" s="465"/>
      <c r="M494" s="465"/>
      <c r="N494" s="465"/>
      <c r="O494" s="465"/>
      <c r="P494" s="465"/>
      <c r="Q494" s="541"/>
      <c r="R494" s="541"/>
      <c r="S494" s="541"/>
      <c r="T494" s="541"/>
      <c r="U494" s="541"/>
      <c r="V494" s="541"/>
      <c r="W494" s="541"/>
      <c r="X494" s="541"/>
      <c r="Y494" s="541"/>
      <c r="Z494" s="541"/>
    </row>
    <row r="495" spans="1:26" ht="18.75">
      <c r="A495" s="572"/>
      <c r="B495" s="584"/>
      <c r="C495" s="584"/>
      <c r="D495" s="584"/>
      <c r="E495" s="584"/>
      <c r="F495" s="592" t="s">
        <v>215</v>
      </c>
      <c r="G495" s="726"/>
      <c r="H495" s="589" t="s">
        <v>46</v>
      </c>
      <c r="I495" s="269">
        <f ca="1">IFERROR(__xludf.DUMMYFUNCTION("IMPORTRANGE(""https://docs.google.com/spreadsheets/d/1QqKyyYR6Q21VydFLVH3TRQUabQu_ym0Zz7PgGX0-kHA/edit?usp=sharing"",""แผน!FY21"")"),270)</f>
        <v>270</v>
      </c>
      <c r="J495" s="214">
        <v>0</v>
      </c>
      <c r="K495" s="465">
        <f ca="1">IF(I495&gt;0,J495*100/I495,0)</f>
        <v>0</v>
      </c>
      <c r="L495" s="465"/>
      <c r="M495" s="465"/>
      <c r="N495" s="465"/>
      <c r="O495" s="465"/>
      <c r="P495" s="465"/>
      <c r="Q495" s="541"/>
      <c r="R495" s="541"/>
      <c r="S495" s="541"/>
      <c r="T495" s="541"/>
      <c r="U495" s="541"/>
      <c r="V495" s="541"/>
      <c r="W495" s="541"/>
      <c r="X495" s="541"/>
      <c r="Y495" s="541"/>
      <c r="Z495" s="541"/>
    </row>
    <row r="496" spans="1:26" ht="18.75">
      <c r="A496" s="572"/>
      <c r="B496" s="584"/>
      <c r="C496" s="584"/>
      <c r="D496" s="584"/>
      <c r="E496" s="584"/>
      <c r="F496" s="592" t="s">
        <v>216</v>
      </c>
      <c r="G496" s="726"/>
      <c r="H496" s="589" t="s">
        <v>46</v>
      </c>
      <c r="I496" s="269"/>
      <c r="J496" s="214">
        <v>0</v>
      </c>
      <c r="K496" s="465"/>
      <c r="L496" s="465"/>
      <c r="M496" s="465"/>
      <c r="N496" s="465"/>
      <c r="O496" s="465"/>
      <c r="P496" s="465"/>
      <c r="Q496" s="541"/>
      <c r="R496" s="541"/>
      <c r="S496" s="541"/>
      <c r="T496" s="541"/>
      <c r="U496" s="541"/>
      <c r="V496" s="541"/>
      <c r="W496" s="541"/>
      <c r="X496" s="541"/>
      <c r="Y496" s="541"/>
      <c r="Z496" s="541"/>
    </row>
    <row r="497" spans="1:26" ht="18.75">
      <c r="A497" s="572"/>
      <c r="B497" s="584"/>
      <c r="C497" s="584"/>
      <c r="D497" s="584"/>
      <c r="E497" s="584" t="s">
        <v>62</v>
      </c>
      <c r="F497" s="592"/>
      <c r="G497" s="726"/>
      <c r="H497" s="189"/>
      <c r="I497" s="269"/>
      <c r="J497" s="269"/>
      <c r="K497" s="465"/>
      <c r="L497" s="465"/>
      <c r="M497" s="465"/>
      <c r="N497" s="465"/>
      <c r="O497" s="465"/>
      <c r="P497" s="465"/>
      <c r="Q497" s="541"/>
      <c r="R497" s="541"/>
      <c r="S497" s="541"/>
      <c r="T497" s="541"/>
      <c r="U497" s="541"/>
      <c r="V497" s="541"/>
      <c r="W497" s="541"/>
      <c r="X497" s="541"/>
      <c r="Y497" s="541"/>
      <c r="Z497" s="541"/>
    </row>
    <row r="498" spans="1:26" ht="18.75">
      <c r="A498" s="572"/>
      <c r="B498" s="584"/>
      <c r="C498" s="584"/>
      <c r="D498" s="584"/>
      <c r="E498" s="592"/>
      <c r="F498" s="592" t="s">
        <v>217</v>
      </c>
      <c r="G498" s="726"/>
      <c r="H498" s="589" t="s">
        <v>46</v>
      </c>
      <c r="I498" s="269">
        <f ca="1">IFERROR(__xludf.DUMMYFUNCTION("IMPORTRANGE(""https://docs.google.com/spreadsheets/d/1QqKyyYR6Q21VydFLVH3TRQUabQu_ym0Zz7PgGX0-kHA/edit?usp=sharing"",""แผน!GA21"")"),30)</f>
        <v>30</v>
      </c>
      <c r="J498" s="214">
        <v>0</v>
      </c>
      <c r="K498" s="465">
        <f ca="1">IF(I498&gt;0,J498*100/I498,0)</f>
        <v>0</v>
      </c>
      <c r="L498" s="465"/>
      <c r="M498" s="465"/>
      <c r="N498" s="465"/>
      <c r="O498" s="465"/>
      <c r="P498" s="465"/>
      <c r="Q498" s="541"/>
      <c r="R498" s="541"/>
      <c r="S498" s="541"/>
      <c r="T498" s="541"/>
      <c r="U498" s="541"/>
      <c r="V498" s="541"/>
      <c r="W498" s="541"/>
      <c r="X498" s="541"/>
      <c r="Y498" s="541"/>
      <c r="Z498" s="541"/>
    </row>
    <row r="499" spans="1:26" ht="18.75">
      <c r="A499" s="572"/>
      <c r="B499" s="584"/>
      <c r="C499" s="584"/>
      <c r="D499" s="584"/>
      <c r="E499" s="592"/>
      <c r="F499" s="592" t="s">
        <v>218</v>
      </c>
      <c r="G499" s="726"/>
      <c r="H499" s="589" t="s">
        <v>46</v>
      </c>
      <c r="I499" s="269"/>
      <c r="J499" s="214">
        <v>0</v>
      </c>
      <c r="K499" s="465"/>
      <c r="L499" s="465"/>
      <c r="M499" s="465"/>
      <c r="N499" s="465"/>
      <c r="O499" s="465"/>
      <c r="P499" s="465"/>
      <c r="Q499" s="541"/>
      <c r="R499" s="541"/>
      <c r="S499" s="541"/>
      <c r="T499" s="541"/>
      <c r="U499" s="541"/>
      <c r="V499" s="541"/>
      <c r="W499" s="541"/>
      <c r="X499" s="541"/>
      <c r="Y499" s="541"/>
      <c r="Z499" s="541"/>
    </row>
    <row r="500" spans="1:26" ht="19.5" hidden="1">
      <c r="A500" s="593">
        <v>4</v>
      </c>
      <c r="B500" s="594" t="s">
        <v>219</v>
      </c>
      <c r="C500" s="595"/>
      <c r="D500" s="596"/>
      <c r="E500" s="596"/>
      <c r="F500" s="596"/>
      <c r="G500" s="597"/>
      <c r="H500" s="598" t="s">
        <v>109</v>
      </c>
      <c r="I500" s="599"/>
      <c r="J500" s="599">
        <f t="shared" ref="J500:J501" si="213">J516</f>
        <v>0</v>
      </c>
      <c r="K500" s="600">
        <f t="shared" ref="K500:K501" si="214">IF(I500&gt;0,J500*100/I500,0)</f>
        <v>0</v>
      </c>
      <c r="L500" s="601"/>
      <c r="M500" s="601"/>
      <c r="N500" s="601"/>
      <c r="O500" s="601"/>
      <c r="P500" s="601"/>
      <c r="Q500" s="568"/>
      <c r="R500" s="568"/>
      <c r="S500" s="568"/>
      <c r="T500" s="568"/>
      <c r="U500" s="568"/>
      <c r="V500" s="568"/>
      <c r="W500" s="568"/>
      <c r="X500" s="568"/>
      <c r="Y500" s="568"/>
      <c r="Z500" s="568"/>
    </row>
    <row r="501" spans="1:26" ht="19.5" hidden="1">
      <c r="A501" s="602"/>
      <c r="B501" s="604" t="s">
        <v>220</v>
      </c>
      <c r="C501" s="604"/>
      <c r="D501" s="605"/>
      <c r="E501" s="605"/>
      <c r="F501" s="605"/>
      <c r="G501" s="606"/>
      <c r="H501" s="607" t="s">
        <v>35</v>
      </c>
      <c r="I501" s="608"/>
      <c r="J501" s="608">
        <f t="shared" si="213"/>
        <v>0</v>
      </c>
      <c r="K501" s="609">
        <f t="shared" si="214"/>
        <v>0</v>
      </c>
      <c r="L501" s="610"/>
      <c r="M501" s="610"/>
      <c r="N501" s="610"/>
      <c r="O501" s="610"/>
      <c r="P501" s="610"/>
      <c r="Q501" s="568"/>
      <c r="R501" s="568"/>
      <c r="S501" s="568"/>
      <c r="T501" s="568"/>
      <c r="U501" s="568"/>
      <c r="V501" s="568"/>
      <c r="W501" s="568"/>
      <c r="X501" s="568"/>
      <c r="Y501" s="568"/>
      <c r="Z501" s="568"/>
    </row>
    <row r="502" spans="1:26" ht="19.5" hidden="1">
      <c r="A502" s="563"/>
      <c r="B502" s="723"/>
      <c r="C502" s="723" t="s">
        <v>16</v>
      </c>
      <c r="D502" s="812" t="s">
        <v>17</v>
      </c>
      <c r="E502" s="805"/>
      <c r="F502" s="805"/>
      <c r="G502" s="567"/>
      <c r="H502" s="612" t="s">
        <v>12</v>
      </c>
      <c r="I502" s="583"/>
      <c r="J502" s="583"/>
      <c r="K502" s="93"/>
      <c r="L502" s="613">
        <f t="shared" ref="L502:N502" si="215">L503+L504</f>
        <v>0</v>
      </c>
      <c r="M502" s="613">
        <f t="shared" si="215"/>
        <v>0</v>
      </c>
      <c r="N502" s="613">
        <f t="shared" si="215"/>
        <v>0</v>
      </c>
      <c r="O502" s="613">
        <f t="shared" ref="O502:O507" si="216">IF(L502&gt;0,N502*100/L502,0)</f>
        <v>0</v>
      </c>
      <c r="P502" s="613">
        <f t="shared" ref="P502:P507" si="217">IF(M502&gt;0,N502*100/M502,0)</f>
        <v>0</v>
      </c>
      <c r="Q502" s="568"/>
      <c r="R502" s="568"/>
      <c r="S502" s="568"/>
      <c r="T502" s="568"/>
      <c r="U502" s="568"/>
      <c r="V502" s="568"/>
      <c r="W502" s="568"/>
      <c r="X502" s="568"/>
      <c r="Y502" s="568"/>
      <c r="Z502" s="568"/>
    </row>
    <row r="503" spans="1:26" ht="18.75" hidden="1">
      <c r="A503" s="563"/>
      <c r="B503" s="723"/>
      <c r="C503" s="723"/>
      <c r="D503" s="684"/>
      <c r="E503" s="723" t="s">
        <v>184</v>
      </c>
      <c r="F503" s="723"/>
      <c r="G503" s="567"/>
      <c r="H503" s="165" t="s">
        <v>12</v>
      </c>
      <c r="I503" s="583"/>
      <c r="J503" s="583"/>
      <c r="K503" s="93"/>
      <c r="L503" s="93">
        <f t="shared" ref="L503:N504" si="218">L506+L513</f>
        <v>0</v>
      </c>
      <c r="M503" s="93">
        <f t="shared" si="218"/>
        <v>0</v>
      </c>
      <c r="N503" s="93">
        <f t="shared" si="218"/>
        <v>0</v>
      </c>
      <c r="O503" s="93">
        <f t="shared" si="216"/>
        <v>0</v>
      </c>
      <c r="P503" s="93">
        <f t="shared" si="217"/>
        <v>0</v>
      </c>
      <c r="Q503" s="568"/>
      <c r="R503" s="568"/>
      <c r="S503" s="568"/>
      <c r="T503" s="568"/>
      <c r="U503" s="568"/>
      <c r="V503" s="568"/>
      <c r="W503" s="568"/>
      <c r="X503" s="568"/>
      <c r="Y503" s="568"/>
      <c r="Z503" s="568"/>
    </row>
    <row r="504" spans="1:26" ht="18.75" hidden="1">
      <c r="A504" s="563"/>
      <c r="B504" s="571"/>
      <c r="C504" s="723"/>
      <c r="D504" s="684"/>
      <c r="E504" s="723" t="s">
        <v>185</v>
      </c>
      <c r="F504" s="723"/>
      <c r="G504" s="567"/>
      <c r="H504" s="165" t="s">
        <v>12</v>
      </c>
      <c r="I504" s="583"/>
      <c r="J504" s="583"/>
      <c r="K504" s="93"/>
      <c r="L504" s="93">
        <f t="shared" si="218"/>
        <v>0</v>
      </c>
      <c r="M504" s="93">
        <f t="shared" si="218"/>
        <v>0</v>
      </c>
      <c r="N504" s="93">
        <f t="shared" si="218"/>
        <v>0</v>
      </c>
      <c r="O504" s="93">
        <f t="shared" si="216"/>
        <v>0</v>
      </c>
      <c r="P504" s="93">
        <f t="shared" si="217"/>
        <v>0</v>
      </c>
      <c r="Q504" s="568"/>
      <c r="R504" s="568"/>
      <c r="S504" s="568"/>
      <c r="T504" s="568"/>
      <c r="U504" s="568"/>
      <c r="V504" s="568"/>
      <c r="W504" s="568"/>
      <c r="X504" s="568"/>
      <c r="Y504" s="568"/>
      <c r="Z504" s="568"/>
    </row>
    <row r="505" spans="1:26" ht="18.75" hidden="1">
      <c r="A505" s="563"/>
      <c r="B505" s="571"/>
      <c r="C505" s="723"/>
      <c r="D505" s="614" t="s">
        <v>20</v>
      </c>
      <c r="E505" s="723"/>
      <c r="F505" s="723"/>
      <c r="G505" s="567"/>
      <c r="H505" s="165" t="s">
        <v>12</v>
      </c>
      <c r="I505" s="166"/>
      <c r="J505" s="166"/>
      <c r="K505" s="167"/>
      <c r="L505" s="93">
        <f t="shared" ref="L505:N505" si="219">L506+L507</f>
        <v>0</v>
      </c>
      <c r="M505" s="93">
        <f t="shared" si="219"/>
        <v>0</v>
      </c>
      <c r="N505" s="93">
        <f t="shared" si="219"/>
        <v>0</v>
      </c>
      <c r="O505" s="93">
        <f t="shared" si="216"/>
        <v>0</v>
      </c>
      <c r="P505" s="93">
        <f t="shared" si="217"/>
        <v>0</v>
      </c>
      <c r="Q505" s="568"/>
      <c r="R505" s="568"/>
      <c r="S505" s="568"/>
      <c r="T505" s="568"/>
      <c r="U505" s="568"/>
      <c r="V505" s="568"/>
      <c r="W505" s="568"/>
      <c r="X505" s="568"/>
      <c r="Y505" s="568"/>
      <c r="Z505" s="568"/>
    </row>
    <row r="506" spans="1:26" ht="18.75" hidden="1">
      <c r="A506" s="563"/>
      <c r="B506" s="571"/>
      <c r="C506" s="723"/>
      <c r="D506" s="684"/>
      <c r="E506" s="723" t="s">
        <v>184</v>
      </c>
      <c r="F506" s="723"/>
      <c r="G506" s="567"/>
      <c r="H506" s="165" t="s">
        <v>12</v>
      </c>
      <c r="I506" s="583"/>
      <c r="J506" s="583"/>
      <c r="K506" s="93"/>
      <c r="L506" s="93">
        <v>0</v>
      </c>
      <c r="M506" s="93">
        <v>0</v>
      </c>
      <c r="N506" s="93">
        <v>0</v>
      </c>
      <c r="O506" s="93">
        <f t="shared" si="216"/>
        <v>0</v>
      </c>
      <c r="P506" s="93">
        <f t="shared" si="217"/>
        <v>0</v>
      </c>
      <c r="Q506" s="568"/>
      <c r="R506" s="568"/>
      <c r="S506" s="568"/>
      <c r="T506" s="568"/>
      <c r="U506" s="568"/>
      <c r="V506" s="568"/>
      <c r="W506" s="568"/>
      <c r="X506" s="568"/>
      <c r="Y506" s="568"/>
      <c r="Z506" s="568"/>
    </row>
    <row r="507" spans="1:26" ht="18.75" hidden="1">
      <c r="A507" s="563"/>
      <c r="B507" s="571"/>
      <c r="C507" s="723"/>
      <c r="D507" s="684"/>
      <c r="E507" s="723" t="s">
        <v>185</v>
      </c>
      <c r="F507" s="723"/>
      <c r="G507" s="567"/>
      <c r="H507" s="165" t="s">
        <v>12</v>
      </c>
      <c r="I507" s="583"/>
      <c r="J507" s="583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6"/>
        <v>0</v>
      </c>
      <c r="P507" s="93">
        <f t="shared" si="217"/>
        <v>0</v>
      </c>
      <c r="Q507" s="568"/>
      <c r="R507" s="568"/>
      <c r="S507" s="568"/>
      <c r="T507" s="568"/>
      <c r="U507" s="568"/>
      <c r="V507" s="568"/>
      <c r="W507" s="568"/>
      <c r="X507" s="568"/>
      <c r="Y507" s="568"/>
      <c r="Z507" s="568"/>
    </row>
    <row r="508" spans="1:26" ht="18.75" hidden="1">
      <c r="A508" s="615"/>
      <c r="B508" s="571"/>
      <c r="C508" s="723"/>
      <c r="D508" s="723"/>
      <c r="E508" s="723"/>
      <c r="F508" s="723" t="s">
        <v>186</v>
      </c>
      <c r="G508" s="567"/>
      <c r="H508" s="165" t="s">
        <v>12</v>
      </c>
      <c r="I508" s="583"/>
      <c r="J508" s="583"/>
      <c r="K508" s="93"/>
      <c r="L508" s="93"/>
      <c r="M508" s="93"/>
      <c r="N508" s="93">
        <v>0</v>
      </c>
      <c r="O508" s="93"/>
      <c r="P508" s="93"/>
      <c r="Q508" s="568"/>
      <c r="R508" s="568"/>
      <c r="S508" s="568"/>
      <c r="T508" s="568"/>
      <c r="U508" s="568"/>
      <c r="V508" s="568"/>
      <c r="W508" s="568"/>
      <c r="X508" s="568"/>
      <c r="Y508" s="568"/>
      <c r="Z508" s="568"/>
    </row>
    <row r="509" spans="1:26" ht="18.75" hidden="1">
      <c r="A509" s="615"/>
      <c r="B509" s="571"/>
      <c r="C509" s="723"/>
      <c r="D509" s="723"/>
      <c r="E509" s="723"/>
      <c r="F509" s="723" t="s">
        <v>187</v>
      </c>
      <c r="G509" s="567"/>
      <c r="H509" s="165" t="s">
        <v>12</v>
      </c>
      <c r="I509" s="583"/>
      <c r="J509" s="583"/>
      <c r="K509" s="93"/>
      <c r="L509" s="93"/>
      <c r="M509" s="93"/>
      <c r="N509" s="93">
        <v>0</v>
      </c>
      <c r="O509" s="93"/>
      <c r="P509" s="93"/>
      <c r="Q509" s="568"/>
      <c r="R509" s="568"/>
      <c r="S509" s="568"/>
      <c r="T509" s="568"/>
      <c r="U509" s="568"/>
      <c r="V509" s="568"/>
      <c r="W509" s="568"/>
      <c r="X509" s="568"/>
      <c r="Y509" s="568"/>
      <c r="Z509" s="568"/>
    </row>
    <row r="510" spans="1:26" ht="18.75" hidden="1">
      <c r="A510" s="615"/>
      <c r="B510" s="571"/>
      <c r="C510" s="571"/>
      <c r="D510" s="571"/>
      <c r="E510" s="723"/>
      <c r="F510" s="723" t="s">
        <v>188</v>
      </c>
      <c r="G510" s="567"/>
      <c r="H510" s="165" t="s">
        <v>12</v>
      </c>
      <c r="I510" s="583"/>
      <c r="J510" s="583"/>
      <c r="K510" s="93"/>
      <c r="L510" s="93"/>
      <c r="M510" s="93"/>
      <c r="N510" s="93">
        <v>0</v>
      </c>
      <c r="O510" s="93"/>
      <c r="P510" s="93"/>
      <c r="Q510" s="568"/>
      <c r="R510" s="568"/>
      <c r="S510" s="568"/>
      <c r="T510" s="568"/>
      <c r="U510" s="568"/>
      <c r="V510" s="568"/>
      <c r="W510" s="568"/>
      <c r="X510" s="568"/>
      <c r="Y510" s="568"/>
      <c r="Z510" s="568"/>
    </row>
    <row r="511" spans="1:26" ht="18.75" hidden="1">
      <c r="A511" s="615"/>
      <c r="B511" s="571"/>
      <c r="C511" s="571"/>
      <c r="D511" s="571"/>
      <c r="E511" s="723"/>
      <c r="F511" s="723" t="s">
        <v>189</v>
      </c>
      <c r="G511" s="567"/>
      <c r="H511" s="165" t="s">
        <v>12</v>
      </c>
      <c r="I511" s="583"/>
      <c r="J511" s="583"/>
      <c r="K511" s="93"/>
      <c r="L511" s="93"/>
      <c r="M511" s="93"/>
      <c r="N511" s="93">
        <v>0</v>
      </c>
      <c r="O511" s="93"/>
      <c r="P511" s="93"/>
      <c r="Q511" s="568"/>
      <c r="R511" s="568"/>
      <c r="S511" s="568"/>
      <c r="T511" s="568"/>
      <c r="U511" s="568"/>
      <c r="V511" s="568"/>
      <c r="W511" s="568"/>
      <c r="X511" s="568"/>
      <c r="Y511" s="568"/>
      <c r="Z511" s="568"/>
    </row>
    <row r="512" spans="1:26" ht="18.75" hidden="1">
      <c r="A512" s="563"/>
      <c r="B512" s="571"/>
      <c r="C512" s="571"/>
      <c r="D512" s="614" t="s">
        <v>21</v>
      </c>
      <c r="E512" s="571"/>
      <c r="F512" s="723"/>
      <c r="G512" s="567"/>
      <c r="H512" s="169" t="s">
        <v>12</v>
      </c>
      <c r="I512" s="166"/>
      <c r="J512" s="166"/>
      <c r="K512" s="167"/>
      <c r="L512" s="93">
        <f t="shared" ref="L512:N512" si="220">L513+L514</f>
        <v>0</v>
      </c>
      <c r="M512" s="93">
        <f t="shared" si="220"/>
        <v>0</v>
      </c>
      <c r="N512" s="93">
        <f t="shared" si="220"/>
        <v>0</v>
      </c>
      <c r="O512" s="93">
        <f t="shared" ref="O512:O514" si="221">IF(L512&gt;0,N512*100/L512,0)</f>
        <v>0</v>
      </c>
      <c r="P512" s="93">
        <f t="shared" ref="P512:P514" si="222">IF(M512&gt;0,N512*100/M512,0)</f>
        <v>0</v>
      </c>
      <c r="Q512" s="568"/>
      <c r="R512" s="568"/>
      <c r="S512" s="568"/>
      <c r="T512" s="568"/>
      <c r="U512" s="568"/>
      <c r="V512" s="568"/>
      <c r="W512" s="568"/>
      <c r="X512" s="568"/>
      <c r="Y512" s="568"/>
      <c r="Z512" s="568"/>
    </row>
    <row r="513" spans="1:26" ht="18.75" hidden="1">
      <c r="A513" s="563"/>
      <c r="B513" s="571"/>
      <c r="C513" s="571"/>
      <c r="D513" s="571"/>
      <c r="E513" s="571" t="s">
        <v>18</v>
      </c>
      <c r="F513" s="723"/>
      <c r="G513" s="567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1"/>
        <v>0</v>
      </c>
      <c r="P513" s="93">
        <f t="shared" si="222"/>
        <v>0</v>
      </c>
      <c r="Q513" s="568"/>
      <c r="R513" s="568"/>
      <c r="S513" s="568"/>
      <c r="T513" s="568"/>
      <c r="U513" s="568"/>
      <c r="V513" s="568"/>
      <c r="W513" s="568"/>
      <c r="X513" s="568"/>
      <c r="Y513" s="568"/>
      <c r="Z513" s="568"/>
    </row>
    <row r="514" spans="1:26" ht="18.75" hidden="1">
      <c r="A514" s="563"/>
      <c r="B514" s="571"/>
      <c r="C514" s="571"/>
      <c r="D514" s="723"/>
      <c r="E514" s="571" t="s">
        <v>19</v>
      </c>
      <c r="F514" s="723"/>
      <c r="G514" s="567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1"/>
        <v>0</v>
      </c>
      <c r="P514" s="93">
        <f t="shared" si="222"/>
        <v>0</v>
      </c>
      <c r="Q514" s="568"/>
      <c r="R514" s="568"/>
      <c r="S514" s="568"/>
      <c r="T514" s="568"/>
      <c r="U514" s="568"/>
      <c r="V514" s="568"/>
      <c r="W514" s="568"/>
      <c r="X514" s="568"/>
      <c r="Y514" s="568"/>
      <c r="Z514" s="568"/>
    </row>
    <row r="515" spans="1:26" ht="19.5" hidden="1">
      <c r="A515" s="578"/>
      <c r="B515" s="580"/>
      <c r="C515" s="571" t="s">
        <v>16</v>
      </c>
      <c r="D515" s="852" t="s">
        <v>38</v>
      </c>
      <c r="E515" s="617"/>
      <c r="F515" s="617"/>
      <c r="G515" s="618"/>
      <c r="H515" s="581"/>
      <c r="I515" s="166"/>
      <c r="J515" s="166"/>
      <c r="K515" s="167"/>
      <c r="L515" s="167"/>
      <c r="M515" s="167"/>
      <c r="N515" s="167"/>
      <c r="O515" s="167"/>
      <c r="P515" s="167"/>
      <c r="Q515" s="568"/>
      <c r="R515" s="568"/>
      <c r="S515" s="568"/>
      <c r="T515" s="568"/>
      <c r="U515" s="568"/>
      <c r="V515" s="568"/>
      <c r="W515" s="568"/>
      <c r="X515" s="568"/>
      <c r="Y515" s="568"/>
      <c r="Z515" s="568"/>
    </row>
    <row r="516" spans="1:26" ht="18.75" hidden="1">
      <c r="A516" s="578"/>
      <c r="B516" s="580"/>
      <c r="C516" s="580"/>
      <c r="D516" s="580" t="s">
        <v>221</v>
      </c>
      <c r="E516" s="684"/>
      <c r="F516" s="684"/>
      <c r="G516" s="581"/>
      <c r="H516" s="619" t="s">
        <v>109</v>
      </c>
      <c r="I516" s="583"/>
      <c r="J516" s="583">
        <v>0</v>
      </c>
      <c r="K516" s="167">
        <f t="shared" ref="K516:K517" si="223">IF(I516&gt;0,J516*100/I516,0)</f>
        <v>0</v>
      </c>
      <c r="L516" s="167"/>
      <c r="M516" s="167"/>
      <c r="N516" s="167"/>
      <c r="O516" s="167"/>
      <c r="P516" s="167"/>
      <c r="Q516" s="568"/>
      <c r="R516" s="568"/>
      <c r="S516" s="568"/>
      <c r="T516" s="568"/>
      <c r="U516" s="568"/>
      <c r="V516" s="568"/>
      <c r="W516" s="568"/>
      <c r="X516" s="568"/>
      <c r="Y516" s="568"/>
      <c r="Z516" s="568"/>
    </row>
    <row r="517" spans="1:26" ht="19.5" hidden="1">
      <c r="A517" s="578"/>
      <c r="B517" s="580"/>
      <c r="C517" s="580"/>
      <c r="D517" s="580" t="s">
        <v>222</v>
      </c>
      <c r="E517" s="684"/>
      <c r="F517" s="684"/>
      <c r="G517" s="581"/>
      <c r="H517" s="620" t="s">
        <v>35</v>
      </c>
      <c r="I517" s="621"/>
      <c r="J517" s="621">
        <f>J518+J519</f>
        <v>0</v>
      </c>
      <c r="K517" s="622">
        <f t="shared" si="223"/>
        <v>0</v>
      </c>
      <c r="L517" s="167"/>
      <c r="M517" s="167"/>
      <c r="N517" s="167"/>
      <c r="O517" s="167"/>
      <c r="P517" s="167"/>
      <c r="Q517" s="568"/>
      <c r="R517" s="568"/>
      <c r="S517" s="568"/>
      <c r="T517" s="568"/>
      <c r="U517" s="568"/>
      <c r="V517" s="568"/>
      <c r="W517" s="568"/>
      <c r="X517" s="568"/>
      <c r="Y517" s="568"/>
      <c r="Z517" s="568"/>
    </row>
    <row r="518" spans="1:26" ht="18.75" hidden="1">
      <c r="A518" s="578"/>
      <c r="B518" s="580"/>
      <c r="C518" s="580"/>
      <c r="D518" s="580"/>
      <c r="E518" s="580" t="s">
        <v>223</v>
      </c>
      <c r="F518" s="684"/>
      <c r="G518" s="581"/>
      <c r="H518" s="582" t="s">
        <v>35</v>
      </c>
      <c r="I518" s="583"/>
      <c r="J518" s="583"/>
      <c r="K518" s="167"/>
      <c r="L518" s="167"/>
      <c r="M518" s="167"/>
      <c r="N518" s="167"/>
      <c r="O518" s="167"/>
      <c r="P518" s="167"/>
      <c r="Q518" s="568"/>
      <c r="R518" s="568"/>
      <c r="S518" s="568"/>
      <c r="T518" s="568"/>
      <c r="U518" s="568"/>
      <c r="V518" s="568"/>
      <c r="W518" s="568"/>
      <c r="X518" s="568"/>
      <c r="Y518" s="568"/>
      <c r="Z518" s="568"/>
    </row>
    <row r="519" spans="1:26" ht="18.75" hidden="1">
      <c r="A519" s="578"/>
      <c r="B519" s="580"/>
      <c r="C519" s="580"/>
      <c r="D519" s="580"/>
      <c r="E519" s="580" t="s">
        <v>224</v>
      </c>
      <c r="F519" s="684"/>
      <c r="G519" s="581"/>
      <c r="H519" s="619" t="s">
        <v>35</v>
      </c>
      <c r="I519" s="583"/>
      <c r="J519" s="583"/>
      <c r="K519" s="167"/>
      <c r="L519" s="167"/>
      <c r="M519" s="167"/>
      <c r="N519" s="167"/>
      <c r="O519" s="167"/>
      <c r="P519" s="167"/>
      <c r="Q519" s="568"/>
      <c r="R519" s="568"/>
      <c r="S519" s="568"/>
      <c r="T519" s="568"/>
      <c r="U519" s="568"/>
      <c r="V519" s="568"/>
      <c r="W519" s="568"/>
      <c r="X519" s="568"/>
      <c r="Y519" s="568"/>
      <c r="Z519" s="568"/>
    </row>
    <row r="520" spans="1:26" ht="19.5">
      <c r="A520" s="623" t="s">
        <v>137</v>
      </c>
      <c r="B520" s="624"/>
      <c r="C520" s="624"/>
      <c r="D520" s="625"/>
      <c r="E520" s="625"/>
      <c r="F520" s="625"/>
      <c r="G520" s="626"/>
      <c r="H520" s="627"/>
      <c r="I520" s="628"/>
      <c r="J520" s="628"/>
      <c r="K520" s="629"/>
      <c r="L520" s="629"/>
      <c r="M520" s="629"/>
      <c r="N520" s="629"/>
      <c r="O520" s="629"/>
      <c r="P520" s="629"/>
    </row>
    <row r="521" spans="1:26" ht="19.5" hidden="1">
      <c r="A521" s="630">
        <v>5</v>
      </c>
      <c r="B521" s="631" t="s">
        <v>225</v>
      </c>
      <c r="C521" s="632"/>
      <c r="D521" s="633"/>
      <c r="E521" s="633"/>
      <c r="F521" s="633"/>
      <c r="G521" s="633"/>
      <c r="H521" s="634"/>
      <c r="I521" s="635"/>
      <c r="J521" s="635"/>
      <c r="K521" s="636"/>
      <c r="L521" s="636"/>
      <c r="M521" s="636"/>
      <c r="N521" s="636"/>
      <c r="O521" s="636"/>
      <c r="P521" s="636"/>
      <c r="Q521" s="541"/>
      <c r="R521" s="541"/>
      <c r="S521" s="541"/>
      <c r="T521" s="541"/>
      <c r="U521" s="541"/>
      <c r="V521" s="541"/>
      <c r="W521" s="541"/>
      <c r="X521" s="541"/>
      <c r="Y521" s="541"/>
      <c r="Z521" s="541"/>
    </row>
    <row r="522" spans="1:26" ht="19.5" hidden="1">
      <c r="A522" s="637"/>
      <c r="B522" s="638" t="s">
        <v>226</v>
      </c>
      <c r="C522" s="639"/>
      <c r="D522" s="639"/>
      <c r="E522" s="639"/>
      <c r="F522" s="639"/>
      <c r="G522" s="640"/>
      <c r="H522" s="641" t="s">
        <v>35</v>
      </c>
      <c r="I522" s="672">
        <f t="shared" ref="I522:J522" ca="1" si="224">I537</f>
        <v>0</v>
      </c>
      <c r="J522" s="672">
        <f t="shared" ca="1" si="224"/>
        <v>0</v>
      </c>
      <c r="K522" s="643">
        <f ca="1">IF(I522&gt;0,J522*100/I522,0)</f>
        <v>0</v>
      </c>
      <c r="L522" s="644"/>
      <c r="M522" s="644"/>
      <c r="N522" s="644"/>
      <c r="O522" s="644"/>
      <c r="P522" s="644"/>
      <c r="Q522" s="541"/>
      <c r="R522" s="541"/>
      <c r="S522" s="541"/>
      <c r="T522" s="541"/>
      <c r="U522" s="541"/>
      <c r="V522" s="541"/>
      <c r="W522" s="541"/>
      <c r="X522" s="541"/>
      <c r="Y522" s="541"/>
      <c r="Z522" s="541"/>
    </row>
    <row r="523" spans="1:26" ht="19.5" hidden="1">
      <c r="A523" s="561"/>
      <c r="B523" s="727"/>
      <c r="C523" s="727" t="s">
        <v>16</v>
      </c>
      <c r="D523" s="811" t="s">
        <v>17</v>
      </c>
      <c r="E523" s="805"/>
      <c r="F523" s="805"/>
      <c r="G523" s="189"/>
      <c r="H523" s="562" t="s">
        <v>12</v>
      </c>
      <c r="I523" s="269"/>
      <c r="J523" s="269"/>
      <c r="K523" s="465"/>
      <c r="L523" s="195">
        <f t="shared" ref="L523:N523" ca="1" si="225">L524+L525</f>
        <v>0</v>
      </c>
      <c r="M523" s="195">
        <f t="shared" si="225"/>
        <v>0</v>
      </c>
      <c r="N523" s="195">
        <f t="shared" si="225"/>
        <v>0</v>
      </c>
      <c r="O523" s="195">
        <f t="shared" ref="O523:O528" ca="1" si="226">IF(L523&gt;0,N523*100/L523,0)</f>
        <v>0</v>
      </c>
      <c r="P523" s="195">
        <f t="shared" ref="P523:P528" si="227">IF(M523&gt;0,N523*100/M523,0)</f>
        <v>0</v>
      </c>
      <c r="Q523" s="541"/>
      <c r="R523" s="541"/>
      <c r="S523" s="541"/>
      <c r="T523" s="541"/>
      <c r="U523" s="541"/>
      <c r="V523" s="541"/>
      <c r="W523" s="541"/>
      <c r="X523" s="541"/>
      <c r="Y523" s="541"/>
      <c r="Z523" s="541"/>
    </row>
    <row r="524" spans="1:26" ht="18.75" hidden="1">
      <c r="A524" s="563"/>
      <c r="B524" s="723"/>
      <c r="C524" s="723"/>
      <c r="D524" s="684"/>
      <c r="E524" s="723" t="s">
        <v>184</v>
      </c>
      <c r="F524" s="723"/>
      <c r="G524" s="567"/>
      <c r="H524" s="165" t="s">
        <v>12</v>
      </c>
      <c r="I524" s="583"/>
      <c r="J524" s="583"/>
      <c r="K524" s="93"/>
      <c r="L524" s="93">
        <f t="shared" ref="L524:N525" si="228">L527+L534</f>
        <v>0</v>
      </c>
      <c r="M524" s="93">
        <f t="shared" si="228"/>
        <v>0</v>
      </c>
      <c r="N524" s="93">
        <f t="shared" si="228"/>
        <v>0</v>
      </c>
      <c r="O524" s="93">
        <f t="shared" si="226"/>
        <v>0</v>
      </c>
      <c r="P524" s="93">
        <f t="shared" si="227"/>
        <v>0</v>
      </c>
      <c r="Q524" s="568"/>
      <c r="R524" s="568"/>
      <c r="S524" s="568"/>
      <c r="T524" s="568"/>
      <c r="U524" s="568"/>
      <c r="V524" s="568"/>
      <c r="W524" s="568"/>
      <c r="X524" s="568"/>
      <c r="Y524" s="568"/>
      <c r="Z524" s="568"/>
    </row>
    <row r="525" spans="1:26" ht="18.75" hidden="1">
      <c r="A525" s="563"/>
      <c r="B525" s="571"/>
      <c r="C525" s="723"/>
      <c r="D525" s="684"/>
      <c r="E525" s="723" t="s">
        <v>185</v>
      </c>
      <c r="F525" s="723"/>
      <c r="G525" s="567"/>
      <c r="H525" s="165" t="s">
        <v>12</v>
      </c>
      <c r="I525" s="583"/>
      <c r="J525" s="583"/>
      <c r="K525" s="93"/>
      <c r="L525" s="93">
        <f t="shared" ca="1" si="228"/>
        <v>0</v>
      </c>
      <c r="M525" s="93">
        <f t="shared" si="228"/>
        <v>0</v>
      </c>
      <c r="N525" s="93">
        <f t="shared" si="228"/>
        <v>0</v>
      </c>
      <c r="O525" s="93">
        <f t="shared" ca="1" si="226"/>
        <v>0</v>
      </c>
      <c r="P525" s="93">
        <f t="shared" si="227"/>
        <v>0</v>
      </c>
      <c r="Q525" s="568"/>
      <c r="R525" s="568"/>
      <c r="S525" s="568"/>
      <c r="T525" s="568"/>
      <c r="U525" s="568"/>
      <c r="V525" s="568"/>
      <c r="W525" s="568"/>
      <c r="X525" s="568"/>
      <c r="Y525" s="568"/>
      <c r="Z525" s="568"/>
    </row>
    <row r="526" spans="1:26" ht="18.75" hidden="1">
      <c r="A526" s="561"/>
      <c r="B526" s="538"/>
      <c r="C526" s="727"/>
      <c r="D526" s="570" t="s">
        <v>20</v>
      </c>
      <c r="E526" s="727"/>
      <c r="F526" s="727"/>
      <c r="G526" s="189"/>
      <c r="H526" s="161" t="s">
        <v>12</v>
      </c>
      <c r="I526" s="184"/>
      <c r="J526" s="184"/>
      <c r="K526" s="163"/>
      <c r="L526" s="465">
        <f t="shared" ref="L526:N526" ca="1" si="229">L527+L528</f>
        <v>0</v>
      </c>
      <c r="M526" s="465">
        <f t="shared" si="229"/>
        <v>0</v>
      </c>
      <c r="N526" s="465">
        <f t="shared" si="229"/>
        <v>0</v>
      </c>
      <c r="O526" s="465">
        <f t="shared" ca="1" si="226"/>
        <v>0</v>
      </c>
      <c r="P526" s="465">
        <f t="shared" si="227"/>
        <v>0</v>
      </c>
      <c r="Q526" s="541"/>
      <c r="R526" s="541"/>
      <c r="S526" s="541"/>
      <c r="T526" s="541"/>
      <c r="U526" s="541"/>
      <c r="V526" s="541"/>
      <c r="W526" s="541"/>
      <c r="X526" s="541"/>
      <c r="Y526" s="541"/>
      <c r="Z526" s="541"/>
    </row>
    <row r="527" spans="1:26" ht="18.75" hidden="1">
      <c r="A527" s="563"/>
      <c r="B527" s="571"/>
      <c r="C527" s="723"/>
      <c r="D527" s="684"/>
      <c r="E527" s="723" t="s">
        <v>184</v>
      </c>
      <c r="F527" s="723"/>
      <c r="G527" s="567"/>
      <c r="H527" s="165" t="s">
        <v>12</v>
      </c>
      <c r="I527" s="583"/>
      <c r="J527" s="583"/>
      <c r="K527" s="93"/>
      <c r="L527" s="93">
        <v>0</v>
      </c>
      <c r="M527" s="93">
        <v>0</v>
      </c>
      <c r="N527" s="93">
        <v>0</v>
      </c>
      <c r="O527" s="93">
        <f t="shared" si="226"/>
        <v>0</v>
      </c>
      <c r="P527" s="93">
        <f t="shared" si="227"/>
        <v>0</v>
      </c>
      <c r="Q527" s="568"/>
      <c r="R527" s="568"/>
      <c r="S527" s="568"/>
      <c r="T527" s="568"/>
      <c r="U527" s="568"/>
      <c r="V527" s="568"/>
      <c r="W527" s="568"/>
      <c r="X527" s="568"/>
      <c r="Y527" s="568"/>
      <c r="Z527" s="568"/>
    </row>
    <row r="528" spans="1:26" ht="18.75" hidden="1">
      <c r="A528" s="563"/>
      <c r="B528" s="571"/>
      <c r="C528" s="723"/>
      <c r="D528" s="684"/>
      <c r="E528" s="723" t="s">
        <v>185</v>
      </c>
      <c r="F528" s="723"/>
      <c r="G528" s="567"/>
      <c r="H528" s="165" t="s">
        <v>12</v>
      </c>
      <c r="I528" s="583"/>
      <c r="J528" s="583"/>
      <c r="K528" s="93"/>
      <c r="L528" s="93">
        <f ca="1">IFERROR(__xludf.DUMMYFUNCTION("IMPORTRANGE(""https://docs.google.com/spreadsheets/d/1QqKyyYR6Q21VydFLVH3TRQUabQu_ym0Zz7PgGX0-kHA/edit?usp=sharing"",""แผน!GQ21"")"),0)</f>
        <v>0</v>
      </c>
      <c r="M528" s="93">
        <v>0</v>
      </c>
      <c r="N528" s="93">
        <f>N529+N530+N531+N532</f>
        <v>0</v>
      </c>
      <c r="O528" s="93">
        <f t="shared" ca="1" si="226"/>
        <v>0</v>
      </c>
      <c r="P528" s="93">
        <f t="shared" si="227"/>
        <v>0</v>
      </c>
      <c r="Q528" s="568"/>
      <c r="R528" s="568"/>
      <c r="S528" s="568"/>
      <c r="T528" s="568"/>
      <c r="U528" s="568"/>
      <c r="V528" s="568"/>
      <c r="W528" s="568"/>
      <c r="X528" s="568"/>
      <c r="Y528" s="568"/>
      <c r="Z528" s="568"/>
    </row>
    <row r="529" spans="1:26" ht="18.75" hidden="1">
      <c r="A529" s="537"/>
      <c r="B529" s="538"/>
      <c r="C529" s="727"/>
      <c r="D529" s="727"/>
      <c r="E529" s="727"/>
      <c r="F529" s="727" t="s">
        <v>186</v>
      </c>
      <c r="G529" s="189"/>
      <c r="H529" s="161" t="s">
        <v>12</v>
      </c>
      <c r="I529" s="269"/>
      <c r="J529" s="269"/>
      <c r="K529" s="465"/>
      <c r="L529" s="465"/>
      <c r="M529" s="465"/>
      <c r="N529" s="789">
        <v>0</v>
      </c>
      <c r="O529" s="465"/>
      <c r="P529" s="465"/>
      <c r="Q529" s="541"/>
      <c r="R529" s="541"/>
      <c r="S529" s="541"/>
      <c r="T529" s="541"/>
      <c r="U529" s="541"/>
      <c r="V529" s="541"/>
      <c r="W529" s="541"/>
      <c r="X529" s="541"/>
      <c r="Y529" s="541"/>
      <c r="Z529" s="541"/>
    </row>
    <row r="530" spans="1:26" ht="18.75" hidden="1">
      <c r="A530" s="537"/>
      <c r="B530" s="538"/>
      <c r="C530" s="727"/>
      <c r="D530" s="727"/>
      <c r="E530" s="727"/>
      <c r="F530" s="727" t="s">
        <v>187</v>
      </c>
      <c r="G530" s="189"/>
      <c r="H530" s="161" t="s">
        <v>12</v>
      </c>
      <c r="I530" s="269"/>
      <c r="J530" s="269"/>
      <c r="K530" s="465"/>
      <c r="L530" s="465"/>
      <c r="M530" s="465"/>
      <c r="N530" s="789">
        <v>0</v>
      </c>
      <c r="O530" s="465"/>
      <c r="P530" s="465"/>
      <c r="Q530" s="541"/>
      <c r="R530" s="541"/>
      <c r="S530" s="541"/>
      <c r="T530" s="541"/>
      <c r="U530" s="541"/>
      <c r="V530" s="541"/>
      <c r="W530" s="541"/>
      <c r="X530" s="541"/>
      <c r="Y530" s="541"/>
      <c r="Z530" s="541"/>
    </row>
    <row r="531" spans="1:26" ht="18.75" hidden="1">
      <c r="A531" s="537"/>
      <c r="B531" s="538"/>
      <c r="C531" s="727"/>
      <c r="D531" s="727"/>
      <c r="E531" s="727"/>
      <c r="F531" s="727" t="s">
        <v>188</v>
      </c>
      <c r="G531" s="189"/>
      <c r="H531" s="161" t="s">
        <v>12</v>
      </c>
      <c r="I531" s="269"/>
      <c r="J531" s="269"/>
      <c r="K531" s="465"/>
      <c r="L531" s="465"/>
      <c r="M531" s="465"/>
      <c r="N531" s="789">
        <v>0</v>
      </c>
      <c r="O531" s="465"/>
      <c r="P531" s="465"/>
      <c r="Q531" s="541"/>
      <c r="R531" s="541"/>
      <c r="S531" s="541"/>
      <c r="T531" s="541"/>
      <c r="U531" s="541"/>
      <c r="V531" s="541"/>
      <c r="W531" s="541"/>
      <c r="X531" s="541"/>
      <c r="Y531" s="541"/>
      <c r="Z531" s="541"/>
    </row>
    <row r="532" spans="1:26" ht="18.75" hidden="1">
      <c r="A532" s="537"/>
      <c r="B532" s="538"/>
      <c r="C532" s="727"/>
      <c r="D532" s="727"/>
      <c r="E532" s="727"/>
      <c r="F532" s="727" t="s">
        <v>189</v>
      </c>
      <c r="G532" s="189"/>
      <c r="H532" s="161" t="s">
        <v>12</v>
      </c>
      <c r="I532" s="269"/>
      <c r="J532" s="269"/>
      <c r="K532" s="465"/>
      <c r="L532" s="465"/>
      <c r="M532" s="465"/>
      <c r="N532" s="789">
        <v>0</v>
      </c>
      <c r="O532" s="465"/>
      <c r="P532" s="465"/>
      <c r="Q532" s="541"/>
      <c r="R532" s="541"/>
      <c r="S532" s="541"/>
      <c r="T532" s="541"/>
      <c r="U532" s="541"/>
      <c r="V532" s="541"/>
      <c r="W532" s="541"/>
      <c r="X532" s="541"/>
      <c r="Y532" s="541"/>
      <c r="Z532" s="541"/>
    </row>
    <row r="533" spans="1:26" ht="18.75" hidden="1">
      <c r="A533" s="561"/>
      <c r="B533" s="538"/>
      <c r="C533" s="727"/>
      <c r="D533" s="570" t="s">
        <v>21</v>
      </c>
      <c r="E533" s="727"/>
      <c r="F533" s="727"/>
      <c r="G533" s="189"/>
      <c r="H533" s="168" t="s">
        <v>12</v>
      </c>
      <c r="I533" s="184"/>
      <c r="J533" s="184"/>
      <c r="K533" s="163"/>
      <c r="L533" s="465">
        <f t="shared" ref="L533:N533" ca="1" si="230">L534+L535</f>
        <v>0</v>
      </c>
      <c r="M533" s="465">
        <f t="shared" si="230"/>
        <v>0</v>
      </c>
      <c r="N533" s="465">
        <f t="shared" si="230"/>
        <v>0</v>
      </c>
      <c r="O533" s="465">
        <f t="shared" ref="O533:O535" ca="1" si="231">IF(L533&gt;0,N533*100/L533,0)</f>
        <v>0</v>
      </c>
      <c r="P533" s="465">
        <f t="shared" ref="P533:P535" si="232">IF(M533&gt;0,N533*100/M533,0)</f>
        <v>0</v>
      </c>
      <c r="Q533" s="541"/>
      <c r="R533" s="541"/>
      <c r="S533" s="541"/>
      <c r="T533" s="541"/>
      <c r="U533" s="541"/>
      <c r="V533" s="541"/>
      <c r="W533" s="541"/>
      <c r="X533" s="541"/>
      <c r="Y533" s="541"/>
      <c r="Z533" s="541"/>
    </row>
    <row r="534" spans="1:26" ht="18.75" hidden="1">
      <c r="A534" s="563"/>
      <c r="B534" s="571"/>
      <c r="C534" s="723"/>
      <c r="D534" s="723"/>
      <c r="E534" s="723" t="s">
        <v>18</v>
      </c>
      <c r="F534" s="723"/>
      <c r="G534" s="567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1"/>
        <v>0</v>
      </c>
      <c r="P534" s="93">
        <f t="shared" si="232"/>
        <v>0</v>
      </c>
      <c r="Q534" s="568"/>
      <c r="R534" s="568"/>
      <c r="S534" s="568"/>
      <c r="T534" s="568"/>
      <c r="U534" s="568"/>
      <c r="V534" s="568"/>
      <c r="W534" s="568"/>
      <c r="X534" s="568"/>
      <c r="Y534" s="568"/>
      <c r="Z534" s="568"/>
    </row>
    <row r="535" spans="1:26" ht="18.75" hidden="1">
      <c r="A535" s="563"/>
      <c r="B535" s="571"/>
      <c r="C535" s="723"/>
      <c r="D535" s="723"/>
      <c r="E535" s="723" t="s">
        <v>19</v>
      </c>
      <c r="F535" s="723"/>
      <c r="G535" s="567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IFERROR(__xludf.DUMMYFUNCTION("IMPORTRANGE(""https://docs.google.com/spreadsheets/d/1QqKyyYR6Q21VydFLVH3TRQUabQu_ym0Zz7PgGX0-kHA/edit?usp=sharing"",""แผน!GT21"")"),0)</f>
        <v>0</v>
      </c>
      <c r="M535" s="93">
        <v>0</v>
      </c>
      <c r="N535" s="93">
        <v>0</v>
      </c>
      <c r="O535" s="93">
        <f t="shared" ca="1" si="231"/>
        <v>0</v>
      </c>
      <c r="P535" s="93">
        <f t="shared" si="232"/>
        <v>0</v>
      </c>
      <c r="Q535" s="568"/>
      <c r="R535" s="568"/>
      <c r="S535" s="568"/>
      <c r="T535" s="568"/>
      <c r="U535" s="568"/>
      <c r="V535" s="568"/>
      <c r="W535" s="568"/>
      <c r="X535" s="568"/>
      <c r="Y535" s="568"/>
      <c r="Z535" s="568"/>
    </row>
    <row r="536" spans="1:26" ht="19.5" hidden="1">
      <c r="A536" s="572"/>
      <c r="B536" s="584"/>
      <c r="C536" s="727" t="s">
        <v>16</v>
      </c>
      <c r="D536" s="853" t="s">
        <v>38</v>
      </c>
      <c r="E536" s="725"/>
      <c r="F536" s="725"/>
      <c r="G536" s="577"/>
      <c r="H536" s="726"/>
      <c r="I536" s="184"/>
      <c r="J536" s="184"/>
      <c r="K536" s="163"/>
      <c r="L536" s="163"/>
      <c r="M536" s="163"/>
      <c r="N536" s="163"/>
      <c r="O536" s="163"/>
      <c r="P536" s="163"/>
      <c r="Q536" s="541"/>
      <c r="R536" s="541"/>
      <c r="S536" s="541"/>
      <c r="T536" s="541"/>
      <c r="U536" s="541"/>
      <c r="V536" s="541"/>
      <c r="W536" s="541"/>
      <c r="X536" s="541"/>
      <c r="Y536" s="541"/>
      <c r="Z536" s="541"/>
    </row>
    <row r="537" spans="1:26" ht="19.5" hidden="1">
      <c r="A537" s="537"/>
      <c r="B537" s="538"/>
      <c r="C537" s="727"/>
      <c r="D537" s="727" t="s">
        <v>227</v>
      </c>
      <c r="E537" s="727"/>
      <c r="F537" s="727"/>
      <c r="G537" s="189"/>
      <c r="H537" s="589" t="s">
        <v>35</v>
      </c>
      <c r="I537" s="647">
        <f ca="1">IFERROR(__xludf.DUMMYFUNCTION("IMPORTRANGE(""https://docs.google.com/spreadsheets/d/1QqKyyYR6Q21VydFLVH3TRQUabQu_ym0Zz7PgGX0-kHA/edit?usp=sharing"",""แผน!GU21"")"),0)</f>
        <v>0</v>
      </c>
      <c r="J537" s="647">
        <f ca="1">IF(AND(J538=I538,J539=I539,J540=I540,J541=I541),I537,0)</f>
        <v>0</v>
      </c>
      <c r="K537" s="465">
        <f t="shared" ref="K537:K543" ca="1" si="233">IF(I537&gt;0,J537*100/I537,0)</f>
        <v>0</v>
      </c>
      <c r="L537" s="465"/>
      <c r="M537" s="465"/>
      <c r="N537" s="465"/>
      <c r="O537" s="465"/>
      <c r="P537" s="465"/>
      <c r="Q537" s="648"/>
      <c r="R537" s="648"/>
      <c r="S537" s="648"/>
      <c r="T537" s="648"/>
      <c r="U537" s="648"/>
      <c r="V537" s="648"/>
      <c r="W537" s="648"/>
      <c r="X537" s="648"/>
      <c r="Y537" s="648"/>
      <c r="Z537" s="648"/>
    </row>
    <row r="538" spans="1:26" ht="18.75" hidden="1">
      <c r="A538" s="537"/>
      <c r="B538" s="538"/>
      <c r="C538" s="727"/>
      <c r="D538" s="727"/>
      <c r="E538" s="727" t="s">
        <v>228</v>
      </c>
      <c r="F538" s="727"/>
      <c r="G538" s="189"/>
      <c r="H538" s="589" t="s">
        <v>35</v>
      </c>
      <c r="I538" s="269">
        <f ca="1">IFERROR(__xludf.DUMMYFUNCTION("IMPORTRANGE(""https://docs.google.com/spreadsheets/d/1QqKyyYR6Q21VydFLVH3TRQUabQu_ym0Zz7PgGX0-kHA/edit?usp=sharing"",""แผน!GV21"")"),0)</f>
        <v>0</v>
      </c>
      <c r="J538" s="214">
        <v>0</v>
      </c>
      <c r="K538" s="465">
        <f t="shared" ca="1" si="233"/>
        <v>0</v>
      </c>
      <c r="L538" s="465"/>
      <c r="M538" s="465"/>
      <c r="N538" s="465"/>
      <c r="O538" s="465"/>
      <c r="P538" s="465"/>
      <c r="Q538" s="648"/>
      <c r="R538" s="648"/>
      <c r="S538" s="648"/>
      <c r="T538" s="648"/>
      <c r="U538" s="648"/>
      <c r="V538" s="648"/>
      <c r="W538" s="648"/>
      <c r="X538" s="648"/>
      <c r="Y538" s="648"/>
      <c r="Z538" s="648"/>
    </row>
    <row r="539" spans="1:26" ht="18.75" hidden="1">
      <c r="A539" s="537"/>
      <c r="B539" s="538"/>
      <c r="C539" s="727"/>
      <c r="D539" s="727"/>
      <c r="E539" s="727" t="s">
        <v>229</v>
      </c>
      <c r="F539" s="727"/>
      <c r="G539" s="189"/>
      <c r="H539" s="589" t="s">
        <v>35</v>
      </c>
      <c r="I539" s="269">
        <f ca="1">IFERROR(__xludf.DUMMYFUNCTION("IMPORTRANGE(""https://docs.google.com/spreadsheets/d/1QqKyyYR6Q21VydFLVH3TRQUabQu_ym0Zz7PgGX0-kHA/edit?usp=sharing"",""แผน!GW21"")"),0)</f>
        <v>0</v>
      </c>
      <c r="J539" s="214">
        <v>0</v>
      </c>
      <c r="K539" s="465">
        <f t="shared" ca="1" si="233"/>
        <v>0</v>
      </c>
      <c r="L539" s="465"/>
      <c r="M539" s="465"/>
      <c r="N539" s="465"/>
      <c r="O539" s="465"/>
      <c r="P539" s="465"/>
      <c r="Q539" s="648"/>
      <c r="R539" s="648"/>
      <c r="S539" s="648"/>
      <c r="T539" s="648"/>
      <c r="U539" s="648"/>
      <c r="V539" s="648"/>
      <c r="W539" s="648"/>
      <c r="X539" s="648"/>
      <c r="Y539" s="648"/>
      <c r="Z539" s="648"/>
    </row>
    <row r="540" spans="1:26" ht="18.75" hidden="1">
      <c r="A540" s="537"/>
      <c r="B540" s="538"/>
      <c r="C540" s="727"/>
      <c r="D540" s="727"/>
      <c r="E540" s="727" t="s">
        <v>230</v>
      </c>
      <c r="F540" s="727"/>
      <c r="G540" s="189"/>
      <c r="H540" s="589" t="s">
        <v>35</v>
      </c>
      <c r="I540" s="269">
        <f ca="1">IFERROR(__xludf.DUMMYFUNCTION("IMPORTRANGE(""https://docs.google.com/spreadsheets/d/1QqKyyYR6Q21VydFLVH3TRQUabQu_ym0Zz7PgGX0-kHA/edit?usp=sharing"",""แผน!GX21"")"),0)</f>
        <v>0</v>
      </c>
      <c r="J540" s="214">
        <v>0</v>
      </c>
      <c r="K540" s="465">
        <f t="shared" ca="1" si="233"/>
        <v>0</v>
      </c>
      <c r="L540" s="465"/>
      <c r="M540" s="465"/>
      <c r="N540" s="465"/>
      <c r="O540" s="465"/>
      <c r="P540" s="465"/>
      <c r="Q540" s="648"/>
      <c r="R540" s="648"/>
      <c r="S540" s="648"/>
      <c r="T540" s="648"/>
      <c r="U540" s="648"/>
      <c r="V540" s="648"/>
      <c r="W540" s="648"/>
      <c r="X540" s="648"/>
      <c r="Y540" s="648"/>
      <c r="Z540" s="648"/>
    </row>
    <row r="541" spans="1:26" ht="18.75" hidden="1">
      <c r="A541" s="537"/>
      <c r="B541" s="538"/>
      <c r="C541" s="727"/>
      <c r="D541" s="727"/>
      <c r="E541" s="733" t="s">
        <v>231</v>
      </c>
      <c r="F541" s="727"/>
      <c r="G541" s="189"/>
      <c r="H541" s="589" t="s">
        <v>35</v>
      </c>
      <c r="I541" s="269">
        <f ca="1">IFERROR(__xludf.DUMMYFUNCTION("IMPORTRANGE(""https://docs.google.com/spreadsheets/d/1QqKyyYR6Q21VydFLVH3TRQUabQu_ym0Zz7PgGX0-kHA/edit?usp=sharing"",""แผน!GY21"")"),0)</f>
        <v>0</v>
      </c>
      <c r="J541" s="214">
        <v>0</v>
      </c>
      <c r="K541" s="465">
        <f t="shared" ca="1" si="233"/>
        <v>0</v>
      </c>
      <c r="L541" s="465"/>
      <c r="M541" s="465"/>
      <c r="N541" s="465"/>
      <c r="O541" s="465"/>
      <c r="P541" s="465"/>
      <c r="Q541" s="648"/>
      <c r="R541" s="648"/>
      <c r="S541" s="648"/>
      <c r="T541" s="648"/>
      <c r="U541" s="648"/>
      <c r="V541" s="648"/>
      <c r="W541" s="648"/>
      <c r="X541" s="648"/>
      <c r="Y541" s="648"/>
      <c r="Z541" s="648"/>
    </row>
    <row r="542" spans="1:26" ht="18.75" hidden="1">
      <c r="A542" s="537"/>
      <c r="B542" s="538"/>
      <c r="C542" s="727"/>
      <c r="D542" s="727" t="s">
        <v>59</v>
      </c>
      <c r="E542" s="727"/>
      <c r="F542" s="727"/>
      <c r="G542" s="189"/>
      <c r="H542" s="589" t="s">
        <v>35</v>
      </c>
      <c r="I542" s="269">
        <f ca="1">IFERROR(__xludf.DUMMYFUNCTION("IMPORTRANGE(""https://docs.google.com/spreadsheets/d/1QqKyyYR6Q21VydFLVH3TRQUabQu_ym0Zz7PgGX0-kHA/edit?usp=sharing"",""แผน!GZ21"")"),0)</f>
        <v>0</v>
      </c>
      <c r="J542" s="214">
        <v>0</v>
      </c>
      <c r="K542" s="465">
        <f t="shared" ca="1" si="233"/>
        <v>0</v>
      </c>
      <c r="L542" s="465"/>
      <c r="M542" s="465"/>
      <c r="N542" s="465"/>
      <c r="O542" s="465"/>
      <c r="P542" s="465"/>
      <c r="Q542" s="648"/>
      <c r="R542" s="648"/>
      <c r="S542" s="648"/>
      <c r="T542" s="648"/>
      <c r="U542" s="648"/>
      <c r="V542" s="648"/>
      <c r="W542" s="648"/>
      <c r="X542" s="648"/>
      <c r="Y542" s="648"/>
      <c r="Z542" s="648"/>
    </row>
    <row r="543" spans="1:26" ht="19.5">
      <c r="A543" s="630">
        <v>6</v>
      </c>
      <c r="B543" s="651" t="s">
        <v>232</v>
      </c>
      <c r="C543" s="633"/>
      <c r="D543" s="633"/>
      <c r="E543" s="633"/>
      <c r="F543" s="633"/>
      <c r="G543" s="634"/>
      <c r="H543" s="652" t="s">
        <v>46</v>
      </c>
      <c r="I543" s="653">
        <f t="shared" ref="I543:J543" ca="1" si="234">I559</f>
        <v>2373</v>
      </c>
      <c r="J543" s="653">
        <f t="shared" si="234"/>
        <v>0</v>
      </c>
      <c r="K543" s="654">
        <f t="shared" ca="1" si="233"/>
        <v>0</v>
      </c>
      <c r="L543" s="636"/>
      <c r="M543" s="636"/>
      <c r="N543" s="636"/>
      <c r="O543" s="636"/>
      <c r="P543" s="636"/>
      <c r="Q543" s="541"/>
      <c r="R543" s="541"/>
      <c r="S543" s="541"/>
      <c r="T543" s="541"/>
      <c r="U543" s="541"/>
      <c r="V543" s="541"/>
      <c r="W543" s="541"/>
      <c r="X543" s="541"/>
      <c r="Y543" s="541"/>
      <c r="Z543" s="541"/>
    </row>
    <row r="544" spans="1:26" ht="19.5">
      <c r="A544" s="655"/>
      <c r="B544" s="656"/>
      <c r="C544" s="656" t="s">
        <v>16</v>
      </c>
      <c r="D544" s="854" t="s">
        <v>17</v>
      </c>
      <c r="E544" s="810"/>
      <c r="F544" s="810"/>
      <c r="G544" s="657"/>
      <c r="H544" s="274" t="s">
        <v>12</v>
      </c>
      <c r="I544" s="388"/>
      <c r="J544" s="388"/>
      <c r="K544" s="154"/>
      <c r="L544" s="155">
        <f t="shared" ref="L544:N544" ca="1" si="235">L545+L546</f>
        <v>348166</v>
      </c>
      <c r="M544" s="155">
        <f t="shared" si="235"/>
        <v>0</v>
      </c>
      <c r="N544" s="155">
        <f t="shared" si="235"/>
        <v>0</v>
      </c>
      <c r="O544" s="155">
        <f t="shared" ref="O544:O549" ca="1" si="236">IF(L544&gt;0,N544*100/L544,0)</f>
        <v>0</v>
      </c>
      <c r="P544" s="155">
        <f t="shared" ref="P544:P549" si="237">IF(M544&gt;0,N544*100/M544,0)</f>
        <v>0</v>
      </c>
      <c r="Q544" s="541"/>
      <c r="R544" s="541"/>
      <c r="S544" s="541"/>
      <c r="T544" s="541"/>
      <c r="U544" s="541"/>
      <c r="V544" s="541"/>
      <c r="W544" s="541"/>
      <c r="X544" s="541"/>
      <c r="Y544" s="541"/>
      <c r="Z544" s="541"/>
    </row>
    <row r="545" spans="1:26" ht="18.75" hidden="1">
      <c r="A545" s="563"/>
      <c r="B545" s="723"/>
      <c r="C545" s="723"/>
      <c r="D545" s="723"/>
      <c r="E545" s="723" t="s">
        <v>184</v>
      </c>
      <c r="F545" s="723"/>
      <c r="G545" s="567"/>
      <c r="H545" s="165" t="s">
        <v>12</v>
      </c>
      <c r="I545" s="583"/>
      <c r="J545" s="583"/>
      <c r="K545" s="93"/>
      <c r="L545" s="93">
        <f t="shared" ref="L545:L546" si="238">L548+L556</f>
        <v>0</v>
      </c>
      <c r="M545" s="93">
        <f t="shared" ref="M545:N546" si="239">M548+M555</f>
        <v>0</v>
      </c>
      <c r="N545" s="93">
        <f t="shared" si="239"/>
        <v>0</v>
      </c>
      <c r="O545" s="93">
        <f t="shared" si="236"/>
        <v>0</v>
      </c>
      <c r="P545" s="93">
        <f t="shared" si="237"/>
        <v>0</v>
      </c>
      <c r="Q545" s="568"/>
      <c r="R545" s="568"/>
      <c r="S545" s="568"/>
      <c r="T545" s="568"/>
      <c r="U545" s="568"/>
      <c r="V545" s="568"/>
      <c r="W545" s="568"/>
      <c r="X545" s="568"/>
      <c r="Y545" s="568"/>
      <c r="Z545" s="568"/>
    </row>
    <row r="546" spans="1:26" ht="18.75" hidden="1">
      <c r="A546" s="563"/>
      <c r="B546" s="571"/>
      <c r="C546" s="723"/>
      <c r="D546" s="723"/>
      <c r="E546" s="723" t="s">
        <v>185</v>
      </c>
      <c r="F546" s="723"/>
      <c r="G546" s="567"/>
      <c r="H546" s="165" t="s">
        <v>12</v>
      </c>
      <c r="I546" s="583"/>
      <c r="J546" s="583"/>
      <c r="K546" s="93"/>
      <c r="L546" s="93">
        <f t="shared" ca="1" si="238"/>
        <v>348166</v>
      </c>
      <c r="M546" s="93">
        <f t="shared" si="239"/>
        <v>0</v>
      </c>
      <c r="N546" s="93">
        <f t="shared" si="239"/>
        <v>0</v>
      </c>
      <c r="O546" s="93">
        <f t="shared" ca="1" si="236"/>
        <v>0</v>
      </c>
      <c r="P546" s="93">
        <f t="shared" si="237"/>
        <v>0</v>
      </c>
      <c r="Q546" s="568"/>
      <c r="R546" s="568"/>
      <c r="S546" s="568"/>
      <c r="T546" s="568"/>
      <c r="U546" s="568"/>
      <c r="V546" s="568"/>
      <c r="W546" s="568"/>
      <c r="X546" s="568"/>
      <c r="Y546" s="568"/>
      <c r="Z546" s="568"/>
    </row>
    <row r="547" spans="1:26" ht="18.75">
      <c r="A547" s="561"/>
      <c r="B547" s="538"/>
      <c r="C547" s="727"/>
      <c r="D547" s="570" t="s">
        <v>20</v>
      </c>
      <c r="E547" s="727"/>
      <c r="F547" s="727"/>
      <c r="G547" s="189"/>
      <c r="H547" s="161" t="s">
        <v>12</v>
      </c>
      <c r="I547" s="184"/>
      <c r="J547" s="184"/>
      <c r="K547" s="163"/>
      <c r="L547" s="465">
        <f t="shared" ref="L547:N547" ca="1" si="240">L548+L549</f>
        <v>348166</v>
      </c>
      <c r="M547" s="465">
        <f t="shared" si="240"/>
        <v>0</v>
      </c>
      <c r="N547" s="465">
        <f t="shared" si="240"/>
        <v>0</v>
      </c>
      <c r="O547" s="465">
        <f t="shared" ca="1" si="236"/>
        <v>0</v>
      </c>
      <c r="P547" s="465">
        <f t="shared" si="237"/>
        <v>0</v>
      </c>
      <c r="Q547" s="541"/>
      <c r="R547" s="541"/>
      <c r="S547" s="541"/>
      <c r="T547" s="541"/>
      <c r="U547" s="541"/>
      <c r="V547" s="541"/>
      <c r="W547" s="541"/>
      <c r="X547" s="541"/>
      <c r="Y547" s="541"/>
      <c r="Z547" s="541"/>
    </row>
    <row r="548" spans="1:26" ht="18.75" hidden="1">
      <c r="A548" s="563"/>
      <c r="B548" s="571"/>
      <c r="C548" s="723"/>
      <c r="D548" s="684"/>
      <c r="E548" s="723" t="s">
        <v>184</v>
      </c>
      <c r="F548" s="723"/>
      <c r="G548" s="567"/>
      <c r="H548" s="165" t="s">
        <v>12</v>
      </c>
      <c r="I548" s="583"/>
      <c r="J548" s="583"/>
      <c r="K548" s="93"/>
      <c r="L548" s="93">
        <v>0</v>
      </c>
      <c r="M548" s="93">
        <v>0</v>
      </c>
      <c r="N548" s="93">
        <v>0</v>
      </c>
      <c r="O548" s="93">
        <f t="shared" si="236"/>
        <v>0</v>
      </c>
      <c r="P548" s="93">
        <f t="shared" si="237"/>
        <v>0</v>
      </c>
      <c r="Q548" s="568"/>
      <c r="R548" s="568"/>
      <c r="S548" s="568"/>
      <c r="T548" s="568"/>
      <c r="U548" s="568"/>
      <c r="V548" s="568"/>
      <c r="W548" s="568"/>
      <c r="X548" s="568"/>
      <c r="Y548" s="568"/>
      <c r="Z548" s="568"/>
    </row>
    <row r="549" spans="1:26" ht="18.75" hidden="1">
      <c r="A549" s="563"/>
      <c r="B549" s="571"/>
      <c r="C549" s="723"/>
      <c r="D549" s="684"/>
      <c r="E549" s="723" t="s">
        <v>185</v>
      </c>
      <c r="F549" s="723"/>
      <c r="G549" s="567"/>
      <c r="H549" s="165" t="s">
        <v>12</v>
      </c>
      <c r="I549" s="583"/>
      <c r="J549" s="583"/>
      <c r="K549" s="93"/>
      <c r="L549" s="93">
        <f ca="1">IFERROR(__xludf.DUMMYFUNCTION("IMPORTRANGE(""https://docs.google.com/spreadsheets/d/1QqKyyYR6Q21VydFLVH3TRQUabQu_ym0Zz7PgGX0-kHA/edit?usp=sharing"",""แผน!HB21"")"),348166)</f>
        <v>348166</v>
      </c>
      <c r="M549" s="93">
        <v>0</v>
      </c>
      <c r="N549" s="93">
        <f>N550+N551+N552+N553+N554</f>
        <v>0</v>
      </c>
      <c r="O549" s="93">
        <f t="shared" ca="1" si="236"/>
        <v>0</v>
      </c>
      <c r="P549" s="93">
        <f t="shared" si="237"/>
        <v>0</v>
      </c>
      <c r="Q549" s="568"/>
      <c r="R549" s="568"/>
      <c r="S549" s="568"/>
      <c r="T549" s="568"/>
      <c r="U549" s="568"/>
      <c r="V549" s="568"/>
      <c r="W549" s="568"/>
      <c r="X549" s="568"/>
      <c r="Y549" s="568"/>
      <c r="Z549" s="568"/>
    </row>
    <row r="550" spans="1:26" ht="18.75">
      <c r="A550" s="537"/>
      <c r="B550" s="538"/>
      <c r="C550" s="727"/>
      <c r="D550" s="727"/>
      <c r="E550" s="727"/>
      <c r="F550" s="727" t="s">
        <v>186</v>
      </c>
      <c r="G550" s="189"/>
      <c r="H550" s="161" t="s">
        <v>12</v>
      </c>
      <c r="I550" s="269"/>
      <c r="J550" s="269"/>
      <c r="K550" s="465"/>
      <c r="L550" s="465"/>
      <c r="M550" s="465"/>
      <c r="N550" s="789">
        <v>0</v>
      </c>
      <c r="O550" s="465"/>
      <c r="P550" s="465"/>
      <c r="Q550" s="541"/>
      <c r="R550" s="541"/>
      <c r="S550" s="541"/>
      <c r="T550" s="541"/>
      <c r="U550" s="541"/>
      <c r="V550" s="541"/>
      <c r="W550" s="541"/>
      <c r="X550" s="541"/>
      <c r="Y550" s="541"/>
      <c r="Z550" s="541"/>
    </row>
    <row r="551" spans="1:26" ht="18.75">
      <c r="A551" s="537"/>
      <c r="B551" s="538"/>
      <c r="C551" s="538"/>
      <c r="D551" s="538"/>
      <c r="E551" s="727"/>
      <c r="F551" s="727" t="s">
        <v>187</v>
      </c>
      <c r="G551" s="189"/>
      <c r="H551" s="161" t="s">
        <v>12</v>
      </c>
      <c r="I551" s="269"/>
      <c r="J551" s="269"/>
      <c r="K551" s="465"/>
      <c r="L551" s="465"/>
      <c r="M551" s="465"/>
      <c r="N551" s="789">
        <v>0</v>
      </c>
      <c r="O551" s="465"/>
      <c r="P551" s="465"/>
      <c r="Q551" s="541"/>
      <c r="R551" s="541"/>
      <c r="S551" s="541"/>
      <c r="T551" s="541"/>
      <c r="U551" s="541"/>
      <c r="V551" s="541"/>
      <c r="W551" s="541"/>
      <c r="X551" s="541"/>
      <c r="Y551" s="541"/>
      <c r="Z551" s="541"/>
    </row>
    <row r="552" spans="1:26" ht="18.75">
      <c r="A552" s="537"/>
      <c r="B552" s="538"/>
      <c r="C552" s="727"/>
      <c r="D552" s="727"/>
      <c r="E552" s="727"/>
      <c r="F552" s="727" t="s">
        <v>188</v>
      </c>
      <c r="G552" s="189"/>
      <c r="H552" s="161" t="s">
        <v>12</v>
      </c>
      <c r="I552" s="269"/>
      <c r="J552" s="269"/>
      <c r="K552" s="465"/>
      <c r="L552" s="465"/>
      <c r="M552" s="465"/>
      <c r="N552" s="789">
        <v>0</v>
      </c>
      <c r="O552" s="465"/>
      <c r="P552" s="465"/>
      <c r="Q552" s="541"/>
      <c r="R552" s="541"/>
      <c r="S552" s="541"/>
      <c r="T552" s="541"/>
      <c r="U552" s="541"/>
      <c r="V552" s="541"/>
      <c r="W552" s="541"/>
      <c r="X552" s="541"/>
      <c r="Y552" s="541"/>
      <c r="Z552" s="541"/>
    </row>
    <row r="553" spans="1:26" ht="18.75">
      <c r="A553" s="537"/>
      <c r="B553" s="538"/>
      <c r="C553" s="538"/>
      <c r="D553" s="538"/>
      <c r="E553" s="727"/>
      <c r="F553" s="727" t="s">
        <v>189</v>
      </c>
      <c r="G553" s="189"/>
      <c r="H553" s="161" t="s">
        <v>12</v>
      </c>
      <c r="I553" s="269"/>
      <c r="J553" s="269"/>
      <c r="K553" s="465"/>
      <c r="L553" s="465"/>
      <c r="M553" s="465"/>
      <c r="N553" s="789">
        <v>0</v>
      </c>
      <c r="O553" s="465"/>
      <c r="P553" s="465"/>
      <c r="Q553" s="541"/>
      <c r="R553" s="541"/>
      <c r="S553" s="541"/>
      <c r="T553" s="541"/>
      <c r="U553" s="541"/>
      <c r="V553" s="541"/>
      <c r="W553" s="541"/>
      <c r="X553" s="541"/>
      <c r="Y553" s="541"/>
      <c r="Z553" s="541"/>
    </row>
    <row r="554" spans="1:26" ht="18.75">
      <c r="A554" s="537"/>
      <c r="B554" s="538"/>
      <c r="C554" s="538"/>
      <c r="D554" s="538"/>
      <c r="E554" s="727"/>
      <c r="F554" s="727" t="s">
        <v>233</v>
      </c>
      <c r="G554" s="189"/>
      <c r="H554" s="161" t="s">
        <v>12</v>
      </c>
      <c r="I554" s="269"/>
      <c r="J554" s="269"/>
      <c r="K554" s="465"/>
      <c r="L554" s="465"/>
      <c r="M554" s="465"/>
      <c r="N554" s="789">
        <v>0</v>
      </c>
      <c r="O554" s="465"/>
      <c r="P554" s="465"/>
      <c r="Q554" s="541"/>
      <c r="R554" s="541"/>
      <c r="S554" s="541"/>
      <c r="T554" s="541"/>
      <c r="U554" s="541"/>
      <c r="V554" s="541"/>
      <c r="W554" s="541"/>
      <c r="X554" s="541"/>
      <c r="Y554" s="541"/>
      <c r="Z554" s="541"/>
    </row>
    <row r="555" spans="1:26" ht="18.75">
      <c r="A555" s="561"/>
      <c r="B555" s="538"/>
      <c r="C555" s="538"/>
      <c r="D555" s="570" t="s">
        <v>21</v>
      </c>
      <c r="E555" s="727"/>
      <c r="F555" s="727"/>
      <c r="G555" s="189"/>
      <c r="H555" s="168" t="s">
        <v>12</v>
      </c>
      <c r="I555" s="184"/>
      <c r="J555" s="184"/>
      <c r="K555" s="163"/>
      <c r="L555" s="465">
        <f t="shared" ref="L555:N555" ca="1" si="241">L556+L557</f>
        <v>0</v>
      </c>
      <c r="M555" s="465">
        <f t="shared" si="241"/>
        <v>0</v>
      </c>
      <c r="N555" s="465">
        <f t="shared" si="241"/>
        <v>0</v>
      </c>
      <c r="O555" s="465">
        <f t="shared" ref="O555:O557" ca="1" si="242">IF(L555&gt;0,N555*100/L555,0)</f>
        <v>0</v>
      </c>
      <c r="P555" s="465">
        <f t="shared" ref="P555:P557" si="243">IF(M555&gt;0,N555*100/M555,0)</f>
        <v>0</v>
      </c>
      <c r="Q555" s="541"/>
      <c r="R555" s="541"/>
      <c r="S555" s="541"/>
      <c r="T555" s="541"/>
      <c r="U555" s="541"/>
      <c r="V555" s="541"/>
      <c r="W555" s="541"/>
      <c r="X555" s="541"/>
      <c r="Y555" s="541"/>
      <c r="Z555" s="541"/>
    </row>
    <row r="556" spans="1:26" ht="18.75" hidden="1">
      <c r="A556" s="563"/>
      <c r="B556" s="571"/>
      <c r="C556" s="571"/>
      <c r="D556" s="723"/>
      <c r="E556" s="723" t="s">
        <v>18</v>
      </c>
      <c r="F556" s="723"/>
      <c r="G556" s="567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2"/>
        <v>0</v>
      </c>
      <c r="P556" s="93">
        <f t="shared" si="243"/>
        <v>0</v>
      </c>
      <c r="Q556" s="568"/>
      <c r="R556" s="568"/>
      <c r="S556" s="568"/>
      <c r="T556" s="568"/>
      <c r="U556" s="568"/>
      <c r="V556" s="568"/>
      <c r="W556" s="568"/>
      <c r="X556" s="568"/>
      <c r="Y556" s="568"/>
      <c r="Z556" s="568"/>
    </row>
    <row r="557" spans="1:26" ht="18.75" hidden="1">
      <c r="A557" s="563"/>
      <c r="B557" s="571"/>
      <c r="C557" s="571"/>
      <c r="D557" s="723"/>
      <c r="E557" s="723" t="s">
        <v>19</v>
      </c>
      <c r="F557" s="723"/>
      <c r="G557" s="567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IFERROR(__xludf.DUMMYFUNCTION("IMPORTRANGE(""https://docs.google.com/spreadsheets/d/1QqKyyYR6Q21VydFLVH3TRQUabQu_ym0Zz7PgGX0-kHA/edit?usp=sharing"",""แผน!HF21"")"),0)</f>
        <v>0</v>
      </c>
      <c r="M557" s="93">
        <v>0</v>
      </c>
      <c r="N557" s="93">
        <v>0</v>
      </c>
      <c r="O557" s="93">
        <f t="shared" ca="1" si="242"/>
        <v>0</v>
      </c>
      <c r="P557" s="93">
        <f t="shared" si="243"/>
        <v>0</v>
      </c>
      <c r="Q557" s="568"/>
      <c r="R557" s="568"/>
      <c r="S557" s="568"/>
      <c r="T557" s="568"/>
      <c r="U557" s="568"/>
      <c r="V557" s="568"/>
      <c r="W557" s="568"/>
      <c r="X557" s="568"/>
      <c r="Y557" s="568"/>
      <c r="Z557" s="568"/>
    </row>
    <row r="558" spans="1:26" ht="19.5">
      <c r="A558" s="572"/>
      <c r="B558" s="584"/>
      <c r="C558" s="538" t="s">
        <v>16</v>
      </c>
      <c r="D558" s="853" t="s">
        <v>38</v>
      </c>
      <c r="E558" s="725"/>
      <c r="F558" s="725"/>
      <c r="G558" s="577"/>
      <c r="H558" s="726"/>
      <c r="I558" s="184"/>
      <c r="J558" s="184"/>
      <c r="K558" s="163"/>
      <c r="L558" s="163"/>
      <c r="M558" s="163"/>
      <c r="N558" s="163"/>
      <c r="O558" s="163"/>
      <c r="P558" s="163"/>
      <c r="Q558" s="541"/>
      <c r="R558" s="541"/>
      <c r="S558" s="541"/>
      <c r="T558" s="541"/>
      <c r="U558" s="541"/>
      <c r="V558" s="541"/>
      <c r="W558" s="541"/>
      <c r="X558" s="541"/>
      <c r="Y558" s="541"/>
      <c r="Z558" s="541"/>
    </row>
    <row r="559" spans="1:26" ht="19.5">
      <c r="A559" s="658"/>
      <c r="B559" s="659" t="s">
        <v>234</v>
      </c>
      <c r="C559" s="660"/>
      <c r="D559" s="660"/>
      <c r="E559" s="639"/>
      <c r="F559" s="639"/>
      <c r="G559" s="640"/>
      <c r="H559" s="661" t="s">
        <v>46</v>
      </c>
      <c r="I559" s="672">
        <f t="shared" ref="I559:J559" ca="1" si="244">I576</f>
        <v>2373</v>
      </c>
      <c r="J559" s="672">
        <f t="shared" si="244"/>
        <v>0</v>
      </c>
      <c r="K559" s="643">
        <f t="shared" ref="K559:K561" ca="1" si="245">IF(I559&gt;0,J559*100/I559,0)</f>
        <v>0</v>
      </c>
      <c r="L559" s="644"/>
      <c r="M559" s="644"/>
      <c r="N559" s="644"/>
      <c r="O559" s="644"/>
      <c r="P559" s="644"/>
      <c r="Q559" s="541"/>
      <c r="R559" s="541"/>
      <c r="S559" s="541"/>
      <c r="T559" s="541"/>
      <c r="U559" s="541"/>
      <c r="V559" s="541"/>
      <c r="W559" s="541"/>
      <c r="X559" s="541"/>
      <c r="Y559" s="541"/>
      <c r="Z559" s="541"/>
    </row>
    <row r="560" spans="1:26" ht="19.5">
      <c r="A560" s="572"/>
      <c r="B560" s="584"/>
      <c r="C560" s="591" t="s">
        <v>235</v>
      </c>
      <c r="D560" s="584"/>
      <c r="E560" s="592"/>
      <c r="F560" s="592"/>
      <c r="G560" s="726"/>
      <c r="H560" s="731" t="s">
        <v>46</v>
      </c>
      <c r="I560" s="193">
        <f ca="1">IFERROR(__xludf.DUMMYFUNCTION("IMPORTRANGE(""https://docs.google.com/spreadsheets/d/1QqKyyYR6Q21VydFLVH3TRQUabQu_ym0Zz7PgGX0-kHA/edit?usp=sharing"",""แผน!HH21"")"),2373)</f>
        <v>2373</v>
      </c>
      <c r="J560" s="193">
        <f t="shared" ref="J560:J561" si="246">J562+J564+J566</f>
        <v>0</v>
      </c>
      <c r="K560" s="379">
        <f t="shared" ca="1" si="245"/>
        <v>0</v>
      </c>
      <c r="L560" s="163"/>
      <c r="M560" s="163"/>
      <c r="N560" s="163"/>
      <c r="O560" s="163"/>
      <c r="P560" s="163"/>
      <c r="Q560" s="541"/>
      <c r="R560" s="541"/>
      <c r="S560" s="541"/>
      <c r="T560" s="541"/>
      <c r="U560" s="541"/>
      <c r="V560" s="541"/>
      <c r="W560" s="541"/>
      <c r="X560" s="541"/>
      <c r="Y560" s="541"/>
      <c r="Z560" s="541"/>
    </row>
    <row r="561" spans="1:26" ht="19.5">
      <c r="A561" s="572"/>
      <c r="B561" s="584"/>
      <c r="C561" s="584"/>
      <c r="D561" s="592"/>
      <c r="E561" s="592"/>
      <c r="F561" s="592"/>
      <c r="G561" s="726"/>
      <c r="H561" s="731" t="s">
        <v>34</v>
      </c>
      <c r="I561" s="193">
        <f ca="1">IFERROR(__xludf.DUMMYFUNCTION("IMPORTRANGE(""https://docs.google.com/spreadsheets/d/1QqKyyYR6Q21VydFLVH3TRQUabQu_ym0Zz7PgGX0-kHA/edit?usp=sharing"",""แผน!HG21"")"),118)</f>
        <v>118</v>
      </c>
      <c r="J561" s="193">
        <f t="shared" si="246"/>
        <v>0</v>
      </c>
      <c r="K561" s="379">
        <f t="shared" ca="1" si="245"/>
        <v>0</v>
      </c>
      <c r="L561" s="163"/>
      <c r="M561" s="163"/>
      <c r="N561" s="163"/>
      <c r="O561" s="163"/>
      <c r="P561" s="163"/>
      <c r="Q561" s="541"/>
      <c r="R561" s="541"/>
      <c r="S561" s="541"/>
      <c r="T561" s="541"/>
      <c r="U561" s="541"/>
      <c r="V561" s="541"/>
      <c r="W561" s="541"/>
      <c r="X561" s="541"/>
      <c r="Y561" s="541"/>
      <c r="Z561" s="541"/>
    </row>
    <row r="562" spans="1:26" ht="18.75">
      <c r="A562" s="572"/>
      <c r="B562" s="584"/>
      <c r="C562" s="584"/>
      <c r="D562" s="592" t="s">
        <v>236</v>
      </c>
      <c r="E562" s="592"/>
      <c r="F562" s="592"/>
      <c r="G562" s="726"/>
      <c r="H562" s="728" t="s">
        <v>46</v>
      </c>
      <c r="I562" s="184"/>
      <c r="J562" s="214">
        <v>0</v>
      </c>
      <c r="K562" s="163"/>
      <c r="L562" s="163"/>
      <c r="M562" s="163"/>
      <c r="N562" s="163"/>
      <c r="O562" s="163"/>
      <c r="P562" s="163"/>
      <c r="Q562" s="541"/>
      <c r="R562" s="541"/>
      <c r="S562" s="541"/>
      <c r="T562" s="541"/>
      <c r="U562" s="541"/>
      <c r="V562" s="541"/>
      <c r="W562" s="541"/>
      <c r="X562" s="541"/>
      <c r="Y562" s="541"/>
      <c r="Z562" s="541"/>
    </row>
    <row r="563" spans="1:26" ht="18.75">
      <c r="A563" s="572"/>
      <c r="B563" s="584"/>
      <c r="C563" s="584"/>
      <c r="D563" s="584"/>
      <c r="E563" s="592"/>
      <c r="F563" s="592"/>
      <c r="G563" s="726"/>
      <c r="H563" s="728" t="s">
        <v>34</v>
      </c>
      <c r="I563" s="184"/>
      <c r="J563" s="214">
        <v>0</v>
      </c>
      <c r="K563" s="163"/>
      <c r="L563" s="163"/>
      <c r="M563" s="163"/>
      <c r="N563" s="163"/>
      <c r="O563" s="163"/>
      <c r="P563" s="163"/>
      <c r="Q563" s="541"/>
      <c r="R563" s="541"/>
      <c r="S563" s="541"/>
      <c r="T563" s="541"/>
      <c r="U563" s="541"/>
      <c r="V563" s="541"/>
      <c r="W563" s="541"/>
      <c r="X563" s="541"/>
      <c r="Y563" s="541"/>
      <c r="Z563" s="541"/>
    </row>
    <row r="564" spans="1:26" ht="18.75">
      <c r="A564" s="572"/>
      <c r="B564" s="584"/>
      <c r="C564" s="584"/>
      <c r="D564" s="592" t="s">
        <v>237</v>
      </c>
      <c r="E564" s="592"/>
      <c r="F564" s="592"/>
      <c r="G564" s="726"/>
      <c r="H564" s="728" t="s">
        <v>46</v>
      </c>
      <c r="I564" s="184"/>
      <c r="J564" s="214">
        <v>0</v>
      </c>
      <c r="K564" s="163"/>
      <c r="L564" s="163"/>
      <c r="M564" s="163"/>
      <c r="N564" s="163"/>
      <c r="O564" s="163"/>
      <c r="P564" s="163"/>
      <c r="Q564" s="541"/>
      <c r="R564" s="541"/>
      <c r="S564" s="541"/>
      <c r="T564" s="541"/>
      <c r="U564" s="541"/>
      <c r="V564" s="541"/>
      <c r="W564" s="541"/>
      <c r="X564" s="541"/>
      <c r="Y564" s="541"/>
      <c r="Z564" s="541"/>
    </row>
    <row r="565" spans="1:26" ht="18.75">
      <c r="A565" s="572"/>
      <c r="B565" s="584"/>
      <c r="C565" s="584"/>
      <c r="D565" s="592"/>
      <c r="E565" s="592"/>
      <c r="F565" s="592"/>
      <c r="G565" s="726"/>
      <c r="H565" s="728" t="s">
        <v>34</v>
      </c>
      <c r="I565" s="184"/>
      <c r="J565" s="214">
        <v>0</v>
      </c>
      <c r="K565" s="163"/>
      <c r="L565" s="163"/>
      <c r="M565" s="163"/>
      <c r="N565" s="163"/>
      <c r="O565" s="163"/>
      <c r="P565" s="163"/>
      <c r="Q565" s="541"/>
      <c r="R565" s="541"/>
      <c r="S565" s="541"/>
      <c r="T565" s="541"/>
      <c r="U565" s="541"/>
      <c r="V565" s="541"/>
      <c r="W565" s="541"/>
      <c r="X565" s="541"/>
      <c r="Y565" s="541"/>
      <c r="Z565" s="541"/>
    </row>
    <row r="566" spans="1:26" ht="18.75">
      <c r="A566" s="572"/>
      <c r="B566" s="584"/>
      <c r="C566" s="584"/>
      <c r="D566" s="592" t="s">
        <v>238</v>
      </c>
      <c r="E566" s="592"/>
      <c r="F566" s="592"/>
      <c r="G566" s="726"/>
      <c r="H566" s="728" t="s">
        <v>46</v>
      </c>
      <c r="I566" s="184"/>
      <c r="J566" s="214">
        <v>0</v>
      </c>
      <c r="K566" s="163"/>
      <c r="L566" s="163"/>
      <c r="M566" s="163"/>
      <c r="N566" s="163"/>
      <c r="O566" s="163"/>
      <c r="P566" s="163"/>
      <c r="Q566" s="541"/>
      <c r="R566" s="541"/>
      <c r="S566" s="541"/>
      <c r="T566" s="541"/>
      <c r="U566" s="541"/>
      <c r="V566" s="541"/>
      <c r="W566" s="541"/>
      <c r="X566" s="541"/>
      <c r="Y566" s="541"/>
      <c r="Z566" s="541"/>
    </row>
    <row r="567" spans="1:26" ht="18.75">
      <c r="A567" s="572"/>
      <c r="B567" s="584"/>
      <c r="C567" s="584"/>
      <c r="D567" s="592"/>
      <c r="E567" s="592"/>
      <c r="F567" s="592"/>
      <c r="G567" s="726"/>
      <c r="H567" s="728" t="s">
        <v>34</v>
      </c>
      <c r="I567" s="184"/>
      <c r="J567" s="214">
        <v>0</v>
      </c>
      <c r="K567" s="163"/>
      <c r="L567" s="163"/>
      <c r="M567" s="163"/>
      <c r="N567" s="163"/>
      <c r="O567" s="163"/>
      <c r="P567" s="163"/>
      <c r="Q567" s="541"/>
      <c r="R567" s="541"/>
      <c r="S567" s="541"/>
      <c r="T567" s="541"/>
      <c r="U567" s="541"/>
      <c r="V567" s="541"/>
      <c r="W567" s="541"/>
      <c r="X567" s="541"/>
      <c r="Y567" s="541"/>
      <c r="Z567" s="541"/>
    </row>
    <row r="568" spans="1:26" ht="19.5">
      <c r="A568" s="572"/>
      <c r="B568" s="584"/>
      <c r="C568" s="591" t="s">
        <v>239</v>
      </c>
      <c r="D568" s="592"/>
      <c r="E568" s="592"/>
      <c r="F568" s="592"/>
      <c r="G568" s="726"/>
      <c r="H568" s="731" t="s">
        <v>46</v>
      </c>
      <c r="I568" s="193">
        <f ca="1">IFERROR(__xludf.DUMMYFUNCTION("IMPORTRANGE(""https://docs.google.com/spreadsheets/d/1QqKyyYR6Q21VydFLVH3TRQUabQu_ym0Zz7PgGX0-kHA/edit?usp=sharing"",""แผน!HH21"")"),2373)</f>
        <v>2373</v>
      </c>
      <c r="J568" s="647">
        <f t="shared" ref="J568:J569" si="247">J570+J572+J574</f>
        <v>0</v>
      </c>
      <c r="K568" s="379">
        <f t="shared" ref="K568:K569" ca="1" si="248">IF(I568&gt;0,J568*100/I568,0)</f>
        <v>0</v>
      </c>
      <c r="L568" s="163"/>
      <c r="M568" s="163"/>
      <c r="N568" s="163"/>
      <c r="O568" s="163"/>
      <c r="P568" s="163"/>
      <c r="Q568" s="541"/>
      <c r="R568" s="541"/>
      <c r="S568" s="541"/>
      <c r="T568" s="541"/>
      <c r="U568" s="541"/>
      <c r="V568" s="541"/>
      <c r="W568" s="541"/>
      <c r="X568" s="541"/>
      <c r="Y568" s="541"/>
      <c r="Z568" s="541"/>
    </row>
    <row r="569" spans="1:26" ht="19.5">
      <c r="A569" s="572"/>
      <c r="B569" s="584"/>
      <c r="C569" s="584"/>
      <c r="D569" s="584"/>
      <c r="E569" s="592"/>
      <c r="F569" s="592"/>
      <c r="G569" s="726"/>
      <c r="H569" s="731" t="s">
        <v>34</v>
      </c>
      <c r="I569" s="193">
        <f ca="1">IFERROR(__xludf.DUMMYFUNCTION("IMPORTRANGE(""https://docs.google.com/spreadsheets/d/1QqKyyYR6Q21VydFLVH3TRQUabQu_ym0Zz7PgGX0-kHA/edit?usp=sharing"",""แผน!HG21"")"),118)</f>
        <v>118</v>
      </c>
      <c r="J569" s="647">
        <f t="shared" si="247"/>
        <v>0</v>
      </c>
      <c r="K569" s="379">
        <f t="shared" ca="1" si="248"/>
        <v>0</v>
      </c>
      <c r="L569" s="163"/>
      <c r="M569" s="163"/>
      <c r="N569" s="163"/>
      <c r="O569" s="163"/>
      <c r="P569" s="163"/>
      <c r="Q569" s="541"/>
      <c r="R569" s="541"/>
      <c r="S569" s="541"/>
      <c r="T569" s="541"/>
      <c r="U569" s="541"/>
      <c r="V569" s="541"/>
      <c r="W569" s="541"/>
      <c r="X569" s="541"/>
      <c r="Y569" s="541"/>
      <c r="Z569" s="541"/>
    </row>
    <row r="570" spans="1:26" ht="18.75">
      <c r="A570" s="572"/>
      <c r="B570" s="584"/>
      <c r="C570" s="584"/>
      <c r="D570" s="592" t="s">
        <v>240</v>
      </c>
      <c r="E570" s="584"/>
      <c r="F570" s="592"/>
      <c r="G570" s="726"/>
      <c r="H570" s="728" t="s">
        <v>46</v>
      </c>
      <c r="I570" s="184"/>
      <c r="J570" s="214">
        <v>0</v>
      </c>
      <c r="K570" s="163"/>
      <c r="L570" s="163"/>
      <c r="M570" s="163"/>
      <c r="N570" s="163"/>
      <c r="O570" s="163"/>
      <c r="P570" s="163"/>
      <c r="Q570" s="541"/>
      <c r="R570" s="541"/>
      <c r="S570" s="541"/>
      <c r="T570" s="541"/>
      <c r="U570" s="541"/>
      <c r="V570" s="541"/>
      <c r="W570" s="541"/>
      <c r="X570" s="541"/>
      <c r="Y570" s="541"/>
      <c r="Z570" s="541"/>
    </row>
    <row r="571" spans="1:26" ht="18.75">
      <c r="A571" s="572"/>
      <c r="B571" s="584"/>
      <c r="C571" s="584"/>
      <c r="D571" s="584"/>
      <c r="E571" s="592"/>
      <c r="F571" s="592"/>
      <c r="G571" s="726"/>
      <c r="H571" s="728" t="s">
        <v>34</v>
      </c>
      <c r="I571" s="184"/>
      <c r="J571" s="214">
        <v>0</v>
      </c>
      <c r="K571" s="163"/>
      <c r="L571" s="163"/>
      <c r="M571" s="163"/>
      <c r="N571" s="163"/>
      <c r="O571" s="163"/>
      <c r="P571" s="163"/>
      <c r="Q571" s="541"/>
      <c r="R571" s="541"/>
      <c r="S571" s="541"/>
      <c r="T571" s="541"/>
      <c r="U571" s="541"/>
      <c r="V571" s="541"/>
      <c r="W571" s="541"/>
      <c r="X571" s="541"/>
      <c r="Y571" s="541"/>
      <c r="Z571" s="541"/>
    </row>
    <row r="572" spans="1:26" ht="18.75">
      <c r="A572" s="572"/>
      <c r="B572" s="584"/>
      <c r="C572" s="584"/>
      <c r="D572" s="592" t="s">
        <v>241</v>
      </c>
      <c r="E572" s="592"/>
      <c r="F572" s="592"/>
      <c r="G572" s="726"/>
      <c r="H572" s="728" t="s">
        <v>46</v>
      </c>
      <c r="I572" s="184"/>
      <c r="J572" s="214">
        <v>0</v>
      </c>
      <c r="K572" s="163"/>
      <c r="L572" s="163"/>
      <c r="M572" s="163"/>
      <c r="N572" s="163"/>
      <c r="O572" s="163"/>
      <c r="P572" s="163"/>
      <c r="Q572" s="541"/>
      <c r="R572" s="541"/>
      <c r="S572" s="541"/>
      <c r="T572" s="541"/>
      <c r="U572" s="541"/>
      <c r="V572" s="541"/>
      <c r="W572" s="541"/>
      <c r="X572" s="541"/>
      <c r="Y572" s="541"/>
      <c r="Z572" s="541"/>
    </row>
    <row r="573" spans="1:26" ht="18.75">
      <c r="A573" s="572"/>
      <c r="B573" s="584"/>
      <c r="C573" s="584"/>
      <c r="D573" s="592"/>
      <c r="E573" s="592"/>
      <c r="F573" s="592"/>
      <c r="G573" s="726"/>
      <c r="H573" s="728" t="s">
        <v>34</v>
      </c>
      <c r="I573" s="184"/>
      <c r="J573" s="214">
        <v>0</v>
      </c>
      <c r="K573" s="163"/>
      <c r="L573" s="163"/>
      <c r="M573" s="163"/>
      <c r="N573" s="163"/>
      <c r="O573" s="163"/>
      <c r="P573" s="163"/>
      <c r="Q573" s="541"/>
      <c r="R573" s="541"/>
      <c r="S573" s="541"/>
      <c r="T573" s="541"/>
      <c r="U573" s="541"/>
      <c r="V573" s="541"/>
      <c r="W573" s="541"/>
      <c r="X573" s="541"/>
      <c r="Y573" s="541"/>
      <c r="Z573" s="541"/>
    </row>
    <row r="574" spans="1:26" ht="18.75">
      <c r="A574" s="572"/>
      <c r="B574" s="584"/>
      <c r="C574" s="584"/>
      <c r="D574" s="592" t="s">
        <v>242</v>
      </c>
      <c r="E574" s="592"/>
      <c r="F574" s="592"/>
      <c r="G574" s="726"/>
      <c r="H574" s="728" t="s">
        <v>46</v>
      </c>
      <c r="I574" s="184"/>
      <c r="J574" s="214">
        <v>0</v>
      </c>
      <c r="K574" s="163"/>
      <c r="L574" s="163"/>
      <c r="M574" s="163"/>
      <c r="N574" s="163"/>
      <c r="O574" s="163"/>
      <c r="P574" s="163"/>
      <c r="Q574" s="541"/>
      <c r="R574" s="541"/>
      <c r="S574" s="541"/>
      <c r="T574" s="541"/>
      <c r="U574" s="541"/>
      <c r="V574" s="541"/>
      <c r="W574" s="541"/>
      <c r="X574" s="541"/>
      <c r="Y574" s="541"/>
      <c r="Z574" s="541"/>
    </row>
    <row r="575" spans="1:26" ht="18.75">
      <c r="A575" s="572"/>
      <c r="B575" s="584"/>
      <c r="C575" s="584"/>
      <c r="D575" s="584"/>
      <c r="E575" s="592"/>
      <c r="F575" s="592"/>
      <c r="G575" s="726"/>
      <c r="H575" s="728" t="s">
        <v>34</v>
      </c>
      <c r="I575" s="184"/>
      <c r="J575" s="214">
        <v>0</v>
      </c>
      <c r="K575" s="163"/>
      <c r="L575" s="163"/>
      <c r="M575" s="163"/>
      <c r="N575" s="163"/>
      <c r="O575" s="163"/>
      <c r="P575" s="163"/>
      <c r="Q575" s="541"/>
      <c r="R575" s="541"/>
      <c r="S575" s="541"/>
      <c r="T575" s="541"/>
      <c r="U575" s="541"/>
      <c r="V575" s="541"/>
      <c r="W575" s="541"/>
      <c r="X575" s="541"/>
      <c r="Y575" s="541"/>
      <c r="Z575" s="541"/>
    </row>
    <row r="576" spans="1:26" ht="19.5">
      <c r="A576" s="572"/>
      <c r="B576" s="584"/>
      <c r="C576" s="591" t="s">
        <v>243</v>
      </c>
      <c r="D576" s="584"/>
      <c r="E576" s="584"/>
      <c r="F576" s="592"/>
      <c r="G576" s="726"/>
      <c r="H576" s="731" t="s">
        <v>46</v>
      </c>
      <c r="I576" s="193">
        <f ca="1">IFERROR(__xludf.DUMMYFUNCTION("IMPORTRANGE(""https://docs.google.com/spreadsheets/d/1QqKyyYR6Q21VydFLVH3TRQUabQu_ym0Zz7PgGX0-kHA/edit?usp=sharing"",""แผน!HH21"")"),2373)</f>
        <v>2373</v>
      </c>
      <c r="J576" s="647">
        <f t="shared" ref="J576:J577" si="249">J578+J580+J582+J588+J590</f>
        <v>0</v>
      </c>
      <c r="K576" s="379">
        <f t="shared" ref="K576:K577" ca="1" si="250">IF(I576&gt;0,J576*100/I576,0)</f>
        <v>0</v>
      </c>
      <c r="L576" s="163"/>
      <c r="M576" s="163"/>
      <c r="N576" s="163"/>
      <c r="O576" s="163"/>
      <c r="P576" s="163"/>
      <c r="Q576" s="541"/>
      <c r="R576" s="541"/>
      <c r="S576" s="541"/>
      <c r="T576" s="541"/>
      <c r="U576" s="541"/>
      <c r="V576" s="541"/>
      <c r="W576" s="541"/>
      <c r="X576" s="541"/>
      <c r="Y576" s="541"/>
      <c r="Z576" s="541"/>
    </row>
    <row r="577" spans="1:26" ht="19.5">
      <c r="A577" s="572"/>
      <c r="B577" s="584"/>
      <c r="C577" s="584"/>
      <c r="D577" s="584"/>
      <c r="E577" s="592"/>
      <c r="F577" s="592"/>
      <c r="G577" s="726"/>
      <c r="H577" s="731" t="s">
        <v>34</v>
      </c>
      <c r="I577" s="193">
        <f ca="1">IFERROR(__xludf.DUMMYFUNCTION("IMPORTRANGE(""https://docs.google.com/spreadsheets/d/1QqKyyYR6Q21VydFLVH3TRQUabQu_ym0Zz7PgGX0-kHA/edit?usp=sharing"",""แผน!HG21"")"),118)</f>
        <v>118</v>
      </c>
      <c r="J577" s="647">
        <f t="shared" si="249"/>
        <v>0</v>
      </c>
      <c r="K577" s="379">
        <f t="shared" ca="1" si="250"/>
        <v>0</v>
      </c>
      <c r="L577" s="163"/>
      <c r="M577" s="163"/>
      <c r="N577" s="163"/>
      <c r="O577" s="163"/>
      <c r="P577" s="163"/>
      <c r="Q577" s="541"/>
      <c r="R577" s="541"/>
      <c r="S577" s="541"/>
      <c r="T577" s="541"/>
      <c r="U577" s="541"/>
      <c r="V577" s="541"/>
      <c r="W577" s="541"/>
      <c r="X577" s="541"/>
      <c r="Y577" s="541"/>
      <c r="Z577" s="541"/>
    </row>
    <row r="578" spans="1:26" ht="18.75">
      <c r="A578" s="572"/>
      <c r="B578" s="584"/>
      <c r="C578" s="584"/>
      <c r="D578" s="592" t="s">
        <v>244</v>
      </c>
      <c r="E578" s="592"/>
      <c r="F578" s="592"/>
      <c r="G578" s="726"/>
      <c r="H578" s="728" t="s">
        <v>46</v>
      </c>
      <c r="I578" s="184"/>
      <c r="J578" s="214">
        <v>0</v>
      </c>
      <c r="K578" s="163"/>
      <c r="L578" s="163"/>
      <c r="M578" s="163"/>
      <c r="N578" s="163"/>
      <c r="O578" s="163"/>
      <c r="P578" s="163"/>
      <c r="Q578" s="541"/>
      <c r="R578" s="541"/>
      <c r="S578" s="541"/>
      <c r="T578" s="541"/>
      <c r="U578" s="541"/>
      <c r="V578" s="541"/>
      <c r="W578" s="541"/>
      <c r="X578" s="541"/>
      <c r="Y578" s="541"/>
      <c r="Z578" s="541"/>
    </row>
    <row r="579" spans="1:26" ht="18.75">
      <c r="A579" s="572"/>
      <c r="B579" s="584"/>
      <c r="C579" s="584"/>
      <c r="D579" s="584"/>
      <c r="E579" s="592"/>
      <c r="F579" s="592"/>
      <c r="G579" s="726"/>
      <c r="H579" s="728" t="s">
        <v>34</v>
      </c>
      <c r="I579" s="184"/>
      <c r="J579" s="214">
        <v>0</v>
      </c>
      <c r="K579" s="163"/>
      <c r="L579" s="163"/>
      <c r="M579" s="163"/>
      <c r="N579" s="163"/>
      <c r="O579" s="163"/>
      <c r="P579" s="163"/>
      <c r="Q579" s="541"/>
      <c r="R579" s="541"/>
      <c r="S579" s="541"/>
      <c r="T579" s="541"/>
      <c r="U579" s="541"/>
      <c r="V579" s="541"/>
      <c r="W579" s="541"/>
      <c r="X579" s="541"/>
      <c r="Y579" s="541"/>
      <c r="Z579" s="541"/>
    </row>
    <row r="580" spans="1:26" ht="18.75">
      <c r="A580" s="572"/>
      <c r="B580" s="584"/>
      <c r="C580" s="584"/>
      <c r="D580" s="592" t="s">
        <v>245</v>
      </c>
      <c r="E580" s="592"/>
      <c r="F580" s="592"/>
      <c r="G580" s="726"/>
      <c r="H580" s="728" t="s">
        <v>46</v>
      </c>
      <c r="I580" s="184"/>
      <c r="J580" s="214">
        <v>0</v>
      </c>
      <c r="K580" s="163"/>
      <c r="L580" s="163"/>
      <c r="M580" s="163"/>
      <c r="N580" s="163"/>
      <c r="O580" s="163"/>
      <c r="P580" s="163"/>
      <c r="Q580" s="541"/>
      <c r="R580" s="541"/>
      <c r="S580" s="541"/>
      <c r="T580" s="541"/>
      <c r="U580" s="541"/>
      <c r="V580" s="541"/>
      <c r="W580" s="541"/>
      <c r="X580" s="541"/>
      <c r="Y580" s="541"/>
      <c r="Z580" s="541"/>
    </row>
    <row r="581" spans="1:26" ht="18.75">
      <c r="A581" s="572"/>
      <c r="B581" s="584"/>
      <c r="C581" s="584"/>
      <c r="D581" s="584"/>
      <c r="E581" s="592"/>
      <c r="F581" s="592"/>
      <c r="G581" s="726"/>
      <c r="H581" s="728" t="s">
        <v>34</v>
      </c>
      <c r="I581" s="184"/>
      <c r="J581" s="214">
        <v>0</v>
      </c>
      <c r="K581" s="163"/>
      <c r="L581" s="163"/>
      <c r="M581" s="163"/>
      <c r="N581" s="163"/>
      <c r="O581" s="163"/>
      <c r="P581" s="163"/>
      <c r="Q581" s="541"/>
      <c r="R581" s="541"/>
      <c r="S581" s="541"/>
      <c r="T581" s="541"/>
      <c r="U581" s="541"/>
      <c r="V581" s="541"/>
      <c r="W581" s="541"/>
      <c r="X581" s="541"/>
      <c r="Y581" s="541"/>
      <c r="Z581" s="541"/>
    </row>
    <row r="582" spans="1:26" ht="19.5">
      <c r="A582" s="572"/>
      <c r="B582" s="584"/>
      <c r="C582" s="584"/>
      <c r="D582" s="592" t="s">
        <v>246</v>
      </c>
      <c r="E582" s="592"/>
      <c r="F582" s="592"/>
      <c r="G582" s="726"/>
      <c r="H582" s="728" t="s">
        <v>46</v>
      </c>
      <c r="I582" s="184"/>
      <c r="J582" s="647">
        <f t="shared" ref="J582:J583" si="251">J584+J586</f>
        <v>0</v>
      </c>
      <c r="K582" s="379"/>
      <c r="L582" s="163"/>
      <c r="M582" s="163"/>
      <c r="N582" s="163"/>
      <c r="O582" s="163"/>
      <c r="P582" s="163"/>
      <c r="Q582" s="541"/>
      <c r="R582" s="541"/>
      <c r="S582" s="541"/>
      <c r="T582" s="541"/>
      <c r="U582" s="541"/>
      <c r="V582" s="541"/>
      <c r="W582" s="541"/>
      <c r="X582" s="541"/>
      <c r="Y582" s="541"/>
      <c r="Z582" s="541"/>
    </row>
    <row r="583" spans="1:26" ht="19.5">
      <c r="A583" s="572"/>
      <c r="B583" s="584"/>
      <c r="C583" s="584"/>
      <c r="D583" s="584"/>
      <c r="E583" s="592"/>
      <c r="F583" s="592"/>
      <c r="G583" s="726"/>
      <c r="H583" s="728" t="s">
        <v>34</v>
      </c>
      <c r="I583" s="184"/>
      <c r="J583" s="647">
        <f t="shared" si="251"/>
        <v>0</v>
      </c>
      <c r="K583" s="379"/>
      <c r="L583" s="163"/>
      <c r="M583" s="163"/>
      <c r="N583" s="163"/>
      <c r="O583" s="163"/>
      <c r="P583" s="163"/>
      <c r="Q583" s="541"/>
      <c r="R583" s="541"/>
      <c r="S583" s="541"/>
      <c r="T583" s="541"/>
      <c r="U583" s="541"/>
      <c r="V583" s="541"/>
      <c r="W583" s="541"/>
      <c r="X583" s="541"/>
      <c r="Y583" s="541"/>
      <c r="Z583" s="541"/>
    </row>
    <row r="584" spans="1:26" ht="18.75">
      <c r="A584" s="572"/>
      <c r="B584" s="584"/>
      <c r="C584" s="584"/>
      <c r="D584" s="584"/>
      <c r="E584" s="592" t="s">
        <v>247</v>
      </c>
      <c r="F584" s="592"/>
      <c r="G584" s="726"/>
      <c r="H584" s="728" t="s">
        <v>46</v>
      </c>
      <c r="I584" s="184"/>
      <c r="J584" s="214">
        <v>0</v>
      </c>
      <c r="K584" s="163"/>
      <c r="L584" s="163"/>
      <c r="M584" s="163"/>
      <c r="N584" s="163"/>
      <c r="O584" s="163"/>
      <c r="P584" s="163"/>
      <c r="Q584" s="541"/>
      <c r="R584" s="541"/>
      <c r="S584" s="541"/>
      <c r="T584" s="541"/>
      <c r="U584" s="541"/>
      <c r="V584" s="541"/>
      <c r="W584" s="541"/>
      <c r="X584" s="541"/>
      <c r="Y584" s="541"/>
      <c r="Z584" s="541"/>
    </row>
    <row r="585" spans="1:26" ht="18.75">
      <c r="A585" s="572"/>
      <c r="B585" s="584"/>
      <c r="C585" s="584"/>
      <c r="D585" s="584"/>
      <c r="E585" s="592"/>
      <c r="F585" s="592"/>
      <c r="G585" s="726"/>
      <c r="H585" s="728" t="s">
        <v>34</v>
      </c>
      <c r="I585" s="184"/>
      <c r="J585" s="214">
        <v>0</v>
      </c>
      <c r="K585" s="163"/>
      <c r="L585" s="163"/>
      <c r="M585" s="163"/>
      <c r="N585" s="163"/>
      <c r="O585" s="163"/>
      <c r="P585" s="163"/>
      <c r="Q585" s="541"/>
      <c r="R585" s="541"/>
      <c r="S585" s="541"/>
      <c r="T585" s="541"/>
      <c r="U585" s="541"/>
      <c r="V585" s="541"/>
      <c r="W585" s="541"/>
      <c r="X585" s="541"/>
      <c r="Y585" s="541"/>
      <c r="Z585" s="541"/>
    </row>
    <row r="586" spans="1:26" ht="18.75">
      <c r="A586" s="572"/>
      <c r="B586" s="584"/>
      <c r="C586" s="584"/>
      <c r="D586" s="584"/>
      <c r="E586" s="592" t="s">
        <v>248</v>
      </c>
      <c r="F586" s="592"/>
      <c r="G586" s="726"/>
      <c r="H586" s="728" t="s">
        <v>46</v>
      </c>
      <c r="I586" s="184"/>
      <c r="J586" s="214">
        <v>0</v>
      </c>
      <c r="K586" s="163"/>
      <c r="L586" s="163"/>
      <c r="M586" s="163"/>
      <c r="N586" s="163"/>
      <c r="O586" s="163"/>
      <c r="P586" s="163"/>
      <c r="Q586" s="541"/>
      <c r="R586" s="541"/>
      <c r="S586" s="541"/>
      <c r="T586" s="541"/>
      <c r="U586" s="541"/>
      <c r="V586" s="541"/>
      <c r="W586" s="541"/>
      <c r="X586" s="541"/>
      <c r="Y586" s="541"/>
      <c r="Z586" s="541"/>
    </row>
    <row r="587" spans="1:26" ht="18.75">
      <c r="A587" s="572"/>
      <c r="B587" s="584"/>
      <c r="C587" s="584"/>
      <c r="D587" s="584"/>
      <c r="E587" s="584"/>
      <c r="F587" s="592"/>
      <c r="G587" s="726"/>
      <c r="H587" s="728" t="s">
        <v>34</v>
      </c>
      <c r="I587" s="184"/>
      <c r="J587" s="214">
        <v>0</v>
      </c>
      <c r="K587" s="163"/>
      <c r="L587" s="163"/>
      <c r="M587" s="163"/>
      <c r="N587" s="163"/>
      <c r="O587" s="163"/>
      <c r="P587" s="163"/>
      <c r="Q587" s="541"/>
      <c r="R587" s="541"/>
      <c r="S587" s="541"/>
      <c r="T587" s="541"/>
      <c r="U587" s="541"/>
      <c r="V587" s="541"/>
      <c r="W587" s="541"/>
      <c r="X587" s="541"/>
      <c r="Y587" s="541"/>
      <c r="Z587" s="541"/>
    </row>
    <row r="588" spans="1:26" ht="18.75">
      <c r="A588" s="572"/>
      <c r="B588" s="584"/>
      <c r="C588" s="584"/>
      <c r="D588" s="592" t="s">
        <v>249</v>
      </c>
      <c r="E588" s="592"/>
      <c r="F588" s="592"/>
      <c r="G588" s="726"/>
      <c r="H588" s="728" t="s">
        <v>46</v>
      </c>
      <c r="I588" s="184"/>
      <c r="J588" s="214">
        <v>0</v>
      </c>
      <c r="K588" s="163"/>
      <c r="L588" s="163"/>
      <c r="M588" s="163"/>
      <c r="N588" s="163"/>
      <c r="O588" s="163"/>
      <c r="P588" s="163"/>
      <c r="Q588" s="541"/>
      <c r="R588" s="541"/>
      <c r="S588" s="541"/>
      <c r="T588" s="541"/>
      <c r="U588" s="541"/>
      <c r="V588" s="541"/>
      <c r="W588" s="541"/>
      <c r="X588" s="541"/>
      <c r="Y588" s="541"/>
      <c r="Z588" s="541"/>
    </row>
    <row r="589" spans="1:26" ht="18.75">
      <c r="A589" s="572"/>
      <c r="B589" s="584"/>
      <c r="C589" s="584"/>
      <c r="D589" s="584"/>
      <c r="E589" s="584"/>
      <c r="F589" s="592"/>
      <c r="G589" s="726"/>
      <c r="H589" s="728" t="s">
        <v>34</v>
      </c>
      <c r="I589" s="184"/>
      <c r="J589" s="214">
        <v>0</v>
      </c>
      <c r="K589" s="163"/>
      <c r="L589" s="163"/>
      <c r="M589" s="163"/>
      <c r="N589" s="163"/>
      <c r="O589" s="163"/>
      <c r="P589" s="163"/>
      <c r="Q589" s="541"/>
      <c r="R589" s="541"/>
      <c r="S589" s="541"/>
      <c r="T589" s="541"/>
      <c r="U589" s="541"/>
      <c r="V589" s="541"/>
      <c r="W589" s="541"/>
      <c r="X589" s="541"/>
      <c r="Y589" s="541"/>
      <c r="Z589" s="541"/>
    </row>
    <row r="590" spans="1:26" ht="18.75">
      <c r="A590" s="572"/>
      <c r="B590" s="584"/>
      <c r="C590" s="584"/>
      <c r="D590" s="592" t="s">
        <v>250</v>
      </c>
      <c r="E590" s="592"/>
      <c r="F590" s="592"/>
      <c r="G590" s="726"/>
      <c r="H590" s="728" t="s">
        <v>46</v>
      </c>
      <c r="I590" s="184"/>
      <c r="J590" s="214">
        <v>0</v>
      </c>
      <c r="K590" s="163"/>
      <c r="L590" s="163"/>
      <c r="M590" s="163"/>
      <c r="N590" s="163"/>
      <c r="O590" s="163"/>
      <c r="P590" s="163"/>
      <c r="Q590" s="541"/>
      <c r="R590" s="541"/>
      <c r="S590" s="541"/>
      <c r="T590" s="541"/>
      <c r="U590" s="541"/>
      <c r="V590" s="541"/>
      <c r="W590" s="541"/>
      <c r="X590" s="541"/>
      <c r="Y590" s="541"/>
      <c r="Z590" s="541"/>
    </row>
    <row r="591" spans="1:26" ht="18.75">
      <c r="A591" s="662"/>
      <c r="B591" s="663"/>
      <c r="C591" s="663"/>
      <c r="D591" s="663"/>
      <c r="E591" s="541"/>
      <c r="F591" s="541"/>
      <c r="G591" s="664"/>
      <c r="H591" s="665" t="s">
        <v>34</v>
      </c>
      <c r="I591" s="666"/>
      <c r="J591" s="667">
        <v>0</v>
      </c>
      <c r="K591" s="668"/>
      <c r="L591" s="668"/>
      <c r="M591" s="668"/>
      <c r="N591" s="668"/>
      <c r="O591" s="668"/>
      <c r="P591" s="668"/>
      <c r="Q591" s="541"/>
      <c r="R591" s="541"/>
      <c r="S591" s="541"/>
      <c r="T591" s="541"/>
      <c r="U591" s="541"/>
      <c r="V591" s="541"/>
      <c r="W591" s="541"/>
      <c r="X591" s="541"/>
      <c r="Y591" s="541"/>
      <c r="Z591" s="541"/>
    </row>
    <row r="592" spans="1:26" ht="19.5">
      <c r="A592" s="658"/>
      <c r="B592" s="659" t="s">
        <v>251</v>
      </c>
      <c r="C592" s="660"/>
      <c r="D592" s="660"/>
      <c r="E592" s="639"/>
      <c r="F592" s="639"/>
      <c r="G592" s="640"/>
      <c r="H592" s="661" t="s">
        <v>46</v>
      </c>
      <c r="I592" s="672">
        <f t="shared" ref="I592:J592" ca="1" si="252">I593</f>
        <v>3200</v>
      </c>
      <c r="J592" s="672">
        <f t="shared" si="252"/>
        <v>0</v>
      </c>
      <c r="K592" s="643">
        <f t="shared" ref="K592:K594" ca="1" si="253">IF(I592&gt;0,J592*100/I592,0)</f>
        <v>0</v>
      </c>
      <c r="L592" s="644"/>
      <c r="M592" s="644"/>
      <c r="N592" s="644"/>
      <c r="O592" s="644"/>
      <c r="P592" s="644"/>
      <c r="Q592" s="541"/>
      <c r="R592" s="541"/>
      <c r="S592" s="541"/>
      <c r="T592" s="541"/>
      <c r="U592" s="541"/>
      <c r="V592" s="541"/>
      <c r="W592" s="541"/>
      <c r="X592" s="541"/>
      <c r="Y592" s="541"/>
      <c r="Z592" s="541"/>
    </row>
    <row r="593" spans="1:26" ht="19.5">
      <c r="A593" s="572"/>
      <c r="B593" s="584"/>
      <c r="C593" s="591" t="s">
        <v>252</v>
      </c>
      <c r="D593" s="584"/>
      <c r="E593" s="584"/>
      <c r="F593" s="592"/>
      <c r="G593" s="726"/>
      <c r="H593" s="731" t="s">
        <v>46</v>
      </c>
      <c r="I593" s="193">
        <f ca="1">IFERROR(__xludf.DUMMYFUNCTION("IMPORTRANGE(""https://docs.google.com/spreadsheets/d/1QqKyyYR6Q21VydFLVH3TRQUabQu_ym0Zz7PgGX0-kHA/edit?usp=sharing"",""แผน!HJ21"")"),3200)</f>
        <v>3200</v>
      </c>
      <c r="J593" s="193">
        <f t="shared" ref="J593:J594" si="254">J595+J603+J609</f>
        <v>0</v>
      </c>
      <c r="K593" s="379">
        <f t="shared" ca="1" si="253"/>
        <v>0</v>
      </c>
      <c r="L593" s="163"/>
      <c r="M593" s="163"/>
      <c r="N593" s="163"/>
      <c r="O593" s="163"/>
      <c r="P593" s="163"/>
      <c r="Q593" s="541"/>
      <c r="R593" s="541"/>
      <c r="S593" s="541"/>
      <c r="T593" s="541"/>
      <c r="U593" s="541"/>
      <c r="V593" s="541"/>
      <c r="W593" s="541"/>
      <c r="X593" s="541"/>
      <c r="Y593" s="541"/>
      <c r="Z593" s="541"/>
    </row>
    <row r="594" spans="1:26" ht="19.5">
      <c r="A594" s="572"/>
      <c r="B594" s="584"/>
      <c r="C594" s="584"/>
      <c r="D594" s="584"/>
      <c r="E594" s="592"/>
      <c r="F594" s="592"/>
      <c r="G594" s="726"/>
      <c r="H594" s="731" t="s">
        <v>34</v>
      </c>
      <c r="I594" s="193">
        <f ca="1">IFERROR(__xludf.DUMMYFUNCTION("IMPORTRANGE(""https://docs.google.com/spreadsheets/d/1QqKyyYR6Q21VydFLVH3TRQUabQu_ym0Zz7PgGX0-kHA/edit?usp=sharing"",""แผน!HI21"")"),400)</f>
        <v>400</v>
      </c>
      <c r="J594" s="193">
        <f t="shared" si="254"/>
        <v>0</v>
      </c>
      <c r="K594" s="379">
        <f t="shared" ca="1" si="253"/>
        <v>0</v>
      </c>
      <c r="L594" s="163"/>
      <c r="M594" s="163"/>
      <c r="N594" s="163"/>
      <c r="O594" s="163"/>
      <c r="P594" s="163"/>
      <c r="Q594" s="541"/>
      <c r="R594" s="541"/>
      <c r="S594" s="541"/>
      <c r="T594" s="541"/>
      <c r="U594" s="541"/>
      <c r="V594" s="541"/>
      <c r="W594" s="541"/>
      <c r="X594" s="541"/>
      <c r="Y594" s="541"/>
      <c r="Z594" s="541"/>
    </row>
    <row r="595" spans="1:26" ht="18.75">
      <c r="A595" s="572"/>
      <c r="B595" s="584"/>
      <c r="C595" s="584" t="s">
        <v>253</v>
      </c>
      <c r="D595" s="584"/>
      <c r="E595" s="584"/>
      <c r="F595" s="592"/>
      <c r="G595" s="726"/>
      <c r="H595" s="728" t="s">
        <v>46</v>
      </c>
      <c r="I595" s="184"/>
      <c r="J595" s="184">
        <f t="shared" ref="J595:J596" si="255">J597+J599</f>
        <v>0</v>
      </c>
      <c r="K595" s="163"/>
      <c r="L595" s="163"/>
      <c r="M595" s="163"/>
      <c r="N595" s="163"/>
      <c r="O595" s="163"/>
      <c r="P595" s="163"/>
      <c r="Q595" s="541"/>
      <c r="R595" s="541"/>
      <c r="S595" s="541"/>
      <c r="T595" s="541"/>
      <c r="U595" s="541"/>
      <c r="V595" s="541"/>
      <c r="W595" s="541"/>
      <c r="X595" s="541"/>
      <c r="Y595" s="541"/>
      <c r="Z595" s="541"/>
    </row>
    <row r="596" spans="1:26" ht="18.75">
      <c r="A596" s="572"/>
      <c r="B596" s="584"/>
      <c r="C596" s="584"/>
      <c r="D596" s="584"/>
      <c r="E596" s="592"/>
      <c r="F596" s="592"/>
      <c r="G596" s="726"/>
      <c r="H596" s="728" t="s">
        <v>34</v>
      </c>
      <c r="I596" s="184"/>
      <c r="J596" s="184">
        <f t="shared" si="255"/>
        <v>0</v>
      </c>
      <c r="K596" s="163"/>
      <c r="L596" s="163"/>
      <c r="M596" s="163"/>
      <c r="N596" s="163"/>
      <c r="O596" s="163"/>
      <c r="P596" s="163"/>
      <c r="Q596" s="541"/>
      <c r="R596" s="541"/>
      <c r="S596" s="541"/>
      <c r="T596" s="541"/>
      <c r="U596" s="541"/>
      <c r="V596" s="541"/>
      <c r="W596" s="541"/>
      <c r="X596" s="541"/>
      <c r="Y596" s="541"/>
      <c r="Z596" s="541"/>
    </row>
    <row r="597" spans="1:26" ht="18.75">
      <c r="A597" s="572"/>
      <c r="B597" s="584"/>
      <c r="C597" s="584"/>
      <c r="D597" s="710" t="s">
        <v>254</v>
      </c>
      <c r="E597" s="592"/>
      <c r="F597" s="592"/>
      <c r="G597" s="726"/>
      <c r="H597" s="728" t="s">
        <v>46</v>
      </c>
      <c r="I597" s="184"/>
      <c r="J597" s="214">
        <v>0</v>
      </c>
      <c r="K597" s="163"/>
      <c r="L597" s="163"/>
      <c r="M597" s="163"/>
      <c r="N597" s="163"/>
      <c r="O597" s="163"/>
      <c r="P597" s="163"/>
      <c r="Q597" s="541"/>
      <c r="R597" s="541"/>
      <c r="S597" s="541"/>
      <c r="T597" s="541"/>
      <c r="U597" s="541"/>
      <c r="V597" s="541"/>
      <c r="W597" s="541"/>
      <c r="X597" s="541"/>
      <c r="Y597" s="541"/>
      <c r="Z597" s="541"/>
    </row>
    <row r="598" spans="1:26" ht="18.75">
      <c r="A598" s="572"/>
      <c r="B598" s="584"/>
      <c r="C598" s="584"/>
      <c r="D598" s="584"/>
      <c r="E598" s="592"/>
      <c r="F598" s="592"/>
      <c r="G598" s="726"/>
      <c r="H598" s="728" t="s">
        <v>34</v>
      </c>
      <c r="I598" s="269"/>
      <c r="J598" s="214">
        <v>0</v>
      </c>
      <c r="K598" s="163"/>
      <c r="L598" s="163"/>
      <c r="M598" s="163"/>
      <c r="N598" s="163"/>
      <c r="O598" s="163"/>
      <c r="P598" s="163"/>
      <c r="Q598" s="541"/>
      <c r="R598" s="541"/>
      <c r="S598" s="541"/>
      <c r="T598" s="541"/>
      <c r="U598" s="541"/>
      <c r="V598" s="541"/>
      <c r="W598" s="541"/>
      <c r="X598" s="541"/>
      <c r="Y598" s="541"/>
      <c r="Z598" s="541"/>
    </row>
    <row r="599" spans="1:26" ht="18.75">
      <c r="A599" s="572"/>
      <c r="B599" s="584"/>
      <c r="C599" s="584"/>
      <c r="D599" s="710" t="s">
        <v>255</v>
      </c>
      <c r="E599" s="592"/>
      <c r="F599" s="592"/>
      <c r="G599" s="726"/>
      <c r="H599" s="728" t="s">
        <v>46</v>
      </c>
      <c r="I599" s="269"/>
      <c r="J599" s="214">
        <v>0</v>
      </c>
      <c r="K599" s="163"/>
      <c r="L599" s="163"/>
      <c r="M599" s="163"/>
      <c r="N599" s="163"/>
      <c r="O599" s="163"/>
      <c r="P599" s="163"/>
      <c r="Q599" s="541"/>
      <c r="R599" s="541"/>
      <c r="S599" s="541"/>
      <c r="T599" s="541"/>
      <c r="U599" s="541"/>
      <c r="V599" s="541"/>
      <c r="W599" s="541"/>
      <c r="X599" s="541"/>
      <c r="Y599" s="541"/>
      <c r="Z599" s="541"/>
    </row>
    <row r="600" spans="1:26" ht="18.75">
      <c r="A600" s="572"/>
      <c r="B600" s="584"/>
      <c r="C600" s="584"/>
      <c r="D600" s="584"/>
      <c r="E600" s="592"/>
      <c r="F600" s="592"/>
      <c r="G600" s="726"/>
      <c r="H600" s="728" t="s">
        <v>34</v>
      </c>
      <c r="I600" s="269"/>
      <c r="J600" s="214">
        <v>0</v>
      </c>
      <c r="K600" s="163"/>
      <c r="L600" s="163"/>
      <c r="M600" s="163"/>
      <c r="N600" s="163"/>
      <c r="O600" s="163"/>
      <c r="P600" s="163"/>
      <c r="Q600" s="541"/>
      <c r="R600" s="541"/>
      <c r="S600" s="541"/>
      <c r="T600" s="541"/>
      <c r="U600" s="541"/>
      <c r="V600" s="541"/>
      <c r="W600" s="541"/>
      <c r="X600" s="541"/>
      <c r="Y600" s="541"/>
      <c r="Z600" s="541"/>
    </row>
    <row r="601" spans="1:26" ht="18.75">
      <c r="A601" s="572"/>
      <c r="B601" s="584"/>
      <c r="C601" s="584"/>
      <c r="D601" s="710" t="s">
        <v>256</v>
      </c>
      <c r="E601" s="592"/>
      <c r="F601" s="592"/>
      <c r="G601" s="726"/>
      <c r="H601" s="728" t="s">
        <v>46</v>
      </c>
      <c r="I601" s="269"/>
      <c r="J601" s="214">
        <v>0</v>
      </c>
      <c r="K601" s="163"/>
      <c r="L601" s="163"/>
      <c r="M601" s="163"/>
      <c r="N601" s="163"/>
      <c r="O601" s="163"/>
      <c r="P601" s="163"/>
      <c r="Q601" s="541"/>
      <c r="R601" s="541"/>
      <c r="S601" s="541"/>
      <c r="T601" s="541"/>
      <c r="U601" s="541"/>
      <c r="V601" s="541"/>
      <c r="W601" s="541"/>
      <c r="X601" s="541"/>
      <c r="Y601" s="541"/>
      <c r="Z601" s="541"/>
    </row>
    <row r="602" spans="1:26" ht="18.75">
      <c r="A602" s="572"/>
      <c r="B602" s="584"/>
      <c r="C602" s="584"/>
      <c r="D602" s="584"/>
      <c r="E602" s="592"/>
      <c r="F602" s="592"/>
      <c r="G602" s="726"/>
      <c r="H602" s="728" t="s">
        <v>34</v>
      </c>
      <c r="I602" s="269"/>
      <c r="J602" s="214">
        <v>0</v>
      </c>
      <c r="K602" s="163"/>
      <c r="L602" s="163"/>
      <c r="M602" s="163"/>
      <c r="N602" s="163"/>
      <c r="O602" s="163"/>
      <c r="P602" s="163"/>
      <c r="Q602" s="541"/>
      <c r="R602" s="541"/>
      <c r="S602" s="541"/>
      <c r="T602" s="541"/>
      <c r="U602" s="541"/>
      <c r="V602" s="541"/>
      <c r="W602" s="541"/>
      <c r="X602" s="541"/>
      <c r="Y602" s="541"/>
      <c r="Z602" s="541"/>
    </row>
    <row r="603" spans="1:26" ht="18.75">
      <c r="A603" s="572"/>
      <c r="B603" s="584"/>
      <c r="C603" s="669" t="s">
        <v>257</v>
      </c>
      <c r="D603" s="584"/>
      <c r="E603" s="584"/>
      <c r="F603" s="592"/>
      <c r="G603" s="726"/>
      <c r="H603" s="728" t="s">
        <v>46</v>
      </c>
      <c r="I603" s="269"/>
      <c r="J603" s="269">
        <f t="shared" ref="J603:J604" si="256">J605+J607</f>
        <v>0</v>
      </c>
      <c r="K603" s="163"/>
      <c r="L603" s="163"/>
      <c r="M603" s="163"/>
      <c r="N603" s="163"/>
      <c r="O603" s="163"/>
      <c r="P603" s="163"/>
      <c r="Q603" s="541"/>
      <c r="R603" s="541"/>
      <c r="S603" s="541"/>
      <c r="T603" s="541"/>
      <c r="U603" s="541"/>
      <c r="V603" s="541"/>
      <c r="W603" s="541"/>
      <c r="X603" s="541"/>
      <c r="Y603" s="541"/>
      <c r="Z603" s="541"/>
    </row>
    <row r="604" spans="1:26" ht="18.75">
      <c r="A604" s="572"/>
      <c r="B604" s="584"/>
      <c r="C604" s="584"/>
      <c r="D604" s="584"/>
      <c r="E604" s="592"/>
      <c r="F604" s="592"/>
      <c r="G604" s="726"/>
      <c r="H604" s="728" t="s">
        <v>34</v>
      </c>
      <c r="I604" s="269"/>
      <c r="J604" s="269">
        <f t="shared" si="256"/>
        <v>0</v>
      </c>
      <c r="K604" s="163"/>
      <c r="L604" s="163"/>
      <c r="M604" s="163"/>
      <c r="N604" s="163"/>
      <c r="O604" s="163"/>
      <c r="P604" s="163"/>
      <c r="Q604" s="541"/>
      <c r="R604" s="541"/>
      <c r="S604" s="541"/>
      <c r="T604" s="541"/>
      <c r="U604" s="541"/>
      <c r="V604" s="541"/>
      <c r="W604" s="541"/>
      <c r="X604" s="541"/>
      <c r="Y604" s="541"/>
      <c r="Z604" s="541"/>
    </row>
    <row r="605" spans="1:26" ht="18.75">
      <c r="A605" s="572"/>
      <c r="B605" s="584"/>
      <c r="C605" s="584"/>
      <c r="D605" s="669" t="s">
        <v>258</v>
      </c>
      <c r="E605" s="592"/>
      <c r="F605" s="592"/>
      <c r="G605" s="726"/>
      <c r="H605" s="728" t="s">
        <v>46</v>
      </c>
      <c r="I605" s="269"/>
      <c r="J605" s="214">
        <v>0</v>
      </c>
      <c r="K605" s="163"/>
      <c r="L605" s="163"/>
      <c r="M605" s="163"/>
      <c r="N605" s="163"/>
      <c r="O605" s="163"/>
      <c r="P605" s="163"/>
      <c r="Q605" s="541"/>
      <c r="R605" s="541"/>
      <c r="S605" s="541"/>
      <c r="T605" s="541"/>
      <c r="U605" s="541"/>
      <c r="V605" s="541"/>
      <c r="W605" s="541"/>
      <c r="X605" s="541"/>
      <c r="Y605" s="541"/>
      <c r="Z605" s="541"/>
    </row>
    <row r="606" spans="1:26" ht="18.75">
      <c r="A606" s="572"/>
      <c r="B606" s="584"/>
      <c r="C606" s="584"/>
      <c r="D606" s="584"/>
      <c r="E606" s="584"/>
      <c r="F606" s="592"/>
      <c r="G606" s="726"/>
      <c r="H606" s="728" t="s">
        <v>34</v>
      </c>
      <c r="I606" s="269"/>
      <c r="J606" s="214">
        <v>0</v>
      </c>
      <c r="K606" s="163"/>
      <c r="L606" s="163"/>
      <c r="M606" s="163"/>
      <c r="N606" s="163"/>
      <c r="O606" s="163"/>
      <c r="P606" s="163"/>
      <c r="Q606" s="541"/>
      <c r="R606" s="541"/>
      <c r="S606" s="541"/>
      <c r="T606" s="541"/>
      <c r="U606" s="541"/>
      <c r="V606" s="541"/>
      <c r="W606" s="541"/>
      <c r="X606" s="541"/>
      <c r="Y606" s="541"/>
      <c r="Z606" s="541"/>
    </row>
    <row r="607" spans="1:26" ht="18.75">
      <c r="A607" s="572"/>
      <c r="B607" s="584"/>
      <c r="C607" s="584"/>
      <c r="D607" s="669" t="s">
        <v>259</v>
      </c>
      <c r="E607" s="584"/>
      <c r="F607" s="592"/>
      <c r="G607" s="726"/>
      <c r="H607" s="728" t="s">
        <v>46</v>
      </c>
      <c r="I607" s="269"/>
      <c r="J607" s="214">
        <v>0</v>
      </c>
      <c r="K607" s="163"/>
      <c r="L607" s="163"/>
      <c r="M607" s="163"/>
      <c r="N607" s="163"/>
      <c r="O607" s="163"/>
      <c r="P607" s="163"/>
      <c r="Q607" s="541"/>
      <c r="R607" s="541"/>
      <c r="S607" s="541"/>
      <c r="T607" s="541"/>
      <c r="U607" s="541"/>
      <c r="V607" s="541"/>
      <c r="W607" s="541"/>
      <c r="X607" s="541"/>
      <c r="Y607" s="541"/>
      <c r="Z607" s="541"/>
    </row>
    <row r="608" spans="1:26" ht="18.75">
      <c r="A608" s="572"/>
      <c r="B608" s="584"/>
      <c r="C608" s="584"/>
      <c r="D608" s="584"/>
      <c r="E608" s="592"/>
      <c r="F608" s="592"/>
      <c r="G608" s="726"/>
      <c r="H608" s="728" t="s">
        <v>34</v>
      </c>
      <c r="I608" s="269"/>
      <c r="J608" s="214">
        <v>0</v>
      </c>
      <c r="K608" s="163"/>
      <c r="L608" s="163"/>
      <c r="M608" s="163"/>
      <c r="N608" s="163"/>
      <c r="O608" s="163"/>
      <c r="P608" s="163"/>
      <c r="Q608" s="541"/>
      <c r="R608" s="541"/>
      <c r="S608" s="541"/>
      <c r="T608" s="541"/>
      <c r="U608" s="541"/>
      <c r="V608" s="541"/>
      <c r="W608" s="541"/>
      <c r="X608" s="541"/>
      <c r="Y608" s="541"/>
      <c r="Z608" s="541"/>
    </row>
    <row r="609" spans="1:26" ht="18.75">
      <c r="A609" s="572"/>
      <c r="B609" s="584"/>
      <c r="C609" s="584" t="s">
        <v>260</v>
      </c>
      <c r="D609" s="584"/>
      <c r="E609" s="584"/>
      <c r="F609" s="592"/>
      <c r="G609" s="726"/>
      <c r="H609" s="728" t="s">
        <v>46</v>
      </c>
      <c r="I609" s="269"/>
      <c r="J609" s="214">
        <v>0</v>
      </c>
      <c r="K609" s="163"/>
      <c r="L609" s="163"/>
      <c r="M609" s="163"/>
      <c r="N609" s="163"/>
      <c r="O609" s="163"/>
      <c r="P609" s="163"/>
      <c r="Q609" s="541"/>
      <c r="R609" s="541"/>
      <c r="S609" s="541"/>
      <c r="T609" s="541"/>
      <c r="U609" s="541"/>
      <c r="V609" s="541"/>
      <c r="W609" s="541"/>
      <c r="X609" s="541"/>
      <c r="Y609" s="541"/>
      <c r="Z609" s="541"/>
    </row>
    <row r="610" spans="1:26" ht="18.75">
      <c r="A610" s="572"/>
      <c r="B610" s="584"/>
      <c r="C610" s="584"/>
      <c r="D610" s="584"/>
      <c r="E610" s="592"/>
      <c r="F610" s="592"/>
      <c r="G610" s="726"/>
      <c r="H610" s="728" t="s">
        <v>34</v>
      </c>
      <c r="I610" s="269"/>
      <c r="J610" s="214">
        <v>0</v>
      </c>
      <c r="K610" s="163"/>
      <c r="L610" s="163"/>
      <c r="M610" s="163"/>
      <c r="N610" s="163"/>
      <c r="O610" s="163"/>
      <c r="P610" s="163"/>
      <c r="Q610" s="541"/>
      <c r="R610" s="541"/>
      <c r="S610" s="541"/>
      <c r="T610" s="541"/>
      <c r="U610" s="541"/>
      <c r="V610" s="541"/>
      <c r="W610" s="541"/>
      <c r="X610" s="541"/>
      <c r="Y610" s="541"/>
      <c r="Z610" s="541"/>
    </row>
    <row r="611" spans="1:26" ht="19.5">
      <c r="A611" s="658"/>
      <c r="B611" s="670" t="s">
        <v>261</v>
      </c>
      <c r="C611" s="660"/>
      <c r="D611" s="660"/>
      <c r="E611" s="639"/>
      <c r="F611" s="639"/>
      <c r="G611" s="640"/>
      <c r="H611" s="671" t="s">
        <v>46</v>
      </c>
      <c r="I611" s="672">
        <v>0</v>
      </c>
      <c r="J611" s="672">
        <f>J614+J616</f>
        <v>0</v>
      </c>
      <c r="K611" s="643">
        <f t="shared" ref="K611:K613" si="257">IF(I611&gt;0,J611*100/I611,0)</f>
        <v>0</v>
      </c>
      <c r="L611" s="644"/>
      <c r="M611" s="644"/>
      <c r="N611" s="644"/>
      <c r="O611" s="644"/>
      <c r="P611" s="644"/>
      <c r="Q611" s="541"/>
      <c r="R611" s="541"/>
      <c r="S611" s="541"/>
      <c r="T611" s="541"/>
      <c r="U611" s="541"/>
      <c r="V611" s="541"/>
      <c r="W611" s="541"/>
      <c r="X611" s="541"/>
      <c r="Y611" s="541"/>
      <c r="Z611" s="541"/>
    </row>
    <row r="612" spans="1:26" ht="19.5" hidden="1">
      <c r="A612" s="673"/>
      <c r="B612" s="683"/>
      <c r="C612" s="675" t="s">
        <v>262</v>
      </c>
      <c r="D612" s="683"/>
      <c r="E612" s="683"/>
      <c r="F612" s="676"/>
      <c r="G612" s="677"/>
      <c r="H612" s="678" t="s">
        <v>46</v>
      </c>
      <c r="I612" s="680">
        <v>0</v>
      </c>
      <c r="J612" s="680">
        <f t="shared" ref="J612:J613" si="258">J614+J616</f>
        <v>0</v>
      </c>
      <c r="K612" s="681">
        <f t="shared" si="257"/>
        <v>0</v>
      </c>
      <c r="L612" s="682"/>
      <c r="M612" s="682"/>
      <c r="N612" s="682"/>
      <c r="O612" s="682"/>
      <c r="P612" s="682"/>
      <c r="Q612" s="568"/>
      <c r="R612" s="568"/>
      <c r="S612" s="568"/>
      <c r="T612" s="568"/>
      <c r="U612" s="568"/>
      <c r="V612" s="568"/>
      <c r="W612" s="568"/>
      <c r="X612" s="568"/>
      <c r="Y612" s="568"/>
      <c r="Z612" s="568"/>
    </row>
    <row r="613" spans="1:26" ht="19.5" hidden="1">
      <c r="A613" s="673"/>
      <c r="B613" s="683"/>
      <c r="C613" s="683" t="s">
        <v>263</v>
      </c>
      <c r="D613" s="683"/>
      <c r="E613" s="683"/>
      <c r="F613" s="676"/>
      <c r="G613" s="677"/>
      <c r="H613" s="678" t="s">
        <v>34</v>
      </c>
      <c r="I613" s="680">
        <v>0</v>
      </c>
      <c r="J613" s="680">
        <f t="shared" si="258"/>
        <v>0</v>
      </c>
      <c r="K613" s="681">
        <f t="shared" si="257"/>
        <v>0</v>
      </c>
      <c r="L613" s="682"/>
      <c r="M613" s="682"/>
      <c r="N613" s="682"/>
      <c r="O613" s="682"/>
      <c r="P613" s="682"/>
      <c r="Q613" s="568"/>
      <c r="R613" s="568"/>
      <c r="S613" s="568"/>
      <c r="T613" s="568"/>
      <c r="U613" s="568"/>
      <c r="V613" s="568"/>
      <c r="W613" s="568"/>
      <c r="X613" s="568"/>
      <c r="Y613" s="568"/>
      <c r="Z613" s="568"/>
    </row>
    <row r="614" spans="1:26" ht="18.75" hidden="1">
      <c r="A614" s="578"/>
      <c r="B614" s="580"/>
      <c r="C614" s="580"/>
      <c r="D614" s="684" t="s">
        <v>264</v>
      </c>
      <c r="E614" s="580"/>
      <c r="F614" s="684"/>
      <c r="G614" s="581"/>
      <c r="H614" s="582" t="s">
        <v>46</v>
      </c>
      <c r="I614" s="583"/>
      <c r="J614" s="583">
        <v>0</v>
      </c>
      <c r="K614" s="167"/>
      <c r="L614" s="167"/>
      <c r="M614" s="167"/>
      <c r="N614" s="167"/>
      <c r="O614" s="167"/>
      <c r="P614" s="167"/>
      <c r="Q614" s="568"/>
      <c r="R614" s="568"/>
      <c r="S614" s="568"/>
      <c r="T614" s="568"/>
      <c r="U614" s="568"/>
      <c r="V614" s="568"/>
      <c r="W614" s="568"/>
      <c r="X614" s="568"/>
      <c r="Y614" s="568"/>
      <c r="Z614" s="568"/>
    </row>
    <row r="615" spans="1:26" ht="18.75" hidden="1">
      <c r="A615" s="578"/>
      <c r="B615" s="580"/>
      <c r="C615" s="580"/>
      <c r="D615" s="580"/>
      <c r="E615" s="580"/>
      <c r="F615" s="684"/>
      <c r="G615" s="581"/>
      <c r="H615" s="582" t="s">
        <v>34</v>
      </c>
      <c r="I615" s="583"/>
      <c r="J615" s="583">
        <v>0</v>
      </c>
      <c r="K615" s="167"/>
      <c r="L615" s="167"/>
      <c r="M615" s="167"/>
      <c r="N615" s="167"/>
      <c r="O615" s="167"/>
      <c r="P615" s="167"/>
      <c r="Q615" s="568"/>
      <c r="R615" s="568"/>
      <c r="S615" s="568"/>
      <c r="T615" s="568"/>
      <c r="U615" s="568"/>
      <c r="V615" s="568"/>
      <c r="W615" s="568"/>
      <c r="X615" s="568"/>
      <c r="Y615" s="568"/>
      <c r="Z615" s="568"/>
    </row>
    <row r="616" spans="1:26" ht="18.75" hidden="1">
      <c r="A616" s="578"/>
      <c r="B616" s="580"/>
      <c r="C616" s="580"/>
      <c r="D616" s="685" t="s">
        <v>264</v>
      </c>
      <c r="E616" s="684"/>
      <c r="F616" s="684"/>
      <c r="G616" s="581"/>
      <c r="H616" s="582" t="s">
        <v>46</v>
      </c>
      <c r="I616" s="583"/>
      <c r="J616" s="583">
        <v>0</v>
      </c>
      <c r="K616" s="167"/>
      <c r="L616" s="167"/>
      <c r="M616" s="167"/>
      <c r="N616" s="167"/>
      <c r="O616" s="167"/>
      <c r="P616" s="167"/>
      <c r="Q616" s="568"/>
      <c r="R616" s="568"/>
      <c r="S616" s="568"/>
      <c r="T616" s="568"/>
      <c r="U616" s="568"/>
      <c r="V616" s="568"/>
      <c r="W616" s="568"/>
      <c r="X616" s="568"/>
      <c r="Y616" s="568"/>
      <c r="Z616" s="568"/>
    </row>
    <row r="617" spans="1:26" ht="18.75" hidden="1">
      <c r="A617" s="578"/>
      <c r="B617" s="580"/>
      <c r="C617" s="580"/>
      <c r="D617" s="580"/>
      <c r="E617" s="684"/>
      <c r="F617" s="684"/>
      <c r="G617" s="581"/>
      <c r="H617" s="582" t="s">
        <v>34</v>
      </c>
      <c r="I617" s="583"/>
      <c r="J617" s="583">
        <v>0</v>
      </c>
      <c r="K617" s="167"/>
      <c r="L617" s="167"/>
      <c r="M617" s="167"/>
      <c r="N617" s="167"/>
      <c r="O617" s="167"/>
      <c r="P617" s="167"/>
      <c r="Q617" s="568"/>
      <c r="R617" s="568"/>
      <c r="S617" s="568"/>
      <c r="T617" s="568"/>
      <c r="U617" s="568"/>
      <c r="V617" s="568"/>
      <c r="W617" s="568"/>
      <c r="X617" s="568"/>
      <c r="Y617" s="568"/>
      <c r="Z617" s="568"/>
    </row>
    <row r="618" spans="1:26" ht="18.75" hidden="1">
      <c r="A618" s="578"/>
      <c r="B618" s="580"/>
      <c r="C618" s="580"/>
      <c r="D618" s="685" t="s">
        <v>265</v>
      </c>
      <c r="E618" s="684"/>
      <c r="F618" s="684"/>
      <c r="G618" s="581"/>
      <c r="H618" s="582" t="s">
        <v>46</v>
      </c>
      <c r="I618" s="583"/>
      <c r="J618" s="583">
        <v>0</v>
      </c>
      <c r="K618" s="167"/>
      <c r="L618" s="167"/>
      <c r="M618" s="167"/>
      <c r="N618" s="167"/>
      <c r="O618" s="167"/>
      <c r="P618" s="167"/>
      <c r="Q618" s="568"/>
      <c r="R618" s="568"/>
      <c r="S618" s="568"/>
      <c r="T618" s="568"/>
      <c r="U618" s="568"/>
      <c r="V618" s="568"/>
      <c r="W618" s="568"/>
      <c r="X618" s="568"/>
      <c r="Y618" s="568"/>
      <c r="Z618" s="568"/>
    </row>
    <row r="619" spans="1:26" ht="18.75" hidden="1">
      <c r="A619" s="578"/>
      <c r="B619" s="580"/>
      <c r="C619" s="580"/>
      <c r="D619" s="580"/>
      <c r="E619" s="684"/>
      <c r="F619" s="684"/>
      <c r="G619" s="581"/>
      <c r="H619" s="582" t="s">
        <v>34</v>
      </c>
      <c r="I619" s="583"/>
      <c r="J619" s="583">
        <v>0</v>
      </c>
      <c r="K619" s="167"/>
      <c r="L619" s="167"/>
      <c r="M619" s="167"/>
      <c r="N619" s="167"/>
      <c r="O619" s="167"/>
      <c r="P619" s="167"/>
      <c r="Q619" s="568"/>
      <c r="R619" s="568"/>
      <c r="S619" s="568"/>
      <c r="T619" s="568"/>
      <c r="U619" s="568"/>
      <c r="V619" s="568"/>
      <c r="W619" s="568"/>
      <c r="X619" s="568"/>
      <c r="Y619" s="568"/>
      <c r="Z619" s="568"/>
    </row>
    <row r="620" spans="1:26" ht="19.5">
      <c r="A620" s="686"/>
      <c r="B620" s="695"/>
      <c r="C620" s="688" t="s">
        <v>266</v>
      </c>
      <c r="D620" s="695"/>
      <c r="E620" s="695"/>
      <c r="F620" s="689"/>
      <c r="G620" s="690"/>
      <c r="H620" s="691" t="s">
        <v>46</v>
      </c>
      <c r="I620" s="692">
        <f ca="1">IFERROR(__xludf.DUMMYFUNCTION("IMPORTRANGE(""https://docs.google.com/spreadsheets/d/1QqKyyYR6Q21VydFLVH3TRQUabQu_ym0Zz7PgGX0-kHA/edit?usp=sharing"",""แผน!HL21"")"),0)</f>
        <v>0</v>
      </c>
      <c r="J620" s="692">
        <f t="shared" ref="J620:J621" si="259">J622+J624+J626</f>
        <v>0</v>
      </c>
      <c r="K620" s="693">
        <f t="shared" ref="K620:K621" ca="1" si="260">IF(I620&gt;0,J620*100/I620,0)</f>
        <v>0</v>
      </c>
      <c r="L620" s="694"/>
      <c r="M620" s="694"/>
      <c r="N620" s="694"/>
      <c r="O620" s="694"/>
      <c r="P620" s="694"/>
      <c r="Q620" s="541"/>
      <c r="R620" s="541"/>
      <c r="S620" s="541"/>
      <c r="T620" s="541"/>
      <c r="U620" s="541"/>
      <c r="V620" s="541"/>
      <c r="W620" s="541"/>
      <c r="X620" s="541"/>
      <c r="Y620" s="541"/>
      <c r="Z620" s="541"/>
    </row>
    <row r="621" spans="1:26" ht="19.5">
      <c r="A621" s="686"/>
      <c r="B621" s="695"/>
      <c r="C621" s="695" t="s">
        <v>267</v>
      </c>
      <c r="D621" s="695"/>
      <c r="E621" s="695"/>
      <c r="F621" s="689"/>
      <c r="G621" s="690"/>
      <c r="H621" s="691" t="s">
        <v>34</v>
      </c>
      <c r="I621" s="692">
        <f ca="1">IFERROR(__xludf.DUMMYFUNCTION("IMPORTRANGE(""https://docs.google.com/spreadsheets/d/1QqKyyYR6Q21VydFLVH3TRQUabQu_ym0Zz7PgGX0-kHA/edit?usp=sharing"",""แผน!HK21"")"),0)</f>
        <v>0</v>
      </c>
      <c r="J621" s="692">
        <f t="shared" si="259"/>
        <v>0</v>
      </c>
      <c r="K621" s="693">
        <f t="shared" ca="1" si="260"/>
        <v>0</v>
      </c>
      <c r="L621" s="694"/>
      <c r="M621" s="694"/>
      <c r="N621" s="694"/>
      <c r="O621" s="694"/>
      <c r="P621" s="694"/>
      <c r="Q621" s="541"/>
      <c r="R621" s="541"/>
      <c r="S621" s="541"/>
      <c r="T621" s="541"/>
      <c r="U621" s="541"/>
      <c r="V621" s="541"/>
      <c r="W621" s="541"/>
      <c r="X621" s="541"/>
      <c r="Y621" s="541"/>
      <c r="Z621" s="541"/>
    </row>
    <row r="622" spans="1:26" ht="18.75">
      <c r="A622" s="572"/>
      <c r="B622" s="584"/>
      <c r="C622" s="584"/>
      <c r="D622" s="710" t="s">
        <v>268</v>
      </c>
      <c r="E622" s="592"/>
      <c r="F622" s="592"/>
      <c r="G622" s="726"/>
      <c r="H622" s="728" t="s">
        <v>46</v>
      </c>
      <c r="I622" s="269"/>
      <c r="J622" s="214">
        <v>0</v>
      </c>
      <c r="K622" s="163"/>
      <c r="L622" s="163"/>
      <c r="M622" s="163"/>
      <c r="N622" s="163"/>
      <c r="O622" s="163"/>
      <c r="P622" s="163"/>
      <c r="Q622" s="541"/>
      <c r="R622" s="541"/>
      <c r="S622" s="541"/>
      <c r="T622" s="541"/>
      <c r="U622" s="541"/>
      <c r="V622" s="541"/>
      <c r="W622" s="541"/>
      <c r="X622" s="541"/>
      <c r="Y622" s="541"/>
      <c r="Z622" s="541"/>
    </row>
    <row r="623" spans="1:26" ht="18.75">
      <c r="A623" s="572"/>
      <c r="B623" s="584"/>
      <c r="C623" s="584"/>
      <c r="D623" s="584"/>
      <c r="E623" s="592"/>
      <c r="F623" s="592"/>
      <c r="G623" s="726"/>
      <c r="H623" s="728" t="s">
        <v>34</v>
      </c>
      <c r="I623" s="269"/>
      <c r="J623" s="214">
        <v>0</v>
      </c>
      <c r="K623" s="163"/>
      <c r="L623" s="163"/>
      <c r="M623" s="163"/>
      <c r="N623" s="163"/>
      <c r="O623" s="163"/>
      <c r="P623" s="163"/>
      <c r="Q623" s="541"/>
      <c r="R623" s="541"/>
      <c r="S623" s="541"/>
      <c r="T623" s="541"/>
      <c r="U623" s="541"/>
      <c r="V623" s="541"/>
      <c r="W623" s="541"/>
      <c r="X623" s="541"/>
      <c r="Y623" s="541"/>
      <c r="Z623" s="541"/>
    </row>
    <row r="624" spans="1:26" ht="18.75">
      <c r="A624" s="572"/>
      <c r="B624" s="584"/>
      <c r="C624" s="584"/>
      <c r="D624" s="710" t="s">
        <v>264</v>
      </c>
      <c r="E624" s="592"/>
      <c r="F624" s="592"/>
      <c r="G624" s="726"/>
      <c r="H624" s="728" t="s">
        <v>46</v>
      </c>
      <c r="I624" s="269"/>
      <c r="J624" s="214">
        <v>0</v>
      </c>
      <c r="K624" s="163"/>
      <c r="L624" s="163"/>
      <c r="M624" s="163"/>
      <c r="N624" s="163"/>
      <c r="O624" s="163"/>
      <c r="P624" s="163"/>
      <c r="Q624" s="541"/>
      <c r="R624" s="541"/>
      <c r="S624" s="541"/>
      <c r="T624" s="541"/>
      <c r="U624" s="541"/>
      <c r="V624" s="541"/>
      <c r="W624" s="541"/>
      <c r="X624" s="541"/>
      <c r="Y624" s="541"/>
      <c r="Z624" s="541"/>
    </row>
    <row r="625" spans="1:26" ht="18.75">
      <c r="A625" s="572"/>
      <c r="B625" s="584"/>
      <c r="C625" s="584"/>
      <c r="D625" s="584"/>
      <c r="E625" s="592"/>
      <c r="F625" s="592"/>
      <c r="G625" s="726"/>
      <c r="H625" s="728" t="s">
        <v>34</v>
      </c>
      <c r="I625" s="269"/>
      <c r="J625" s="214">
        <v>0</v>
      </c>
      <c r="K625" s="163"/>
      <c r="L625" s="163"/>
      <c r="M625" s="163"/>
      <c r="N625" s="163"/>
      <c r="O625" s="163"/>
      <c r="P625" s="163"/>
      <c r="Q625" s="541"/>
      <c r="R625" s="541"/>
      <c r="S625" s="541"/>
      <c r="T625" s="541"/>
      <c r="U625" s="541"/>
      <c r="V625" s="541"/>
      <c r="W625" s="541"/>
      <c r="X625" s="541"/>
      <c r="Y625" s="541"/>
      <c r="Z625" s="541"/>
    </row>
    <row r="626" spans="1:26" ht="18.75">
      <c r="A626" s="572"/>
      <c r="B626" s="584"/>
      <c r="C626" s="584"/>
      <c r="D626" s="710" t="s">
        <v>269</v>
      </c>
      <c r="E626" s="592"/>
      <c r="F626" s="592"/>
      <c r="G626" s="726"/>
      <c r="H626" s="728" t="s">
        <v>46</v>
      </c>
      <c r="I626" s="269"/>
      <c r="J626" s="214">
        <v>0</v>
      </c>
      <c r="K626" s="163"/>
      <c r="L626" s="163"/>
      <c r="M626" s="163"/>
      <c r="N626" s="163"/>
      <c r="O626" s="163"/>
      <c r="P626" s="163"/>
      <c r="Q626" s="541"/>
      <c r="R626" s="541"/>
      <c r="S626" s="541"/>
      <c r="T626" s="541"/>
      <c r="U626" s="541"/>
      <c r="V626" s="541"/>
      <c r="W626" s="541"/>
      <c r="X626" s="541"/>
      <c r="Y626" s="541"/>
      <c r="Z626" s="541"/>
    </row>
    <row r="627" spans="1:26" ht="18.75">
      <c r="A627" s="696"/>
      <c r="B627" s="697"/>
      <c r="C627" s="697"/>
      <c r="D627" s="697"/>
      <c r="E627" s="698"/>
      <c r="F627" s="698"/>
      <c r="G627" s="699"/>
      <c r="H627" s="390" t="s">
        <v>34</v>
      </c>
      <c r="I627" s="468"/>
      <c r="J627" s="392">
        <v>0</v>
      </c>
      <c r="K627" s="353"/>
      <c r="L627" s="353"/>
      <c r="M627" s="353"/>
      <c r="N627" s="353"/>
      <c r="O627" s="353"/>
      <c r="P627" s="353"/>
      <c r="Q627" s="541"/>
      <c r="R627" s="541"/>
      <c r="S627" s="541"/>
      <c r="T627" s="541"/>
      <c r="U627" s="541"/>
      <c r="V627" s="541"/>
      <c r="W627" s="541"/>
      <c r="X627" s="541"/>
      <c r="Y627" s="541"/>
      <c r="Z627" s="541"/>
    </row>
    <row r="628" spans="1:26" ht="19.5">
      <c r="A628" s="700">
        <v>7</v>
      </c>
      <c r="B628" s="701" t="s">
        <v>270</v>
      </c>
      <c r="C628" s="702"/>
      <c r="D628" s="702"/>
      <c r="E628" s="702"/>
      <c r="F628" s="702"/>
      <c r="G628" s="703"/>
      <c r="H628" s="704" t="s">
        <v>35</v>
      </c>
      <c r="I628" s="705">
        <f t="shared" ref="I628:J628" ca="1" si="261">I651</f>
        <v>90</v>
      </c>
      <c r="J628" s="705">
        <f t="shared" ca="1" si="261"/>
        <v>0</v>
      </c>
      <c r="K628" s="706">
        <f ca="1">IF(I628&gt;0,J628*100/I628,0)</f>
        <v>0</v>
      </c>
      <c r="L628" s="707"/>
      <c r="M628" s="707"/>
      <c r="N628" s="707"/>
      <c r="O628" s="707"/>
      <c r="P628" s="707"/>
      <c r="Q628" s="541"/>
      <c r="R628" s="541"/>
      <c r="S628" s="541"/>
      <c r="T628" s="541"/>
      <c r="U628" s="541"/>
      <c r="V628" s="541"/>
      <c r="W628" s="541"/>
      <c r="X628" s="541"/>
      <c r="Y628" s="541"/>
      <c r="Z628" s="541"/>
    </row>
    <row r="629" spans="1:26" ht="19.5">
      <c r="A629" s="561"/>
      <c r="B629" s="727"/>
      <c r="C629" s="727" t="s">
        <v>16</v>
      </c>
      <c r="D629" s="811" t="s">
        <v>17</v>
      </c>
      <c r="E629" s="805"/>
      <c r="F629" s="805"/>
      <c r="G629" s="189"/>
      <c r="H629" s="562" t="s">
        <v>12</v>
      </c>
      <c r="I629" s="269"/>
      <c r="J629" s="269"/>
      <c r="K629" s="465"/>
      <c r="L629" s="195">
        <f t="shared" ref="L629:N629" ca="1" si="262">L630+L631</f>
        <v>342855</v>
      </c>
      <c r="M629" s="195">
        <f t="shared" si="262"/>
        <v>0</v>
      </c>
      <c r="N629" s="195">
        <f t="shared" si="262"/>
        <v>0</v>
      </c>
      <c r="O629" s="195">
        <f t="shared" ref="O629:O634" ca="1" si="263">IF(L629&gt;0,N629*100/L629,0)</f>
        <v>0</v>
      </c>
      <c r="P629" s="195">
        <f t="shared" ref="P629:P634" si="264">IF(M629&gt;0,N629*100/M629,0)</f>
        <v>0</v>
      </c>
      <c r="Q629" s="541"/>
      <c r="R629" s="541"/>
      <c r="S629" s="541"/>
      <c r="T629" s="541"/>
      <c r="U629" s="541"/>
      <c r="V629" s="541"/>
      <c r="W629" s="541"/>
      <c r="X629" s="541"/>
      <c r="Y629" s="541"/>
      <c r="Z629" s="541"/>
    </row>
    <row r="630" spans="1:26" ht="18.75" hidden="1">
      <c r="A630" s="563"/>
      <c r="B630" s="723"/>
      <c r="C630" s="723"/>
      <c r="D630" s="684"/>
      <c r="E630" s="723" t="s">
        <v>184</v>
      </c>
      <c r="F630" s="723"/>
      <c r="G630" s="567"/>
      <c r="H630" s="165" t="s">
        <v>12</v>
      </c>
      <c r="I630" s="583"/>
      <c r="J630" s="583"/>
      <c r="K630" s="93"/>
      <c r="L630" s="93">
        <f t="shared" ref="L630:N631" si="265">L633+L640</f>
        <v>0</v>
      </c>
      <c r="M630" s="93">
        <f t="shared" si="265"/>
        <v>0</v>
      </c>
      <c r="N630" s="93">
        <f t="shared" si="265"/>
        <v>0</v>
      </c>
      <c r="O630" s="93">
        <f t="shared" si="263"/>
        <v>0</v>
      </c>
      <c r="P630" s="93">
        <f t="shared" si="264"/>
        <v>0</v>
      </c>
      <c r="Q630" s="568"/>
      <c r="R630" s="568"/>
      <c r="S630" s="568"/>
      <c r="T630" s="568"/>
      <c r="U630" s="568"/>
      <c r="V630" s="568"/>
      <c r="W630" s="568"/>
      <c r="X630" s="568"/>
      <c r="Y630" s="568"/>
      <c r="Z630" s="568"/>
    </row>
    <row r="631" spans="1:26" ht="18.75" hidden="1">
      <c r="A631" s="563"/>
      <c r="B631" s="571"/>
      <c r="C631" s="723"/>
      <c r="D631" s="684"/>
      <c r="E631" s="723" t="s">
        <v>185</v>
      </c>
      <c r="F631" s="723"/>
      <c r="G631" s="567"/>
      <c r="H631" s="165" t="s">
        <v>12</v>
      </c>
      <c r="I631" s="583"/>
      <c r="J631" s="583"/>
      <c r="K631" s="93"/>
      <c r="L631" s="93">
        <f t="shared" ca="1" si="265"/>
        <v>342855</v>
      </c>
      <c r="M631" s="93">
        <f t="shared" si="265"/>
        <v>0</v>
      </c>
      <c r="N631" s="93">
        <f t="shared" si="265"/>
        <v>0</v>
      </c>
      <c r="O631" s="93">
        <f t="shared" ca="1" si="263"/>
        <v>0</v>
      </c>
      <c r="P631" s="93">
        <f t="shared" si="264"/>
        <v>0</v>
      </c>
      <c r="Q631" s="568"/>
      <c r="R631" s="568"/>
      <c r="S631" s="568"/>
      <c r="T631" s="568"/>
      <c r="U631" s="568"/>
      <c r="V631" s="568"/>
      <c r="W631" s="568"/>
      <c r="X631" s="568"/>
      <c r="Y631" s="568"/>
      <c r="Z631" s="568"/>
    </row>
    <row r="632" spans="1:26" ht="18.75">
      <c r="A632" s="561"/>
      <c r="B632" s="538"/>
      <c r="C632" s="727"/>
      <c r="D632" s="570" t="s">
        <v>20</v>
      </c>
      <c r="E632" s="727"/>
      <c r="F632" s="727"/>
      <c r="G632" s="189"/>
      <c r="H632" s="161" t="s">
        <v>12</v>
      </c>
      <c r="I632" s="184"/>
      <c r="J632" s="184"/>
      <c r="K632" s="163"/>
      <c r="L632" s="465">
        <f t="shared" ref="L632:N632" ca="1" si="266">L633+L634</f>
        <v>342855</v>
      </c>
      <c r="M632" s="465">
        <f t="shared" si="266"/>
        <v>0</v>
      </c>
      <c r="N632" s="465">
        <f t="shared" si="266"/>
        <v>0</v>
      </c>
      <c r="O632" s="465">
        <f t="shared" ca="1" si="263"/>
        <v>0</v>
      </c>
      <c r="P632" s="465">
        <f t="shared" si="264"/>
        <v>0</v>
      </c>
      <c r="Q632" s="541"/>
      <c r="R632" s="541"/>
      <c r="S632" s="541"/>
      <c r="T632" s="541"/>
      <c r="U632" s="541"/>
      <c r="V632" s="541"/>
      <c r="W632" s="541"/>
      <c r="X632" s="541"/>
      <c r="Y632" s="541"/>
      <c r="Z632" s="541"/>
    </row>
    <row r="633" spans="1:26" ht="18.75" hidden="1">
      <c r="A633" s="563"/>
      <c r="B633" s="571"/>
      <c r="C633" s="723"/>
      <c r="D633" s="684"/>
      <c r="E633" s="723" t="s">
        <v>184</v>
      </c>
      <c r="F633" s="723"/>
      <c r="G633" s="567"/>
      <c r="H633" s="165" t="s">
        <v>12</v>
      </c>
      <c r="I633" s="583"/>
      <c r="J633" s="583"/>
      <c r="K633" s="93"/>
      <c r="L633" s="93">
        <v>0</v>
      </c>
      <c r="M633" s="93">
        <v>0</v>
      </c>
      <c r="N633" s="93">
        <v>0</v>
      </c>
      <c r="O633" s="93">
        <f t="shared" si="263"/>
        <v>0</v>
      </c>
      <c r="P633" s="93">
        <f t="shared" si="264"/>
        <v>0</v>
      </c>
      <c r="Q633" s="568"/>
      <c r="R633" s="568"/>
      <c r="S633" s="568"/>
      <c r="T633" s="568"/>
      <c r="U633" s="568"/>
      <c r="V633" s="568"/>
      <c r="W633" s="568"/>
      <c r="X633" s="568"/>
      <c r="Y633" s="568"/>
      <c r="Z633" s="568"/>
    </row>
    <row r="634" spans="1:26" ht="18.75" hidden="1">
      <c r="A634" s="563"/>
      <c r="B634" s="571"/>
      <c r="C634" s="723"/>
      <c r="D634" s="684"/>
      <c r="E634" s="723" t="s">
        <v>185</v>
      </c>
      <c r="F634" s="723"/>
      <c r="G634" s="567"/>
      <c r="H634" s="165" t="s">
        <v>12</v>
      </c>
      <c r="I634" s="583"/>
      <c r="J634" s="583"/>
      <c r="K634" s="93"/>
      <c r="L634" s="93">
        <f ca="1">IFERROR(__xludf.DUMMYFUNCTION("IMPORTRANGE(""https://docs.google.com/spreadsheets/d/1QqKyyYR6Q21VydFLVH3TRQUabQu_ym0Zz7PgGX0-kHA/edit?usp=sharing"",""แผน!HN21"")"),342855)</f>
        <v>342855</v>
      </c>
      <c r="M634" s="93">
        <v>0</v>
      </c>
      <c r="N634" s="93">
        <f>N635+N636+N637+N638</f>
        <v>0</v>
      </c>
      <c r="O634" s="93">
        <f t="shared" ca="1" si="263"/>
        <v>0</v>
      </c>
      <c r="P634" s="93">
        <f t="shared" si="264"/>
        <v>0</v>
      </c>
      <c r="Q634" s="568"/>
      <c r="R634" s="568"/>
      <c r="S634" s="568"/>
      <c r="T634" s="568"/>
      <c r="U634" s="568"/>
      <c r="V634" s="568"/>
      <c r="W634" s="568"/>
      <c r="X634" s="568"/>
      <c r="Y634" s="568"/>
      <c r="Z634" s="568"/>
    </row>
    <row r="635" spans="1:26" ht="18.75">
      <c r="A635" s="537"/>
      <c r="B635" s="538"/>
      <c r="C635" s="727"/>
      <c r="D635" s="727"/>
      <c r="E635" s="727"/>
      <c r="F635" s="727" t="s">
        <v>186</v>
      </c>
      <c r="G635" s="189"/>
      <c r="H635" s="161" t="s">
        <v>12</v>
      </c>
      <c r="I635" s="269"/>
      <c r="J635" s="269"/>
      <c r="K635" s="465"/>
      <c r="L635" s="465"/>
      <c r="M635" s="465"/>
      <c r="N635" s="789">
        <v>0</v>
      </c>
      <c r="O635" s="465"/>
      <c r="P635" s="465"/>
      <c r="Q635" s="541"/>
      <c r="R635" s="541"/>
      <c r="S635" s="541"/>
      <c r="T635" s="541"/>
      <c r="U635" s="541"/>
      <c r="V635" s="541"/>
      <c r="W635" s="541"/>
      <c r="X635" s="541"/>
      <c r="Y635" s="541"/>
      <c r="Z635" s="541"/>
    </row>
    <row r="636" spans="1:26" ht="18.75">
      <c r="A636" s="537"/>
      <c r="B636" s="538"/>
      <c r="C636" s="727"/>
      <c r="D636" s="727"/>
      <c r="E636" s="727"/>
      <c r="F636" s="727" t="s">
        <v>187</v>
      </c>
      <c r="G636" s="189"/>
      <c r="H636" s="161" t="s">
        <v>12</v>
      </c>
      <c r="I636" s="269"/>
      <c r="J636" s="269"/>
      <c r="K636" s="465"/>
      <c r="L636" s="465"/>
      <c r="M636" s="465"/>
      <c r="N636" s="789">
        <v>0</v>
      </c>
      <c r="O636" s="465"/>
      <c r="P636" s="465"/>
      <c r="Q636" s="541"/>
      <c r="R636" s="541"/>
      <c r="S636" s="541"/>
      <c r="T636" s="541"/>
      <c r="U636" s="541"/>
      <c r="V636" s="541"/>
      <c r="W636" s="541"/>
      <c r="X636" s="541"/>
      <c r="Y636" s="541"/>
      <c r="Z636" s="541"/>
    </row>
    <row r="637" spans="1:26" ht="18.75">
      <c r="A637" s="537"/>
      <c r="B637" s="538"/>
      <c r="C637" s="727"/>
      <c r="D637" s="727"/>
      <c r="E637" s="727"/>
      <c r="F637" s="727" t="s">
        <v>188</v>
      </c>
      <c r="G637" s="189"/>
      <c r="H637" s="161" t="s">
        <v>12</v>
      </c>
      <c r="I637" s="269"/>
      <c r="J637" s="269"/>
      <c r="K637" s="465"/>
      <c r="L637" s="465"/>
      <c r="M637" s="465"/>
      <c r="N637" s="789">
        <v>0</v>
      </c>
      <c r="O637" s="465"/>
      <c r="P637" s="465"/>
      <c r="Q637" s="541"/>
      <c r="R637" s="541"/>
      <c r="S637" s="541"/>
      <c r="T637" s="541"/>
      <c r="U637" s="541"/>
      <c r="V637" s="541"/>
      <c r="W637" s="541"/>
      <c r="X637" s="541"/>
      <c r="Y637" s="541"/>
      <c r="Z637" s="541"/>
    </row>
    <row r="638" spans="1:26" ht="18.75">
      <c r="A638" s="537"/>
      <c r="B638" s="538"/>
      <c r="C638" s="727"/>
      <c r="D638" s="727"/>
      <c r="E638" s="727"/>
      <c r="F638" s="727" t="s">
        <v>189</v>
      </c>
      <c r="G638" s="189"/>
      <c r="H638" s="161" t="s">
        <v>12</v>
      </c>
      <c r="I638" s="269"/>
      <c r="J638" s="269"/>
      <c r="K638" s="465"/>
      <c r="L638" s="465"/>
      <c r="M638" s="465"/>
      <c r="N638" s="789">
        <v>0</v>
      </c>
      <c r="O638" s="465"/>
      <c r="P638" s="465"/>
      <c r="Q638" s="541"/>
      <c r="R638" s="541"/>
      <c r="S638" s="541"/>
      <c r="T638" s="541"/>
      <c r="U638" s="541"/>
      <c r="V638" s="541"/>
      <c r="W638" s="541"/>
      <c r="X638" s="541"/>
      <c r="Y638" s="541"/>
      <c r="Z638" s="541"/>
    </row>
    <row r="639" spans="1:26" ht="18.75">
      <c r="A639" s="561"/>
      <c r="B639" s="538"/>
      <c r="C639" s="727"/>
      <c r="D639" s="570" t="s">
        <v>21</v>
      </c>
      <c r="E639" s="727"/>
      <c r="F639" s="727"/>
      <c r="G639" s="189"/>
      <c r="H639" s="168" t="s">
        <v>12</v>
      </c>
      <c r="I639" s="184"/>
      <c r="J639" s="184"/>
      <c r="K639" s="163"/>
      <c r="L639" s="465">
        <f t="shared" ref="L639:N639" ca="1" si="267">L640+L641</f>
        <v>0</v>
      </c>
      <c r="M639" s="465">
        <f t="shared" si="267"/>
        <v>0</v>
      </c>
      <c r="N639" s="465">
        <f t="shared" si="267"/>
        <v>0</v>
      </c>
      <c r="O639" s="465">
        <f t="shared" ref="O639:O641" ca="1" si="268">IF(L639&gt;0,N639*100/L639,0)</f>
        <v>0</v>
      </c>
      <c r="P639" s="465">
        <f t="shared" ref="P639:P641" si="269">IF(M639&gt;0,N639*100/M639,0)</f>
        <v>0</v>
      </c>
      <c r="Q639" s="541"/>
      <c r="R639" s="541"/>
      <c r="S639" s="541"/>
      <c r="T639" s="541"/>
      <c r="U639" s="541"/>
      <c r="V639" s="541"/>
      <c r="W639" s="541"/>
      <c r="X639" s="541"/>
      <c r="Y639" s="541"/>
      <c r="Z639" s="541"/>
    </row>
    <row r="640" spans="1:26" ht="18.75" hidden="1">
      <c r="A640" s="563"/>
      <c r="B640" s="571"/>
      <c r="C640" s="723"/>
      <c r="D640" s="723"/>
      <c r="E640" s="723" t="s">
        <v>18</v>
      </c>
      <c r="F640" s="723"/>
      <c r="G640" s="567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8"/>
        <v>0</v>
      </c>
      <c r="P640" s="93">
        <f t="shared" si="269"/>
        <v>0</v>
      </c>
      <c r="Q640" s="568"/>
      <c r="R640" s="568"/>
      <c r="S640" s="568"/>
      <c r="T640" s="568"/>
      <c r="U640" s="568"/>
      <c r="V640" s="568"/>
      <c r="W640" s="568"/>
      <c r="X640" s="568"/>
      <c r="Y640" s="568"/>
      <c r="Z640" s="568"/>
    </row>
    <row r="641" spans="1:26" ht="18.75" hidden="1">
      <c r="A641" s="563"/>
      <c r="B641" s="571"/>
      <c r="C641" s="723"/>
      <c r="D641" s="723"/>
      <c r="E641" s="723" t="s">
        <v>19</v>
      </c>
      <c r="F641" s="723"/>
      <c r="G641" s="567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IFERROR(__xludf.DUMMYFUNCTION("IMPORTRANGE(""https://docs.google.com/spreadsheets/d/1QqKyyYR6Q21VydFLVH3TRQUabQu_ym0Zz7PgGX0-kHA/edit?usp=sharing"",""แผน!HQ21"")"),0)</f>
        <v>0</v>
      </c>
      <c r="M641" s="93">
        <v>0</v>
      </c>
      <c r="N641" s="93">
        <v>0</v>
      </c>
      <c r="O641" s="93">
        <f t="shared" ca="1" si="268"/>
        <v>0</v>
      </c>
      <c r="P641" s="93">
        <f t="shared" si="269"/>
        <v>0</v>
      </c>
      <c r="Q641" s="568"/>
      <c r="R641" s="568"/>
      <c r="S641" s="568"/>
      <c r="T641" s="568"/>
      <c r="U641" s="568"/>
      <c r="V641" s="568"/>
      <c r="W641" s="568"/>
      <c r="X641" s="568"/>
      <c r="Y641" s="568"/>
      <c r="Z641" s="568"/>
    </row>
    <row r="642" spans="1:26" ht="19.5">
      <c r="A642" s="572"/>
      <c r="B642" s="584"/>
      <c r="C642" s="727" t="s">
        <v>16</v>
      </c>
      <c r="D642" s="853" t="s">
        <v>38</v>
      </c>
      <c r="E642" s="725"/>
      <c r="F642" s="725"/>
      <c r="G642" s="577"/>
      <c r="H642" s="726"/>
      <c r="I642" s="184"/>
      <c r="J642" s="184"/>
      <c r="K642" s="163"/>
      <c r="L642" s="163"/>
      <c r="M642" s="163"/>
      <c r="N642" s="163"/>
      <c r="O642" s="163"/>
      <c r="P642" s="163"/>
      <c r="Q642" s="541"/>
      <c r="R642" s="541"/>
      <c r="S642" s="541"/>
      <c r="T642" s="541"/>
      <c r="U642" s="541"/>
      <c r="V642" s="541"/>
      <c r="W642" s="541"/>
      <c r="X642" s="541"/>
      <c r="Y642" s="541"/>
      <c r="Z642" s="541"/>
    </row>
    <row r="643" spans="1:26" ht="18.75">
      <c r="A643" s="708"/>
      <c r="B643" s="538"/>
      <c r="C643" s="727"/>
      <c r="D643" s="592"/>
      <c r="E643" s="710" t="s">
        <v>271</v>
      </c>
      <c r="F643" s="592"/>
      <c r="G643" s="726"/>
      <c r="H643" s="728" t="s">
        <v>272</v>
      </c>
      <c r="I643" s="269">
        <f ca="1">IFERROR(__xludf.DUMMYFUNCTION("IMPORTRANGE(""https://docs.google.com/spreadsheets/d/1QqKyyYR6Q21VydFLVH3TRQUabQu_ym0Zz7PgGX0-kHA/edit?usp=sharing"",""แผน!HR21"")"),0)</f>
        <v>0</v>
      </c>
      <c r="J643" s="214">
        <v>0</v>
      </c>
      <c r="K643" s="163">
        <f t="shared" ref="K643:K652" ca="1" si="270">IF(I643&gt;0,J643*100/I643,0)</f>
        <v>0</v>
      </c>
      <c r="L643" s="163"/>
      <c r="M643" s="163"/>
      <c r="N643" s="465"/>
      <c r="O643" s="163"/>
      <c r="P643" s="163"/>
      <c r="Q643" s="541"/>
      <c r="R643" s="541"/>
      <c r="S643" s="541"/>
      <c r="T643" s="541"/>
      <c r="U643" s="541"/>
      <c r="V643" s="541"/>
      <c r="W643" s="541"/>
      <c r="X643" s="541"/>
      <c r="Y643" s="541"/>
      <c r="Z643" s="541"/>
    </row>
    <row r="644" spans="1:26" ht="18.75">
      <c r="A644" s="708"/>
      <c r="B644" s="538"/>
      <c r="C644" s="727"/>
      <c r="D644" s="592"/>
      <c r="E644" s="710" t="s">
        <v>273</v>
      </c>
      <c r="F644" s="592"/>
      <c r="G644" s="726"/>
      <c r="H644" s="728" t="s">
        <v>274</v>
      </c>
      <c r="I644" s="269">
        <f ca="1">IFERROR(__xludf.DUMMYFUNCTION("IMPORTRANGE(""https://docs.google.com/spreadsheets/d/1QqKyyYR6Q21VydFLVH3TRQUabQu_ym0Zz7PgGX0-kHA/edit?usp=sharing"",""แผน!HR21"")"),0)</f>
        <v>0</v>
      </c>
      <c r="J644" s="214">
        <v>0</v>
      </c>
      <c r="K644" s="163">
        <f t="shared" ca="1" si="270"/>
        <v>0</v>
      </c>
      <c r="L644" s="163"/>
      <c r="M644" s="163"/>
      <c r="N644" s="465"/>
      <c r="O644" s="163"/>
      <c r="P644" s="163"/>
      <c r="Q644" s="541"/>
      <c r="R644" s="541"/>
      <c r="S644" s="541"/>
      <c r="T644" s="541"/>
      <c r="U644" s="541"/>
      <c r="V644" s="541"/>
      <c r="W644" s="541"/>
      <c r="X644" s="541"/>
      <c r="Y644" s="541"/>
      <c r="Z644" s="541"/>
    </row>
    <row r="645" spans="1:26" ht="18.75">
      <c r="A645" s="708"/>
      <c r="B645" s="538"/>
      <c r="C645" s="727"/>
      <c r="D645" s="592"/>
      <c r="E645" s="710" t="s">
        <v>275</v>
      </c>
      <c r="F645" s="592"/>
      <c r="G645" s="726"/>
      <c r="H645" s="728" t="s">
        <v>34</v>
      </c>
      <c r="I645" s="269">
        <v>0</v>
      </c>
      <c r="J645" s="269">
        <f ca="1">IFERROR(__xludf.DUMMYFUNCTION("IMPORTRANGE(""https://docs.google.com/spreadsheets/d/1XWAQStnk-4SwqDmLtmXYiTMKHgktTP8We1SCoS47DrQ/edit?usp=sharing"",""จัดที่ดิน!AS21"")"),77)</f>
        <v>77</v>
      </c>
      <c r="K645" s="163">
        <f t="shared" si="270"/>
        <v>0</v>
      </c>
      <c r="L645" s="163"/>
      <c r="M645" s="163"/>
      <c r="N645" s="465"/>
      <c r="O645" s="163"/>
      <c r="P645" s="163"/>
      <c r="Q645" s="541"/>
      <c r="R645" s="541"/>
      <c r="S645" s="541"/>
      <c r="T645" s="541"/>
      <c r="U645" s="541"/>
      <c r="V645" s="541"/>
      <c r="W645" s="541"/>
      <c r="X645" s="541"/>
      <c r="Y645" s="541"/>
      <c r="Z645" s="541"/>
    </row>
    <row r="646" spans="1:26" ht="18.75">
      <c r="A646" s="708"/>
      <c r="B646" s="538"/>
      <c r="C646" s="727"/>
      <c r="D646" s="592"/>
      <c r="E646" s="592"/>
      <c r="F646" s="592"/>
      <c r="G646" s="726"/>
      <c r="H646" s="728" t="s">
        <v>46</v>
      </c>
      <c r="I646" s="269">
        <v>0</v>
      </c>
      <c r="J646" s="269">
        <f ca="1">IFERROR(__xludf.DUMMYFUNCTION("IMPORTRANGE(""https://docs.google.com/spreadsheets/d/1XWAQStnk-4SwqDmLtmXYiTMKHgktTP8We1SCoS47DrQ/edit?usp=sharing"",""จัดที่ดิน!AT21"")"),46.69)</f>
        <v>46.69</v>
      </c>
      <c r="K646" s="465">
        <f t="shared" si="270"/>
        <v>0</v>
      </c>
      <c r="L646" s="163"/>
      <c r="M646" s="163"/>
      <c r="N646" s="465"/>
      <c r="O646" s="163"/>
      <c r="P646" s="163"/>
      <c r="Q646" s="541"/>
      <c r="R646" s="541"/>
      <c r="S646" s="541"/>
      <c r="T646" s="541"/>
      <c r="U646" s="541"/>
      <c r="V646" s="541"/>
      <c r="W646" s="541"/>
      <c r="X646" s="541"/>
      <c r="Y646" s="541"/>
      <c r="Z646" s="541"/>
    </row>
    <row r="647" spans="1:26" ht="18.75">
      <c r="A647" s="708"/>
      <c r="B647" s="538"/>
      <c r="C647" s="727"/>
      <c r="D647" s="592"/>
      <c r="E647" s="710" t="s">
        <v>162</v>
      </c>
      <c r="F647" s="592"/>
      <c r="G647" s="726"/>
      <c r="H647" s="728" t="s">
        <v>35</v>
      </c>
      <c r="I647" s="269">
        <f ca="1">IFERROR(__xludf.DUMMYFUNCTION("IMPORTRANGE(""https://docs.google.com/spreadsheets/d/1QqKyyYR6Q21VydFLVH3TRQUabQu_ym0Zz7PgGX0-kHA/edit?usp=sharing"",""แผน!HS21"")"),90)</f>
        <v>90</v>
      </c>
      <c r="J647" s="269">
        <f ca="1">IFERROR(__xludf.DUMMYFUNCTION("IMPORTRANGE(""https://docs.google.com/spreadsheets/d/1XWAQStnk-4SwqDmLtmXYiTMKHgktTP8We1SCoS47DrQ/edit?usp=sharing"",""จัดที่ดิน!AU21"")"),0)</f>
        <v>0</v>
      </c>
      <c r="K647" s="163">
        <f t="shared" ca="1" si="270"/>
        <v>0</v>
      </c>
      <c r="L647" s="163"/>
      <c r="M647" s="163"/>
      <c r="N647" s="163"/>
      <c r="O647" s="163"/>
      <c r="P647" s="163"/>
      <c r="Q647" s="541"/>
      <c r="R647" s="541"/>
      <c r="S647" s="541"/>
      <c r="T647" s="541"/>
      <c r="U647" s="541"/>
      <c r="V647" s="541"/>
      <c r="W647" s="541"/>
      <c r="X647" s="541"/>
      <c r="Y647" s="541"/>
      <c r="Z647" s="541"/>
    </row>
    <row r="648" spans="1:26" ht="18.75">
      <c r="A648" s="708"/>
      <c r="B648" s="538"/>
      <c r="C648" s="727"/>
      <c r="D648" s="592"/>
      <c r="E648" s="592"/>
      <c r="F648" s="592"/>
      <c r="G648" s="726"/>
      <c r="H648" s="728" t="s">
        <v>46</v>
      </c>
      <c r="I648" s="269">
        <v>0</v>
      </c>
      <c r="J648" s="269">
        <f ca="1">IFERROR(__xludf.DUMMYFUNCTION("IMPORTRANGE(""https://docs.google.com/spreadsheets/d/1XWAQStnk-4SwqDmLtmXYiTMKHgktTP8We1SCoS47DrQ/edit?usp=sharing"",""จัดที่ดิน!AV21"")"),0)</f>
        <v>0</v>
      </c>
      <c r="K648" s="465">
        <f t="shared" si="270"/>
        <v>0</v>
      </c>
      <c r="L648" s="163"/>
      <c r="M648" s="163"/>
      <c r="N648" s="163"/>
      <c r="O648" s="163"/>
      <c r="P648" s="163"/>
      <c r="Q648" s="541"/>
      <c r="R648" s="541"/>
      <c r="S648" s="541"/>
      <c r="T648" s="541"/>
      <c r="U648" s="541"/>
      <c r="V648" s="541"/>
      <c r="W648" s="541"/>
      <c r="X648" s="541"/>
      <c r="Y648" s="541"/>
      <c r="Z648" s="541"/>
    </row>
    <row r="649" spans="1:26" ht="18.75">
      <c r="A649" s="708"/>
      <c r="B649" s="538"/>
      <c r="C649" s="727"/>
      <c r="D649" s="592"/>
      <c r="E649" s="710" t="s">
        <v>276</v>
      </c>
      <c r="F649" s="592"/>
      <c r="G649" s="726"/>
      <c r="H649" s="728" t="s">
        <v>35</v>
      </c>
      <c r="I649" s="269">
        <f ca="1">IFERROR(__xludf.DUMMYFUNCTION("IMPORTRANGE(""https://docs.google.com/spreadsheets/d/1QqKyyYR6Q21VydFLVH3TRQUabQu_ym0Zz7PgGX0-kHA/edit?usp=sharing"",""แผน!HS21"")"),90)</f>
        <v>90</v>
      </c>
      <c r="J649" s="269">
        <f ca="1">IFERROR(__xludf.DUMMYFUNCTION("IMPORTRANGE(""https://docs.google.com/spreadsheets/d/1XWAQStnk-4SwqDmLtmXYiTMKHgktTP8We1SCoS47DrQ/edit?usp=sharing"",""จัดที่ดิน!AW21"")"),3)</f>
        <v>3</v>
      </c>
      <c r="K649" s="163">
        <f t="shared" ca="1" si="270"/>
        <v>3.3333333333333335</v>
      </c>
      <c r="L649" s="163"/>
      <c r="M649" s="163"/>
      <c r="N649" s="163"/>
      <c r="O649" s="163"/>
      <c r="P649" s="163"/>
      <c r="Q649" s="541"/>
      <c r="R649" s="541"/>
      <c r="S649" s="541"/>
      <c r="T649" s="541"/>
      <c r="U649" s="541"/>
      <c r="V649" s="541"/>
      <c r="W649" s="541"/>
      <c r="X649" s="541"/>
      <c r="Y649" s="541"/>
      <c r="Z649" s="541"/>
    </row>
    <row r="650" spans="1:26" ht="18.75">
      <c r="A650" s="708"/>
      <c r="B650" s="538"/>
      <c r="C650" s="727"/>
      <c r="D650" s="592"/>
      <c r="E650" s="592"/>
      <c r="F650" s="592"/>
      <c r="G650" s="726"/>
      <c r="H650" s="728" t="s">
        <v>46</v>
      </c>
      <c r="I650" s="269">
        <v>0</v>
      </c>
      <c r="J650" s="269">
        <f ca="1">IFERROR(__xludf.DUMMYFUNCTION("IMPORTRANGE(""https://docs.google.com/spreadsheets/d/1XWAQStnk-4SwqDmLtmXYiTMKHgktTP8We1SCoS47DrQ/edit?usp=sharing"",""จัดที่ดิน!AX21"")"),0.49)</f>
        <v>0.49</v>
      </c>
      <c r="K650" s="465">
        <f t="shared" si="270"/>
        <v>0</v>
      </c>
      <c r="L650" s="163"/>
      <c r="M650" s="163"/>
      <c r="N650" s="163"/>
      <c r="O650" s="163"/>
      <c r="P650" s="163"/>
      <c r="Q650" s="541"/>
      <c r="R650" s="541"/>
      <c r="S650" s="541"/>
      <c r="T650" s="541"/>
      <c r="U650" s="541"/>
      <c r="V650" s="541"/>
      <c r="W650" s="541"/>
      <c r="X650" s="541"/>
      <c r="Y650" s="541"/>
      <c r="Z650" s="541"/>
    </row>
    <row r="651" spans="1:26" ht="18.75">
      <c r="A651" s="708"/>
      <c r="B651" s="538"/>
      <c r="C651" s="727"/>
      <c r="D651" s="592"/>
      <c r="E651" s="710" t="s">
        <v>277</v>
      </c>
      <c r="F651" s="592"/>
      <c r="G651" s="726"/>
      <c r="H651" s="728" t="s">
        <v>35</v>
      </c>
      <c r="I651" s="269">
        <f ca="1">IFERROR(__xludf.DUMMYFUNCTION("IMPORTRANGE(""https://docs.google.com/spreadsheets/d/1QqKyyYR6Q21VydFLVH3TRQUabQu_ym0Zz7PgGX0-kHA/edit?usp=sharing"",""แผน!HS21"")"),90)</f>
        <v>90</v>
      </c>
      <c r="J651" s="269">
        <f ca="1">IFERROR(__xludf.DUMMYFUNCTION("IMPORTRANGE(""https://docs.google.com/spreadsheets/d/1XWAQStnk-4SwqDmLtmXYiTMKHgktTP8We1SCoS47DrQ/edit?usp=sharing"",""จัดที่ดิน!AY21"")"),0)</f>
        <v>0</v>
      </c>
      <c r="K651" s="163">
        <f t="shared" ca="1" si="270"/>
        <v>0</v>
      </c>
      <c r="L651" s="163"/>
      <c r="M651" s="163"/>
      <c r="N651" s="163"/>
      <c r="O651" s="163"/>
      <c r="P651" s="163"/>
      <c r="Q651" s="541"/>
      <c r="R651" s="541"/>
      <c r="S651" s="541"/>
      <c r="T651" s="541"/>
      <c r="U651" s="541"/>
      <c r="V651" s="541"/>
      <c r="W651" s="541"/>
      <c r="X651" s="541"/>
      <c r="Y651" s="541"/>
      <c r="Z651" s="541"/>
    </row>
    <row r="652" spans="1:26" ht="18.75">
      <c r="A652" s="711"/>
      <c r="B652" s="712"/>
      <c r="C652" s="713"/>
      <c r="D652" s="698"/>
      <c r="E652" s="698"/>
      <c r="F652" s="698"/>
      <c r="G652" s="699"/>
      <c r="H652" s="467" t="s">
        <v>46</v>
      </c>
      <c r="I652" s="468">
        <v>0</v>
      </c>
      <c r="J652" s="468">
        <f ca="1">IFERROR(__xludf.DUMMYFUNCTION("IMPORTRANGE(""https://docs.google.com/spreadsheets/d/1XWAQStnk-4SwqDmLtmXYiTMKHgktTP8We1SCoS47DrQ/edit?usp=sharing"",""จัดที่ดิน!AZ21"")"),0)</f>
        <v>0</v>
      </c>
      <c r="K652" s="469">
        <f t="shared" si="270"/>
        <v>0</v>
      </c>
      <c r="L652" s="353"/>
      <c r="M652" s="353"/>
      <c r="N652" s="353"/>
      <c r="O652" s="353"/>
      <c r="P652" s="353"/>
      <c r="Q652" s="541"/>
      <c r="R652" s="541"/>
      <c r="S652" s="541"/>
      <c r="T652" s="541"/>
      <c r="U652" s="541"/>
      <c r="V652" s="541"/>
      <c r="W652" s="541"/>
      <c r="X652" s="541"/>
      <c r="Y652" s="541"/>
      <c r="Z652" s="541"/>
    </row>
    <row r="653" spans="1:26" ht="19.5">
      <c r="A653" s="714">
        <v>8</v>
      </c>
      <c r="B653" s="701" t="s">
        <v>278</v>
      </c>
      <c r="C653" s="702"/>
      <c r="D653" s="702"/>
      <c r="E653" s="702"/>
      <c r="F653" s="702"/>
      <c r="G653" s="703"/>
      <c r="H653" s="703"/>
      <c r="I653" s="715"/>
      <c r="J653" s="715"/>
      <c r="K653" s="707"/>
      <c r="L653" s="707"/>
      <c r="M653" s="707"/>
      <c r="N653" s="707"/>
      <c r="O653" s="707"/>
      <c r="P653" s="707"/>
      <c r="Q653" s="541"/>
      <c r="R653" s="541"/>
      <c r="S653" s="541"/>
      <c r="T653" s="541"/>
      <c r="U653" s="541"/>
      <c r="V653" s="541"/>
      <c r="W653" s="541"/>
      <c r="X653" s="541"/>
      <c r="Y653" s="541"/>
      <c r="Z653" s="541"/>
    </row>
    <row r="654" spans="1:26" ht="19.5">
      <c r="A654" s="639"/>
      <c r="B654" s="638" t="s">
        <v>279</v>
      </c>
      <c r="C654" s="639"/>
      <c r="D654" s="639"/>
      <c r="E654" s="639"/>
      <c r="F654" s="639"/>
      <c r="G654" s="640"/>
      <c r="H654" s="671" t="s">
        <v>46</v>
      </c>
      <c r="I654" s="672">
        <f t="shared" ref="I654:J654" ca="1" si="271">I669</f>
        <v>50</v>
      </c>
      <c r="J654" s="672">
        <f t="shared" si="271"/>
        <v>0</v>
      </c>
      <c r="K654" s="643">
        <f ca="1">IF(I654&gt;0,J654*100/I654,0)</f>
        <v>0</v>
      </c>
      <c r="L654" s="644"/>
      <c r="M654" s="644"/>
      <c r="N654" s="644"/>
      <c r="O654" s="644"/>
      <c r="P654" s="644"/>
      <c r="Q654" s="541"/>
      <c r="R654" s="541"/>
      <c r="S654" s="541"/>
      <c r="T654" s="541"/>
      <c r="U654" s="541"/>
      <c r="V654" s="541"/>
      <c r="W654" s="541"/>
      <c r="X654" s="541"/>
      <c r="Y654" s="541"/>
      <c r="Z654" s="541"/>
    </row>
    <row r="655" spans="1:26" ht="19.5">
      <c r="A655" s="561"/>
      <c r="B655" s="727"/>
      <c r="C655" s="727" t="s">
        <v>16</v>
      </c>
      <c r="D655" s="811" t="s">
        <v>17</v>
      </c>
      <c r="E655" s="805"/>
      <c r="F655" s="805"/>
      <c r="G655" s="189"/>
      <c r="H655" s="562" t="s">
        <v>12</v>
      </c>
      <c r="I655" s="269"/>
      <c r="J655" s="269"/>
      <c r="K655" s="465"/>
      <c r="L655" s="195">
        <f t="shared" ref="L655:N655" ca="1" si="272">L656+L657</f>
        <v>11000</v>
      </c>
      <c r="M655" s="195">
        <f t="shared" si="272"/>
        <v>0</v>
      </c>
      <c r="N655" s="195">
        <f t="shared" si="272"/>
        <v>0</v>
      </c>
      <c r="O655" s="195">
        <f t="shared" ref="O655:O660" ca="1" si="273">IF(L655&gt;0,N655*100/L655,0)</f>
        <v>0</v>
      </c>
      <c r="P655" s="195">
        <f t="shared" ref="P655:P660" si="274">IF(M655&gt;0,N655*100/M655,0)</f>
        <v>0</v>
      </c>
      <c r="Q655" s="541"/>
      <c r="R655" s="541"/>
      <c r="S655" s="541"/>
      <c r="T655" s="541"/>
      <c r="U655" s="541"/>
      <c r="V655" s="541"/>
      <c r="W655" s="541"/>
      <c r="X655" s="541"/>
      <c r="Y655" s="541"/>
      <c r="Z655" s="541"/>
    </row>
    <row r="656" spans="1:26" ht="18.75" hidden="1">
      <c r="A656" s="563"/>
      <c r="B656" s="723"/>
      <c r="C656" s="723"/>
      <c r="D656" s="684"/>
      <c r="E656" s="723" t="s">
        <v>184</v>
      </c>
      <c r="F656" s="723"/>
      <c r="G656" s="567"/>
      <c r="H656" s="165" t="s">
        <v>12</v>
      </c>
      <c r="I656" s="583"/>
      <c r="J656" s="583"/>
      <c r="K656" s="93"/>
      <c r="L656" s="93">
        <f t="shared" ref="L656:N657" si="275">L659+L666</f>
        <v>0</v>
      </c>
      <c r="M656" s="93">
        <f t="shared" si="275"/>
        <v>0</v>
      </c>
      <c r="N656" s="93">
        <f t="shared" si="275"/>
        <v>0</v>
      </c>
      <c r="O656" s="93">
        <f t="shared" si="273"/>
        <v>0</v>
      </c>
      <c r="P656" s="93">
        <f t="shared" si="274"/>
        <v>0</v>
      </c>
      <c r="Q656" s="568"/>
      <c r="R656" s="568"/>
      <c r="S656" s="568"/>
      <c r="T656" s="568"/>
      <c r="U656" s="568"/>
      <c r="V656" s="568"/>
      <c r="W656" s="568"/>
      <c r="X656" s="568"/>
      <c r="Y656" s="568"/>
      <c r="Z656" s="568"/>
    </row>
    <row r="657" spans="1:26" ht="18.75" hidden="1">
      <c r="A657" s="563"/>
      <c r="B657" s="571"/>
      <c r="C657" s="723"/>
      <c r="D657" s="684"/>
      <c r="E657" s="723" t="s">
        <v>185</v>
      </c>
      <c r="F657" s="723"/>
      <c r="G657" s="567"/>
      <c r="H657" s="165" t="s">
        <v>12</v>
      </c>
      <c r="I657" s="583"/>
      <c r="J657" s="583"/>
      <c r="K657" s="93"/>
      <c r="L657" s="93">
        <f t="shared" ca="1" si="275"/>
        <v>11000</v>
      </c>
      <c r="M657" s="93">
        <f t="shared" si="275"/>
        <v>0</v>
      </c>
      <c r="N657" s="93">
        <f t="shared" si="275"/>
        <v>0</v>
      </c>
      <c r="O657" s="93">
        <f t="shared" ca="1" si="273"/>
        <v>0</v>
      </c>
      <c r="P657" s="93">
        <f t="shared" si="274"/>
        <v>0</v>
      </c>
      <c r="Q657" s="568"/>
      <c r="R657" s="568"/>
      <c r="S657" s="568"/>
      <c r="T657" s="568"/>
      <c r="U657" s="568"/>
      <c r="V657" s="568"/>
      <c r="W657" s="568"/>
      <c r="X657" s="568"/>
      <c r="Y657" s="568"/>
      <c r="Z657" s="568"/>
    </row>
    <row r="658" spans="1:26" ht="18.75">
      <c r="A658" s="561"/>
      <c r="B658" s="538"/>
      <c r="C658" s="727"/>
      <c r="D658" s="570" t="s">
        <v>20</v>
      </c>
      <c r="E658" s="727"/>
      <c r="F658" s="727"/>
      <c r="G658" s="189"/>
      <c r="H658" s="161" t="s">
        <v>12</v>
      </c>
      <c r="I658" s="184"/>
      <c r="J658" s="184"/>
      <c r="K658" s="163"/>
      <c r="L658" s="465">
        <f t="shared" ref="L658:N658" ca="1" si="276">L659+L660</f>
        <v>11000</v>
      </c>
      <c r="M658" s="465">
        <f t="shared" si="276"/>
        <v>0</v>
      </c>
      <c r="N658" s="465">
        <f t="shared" si="276"/>
        <v>0</v>
      </c>
      <c r="O658" s="465">
        <f t="shared" ca="1" si="273"/>
        <v>0</v>
      </c>
      <c r="P658" s="465">
        <f t="shared" si="274"/>
        <v>0</v>
      </c>
      <c r="Q658" s="541"/>
      <c r="R658" s="541"/>
      <c r="S658" s="541"/>
      <c r="T658" s="541"/>
      <c r="U658" s="541"/>
      <c r="V658" s="541"/>
      <c r="W658" s="541"/>
      <c r="X658" s="541"/>
      <c r="Y658" s="541"/>
      <c r="Z658" s="541"/>
    </row>
    <row r="659" spans="1:26" ht="18.75" hidden="1">
      <c r="A659" s="563"/>
      <c r="B659" s="571"/>
      <c r="C659" s="723"/>
      <c r="D659" s="684"/>
      <c r="E659" s="723" t="s">
        <v>184</v>
      </c>
      <c r="F659" s="723"/>
      <c r="G659" s="567"/>
      <c r="H659" s="165" t="s">
        <v>12</v>
      </c>
      <c r="I659" s="583"/>
      <c r="J659" s="583"/>
      <c r="K659" s="93"/>
      <c r="L659" s="93">
        <v>0</v>
      </c>
      <c r="M659" s="93">
        <v>0</v>
      </c>
      <c r="N659" s="93">
        <v>0</v>
      </c>
      <c r="O659" s="93">
        <f t="shared" si="273"/>
        <v>0</v>
      </c>
      <c r="P659" s="93">
        <f t="shared" si="274"/>
        <v>0</v>
      </c>
      <c r="Q659" s="568"/>
      <c r="R659" s="568"/>
      <c r="S659" s="568"/>
      <c r="T659" s="568"/>
      <c r="U659" s="568"/>
      <c r="V659" s="568"/>
      <c r="W659" s="568"/>
      <c r="X659" s="568"/>
      <c r="Y659" s="568"/>
      <c r="Z659" s="568"/>
    </row>
    <row r="660" spans="1:26" ht="18.75" hidden="1">
      <c r="A660" s="563"/>
      <c r="B660" s="571"/>
      <c r="C660" s="723"/>
      <c r="D660" s="684"/>
      <c r="E660" s="723" t="s">
        <v>185</v>
      </c>
      <c r="F660" s="723"/>
      <c r="G660" s="567"/>
      <c r="H660" s="165" t="s">
        <v>12</v>
      </c>
      <c r="I660" s="583"/>
      <c r="J660" s="583"/>
      <c r="K660" s="93"/>
      <c r="L660" s="93">
        <f ca="1">IFERROR(__xludf.DUMMYFUNCTION("IMPORTRANGE(""https://docs.google.com/spreadsheets/d/1QqKyyYR6Q21VydFLVH3TRQUabQu_ym0Zz7PgGX0-kHA/edit?usp=sharing"",""แผน!HV21"")"),11000)</f>
        <v>11000</v>
      </c>
      <c r="M660" s="93">
        <v>0</v>
      </c>
      <c r="N660" s="93">
        <f>N661+N662+N663+N664</f>
        <v>0</v>
      </c>
      <c r="O660" s="93">
        <f t="shared" ca="1" si="273"/>
        <v>0</v>
      </c>
      <c r="P660" s="93">
        <f t="shared" si="274"/>
        <v>0</v>
      </c>
      <c r="Q660" s="568"/>
      <c r="R660" s="568"/>
      <c r="S660" s="568"/>
      <c r="T660" s="568"/>
      <c r="U660" s="568"/>
      <c r="V660" s="568"/>
      <c r="W660" s="568"/>
      <c r="X660" s="568"/>
      <c r="Y660" s="568"/>
      <c r="Z660" s="568"/>
    </row>
    <row r="661" spans="1:26" ht="18.75">
      <c r="A661" s="537"/>
      <c r="B661" s="538"/>
      <c r="C661" s="727"/>
      <c r="D661" s="727"/>
      <c r="E661" s="727"/>
      <c r="F661" s="727" t="s">
        <v>186</v>
      </c>
      <c r="G661" s="189"/>
      <c r="H661" s="161" t="s">
        <v>12</v>
      </c>
      <c r="I661" s="269"/>
      <c r="J661" s="269"/>
      <c r="K661" s="465"/>
      <c r="L661" s="465"/>
      <c r="M661" s="465"/>
      <c r="N661" s="789">
        <v>0</v>
      </c>
      <c r="O661" s="465"/>
      <c r="P661" s="465"/>
      <c r="Q661" s="541"/>
      <c r="R661" s="541"/>
      <c r="S661" s="541"/>
      <c r="T661" s="541"/>
      <c r="U661" s="541"/>
      <c r="V661" s="541"/>
      <c r="W661" s="541"/>
      <c r="X661" s="541"/>
      <c r="Y661" s="541"/>
      <c r="Z661" s="541"/>
    </row>
    <row r="662" spans="1:26" ht="18.75">
      <c r="A662" s="537"/>
      <c r="B662" s="538"/>
      <c r="C662" s="727"/>
      <c r="D662" s="727"/>
      <c r="E662" s="727"/>
      <c r="F662" s="727" t="s">
        <v>187</v>
      </c>
      <c r="G662" s="189"/>
      <c r="H662" s="161" t="s">
        <v>12</v>
      </c>
      <c r="I662" s="269"/>
      <c r="J662" s="269"/>
      <c r="K662" s="465"/>
      <c r="L662" s="465"/>
      <c r="M662" s="465"/>
      <c r="N662" s="789">
        <v>0</v>
      </c>
      <c r="O662" s="465"/>
      <c r="P662" s="465"/>
      <c r="Q662" s="541"/>
      <c r="R662" s="541"/>
      <c r="S662" s="541"/>
      <c r="T662" s="541"/>
      <c r="U662" s="541"/>
      <c r="V662" s="541"/>
      <c r="W662" s="541"/>
      <c r="X662" s="541"/>
      <c r="Y662" s="541"/>
      <c r="Z662" s="541"/>
    </row>
    <row r="663" spans="1:26" ht="18.75">
      <c r="A663" s="537"/>
      <c r="B663" s="538"/>
      <c r="C663" s="538"/>
      <c r="D663" s="727"/>
      <c r="E663" s="727"/>
      <c r="F663" s="727" t="s">
        <v>188</v>
      </c>
      <c r="G663" s="189"/>
      <c r="H663" s="161" t="s">
        <v>12</v>
      </c>
      <c r="I663" s="269"/>
      <c r="J663" s="269"/>
      <c r="K663" s="465"/>
      <c r="L663" s="465"/>
      <c r="M663" s="465"/>
      <c r="N663" s="789">
        <v>0</v>
      </c>
      <c r="O663" s="465"/>
      <c r="P663" s="465"/>
      <c r="Q663" s="541"/>
      <c r="R663" s="541"/>
      <c r="S663" s="541"/>
      <c r="T663" s="541"/>
      <c r="U663" s="541"/>
      <c r="V663" s="541"/>
      <c r="W663" s="541"/>
      <c r="X663" s="541"/>
      <c r="Y663" s="541"/>
      <c r="Z663" s="541"/>
    </row>
    <row r="664" spans="1:26" ht="18.75">
      <c r="A664" s="537"/>
      <c r="B664" s="538"/>
      <c r="C664" s="538"/>
      <c r="D664" s="538"/>
      <c r="E664" s="727"/>
      <c r="F664" s="727" t="s">
        <v>189</v>
      </c>
      <c r="G664" s="189"/>
      <c r="H664" s="161" t="s">
        <v>12</v>
      </c>
      <c r="I664" s="269"/>
      <c r="J664" s="269"/>
      <c r="K664" s="465"/>
      <c r="L664" s="465"/>
      <c r="M664" s="465"/>
      <c r="N664" s="789">
        <v>0</v>
      </c>
      <c r="O664" s="465"/>
      <c r="P664" s="465"/>
      <c r="Q664" s="541"/>
      <c r="R664" s="541"/>
      <c r="S664" s="541"/>
      <c r="T664" s="541"/>
      <c r="U664" s="541"/>
      <c r="V664" s="541"/>
      <c r="W664" s="541"/>
      <c r="X664" s="541"/>
      <c r="Y664" s="541"/>
      <c r="Z664" s="541"/>
    </row>
    <row r="665" spans="1:26" ht="18.75">
      <c r="A665" s="561"/>
      <c r="B665" s="538"/>
      <c r="C665" s="538"/>
      <c r="D665" s="570" t="s">
        <v>21</v>
      </c>
      <c r="E665" s="727"/>
      <c r="F665" s="727"/>
      <c r="G665" s="189"/>
      <c r="H665" s="168" t="s">
        <v>12</v>
      </c>
      <c r="I665" s="184"/>
      <c r="J665" s="184"/>
      <c r="K665" s="163"/>
      <c r="L665" s="465">
        <f t="shared" ref="L665:N665" si="277">L666+L667</f>
        <v>0</v>
      </c>
      <c r="M665" s="465">
        <f t="shared" si="277"/>
        <v>0</v>
      </c>
      <c r="N665" s="465">
        <f t="shared" si="277"/>
        <v>0</v>
      </c>
      <c r="O665" s="465">
        <f t="shared" ref="O665:O667" si="278">IF(L665&gt;0,N665*100/L665,0)</f>
        <v>0</v>
      </c>
      <c r="P665" s="465">
        <f t="shared" ref="P665:P667" si="279">IF(M665&gt;0,N665*100/M665,0)</f>
        <v>0</v>
      </c>
      <c r="Q665" s="541"/>
      <c r="R665" s="541"/>
      <c r="S665" s="541"/>
      <c r="T665" s="541"/>
      <c r="U665" s="541"/>
      <c r="V665" s="541"/>
      <c r="W665" s="541"/>
      <c r="X665" s="541"/>
      <c r="Y665" s="541"/>
      <c r="Z665" s="541"/>
    </row>
    <row r="666" spans="1:26" ht="18.75" hidden="1">
      <c r="A666" s="563"/>
      <c r="B666" s="571"/>
      <c r="C666" s="571"/>
      <c r="D666" s="571"/>
      <c r="E666" s="723" t="s">
        <v>18</v>
      </c>
      <c r="F666" s="723"/>
      <c r="G666" s="567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8"/>
        <v>0</v>
      </c>
      <c r="P666" s="93">
        <f t="shared" si="279"/>
        <v>0</v>
      </c>
      <c r="Q666" s="568"/>
      <c r="R666" s="568"/>
      <c r="S666" s="568"/>
      <c r="T666" s="568"/>
      <c r="U666" s="568"/>
      <c r="V666" s="568"/>
      <c r="W666" s="568"/>
      <c r="X666" s="568"/>
      <c r="Y666" s="568"/>
      <c r="Z666" s="568"/>
    </row>
    <row r="667" spans="1:26" ht="18.75" hidden="1">
      <c r="A667" s="563"/>
      <c r="B667" s="571"/>
      <c r="C667" s="571"/>
      <c r="D667" s="571"/>
      <c r="E667" s="723" t="s">
        <v>19</v>
      </c>
      <c r="F667" s="723"/>
      <c r="G667" s="567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8"/>
        <v>0</v>
      </c>
      <c r="P667" s="93">
        <f t="shared" si="279"/>
        <v>0</v>
      </c>
      <c r="Q667" s="568"/>
      <c r="R667" s="568"/>
      <c r="S667" s="568"/>
      <c r="T667" s="568"/>
      <c r="U667" s="568"/>
      <c r="V667" s="568"/>
      <c r="W667" s="568"/>
      <c r="X667" s="568"/>
      <c r="Y667" s="568"/>
      <c r="Z667" s="568"/>
    </row>
    <row r="668" spans="1:26" ht="19.5">
      <c r="A668" s="572"/>
      <c r="B668" s="584"/>
      <c r="C668" s="538" t="s">
        <v>16</v>
      </c>
      <c r="D668" s="850" t="s">
        <v>38</v>
      </c>
      <c r="E668" s="725"/>
      <c r="F668" s="725"/>
      <c r="G668" s="577"/>
      <c r="H668" s="726"/>
      <c r="I668" s="184"/>
      <c r="J668" s="184"/>
      <c r="K668" s="163"/>
      <c r="L668" s="163"/>
      <c r="M668" s="163"/>
      <c r="N668" s="163"/>
      <c r="O668" s="163"/>
      <c r="P668" s="163"/>
      <c r="Q668" s="541"/>
      <c r="R668" s="541"/>
      <c r="S668" s="541"/>
      <c r="T668" s="541"/>
      <c r="U668" s="541"/>
      <c r="V668" s="541"/>
      <c r="W668" s="541"/>
      <c r="X668" s="541"/>
      <c r="Y668" s="541"/>
      <c r="Z668" s="541"/>
    </row>
    <row r="669" spans="1:26" ht="19.5">
      <c r="A669" s="572"/>
      <c r="B669" s="584"/>
      <c r="C669" s="584"/>
      <c r="D669" s="584" t="s">
        <v>280</v>
      </c>
      <c r="E669" s="592"/>
      <c r="F669" s="592"/>
      <c r="G669" s="726"/>
      <c r="H669" s="731" t="s">
        <v>46</v>
      </c>
      <c r="I669" s="647">
        <f ca="1">IFERROR(__xludf.DUMMYFUNCTION("IMPORTRANGE(""https://docs.google.com/spreadsheets/d/1QqKyyYR6Q21VydFLVH3TRQUabQu_ym0Zz7PgGX0-kHA/edit?usp=sharing"",""แผน!IA21"")"),50)</f>
        <v>50</v>
      </c>
      <c r="J669" s="647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41"/>
      <c r="R669" s="541"/>
      <c r="S669" s="541"/>
      <c r="T669" s="541"/>
      <c r="U669" s="541"/>
      <c r="V669" s="541"/>
      <c r="W669" s="541"/>
      <c r="X669" s="541"/>
      <c r="Y669" s="541"/>
      <c r="Z669" s="541"/>
    </row>
    <row r="670" spans="1:26" ht="18.75">
      <c r="A670" s="572"/>
      <c r="B670" s="584"/>
      <c r="C670" s="584"/>
      <c r="D670" s="584"/>
      <c r="E670" s="592" t="s">
        <v>281</v>
      </c>
      <c r="F670" s="592"/>
      <c r="G670" s="726"/>
      <c r="H670" s="728" t="s">
        <v>69</v>
      </c>
      <c r="I670" s="269">
        <f ca="1">IFERROR(__xludf.DUMMYFUNCTION("IMPORTRANGE(""https://docs.google.com/spreadsheets/d/1QqKyyYR6Q21VydFLVH3TRQUabQu_ym0Zz7PgGX0-kHA/edit?usp=sharing"",""แผน!HZ21"")"),5)</f>
        <v>5</v>
      </c>
      <c r="J670" s="214">
        <v>0</v>
      </c>
      <c r="K670" s="465">
        <f ca="1">IF(I670&gt;0,(J670*100)/I670,0)</f>
        <v>0</v>
      </c>
      <c r="L670" s="163"/>
      <c r="M670" s="163"/>
      <c r="N670" s="163"/>
      <c r="O670" s="163"/>
      <c r="P670" s="163"/>
      <c r="Q670" s="541"/>
      <c r="R670" s="541"/>
      <c r="S670" s="541"/>
      <c r="T670" s="541"/>
      <c r="U670" s="541"/>
      <c r="V670" s="541"/>
      <c r="W670" s="541"/>
      <c r="X670" s="541"/>
      <c r="Y670" s="541"/>
      <c r="Z670" s="541"/>
    </row>
    <row r="671" spans="1:26" ht="18.75">
      <c r="A671" s="572"/>
      <c r="B671" s="584"/>
      <c r="C671" s="584"/>
      <c r="D671" s="584"/>
      <c r="E671" s="592" t="s">
        <v>282</v>
      </c>
      <c r="F671" s="592"/>
      <c r="G671" s="726"/>
      <c r="H671" s="728" t="s">
        <v>69</v>
      </c>
      <c r="I671" s="269">
        <f ca="1">IFERROR(__xludf.DUMMYFUNCTION("IMPORTRANGE(""https://docs.google.com/spreadsheets/d/1QqKyyYR6Q21VydFLVH3TRQUabQu_ym0Zz7PgGX0-kHA/edit?usp=sharing"",""แผน!HZ21"")"),5)</f>
        <v>5</v>
      </c>
      <c r="J671" s="214">
        <v>0</v>
      </c>
      <c r="K671" s="465">
        <f ca="1">IF(I$671&gt;0,J671*100/I$671,0)</f>
        <v>0</v>
      </c>
      <c r="L671" s="163"/>
      <c r="M671" s="163"/>
      <c r="N671" s="163"/>
      <c r="O671" s="163"/>
      <c r="P671" s="163"/>
      <c r="Q671" s="541"/>
      <c r="R671" s="541"/>
      <c r="S671" s="541"/>
      <c r="T671" s="541"/>
      <c r="U671" s="541"/>
      <c r="V671" s="541"/>
      <c r="W671" s="541"/>
      <c r="X671" s="541"/>
      <c r="Y671" s="541"/>
      <c r="Z671" s="541"/>
    </row>
    <row r="672" spans="1:26" ht="18.75">
      <c r="A672" s="572"/>
      <c r="B672" s="584"/>
      <c r="C672" s="584"/>
      <c r="D672" s="584"/>
      <c r="E672" s="592" t="s">
        <v>283</v>
      </c>
      <c r="F672" s="592"/>
      <c r="G672" s="726"/>
      <c r="H672" s="728" t="s">
        <v>46</v>
      </c>
      <c r="I672" s="269"/>
      <c r="J672" s="214">
        <v>0</v>
      </c>
      <c r="K672" s="465">
        <f t="shared" ref="K672:K675" ca="1" si="280">IF(I$669&gt;0,J672*100/I$669,0)</f>
        <v>0</v>
      </c>
      <c r="L672" s="163"/>
      <c r="M672" s="163"/>
      <c r="N672" s="163"/>
      <c r="O672" s="163"/>
      <c r="P672" s="163"/>
      <c r="Q672" s="541"/>
      <c r="R672" s="541"/>
      <c r="S672" s="541"/>
      <c r="T672" s="541"/>
      <c r="U672" s="541"/>
      <c r="V672" s="541"/>
      <c r="W672" s="541"/>
      <c r="X672" s="541"/>
      <c r="Y672" s="541"/>
      <c r="Z672" s="541"/>
    </row>
    <row r="673" spans="1:26" ht="18.75">
      <c r="A673" s="572"/>
      <c r="B673" s="584"/>
      <c r="C673" s="584"/>
      <c r="D673" s="584"/>
      <c r="E673" s="592" t="s">
        <v>284</v>
      </c>
      <c r="F673" s="592"/>
      <c r="G673" s="726"/>
      <c r="H673" s="728" t="s">
        <v>46</v>
      </c>
      <c r="I673" s="269"/>
      <c r="J673" s="214">
        <v>0</v>
      </c>
      <c r="K673" s="465">
        <f t="shared" ca="1" si="280"/>
        <v>0</v>
      </c>
      <c r="L673" s="163"/>
      <c r="M673" s="163"/>
      <c r="N673" s="163"/>
      <c r="O673" s="163"/>
      <c r="P673" s="163"/>
      <c r="Q673" s="541"/>
      <c r="R673" s="541"/>
      <c r="S673" s="541"/>
      <c r="T673" s="541"/>
      <c r="U673" s="541"/>
      <c r="V673" s="541"/>
      <c r="W673" s="541"/>
      <c r="X673" s="541"/>
      <c r="Y673" s="541"/>
      <c r="Z673" s="541"/>
    </row>
    <row r="674" spans="1:26" ht="18.75">
      <c r="A674" s="572"/>
      <c r="B674" s="584"/>
      <c r="C674" s="584"/>
      <c r="D674" s="584"/>
      <c r="E674" s="592" t="s">
        <v>285</v>
      </c>
      <c r="F674" s="592"/>
      <c r="G674" s="726"/>
      <c r="H674" s="728" t="s">
        <v>46</v>
      </c>
      <c r="I674" s="269"/>
      <c r="J674" s="214">
        <v>0</v>
      </c>
      <c r="K674" s="465">
        <f t="shared" ca="1" si="280"/>
        <v>0</v>
      </c>
      <c r="L674" s="163"/>
      <c r="M674" s="163"/>
      <c r="N674" s="163"/>
      <c r="O674" s="163"/>
      <c r="P674" s="163"/>
      <c r="Q674" s="541"/>
      <c r="R674" s="541"/>
      <c r="S674" s="541"/>
      <c r="T674" s="541"/>
      <c r="U674" s="541"/>
      <c r="V674" s="541"/>
      <c r="W674" s="541"/>
      <c r="X674" s="541"/>
      <c r="Y674" s="541"/>
      <c r="Z674" s="541"/>
    </row>
    <row r="675" spans="1:26" ht="19.5">
      <c r="A675" s="572"/>
      <c r="B675" s="584"/>
      <c r="C675" s="584"/>
      <c r="D675" s="584"/>
      <c r="E675" s="592" t="s">
        <v>286</v>
      </c>
      <c r="F675" s="592"/>
      <c r="G675" s="726"/>
      <c r="H675" s="728" t="s">
        <v>46</v>
      </c>
      <c r="I675" s="269"/>
      <c r="J675" s="647">
        <f>J676+J677</f>
        <v>0</v>
      </c>
      <c r="K675" s="195">
        <f t="shared" ca="1" si="280"/>
        <v>0</v>
      </c>
      <c r="L675" s="163"/>
      <c r="M675" s="163"/>
      <c r="N675" s="163"/>
      <c r="O675" s="163"/>
      <c r="P675" s="163"/>
      <c r="Q675" s="541"/>
      <c r="R675" s="541"/>
      <c r="S675" s="541"/>
      <c r="T675" s="541"/>
      <c r="U675" s="541"/>
      <c r="V675" s="541"/>
      <c r="W675" s="541"/>
      <c r="X675" s="541"/>
      <c r="Y675" s="541"/>
      <c r="Z675" s="541"/>
    </row>
    <row r="676" spans="1:26" ht="18.75">
      <c r="A676" s="572"/>
      <c r="B676" s="584"/>
      <c r="C676" s="584"/>
      <c r="D676" s="584"/>
      <c r="E676" s="592"/>
      <c r="F676" s="592" t="s">
        <v>287</v>
      </c>
      <c r="G676" s="726"/>
      <c r="H676" s="728" t="s">
        <v>46</v>
      </c>
      <c r="I676" s="269"/>
      <c r="J676" s="214">
        <v>0</v>
      </c>
      <c r="K676" s="465"/>
      <c r="L676" s="163"/>
      <c r="M676" s="163"/>
      <c r="N676" s="163"/>
      <c r="O676" s="163"/>
      <c r="P676" s="163"/>
      <c r="Q676" s="541"/>
      <c r="R676" s="541"/>
      <c r="S676" s="541"/>
      <c r="T676" s="541"/>
      <c r="U676" s="541"/>
      <c r="V676" s="541"/>
      <c r="W676" s="541"/>
      <c r="X676" s="541"/>
      <c r="Y676" s="541"/>
      <c r="Z676" s="541"/>
    </row>
    <row r="677" spans="1:26" ht="18.75">
      <c r="A677" s="572"/>
      <c r="B677" s="584"/>
      <c r="C677" s="584"/>
      <c r="D677" s="584"/>
      <c r="E677" s="592"/>
      <c r="F677" s="592" t="s">
        <v>288</v>
      </c>
      <c r="G677" s="726"/>
      <c r="H677" s="728" t="s">
        <v>46</v>
      </c>
      <c r="I677" s="269"/>
      <c r="J677" s="214">
        <v>0</v>
      </c>
      <c r="K677" s="465"/>
      <c r="L677" s="163"/>
      <c r="M677" s="163"/>
      <c r="N677" s="163"/>
      <c r="O677" s="163"/>
      <c r="P677" s="163"/>
      <c r="Q677" s="541"/>
      <c r="R677" s="541"/>
      <c r="S677" s="541"/>
      <c r="T677" s="541"/>
      <c r="U677" s="541"/>
      <c r="V677" s="541"/>
      <c r="W677" s="541"/>
      <c r="X677" s="541"/>
      <c r="Y677" s="541"/>
      <c r="Z677" s="541"/>
    </row>
    <row r="678" spans="1:26" ht="19.5">
      <c r="A678" s="572"/>
      <c r="B678" s="584"/>
      <c r="C678" s="584"/>
      <c r="D678" s="584" t="s">
        <v>289</v>
      </c>
      <c r="E678" s="592"/>
      <c r="F678" s="592"/>
      <c r="G678" s="726"/>
      <c r="H678" s="728" t="s">
        <v>46</v>
      </c>
      <c r="I678" s="647">
        <f ca="1">IFERROR(__xludf.DUMMYFUNCTION("IMPORTRANGE(""https://docs.google.com/spreadsheets/d/1QqKyyYR6Q21VydFLVH3TRQUabQu_ym0Zz7PgGX0-kHA/edit?usp=sharing"",""แผน!IB21"")"),0)</f>
        <v>0</v>
      </c>
      <c r="J678" s="647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41"/>
      <c r="R678" s="541"/>
      <c r="S678" s="541"/>
      <c r="T678" s="541"/>
      <c r="U678" s="541"/>
      <c r="V678" s="541"/>
      <c r="W678" s="541"/>
      <c r="X678" s="541"/>
      <c r="Y678" s="541"/>
      <c r="Z678" s="541"/>
    </row>
    <row r="679" spans="1:26" ht="18.75">
      <c r="A679" s="572"/>
      <c r="B679" s="584"/>
      <c r="C679" s="584"/>
      <c r="D679" s="584"/>
      <c r="E679" s="592" t="s">
        <v>290</v>
      </c>
      <c r="F679" s="592"/>
      <c r="G679" s="726"/>
      <c r="H679" s="728" t="s">
        <v>46</v>
      </c>
      <c r="I679" s="269"/>
      <c r="J679" s="269">
        <f>J680+J681</f>
        <v>0</v>
      </c>
      <c r="K679" s="465"/>
      <c r="L679" s="163"/>
      <c r="M679" s="163"/>
      <c r="N679" s="163"/>
      <c r="O679" s="163"/>
      <c r="P679" s="163"/>
      <c r="Q679" s="541"/>
      <c r="R679" s="541"/>
      <c r="S679" s="541"/>
      <c r="T679" s="541"/>
      <c r="U679" s="541"/>
      <c r="V679" s="541"/>
      <c r="W679" s="541"/>
      <c r="X679" s="541"/>
      <c r="Y679" s="541"/>
      <c r="Z679" s="541"/>
    </row>
    <row r="680" spans="1:26" ht="18.75">
      <c r="A680" s="572"/>
      <c r="B680" s="584"/>
      <c r="C680" s="584"/>
      <c r="D680" s="584"/>
      <c r="E680" s="592"/>
      <c r="F680" s="592" t="s">
        <v>287</v>
      </c>
      <c r="G680" s="726"/>
      <c r="H680" s="728" t="s">
        <v>46</v>
      </c>
      <c r="I680" s="269"/>
      <c r="J680" s="214">
        <v>0</v>
      </c>
      <c r="K680" s="465"/>
      <c r="L680" s="163"/>
      <c r="M680" s="163"/>
      <c r="N680" s="163"/>
      <c r="O680" s="163"/>
      <c r="P680" s="163"/>
      <c r="Q680" s="541"/>
      <c r="R680" s="541"/>
      <c r="S680" s="541"/>
      <c r="T680" s="541"/>
      <c r="U680" s="541"/>
      <c r="V680" s="541"/>
      <c r="W680" s="541"/>
      <c r="X680" s="541"/>
      <c r="Y680" s="541"/>
      <c r="Z680" s="541"/>
    </row>
    <row r="681" spans="1:26" ht="18.75">
      <c r="A681" s="572"/>
      <c r="B681" s="584"/>
      <c r="C681" s="584"/>
      <c r="D681" s="584"/>
      <c r="E681" s="592"/>
      <c r="F681" s="592" t="s">
        <v>288</v>
      </c>
      <c r="G681" s="726"/>
      <c r="H681" s="728" t="s">
        <v>46</v>
      </c>
      <c r="I681" s="269"/>
      <c r="J681" s="214">
        <v>0</v>
      </c>
      <c r="K681" s="465"/>
      <c r="L681" s="163"/>
      <c r="M681" s="163"/>
      <c r="N681" s="163"/>
      <c r="O681" s="163"/>
      <c r="P681" s="163"/>
      <c r="Q681" s="541"/>
      <c r="R681" s="541"/>
      <c r="S681" s="541"/>
      <c r="T681" s="541"/>
      <c r="U681" s="541"/>
      <c r="V681" s="541"/>
      <c r="W681" s="541"/>
      <c r="X681" s="541"/>
      <c r="Y681" s="541"/>
      <c r="Z681" s="541"/>
    </row>
    <row r="682" spans="1:26" ht="18.75">
      <c r="A682" s="572"/>
      <c r="B682" s="584"/>
      <c r="C682" s="584"/>
      <c r="D682" s="584"/>
      <c r="E682" s="592" t="s">
        <v>291</v>
      </c>
      <c r="F682" s="592"/>
      <c r="G682" s="726"/>
      <c r="H682" s="728" t="s">
        <v>46</v>
      </c>
      <c r="I682" s="269"/>
      <c r="J682" s="214">
        <v>0</v>
      </c>
      <c r="K682" s="465"/>
      <c r="L682" s="163"/>
      <c r="M682" s="163"/>
      <c r="N682" s="163"/>
      <c r="O682" s="163"/>
      <c r="P682" s="163"/>
      <c r="Q682" s="541"/>
      <c r="R682" s="541"/>
      <c r="S682" s="541"/>
      <c r="T682" s="541"/>
      <c r="U682" s="541"/>
      <c r="V682" s="541"/>
      <c r="W682" s="541"/>
      <c r="X682" s="541"/>
      <c r="Y682" s="541"/>
      <c r="Z682" s="541"/>
    </row>
    <row r="683" spans="1:26" ht="18.75">
      <c r="A683" s="572"/>
      <c r="B683" s="584"/>
      <c r="C683" s="584"/>
      <c r="D683" s="584"/>
      <c r="E683" s="592"/>
      <c r="F683" s="592" t="s">
        <v>292</v>
      </c>
      <c r="G683" s="726"/>
      <c r="H683" s="728" t="s">
        <v>46</v>
      </c>
      <c r="I683" s="269"/>
      <c r="J683" s="214">
        <v>0</v>
      </c>
      <c r="K683" s="465"/>
      <c r="L683" s="163"/>
      <c r="M683" s="163"/>
      <c r="N683" s="163"/>
      <c r="O683" s="163"/>
      <c r="P683" s="163"/>
      <c r="Q683" s="541"/>
      <c r="R683" s="541"/>
      <c r="S683" s="541"/>
      <c r="T683" s="541"/>
      <c r="U683" s="541"/>
      <c r="V683" s="541"/>
      <c r="W683" s="541"/>
      <c r="X683" s="541"/>
      <c r="Y683" s="541"/>
      <c r="Z683" s="541"/>
    </row>
    <row r="684" spans="1:26" ht="19.5">
      <c r="A684" s="717"/>
      <c r="B684" s="718" t="s">
        <v>293</v>
      </c>
      <c r="C684" s="717"/>
      <c r="D684" s="717"/>
      <c r="E684" s="717"/>
      <c r="F684" s="717"/>
      <c r="G684" s="719"/>
      <c r="H684" s="719"/>
      <c r="I684" s="720"/>
      <c r="J684" s="720"/>
      <c r="K684" s="721"/>
      <c r="L684" s="721"/>
      <c r="M684" s="721"/>
      <c r="N684" s="721"/>
      <c r="O684" s="721"/>
      <c r="P684" s="721"/>
      <c r="Q684" s="541"/>
      <c r="R684" s="541"/>
      <c r="S684" s="541"/>
      <c r="T684" s="541"/>
      <c r="U684" s="541"/>
      <c r="V684" s="541"/>
      <c r="W684" s="541"/>
      <c r="X684" s="541"/>
      <c r="Y684" s="541"/>
      <c r="Z684" s="541"/>
    </row>
    <row r="685" spans="1:26" ht="19.5">
      <c r="A685" s="561"/>
      <c r="B685" s="727"/>
      <c r="C685" s="727" t="s">
        <v>16</v>
      </c>
      <c r="D685" s="811" t="s">
        <v>17</v>
      </c>
      <c r="E685" s="805"/>
      <c r="F685" s="805"/>
      <c r="G685" s="189"/>
      <c r="H685" s="562" t="s">
        <v>12</v>
      </c>
      <c r="I685" s="269"/>
      <c r="J685" s="269"/>
      <c r="K685" s="465"/>
      <c r="L685" s="195">
        <f t="shared" ref="L685:N685" ca="1" si="281">L686+L687</f>
        <v>15760</v>
      </c>
      <c r="M685" s="195">
        <f t="shared" si="281"/>
        <v>0</v>
      </c>
      <c r="N685" s="195">
        <f t="shared" si="281"/>
        <v>0</v>
      </c>
      <c r="O685" s="195">
        <f t="shared" ref="O685:O688" ca="1" si="282">IF(L685&gt;0,N685*100/L685,0)</f>
        <v>0</v>
      </c>
      <c r="P685" s="195">
        <f t="shared" ref="P685:P688" si="283">IF(M685&gt;0,N685*100/M685,0)</f>
        <v>0</v>
      </c>
      <c r="Q685" s="541"/>
      <c r="R685" s="541"/>
      <c r="S685" s="541"/>
      <c r="T685" s="541"/>
      <c r="U685" s="541"/>
      <c r="V685" s="541"/>
      <c r="W685" s="541"/>
      <c r="X685" s="541"/>
      <c r="Y685" s="541"/>
      <c r="Z685" s="541"/>
    </row>
    <row r="686" spans="1:26" ht="18.75" hidden="1">
      <c r="A686" s="563"/>
      <c r="B686" s="723"/>
      <c r="C686" s="723"/>
      <c r="D686" s="684"/>
      <c r="E686" s="723" t="s">
        <v>184</v>
      </c>
      <c r="F686" s="723"/>
      <c r="G686" s="567"/>
      <c r="H686" s="165" t="s">
        <v>12</v>
      </c>
      <c r="I686" s="583"/>
      <c r="J686" s="583"/>
      <c r="K686" s="93"/>
      <c r="L686" s="93">
        <f t="shared" ref="L686:N687" si="284">L689+L696</f>
        <v>0</v>
      </c>
      <c r="M686" s="93">
        <f t="shared" si="284"/>
        <v>0</v>
      </c>
      <c r="N686" s="93">
        <f t="shared" si="284"/>
        <v>0</v>
      </c>
      <c r="O686" s="93">
        <f t="shared" si="282"/>
        <v>0</v>
      </c>
      <c r="P686" s="93">
        <f t="shared" si="283"/>
        <v>0</v>
      </c>
      <c r="Q686" s="568"/>
      <c r="R686" s="568"/>
      <c r="S686" s="568"/>
      <c r="T686" s="568"/>
      <c r="U686" s="568"/>
      <c r="V686" s="568"/>
      <c r="W686" s="568"/>
      <c r="X686" s="568"/>
      <c r="Y686" s="568"/>
      <c r="Z686" s="568"/>
    </row>
    <row r="687" spans="1:26" ht="18.75" hidden="1">
      <c r="A687" s="563"/>
      <c r="B687" s="571"/>
      <c r="C687" s="723"/>
      <c r="D687" s="684"/>
      <c r="E687" s="723" t="s">
        <v>185</v>
      </c>
      <c r="F687" s="723"/>
      <c r="G687" s="567"/>
      <c r="H687" s="165" t="s">
        <v>12</v>
      </c>
      <c r="I687" s="583"/>
      <c r="J687" s="583"/>
      <c r="K687" s="93"/>
      <c r="L687" s="93">
        <f t="shared" ca="1" si="284"/>
        <v>15760</v>
      </c>
      <c r="M687" s="93">
        <f t="shared" si="284"/>
        <v>0</v>
      </c>
      <c r="N687" s="93">
        <f t="shared" si="284"/>
        <v>0</v>
      </c>
      <c r="O687" s="93">
        <f t="shared" ca="1" si="282"/>
        <v>0</v>
      </c>
      <c r="P687" s="93">
        <f t="shared" si="283"/>
        <v>0</v>
      </c>
      <c r="Q687" s="568"/>
      <c r="R687" s="568"/>
      <c r="S687" s="568"/>
      <c r="T687" s="568"/>
      <c r="U687" s="568"/>
      <c r="V687" s="568"/>
      <c r="W687" s="568"/>
      <c r="X687" s="568"/>
      <c r="Y687" s="568"/>
      <c r="Z687" s="568"/>
    </row>
    <row r="688" spans="1:26" ht="18.75">
      <c r="A688" s="561"/>
      <c r="B688" s="538"/>
      <c r="C688" s="727"/>
      <c r="D688" s="570" t="s">
        <v>20</v>
      </c>
      <c r="E688" s="727"/>
      <c r="F688" s="727"/>
      <c r="G688" s="189"/>
      <c r="H688" s="161" t="s">
        <v>12</v>
      </c>
      <c r="I688" s="184"/>
      <c r="J688" s="184"/>
      <c r="K688" s="163"/>
      <c r="L688" s="465">
        <f t="shared" ref="L688:N688" ca="1" si="285">L689+L690</f>
        <v>15760</v>
      </c>
      <c r="M688" s="465">
        <f t="shared" si="285"/>
        <v>0</v>
      </c>
      <c r="N688" s="465">
        <f t="shared" si="285"/>
        <v>0</v>
      </c>
      <c r="O688" s="465">
        <f t="shared" ca="1" si="282"/>
        <v>0</v>
      </c>
      <c r="P688" s="465">
        <f t="shared" si="283"/>
        <v>0</v>
      </c>
      <c r="Q688" s="541"/>
      <c r="R688" s="541"/>
      <c r="S688" s="541"/>
      <c r="T688" s="541"/>
      <c r="U688" s="541"/>
      <c r="V688" s="541"/>
      <c r="W688" s="541"/>
      <c r="X688" s="541"/>
      <c r="Y688" s="541"/>
      <c r="Z688" s="541"/>
    </row>
    <row r="689" spans="1:26" ht="18.75" hidden="1">
      <c r="A689" s="563"/>
      <c r="B689" s="571"/>
      <c r="C689" s="723"/>
      <c r="D689" s="684"/>
      <c r="E689" s="723" t="s">
        <v>184</v>
      </c>
      <c r="F689" s="723"/>
      <c r="G689" s="567"/>
      <c r="H689" s="165" t="s">
        <v>12</v>
      </c>
      <c r="I689" s="583"/>
      <c r="J689" s="583"/>
      <c r="K689" s="93"/>
      <c r="L689" s="93">
        <v>0</v>
      </c>
      <c r="M689" s="93">
        <v>0</v>
      </c>
      <c r="N689" s="93">
        <v>0</v>
      </c>
      <c r="O689" s="93"/>
      <c r="P689" s="93"/>
      <c r="Q689" s="568"/>
      <c r="R689" s="568"/>
      <c r="S689" s="568"/>
      <c r="T689" s="568"/>
      <c r="U689" s="568"/>
      <c r="V689" s="568"/>
      <c r="W689" s="568"/>
      <c r="X689" s="568"/>
      <c r="Y689" s="568"/>
      <c r="Z689" s="568"/>
    </row>
    <row r="690" spans="1:26" ht="18.75" hidden="1">
      <c r="A690" s="563"/>
      <c r="B690" s="571"/>
      <c r="C690" s="723"/>
      <c r="D690" s="684"/>
      <c r="E690" s="723" t="s">
        <v>185</v>
      </c>
      <c r="F690" s="723"/>
      <c r="G690" s="567"/>
      <c r="H690" s="165" t="s">
        <v>12</v>
      </c>
      <c r="I690" s="583"/>
      <c r="J690" s="583"/>
      <c r="K690" s="93"/>
      <c r="L690" s="93">
        <f ca="1">IFERROR(__xludf.DUMMYFUNCTION("IMPORTRANGE(""https://docs.google.com/spreadsheets/d/1QqKyyYR6Q21VydFLVH3TRQUabQu_ym0Zz7PgGX0-kHA/edit?usp=sharing"",""แผน!HW21"")"),15760)</f>
        <v>15760</v>
      </c>
      <c r="M690" s="93">
        <v>0</v>
      </c>
      <c r="N690" s="93">
        <f>N691+N692+N693+N694</f>
        <v>0</v>
      </c>
      <c r="O690" s="93">
        <f ca="1">IF(L690&gt;0,N690*100/L690,0)</f>
        <v>0</v>
      </c>
      <c r="P690" s="93">
        <f>IF(M690&gt;0,N690*100/M690,0)</f>
        <v>0</v>
      </c>
      <c r="Q690" s="568"/>
      <c r="R690" s="568"/>
      <c r="S690" s="568"/>
      <c r="T690" s="568"/>
      <c r="U690" s="568"/>
      <c r="V690" s="568"/>
      <c r="W690" s="568"/>
      <c r="X690" s="568"/>
      <c r="Y690" s="568"/>
      <c r="Z690" s="568"/>
    </row>
    <row r="691" spans="1:26" ht="18.75">
      <c r="A691" s="537"/>
      <c r="B691" s="538"/>
      <c r="C691" s="727"/>
      <c r="D691" s="727"/>
      <c r="E691" s="727"/>
      <c r="F691" s="727" t="s">
        <v>186</v>
      </c>
      <c r="G691" s="189"/>
      <c r="H691" s="161" t="s">
        <v>12</v>
      </c>
      <c r="I691" s="269"/>
      <c r="J691" s="269"/>
      <c r="K691" s="465"/>
      <c r="L691" s="465"/>
      <c r="M691" s="465"/>
      <c r="N691" s="789">
        <v>0</v>
      </c>
      <c r="O691" s="465"/>
      <c r="P691" s="465"/>
      <c r="Q691" s="541"/>
      <c r="R691" s="541"/>
      <c r="S691" s="541"/>
      <c r="T691" s="541"/>
      <c r="U691" s="541"/>
      <c r="V691" s="541"/>
      <c r="W691" s="541"/>
      <c r="X691" s="541"/>
      <c r="Y691" s="541"/>
      <c r="Z691" s="541"/>
    </row>
    <row r="692" spans="1:26" ht="18.75">
      <c r="A692" s="537"/>
      <c r="B692" s="538"/>
      <c r="C692" s="727"/>
      <c r="D692" s="727"/>
      <c r="E692" s="727"/>
      <c r="F692" s="727" t="s">
        <v>187</v>
      </c>
      <c r="G692" s="189"/>
      <c r="H692" s="161" t="s">
        <v>12</v>
      </c>
      <c r="I692" s="269"/>
      <c r="J692" s="269"/>
      <c r="K692" s="465"/>
      <c r="L692" s="465"/>
      <c r="M692" s="465"/>
      <c r="N692" s="789">
        <v>0</v>
      </c>
      <c r="O692" s="465"/>
      <c r="P692" s="465"/>
      <c r="Q692" s="541"/>
      <c r="R692" s="541"/>
      <c r="S692" s="541"/>
      <c r="T692" s="541"/>
      <c r="U692" s="541"/>
      <c r="V692" s="541"/>
      <c r="W692" s="541"/>
      <c r="X692" s="541"/>
      <c r="Y692" s="541"/>
      <c r="Z692" s="541"/>
    </row>
    <row r="693" spans="1:26" ht="18.75">
      <c r="A693" s="537"/>
      <c r="B693" s="538"/>
      <c r="C693" s="727"/>
      <c r="D693" s="727"/>
      <c r="E693" s="727"/>
      <c r="F693" s="727" t="s">
        <v>188</v>
      </c>
      <c r="G693" s="189"/>
      <c r="H693" s="161" t="s">
        <v>12</v>
      </c>
      <c r="I693" s="269"/>
      <c r="J693" s="269"/>
      <c r="K693" s="465"/>
      <c r="L693" s="465"/>
      <c r="M693" s="465"/>
      <c r="N693" s="789">
        <v>0</v>
      </c>
      <c r="O693" s="465"/>
      <c r="P693" s="465"/>
      <c r="Q693" s="541"/>
      <c r="R693" s="541"/>
      <c r="S693" s="541"/>
      <c r="T693" s="541"/>
      <c r="U693" s="541"/>
      <c r="V693" s="541"/>
      <c r="W693" s="541"/>
      <c r="X693" s="541"/>
      <c r="Y693" s="541"/>
      <c r="Z693" s="541"/>
    </row>
    <row r="694" spans="1:26" ht="18.75">
      <c r="A694" s="537"/>
      <c r="B694" s="538"/>
      <c r="C694" s="727"/>
      <c r="D694" s="727"/>
      <c r="E694" s="727"/>
      <c r="F694" s="727" t="s">
        <v>189</v>
      </c>
      <c r="G694" s="189"/>
      <c r="H694" s="161" t="s">
        <v>12</v>
      </c>
      <c r="I694" s="269"/>
      <c r="J694" s="269"/>
      <c r="K694" s="465"/>
      <c r="L694" s="465"/>
      <c r="M694" s="465"/>
      <c r="N694" s="789">
        <v>0</v>
      </c>
      <c r="O694" s="465"/>
      <c r="P694" s="465"/>
      <c r="Q694" s="541"/>
      <c r="R694" s="541"/>
      <c r="S694" s="541"/>
      <c r="T694" s="541"/>
      <c r="U694" s="541"/>
      <c r="V694" s="541"/>
      <c r="W694" s="541"/>
      <c r="X694" s="541"/>
      <c r="Y694" s="541"/>
      <c r="Z694" s="541"/>
    </row>
    <row r="695" spans="1:26" ht="18.75">
      <c r="A695" s="561"/>
      <c r="B695" s="538"/>
      <c r="C695" s="727"/>
      <c r="D695" s="570" t="s">
        <v>21</v>
      </c>
      <c r="E695" s="727"/>
      <c r="F695" s="727"/>
      <c r="G695" s="189"/>
      <c r="H695" s="168" t="s">
        <v>12</v>
      </c>
      <c r="I695" s="184"/>
      <c r="J695" s="184"/>
      <c r="K695" s="163"/>
      <c r="L695" s="465">
        <f t="shared" ref="L695:N695" si="286">L696+L697</f>
        <v>0</v>
      </c>
      <c r="M695" s="465">
        <f t="shared" si="286"/>
        <v>0</v>
      </c>
      <c r="N695" s="465">
        <f t="shared" si="286"/>
        <v>0</v>
      </c>
      <c r="O695" s="465">
        <f t="shared" ref="O695:O697" si="287">IF(L695&gt;0,N695*100/L695,0)</f>
        <v>0</v>
      </c>
      <c r="P695" s="465">
        <f t="shared" ref="P695:P697" si="288">IF(M695&gt;0,N695*100/M695,0)</f>
        <v>0</v>
      </c>
      <c r="Q695" s="541"/>
      <c r="R695" s="541"/>
      <c r="S695" s="541"/>
      <c r="T695" s="541"/>
      <c r="U695" s="541"/>
      <c r="V695" s="541"/>
      <c r="W695" s="541"/>
      <c r="X695" s="541"/>
      <c r="Y695" s="541"/>
      <c r="Z695" s="541"/>
    </row>
    <row r="696" spans="1:26" ht="18.75" hidden="1">
      <c r="A696" s="563"/>
      <c r="B696" s="571"/>
      <c r="C696" s="723"/>
      <c r="D696" s="723"/>
      <c r="E696" s="723" t="s">
        <v>18</v>
      </c>
      <c r="F696" s="723"/>
      <c r="G696" s="567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7"/>
        <v>0</v>
      </c>
      <c r="P696" s="93">
        <f t="shared" si="288"/>
        <v>0</v>
      </c>
      <c r="Q696" s="568"/>
      <c r="R696" s="568"/>
      <c r="S696" s="568"/>
      <c r="T696" s="568"/>
      <c r="U696" s="568"/>
      <c r="V696" s="568"/>
      <c r="W696" s="568"/>
      <c r="X696" s="568"/>
      <c r="Y696" s="568"/>
      <c r="Z696" s="568"/>
    </row>
    <row r="697" spans="1:26" ht="18.75" hidden="1">
      <c r="A697" s="563"/>
      <c r="B697" s="571"/>
      <c r="C697" s="723"/>
      <c r="D697" s="723"/>
      <c r="E697" s="723" t="s">
        <v>19</v>
      </c>
      <c r="F697" s="723"/>
      <c r="G697" s="567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7"/>
        <v>0</v>
      </c>
      <c r="P697" s="93">
        <f t="shared" si="288"/>
        <v>0</v>
      </c>
      <c r="Q697" s="568"/>
      <c r="R697" s="568"/>
      <c r="S697" s="568"/>
      <c r="T697" s="568"/>
      <c r="U697" s="568"/>
      <c r="V697" s="568"/>
      <c r="W697" s="568"/>
      <c r="X697" s="568"/>
      <c r="Y697" s="568"/>
      <c r="Z697" s="568"/>
    </row>
    <row r="698" spans="1:26" ht="19.5">
      <c r="A698" s="572"/>
      <c r="B698" s="584"/>
      <c r="C698" s="727" t="s">
        <v>16</v>
      </c>
      <c r="D698" s="855" t="s">
        <v>38</v>
      </c>
      <c r="E698" s="725"/>
      <c r="F698" s="725"/>
      <c r="G698" s="577"/>
      <c r="H698" s="726"/>
      <c r="I698" s="184"/>
      <c r="J698" s="184"/>
      <c r="K698" s="163"/>
      <c r="L698" s="163"/>
      <c r="M698" s="163"/>
      <c r="N698" s="163"/>
      <c r="O698" s="163"/>
      <c r="P698" s="163"/>
      <c r="Q698" s="541"/>
      <c r="R698" s="541"/>
      <c r="S698" s="541"/>
      <c r="T698" s="541"/>
      <c r="U698" s="541"/>
      <c r="V698" s="541"/>
      <c r="W698" s="541"/>
      <c r="X698" s="541"/>
      <c r="Y698" s="541"/>
      <c r="Z698" s="541"/>
    </row>
    <row r="699" spans="1:26" ht="18.75">
      <c r="A699" s="708"/>
      <c r="B699" s="727"/>
      <c r="C699" s="727"/>
      <c r="D699" s="727" t="s">
        <v>294</v>
      </c>
      <c r="E699" s="727"/>
      <c r="F699" s="727"/>
      <c r="G699" s="189"/>
      <c r="H699" s="728" t="s">
        <v>46</v>
      </c>
      <c r="I699" s="729">
        <f ca="1">IFERROR(__xludf.DUMMYFUNCTION("IMPORTRANGE(""https://docs.google.com/spreadsheets/d/1QqKyyYR6Q21VydFLVH3TRQUabQu_ym0Zz7PgGX0-kHA/edit?usp=sharing"",""แผน!IC21"")"),50)</f>
        <v>50</v>
      </c>
      <c r="J699" s="269">
        <f ca="1">IFERROR(__xludf.DUMMYFUNCTION("IMPORTRANGE(""https://docs.google.com/spreadsheets/d/1XWAQStnk-4SwqDmLtmXYiTMKHgktTP8We1SCoS47DrQ/edit?usp=sharing"",""จัดที่ดิน!BB21"")"),0)</f>
        <v>0</v>
      </c>
      <c r="K699" s="465">
        <f t="shared" ref="K699:K701" ca="1" si="289">IF(I699&gt;0,J699*100/I699,0)</f>
        <v>0</v>
      </c>
      <c r="L699" s="465"/>
      <c r="M699" s="189"/>
      <c r="N699" s="730"/>
      <c r="O699" s="465"/>
      <c r="P699" s="465"/>
      <c r="Q699" s="541"/>
      <c r="R699" s="541"/>
      <c r="S699" s="541"/>
      <c r="T699" s="541"/>
      <c r="U699" s="541"/>
      <c r="V699" s="541"/>
      <c r="W699" s="541"/>
      <c r="X699" s="541"/>
      <c r="Y699" s="541"/>
      <c r="Z699" s="541"/>
    </row>
    <row r="700" spans="1:26" ht="18.75">
      <c r="A700" s="708"/>
      <c r="B700" s="727"/>
      <c r="C700" s="727"/>
      <c r="D700" s="727" t="s">
        <v>295</v>
      </c>
      <c r="E700" s="727"/>
      <c r="F700" s="727"/>
      <c r="G700" s="189"/>
      <c r="H700" s="728" t="s">
        <v>35</v>
      </c>
      <c r="I700" s="729">
        <f ca="1">IFERROR(__xludf.DUMMYFUNCTION("IMPORTRANGE(""https://docs.google.com/spreadsheets/d/1QqKyyYR6Q21VydFLVH3TRQUabQu_ym0Zz7PgGX0-kHA/edit?usp=sharing"",""แผน!ID21"")"),0)</f>
        <v>0</v>
      </c>
      <c r="J700" s="269">
        <f ca="1">IFERROR(__xludf.DUMMYFUNCTION("IMPORTRANGE(""https://docs.google.com/spreadsheets/d/1XWAQStnk-4SwqDmLtmXYiTMKHgktTP8We1SCoS47DrQ/edit?usp=sharing"",""จัดที่ดิน!BD21"")"),0)</f>
        <v>0</v>
      </c>
      <c r="K700" s="465">
        <f t="shared" ca="1" si="289"/>
        <v>0</v>
      </c>
      <c r="L700" s="465"/>
      <c r="M700" s="189"/>
      <c r="N700" s="730"/>
      <c r="O700" s="465"/>
      <c r="P700" s="465"/>
      <c r="Q700" s="541"/>
      <c r="R700" s="541"/>
      <c r="S700" s="541"/>
      <c r="T700" s="541"/>
      <c r="U700" s="541"/>
      <c r="V700" s="541"/>
      <c r="W700" s="541"/>
      <c r="X700" s="541"/>
      <c r="Y700" s="541"/>
      <c r="Z700" s="541"/>
    </row>
    <row r="701" spans="1:26" ht="19.5">
      <c r="A701" s="708"/>
      <c r="B701" s="727"/>
      <c r="C701" s="727"/>
      <c r="D701" s="727" t="s">
        <v>296</v>
      </c>
      <c r="E701" s="727"/>
      <c r="F701" s="727"/>
      <c r="G701" s="189"/>
      <c r="H701" s="731" t="s">
        <v>46</v>
      </c>
      <c r="I701" s="732">
        <f ca="1">IFERROR(__xludf.DUMMYFUNCTION("IMPORTRANGE(""https://docs.google.com/spreadsheets/d/1QqKyyYR6Q21VydFLVH3TRQUabQu_ym0Zz7PgGX0-kHA/edit?usp=sharing"",""แผน!IE21"")"),120)</f>
        <v>120</v>
      </c>
      <c r="J701" s="647">
        <f>J704+J707</f>
        <v>0</v>
      </c>
      <c r="K701" s="195">
        <f t="shared" ca="1" si="289"/>
        <v>0</v>
      </c>
      <c r="L701" s="465"/>
      <c r="M701" s="189"/>
      <c r="N701" s="730"/>
      <c r="O701" s="465"/>
      <c r="P701" s="465"/>
      <c r="Q701" s="541"/>
      <c r="R701" s="541"/>
      <c r="S701" s="541"/>
      <c r="T701" s="541"/>
      <c r="U701" s="541"/>
      <c r="V701" s="541"/>
      <c r="W701" s="541"/>
      <c r="X701" s="541"/>
      <c r="Y701" s="541"/>
      <c r="Z701" s="541"/>
    </row>
    <row r="702" spans="1:26" ht="18.75">
      <c r="A702" s="708"/>
      <c r="B702" s="727"/>
      <c r="C702" s="727"/>
      <c r="D702" s="727"/>
      <c r="E702" s="727" t="s">
        <v>297</v>
      </c>
      <c r="F702" s="727"/>
      <c r="G702" s="189"/>
      <c r="H702" s="728" t="s">
        <v>35</v>
      </c>
      <c r="I702" s="729"/>
      <c r="J702" s="214">
        <v>0</v>
      </c>
      <c r="K702" s="465"/>
      <c r="L702" s="465"/>
      <c r="M702" s="189"/>
      <c r="N702" s="730"/>
      <c r="O702" s="465"/>
      <c r="P702" s="465"/>
      <c r="Q702" s="541"/>
      <c r="R702" s="541"/>
      <c r="S702" s="541"/>
      <c r="T702" s="541"/>
      <c r="U702" s="541"/>
      <c r="V702" s="541"/>
      <c r="W702" s="541"/>
      <c r="X702" s="541"/>
      <c r="Y702" s="541"/>
      <c r="Z702" s="541"/>
    </row>
    <row r="703" spans="1:26" ht="18.75">
      <c r="A703" s="708"/>
      <c r="B703" s="727"/>
      <c r="C703" s="727"/>
      <c r="D703" s="727"/>
      <c r="E703" s="727"/>
      <c r="F703" s="727"/>
      <c r="G703" s="189"/>
      <c r="H703" s="728" t="s">
        <v>34</v>
      </c>
      <c r="I703" s="729"/>
      <c r="J703" s="214">
        <v>0</v>
      </c>
      <c r="K703" s="465"/>
      <c r="L703" s="465"/>
      <c r="M703" s="189"/>
      <c r="N703" s="730"/>
      <c r="O703" s="465"/>
      <c r="P703" s="465"/>
      <c r="Q703" s="541"/>
      <c r="R703" s="541"/>
      <c r="S703" s="541"/>
      <c r="T703" s="541"/>
      <c r="U703" s="541"/>
      <c r="V703" s="541"/>
      <c r="W703" s="541"/>
      <c r="X703" s="541"/>
      <c r="Y703" s="541"/>
      <c r="Z703" s="541"/>
    </row>
    <row r="704" spans="1:26" ht="18.75">
      <c r="A704" s="708"/>
      <c r="B704" s="727"/>
      <c r="C704" s="727"/>
      <c r="D704" s="727"/>
      <c r="E704" s="727"/>
      <c r="F704" s="727"/>
      <c r="G704" s="189"/>
      <c r="H704" s="728" t="s">
        <v>46</v>
      </c>
      <c r="I704" s="729">
        <f ca="1">IFERROR(__xludf.DUMMYFUNCTION("IMPORTRANGE(""https://docs.google.com/spreadsheets/d/1QqKyyYR6Q21VydFLVH3TRQUabQu_ym0Zz7PgGX0-kHA/edit?usp=sharing"",""แผน!IF21"")"),60)</f>
        <v>60</v>
      </c>
      <c r="J704" s="214">
        <v>0</v>
      </c>
      <c r="K704" s="465"/>
      <c r="L704" s="465"/>
      <c r="M704" s="189"/>
      <c r="N704" s="730"/>
      <c r="O704" s="465"/>
      <c r="P704" s="465"/>
      <c r="Q704" s="541"/>
      <c r="R704" s="541"/>
      <c r="S704" s="541"/>
      <c r="T704" s="541"/>
      <c r="U704" s="541"/>
      <c r="V704" s="541"/>
      <c r="W704" s="541"/>
      <c r="X704" s="541"/>
      <c r="Y704" s="541"/>
      <c r="Z704" s="541"/>
    </row>
    <row r="705" spans="1:26" ht="18.75">
      <c r="A705" s="708"/>
      <c r="B705" s="727"/>
      <c r="C705" s="727"/>
      <c r="D705" s="727"/>
      <c r="E705" s="727" t="s">
        <v>298</v>
      </c>
      <c r="F705" s="727"/>
      <c r="G705" s="189"/>
      <c r="H705" s="728" t="s">
        <v>35</v>
      </c>
      <c r="I705" s="729"/>
      <c r="J705" s="214">
        <v>0</v>
      </c>
      <c r="K705" s="465"/>
      <c r="L705" s="465"/>
      <c r="M705" s="189"/>
      <c r="N705" s="730"/>
      <c r="O705" s="465"/>
      <c r="P705" s="465"/>
      <c r="Q705" s="541"/>
      <c r="R705" s="541"/>
      <c r="S705" s="541"/>
      <c r="T705" s="541"/>
      <c r="U705" s="541"/>
      <c r="V705" s="541"/>
      <c r="W705" s="541"/>
      <c r="X705" s="541"/>
      <c r="Y705" s="541"/>
      <c r="Z705" s="541"/>
    </row>
    <row r="706" spans="1:26" ht="18.75">
      <c r="A706" s="708"/>
      <c r="B706" s="727"/>
      <c r="C706" s="727"/>
      <c r="D706" s="727"/>
      <c r="E706" s="727"/>
      <c r="F706" s="727"/>
      <c r="G706" s="189"/>
      <c r="H706" s="728" t="s">
        <v>34</v>
      </c>
      <c r="I706" s="729"/>
      <c r="J706" s="214">
        <v>0</v>
      </c>
      <c r="K706" s="465"/>
      <c r="L706" s="465"/>
      <c r="M706" s="189"/>
      <c r="N706" s="730"/>
      <c r="O706" s="465"/>
      <c r="P706" s="465"/>
      <c r="Q706" s="541"/>
      <c r="R706" s="541"/>
      <c r="S706" s="541"/>
      <c r="T706" s="541"/>
      <c r="U706" s="541"/>
      <c r="V706" s="541"/>
      <c r="W706" s="541"/>
      <c r="X706" s="541"/>
      <c r="Y706" s="541"/>
      <c r="Z706" s="541"/>
    </row>
    <row r="707" spans="1:26" ht="18.75">
      <c r="A707" s="708"/>
      <c r="B707" s="727"/>
      <c r="C707" s="727"/>
      <c r="D707" s="727"/>
      <c r="E707" s="727"/>
      <c r="F707" s="727"/>
      <c r="G707" s="189"/>
      <c r="H707" s="728" t="s">
        <v>46</v>
      </c>
      <c r="I707" s="729">
        <f ca="1">IFERROR(__xludf.DUMMYFUNCTION("IMPORTRANGE(""https://docs.google.com/spreadsheets/d/1QqKyyYR6Q21VydFLVH3TRQUabQu_ym0Zz7PgGX0-kHA/edit?usp=sharing"",""แผน!IG21"")"),60)</f>
        <v>60</v>
      </c>
      <c r="J707" s="214">
        <v>0</v>
      </c>
      <c r="K707" s="465"/>
      <c r="L707" s="465"/>
      <c r="M707" s="189"/>
      <c r="N707" s="730"/>
      <c r="O707" s="465"/>
      <c r="P707" s="465"/>
      <c r="Q707" s="541"/>
      <c r="R707" s="541"/>
      <c r="S707" s="541"/>
      <c r="T707" s="541"/>
      <c r="U707" s="541"/>
      <c r="V707" s="541"/>
      <c r="W707" s="541"/>
      <c r="X707" s="541"/>
      <c r="Y707" s="541"/>
      <c r="Z707" s="541"/>
    </row>
    <row r="708" spans="1:26" ht="19.5">
      <c r="A708" s="708"/>
      <c r="B708" s="727"/>
      <c r="C708" s="727"/>
      <c r="D708" s="733" t="s">
        <v>299</v>
      </c>
      <c r="E708" s="727"/>
      <c r="F708" s="727"/>
      <c r="G708" s="189"/>
      <c r="H708" s="731" t="s">
        <v>46</v>
      </c>
      <c r="I708" s="732">
        <f ca="1">IFERROR(__xludf.DUMMYFUNCTION("IMPORTRANGE(""https://docs.google.com/spreadsheets/d/1QqKyyYR6Q21VydFLVH3TRQUabQu_ym0Zz7PgGX0-kHA/edit?usp=sharing"",""แผน!IH21"")"),0)</f>
        <v>0</v>
      </c>
      <c r="J708" s="647">
        <f>J714+J717</f>
        <v>0</v>
      </c>
      <c r="K708" s="195">
        <f ca="1">IF(I708&gt;0,J708*100/I708,0)</f>
        <v>0</v>
      </c>
      <c r="L708" s="465"/>
      <c r="M708" s="189"/>
      <c r="N708" s="730"/>
      <c r="O708" s="465"/>
      <c r="P708" s="465"/>
      <c r="Q708" s="541"/>
      <c r="R708" s="541"/>
      <c r="S708" s="541"/>
      <c r="T708" s="541"/>
      <c r="U708" s="541"/>
      <c r="V708" s="541"/>
      <c r="W708" s="541"/>
      <c r="X708" s="541"/>
      <c r="Y708" s="541"/>
      <c r="Z708" s="541"/>
    </row>
    <row r="709" spans="1:26" ht="18.75">
      <c r="A709" s="708"/>
      <c r="B709" s="727"/>
      <c r="C709" s="727"/>
      <c r="D709" s="727"/>
      <c r="E709" s="727" t="s">
        <v>300</v>
      </c>
      <c r="F709" s="727"/>
      <c r="G709" s="189"/>
      <c r="H709" s="728" t="s">
        <v>34</v>
      </c>
      <c r="I709" s="729"/>
      <c r="J709" s="214">
        <v>0</v>
      </c>
      <c r="K709" s="465"/>
      <c r="L709" s="730"/>
      <c r="M709" s="189"/>
      <c r="N709" s="730"/>
      <c r="O709" s="465"/>
      <c r="P709" s="465"/>
      <c r="Q709" s="541"/>
      <c r="R709" s="541"/>
      <c r="S709" s="541"/>
      <c r="T709" s="541"/>
      <c r="U709" s="541"/>
      <c r="V709" s="541"/>
      <c r="W709" s="541"/>
      <c r="X709" s="541"/>
      <c r="Y709" s="541"/>
      <c r="Z709" s="541"/>
    </row>
    <row r="710" spans="1:26" ht="18.75">
      <c r="A710" s="708"/>
      <c r="B710" s="727"/>
      <c r="C710" s="727"/>
      <c r="D710" s="727"/>
      <c r="E710" s="727"/>
      <c r="F710" s="727"/>
      <c r="G710" s="189"/>
      <c r="H710" s="728" t="s">
        <v>46</v>
      </c>
      <c r="I710" s="729"/>
      <c r="J710" s="214">
        <v>0</v>
      </c>
      <c r="K710" s="465"/>
      <c r="L710" s="730"/>
      <c r="M710" s="189"/>
      <c r="N710" s="730"/>
      <c r="O710" s="465"/>
      <c r="P710" s="465"/>
      <c r="Q710" s="541"/>
      <c r="R710" s="541"/>
      <c r="S710" s="541"/>
      <c r="T710" s="541"/>
      <c r="U710" s="541"/>
      <c r="V710" s="541"/>
      <c r="W710" s="541"/>
      <c r="X710" s="541"/>
      <c r="Y710" s="541"/>
      <c r="Z710" s="541"/>
    </row>
    <row r="711" spans="1:26" ht="18.75">
      <c r="A711" s="708"/>
      <c r="B711" s="727"/>
      <c r="C711" s="727"/>
      <c r="D711" s="727"/>
      <c r="E711" s="727" t="s">
        <v>301</v>
      </c>
      <c r="F711" s="727"/>
      <c r="G711" s="189"/>
      <c r="H711" s="726"/>
      <c r="I711" s="729"/>
      <c r="J711" s="269"/>
      <c r="K711" s="465"/>
      <c r="L711" s="730"/>
      <c r="M711" s="189"/>
      <c r="N711" s="730"/>
      <c r="O711" s="465"/>
      <c r="P711" s="465"/>
      <c r="Q711" s="541"/>
      <c r="R711" s="541"/>
      <c r="S711" s="541"/>
      <c r="T711" s="541"/>
      <c r="U711" s="541"/>
      <c r="V711" s="541"/>
      <c r="W711" s="541"/>
      <c r="X711" s="541"/>
      <c r="Y711" s="541"/>
      <c r="Z711" s="541"/>
    </row>
    <row r="712" spans="1:26" ht="18.75">
      <c r="A712" s="708"/>
      <c r="B712" s="727"/>
      <c r="C712" s="727"/>
      <c r="D712" s="727"/>
      <c r="E712" s="727"/>
      <c r="F712" s="727" t="s">
        <v>302</v>
      </c>
      <c r="G712" s="189"/>
      <c r="H712" s="728" t="s">
        <v>35</v>
      </c>
      <c r="I712" s="729"/>
      <c r="J712" s="214">
        <v>0</v>
      </c>
      <c r="K712" s="465"/>
      <c r="L712" s="730"/>
      <c r="M712" s="189"/>
      <c r="N712" s="730"/>
      <c r="O712" s="465"/>
      <c r="P712" s="465"/>
      <c r="Q712" s="541"/>
      <c r="R712" s="541"/>
      <c r="S712" s="541"/>
      <c r="T712" s="541"/>
      <c r="U712" s="541"/>
      <c r="V712" s="541"/>
      <c r="W712" s="541"/>
      <c r="X712" s="541"/>
      <c r="Y712" s="541"/>
      <c r="Z712" s="541"/>
    </row>
    <row r="713" spans="1:26" ht="18.75">
      <c r="A713" s="708"/>
      <c r="B713" s="727"/>
      <c r="C713" s="727"/>
      <c r="D713" s="727"/>
      <c r="E713" s="727"/>
      <c r="F713" s="727"/>
      <c r="G713" s="189"/>
      <c r="H713" s="728" t="s">
        <v>34</v>
      </c>
      <c r="I713" s="729"/>
      <c r="J713" s="214">
        <v>0</v>
      </c>
      <c r="K713" s="465"/>
      <c r="L713" s="730"/>
      <c r="M713" s="189"/>
      <c r="N713" s="730"/>
      <c r="O713" s="465"/>
      <c r="P713" s="465"/>
      <c r="Q713" s="541"/>
      <c r="R713" s="541"/>
      <c r="S713" s="541"/>
      <c r="T713" s="541"/>
      <c r="U713" s="541"/>
      <c r="V713" s="541"/>
      <c r="W713" s="541"/>
      <c r="X713" s="541"/>
      <c r="Y713" s="541"/>
      <c r="Z713" s="541"/>
    </row>
    <row r="714" spans="1:26" ht="18.75">
      <c r="A714" s="708"/>
      <c r="B714" s="727"/>
      <c r="C714" s="727"/>
      <c r="D714" s="727"/>
      <c r="E714" s="727"/>
      <c r="F714" s="727"/>
      <c r="G714" s="189"/>
      <c r="H714" s="728" t="s">
        <v>46</v>
      </c>
      <c r="I714" s="729"/>
      <c r="J714" s="214">
        <v>0</v>
      </c>
      <c r="K714" s="465"/>
      <c r="L714" s="730"/>
      <c r="M714" s="189"/>
      <c r="N714" s="730"/>
      <c r="O714" s="465"/>
      <c r="P714" s="465"/>
      <c r="Q714" s="541"/>
      <c r="R714" s="541"/>
      <c r="S714" s="541"/>
      <c r="T714" s="541"/>
      <c r="U714" s="541"/>
      <c r="V714" s="541"/>
      <c r="W714" s="541"/>
      <c r="X714" s="541"/>
      <c r="Y714" s="541"/>
      <c r="Z714" s="541"/>
    </row>
    <row r="715" spans="1:26" ht="18.75">
      <c r="A715" s="708"/>
      <c r="B715" s="727"/>
      <c r="C715" s="727"/>
      <c r="D715" s="727"/>
      <c r="E715" s="727"/>
      <c r="F715" s="727" t="s">
        <v>303</v>
      </c>
      <c r="G715" s="189"/>
      <c r="H715" s="728" t="s">
        <v>35</v>
      </c>
      <c r="I715" s="729"/>
      <c r="J715" s="214">
        <v>0</v>
      </c>
      <c r="K715" s="465"/>
      <c r="L715" s="730"/>
      <c r="M715" s="189"/>
      <c r="N715" s="730"/>
      <c r="O715" s="465"/>
      <c r="P715" s="465"/>
      <c r="Q715" s="541"/>
      <c r="R715" s="541"/>
      <c r="S715" s="541"/>
      <c r="T715" s="541"/>
      <c r="U715" s="541"/>
      <c r="V715" s="541"/>
      <c r="W715" s="541"/>
      <c r="X715" s="541"/>
      <c r="Y715" s="541"/>
      <c r="Z715" s="541"/>
    </row>
    <row r="716" spans="1:26" ht="18.75">
      <c r="A716" s="708"/>
      <c r="B716" s="727"/>
      <c r="C716" s="727"/>
      <c r="D716" s="727"/>
      <c r="E716" s="727"/>
      <c r="F716" s="727"/>
      <c r="G716" s="189"/>
      <c r="H716" s="728" t="s">
        <v>34</v>
      </c>
      <c r="I716" s="729"/>
      <c r="J716" s="214">
        <v>0</v>
      </c>
      <c r="K716" s="465"/>
      <c r="L716" s="730"/>
      <c r="M716" s="189"/>
      <c r="N716" s="730"/>
      <c r="O716" s="465"/>
      <c r="P716" s="465"/>
      <c r="Q716" s="541"/>
      <c r="R716" s="541"/>
      <c r="S716" s="541"/>
      <c r="T716" s="541"/>
      <c r="U716" s="541"/>
      <c r="V716" s="541"/>
      <c r="W716" s="541"/>
      <c r="X716" s="541"/>
      <c r="Y716" s="541"/>
      <c r="Z716" s="541"/>
    </row>
    <row r="717" spans="1:26" ht="18.75">
      <c r="A717" s="708"/>
      <c r="B717" s="727"/>
      <c r="C717" s="727"/>
      <c r="D717" s="727"/>
      <c r="E717" s="727"/>
      <c r="F717" s="727"/>
      <c r="G717" s="189"/>
      <c r="H717" s="728" t="s">
        <v>46</v>
      </c>
      <c r="I717" s="729"/>
      <c r="J717" s="214">
        <v>0</v>
      </c>
      <c r="K717" s="465"/>
      <c r="L717" s="730"/>
      <c r="M717" s="189"/>
      <c r="N717" s="730"/>
      <c r="O717" s="465"/>
      <c r="P717" s="465"/>
      <c r="Q717" s="541"/>
      <c r="R717" s="541"/>
      <c r="S717" s="541"/>
      <c r="T717" s="541"/>
      <c r="U717" s="541"/>
      <c r="V717" s="541"/>
      <c r="W717" s="541"/>
      <c r="X717" s="541"/>
      <c r="Y717" s="541"/>
      <c r="Z717" s="541"/>
    </row>
    <row r="718" spans="1:26" ht="18.75">
      <c r="A718" s="708"/>
      <c r="B718" s="727"/>
      <c r="C718" s="727"/>
      <c r="D718" s="727" t="s">
        <v>304</v>
      </c>
      <c r="E718" s="727"/>
      <c r="F718" s="727"/>
      <c r="G718" s="189"/>
      <c r="H718" s="728" t="s">
        <v>35</v>
      </c>
      <c r="I718" s="729"/>
      <c r="J718" s="269">
        <f ca="1">IFERROR(__xludf.DUMMYFUNCTION("IMPORTRANGE(""https://docs.google.com/spreadsheets/d/1XWAQStnk-4SwqDmLtmXYiTMKHgktTP8We1SCoS47DrQ/edit?usp=sharing"",""จัดที่ดิน!BF21"")"),0)</f>
        <v>0</v>
      </c>
      <c r="K718" s="465"/>
      <c r="L718" s="465"/>
      <c r="M718" s="189"/>
      <c r="N718" s="730"/>
      <c r="O718" s="465"/>
      <c r="P718" s="465"/>
      <c r="Q718" s="541"/>
      <c r="R718" s="541"/>
      <c r="S718" s="541"/>
      <c r="T718" s="541"/>
      <c r="U718" s="541"/>
      <c r="V718" s="541"/>
      <c r="W718" s="541"/>
      <c r="X718" s="541"/>
      <c r="Y718" s="541"/>
      <c r="Z718" s="541"/>
    </row>
    <row r="719" spans="1:26" ht="18.75">
      <c r="A719" s="708"/>
      <c r="B719" s="727"/>
      <c r="C719" s="727"/>
      <c r="D719" s="727"/>
      <c r="E719" s="727"/>
      <c r="F719" s="727"/>
      <c r="G719" s="189"/>
      <c r="H719" s="728" t="s">
        <v>34</v>
      </c>
      <c r="I719" s="729"/>
      <c r="J719" s="269">
        <f ca="1">IFERROR(__xludf.DUMMYFUNCTION("IMPORTRANGE(""https://docs.google.com/spreadsheets/d/1XWAQStnk-4SwqDmLtmXYiTMKHgktTP8We1SCoS47DrQ/edit?usp=sharing"",""จัดที่ดิน!BG21"")"),0)</f>
        <v>0</v>
      </c>
      <c r="K719" s="465"/>
      <c r="L719" s="730"/>
      <c r="M719" s="189"/>
      <c r="N719" s="730"/>
      <c r="O719" s="465"/>
      <c r="P719" s="465"/>
      <c r="Q719" s="541"/>
      <c r="R719" s="541"/>
      <c r="S719" s="541"/>
      <c r="T719" s="541"/>
      <c r="U719" s="541"/>
      <c r="V719" s="541"/>
      <c r="W719" s="541"/>
      <c r="X719" s="541"/>
      <c r="Y719" s="541"/>
      <c r="Z719" s="541"/>
    </row>
    <row r="720" spans="1:26" ht="18.75">
      <c r="A720" s="708"/>
      <c r="B720" s="727"/>
      <c r="C720" s="727"/>
      <c r="D720" s="727"/>
      <c r="E720" s="727"/>
      <c r="F720" s="727"/>
      <c r="G720" s="189"/>
      <c r="H720" s="728" t="s">
        <v>46</v>
      </c>
      <c r="I720" s="729">
        <f ca="1">IFERROR(__xludf.DUMMYFUNCTION("IMPORTRANGE(""https://docs.google.com/spreadsheets/d/1QqKyyYR6Q21VydFLVH3TRQUabQu_ym0Zz7PgGX0-kHA/edit?usp=sharing"",""แผน!II21"")"),80)</f>
        <v>80</v>
      </c>
      <c r="J720" s="269">
        <f ca="1">IFERROR(__xludf.DUMMYFUNCTION("IMPORTRANGE(""https://docs.google.com/spreadsheets/d/1XWAQStnk-4SwqDmLtmXYiTMKHgktTP8We1SCoS47DrQ/edit?usp=sharing"",""จัดที่ดิน!BH21"")"),0)</f>
        <v>0</v>
      </c>
      <c r="K720" s="465">
        <f t="shared" ref="K720:K723" ca="1" si="290">IF(I720&gt;0,J720*100/I720,0)</f>
        <v>0</v>
      </c>
      <c r="L720" s="730"/>
      <c r="M720" s="189"/>
      <c r="N720" s="730"/>
      <c r="O720" s="465"/>
      <c r="P720" s="465"/>
      <c r="Q720" s="541"/>
      <c r="R720" s="541"/>
      <c r="S720" s="541"/>
      <c r="T720" s="541"/>
      <c r="U720" s="541"/>
      <c r="V720" s="541"/>
      <c r="W720" s="541"/>
      <c r="X720" s="541"/>
      <c r="Y720" s="541"/>
      <c r="Z720" s="541"/>
    </row>
    <row r="721" spans="1:26" ht="19.5">
      <c r="A721" s="708"/>
      <c r="B721" s="727"/>
      <c r="C721" s="727"/>
      <c r="D721" s="727" t="s">
        <v>305</v>
      </c>
      <c r="E721" s="727"/>
      <c r="F721" s="727"/>
      <c r="G721" s="189"/>
      <c r="H721" s="731" t="s">
        <v>35</v>
      </c>
      <c r="I721" s="732">
        <f ca="1">IFERROR(__xludf.DUMMYFUNCTION("IMPORTRANGE(""https://docs.google.com/spreadsheets/d/1QqKyyYR6Q21VydFLVH3TRQUabQu_ym0Zz7PgGX0-kHA/edit?usp=sharing"",""แผน!IJ21"")"),8)</f>
        <v>8</v>
      </c>
      <c r="J721" s="647">
        <f ca="1">J723+J726</f>
        <v>0</v>
      </c>
      <c r="K721" s="195">
        <f t="shared" ca="1" si="290"/>
        <v>0</v>
      </c>
      <c r="L721" s="730"/>
      <c r="M721" s="189"/>
      <c r="N721" s="730"/>
      <c r="O721" s="465"/>
      <c r="P721" s="465"/>
      <c r="Q721" s="541"/>
      <c r="R721" s="541"/>
      <c r="S721" s="541"/>
      <c r="T721" s="541"/>
      <c r="U721" s="541"/>
      <c r="V721" s="541"/>
      <c r="W721" s="541"/>
      <c r="X721" s="541"/>
      <c r="Y721" s="541"/>
      <c r="Z721" s="541"/>
    </row>
    <row r="722" spans="1:26" ht="19.5">
      <c r="A722" s="708"/>
      <c r="B722" s="727"/>
      <c r="C722" s="727"/>
      <c r="D722" s="727"/>
      <c r="E722" s="727"/>
      <c r="F722" s="727"/>
      <c r="G722" s="189"/>
      <c r="H722" s="731" t="s">
        <v>46</v>
      </c>
      <c r="I722" s="732">
        <f ca="1">IFERROR(__xludf.DUMMYFUNCTION("IMPORTRANGE(""https://docs.google.com/spreadsheets/d/1QqKyyYR6Q21VydFLVH3TRQUabQu_ym0Zz7PgGX0-kHA/edit?usp=sharing"",""แผน!IK21"")"),80)</f>
        <v>80</v>
      </c>
      <c r="J722" s="647">
        <f ca="1">J725+J728</f>
        <v>0</v>
      </c>
      <c r="K722" s="195">
        <f t="shared" ca="1" si="290"/>
        <v>0</v>
      </c>
      <c r="L722" s="465"/>
      <c r="M722" s="189"/>
      <c r="N722" s="730"/>
      <c r="O722" s="465"/>
      <c r="P722" s="465"/>
      <c r="Q722" s="541"/>
      <c r="R722" s="541"/>
      <c r="S722" s="541"/>
      <c r="T722" s="541"/>
      <c r="U722" s="541"/>
      <c r="V722" s="541"/>
      <c r="W722" s="541"/>
      <c r="X722" s="541"/>
      <c r="Y722" s="541"/>
      <c r="Z722" s="541"/>
    </row>
    <row r="723" spans="1:26" ht="18.75">
      <c r="A723" s="708"/>
      <c r="B723" s="727"/>
      <c r="C723" s="727"/>
      <c r="D723" s="727"/>
      <c r="E723" s="727" t="s">
        <v>306</v>
      </c>
      <c r="F723" s="727"/>
      <c r="G723" s="189"/>
      <c r="H723" s="728" t="s">
        <v>35</v>
      </c>
      <c r="I723" s="729">
        <f ca="1">IFERROR(__xludf.DUMMYFUNCTION("IMPORTRANGE(""https://docs.google.com/spreadsheets/d/1QqKyyYR6Q21VydFLVH3TRQUabQu_ym0Zz7PgGX0-kHA/edit?usp=sharing"",""แผน!IL21"")"),4)</f>
        <v>4</v>
      </c>
      <c r="J723" s="269">
        <f ca="1">IFERROR(__xludf.DUMMYFUNCTION("IMPORTRANGE(""https://docs.google.com/spreadsheets/d/1XWAQStnk-4SwqDmLtmXYiTMKHgktTP8We1SCoS47DrQ/edit?usp=sharing"",""จัดที่ดิน!BM21"")"),0)</f>
        <v>0</v>
      </c>
      <c r="K723" s="465">
        <f t="shared" ca="1" si="290"/>
        <v>0</v>
      </c>
      <c r="L723" s="465"/>
      <c r="M723" s="189"/>
      <c r="N723" s="730"/>
      <c r="O723" s="465"/>
      <c r="P723" s="465"/>
      <c r="Q723" s="541"/>
      <c r="R723" s="541"/>
      <c r="S723" s="541"/>
      <c r="T723" s="541"/>
      <c r="U723" s="541"/>
      <c r="V723" s="541"/>
      <c r="W723" s="541"/>
      <c r="X723" s="541"/>
      <c r="Y723" s="541"/>
      <c r="Z723" s="541"/>
    </row>
    <row r="724" spans="1:26" ht="18.75">
      <c r="A724" s="708"/>
      <c r="B724" s="727"/>
      <c r="C724" s="727"/>
      <c r="D724" s="727"/>
      <c r="E724" s="727"/>
      <c r="F724" s="727"/>
      <c r="G724" s="189"/>
      <c r="H724" s="728" t="s">
        <v>34</v>
      </c>
      <c r="I724" s="729"/>
      <c r="J724" s="269">
        <f ca="1">IFERROR(__xludf.DUMMYFUNCTION("IMPORTRANGE(""https://docs.google.com/spreadsheets/d/1XWAQStnk-4SwqDmLtmXYiTMKHgktTP8We1SCoS47DrQ/edit?usp=sharing"",""จัดที่ดิน!BN21"")"),0)</f>
        <v>0</v>
      </c>
      <c r="K724" s="465"/>
      <c r="L724" s="730"/>
      <c r="M724" s="189"/>
      <c r="N724" s="730"/>
      <c r="O724" s="465"/>
      <c r="P724" s="465"/>
      <c r="Q724" s="541"/>
      <c r="R724" s="541"/>
      <c r="S724" s="541"/>
      <c r="T724" s="541"/>
      <c r="U724" s="541"/>
      <c r="V724" s="541"/>
      <c r="W724" s="541"/>
      <c r="X724" s="541"/>
      <c r="Y724" s="541"/>
      <c r="Z724" s="541"/>
    </row>
    <row r="725" spans="1:26" ht="18.75">
      <c r="A725" s="708"/>
      <c r="B725" s="727"/>
      <c r="C725" s="727"/>
      <c r="D725" s="727"/>
      <c r="E725" s="727"/>
      <c r="F725" s="727"/>
      <c r="G725" s="189"/>
      <c r="H725" s="728" t="s">
        <v>46</v>
      </c>
      <c r="I725" s="729">
        <f ca="1">IFERROR(__xludf.DUMMYFUNCTION("IMPORTRANGE(""https://docs.google.com/spreadsheets/d/1QqKyyYR6Q21VydFLVH3TRQUabQu_ym0Zz7PgGX0-kHA/edit?usp=sharing"",""แผน!IM21"")"),40)</f>
        <v>40</v>
      </c>
      <c r="J725" s="269">
        <f ca="1">IFERROR(__xludf.DUMMYFUNCTION("IMPORTRANGE(""https://docs.google.com/spreadsheets/d/1XWAQStnk-4SwqDmLtmXYiTMKHgktTP8We1SCoS47DrQ/edit?usp=sharing"",""จัดที่ดิน!BO21"")"),0)</f>
        <v>0</v>
      </c>
      <c r="K725" s="465">
        <f t="shared" ref="K725:K726" ca="1" si="291">IF(I725&gt;0,J725*100/I725,0)</f>
        <v>0</v>
      </c>
      <c r="L725" s="730"/>
      <c r="M725" s="189"/>
      <c r="N725" s="730"/>
      <c r="O725" s="465"/>
      <c r="P725" s="465"/>
      <c r="Q725" s="541"/>
      <c r="R725" s="541"/>
      <c r="S725" s="541"/>
      <c r="T725" s="541"/>
      <c r="U725" s="541"/>
      <c r="V725" s="541"/>
      <c r="W725" s="541"/>
      <c r="X725" s="541"/>
      <c r="Y725" s="541"/>
      <c r="Z725" s="541"/>
    </row>
    <row r="726" spans="1:26" ht="18.75">
      <c r="A726" s="708"/>
      <c r="B726" s="727"/>
      <c r="C726" s="727"/>
      <c r="D726" s="727"/>
      <c r="E726" s="727" t="s">
        <v>307</v>
      </c>
      <c r="F726" s="727"/>
      <c r="G726" s="189"/>
      <c r="H726" s="728" t="s">
        <v>35</v>
      </c>
      <c r="I726" s="729">
        <f ca="1">IFERROR(__xludf.DUMMYFUNCTION("IMPORTRANGE(""https://docs.google.com/spreadsheets/d/1QqKyyYR6Q21VydFLVH3TRQUabQu_ym0Zz7PgGX0-kHA/edit?usp=sharing"",""แผน!IN21"")"),4)</f>
        <v>4</v>
      </c>
      <c r="J726" s="269">
        <f ca="1">IFERROR(__xludf.DUMMYFUNCTION("IMPORTRANGE(""https://docs.google.com/spreadsheets/d/1XWAQStnk-4SwqDmLtmXYiTMKHgktTP8We1SCoS47DrQ/edit?usp=sharing"",""จัดที่ดิน!BR21"")"),0)</f>
        <v>0</v>
      </c>
      <c r="K726" s="465">
        <f t="shared" ca="1" si="291"/>
        <v>0</v>
      </c>
      <c r="L726" s="465"/>
      <c r="M726" s="189"/>
      <c r="N726" s="730"/>
      <c r="O726" s="465"/>
      <c r="P726" s="465"/>
      <c r="Q726" s="541"/>
      <c r="R726" s="541"/>
      <c r="S726" s="541"/>
      <c r="T726" s="541"/>
      <c r="U726" s="541"/>
      <c r="V726" s="541"/>
      <c r="W726" s="541"/>
      <c r="X726" s="541"/>
      <c r="Y726" s="541"/>
      <c r="Z726" s="541"/>
    </row>
    <row r="727" spans="1:26" ht="18.75">
      <c r="A727" s="708"/>
      <c r="B727" s="727"/>
      <c r="C727" s="727"/>
      <c r="D727" s="727"/>
      <c r="E727" s="727"/>
      <c r="F727" s="727"/>
      <c r="G727" s="189"/>
      <c r="H727" s="728" t="s">
        <v>34</v>
      </c>
      <c r="I727" s="729"/>
      <c r="J727" s="269">
        <f ca="1">IFERROR(__xludf.DUMMYFUNCTION("IMPORTRANGE(""https://docs.google.com/spreadsheets/d/1XWAQStnk-4SwqDmLtmXYiTMKHgktTP8We1SCoS47DrQ/edit?usp=sharing"",""จัดที่ดิน!BS21"")"),0)</f>
        <v>0</v>
      </c>
      <c r="K727" s="465"/>
      <c r="L727" s="730"/>
      <c r="M727" s="189"/>
      <c r="N727" s="730"/>
      <c r="O727" s="465"/>
      <c r="P727" s="465"/>
      <c r="Q727" s="541"/>
      <c r="R727" s="541"/>
      <c r="S727" s="541"/>
      <c r="T727" s="541"/>
      <c r="U727" s="541"/>
      <c r="V727" s="541"/>
      <c r="W727" s="541"/>
      <c r="X727" s="541"/>
      <c r="Y727" s="541"/>
      <c r="Z727" s="541"/>
    </row>
    <row r="728" spans="1:26" ht="18.75">
      <c r="A728" s="708"/>
      <c r="B728" s="727"/>
      <c r="C728" s="727"/>
      <c r="D728" s="727"/>
      <c r="E728" s="727"/>
      <c r="F728" s="727"/>
      <c r="G728" s="189"/>
      <c r="H728" s="728" t="s">
        <v>46</v>
      </c>
      <c r="I728" s="729">
        <f ca="1">IFERROR(__xludf.DUMMYFUNCTION("IMPORTRANGE(""https://docs.google.com/spreadsheets/d/1QqKyyYR6Q21VydFLVH3TRQUabQu_ym0Zz7PgGX0-kHA/edit?usp=sharing"",""แผน!IO21"")"),40)</f>
        <v>40</v>
      </c>
      <c r="J728" s="269">
        <f ca="1">IFERROR(__xludf.DUMMYFUNCTION("IMPORTRANGE(""https://docs.google.com/spreadsheets/d/1XWAQStnk-4SwqDmLtmXYiTMKHgktTP8We1SCoS47DrQ/edit?usp=sharing"",""จัดที่ดิน!BT21"")"),0)</f>
        <v>0</v>
      </c>
      <c r="K728" s="465">
        <f t="shared" ref="K728:K729" ca="1" si="292">IF(I728&gt;0,J728*100/I728,0)</f>
        <v>0</v>
      </c>
      <c r="L728" s="730"/>
      <c r="M728" s="189"/>
      <c r="N728" s="730"/>
      <c r="O728" s="465"/>
      <c r="P728" s="465"/>
      <c r="Q728" s="541"/>
      <c r="R728" s="541"/>
      <c r="S728" s="541"/>
      <c r="T728" s="541"/>
      <c r="U728" s="541"/>
      <c r="V728" s="541"/>
      <c r="W728" s="541"/>
      <c r="X728" s="541"/>
      <c r="Y728" s="541"/>
      <c r="Z728" s="541"/>
    </row>
    <row r="729" spans="1:26" ht="19.5">
      <c r="A729" s="708"/>
      <c r="B729" s="727"/>
      <c r="C729" s="727"/>
      <c r="D729" s="727" t="s">
        <v>308</v>
      </c>
      <c r="E729" s="727"/>
      <c r="F729" s="727"/>
      <c r="G729" s="189"/>
      <c r="H729" s="731" t="s">
        <v>46</v>
      </c>
      <c r="I729" s="732">
        <f ca="1">IFERROR(__xludf.DUMMYFUNCTION("IMPORTRANGE(""https://docs.google.com/spreadsheets/d/1QqKyyYR6Q21VydFLVH3TRQUabQu_ym0Zz7PgGX0-kHA/edit?usp=sharing"",""แผน!IP21"")"),0)</f>
        <v>0</v>
      </c>
      <c r="J729" s="647">
        <f>J732+J735</f>
        <v>0</v>
      </c>
      <c r="K729" s="195">
        <f t="shared" ca="1" si="292"/>
        <v>0</v>
      </c>
      <c r="L729" s="465"/>
      <c r="M729" s="189"/>
      <c r="N729" s="730"/>
      <c r="O729" s="465"/>
      <c r="P729" s="465"/>
      <c r="Q729" s="541"/>
      <c r="R729" s="541"/>
      <c r="S729" s="541"/>
      <c r="T729" s="541"/>
      <c r="U729" s="541"/>
      <c r="V729" s="541"/>
      <c r="W729" s="541"/>
      <c r="X729" s="541"/>
      <c r="Y729" s="541"/>
      <c r="Z729" s="541"/>
    </row>
    <row r="730" spans="1:26" ht="18.75">
      <c r="A730" s="708"/>
      <c r="B730" s="727"/>
      <c r="C730" s="727"/>
      <c r="D730" s="727"/>
      <c r="E730" s="727" t="s">
        <v>309</v>
      </c>
      <c r="F730" s="727"/>
      <c r="G730" s="189"/>
      <c r="H730" s="728" t="s">
        <v>35</v>
      </c>
      <c r="I730" s="729"/>
      <c r="J730" s="214">
        <v>0</v>
      </c>
      <c r="K730" s="465"/>
      <c r="L730" s="730"/>
      <c r="M730" s="465"/>
      <c r="N730" s="730"/>
      <c r="O730" s="465"/>
      <c r="P730" s="465"/>
      <c r="Q730" s="541"/>
      <c r="R730" s="541"/>
      <c r="S730" s="541"/>
      <c r="T730" s="541"/>
      <c r="U730" s="541"/>
      <c r="V730" s="541"/>
      <c r="W730" s="541"/>
      <c r="X730" s="541"/>
      <c r="Y730" s="541"/>
      <c r="Z730" s="541"/>
    </row>
    <row r="731" spans="1:26" ht="18.75">
      <c r="A731" s="708"/>
      <c r="B731" s="727"/>
      <c r="C731" s="727"/>
      <c r="D731" s="727"/>
      <c r="E731" s="727"/>
      <c r="F731" s="727"/>
      <c r="G731" s="189"/>
      <c r="H731" s="728" t="s">
        <v>34</v>
      </c>
      <c r="I731" s="729"/>
      <c r="J731" s="214">
        <v>0</v>
      </c>
      <c r="K731" s="465"/>
      <c r="L731" s="730"/>
      <c r="M731" s="465"/>
      <c r="N731" s="730"/>
      <c r="O731" s="465"/>
      <c r="P731" s="465"/>
      <c r="Q731" s="541"/>
      <c r="R731" s="541"/>
      <c r="S731" s="541"/>
      <c r="T731" s="541"/>
      <c r="U731" s="541"/>
      <c r="V731" s="541"/>
      <c r="W731" s="541"/>
      <c r="X731" s="541"/>
      <c r="Y731" s="541"/>
      <c r="Z731" s="541"/>
    </row>
    <row r="732" spans="1:26" ht="18.75">
      <c r="A732" s="708"/>
      <c r="B732" s="727"/>
      <c r="C732" s="727"/>
      <c r="D732" s="727"/>
      <c r="E732" s="727"/>
      <c r="F732" s="727"/>
      <c r="G732" s="189"/>
      <c r="H732" s="728" t="s">
        <v>46</v>
      </c>
      <c r="I732" s="729"/>
      <c r="J732" s="214">
        <v>0</v>
      </c>
      <c r="K732" s="465"/>
      <c r="L732" s="730"/>
      <c r="M732" s="465"/>
      <c r="N732" s="730"/>
      <c r="O732" s="465"/>
      <c r="P732" s="465"/>
      <c r="Q732" s="541"/>
      <c r="R732" s="541"/>
      <c r="S732" s="541"/>
      <c r="T732" s="541"/>
      <c r="U732" s="541"/>
      <c r="V732" s="541"/>
      <c r="W732" s="541"/>
      <c r="X732" s="541"/>
      <c r="Y732" s="541"/>
      <c r="Z732" s="541"/>
    </row>
    <row r="733" spans="1:26" ht="18.75">
      <c r="A733" s="708"/>
      <c r="B733" s="727"/>
      <c r="C733" s="727"/>
      <c r="D733" s="727"/>
      <c r="E733" s="727" t="s">
        <v>310</v>
      </c>
      <c r="F733" s="727"/>
      <c r="G733" s="189"/>
      <c r="H733" s="728" t="s">
        <v>35</v>
      </c>
      <c r="I733" s="729"/>
      <c r="J733" s="214">
        <v>0</v>
      </c>
      <c r="K733" s="465"/>
      <c r="L733" s="730"/>
      <c r="M733" s="465"/>
      <c r="N733" s="730"/>
      <c r="O733" s="465"/>
      <c r="P733" s="465"/>
      <c r="Q733" s="541"/>
      <c r="R733" s="541"/>
      <c r="S733" s="541"/>
      <c r="T733" s="541"/>
      <c r="U733" s="541"/>
      <c r="V733" s="541"/>
      <c r="W733" s="541"/>
      <c r="X733" s="541"/>
      <c r="Y733" s="541"/>
      <c r="Z733" s="541"/>
    </row>
    <row r="734" spans="1:26" ht="18.75">
      <c r="A734" s="708"/>
      <c r="B734" s="727"/>
      <c r="C734" s="727"/>
      <c r="D734" s="727"/>
      <c r="E734" s="727"/>
      <c r="F734" s="727"/>
      <c r="G734" s="189"/>
      <c r="H734" s="728" t="s">
        <v>34</v>
      </c>
      <c r="I734" s="729"/>
      <c r="J734" s="214">
        <v>0</v>
      </c>
      <c r="K734" s="465"/>
      <c r="L734" s="730"/>
      <c r="M734" s="465"/>
      <c r="N734" s="730"/>
      <c r="O734" s="465"/>
      <c r="P734" s="465"/>
      <c r="Q734" s="541"/>
      <c r="R734" s="541"/>
      <c r="S734" s="541"/>
      <c r="T734" s="541"/>
      <c r="U734" s="541"/>
      <c r="V734" s="541"/>
      <c r="W734" s="541"/>
      <c r="X734" s="541"/>
      <c r="Y734" s="541"/>
      <c r="Z734" s="541"/>
    </row>
    <row r="735" spans="1:26" ht="19.5">
      <c r="A735" s="734"/>
      <c r="B735" s="735" t="s">
        <v>311</v>
      </c>
      <c r="C735" s="698"/>
      <c r="D735" s="698"/>
      <c r="E735" s="698"/>
      <c r="F735" s="698"/>
      <c r="G735" s="699"/>
      <c r="H735" s="390" t="s">
        <v>46</v>
      </c>
      <c r="I735" s="736"/>
      <c r="J735" s="392">
        <v>0</v>
      </c>
      <c r="K735" s="469"/>
      <c r="L735" s="737"/>
      <c r="M735" s="469"/>
      <c r="N735" s="737"/>
      <c r="O735" s="469"/>
      <c r="P735" s="469"/>
      <c r="Q735" s="541"/>
      <c r="R735" s="541"/>
      <c r="S735" s="541"/>
      <c r="T735" s="541"/>
      <c r="U735" s="541"/>
      <c r="V735" s="541"/>
      <c r="W735" s="541"/>
      <c r="X735" s="541"/>
      <c r="Y735" s="541"/>
      <c r="Z735" s="541"/>
    </row>
    <row r="736" spans="1:26" ht="19.5" hidden="1">
      <c r="A736" s="738">
        <v>9</v>
      </c>
      <c r="B736" s="739" t="s">
        <v>312</v>
      </c>
      <c r="C736" s="740"/>
      <c r="D736" s="740"/>
      <c r="E736" s="740"/>
      <c r="F736" s="740"/>
      <c r="G736" s="741"/>
      <c r="H736" s="742" t="s">
        <v>46</v>
      </c>
      <c r="I736" s="743"/>
      <c r="J736" s="743">
        <f>J751</f>
        <v>0</v>
      </c>
      <c r="K736" s="744">
        <f>IF(I736&gt;0,J736*100/I736,0)</f>
        <v>0</v>
      </c>
      <c r="L736" s="745"/>
      <c r="M736" s="745"/>
      <c r="N736" s="745"/>
      <c r="O736" s="745"/>
      <c r="P736" s="745"/>
      <c r="Q736" s="568"/>
      <c r="R736" s="568"/>
      <c r="S736" s="568"/>
      <c r="T736" s="568"/>
      <c r="U736" s="568"/>
      <c r="V736" s="568"/>
      <c r="W736" s="568"/>
      <c r="X736" s="568"/>
      <c r="Y736" s="568"/>
      <c r="Z736" s="568"/>
    </row>
    <row r="737" spans="1:26" ht="19.5" hidden="1">
      <c r="A737" s="563"/>
      <c r="B737" s="723"/>
      <c r="C737" s="723" t="s">
        <v>16</v>
      </c>
      <c r="D737" s="812" t="s">
        <v>17</v>
      </c>
      <c r="E737" s="805"/>
      <c r="F737" s="805"/>
      <c r="G737" s="567"/>
      <c r="H737" s="612" t="s">
        <v>12</v>
      </c>
      <c r="I737" s="583"/>
      <c r="J737" s="583"/>
      <c r="K737" s="93"/>
      <c r="L737" s="613">
        <f t="shared" ref="L737:N737" si="293">L738+L739</f>
        <v>0</v>
      </c>
      <c r="M737" s="613">
        <f t="shared" si="293"/>
        <v>0</v>
      </c>
      <c r="N737" s="613">
        <f t="shared" si="293"/>
        <v>0</v>
      </c>
      <c r="O737" s="613">
        <f t="shared" ref="O737:O742" si="294">IF(L737&gt;0,N737*100/L737,0)</f>
        <v>0</v>
      </c>
      <c r="P737" s="613">
        <f t="shared" ref="P737:P742" si="295">IF(M737&gt;0,N737*100/M737,0)</f>
        <v>0</v>
      </c>
      <c r="Q737" s="568"/>
      <c r="R737" s="568"/>
      <c r="S737" s="568"/>
      <c r="T737" s="568"/>
      <c r="U737" s="568"/>
      <c r="V737" s="568"/>
      <c r="W737" s="568"/>
      <c r="X737" s="568"/>
      <c r="Y737" s="568"/>
      <c r="Z737" s="568"/>
    </row>
    <row r="738" spans="1:26" ht="18.75" hidden="1">
      <c r="A738" s="563"/>
      <c r="B738" s="723"/>
      <c r="C738" s="723"/>
      <c r="D738" s="684"/>
      <c r="E738" s="723" t="s">
        <v>184</v>
      </c>
      <c r="F738" s="723"/>
      <c r="G738" s="567"/>
      <c r="H738" s="165" t="s">
        <v>12</v>
      </c>
      <c r="I738" s="583"/>
      <c r="J738" s="583"/>
      <c r="K738" s="93"/>
      <c r="L738" s="93">
        <f t="shared" ref="L738:N739" si="296">L741+L748</f>
        <v>0</v>
      </c>
      <c r="M738" s="93">
        <f t="shared" si="296"/>
        <v>0</v>
      </c>
      <c r="N738" s="93">
        <f t="shared" si="296"/>
        <v>0</v>
      </c>
      <c r="O738" s="93">
        <f t="shared" si="294"/>
        <v>0</v>
      </c>
      <c r="P738" s="93">
        <f t="shared" si="295"/>
        <v>0</v>
      </c>
      <c r="Q738" s="568"/>
      <c r="R738" s="568"/>
      <c r="S738" s="568"/>
      <c r="T738" s="568"/>
      <c r="U738" s="568"/>
      <c r="V738" s="568"/>
      <c r="W738" s="568"/>
      <c r="X738" s="568"/>
      <c r="Y738" s="568"/>
      <c r="Z738" s="568"/>
    </row>
    <row r="739" spans="1:26" ht="18.75" hidden="1">
      <c r="A739" s="563"/>
      <c r="B739" s="571"/>
      <c r="C739" s="723"/>
      <c r="D739" s="684"/>
      <c r="E739" s="723" t="s">
        <v>185</v>
      </c>
      <c r="F739" s="723"/>
      <c r="G739" s="567"/>
      <c r="H739" s="165" t="s">
        <v>12</v>
      </c>
      <c r="I739" s="583"/>
      <c r="J739" s="583"/>
      <c r="K739" s="93"/>
      <c r="L739" s="93">
        <f t="shared" si="296"/>
        <v>0</v>
      </c>
      <c r="M739" s="93">
        <f t="shared" si="296"/>
        <v>0</v>
      </c>
      <c r="N739" s="93">
        <f t="shared" si="296"/>
        <v>0</v>
      </c>
      <c r="O739" s="93">
        <f t="shared" si="294"/>
        <v>0</v>
      </c>
      <c r="P739" s="93">
        <f t="shared" si="295"/>
        <v>0</v>
      </c>
      <c r="Q739" s="568"/>
      <c r="R739" s="568"/>
      <c r="S739" s="568"/>
      <c r="T739" s="568"/>
      <c r="U739" s="568"/>
      <c r="V739" s="568"/>
      <c r="W739" s="568"/>
      <c r="X739" s="568"/>
      <c r="Y739" s="568"/>
      <c r="Z739" s="568"/>
    </row>
    <row r="740" spans="1:26" ht="19.5" hidden="1">
      <c r="A740" s="563"/>
      <c r="B740" s="571"/>
      <c r="C740" s="723"/>
      <c r="D740" s="611" t="s">
        <v>20</v>
      </c>
      <c r="E740" s="723"/>
      <c r="F740" s="723"/>
      <c r="G740" s="567"/>
      <c r="H740" s="612" t="s">
        <v>12</v>
      </c>
      <c r="I740" s="166"/>
      <c r="J740" s="166"/>
      <c r="K740" s="167"/>
      <c r="L740" s="613">
        <f t="shared" ref="L740:N740" si="297">L741+L742</f>
        <v>0</v>
      </c>
      <c r="M740" s="613">
        <f t="shared" si="297"/>
        <v>0</v>
      </c>
      <c r="N740" s="613">
        <f t="shared" si="297"/>
        <v>0</v>
      </c>
      <c r="O740" s="613">
        <f t="shared" si="294"/>
        <v>0</v>
      </c>
      <c r="P740" s="613">
        <f t="shared" si="295"/>
        <v>0</v>
      </c>
      <c r="Q740" s="568"/>
      <c r="R740" s="568"/>
      <c r="S740" s="568"/>
      <c r="T740" s="568"/>
      <c r="U740" s="568"/>
      <c r="V740" s="568"/>
      <c r="W740" s="568"/>
      <c r="X740" s="568"/>
      <c r="Y740" s="568"/>
      <c r="Z740" s="568"/>
    </row>
    <row r="741" spans="1:26" ht="18.75" hidden="1">
      <c r="A741" s="563"/>
      <c r="B741" s="571"/>
      <c r="C741" s="723"/>
      <c r="D741" s="684"/>
      <c r="E741" s="723" t="s">
        <v>184</v>
      </c>
      <c r="F741" s="723"/>
      <c r="G741" s="567"/>
      <c r="H741" s="165" t="s">
        <v>12</v>
      </c>
      <c r="I741" s="583"/>
      <c r="J741" s="583"/>
      <c r="K741" s="93"/>
      <c r="L741" s="93">
        <v>0</v>
      </c>
      <c r="M741" s="93">
        <v>0</v>
      </c>
      <c r="N741" s="93">
        <v>0</v>
      </c>
      <c r="O741" s="93">
        <f t="shared" si="294"/>
        <v>0</v>
      </c>
      <c r="P741" s="93">
        <f t="shared" si="295"/>
        <v>0</v>
      </c>
      <c r="Q741" s="568"/>
      <c r="R741" s="568"/>
      <c r="S741" s="568"/>
      <c r="T741" s="568"/>
      <c r="U741" s="568"/>
      <c r="V741" s="568"/>
      <c r="W741" s="568"/>
      <c r="X741" s="568"/>
      <c r="Y741" s="568"/>
      <c r="Z741" s="568"/>
    </row>
    <row r="742" spans="1:26" ht="18.75" hidden="1">
      <c r="A742" s="563"/>
      <c r="B742" s="571"/>
      <c r="C742" s="723"/>
      <c r="D742" s="684"/>
      <c r="E742" s="723" t="s">
        <v>185</v>
      </c>
      <c r="F742" s="723"/>
      <c r="G742" s="567"/>
      <c r="H742" s="165" t="s">
        <v>12</v>
      </c>
      <c r="I742" s="583"/>
      <c r="J742" s="583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4"/>
        <v>0</v>
      </c>
      <c r="P742" s="93">
        <f t="shared" si="295"/>
        <v>0</v>
      </c>
      <c r="Q742" s="568"/>
      <c r="R742" s="568"/>
      <c r="S742" s="568"/>
      <c r="T742" s="568"/>
      <c r="U742" s="568"/>
      <c r="V742" s="568"/>
      <c r="W742" s="568"/>
      <c r="X742" s="568"/>
      <c r="Y742" s="568"/>
      <c r="Z742" s="568"/>
    </row>
    <row r="743" spans="1:26" ht="18.75" hidden="1">
      <c r="A743" s="615"/>
      <c r="B743" s="571"/>
      <c r="C743" s="723"/>
      <c r="D743" s="723"/>
      <c r="E743" s="723"/>
      <c r="F743" s="723" t="s">
        <v>186</v>
      </c>
      <c r="G743" s="567"/>
      <c r="H743" s="165" t="s">
        <v>12</v>
      </c>
      <c r="I743" s="583"/>
      <c r="J743" s="583"/>
      <c r="K743" s="93"/>
      <c r="L743" s="93"/>
      <c r="M743" s="93"/>
      <c r="N743" s="93"/>
      <c r="O743" s="93"/>
      <c r="P743" s="93"/>
      <c r="Q743" s="568"/>
      <c r="R743" s="568"/>
      <c r="S743" s="568"/>
      <c r="T743" s="568"/>
      <c r="U743" s="568"/>
      <c r="V743" s="568"/>
      <c r="W743" s="568"/>
      <c r="X743" s="568"/>
      <c r="Y743" s="568"/>
      <c r="Z743" s="568"/>
    </row>
    <row r="744" spans="1:26" ht="18.75" hidden="1">
      <c r="A744" s="615"/>
      <c r="B744" s="571"/>
      <c r="C744" s="723"/>
      <c r="D744" s="723"/>
      <c r="E744" s="723"/>
      <c r="F744" s="723" t="s">
        <v>187</v>
      </c>
      <c r="G744" s="567"/>
      <c r="H744" s="165" t="s">
        <v>12</v>
      </c>
      <c r="I744" s="583"/>
      <c r="J744" s="583"/>
      <c r="K744" s="93"/>
      <c r="L744" s="93"/>
      <c r="M744" s="93"/>
      <c r="N744" s="93"/>
      <c r="O744" s="93"/>
      <c r="P744" s="93"/>
      <c r="Q744" s="568"/>
      <c r="R744" s="568"/>
      <c r="S744" s="568"/>
      <c r="T744" s="568"/>
      <c r="U744" s="568"/>
      <c r="V744" s="568"/>
      <c r="W744" s="568"/>
      <c r="X744" s="568"/>
      <c r="Y744" s="568"/>
      <c r="Z744" s="568"/>
    </row>
    <row r="745" spans="1:26" ht="18.75" hidden="1">
      <c r="A745" s="615"/>
      <c r="B745" s="571"/>
      <c r="C745" s="723"/>
      <c r="D745" s="723"/>
      <c r="E745" s="723"/>
      <c r="F745" s="723" t="s">
        <v>188</v>
      </c>
      <c r="G745" s="567"/>
      <c r="H745" s="165" t="s">
        <v>12</v>
      </c>
      <c r="I745" s="583"/>
      <c r="J745" s="583"/>
      <c r="K745" s="93"/>
      <c r="L745" s="93"/>
      <c r="M745" s="93"/>
      <c r="N745" s="93"/>
      <c r="O745" s="93"/>
      <c r="P745" s="93"/>
      <c r="Q745" s="568"/>
      <c r="R745" s="568"/>
      <c r="S745" s="568"/>
      <c r="T745" s="568"/>
      <c r="U745" s="568"/>
      <c r="V745" s="568"/>
      <c r="W745" s="568"/>
      <c r="X745" s="568"/>
      <c r="Y745" s="568"/>
      <c r="Z745" s="568"/>
    </row>
    <row r="746" spans="1:26" ht="18.75" hidden="1">
      <c r="A746" s="615"/>
      <c r="B746" s="571"/>
      <c r="C746" s="723"/>
      <c r="D746" s="723"/>
      <c r="E746" s="723"/>
      <c r="F746" s="723" t="s">
        <v>189</v>
      </c>
      <c r="G746" s="567"/>
      <c r="H746" s="165" t="s">
        <v>12</v>
      </c>
      <c r="I746" s="583"/>
      <c r="J746" s="583"/>
      <c r="K746" s="93"/>
      <c r="L746" s="93"/>
      <c r="M746" s="93"/>
      <c r="N746" s="93"/>
      <c r="O746" s="93"/>
      <c r="P746" s="93"/>
      <c r="Q746" s="568"/>
      <c r="R746" s="568"/>
      <c r="S746" s="568"/>
      <c r="T746" s="568"/>
      <c r="U746" s="568"/>
      <c r="V746" s="568"/>
      <c r="W746" s="568"/>
      <c r="X746" s="568"/>
      <c r="Y746" s="568"/>
      <c r="Z746" s="568"/>
    </row>
    <row r="747" spans="1:26" ht="19.5" hidden="1">
      <c r="A747" s="563"/>
      <c r="B747" s="571"/>
      <c r="C747" s="723"/>
      <c r="D747" s="611" t="s">
        <v>21</v>
      </c>
      <c r="E747" s="723"/>
      <c r="F747" s="723"/>
      <c r="G747" s="567"/>
      <c r="H747" s="747" t="s">
        <v>12</v>
      </c>
      <c r="I747" s="166"/>
      <c r="J747" s="166"/>
      <c r="K747" s="167"/>
      <c r="L747" s="613">
        <f t="shared" ref="L747:N747" si="298">L748+L749</f>
        <v>0</v>
      </c>
      <c r="M747" s="613">
        <f t="shared" si="298"/>
        <v>0</v>
      </c>
      <c r="N747" s="613">
        <f t="shared" si="298"/>
        <v>0</v>
      </c>
      <c r="O747" s="613">
        <f t="shared" ref="O747:O749" si="299">IF(L747&gt;0,N747*100/L747,0)</f>
        <v>0</v>
      </c>
      <c r="P747" s="613">
        <f t="shared" ref="P747:P749" si="300">IF(M747&gt;0,N747*100/M747,0)</f>
        <v>0</v>
      </c>
      <c r="Q747" s="568"/>
      <c r="R747" s="568"/>
      <c r="S747" s="568"/>
      <c r="T747" s="568"/>
      <c r="U747" s="568"/>
      <c r="V747" s="568"/>
      <c r="W747" s="568"/>
      <c r="X747" s="568"/>
      <c r="Y747" s="568"/>
      <c r="Z747" s="568"/>
    </row>
    <row r="748" spans="1:26" ht="18.75" hidden="1">
      <c r="A748" s="563"/>
      <c r="B748" s="571"/>
      <c r="C748" s="723"/>
      <c r="D748" s="723"/>
      <c r="E748" s="723" t="s">
        <v>18</v>
      </c>
      <c r="F748" s="723"/>
      <c r="G748" s="567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299"/>
        <v>0</v>
      </c>
      <c r="P748" s="93">
        <f t="shared" si="300"/>
        <v>0</v>
      </c>
      <c r="Q748" s="568"/>
      <c r="R748" s="568"/>
      <c r="S748" s="568"/>
      <c r="T748" s="568"/>
      <c r="U748" s="568"/>
      <c r="V748" s="568"/>
      <c r="W748" s="568"/>
      <c r="X748" s="568"/>
      <c r="Y748" s="568"/>
      <c r="Z748" s="568"/>
    </row>
    <row r="749" spans="1:26" ht="18.75" hidden="1">
      <c r="A749" s="563"/>
      <c r="B749" s="571"/>
      <c r="C749" s="723"/>
      <c r="D749" s="723"/>
      <c r="E749" s="723" t="s">
        <v>19</v>
      </c>
      <c r="F749" s="723"/>
      <c r="G749" s="567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299"/>
        <v>0</v>
      </c>
      <c r="P749" s="93">
        <f t="shared" si="300"/>
        <v>0</v>
      </c>
      <c r="Q749" s="568"/>
      <c r="R749" s="568"/>
      <c r="S749" s="568"/>
      <c r="T749" s="568"/>
      <c r="U749" s="568"/>
      <c r="V749" s="568"/>
      <c r="W749" s="568"/>
      <c r="X749" s="568"/>
      <c r="Y749" s="568"/>
      <c r="Z749" s="568"/>
    </row>
    <row r="750" spans="1:26" ht="19.5" hidden="1">
      <c r="A750" s="578"/>
      <c r="B750" s="580"/>
      <c r="C750" s="723" t="s">
        <v>16</v>
      </c>
      <c r="D750" s="856" t="s">
        <v>38</v>
      </c>
      <c r="E750" s="617"/>
      <c r="F750" s="617"/>
      <c r="G750" s="618"/>
      <c r="H750" s="581"/>
      <c r="I750" s="166"/>
      <c r="J750" s="166"/>
      <c r="K750" s="167"/>
      <c r="L750" s="167"/>
      <c r="M750" s="167"/>
      <c r="N750" s="167"/>
      <c r="O750" s="167"/>
      <c r="P750" s="167"/>
      <c r="Q750" s="568"/>
      <c r="R750" s="568"/>
      <c r="S750" s="568"/>
      <c r="T750" s="568"/>
      <c r="U750" s="568"/>
      <c r="V750" s="568"/>
      <c r="W750" s="568"/>
      <c r="X750" s="568"/>
      <c r="Y750" s="568"/>
      <c r="Z750" s="568"/>
    </row>
    <row r="751" spans="1:26" ht="18.75" hidden="1">
      <c r="A751" s="615"/>
      <c r="B751" s="571"/>
      <c r="C751" s="723"/>
      <c r="D751" s="723"/>
      <c r="E751" s="723" t="s">
        <v>313</v>
      </c>
      <c r="F751" s="723"/>
      <c r="G751" s="567"/>
      <c r="H751" s="165" t="s">
        <v>46</v>
      </c>
      <c r="I751" s="583"/>
      <c r="J751" s="583"/>
      <c r="K751" s="93"/>
      <c r="L751" s="93"/>
      <c r="M751" s="93"/>
      <c r="N751" s="93"/>
      <c r="O751" s="93"/>
      <c r="P751" s="93"/>
      <c r="Q751" s="568"/>
      <c r="R751" s="568"/>
      <c r="S751" s="568"/>
      <c r="T751" s="568"/>
      <c r="U751" s="568"/>
      <c r="V751" s="568"/>
      <c r="W751" s="568"/>
      <c r="X751" s="568"/>
      <c r="Y751" s="568"/>
      <c r="Z751" s="568"/>
    </row>
    <row r="752" spans="1:26" ht="18.75" hidden="1">
      <c r="A752" s="615"/>
      <c r="B752" s="571"/>
      <c r="C752" s="723"/>
      <c r="D752" s="723"/>
      <c r="E752" s="723"/>
      <c r="F752" s="723"/>
      <c r="G752" s="567"/>
      <c r="H752" s="165" t="s">
        <v>314</v>
      </c>
      <c r="I752" s="583"/>
      <c r="J752" s="583"/>
      <c r="K752" s="93"/>
      <c r="L752" s="93"/>
      <c r="M752" s="93"/>
      <c r="N752" s="93"/>
      <c r="O752" s="93"/>
      <c r="P752" s="93"/>
      <c r="Q752" s="568"/>
      <c r="R752" s="568"/>
      <c r="S752" s="568"/>
      <c r="T752" s="568"/>
      <c r="U752" s="568"/>
      <c r="V752" s="568"/>
      <c r="W752" s="568"/>
      <c r="X752" s="568"/>
      <c r="Y752" s="568"/>
      <c r="Z752" s="568"/>
    </row>
    <row r="753" spans="1:26" ht="19.5" hidden="1">
      <c r="A753" s="749">
        <v>10</v>
      </c>
      <c r="B753" s="750" t="s">
        <v>315</v>
      </c>
      <c r="C753" s="751"/>
      <c r="D753" s="751"/>
      <c r="E753" s="751"/>
      <c r="F753" s="751"/>
      <c r="G753" s="752"/>
      <c r="H753" s="753" t="s">
        <v>46</v>
      </c>
      <c r="I753" s="754"/>
      <c r="J753" s="754">
        <f>J768</f>
        <v>0</v>
      </c>
      <c r="K753" s="755">
        <f>IF(I753&gt;0,J753*100/I753,0)</f>
        <v>0</v>
      </c>
      <c r="L753" s="756"/>
      <c r="M753" s="756"/>
      <c r="N753" s="756"/>
      <c r="O753" s="756"/>
      <c r="P753" s="756"/>
      <c r="Q753" s="568"/>
      <c r="R753" s="568"/>
      <c r="S753" s="568"/>
      <c r="T753" s="568"/>
      <c r="U753" s="568"/>
      <c r="V753" s="568"/>
      <c r="W753" s="568"/>
      <c r="X753" s="568"/>
      <c r="Y753" s="568"/>
      <c r="Z753" s="568"/>
    </row>
    <row r="754" spans="1:26" ht="19.5" hidden="1">
      <c r="A754" s="563"/>
      <c r="B754" s="723"/>
      <c r="C754" s="723" t="s">
        <v>16</v>
      </c>
      <c r="D754" s="812" t="s">
        <v>17</v>
      </c>
      <c r="E754" s="805"/>
      <c r="F754" s="805"/>
      <c r="G754" s="567"/>
      <c r="H754" s="612" t="s">
        <v>12</v>
      </c>
      <c r="I754" s="583"/>
      <c r="J754" s="583"/>
      <c r="K754" s="93"/>
      <c r="L754" s="613">
        <f t="shared" ref="L754:N754" si="301">L755+L756</f>
        <v>0</v>
      </c>
      <c r="M754" s="613">
        <f t="shared" si="301"/>
        <v>0</v>
      </c>
      <c r="N754" s="613">
        <f t="shared" si="301"/>
        <v>0</v>
      </c>
      <c r="O754" s="613">
        <f t="shared" ref="O754:O759" si="302">IF(L754&gt;0,N754*100/L754,0)</f>
        <v>0</v>
      </c>
      <c r="P754" s="613">
        <f t="shared" ref="P754:P759" si="303">IF(M754&gt;0,N754*100/M754,0)</f>
        <v>0</v>
      </c>
      <c r="Q754" s="568"/>
      <c r="R754" s="568"/>
      <c r="S754" s="568"/>
      <c r="T754" s="568"/>
      <c r="U754" s="568"/>
      <c r="V754" s="568"/>
      <c r="W754" s="568"/>
      <c r="X754" s="568"/>
      <c r="Y754" s="568"/>
      <c r="Z754" s="568"/>
    </row>
    <row r="755" spans="1:26" ht="18.75" hidden="1">
      <c r="A755" s="563"/>
      <c r="B755" s="723"/>
      <c r="C755" s="723"/>
      <c r="D755" s="684"/>
      <c r="E755" s="723" t="s">
        <v>184</v>
      </c>
      <c r="F755" s="723"/>
      <c r="G755" s="567"/>
      <c r="H755" s="165" t="s">
        <v>12</v>
      </c>
      <c r="I755" s="583"/>
      <c r="J755" s="583"/>
      <c r="K755" s="93"/>
      <c r="L755" s="93">
        <f t="shared" ref="L755:N756" si="304">L758+L765</f>
        <v>0</v>
      </c>
      <c r="M755" s="93">
        <f t="shared" si="304"/>
        <v>0</v>
      </c>
      <c r="N755" s="93">
        <f t="shared" si="304"/>
        <v>0</v>
      </c>
      <c r="O755" s="93">
        <f t="shared" si="302"/>
        <v>0</v>
      </c>
      <c r="P755" s="93">
        <f t="shared" si="303"/>
        <v>0</v>
      </c>
      <c r="Q755" s="568"/>
      <c r="R755" s="568"/>
      <c r="S755" s="568"/>
      <c r="T755" s="568"/>
      <c r="U755" s="568"/>
      <c r="V755" s="568"/>
      <c r="W755" s="568"/>
      <c r="X755" s="568"/>
      <c r="Y755" s="568"/>
      <c r="Z755" s="568"/>
    </row>
    <row r="756" spans="1:26" ht="18.75" hidden="1">
      <c r="A756" s="563"/>
      <c r="B756" s="571"/>
      <c r="C756" s="723"/>
      <c r="D756" s="684"/>
      <c r="E756" s="723" t="s">
        <v>185</v>
      </c>
      <c r="F756" s="723"/>
      <c r="G756" s="567"/>
      <c r="H756" s="165" t="s">
        <v>12</v>
      </c>
      <c r="I756" s="583"/>
      <c r="J756" s="583"/>
      <c r="K756" s="93"/>
      <c r="L756" s="93">
        <f t="shared" si="304"/>
        <v>0</v>
      </c>
      <c r="M756" s="93">
        <f t="shared" si="304"/>
        <v>0</v>
      </c>
      <c r="N756" s="93">
        <f t="shared" si="304"/>
        <v>0</v>
      </c>
      <c r="O756" s="93">
        <f t="shared" si="302"/>
        <v>0</v>
      </c>
      <c r="P756" s="93">
        <f t="shared" si="303"/>
        <v>0</v>
      </c>
      <c r="Q756" s="568"/>
      <c r="R756" s="568"/>
      <c r="S756" s="568"/>
      <c r="T756" s="568"/>
      <c r="U756" s="568"/>
      <c r="V756" s="568"/>
      <c r="W756" s="568"/>
      <c r="X756" s="568"/>
      <c r="Y756" s="568"/>
      <c r="Z756" s="568"/>
    </row>
    <row r="757" spans="1:26" ht="19.5" hidden="1">
      <c r="A757" s="563"/>
      <c r="B757" s="571"/>
      <c r="C757" s="723"/>
      <c r="D757" s="611" t="s">
        <v>20</v>
      </c>
      <c r="E757" s="723"/>
      <c r="F757" s="723"/>
      <c r="G757" s="567"/>
      <c r="H757" s="612" t="s">
        <v>12</v>
      </c>
      <c r="I757" s="166"/>
      <c r="J757" s="166"/>
      <c r="K757" s="167"/>
      <c r="L757" s="613">
        <f t="shared" ref="L757:N757" si="305">L758+L759</f>
        <v>0</v>
      </c>
      <c r="M757" s="613">
        <f t="shared" si="305"/>
        <v>0</v>
      </c>
      <c r="N757" s="613">
        <f t="shared" si="305"/>
        <v>0</v>
      </c>
      <c r="O757" s="613">
        <f t="shared" si="302"/>
        <v>0</v>
      </c>
      <c r="P757" s="613">
        <f t="shared" si="303"/>
        <v>0</v>
      </c>
      <c r="Q757" s="568"/>
      <c r="R757" s="568"/>
      <c r="S757" s="568"/>
      <c r="T757" s="568"/>
      <c r="U757" s="568"/>
      <c r="V757" s="568"/>
      <c r="W757" s="568"/>
      <c r="X757" s="568"/>
      <c r="Y757" s="568"/>
      <c r="Z757" s="568"/>
    </row>
    <row r="758" spans="1:26" ht="18.75" hidden="1">
      <c r="A758" s="563"/>
      <c r="B758" s="571"/>
      <c r="C758" s="723"/>
      <c r="D758" s="684"/>
      <c r="E758" s="723" t="s">
        <v>184</v>
      </c>
      <c r="F758" s="723"/>
      <c r="G758" s="567"/>
      <c r="H758" s="165" t="s">
        <v>12</v>
      </c>
      <c r="I758" s="583"/>
      <c r="J758" s="583"/>
      <c r="K758" s="93"/>
      <c r="L758" s="93">
        <v>0</v>
      </c>
      <c r="M758" s="93">
        <v>0</v>
      </c>
      <c r="N758" s="93">
        <v>0</v>
      </c>
      <c r="O758" s="93">
        <f t="shared" si="302"/>
        <v>0</v>
      </c>
      <c r="P758" s="93">
        <f t="shared" si="303"/>
        <v>0</v>
      </c>
      <c r="Q758" s="568"/>
      <c r="R758" s="568"/>
      <c r="S758" s="568"/>
      <c r="T758" s="568"/>
      <c r="U758" s="568"/>
      <c r="V758" s="568"/>
      <c r="W758" s="568"/>
      <c r="X758" s="568"/>
      <c r="Y758" s="568"/>
      <c r="Z758" s="568"/>
    </row>
    <row r="759" spans="1:26" ht="18.75" hidden="1">
      <c r="A759" s="563"/>
      <c r="B759" s="571"/>
      <c r="C759" s="723"/>
      <c r="D759" s="684"/>
      <c r="E759" s="723" t="s">
        <v>185</v>
      </c>
      <c r="F759" s="723"/>
      <c r="G759" s="567"/>
      <c r="H759" s="165" t="s">
        <v>12</v>
      </c>
      <c r="I759" s="583"/>
      <c r="J759" s="583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2"/>
        <v>0</v>
      </c>
      <c r="P759" s="93">
        <f t="shared" si="303"/>
        <v>0</v>
      </c>
      <c r="Q759" s="568"/>
      <c r="R759" s="568"/>
      <c r="S759" s="568"/>
      <c r="T759" s="568"/>
      <c r="U759" s="568"/>
      <c r="V759" s="568"/>
      <c r="W759" s="568"/>
      <c r="X759" s="568"/>
      <c r="Y759" s="568"/>
      <c r="Z759" s="568"/>
    </row>
    <row r="760" spans="1:26" ht="18.75" hidden="1">
      <c r="A760" s="615"/>
      <c r="B760" s="571"/>
      <c r="C760" s="723"/>
      <c r="D760" s="723"/>
      <c r="E760" s="723"/>
      <c r="F760" s="723" t="s">
        <v>186</v>
      </c>
      <c r="G760" s="567"/>
      <c r="H760" s="165" t="s">
        <v>12</v>
      </c>
      <c r="I760" s="583"/>
      <c r="J760" s="583"/>
      <c r="K760" s="93"/>
      <c r="L760" s="93"/>
      <c r="M760" s="93"/>
      <c r="N760" s="93"/>
      <c r="O760" s="93"/>
      <c r="P760" s="93"/>
      <c r="Q760" s="568"/>
      <c r="R760" s="568"/>
      <c r="S760" s="568"/>
      <c r="T760" s="568"/>
      <c r="U760" s="568"/>
      <c r="V760" s="568"/>
      <c r="W760" s="568"/>
      <c r="X760" s="568"/>
      <c r="Y760" s="568"/>
      <c r="Z760" s="568"/>
    </row>
    <row r="761" spans="1:26" ht="18.75" hidden="1">
      <c r="A761" s="615"/>
      <c r="B761" s="571"/>
      <c r="C761" s="723"/>
      <c r="D761" s="723"/>
      <c r="E761" s="723"/>
      <c r="F761" s="723" t="s">
        <v>187</v>
      </c>
      <c r="G761" s="567"/>
      <c r="H761" s="165" t="s">
        <v>12</v>
      </c>
      <c r="I761" s="583"/>
      <c r="J761" s="583"/>
      <c r="K761" s="93"/>
      <c r="L761" s="93"/>
      <c r="M761" s="93"/>
      <c r="N761" s="93"/>
      <c r="O761" s="93"/>
      <c r="P761" s="93"/>
      <c r="Q761" s="568"/>
      <c r="R761" s="568"/>
      <c r="S761" s="568"/>
      <c r="T761" s="568"/>
      <c r="U761" s="568"/>
      <c r="V761" s="568"/>
      <c r="W761" s="568"/>
      <c r="X761" s="568"/>
      <c r="Y761" s="568"/>
      <c r="Z761" s="568"/>
    </row>
    <row r="762" spans="1:26" ht="18.75" hidden="1">
      <c r="A762" s="615"/>
      <c r="B762" s="571"/>
      <c r="C762" s="723"/>
      <c r="D762" s="723"/>
      <c r="E762" s="723"/>
      <c r="F762" s="723" t="s">
        <v>188</v>
      </c>
      <c r="G762" s="567"/>
      <c r="H762" s="165" t="s">
        <v>12</v>
      </c>
      <c r="I762" s="583"/>
      <c r="J762" s="583"/>
      <c r="K762" s="93"/>
      <c r="L762" s="93"/>
      <c r="M762" s="93"/>
      <c r="N762" s="93"/>
      <c r="O762" s="93"/>
      <c r="P762" s="93"/>
      <c r="Q762" s="568"/>
      <c r="R762" s="568"/>
      <c r="S762" s="568"/>
      <c r="T762" s="568"/>
      <c r="U762" s="568"/>
      <c r="V762" s="568"/>
      <c r="W762" s="568"/>
      <c r="X762" s="568"/>
      <c r="Y762" s="568"/>
      <c r="Z762" s="568"/>
    </row>
    <row r="763" spans="1:26" ht="18.75" hidden="1">
      <c r="A763" s="615"/>
      <c r="B763" s="571"/>
      <c r="C763" s="723"/>
      <c r="D763" s="723"/>
      <c r="E763" s="723"/>
      <c r="F763" s="723" t="s">
        <v>189</v>
      </c>
      <c r="G763" s="567"/>
      <c r="H763" s="165" t="s">
        <v>12</v>
      </c>
      <c r="I763" s="583"/>
      <c r="J763" s="583"/>
      <c r="K763" s="93"/>
      <c r="L763" s="93"/>
      <c r="M763" s="93"/>
      <c r="N763" s="93"/>
      <c r="O763" s="93"/>
      <c r="P763" s="93"/>
      <c r="Q763" s="568"/>
      <c r="R763" s="568"/>
      <c r="S763" s="568"/>
      <c r="T763" s="568"/>
      <c r="U763" s="568"/>
      <c r="V763" s="568"/>
      <c r="W763" s="568"/>
      <c r="X763" s="568"/>
      <c r="Y763" s="568"/>
      <c r="Z763" s="568"/>
    </row>
    <row r="764" spans="1:26" ht="19.5" hidden="1">
      <c r="A764" s="563"/>
      <c r="B764" s="571"/>
      <c r="C764" s="723"/>
      <c r="D764" s="611" t="s">
        <v>21</v>
      </c>
      <c r="E764" s="723"/>
      <c r="F764" s="723"/>
      <c r="G764" s="567"/>
      <c r="H764" s="747" t="s">
        <v>12</v>
      </c>
      <c r="I764" s="166"/>
      <c r="J764" s="166"/>
      <c r="K764" s="167"/>
      <c r="L764" s="613">
        <f t="shared" ref="L764:N764" si="306">L765+L766</f>
        <v>0</v>
      </c>
      <c r="M764" s="613">
        <f t="shared" si="306"/>
        <v>0</v>
      </c>
      <c r="N764" s="613">
        <f t="shared" si="306"/>
        <v>0</v>
      </c>
      <c r="O764" s="613">
        <f t="shared" ref="O764:O766" si="307">IF(L764&gt;0,N764*100/L764,0)</f>
        <v>0</v>
      </c>
      <c r="P764" s="613">
        <f t="shared" ref="P764:P766" si="308">IF(M764&gt;0,N764*100/M764,0)</f>
        <v>0</v>
      </c>
      <c r="Q764" s="568"/>
      <c r="R764" s="568"/>
      <c r="S764" s="568"/>
      <c r="T764" s="568"/>
      <c r="U764" s="568"/>
      <c r="V764" s="568"/>
      <c r="W764" s="568"/>
      <c r="X764" s="568"/>
      <c r="Y764" s="568"/>
      <c r="Z764" s="568"/>
    </row>
    <row r="765" spans="1:26" ht="18.75" hidden="1">
      <c r="A765" s="563"/>
      <c r="B765" s="571"/>
      <c r="C765" s="723"/>
      <c r="D765" s="723"/>
      <c r="E765" s="723" t="s">
        <v>18</v>
      </c>
      <c r="F765" s="723"/>
      <c r="G765" s="567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7"/>
        <v>0</v>
      </c>
      <c r="P765" s="93">
        <f t="shared" si="308"/>
        <v>0</v>
      </c>
      <c r="Q765" s="568"/>
      <c r="R765" s="568"/>
      <c r="S765" s="568"/>
      <c r="T765" s="568"/>
      <c r="U765" s="568"/>
      <c r="V765" s="568"/>
      <c r="W765" s="568"/>
      <c r="X765" s="568"/>
      <c r="Y765" s="568"/>
      <c r="Z765" s="568"/>
    </row>
    <row r="766" spans="1:26" ht="18.75" hidden="1">
      <c r="A766" s="563"/>
      <c r="B766" s="571"/>
      <c r="C766" s="723"/>
      <c r="D766" s="723"/>
      <c r="E766" s="723" t="s">
        <v>19</v>
      </c>
      <c r="F766" s="723"/>
      <c r="G766" s="567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7"/>
        <v>0</v>
      </c>
      <c r="P766" s="93">
        <f t="shared" si="308"/>
        <v>0</v>
      </c>
      <c r="Q766" s="568"/>
      <c r="R766" s="568"/>
      <c r="S766" s="568"/>
      <c r="T766" s="568"/>
      <c r="U766" s="568"/>
      <c r="V766" s="568"/>
      <c r="W766" s="568"/>
      <c r="X766" s="568"/>
      <c r="Y766" s="568"/>
      <c r="Z766" s="568"/>
    </row>
    <row r="767" spans="1:26" ht="19.5" hidden="1">
      <c r="A767" s="578"/>
      <c r="B767" s="580"/>
      <c r="C767" s="723" t="s">
        <v>16</v>
      </c>
      <c r="D767" s="856" t="s">
        <v>38</v>
      </c>
      <c r="E767" s="617"/>
      <c r="F767" s="617"/>
      <c r="G767" s="618"/>
      <c r="H767" s="581"/>
      <c r="I767" s="166"/>
      <c r="J767" s="166"/>
      <c r="K767" s="167"/>
      <c r="L767" s="167"/>
      <c r="M767" s="167"/>
      <c r="N767" s="167"/>
      <c r="O767" s="167"/>
      <c r="P767" s="167"/>
      <c r="Q767" s="568"/>
      <c r="R767" s="568"/>
      <c r="S767" s="568"/>
      <c r="T767" s="568"/>
      <c r="U767" s="568"/>
      <c r="V767" s="568"/>
      <c r="W767" s="568"/>
      <c r="X767" s="568"/>
      <c r="Y767" s="568"/>
      <c r="Z767" s="568"/>
    </row>
    <row r="768" spans="1:26" ht="18.75" hidden="1">
      <c r="A768" s="615"/>
      <c r="B768" s="571"/>
      <c r="C768" s="723"/>
      <c r="D768" s="723"/>
      <c r="E768" s="723" t="s">
        <v>316</v>
      </c>
      <c r="F768" s="723"/>
      <c r="G768" s="567"/>
      <c r="H768" s="165" t="s">
        <v>46</v>
      </c>
      <c r="I768" s="583"/>
      <c r="J768" s="583"/>
      <c r="K768" s="93"/>
      <c r="L768" s="93"/>
      <c r="M768" s="93"/>
      <c r="N768" s="93"/>
      <c r="O768" s="93"/>
      <c r="P768" s="93"/>
      <c r="Q768" s="568"/>
      <c r="R768" s="568"/>
      <c r="S768" s="568"/>
      <c r="T768" s="568"/>
      <c r="U768" s="568"/>
      <c r="V768" s="568"/>
      <c r="W768" s="568"/>
      <c r="X768" s="568"/>
      <c r="Y768" s="568"/>
      <c r="Z768" s="568"/>
    </row>
    <row r="769" spans="1:26" ht="19.5" hidden="1">
      <c r="A769" s="757">
        <v>11</v>
      </c>
      <c r="B769" s="758" t="s">
        <v>317</v>
      </c>
      <c r="C769" s="759"/>
      <c r="D769" s="759"/>
      <c r="E769" s="759"/>
      <c r="F769" s="759"/>
      <c r="G769" s="760"/>
      <c r="H769" s="761" t="s">
        <v>46</v>
      </c>
      <c r="I769" s="762"/>
      <c r="J769" s="762">
        <f>J784</f>
        <v>0</v>
      </c>
      <c r="K769" s="763">
        <f>IF(I769&gt;0,J769*100/I769,0)</f>
        <v>0</v>
      </c>
      <c r="L769" s="764"/>
      <c r="M769" s="764"/>
      <c r="N769" s="764"/>
      <c r="O769" s="764"/>
      <c r="P769" s="764"/>
      <c r="Q769" s="568"/>
      <c r="R769" s="568"/>
      <c r="S769" s="568"/>
      <c r="T769" s="568"/>
      <c r="U769" s="568"/>
      <c r="V769" s="568"/>
      <c r="W769" s="568"/>
      <c r="X769" s="568"/>
      <c r="Y769" s="568"/>
      <c r="Z769" s="568"/>
    </row>
    <row r="770" spans="1:26" ht="19.5" hidden="1">
      <c r="A770" s="563"/>
      <c r="B770" s="723"/>
      <c r="C770" s="723" t="s">
        <v>16</v>
      </c>
      <c r="D770" s="812" t="s">
        <v>17</v>
      </c>
      <c r="E770" s="805"/>
      <c r="F770" s="805"/>
      <c r="G770" s="567"/>
      <c r="H770" s="612" t="s">
        <v>12</v>
      </c>
      <c r="I770" s="583"/>
      <c r="J770" s="583"/>
      <c r="K770" s="93"/>
      <c r="L770" s="613">
        <f t="shared" ref="L770:N770" si="309">L771+L772</f>
        <v>0</v>
      </c>
      <c r="M770" s="613">
        <f t="shared" si="309"/>
        <v>0</v>
      </c>
      <c r="N770" s="613">
        <f t="shared" si="309"/>
        <v>0</v>
      </c>
      <c r="O770" s="613">
        <f t="shared" ref="O770:O775" si="310">IF(L770&gt;0,N770*100/L770,0)</f>
        <v>0</v>
      </c>
      <c r="P770" s="613">
        <f t="shared" ref="P770:P775" si="311">IF(M770&gt;0,N770*100/M770,0)</f>
        <v>0</v>
      </c>
      <c r="Q770" s="568"/>
      <c r="R770" s="568"/>
      <c r="S770" s="568"/>
      <c r="T770" s="568"/>
      <c r="U770" s="568"/>
      <c r="V770" s="568"/>
      <c r="W770" s="568"/>
      <c r="X770" s="568"/>
      <c r="Y770" s="568"/>
      <c r="Z770" s="568"/>
    </row>
    <row r="771" spans="1:26" ht="18.75" hidden="1">
      <c r="A771" s="563"/>
      <c r="B771" s="723"/>
      <c r="C771" s="723"/>
      <c r="D771" s="684"/>
      <c r="E771" s="723" t="s">
        <v>184</v>
      </c>
      <c r="F771" s="723"/>
      <c r="G771" s="567"/>
      <c r="H771" s="165" t="s">
        <v>12</v>
      </c>
      <c r="I771" s="583"/>
      <c r="J771" s="583"/>
      <c r="K771" s="93"/>
      <c r="L771" s="93">
        <f t="shared" ref="L771:N772" si="312">L774+L781</f>
        <v>0</v>
      </c>
      <c r="M771" s="93">
        <f t="shared" si="312"/>
        <v>0</v>
      </c>
      <c r="N771" s="93">
        <f t="shared" si="312"/>
        <v>0</v>
      </c>
      <c r="O771" s="93">
        <f t="shared" si="310"/>
        <v>0</v>
      </c>
      <c r="P771" s="93">
        <f t="shared" si="311"/>
        <v>0</v>
      </c>
      <c r="Q771" s="568"/>
      <c r="R771" s="568"/>
      <c r="S771" s="568"/>
      <c r="T771" s="568"/>
      <c r="U771" s="568"/>
      <c r="V771" s="568"/>
      <c r="W771" s="568"/>
      <c r="X771" s="568"/>
      <c r="Y771" s="568"/>
      <c r="Z771" s="568"/>
    </row>
    <row r="772" spans="1:26" ht="18.75" hidden="1">
      <c r="A772" s="563"/>
      <c r="B772" s="571"/>
      <c r="C772" s="723"/>
      <c r="D772" s="684"/>
      <c r="E772" s="723" t="s">
        <v>185</v>
      </c>
      <c r="F772" s="723"/>
      <c r="G772" s="567"/>
      <c r="H772" s="165" t="s">
        <v>12</v>
      </c>
      <c r="I772" s="583"/>
      <c r="J772" s="583"/>
      <c r="K772" s="93"/>
      <c r="L772" s="93">
        <f t="shared" si="312"/>
        <v>0</v>
      </c>
      <c r="M772" s="93">
        <f t="shared" si="312"/>
        <v>0</v>
      </c>
      <c r="N772" s="93">
        <f t="shared" si="312"/>
        <v>0</v>
      </c>
      <c r="O772" s="93">
        <f t="shared" si="310"/>
        <v>0</v>
      </c>
      <c r="P772" s="93">
        <f t="shared" si="311"/>
        <v>0</v>
      </c>
      <c r="Q772" s="568"/>
      <c r="R772" s="568"/>
      <c r="S772" s="568"/>
      <c r="T772" s="568"/>
      <c r="U772" s="568"/>
      <c r="V772" s="568"/>
      <c r="W772" s="568"/>
      <c r="X772" s="568"/>
      <c r="Y772" s="568"/>
      <c r="Z772" s="568"/>
    </row>
    <row r="773" spans="1:26" ht="19.5" hidden="1">
      <c r="A773" s="563"/>
      <c r="B773" s="571"/>
      <c r="C773" s="723"/>
      <c r="D773" s="611" t="s">
        <v>20</v>
      </c>
      <c r="E773" s="723"/>
      <c r="F773" s="723"/>
      <c r="G773" s="567"/>
      <c r="H773" s="612" t="s">
        <v>12</v>
      </c>
      <c r="I773" s="166"/>
      <c r="J773" s="166"/>
      <c r="K773" s="167"/>
      <c r="L773" s="613">
        <f t="shared" ref="L773:N773" si="313">L774+L775</f>
        <v>0</v>
      </c>
      <c r="M773" s="613">
        <f t="shared" si="313"/>
        <v>0</v>
      </c>
      <c r="N773" s="613">
        <f t="shared" si="313"/>
        <v>0</v>
      </c>
      <c r="O773" s="613">
        <f t="shared" si="310"/>
        <v>0</v>
      </c>
      <c r="P773" s="613">
        <f t="shared" si="311"/>
        <v>0</v>
      </c>
      <c r="Q773" s="568"/>
      <c r="R773" s="568"/>
      <c r="S773" s="568"/>
      <c r="T773" s="568"/>
      <c r="U773" s="568"/>
      <c r="V773" s="568"/>
      <c r="W773" s="568"/>
      <c r="X773" s="568"/>
      <c r="Y773" s="568"/>
      <c r="Z773" s="568"/>
    </row>
    <row r="774" spans="1:26" ht="18.75" hidden="1">
      <c r="A774" s="563"/>
      <c r="B774" s="571"/>
      <c r="C774" s="723"/>
      <c r="D774" s="684"/>
      <c r="E774" s="723" t="s">
        <v>184</v>
      </c>
      <c r="F774" s="723"/>
      <c r="G774" s="567"/>
      <c r="H774" s="165" t="s">
        <v>12</v>
      </c>
      <c r="I774" s="583"/>
      <c r="J774" s="583"/>
      <c r="K774" s="93"/>
      <c r="L774" s="93">
        <v>0</v>
      </c>
      <c r="M774" s="93">
        <v>0</v>
      </c>
      <c r="N774" s="93">
        <v>0</v>
      </c>
      <c r="O774" s="93">
        <f t="shared" si="310"/>
        <v>0</v>
      </c>
      <c r="P774" s="93">
        <f t="shared" si="311"/>
        <v>0</v>
      </c>
      <c r="Q774" s="568"/>
      <c r="R774" s="568"/>
      <c r="S774" s="568"/>
      <c r="T774" s="568"/>
      <c r="U774" s="568"/>
      <c r="V774" s="568"/>
      <c r="W774" s="568"/>
      <c r="X774" s="568"/>
      <c r="Y774" s="568"/>
      <c r="Z774" s="568"/>
    </row>
    <row r="775" spans="1:26" ht="18.75" hidden="1">
      <c r="A775" s="563"/>
      <c r="B775" s="571"/>
      <c r="C775" s="723"/>
      <c r="D775" s="684"/>
      <c r="E775" s="723" t="s">
        <v>185</v>
      </c>
      <c r="F775" s="723"/>
      <c r="G775" s="567"/>
      <c r="H775" s="165" t="s">
        <v>12</v>
      </c>
      <c r="I775" s="583"/>
      <c r="J775" s="583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0"/>
        <v>0</v>
      </c>
      <c r="P775" s="93">
        <f t="shared" si="311"/>
        <v>0</v>
      </c>
      <c r="Q775" s="568"/>
      <c r="R775" s="568"/>
      <c r="S775" s="568"/>
      <c r="T775" s="568"/>
      <c r="U775" s="568"/>
      <c r="V775" s="568"/>
      <c r="W775" s="568"/>
      <c r="X775" s="568"/>
      <c r="Y775" s="568"/>
      <c r="Z775" s="568"/>
    </row>
    <row r="776" spans="1:26" ht="18.75" hidden="1">
      <c r="A776" s="615"/>
      <c r="B776" s="571"/>
      <c r="C776" s="723"/>
      <c r="D776" s="723"/>
      <c r="E776" s="723"/>
      <c r="F776" s="723" t="s">
        <v>186</v>
      </c>
      <c r="G776" s="567"/>
      <c r="H776" s="165" t="s">
        <v>12</v>
      </c>
      <c r="I776" s="583"/>
      <c r="J776" s="583"/>
      <c r="K776" s="93"/>
      <c r="L776" s="93"/>
      <c r="M776" s="93"/>
      <c r="N776" s="93"/>
      <c r="O776" s="93"/>
      <c r="P776" s="93"/>
      <c r="Q776" s="568"/>
      <c r="R776" s="568"/>
      <c r="S776" s="568"/>
      <c r="T776" s="568"/>
      <c r="U776" s="568"/>
      <c r="V776" s="568"/>
      <c r="W776" s="568"/>
      <c r="X776" s="568"/>
      <c r="Y776" s="568"/>
      <c r="Z776" s="568"/>
    </row>
    <row r="777" spans="1:26" ht="18.75" hidden="1">
      <c r="A777" s="615"/>
      <c r="B777" s="571"/>
      <c r="C777" s="723"/>
      <c r="D777" s="723"/>
      <c r="E777" s="723"/>
      <c r="F777" s="723" t="s">
        <v>187</v>
      </c>
      <c r="G777" s="567"/>
      <c r="H777" s="165" t="s">
        <v>12</v>
      </c>
      <c r="I777" s="583"/>
      <c r="J777" s="583"/>
      <c r="K777" s="93"/>
      <c r="L777" s="93"/>
      <c r="M777" s="93"/>
      <c r="N777" s="93"/>
      <c r="O777" s="93"/>
      <c r="P777" s="93"/>
      <c r="Q777" s="568"/>
      <c r="R777" s="568"/>
      <c r="S777" s="568"/>
      <c r="T777" s="568"/>
      <c r="U777" s="568"/>
      <c r="V777" s="568"/>
      <c r="W777" s="568"/>
      <c r="X777" s="568"/>
      <c r="Y777" s="568"/>
      <c r="Z777" s="568"/>
    </row>
    <row r="778" spans="1:26" ht="18.75" hidden="1">
      <c r="A778" s="615"/>
      <c r="B778" s="571"/>
      <c r="C778" s="723"/>
      <c r="D778" s="723"/>
      <c r="E778" s="723"/>
      <c r="F778" s="723" t="s">
        <v>188</v>
      </c>
      <c r="G778" s="567"/>
      <c r="H778" s="165" t="s">
        <v>12</v>
      </c>
      <c r="I778" s="583"/>
      <c r="J778" s="583"/>
      <c r="K778" s="93"/>
      <c r="L778" s="93"/>
      <c r="M778" s="93"/>
      <c r="N778" s="93"/>
      <c r="O778" s="93"/>
      <c r="P778" s="93"/>
      <c r="Q778" s="568"/>
      <c r="R778" s="568"/>
      <c r="S778" s="568"/>
      <c r="T778" s="568"/>
      <c r="U778" s="568"/>
      <c r="V778" s="568"/>
      <c r="W778" s="568"/>
      <c r="X778" s="568"/>
      <c r="Y778" s="568"/>
      <c r="Z778" s="568"/>
    </row>
    <row r="779" spans="1:26" ht="18.75" hidden="1">
      <c r="A779" s="615"/>
      <c r="B779" s="571"/>
      <c r="C779" s="723"/>
      <c r="D779" s="723"/>
      <c r="E779" s="723"/>
      <c r="F779" s="723" t="s">
        <v>189</v>
      </c>
      <c r="G779" s="567"/>
      <c r="H779" s="165" t="s">
        <v>12</v>
      </c>
      <c r="I779" s="583"/>
      <c r="J779" s="583"/>
      <c r="K779" s="93"/>
      <c r="L779" s="93"/>
      <c r="M779" s="93"/>
      <c r="N779" s="93"/>
      <c r="O779" s="93"/>
      <c r="P779" s="93"/>
      <c r="Q779" s="568"/>
      <c r="R779" s="568"/>
      <c r="S779" s="568"/>
      <c r="T779" s="568"/>
      <c r="U779" s="568"/>
      <c r="V779" s="568"/>
      <c r="W779" s="568"/>
      <c r="X779" s="568"/>
      <c r="Y779" s="568"/>
      <c r="Z779" s="568"/>
    </row>
    <row r="780" spans="1:26" ht="19.5" hidden="1">
      <c r="A780" s="563"/>
      <c r="B780" s="571"/>
      <c r="C780" s="723"/>
      <c r="D780" s="611" t="s">
        <v>21</v>
      </c>
      <c r="E780" s="723"/>
      <c r="F780" s="723"/>
      <c r="G780" s="567"/>
      <c r="H780" s="747" t="s">
        <v>12</v>
      </c>
      <c r="I780" s="166"/>
      <c r="J780" s="166"/>
      <c r="K780" s="167"/>
      <c r="L780" s="613">
        <f t="shared" ref="L780:N780" si="314">L781+L782</f>
        <v>0</v>
      </c>
      <c r="M780" s="613">
        <f t="shared" si="314"/>
        <v>0</v>
      </c>
      <c r="N780" s="613">
        <f t="shared" si="314"/>
        <v>0</v>
      </c>
      <c r="O780" s="613">
        <f t="shared" ref="O780:O782" si="315">IF(L780&gt;0,N780*100/L780,0)</f>
        <v>0</v>
      </c>
      <c r="P780" s="613">
        <f t="shared" ref="P780:P782" si="316">IF(M780&gt;0,N780*100/M780,0)</f>
        <v>0</v>
      </c>
      <c r="Q780" s="568"/>
      <c r="R780" s="568"/>
      <c r="S780" s="568"/>
      <c r="T780" s="568"/>
      <c r="U780" s="568"/>
      <c r="V780" s="568"/>
      <c r="W780" s="568"/>
      <c r="X780" s="568"/>
      <c r="Y780" s="568"/>
      <c r="Z780" s="568"/>
    </row>
    <row r="781" spans="1:26" ht="18.75" hidden="1">
      <c r="A781" s="563"/>
      <c r="B781" s="571"/>
      <c r="C781" s="723"/>
      <c r="D781" s="723"/>
      <c r="E781" s="723" t="s">
        <v>18</v>
      </c>
      <c r="F781" s="723"/>
      <c r="G781" s="567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5"/>
        <v>0</v>
      </c>
      <c r="P781" s="93">
        <f t="shared" si="316"/>
        <v>0</v>
      </c>
      <c r="Q781" s="568"/>
      <c r="R781" s="568"/>
      <c r="S781" s="568"/>
      <c r="T781" s="568"/>
      <c r="U781" s="568"/>
      <c r="V781" s="568"/>
      <c r="W781" s="568"/>
      <c r="X781" s="568"/>
      <c r="Y781" s="568"/>
      <c r="Z781" s="568"/>
    </row>
    <row r="782" spans="1:26" ht="18.75" hidden="1">
      <c r="A782" s="563"/>
      <c r="B782" s="571"/>
      <c r="C782" s="723"/>
      <c r="D782" s="723"/>
      <c r="E782" s="723" t="s">
        <v>19</v>
      </c>
      <c r="F782" s="723"/>
      <c r="G782" s="567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5"/>
        <v>0</v>
      </c>
      <c r="P782" s="93">
        <f t="shared" si="316"/>
        <v>0</v>
      </c>
      <c r="Q782" s="568"/>
      <c r="R782" s="568"/>
      <c r="S782" s="568"/>
      <c r="T782" s="568"/>
      <c r="U782" s="568"/>
      <c r="V782" s="568"/>
      <c r="W782" s="568"/>
      <c r="X782" s="568"/>
      <c r="Y782" s="568"/>
      <c r="Z782" s="568"/>
    </row>
    <row r="783" spans="1:26" ht="19.5" hidden="1">
      <c r="A783" s="578"/>
      <c r="B783" s="580"/>
      <c r="C783" s="723" t="s">
        <v>16</v>
      </c>
      <c r="D783" s="856" t="s">
        <v>38</v>
      </c>
      <c r="E783" s="617"/>
      <c r="F783" s="617"/>
      <c r="G783" s="618"/>
      <c r="H783" s="765"/>
      <c r="I783" s="166"/>
      <c r="J783" s="166"/>
      <c r="K783" s="167"/>
      <c r="L783" s="167"/>
      <c r="M783" s="167"/>
      <c r="N783" s="167"/>
      <c r="O783" s="167"/>
      <c r="P783" s="167"/>
      <c r="Q783" s="568"/>
      <c r="R783" s="568"/>
      <c r="S783" s="568"/>
      <c r="T783" s="568"/>
      <c r="U783" s="568"/>
      <c r="V783" s="568"/>
      <c r="W783" s="568"/>
      <c r="X783" s="568"/>
      <c r="Y783" s="568"/>
      <c r="Z783" s="568"/>
    </row>
    <row r="784" spans="1:26" ht="18.75" hidden="1">
      <c r="A784" s="615"/>
      <c r="B784" s="571"/>
      <c r="C784" s="723"/>
      <c r="D784" s="723"/>
      <c r="E784" s="723" t="s">
        <v>318</v>
      </c>
      <c r="F784" s="723"/>
      <c r="G784" s="567"/>
      <c r="H784" s="165" t="s">
        <v>46</v>
      </c>
      <c r="I784" s="583"/>
      <c r="J784" s="583"/>
      <c r="K784" s="93"/>
      <c r="L784" s="93"/>
      <c r="M784" s="93"/>
      <c r="N784" s="93"/>
      <c r="O784" s="93"/>
      <c r="P784" s="93"/>
      <c r="Q784" s="568"/>
      <c r="R784" s="568"/>
      <c r="S784" s="568"/>
      <c r="T784" s="568"/>
      <c r="U784" s="568"/>
      <c r="V784" s="568"/>
      <c r="W784" s="568"/>
      <c r="X784" s="568"/>
      <c r="Y784" s="568"/>
      <c r="Z784" s="568"/>
    </row>
    <row r="785" spans="1:26" ht="19.5">
      <c r="A785" s="766">
        <v>12</v>
      </c>
      <c r="B785" s="767" t="s">
        <v>319</v>
      </c>
      <c r="C785" s="768"/>
      <c r="D785" s="768"/>
      <c r="E785" s="768"/>
      <c r="F785" s="768"/>
      <c r="G785" s="769"/>
      <c r="H785" s="770" t="s">
        <v>46</v>
      </c>
      <c r="I785" s="771">
        <f t="shared" ref="I785:J785" ca="1" si="317">I800</f>
        <v>2000</v>
      </c>
      <c r="J785" s="771">
        <f t="shared" ca="1" si="317"/>
        <v>0</v>
      </c>
      <c r="K785" s="772">
        <f ca="1">IF(I785&gt;0,J785*100/I785,0)</f>
        <v>0</v>
      </c>
      <c r="L785" s="773"/>
      <c r="M785" s="773"/>
      <c r="N785" s="773"/>
      <c r="O785" s="773"/>
      <c r="P785" s="773"/>
      <c r="Q785" s="541"/>
      <c r="R785" s="541"/>
      <c r="S785" s="541"/>
      <c r="T785" s="541"/>
      <c r="U785" s="541"/>
      <c r="V785" s="541"/>
      <c r="W785" s="541"/>
      <c r="X785" s="541"/>
      <c r="Y785" s="541"/>
      <c r="Z785" s="541"/>
    </row>
    <row r="786" spans="1:26" ht="19.5">
      <c r="A786" s="561"/>
      <c r="B786" s="538"/>
      <c r="C786" s="727" t="s">
        <v>16</v>
      </c>
      <c r="D786" s="811" t="s">
        <v>17</v>
      </c>
      <c r="E786" s="805"/>
      <c r="F786" s="805"/>
      <c r="G786" s="189"/>
      <c r="H786" s="562" t="s">
        <v>12</v>
      </c>
      <c r="I786" s="269"/>
      <c r="J786" s="269"/>
      <c r="K786" s="465"/>
      <c r="L786" s="195">
        <f t="shared" ref="L786:N786" ca="1" si="318">L787+L788</f>
        <v>137280</v>
      </c>
      <c r="M786" s="195">
        <f t="shared" si="318"/>
        <v>0</v>
      </c>
      <c r="N786" s="195">
        <f t="shared" si="318"/>
        <v>0</v>
      </c>
      <c r="O786" s="195">
        <f t="shared" ref="O786:O791" ca="1" si="319">IF(L786&gt;0,N786*100/L786,0)</f>
        <v>0</v>
      </c>
      <c r="P786" s="195">
        <f t="shared" ref="P786:P791" si="320">IF(M786&gt;0,N786*100/M786,0)</f>
        <v>0</v>
      </c>
      <c r="Q786" s="541"/>
      <c r="R786" s="541"/>
      <c r="S786" s="541"/>
      <c r="T786" s="541"/>
      <c r="U786" s="541"/>
      <c r="V786" s="541"/>
      <c r="W786" s="541"/>
      <c r="X786" s="541"/>
      <c r="Y786" s="541"/>
      <c r="Z786" s="541"/>
    </row>
    <row r="787" spans="1:26" ht="18.75" hidden="1">
      <c r="A787" s="563"/>
      <c r="B787" s="571"/>
      <c r="C787" s="723"/>
      <c r="D787" s="684"/>
      <c r="E787" s="723" t="s">
        <v>184</v>
      </c>
      <c r="F787" s="723"/>
      <c r="G787" s="567"/>
      <c r="H787" s="165" t="s">
        <v>12</v>
      </c>
      <c r="I787" s="583"/>
      <c r="J787" s="583"/>
      <c r="K787" s="93"/>
      <c r="L787" s="93">
        <f t="shared" ref="L787:N788" si="321">L790+L797</f>
        <v>0</v>
      </c>
      <c r="M787" s="93">
        <f t="shared" si="321"/>
        <v>0</v>
      </c>
      <c r="N787" s="93">
        <f t="shared" si="321"/>
        <v>0</v>
      </c>
      <c r="O787" s="93">
        <f t="shared" si="319"/>
        <v>0</v>
      </c>
      <c r="P787" s="93">
        <f t="shared" si="320"/>
        <v>0</v>
      </c>
      <c r="Q787" s="568"/>
      <c r="R787" s="568"/>
      <c r="S787" s="568"/>
      <c r="T787" s="568"/>
      <c r="U787" s="568"/>
      <c r="V787" s="568"/>
      <c r="W787" s="568"/>
      <c r="X787" s="568"/>
      <c r="Y787" s="568"/>
      <c r="Z787" s="568"/>
    </row>
    <row r="788" spans="1:26" ht="18.75" hidden="1">
      <c r="A788" s="563"/>
      <c r="B788" s="571"/>
      <c r="C788" s="571"/>
      <c r="D788" s="580"/>
      <c r="E788" s="723" t="s">
        <v>185</v>
      </c>
      <c r="F788" s="723"/>
      <c r="G788" s="567"/>
      <c r="H788" s="165" t="s">
        <v>12</v>
      </c>
      <c r="I788" s="583"/>
      <c r="J788" s="583"/>
      <c r="K788" s="93"/>
      <c r="L788" s="93">
        <f t="shared" ca="1" si="321"/>
        <v>137280</v>
      </c>
      <c r="M788" s="93">
        <f t="shared" si="321"/>
        <v>0</v>
      </c>
      <c r="N788" s="93">
        <f t="shared" si="321"/>
        <v>0</v>
      </c>
      <c r="O788" s="93">
        <f t="shared" ca="1" si="319"/>
        <v>0</v>
      </c>
      <c r="P788" s="93">
        <f t="shared" si="320"/>
        <v>0</v>
      </c>
      <c r="Q788" s="568"/>
      <c r="R788" s="568"/>
      <c r="S788" s="568"/>
      <c r="T788" s="568"/>
      <c r="U788" s="568"/>
      <c r="V788" s="568"/>
      <c r="W788" s="568"/>
      <c r="X788" s="568"/>
      <c r="Y788" s="568"/>
      <c r="Z788" s="568"/>
    </row>
    <row r="789" spans="1:26" ht="18.75">
      <c r="A789" s="561"/>
      <c r="B789" s="538"/>
      <c r="C789" s="538"/>
      <c r="D789" s="570" t="s">
        <v>20</v>
      </c>
      <c r="E789" s="727"/>
      <c r="F789" s="727"/>
      <c r="G789" s="189"/>
      <c r="H789" s="161" t="s">
        <v>12</v>
      </c>
      <c r="I789" s="184"/>
      <c r="J789" s="184"/>
      <c r="K789" s="163"/>
      <c r="L789" s="465">
        <f t="shared" ref="L789:N789" ca="1" si="322">L790+L791</f>
        <v>137280</v>
      </c>
      <c r="M789" s="465">
        <f t="shared" si="322"/>
        <v>0</v>
      </c>
      <c r="N789" s="465">
        <f t="shared" si="322"/>
        <v>0</v>
      </c>
      <c r="O789" s="465">
        <f t="shared" ca="1" si="319"/>
        <v>0</v>
      </c>
      <c r="P789" s="465">
        <f t="shared" si="320"/>
        <v>0</v>
      </c>
      <c r="Q789" s="541"/>
      <c r="R789" s="541"/>
      <c r="S789" s="541"/>
      <c r="T789" s="541"/>
      <c r="U789" s="541"/>
      <c r="V789" s="541"/>
      <c r="W789" s="541"/>
      <c r="X789" s="541"/>
      <c r="Y789" s="541"/>
      <c r="Z789" s="541"/>
    </row>
    <row r="790" spans="1:26" ht="18.75" hidden="1">
      <c r="A790" s="563"/>
      <c r="B790" s="571"/>
      <c r="C790" s="571"/>
      <c r="D790" s="580"/>
      <c r="E790" s="723" t="s">
        <v>184</v>
      </c>
      <c r="F790" s="723"/>
      <c r="G790" s="567"/>
      <c r="H790" s="165" t="s">
        <v>12</v>
      </c>
      <c r="I790" s="583"/>
      <c r="J790" s="583"/>
      <c r="K790" s="93"/>
      <c r="L790" s="93">
        <v>0</v>
      </c>
      <c r="M790" s="93">
        <v>0</v>
      </c>
      <c r="N790" s="93">
        <v>0</v>
      </c>
      <c r="O790" s="93">
        <f t="shared" si="319"/>
        <v>0</v>
      </c>
      <c r="P790" s="93">
        <f t="shared" si="320"/>
        <v>0</v>
      </c>
      <c r="Q790" s="568"/>
      <c r="R790" s="568"/>
      <c r="S790" s="568"/>
      <c r="T790" s="568"/>
      <c r="U790" s="568"/>
      <c r="V790" s="568"/>
      <c r="W790" s="568"/>
      <c r="X790" s="568"/>
      <c r="Y790" s="568"/>
      <c r="Z790" s="568"/>
    </row>
    <row r="791" spans="1:26" ht="18.75" hidden="1">
      <c r="A791" s="563"/>
      <c r="B791" s="571"/>
      <c r="C791" s="571"/>
      <c r="D791" s="580"/>
      <c r="E791" s="723" t="s">
        <v>185</v>
      </c>
      <c r="F791" s="723"/>
      <c r="G791" s="567"/>
      <c r="H791" s="165" t="s">
        <v>12</v>
      </c>
      <c r="I791" s="583"/>
      <c r="J791" s="583"/>
      <c r="K791" s="93"/>
      <c r="L791" s="93">
        <f ca="1">IFERROR(__xludf.DUMMYFUNCTION("IMPORTRANGE(""https://docs.google.com/spreadsheets/d/1QqKyyYR6Q21VydFLVH3TRQUabQu_ym0Zz7PgGX0-kHA/edit?usp=sharing"",""แผน!JJ21"")"),137280)</f>
        <v>137280</v>
      </c>
      <c r="M791" s="93">
        <v>0</v>
      </c>
      <c r="N791" s="93">
        <f>N792+N793+N794+N795</f>
        <v>0</v>
      </c>
      <c r="O791" s="93">
        <f t="shared" ca="1" si="319"/>
        <v>0</v>
      </c>
      <c r="P791" s="93">
        <f t="shared" si="320"/>
        <v>0</v>
      </c>
      <c r="Q791" s="568"/>
      <c r="R791" s="568"/>
      <c r="S791" s="568"/>
      <c r="T791" s="568"/>
      <c r="U791" s="568"/>
      <c r="V791" s="568"/>
      <c r="W791" s="568"/>
      <c r="X791" s="568"/>
      <c r="Y791" s="568"/>
      <c r="Z791" s="568"/>
    </row>
    <row r="792" spans="1:26" ht="18.75">
      <c r="A792" s="537"/>
      <c r="B792" s="538"/>
      <c r="C792" s="727"/>
      <c r="D792" s="727"/>
      <c r="E792" s="727"/>
      <c r="F792" s="727" t="s">
        <v>186</v>
      </c>
      <c r="G792" s="189"/>
      <c r="H792" s="161" t="s">
        <v>12</v>
      </c>
      <c r="I792" s="269"/>
      <c r="J792" s="269"/>
      <c r="K792" s="465"/>
      <c r="L792" s="465"/>
      <c r="M792" s="465"/>
      <c r="N792" s="789">
        <v>0</v>
      </c>
      <c r="O792" s="465"/>
      <c r="P792" s="465"/>
      <c r="Q792" s="541"/>
      <c r="R792" s="541"/>
      <c r="S792" s="541"/>
      <c r="T792" s="541"/>
      <c r="U792" s="541"/>
      <c r="V792" s="541"/>
      <c r="W792" s="541"/>
      <c r="X792" s="541"/>
      <c r="Y792" s="541"/>
      <c r="Z792" s="541"/>
    </row>
    <row r="793" spans="1:26" ht="18.75">
      <c r="A793" s="537"/>
      <c r="B793" s="538"/>
      <c r="C793" s="727"/>
      <c r="D793" s="727"/>
      <c r="E793" s="727"/>
      <c r="F793" s="727" t="s">
        <v>187</v>
      </c>
      <c r="G793" s="189"/>
      <c r="H793" s="161" t="s">
        <v>12</v>
      </c>
      <c r="I793" s="269"/>
      <c r="J793" s="269"/>
      <c r="K793" s="465"/>
      <c r="L793" s="465"/>
      <c r="M793" s="465"/>
      <c r="N793" s="789">
        <v>0</v>
      </c>
      <c r="O793" s="465"/>
      <c r="P793" s="465"/>
      <c r="Q793" s="541"/>
      <c r="R793" s="541"/>
      <c r="S793" s="541"/>
      <c r="T793" s="541"/>
      <c r="U793" s="541"/>
      <c r="V793" s="541"/>
      <c r="W793" s="541"/>
      <c r="X793" s="541"/>
      <c r="Y793" s="541"/>
      <c r="Z793" s="541"/>
    </row>
    <row r="794" spans="1:26" ht="18.75">
      <c r="A794" s="537"/>
      <c r="B794" s="538"/>
      <c r="C794" s="727"/>
      <c r="D794" s="727"/>
      <c r="E794" s="727"/>
      <c r="F794" s="727" t="s">
        <v>188</v>
      </c>
      <c r="G794" s="189"/>
      <c r="H794" s="161" t="s">
        <v>12</v>
      </c>
      <c r="I794" s="269"/>
      <c r="J794" s="269"/>
      <c r="K794" s="465"/>
      <c r="L794" s="465"/>
      <c r="M794" s="465"/>
      <c r="N794" s="789">
        <v>0</v>
      </c>
      <c r="O794" s="465"/>
      <c r="P794" s="465"/>
      <c r="Q794" s="541"/>
      <c r="R794" s="541"/>
      <c r="S794" s="541"/>
      <c r="T794" s="541"/>
      <c r="U794" s="541"/>
      <c r="V794" s="541"/>
      <c r="W794" s="541"/>
      <c r="X794" s="541"/>
      <c r="Y794" s="541"/>
      <c r="Z794" s="541"/>
    </row>
    <row r="795" spans="1:26" ht="18.75">
      <c r="A795" s="537"/>
      <c r="B795" s="538"/>
      <c r="C795" s="727"/>
      <c r="D795" s="727"/>
      <c r="E795" s="727"/>
      <c r="F795" s="727" t="s">
        <v>189</v>
      </c>
      <c r="G795" s="189"/>
      <c r="H795" s="161" t="s">
        <v>12</v>
      </c>
      <c r="I795" s="269"/>
      <c r="J795" s="269"/>
      <c r="K795" s="465"/>
      <c r="L795" s="465"/>
      <c r="M795" s="465"/>
      <c r="N795" s="789">
        <v>0</v>
      </c>
      <c r="O795" s="465"/>
      <c r="P795" s="465"/>
      <c r="Q795" s="541"/>
      <c r="R795" s="541"/>
      <c r="S795" s="541"/>
      <c r="T795" s="541"/>
      <c r="U795" s="541"/>
      <c r="V795" s="541"/>
      <c r="W795" s="541"/>
      <c r="X795" s="541"/>
      <c r="Y795" s="541"/>
      <c r="Z795" s="541"/>
    </row>
    <row r="796" spans="1:26" ht="18.75">
      <c r="A796" s="561"/>
      <c r="B796" s="538"/>
      <c r="C796" s="727"/>
      <c r="D796" s="570" t="s">
        <v>21</v>
      </c>
      <c r="E796" s="727"/>
      <c r="F796" s="727"/>
      <c r="G796" s="189"/>
      <c r="H796" s="168" t="s">
        <v>12</v>
      </c>
      <c r="I796" s="184"/>
      <c r="J796" s="184"/>
      <c r="K796" s="163"/>
      <c r="L796" s="465">
        <f t="shared" ref="L796:N796" si="323">L797+L798</f>
        <v>0</v>
      </c>
      <c r="M796" s="465">
        <f t="shared" si="323"/>
        <v>0</v>
      </c>
      <c r="N796" s="465">
        <f t="shared" si="323"/>
        <v>0</v>
      </c>
      <c r="O796" s="465">
        <f t="shared" ref="O796:O798" si="324">IF(L796&gt;0,N796*100/L796,0)</f>
        <v>0</v>
      </c>
      <c r="P796" s="465">
        <f t="shared" ref="P796:P798" si="325">IF(M796&gt;0,N796*100/M796,0)</f>
        <v>0</v>
      </c>
      <c r="Q796" s="541"/>
      <c r="R796" s="541"/>
      <c r="S796" s="541"/>
      <c r="T796" s="541"/>
      <c r="U796" s="541"/>
      <c r="V796" s="541"/>
      <c r="W796" s="541"/>
      <c r="X796" s="541"/>
      <c r="Y796" s="541"/>
      <c r="Z796" s="541"/>
    </row>
    <row r="797" spans="1:26" ht="18.75" hidden="1">
      <c r="A797" s="563"/>
      <c r="B797" s="571"/>
      <c r="C797" s="723"/>
      <c r="D797" s="723"/>
      <c r="E797" s="723" t="s">
        <v>18</v>
      </c>
      <c r="F797" s="723"/>
      <c r="G797" s="567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4"/>
        <v>0</v>
      </c>
      <c r="P797" s="93">
        <f t="shared" si="325"/>
        <v>0</v>
      </c>
      <c r="Q797" s="568"/>
      <c r="R797" s="568"/>
      <c r="S797" s="568"/>
      <c r="T797" s="568"/>
      <c r="U797" s="568"/>
      <c r="V797" s="568"/>
      <c r="W797" s="568"/>
      <c r="X797" s="568"/>
      <c r="Y797" s="568"/>
      <c r="Z797" s="568"/>
    </row>
    <row r="798" spans="1:26" ht="18.75" hidden="1">
      <c r="A798" s="563"/>
      <c r="B798" s="571"/>
      <c r="C798" s="723"/>
      <c r="D798" s="723"/>
      <c r="E798" s="723" t="s">
        <v>19</v>
      </c>
      <c r="F798" s="723"/>
      <c r="G798" s="567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4"/>
        <v>0</v>
      </c>
      <c r="P798" s="93">
        <f t="shared" si="325"/>
        <v>0</v>
      </c>
      <c r="Q798" s="568"/>
      <c r="R798" s="568"/>
      <c r="S798" s="568"/>
      <c r="T798" s="568"/>
      <c r="U798" s="568"/>
      <c r="V798" s="568"/>
      <c r="W798" s="568"/>
      <c r="X798" s="568"/>
      <c r="Y798" s="568"/>
      <c r="Z798" s="568"/>
    </row>
    <row r="799" spans="1:26" ht="19.5">
      <c r="A799" s="572"/>
      <c r="B799" s="584"/>
      <c r="C799" s="727" t="s">
        <v>16</v>
      </c>
      <c r="D799" s="855" t="s">
        <v>38</v>
      </c>
      <c r="E799" s="725"/>
      <c r="F799" s="725"/>
      <c r="G799" s="577"/>
      <c r="H799" s="774"/>
      <c r="I799" s="184"/>
      <c r="J799" s="184"/>
      <c r="K799" s="163"/>
      <c r="L799" s="163"/>
      <c r="M799" s="163"/>
      <c r="N799" s="163"/>
      <c r="O799" s="163"/>
      <c r="P799" s="163"/>
      <c r="Q799" s="541"/>
      <c r="R799" s="541"/>
      <c r="S799" s="541"/>
      <c r="T799" s="541"/>
      <c r="U799" s="541"/>
      <c r="V799" s="541"/>
      <c r="W799" s="541"/>
      <c r="X799" s="541"/>
      <c r="Y799" s="541"/>
      <c r="Z799" s="541"/>
    </row>
    <row r="800" spans="1:26" ht="18.75">
      <c r="A800" s="572"/>
      <c r="B800" s="584"/>
      <c r="C800" s="584"/>
      <c r="D800" s="584"/>
      <c r="E800" s="592"/>
      <c r="F800" s="592" t="s">
        <v>320</v>
      </c>
      <c r="G800" s="726"/>
      <c r="H800" s="185" t="s">
        <v>46</v>
      </c>
      <c r="I800" s="184">
        <f ca="1">IFERROR(__xludf.DUMMYFUNCTION("IMPORTRANGE(""https://docs.google.com/spreadsheets/d/1QqKyyYR6Q21VydFLVH3TRQUabQu_ym0Zz7PgGX0-kHA/edit?usp=sharing"",""แผน!JN21"")"),2000)</f>
        <v>2000</v>
      </c>
      <c r="J800" s="184">
        <f ca="1">IFERROR(__xludf.DUMMYFUNCTION("IMPORTRANGE(""https://docs.google.com/spreadsheets/d/1MaWodYyGHDf7siQLGxnXhG4mBNTNIuy296niS2xXulU/edit?usp=sharing"",""RTK!H21"")"),0)</f>
        <v>0</v>
      </c>
      <c r="K800" s="465">
        <f ca="1">IF(I800&gt;0,J800*100/I800,0)</f>
        <v>0</v>
      </c>
      <c r="L800" s="465"/>
      <c r="M800" s="465"/>
      <c r="N800" s="465"/>
      <c r="O800" s="163"/>
      <c r="P800" s="163"/>
      <c r="Q800" s="541"/>
      <c r="R800" s="541"/>
      <c r="S800" s="541"/>
      <c r="T800" s="541"/>
      <c r="U800" s="541"/>
      <c r="V800" s="541"/>
      <c r="W800" s="541"/>
      <c r="X800" s="541"/>
      <c r="Y800" s="541"/>
      <c r="Z800" s="541"/>
    </row>
    <row r="801" spans="1:26" ht="18.75">
      <c r="A801" s="572"/>
      <c r="B801" s="584"/>
      <c r="C801" s="584"/>
      <c r="D801" s="584"/>
      <c r="E801" s="592"/>
      <c r="F801" s="592"/>
      <c r="G801" s="726"/>
      <c r="H801" s="161" t="s">
        <v>34</v>
      </c>
      <c r="I801" s="184"/>
      <c r="J801" s="269">
        <f ca="1">IFERROR(__xludf.DUMMYFUNCTION("IMPORTRANGE(""https://docs.google.com/spreadsheets/d/1MaWodYyGHDf7siQLGxnXhG4mBNTNIuy296niS2xXulU/edit?usp=sharing"",""RTK!I21"")"),0)</f>
        <v>0</v>
      </c>
      <c r="K801" s="465"/>
      <c r="L801" s="465"/>
      <c r="M801" s="465"/>
      <c r="N801" s="465"/>
      <c r="O801" s="163"/>
      <c r="P801" s="163"/>
      <c r="Q801" s="541"/>
      <c r="R801" s="541"/>
      <c r="S801" s="541"/>
      <c r="T801" s="541"/>
      <c r="U801" s="541"/>
      <c r="V801" s="541"/>
      <c r="W801" s="541"/>
      <c r="X801" s="541"/>
      <c r="Y801" s="541"/>
      <c r="Z801" s="541"/>
    </row>
    <row r="802" spans="1:26" ht="18.75" hidden="1">
      <c r="A802" s="578"/>
      <c r="B802" s="580"/>
      <c r="C802" s="580"/>
      <c r="D802" s="580"/>
      <c r="E802" s="684"/>
      <c r="F802" s="684" t="s">
        <v>321</v>
      </c>
      <c r="G802" s="581"/>
      <c r="H802" s="619" t="s">
        <v>46</v>
      </c>
      <c r="I802" s="166"/>
      <c r="J802" s="583"/>
      <c r="K802" s="167">
        <f>IF(I802&gt;0,J802*100/I802,0)</f>
        <v>0</v>
      </c>
      <c r="L802" s="167"/>
      <c r="M802" s="167"/>
      <c r="N802" s="167"/>
      <c r="O802" s="167"/>
      <c r="P802" s="167"/>
      <c r="Q802" s="568"/>
      <c r="R802" s="568"/>
      <c r="S802" s="568"/>
      <c r="T802" s="568"/>
      <c r="U802" s="568"/>
      <c r="V802" s="568"/>
      <c r="W802" s="568"/>
      <c r="X802" s="568"/>
      <c r="Y802" s="568"/>
      <c r="Z802" s="568"/>
    </row>
    <row r="803" spans="1:26" ht="18.75" hidden="1">
      <c r="A803" s="578"/>
      <c r="B803" s="580"/>
      <c r="C803" s="580"/>
      <c r="D803" s="580"/>
      <c r="E803" s="684"/>
      <c r="F803" s="684"/>
      <c r="G803" s="581"/>
      <c r="H803" s="619" t="s">
        <v>34</v>
      </c>
      <c r="I803" s="166"/>
      <c r="J803" s="583"/>
      <c r="K803" s="167"/>
      <c r="L803" s="167"/>
      <c r="M803" s="167"/>
      <c r="N803" s="167"/>
      <c r="O803" s="167"/>
      <c r="P803" s="167"/>
      <c r="Q803" s="568"/>
      <c r="R803" s="568"/>
      <c r="S803" s="568"/>
      <c r="T803" s="568"/>
      <c r="U803" s="568"/>
      <c r="V803" s="568"/>
      <c r="W803" s="568"/>
      <c r="X803" s="568"/>
      <c r="Y803" s="568"/>
      <c r="Z803" s="568"/>
    </row>
    <row r="804" spans="1:26" ht="19.5" hidden="1">
      <c r="A804" s="757">
        <v>13</v>
      </c>
      <c r="B804" s="758" t="s">
        <v>322</v>
      </c>
      <c r="C804" s="759"/>
      <c r="D804" s="775"/>
      <c r="E804" s="759"/>
      <c r="F804" s="759"/>
      <c r="G804" s="760"/>
      <c r="H804" s="761" t="s">
        <v>46</v>
      </c>
      <c r="I804" s="762"/>
      <c r="J804" s="762">
        <f>J819</f>
        <v>0</v>
      </c>
      <c r="K804" s="763">
        <f>IF(I804&gt;0,J804*100/I804,0)</f>
        <v>0</v>
      </c>
      <c r="L804" s="764"/>
      <c r="M804" s="764"/>
      <c r="N804" s="764"/>
      <c r="O804" s="764"/>
      <c r="P804" s="764"/>
      <c r="Q804" s="568"/>
      <c r="R804" s="568"/>
      <c r="S804" s="568"/>
      <c r="T804" s="568"/>
      <c r="U804" s="568"/>
      <c r="V804" s="568"/>
      <c r="W804" s="568"/>
      <c r="X804" s="568"/>
      <c r="Y804" s="568"/>
      <c r="Z804" s="568"/>
    </row>
    <row r="805" spans="1:26" ht="19.5" hidden="1">
      <c r="A805" s="563"/>
      <c r="B805" s="723"/>
      <c r="C805" s="723" t="s">
        <v>16</v>
      </c>
      <c r="D805" s="812" t="s">
        <v>17</v>
      </c>
      <c r="E805" s="805"/>
      <c r="F805" s="805"/>
      <c r="G805" s="567"/>
      <c r="H805" s="612" t="s">
        <v>12</v>
      </c>
      <c r="I805" s="583"/>
      <c r="J805" s="583"/>
      <c r="K805" s="93"/>
      <c r="L805" s="613">
        <f t="shared" ref="L805:N805" si="326">L806+L807</f>
        <v>0</v>
      </c>
      <c r="M805" s="613">
        <f t="shared" si="326"/>
        <v>0</v>
      </c>
      <c r="N805" s="613">
        <f t="shared" si="326"/>
        <v>0</v>
      </c>
      <c r="O805" s="613">
        <f t="shared" ref="O805:O810" si="327">IF(L805&gt;0,N805*100/L805,0)</f>
        <v>0</v>
      </c>
      <c r="P805" s="613">
        <f t="shared" ref="P805:P810" si="328">IF(M805&gt;0,N805*100/M805,0)</f>
        <v>0</v>
      </c>
      <c r="Q805" s="568"/>
      <c r="R805" s="568"/>
      <c r="S805" s="568"/>
      <c r="T805" s="568"/>
      <c r="U805" s="568"/>
      <c r="V805" s="568"/>
      <c r="W805" s="568"/>
      <c r="X805" s="568"/>
      <c r="Y805" s="568"/>
      <c r="Z805" s="568"/>
    </row>
    <row r="806" spans="1:26" ht="18.75" hidden="1">
      <c r="A806" s="563"/>
      <c r="B806" s="723"/>
      <c r="C806" s="723"/>
      <c r="D806" s="580"/>
      <c r="E806" s="723" t="s">
        <v>184</v>
      </c>
      <c r="F806" s="723"/>
      <c r="G806" s="567"/>
      <c r="H806" s="165" t="s">
        <v>12</v>
      </c>
      <c r="I806" s="583"/>
      <c r="J806" s="583"/>
      <c r="K806" s="93"/>
      <c r="L806" s="93">
        <f t="shared" ref="L806:N807" si="329">L809+L816</f>
        <v>0</v>
      </c>
      <c r="M806" s="93">
        <f t="shared" si="329"/>
        <v>0</v>
      </c>
      <c r="N806" s="93">
        <f t="shared" si="329"/>
        <v>0</v>
      </c>
      <c r="O806" s="93">
        <f t="shared" si="327"/>
        <v>0</v>
      </c>
      <c r="P806" s="93">
        <f t="shared" si="328"/>
        <v>0</v>
      </c>
      <c r="Q806" s="568"/>
      <c r="R806" s="568"/>
      <c r="S806" s="568"/>
      <c r="T806" s="568"/>
      <c r="U806" s="568"/>
      <c r="V806" s="568"/>
      <c r="W806" s="568"/>
      <c r="X806" s="568"/>
      <c r="Y806" s="568"/>
      <c r="Z806" s="568"/>
    </row>
    <row r="807" spans="1:26" ht="18.75" hidden="1">
      <c r="A807" s="563"/>
      <c r="B807" s="723"/>
      <c r="C807" s="723"/>
      <c r="D807" s="580"/>
      <c r="E807" s="723" t="s">
        <v>185</v>
      </c>
      <c r="F807" s="723"/>
      <c r="G807" s="567"/>
      <c r="H807" s="165" t="s">
        <v>12</v>
      </c>
      <c r="I807" s="583"/>
      <c r="J807" s="583"/>
      <c r="K807" s="93"/>
      <c r="L807" s="93">
        <f t="shared" si="329"/>
        <v>0</v>
      </c>
      <c r="M807" s="93">
        <f t="shared" si="329"/>
        <v>0</v>
      </c>
      <c r="N807" s="93">
        <f t="shared" si="329"/>
        <v>0</v>
      </c>
      <c r="O807" s="93">
        <f t="shared" si="327"/>
        <v>0</v>
      </c>
      <c r="P807" s="93">
        <f t="shared" si="328"/>
        <v>0</v>
      </c>
      <c r="Q807" s="568"/>
      <c r="R807" s="568"/>
      <c r="S807" s="568"/>
      <c r="T807" s="568"/>
      <c r="U807" s="568"/>
      <c r="V807" s="568"/>
      <c r="W807" s="568"/>
      <c r="X807" s="568"/>
      <c r="Y807" s="568"/>
      <c r="Z807" s="568"/>
    </row>
    <row r="808" spans="1:26" ht="19.5" hidden="1">
      <c r="A808" s="563"/>
      <c r="B808" s="571"/>
      <c r="C808" s="723"/>
      <c r="D808" s="857" t="s">
        <v>20</v>
      </c>
      <c r="E808" s="805"/>
      <c r="F808" s="805"/>
      <c r="G808" s="567"/>
      <c r="H808" s="612" t="s">
        <v>12</v>
      </c>
      <c r="I808" s="166"/>
      <c r="J808" s="166"/>
      <c r="K808" s="167"/>
      <c r="L808" s="613">
        <f t="shared" ref="L808:N808" si="330">L809+L810</f>
        <v>0</v>
      </c>
      <c r="M808" s="613">
        <f t="shared" si="330"/>
        <v>0</v>
      </c>
      <c r="N808" s="613">
        <f t="shared" si="330"/>
        <v>0</v>
      </c>
      <c r="O808" s="613">
        <f t="shared" si="327"/>
        <v>0</v>
      </c>
      <c r="P808" s="613">
        <f t="shared" si="328"/>
        <v>0</v>
      </c>
      <c r="Q808" s="568"/>
      <c r="R808" s="568"/>
      <c r="S808" s="568"/>
      <c r="T808" s="568"/>
      <c r="U808" s="568"/>
      <c r="V808" s="568"/>
      <c r="W808" s="568"/>
      <c r="X808" s="568"/>
      <c r="Y808" s="568"/>
      <c r="Z808" s="568"/>
    </row>
    <row r="809" spans="1:26" ht="18.75" hidden="1">
      <c r="A809" s="563"/>
      <c r="B809" s="723"/>
      <c r="C809" s="723"/>
      <c r="D809" s="580"/>
      <c r="E809" s="723" t="s">
        <v>184</v>
      </c>
      <c r="F809" s="723"/>
      <c r="G809" s="567"/>
      <c r="H809" s="165" t="s">
        <v>12</v>
      </c>
      <c r="I809" s="583"/>
      <c r="J809" s="583"/>
      <c r="K809" s="93"/>
      <c r="L809" s="93">
        <v>0</v>
      </c>
      <c r="M809" s="93">
        <v>0</v>
      </c>
      <c r="N809" s="93">
        <v>0</v>
      </c>
      <c r="O809" s="93">
        <f t="shared" si="327"/>
        <v>0</v>
      </c>
      <c r="P809" s="93">
        <f t="shared" si="328"/>
        <v>0</v>
      </c>
      <c r="Q809" s="568"/>
      <c r="R809" s="568"/>
      <c r="S809" s="568"/>
      <c r="T809" s="568"/>
      <c r="U809" s="568"/>
      <c r="V809" s="568"/>
      <c r="W809" s="568"/>
      <c r="X809" s="568"/>
      <c r="Y809" s="568"/>
      <c r="Z809" s="568"/>
    </row>
    <row r="810" spans="1:26" ht="18.75" hidden="1">
      <c r="A810" s="563"/>
      <c r="B810" s="723"/>
      <c r="C810" s="723"/>
      <c r="D810" s="580"/>
      <c r="E810" s="723" t="s">
        <v>185</v>
      </c>
      <c r="F810" s="723"/>
      <c r="G810" s="567"/>
      <c r="H810" s="165" t="s">
        <v>12</v>
      </c>
      <c r="I810" s="583"/>
      <c r="J810" s="583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7"/>
        <v>0</v>
      </c>
      <c r="P810" s="93">
        <f t="shared" si="328"/>
        <v>0</v>
      </c>
      <c r="Q810" s="568"/>
      <c r="R810" s="568"/>
      <c r="S810" s="568"/>
      <c r="T810" s="568"/>
      <c r="U810" s="568"/>
      <c r="V810" s="568"/>
      <c r="W810" s="568"/>
      <c r="X810" s="568"/>
      <c r="Y810" s="568"/>
      <c r="Z810" s="568"/>
    </row>
    <row r="811" spans="1:26" ht="18.75" hidden="1">
      <c r="A811" s="615"/>
      <c r="B811" s="571"/>
      <c r="C811" s="723"/>
      <c r="D811" s="571"/>
      <c r="E811" s="723"/>
      <c r="F811" s="723" t="s">
        <v>186</v>
      </c>
      <c r="G811" s="567"/>
      <c r="H811" s="165" t="s">
        <v>12</v>
      </c>
      <c r="I811" s="583"/>
      <c r="J811" s="583"/>
      <c r="K811" s="93"/>
      <c r="L811" s="93"/>
      <c r="M811" s="93"/>
      <c r="N811" s="93"/>
      <c r="O811" s="93"/>
      <c r="P811" s="93"/>
      <c r="Q811" s="568"/>
      <c r="R811" s="568"/>
      <c r="S811" s="568"/>
      <c r="T811" s="568"/>
      <c r="U811" s="568"/>
      <c r="V811" s="568"/>
      <c r="W811" s="568"/>
      <c r="X811" s="568"/>
      <c r="Y811" s="568"/>
      <c r="Z811" s="568"/>
    </row>
    <row r="812" spans="1:26" ht="18.75" hidden="1">
      <c r="A812" s="615"/>
      <c r="B812" s="571"/>
      <c r="C812" s="723"/>
      <c r="D812" s="571"/>
      <c r="E812" s="723"/>
      <c r="F812" s="723" t="s">
        <v>187</v>
      </c>
      <c r="G812" s="567"/>
      <c r="H812" s="165" t="s">
        <v>12</v>
      </c>
      <c r="I812" s="583"/>
      <c r="J812" s="583"/>
      <c r="K812" s="93"/>
      <c r="L812" s="93"/>
      <c r="M812" s="93"/>
      <c r="N812" s="93"/>
      <c r="O812" s="93"/>
      <c r="P812" s="93"/>
      <c r="Q812" s="568"/>
      <c r="R812" s="568"/>
      <c r="S812" s="568"/>
      <c r="T812" s="568"/>
      <c r="U812" s="568"/>
      <c r="V812" s="568"/>
      <c r="W812" s="568"/>
      <c r="X812" s="568"/>
      <c r="Y812" s="568"/>
      <c r="Z812" s="568"/>
    </row>
    <row r="813" spans="1:26" ht="18.75" hidden="1">
      <c r="A813" s="615"/>
      <c r="B813" s="571"/>
      <c r="C813" s="723"/>
      <c r="D813" s="571"/>
      <c r="E813" s="723"/>
      <c r="F813" s="723" t="s">
        <v>188</v>
      </c>
      <c r="G813" s="567"/>
      <c r="H813" s="165" t="s">
        <v>12</v>
      </c>
      <c r="I813" s="583"/>
      <c r="J813" s="583"/>
      <c r="K813" s="93"/>
      <c r="L813" s="93"/>
      <c r="M813" s="93"/>
      <c r="N813" s="93"/>
      <c r="O813" s="93"/>
      <c r="P813" s="93"/>
      <c r="Q813" s="568"/>
      <c r="R813" s="568"/>
      <c r="S813" s="568"/>
      <c r="T813" s="568"/>
      <c r="U813" s="568"/>
      <c r="V813" s="568"/>
      <c r="W813" s="568"/>
      <c r="X813" s="568"/>
      <c r="Y813" s="568"/>
      <c r="Z813" s="568"/>
    </row>
    <row r="814" spans="1:26" ht="18.75" hidden="1">
      <c r="A814" s="615"/>
      <c r="B814" s="571"/>
      <c r="C814" s="723"/>
      <c r="D814" s="571"/>
      <c r="E814" s="723"/>
      <c r="F814" s="723" t="s">
        <v>189</v>
      </c>
      <c r="G814" s="567"/>
      <c r="H814" s="165" t="s">
        <v>12</v>
      </c>
      <c r="I814" s="583"/>
      <c r="J814" s="583"/>
      <c r="K814" s="93"/>
      <c r="L814" s="93"/>
      <c r="M814" s="93"/>
      <c r="N814" s="93"/>
      <c r="O814" s="93"/>
      <c r="P814" s="93"/>
      <c r="Q814" s="568"/>
      <c r="R814" s="568"/>
      <c r="S814" s="568"/>
      <c r="T814" s="568"/>
      <c r="U814" s="568"/>
      <c r="V814" s="568"/>
      <c r="W814" s="568"/>
      <c r="X814" s="568"/>
      <c r="Y814" s="568"/>
      <c r="Z814" s="568"/>
    </row>
    <row r="815" spans="1:26" ht="19.5" hidden="1">
      <c r="A815" s="563"/>
      <c r="B815" s="571"/>
      <c r="C815" s="723"/>
      <c r="D815" s="857" t="s">
        <v>21</v>
      </c>
      <c r="E815" s="805"/>
      <c r="F815" s="805"/>
      <c r="G815" s="567"/>
      <c r="H815" s="747" t="s">
        <v>12</v>
      </c>
      <c r="I815" s="166"/>
      <c r="J815" s="166"/>
      <c r="K815" s="167"/>
      <c r="L815" s="613">
        <f t="shared" ref="L815:N815" si="331">L816+L817</f>
        <v>0</v>
      </c>
      <c r="M815" s="613">
        <f t="shared" si="331"/>
        <v>0</v>
      </c>
      <c r="N815" s="613">
        <f t="shared" si="331"/>
        <v>0</v>
      </c>
      <c r="O815" s="613">
        <f t="shared" ref="O815:O817" si="332">IF(L815&gt;0,N815*100/L815,0)</f>
        <v>0</v>
      </c>
      <c r="P815" s="613">
        <f t="shared" ref="P815:P817" si="333">IF(M815&gt;0,N815*100/M815,0)</f>
        <v>0</v>
      </c>
      <c r="Q815" s="568"/>
      <c r="R815" s="568"/>
      <c r="S815" s="568"/>
      <c r="T815" s="568"/>
      <c r="U815" s="568"/>
      <c r="V815" s="568"/>
      <c r="W815" s="568"/>
      <c r="X815" s="568"/>
      <c r="Y815" s="568"/>
      <c r="Z815" s="568"/>
    </row>
    <row r="816" spans="1:26" ht="18.75" hidden="1">
      <c r="A816" s="563"/>
      <c r="B816" s="571"/>
      <c r="C816" s="723"/>
      <c r="D816" s="571"/>
      <c r="E816" s="723" t="s">
        <v>18</v>
      </c>
      <c r="F816" s="723"/>
      <c r="G816" s="567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2"/>
        <v>0</v>
      </c>
      <c r="P816" s="93">
        <f t="shared" si="333"/>
        <v>0</v>
      </c>
      <c r="Q816" s="568"/>
      <c r="R816" s="568"/>
      <c r="S816" s="568"/>
      <c r="T816" s="568"/>
      <c r="U816" s="568"/>
      <c r="V816" s="568"/>
      <c r="W816" s="568"/>
      <c r="X816" s="568"/>
      <c r="Y816" s="568"/>
      <c r="Z816" s="568"/>
    </row>
    <row r="817" spans="1:26" ht="18.75" hidden="1">
      <c r="A817" s="563"/>
      <c r="B817" s="571"/>
      <c r="C817" s="723"/>
      <c r="D817" s="571"/>
      <c r="E817" s="723" t="s">
        <v>19</v>
      </c>
      <c r="F817" s="723"/>
      <c r="G817" s="567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2"/>
        <v>0</v>
      </c>
      <c r="P817" s="93">
        <f t="shared" si="333"/>
        <v>0</v>
      </c>
      <c r="Q817" s="568"/>
      <c r="R817" s="568"/>
      <c r="S817" s="568"/>
      <c r="T817" s="568"/>
      <c r="U817" s="568"/>
      <c r="V817" s="568"/>
      <c r="W817" s="568"/>
      <c r="X817" s="568"/>
      <c r="Y817" s="568"/>
      <c r="Z817" s="568"/>
    </row>
    <row r="818" spans="1:26" ht="19.5" hidden="1">
      <c r="A818" s="578"/>
      <c r="B818" s="580"/>
      <c r="C818" s="723" t="s">
        <v>16</v>
      </c>
      <c r="D818" s="858" t="s">
        <v>38</v>
      </c>
      <c r="E818" s="617"/>
      <c r="F818" s="617"/>
      <c r="G818" s="618"/>
      <c r="H818" s="581"/>
      <c r="I818" s="166"/>
      <c r="J818" s="166"/>
      <c r="K818" s="167"/>
      <c r="L818" s="167"/>
      <c r="M818" s="167"/>
      <c r="N818" s="167"/>
      <c r="O818" s="167"/>
      <c r="P818" s="167"/>
      <c r="Q818" s="568"/>
      <c r="R818" s="568"/>
      <c r="S818" s="568"/>
      <c r="T818" s="568"/>
      <c r="U818" s="568"/>
      <c r="V818" s="568"/>
      <c r="W818" s="568"/>
      <c r="X818" s="568"/>
      <c r="Y818" s="568"/>
      <c r="Z818" s="568"/>
    </row>
    <row r="819" spans="1:26" ht="19.5" hidden="1" thickBot="1">
      <c r="A819" s="777"/>
      <c r="B819" s="778"/>
      <c r="C819" s="780"/>
      <c r="D819" s="778"/>
      <c r="E819" s="780" t="s">
        <v>323</v>
      </c>
      <c r="F819" s="780"/>
      <c r="G819" s="781"/>
      <c r="H819" s="782" t="s">
        <v>46</v>
      </c>
      <c r="I819" s="783"/>
      <c r="J819" s="783"/>
      <c r="K819" s="784"/>
      <c r="L819" s="784"/>
      <c r="M819" s="784"/>
      <c r="N819" s="784"/>
      <c r="O819" s="784"/>
      <c r="P819" s="784"/>
      <c r="Q819" s="568"/>
      <c r="R819" s="568"/>
      <c r="S819" s="568"/>
      <c r="T819" s="568"/>
      <c r="U819" s="568"/>
      <c r="V819" s="568"/>
      <c r="W819" s="568"/>
      <c r="X819" s="568"/>
      <c r="Y819" s="568"/>
      <c r="Z819" s="568"/>
    </row>
    <row r="820" spans="1:26" ht="19.5">
      <c r="A820" s="785" t="s">
        <v>332</v>
      </c>
      <c r="B820" s="786"/>
      <c r="C820" s="786"/>
      <c r="D820" s="787"/>
      <c r="E820" s="786"/>
      <c r="F820" s="786"/>
      <c r="G820" s="788"/>
      <c r="H820" s="788"/>
      <c r="I820" s="214"/>
      <c r="J820" s="214"/>
      <c r="K820" s="789"/>
      <c r="L820" s="789"/>
      <c r="M820" s="789"/>
      <c r="N820" s="789"/>
      <c r="O820" s="789"/>
      <c r="P820" s="789"/>
      <c r="Q820" s="541"/>
      <c r="R820" s="541"/>
      <c r="S820" s="541"/>
      <c r="T820" s="541"/>
      <c r="U820" s="541"/>
      <c r="V820" s="541"/>
      <c r="W820" s="541"/>
      <c r="X820" s="541"/>
      <c r="Y820" s="541"/>
      <c r="Z820" s="541"/>
    </row>
    <row r="821" spans="1:26" ht="18.75">
      <c r="A821" s="708"/>
      <c r="B821" s="727" t="s">
        <v>325</v>
      </c>
      <c r="C821" s="727"/>
      <c r="D821" s="538"/>
      <c r="E821" s="727"/>
      <c r="F821" s="727"/>
      <c r="G821" s="189"/>
      <c r="H821" s="589" t="s">
        <v>12</v>
      </c>
      <c r="I821" s="269">
        <f ca="1">IFERROR(__xludf.DUMMYFUNCTION("IMPORTRANGE(""https://docs.google.com/spreadsheets/d/19vJNZY_5yjcGF2XGBMNZRCAIB0Kwfpjp8YEOfu-bneM/edit?usp=sharing"",""งานกองทุน!D21"")"),2490000)</f>
        <v>2490000</v>
      </c>
      <c r="J821" s="269">
        <f ca="1">IFERROR(__xludf.DUMMYFUNCTION("IMPORTRANGE(""https://docs.google.com/spreadsheets/d/19vJNZY_5yjcGF2XGBMNZRCAIB0Kwfpjp8YEOfu-bneM/edit?usp=sharing"",""งานกองทุน!F21"")"),0)</f>
        <v>0</v>
      </c>
      <c r="K821" s="465">
        <f t="shared" ref="K821:K828" ca="1" si="334">IF(I821&gt;0,J821*100/I821,0)</f>
        <v>0</v>
      </c>
      <c r="L821" s="465"/>
      <c r="M821" s="465"/>
      <c r="N821" s="465"/>
      <c r="O821" s="465"/>
      <c r="P821" s="465"/>
      <c r="Q821" s="541"/>
      <c r="R821" s="541"/>
      <c r="S821" s="541"/>
      <c r="T821" s="541"/>
      <c r="U821" s="541"/>
      <c r="V821" s="541"/>
      <c r="W821" s="541"/>
      <c r="X821" s="541"/>
      <c r="Y821" s="541"/>
      <c r="Z821" s="541"/>
    </row>
    <row r="822" spans="1:26" ht="18.75">
      <c r="A822" s="708"/>
      <c r="B822" s="727"/>
      <c r="C822" s="727"/>
      <c r="D822" s="538"/>
      <c r="E822" s="727"/>
      <c r="F822" s="727"/>
      <c r="G822" s="189"/>
      <c r="H822" s="589" t="s">
        <v>35</v>
      </c>
      <c r="I822" s="269">
        <f ca="1">IFERROR(__xludf.DUMMYFUNCTION("IMPORTRANGE(""https://docs.google.com/spreadsheets/d/19vJNZY_5yjcGF2XGBMNZRCAIB0Kwfpjp8YEOfu-bneM/edit?usp=sharing"",""งานกองทุน!C21"")"),91)</f>
        <v>91</v>
      </c>
      <c r="J822" s="269">
        <f ca="1">IFERROR(__xludf.DUMMYFUNCTION("IMPORTRANGE(""https://docs.google.com/spreadsheets/d/19vJNZY_5yjcGF2XGBMNZRCAIB0Kwfpjp8YEOfu-bneM/edit?usp=sharing"",""งานกองทุน!E21"")"),0)</f>
        <v>0</v>
      </c>
      <c r="K822" s="465">
        <f t="shared" ca="1" si="334"/>
        <v>0</v>
      </c>
      <c r="L822" s="465"/>
      <c r="M822" s="465"/>
      <c r="N822" s="465"/>
      <c r="O822" s="465"/>
      <c r="P822" s="465"/>
      <c r="Q822" s="541"/>
      <c r="R822" s="541"/>
      <c r="S822" s="541"/>
      <c r="T822" s="541"/>
      <c r="U822" s="541"/>
      <c r="V822" s="541"/>
      <c r="W822" s="541"/>
      <c r="X822" s="541"/>
      <c r="Y822" s="541"/>
      <c r="Z822" s="541"/>
    </row>
    <row r="823" spans="1:26" ht="18.75">
      <c r="A823" s="708"/>
      <c r="B823" s="727" t="s">
        <v>326</v>
      </c>
      <c r="C823" s="727"/>
      <c r="D823" s="538"/>
      <c r="E823" s="727"/>
      <c r="F823" s="727"/>
      <c r="G823" s="189"/>
      <c r="H823" s="589" t="s">
        <v>12</v>
      </c>
      <c r="I823" s="269">
        <f ca="1">IFERROR(__xludf.DUMMYFUNCTION("IMPORTRANGE(""https://docs.google.com/spreadsheets/d/19vJNZY_5yjcGF2XGBMNZRCAIB0Kwfpjp8YEOfu-bneM/edit?usp=sharing"",""งานกองทุน!I21"")"),558219.67)</f>
        <v>558219.67000000004</v>
      </c>
      <c r="J823" s="269">
        <f ca="1">IFERROR(__xludf.DUMMYFUNCTION("IMPORTRANGE(""https://docs.google.com/spreadsheets/d/19vJNZY_5yjcGF2XGBMNZRCAIB0Kwfpjp8YEOfu-bneM/edit?usp=sharing"",""งานกองทุน!K21"")"),21000)</f>
        <v>21000</v>
      </c>
      <c r="K823" s="465">
        <f t="shared" ca="1" si="334"/>
        <v>3.7619598750434569</v>
      </c>
      <c r="L823" s="465"/>
      <c r="M823" s="465"/>
      <c r="N823" s="465"/>
      <c r="O823" s="465"/>
      <c r="P823" s="465"/>
      <c r="Q823" s="541"/>
      <c r="R823" s="541"/>
      <c r="S823" s="541"/>
      <c r="T823" s="541"/>
      <c r="U823" s="541"/>
      <c r="V823" s="541"/>
      <c r="W823" s="541"/>
      <c r="X823" s="541"/>
      <c r="Y823" s="541"/>
      <c r="Z823" s="541"/>
    </row>
    <row r="824" spans="1:26" ht="18.75">
      <c r="A824" s="708"/>
      <c r="B824" s="727"/>
      <c r="C824" s="727"/>
      <c r="D824" s="538"/>
      <c r="E824" s="727"/>
      <c r="F824" s="727"/>
      <c r="G824" s="189"/>
      <c r="H824" s="589" t="s">
        <v>35</v>
      </c>
      <c r="I824" s="269">
        <f ca="1">IFERROR(__xludf.DUMMYFUNCTION("IMPORTRANGE(""https://docs.google.com/spreadsheets/d/19vJNZY_5yjcGF2XGBMNZRCAIB0Kwfpjp8YEOfu-bneM/edit?usp=sharing"",""งานกองทุน!H21"")"),30)</f>
        <v>30</v>
      </c>
      <c r="J824" s="269">
        <f ca="1">IFERROR(__xludf.DUMMYFUNCTION("IMPORTRANGE(""https://docs.google.com/spreadsheets/d/19vJNZY_5yjcGF2XGBMNZRCAIB0Kwfpjp8YEOfu-bneM/edit?usp=sharing"",""งานกองทุน!J21"")"),1)</f>
        <v>1</v>
      </c>
      <c r="K824" s="465">
        <f t="shared" ca="1" si="334"/>
        <v>3.3333333333333335</v>
      </c>
      <c r="L824" s="465"/>
      <c r="M824" s="465"/>
      <c r="N824" s="465"/>
      <c r="O824" s="465"/>
      <c r="P824" s="465"/>
      <c r="Q824" s="541"/>
      <c r="R824" s="541"/>
      <c r="S824" s="541"/>
      <c r="T824" s="541"/>
      <c r="U824" s="541"/>
      <c r="V824" s="541"/>
      <c r="W824" s="541"/>
      <c r="X824" s="541"/>
      <c r="Y824" s="541"/>
      <c r="Z824" s="541"/>
    </row>
    <row r="825" spans="1:26" ht="18.75">
      <c r="A825" s="708"/>
      <c r="B825" s="727" t="s">
        <v>327</v>
      </c>
      <c r="C825" s="727"/>
      <c r="D825" s="538"/>
      <c r="E825" s="727"/>
      <c r="F825" s="727"/>
      <c r="G825" s="189"/>
      <c r="H825" s="589" t="s">
        <v>12</v>
      </c>
      <c r="I825" s="269">
        <f ca="1">IFERROR(__xludf.DUMMYFUNCTION("IMPORTRANGE(""https://docs.google.com/spreadsheets/d/19vJNZY_5yjcGF2XGBMNZRCAIB0Kwfpjp8YEOfu-bneM/edit?usp=sharing"",""งานกองทุน!N21"")"),5752699.4)</f>
        <v>5752699.4000000004</v>
      </c>
      <c r="J825" s="269">
        <f ca="1">IFERROR(__xludf.DUMMYFUNCTION("IMPORTRANGE(""https://docs.google.com/spreadsheets/d/19vJNZY_5yjcGF2XGBMNZRCAIB0Kwfpjp8YEOfu-bneM/edit?usp=sharing"",""งานกองทุน!P21"")"),100124.46)</f>
        <v>100124.46</v>
      </c>
      <c r="K825" s="465">
        <f t="shared" ca="1" si="334"/>
        <v>1.7404778702673043</v>
      </c>
      <c r="L825" s="465"/>
      <c r="M825" s="465"/>
      <c r="N825" s="465"/>
      <c r="O825" s="465"/>
      <c r="P825" s="465"/>
      <c r="Q825" s="541"/>
      <c r="R825" s="541"/>
      <c r="S825" s="541"/>
      <c r="T825" s="541"/>
      <c r="U825" s="541"/>
      <c r="V825" s="541"/>
      <c r="W825" s="541"/>
      <c r="X825" s="541"/>
      <c r="Y825" s="541"/>
      <c r="Z825" s="541"/>
    </row>
    <row r="826" spans="1:26" ht="18.75">
      <c r="A826" s="708"/>
      <c r="B826" s="727"/>
      <c r="C826" s="727"/>
      <c r="D826" s="538"/>
      <c r="E826" s="727"/>
      <c r="F826" s="727"/>
      <c r="G826" s="189"/>
      <c r="H826" s="589" t="s">
        <v>35</v>
      </c>
      <c r="I826" s="269">
        <f ca="1">IFERROR(__xludf.DUMMYFUNCTION("IMPORTRANGE(""https://docs.google.com/spreadsheets/d/19vJNZY_5yjcGF2XGBMNZRCAIB0Kwfpjp8YEOfu-bneM/edit?usp=sharing"",""งานกองทุน!M21"")"),469)</f>
        <v>469</v>
      </c>
      <c r="J826" s="269">
        <f ca="1">IFERROR(__xludf.DUMMYFUNCTION("IMPORTRANGE(""https://docs.google.com/spreadsheets/d/19vJNZY_5yjcGF2XGBMNZRCAIB0Kwfpjp8YEOfu-bneM/edit?usp=sharing"",""งานกองทุน!O21"")"),10)</f>
        <v>10</v>
      </c>
      <c r="K826" s="465">
        <f t="shared" ca="1" si="334"/>
        <v>2.1321961620469083</v>
      </c>
      <c r="L826" s="465"/>
      <c r="M826" s="465"/>
      <c r="N826" s="465"/>
      <c r="O826" s="465"/>
      <c r="P826" s="465"/>
      <c r="Q826" s="541"/>
      <c r="R826" s="541"/>
      <c r="S826" s="541"/>
      <c r="T826" s="541"/>
      <c r="U826" s="541"/>
      <c r="V826" s="541"/>
      <c r="W826" s="541"/>
      <c r="X826" s="541"/>
      <c r="Y826" s="541"/>
      <c r="Z826" s="541"/>
    </row>
    <row r="827" spans="1:26" ht="18.75">
      <c r="A827" s="708"/>
      <c r="B827" s="727" t="s">
        <v>328</v>
      </c>
      <c r="C827" s="727"/>
      <c r="D827" s="538"/>
      <c r="E827" s="727"/>
      <c r="F827" s="727"/>
      <c r="G827" s="189"/>
      <c r="H827" s="589" t="s">
        <v>12</v>
      </c>
      <c r="I827" s="269">
        <f ca="1">IFERROR(__xludf.DUMMYFUNCTION("IMPORTRANGE(""https://docs.google.com/spreadsheets/d/19vJNZY_5yjcGF2XGBMNZRCAIB0Kwfpjp8YEOfu-bneM/edit?usp=sharing"",""งานกองทุน!S21"")"),2600000)</f>
        <v>2600000</v>
      </c>
      <c r="J827" s="269">
        <f ca="1">IFERROR(__xludf.DUMMYFUNCTION("IMPORTRANGE(""https://docs.google.com/spreadsheets/d/19vJNZY_5yjcGF2XGBMNZRCAIB0Kwfpjp8YEOfu-bneM/edit?usp=sharing"",""งานกองทุน!U21"")"),0)</f>
        <v>0</v>
      </c>
      <c r="K827" s="465">
        <f t="shared" ca="1" si="334"/>
        <v>0</v>
      </c>
      <c r="L827" s="465"/>
      <c r="M827" s="465"/>
      <c r="N827" s="465"/>
      <c r="O827" s="465"/>
      <c r="P827" s="465"/>
      <c r="Q827" s="541"/>
      <c r="R827" s="541"/>
      <c r="S827" s="541"/>
      <c r="T827" s="541"/>
      <c r="U827" s="541"/>
      <c r="V827" s="541"/>
      <c r="W827" s="541"/>
      <c r="X827" s="541"/>
      <c r="Y827" s="541"/>
      <c r="Z827" s="541"/>
    </row>
    <row r="828" spans="1:26" ht="18.75">
      <c r="A828" s="711"/>
      <c r="B828" s="713"/>
      <c r="C828" s="713"/>
      <c r="D828" s="712"/>
      <c r="E828" s="713"/>
      <c r="F828" s="713"/>
      <c r="G828" s="790"/>
      <c r="H828" s="791" t="s">
        <v>35</v>
      </c>
      <c r="I828" s="468">
        <f ca="1">IFERROR(__xludf.DUMMYFUNCTION("IMPORTRANGE(""https://docs.google.com/spreadsheets/d/19vJNZY_5yjcGF2XGBMNZRCAIB0Kwfpjp8YEOfu-bneM/edit?usp=sharing"",""งานกองทุน!R21"")"),104)</f>
        <v>104</v>
      </c>
      <c r="J828" s="468">
        <f ca="1">IFERROR(__xludf.DUMMYFUNCTION("IMPORTRANGE(""https://docs.google.com/spreadsheets/d/19vJNZY_5yjcGF2XGBMNZRCAIB0Kwfpjp8YEOfu-bneM/edit?usp=sharing"",""งานกองทุน!T21"")"),8)</f>
        <v>8</v>
      </c>
      <c r="K828" s="469">
        <f t="shared" ca="1" si="334"/>
        <v>7.6923076923076925</v>
      </c>
      <c r="L828" s="469"/>
      <c r="M828" s="469"/>
      <c r="N828" s="469"/>
      <c r="O828" s="469"/>
      <c r="P828" s="469"/>
      <c r="Q828" s="541"/>
      <c r="R828" s="541"/>
      <c r="S828" s="541"/>
      <c r="T828" s="541"/>
      <c r="U828" s="541"/>
      <c r="V828" s="541"/>
      <c r="W828" s="541"/>
      <c r="X828" s="541"/>
      <c r="Y828" s="541"/>
      <c r="Z828" s="541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2" fitToHeight="0" pageOrder="overThenDown" orientation="portrait" cellComments="atEnd" r:id="rId1"/>
  <headerFooter>
    <oddFooter>&amp;Cหน้า &amp;P/&amp;N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18</vt:i4>
      </vt:variant>
      <vt:variant>
        <vt:lpstr>Named Ranges</vt:lpstr>
      </vt:variant>
      <vt:variant>
        <vt:i4>36</vt:i4>
      </vt:variant>
    </vt:vector>
  </HeadingPairs>
  <TitlesOfParts>
    <vt:vector size="54" baseType="lpstr">
      <vt:lpstr>รวมเหนือ</vt:lpstr>
      <vt:lpstr>กำแพงเพชร</vt:lpstr>
      <vt:lpstr>เชียงราย</vt:lpstr>
      <vt:lpstr>เชียงใหม่</vt:lpstr>
      <vt:lpstr>ตาก</vt:lpstr>
      <vt:lpstr>นครสวรรค์</vt:lpstr>
      <vt:lpstr>น่าน</vt:lpstr>
      <vt:lpstr>พะเยา</vt:lpstr>
      <vt:lpstr>พิจิตร</vt:lpstr>
      <vt:lpstr>พิษณุโลก</vt:lpstr>
      <vt:lpstr>เพชรบูรณ์</vt:lpstr>
      <vt:lpstr>แพร่</vt:lpstr>
      <vt:lpstr>แม่ฮ่องสอน</vt:lpstr>
      <vt:lpstr>ลำปาง</vt:lpstr>
      <vt:lpstr>ลำพูน</vt:lpstr>
      <vt:lpstr>สุโขทัย</vt:lpstr>
      <vt:lpstr>อุตรดิตถ์</vt:lpstr>
      <vt:lpstr>อุทัยธานี</vt:lpstr>
      <vt:lpstr>กำแพงเพชร!Print_Area</vt:lpstr>
      <vt:lpstr>เชียงราย!Print_Area</vt:lpstr>
      <vt:lpstr>เชียงใหม่!Print_Area</vt:lpstr>
      <vt:lpstr>ตาก!Print_Area</vt:lpstr>
      <vt:lpstr>นครสวรรค์!Print_Area</vt:lpstr>
      <vt:lpstr>น่าน!Print_Area</vt:lpstr>
      <vt:lpstr>พะเยา!Print_Area</vt:lpstr>
      <vt:lpstr>พิจิตร!Print_Area</vt:lpstr>
      <vt:lpstr>พิษณุโลก!Print_Area</vt:lpstr>
      <vt:lpstr>เพชรบูรณ์!Print_Area</vt:lpstr>
      <vt:lpstr>แพร่!Print_Area</vt:lpstr>
      <vt:lpstr>แม่ฮ่องสอน!Print_Area</vt:lpstr>
      <vt:lpstr>รวมเหนือ!Print_Area</vt:lpstr>
      <vt:lpstr>ลำปาง!Print_Area</vt:lpstr>
      <vt:lpstr>ลำพูน!Print_Area</vt:lpstr>
      <vt:lpstr>สุโขทัย!Print_Area</vt:lpstr>
      <vt:lpstr>อุตรดิตถ์!Print_Area</vt:lpstr>
      <vt:lpstr>อุทัยธานี!Print_Area</vt:lpstr>
      <vt:lpstr>กำแพงเพชร!Print_Titles</vt:lpstr>
      <vt:lpstr>เชียงราย!Print_Titles</vt:lpstr>
      <vt:lpstr>เชียงใหม่!Print_Titles</vt:lpstr>
      <vt:lpstr>ตาก!Print_Titles</vt:lpstr>
      <vt:lpstr>นครสวรรค์!Print_Titles</vt:lpstr>
      <vt:lpstr>น่าน!Print_Titles</vt:lpstr>
      <vt:lpstr>พะเยา!Print_Titles</vt:lpstr>
      <vt:lpstr>พิจิตร!Print_Titles</vt:lpstr>
      <vt:lpstr>พิษณุโลก!Print_Titles</vt:lpstr>
      <vt:lpstr>เพชรบูรณ์!Print_Titles</vt:lpstr>
      <vt:lpstr>แพร่!Print_Titles</vt:lpstr>
      <vt:lpstr>แม่ฮ่องสอน!Print_Titles</vt:lpstr>
      <vt:lpstr>รวมเหนือ!Print_Titles</vt:lpstr>
      <vt:lpstr>ลำปาง!Print_Titles</vt:lpstr>
      <vt:lpstr>ลำพูน!Print_Titles</vt:lpstr>
      <vt:lpstr>สุโขทัย!Print_Titles</vt:lpstr>
      <vt:lpstr>อุตรดิตถ์!Print_Titles</vt:lpstr>
      <vt:lpstr>อุทัยธานี!Print_Titles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DELL</cp:lastModifiedBy>
  <dcterms:modified xsi:type="dcterms:W3CDTF">2022-12-22T02:54:01Z</dcterms:modified>
</cp:coreProperties>
</file>